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visible" name="Notes" sheetId="1" r:id="rId3"/>
    <sheet state="visible" name="Configuration" sheetId="2" r:id="rId4"/>
    <sheet state="hidden" name="Setup" sheetId="3" r:id="rId5"/>
    <sheet state="visible" name="Declarations" sheetId="4" r:id="rId6"/>
    <sheet state="visible" name="Athletes" sheetId="5" r:id="rId7"/>
    <sheet state="hidden" name="DataV9" sheetId="6" r:id="rId8"/>
    <sheet state="visible" name="ScorngTable" sheetId="7" r:id="rId9"/>
    <sheet state="visible" name="UKA Awards" sheetId="8" r:id="rId10"/>
    <sheet state="visible" name="EVENT - SPRNT" sheetId="9" r:id="rId11"/>
    <sheet state="visible" name="EVENT - RUN" sheetId="10" r:id="rId12"/>
    <sheet state="visible" name="EVENT - JUMP" sheetId="11" r:id="rId13"/>
    <sheet state="visible" name="EVENT - THROW" sheetId="12" r:id="rId14"/>
    <sheet state="hidden" name="EVENT-RELAY" sheetId="13" r:id="rId15"/>
    <sheet state="hidden" name="InclusiveScorngTable" sheetId="14" r:id="rId16"/>
    <sheet state="hidden" name="_template" sheetId="15" r:id="rId17"/>
  </sheets>
  <definedNames>
    <definedName name="GirlsPoints">Athletes!$AJ$5:$AJ$565</definedName>
    <definedName name="conftype">Configuration!$C$17</definedName>
    <definedName name="MatchNames">Setup!$A$5:$A$25</definedName>
    <definedName name="IncScoreTable">Setup!$A$51:$AC$57</definedName>
    <definedName name="BoysPoints">Athletes!$AI$5:$AI$565</definedName>
    <definedName name="Flexing">Setup!$E$36</definedName>
    <definedName name="MaxS">Setup!$B$35</definedName>
    <definedName name="BoysAwards">'UKA Awards'!$L$5:$Z$10</definedName>
    <definedName name="confDesc">Configuration!$C$13</definedName>
    <definedName name="E1Min">Setup!$B$31</definedName>
    <definedName name="IncEventData">Setup!$B$78:$M$81</definedName>
    <definedName name="DefaultList">Setup!$H$100:$H$101</definedName>
    <definedName name="MinPoints">Setup!$B$36</definedName>
    <definedName name="TypeMessage">Setup!$B$111</definedName>
    <definedName name="UKAAthleteAwards">Athletes!$V$5:$V$565</definedName>
    <definedName name="INCVALUES">Setup!$P$31:$S$42</definedName>
    <definedName name="AthletePoints">Athletes!$O$5:$O$565</definedName>
    <definedName name="EventList">Setup!$B$103:$B$108</definedName>
    <definedName name="confrelay">Configuration!$C$23</definedName>
    <definedName name="MINVALUES">Setup!$J$31:$M$42</definedName>
    <definedName name="confmatchtype">Configuration!$I$1</definedName>
    <definedName name="FlexPC">Setup!$E$35</definedName>
    <definedName name="FlexTrigger">Configuration!$C$52</definedName>
    <definedName name="MaxPoints">Setup!$B$37</definedName>
    <definedName name="E1Inc">Setup!$B$33</definedName>
    <definedName name="IncMatchIdx">Setup!$B$60</definedName>
    <definedName name="confDate">Configuration!$C$15</definedName>
    <definedName name="SECNAME">Configuration!$C$25</definedName>
    <definedName name="INC_MINVALUES">Setup!$Q$63:$T$70</definedName>
    <definedName name="TotalAthletes">Declarations!$I$1</definedName>
    <definedName name="DB">DataV9!$A$2:$Z$1001</definedName>
    <definedName name="SprintData">'EVENT - SPRNT'!$A$3:$D$1002</definedName>
    <definedName name="EventNames">Setup!$B$30:$F$30</definedName>
    <definedName name="INC_INCVALUES">Setup!$X$63:$AA$70</definedName>
    <definedName name="MatchScoreTable">Setup!$A$5:$T$25</definedName>
    <definedName name="teamnames">Athletes!$A$5:$A$565</definedName>
    <definedName name="UKABoysAwards">'UKA Awards'!$F$7:$G$19</definedName>
    <definedName name="ScoreMultiplier">Setup!$A$42:$E$46</definedName>
    <definedName name="edata">Setup!$J$84:$M$91</definedName>
    <definedName name="AthleteNumbers">DataV9!$A$2:$A$1001</definedName>
    <definedName name="DefaultComp">Setup!$B$100</definedName>
    <definedName name="UKAGirlsAwards">'UKA Awards'!$F$26:$G$38</definedName>
    <definedName name="RunData">'EVENT - RUN'!$A$3:$D$1002</definedName>
    <definedName name="AwardsValid">Setup!$B$115</definedName>
    <definedName name="AwardsIndex">Setup!$B$116</definedName>
    <definedName name="ScoreValues">Setup!$B$30:$F$33</definedName>
    <definedName name="MATCHTYPES">Setup!$H$84:$H$86</definedName>
    <definedName name="GirlsAwards">'UKA Awards'!$L$24:$Z$29</definedName>
    <definedName name="teamscores">Athletes!$P$5:$P$565</definedName>
    <definedName name="SelectMessage">Setup!$B$112</definedName>
    <definedName name="ThrowData">'EVENT - THROW'!$A$3:$D$1002</definedName>
    <definedName name="confteams">Configuration!$C$21</definedName>
    <definedName name="DECLARATIONS">Declarations!$A$2:$G$1001</definedName>
    <definedName name="SecondaryAwards">'UKA Awards'!$I$2</definedName>
    <definedName name="MatchType">Setup!$B$27</definedName>
    <definedName name="NineStep">'UKA Awards'!$J$2</definedName>
    <definedName name="E1Max">Setup!$B$32</definedName>
    <definedName name="EventIndex">Setup!$B$28</definedName>
    <definedName name="MaxTeams">Setup!$B$38</definedName>
    <definedName name="RelayPoints">'EVENT-RELAY'!$D$4:$D$38</definedName>
    <definedName name="ScoreType">Setup!$B$101</definedName>
    <definedName name="JumpData">'EVENT - JUMP'!$A$3:$D$1002</definedName>
    <definedName name="MatchOffset">Setup!$D$101</definedName>
  </definedNames>
  <calcPr/>
</workbook>
</file>

<file path=xl/sharedStrings.xml><?xml version="1.0" encoding="utf-8"?>
<sst xmlns="http://schemas.openxmlformats.org/spreadsheetml/2006/main" count="1296" uniqueCount="399">
  <si>
    <t>Setup</t>
  </si>
  <si>
    <t>EventName</t>
  </si>
  <si>
    <t>OPEN</t>
  </si>
  <si>
    <t>USING THE SPREADSHEET - INSTRUCTIONS FOR SETTING UP 
AND SCORING A QUADKIDS EVENT</t>
  </si>
  <si>
    <t>To ensure you can use the Spreadsheet properly you will need to make sure that your Excel program trusts Macros. 
To enable Macros you must click on “trust content from this site/enable macros" when prompted by your computer.
If using Excel 2007 please ensure the spreadsheet is saved as an Excel 97-2003 workbook (.XLS).</t>
  </si>
  <si>
    <t>Before the Event</t>
  </si>
  <si>
    <r>
      <t xml:space="preserve">1. </t>
    </r>
    <r>
      <rPr>
        <rFont val="Calibri"/>
        <b/>
        <sz val="14.0"/>
      </rPr>
      <t>Click on the</t>
    </r>
    <r>
      <rPr>
        <rFont val="Calibri"/>
        <sz val="14.0"/>
      </rPr>
      <t xml:space="preserve"> </t>
    </r>
    <r>
      <rPr>
        <rFont val="Calibri"/>
        <b/>
        <sz val="14.0"/>
      </rPr>
      <t>CONFIGURATION</t>
    </r>
    <r>
      <rPr>
        <rFont val="Calibri"/>
        <sz val="14.0"/>
      </rPr>
      <t xml:space="preserve"> tab at the bottom of the Spreadsheet and by clicking on the relevant cells enter:</t>
    </r>
  </si>
  <si>
    <r>
      <t>Ø</t>
    </r>
    <r>
      <rPr>
        <rFont val="Times New Roman"/>
        <sz val="7.0"/>
      </rPr>
      <t xml:space="preserve"> </t>
    </r>
    <r>
      <rPr>
        <rFont val="Calibri"/>
        <b/>
        <sz val="14.0"/>
      </rPr>
      <t>Event Name</t>
    </r>
    <r>
      <rPr>
        <rFont val="Calibri"/>
        <sz val="14.0"/>
      </rPr>
      <t xml:space="preserve"> e.g. Swindon SSP</t>
    </r>
  </si>
  <si>
    <r>
      <t>Ø</t>
    </r>
    <r>
      <rPr>
        <rFont val="Times New Roman"/>
        <sz val="7.0"/>
      </rPr>
      <t xml:space="preserve"> </t>
    </r>
    <r>
      <rPr>
        <rFont val="Calibri"/>
        <b/>
        <sz val="14.0"/>
      </rPr>
      <t>Event Date</t>
    </r>
  </si>
  <si>
    <r>
      <t>Ø</t>
    </r>
    <r>
      <rPr>
        <rFont val="Times New Roman"/>
        <sz val="7.0"/>
      </rPr>
      <t xml:space="preserve"> </t>
    </r>
    <r>
      <rPr>
        <rFont val="Calibri"/>
        <b/>
        <sz val="14.0"/>
      </rPr>
      <t>Competition Type</t>
    </r>
    <r>
      <rPr>
        <rFont val="Calibri"/>
        <sz val="14.0"/>
      </rPr>
      <t xml:space="preserve"> - Select the Competition Type from the drop down menu e.g. QuadKids Primary</t>
    </r>
  </si>
  <si>
    <r>
      <t>Ø</t>
    </r>
    <r>
      <rPr>
        <rFont val="Times New Roman"/>
        <sz val="7.0"/>
      </rPr>
      <t xml:space="preserve"> </t>
    </r>
    <r>
      <rPr>
        <rFont val="Calibri"/>
        <b/>
        <sz val="14.0"/>
      </rPr>
      <t>Number of Teams</t>
    </r>
    <r>
      <rPr>
        <rFont val="Calibri"/>
        <sz val="14.0"/>
      </rPr>
      <t xml:space="preserve"> - Enter the number of teams competing in the event</t>
    </r>
  </si>
  <si>
    <r>
      <t>Ø</t>
    </r>
    <r>
      <rPr>
        <rFont val="Times New Roman"/>
        <sz val="7.0"/>
      </rPr>
      <t xml:space="preserve"> </t>
    </r>
    <r>
      <rPr>
        <rFont val="Calibri"/>
        <b/>
        <sz val="14.0"/>
      </rPr>
      <t>Relay</t>
    </r>
    <r>
      <rPr>
        <rFont val="Calibri"/>
        <sz val="14.0"/>
      </rPr>
      <t xml:space="preserve"> - If you are not having a relay or the relay is non-scoring ensure that the relay box is changed to NO (you will need to click on the box to be able to do this)</t>
    </r>
  </si>
  <si>
    <r>
      <t>Ø</t>
    </r>
    <r>
      <rPr>
        <rFont val="Times New Roman"/>
        <sz val="7.0"/>
      </rPr>
      <t xml:space="preserve"> </t>
    </r>
    <r>
      <rPr>
        <rFont val="Calibri"/>
        <b/>
        <sz val="14.0"/>
      </rPr>
      <t>Secure Names</t>
    </r>
    <r>
      <rPr>
        <rFont val="Calibri"/>
        <sz val="14.0"/>
      </rPr>
      <t xml:space="preserve"> – by selecting yes against secure names the athlete’s spreadsheet will only display Christian names and the first two letters of the surname.</t>
    </r>
  </si>
  <si>
    <r>
      <t>2</t>
    </r>
    <r>
      <rPr>
        <rFont val="Calibri"/>
        <b/>
        <sz val="14.0"/>
      </rPr>
      <t>. Click on the DECLARATION</t>
    </r>
    <r>
      <rPr>
        <rFont val="Calibri"/>
        <sz val="14.0"/>
      </rPr>
      <t xml:space="preserve"> tab at the bottom of the Spreadsheet and enter:</t>
    </r>
  </si>
  <si>
    <r>
      <t>Ø</t>
    </r>
    <r>
      <rPr>
        <rFont val="Times New Roman"/>
        <sz val="7.0"/>
      </rPr>
      <t xml:space="preserve"> </t>
    </r>
    <r>
      <rPr>
        <rFont val="Calibri"/>
        <b/>
        <sz val="14.0"/>
      </rPr>
      <t>Number</t>
    </r>
    <r>
      <rPr>
        <rFont val="Calibri"/>
        <sz val="14.0"/>
      </rPr>
      <t xml:space="preserve"> – you need to assign each athlete a unique number (this is the number that they will be given to wear on the day) and then enter it in the number column</t>
    </r>
  </si>
  <si>
    <r>
      <t>Ø</t>
    </r>
    <r>
      <rPr>
        <rFont val="Times New Roman"/>
        <sz val="7.0"/>
      </rPr>
      <t xml:space="preserve"> </t>
    </r>
    <r>
      <rPr>
        <rFont val="Calibri"/>
        <b/>
        <sz val="14.0"/>
      </rPr>
      <t>Name</t>
    </r>
    <r>
      <rPr>
        <rFont val="Calibri"/>
        <sz val="14.0"/>
      </rPr>
      <t xml:space="preserve"> – enter the athlete’s name</t>
    </r>
  </si>
  <si>
    <r>
      <t>Ø</t>
    </r>
    <r>
      <rPr>
        <rFont val="Times New Roman"/>
        <sz val="7.0"/>
      </rPr>
      <t xml:space="preserve"> </t>
    </r>
    <r>
      <rPr>
        <rFont val="Calibri"/>
        <b/>
        <sz val="14.0"/>
      </rPr>
      <t>Athlete’s Team</t>
    </r>
    <r>
      <rPr>
        <rFont val="Calibri"/>
        <sz val="14.0"/>
      </rPr>
      <t xml:space="preserve"> – enter the name of the team/school/club</t>
    </r>
  </si>
  <si>
    <r>
      <t>Ø</t>
    </r>
    <r>
      <rPr>
        <rFont val="Times New Roman"/>
        <sz val="7.0"/>
      </rPr>
      <t xml:space="preserve"> </t>
    </r>
    <r>
      <rPr>
        <rFont val="Calibri"/>
        <b/>
        <sz val="14.0"/>
      </rPr>
      <t>Sex</t>
    </r>
    <r>
      <rPr>
        <rFont val="Calibri"/>
        <sz val="14.0"/>
      </rPr>
      <t xml:space="preserve"> – enter the athlete’s gender (M or F) – without this information the row of cells will remain red</t>
    </r>
  </si>
  <si>
    <r>
      <t>Ø</t>
    </r>
    <r>
      <rPr>
        <rFont val="Times New Roman"/>
        <sz val="7.0"/>
      </rPr>
      <t xml:space="preserve"> </t>
    </r>
    <r>
      <rPr>
        <rFont val="Calibri"/>
        <b/>
        <sz val="14.0"/>
      </rPr>
      <t>Date of Birth</t>
    </r>
    <r>
      <rPr>
        <rFont val="Calibri"/>
        <sz val="14.0"/>
      </rPr>
      <t xml:space="preserve"> – enter if provided</t>
    </r>
  </si>
  <si>
    <r>
      <t>Ø</t>
    </r>
    <r>
      <rPr>
        <rFont val="Times New Roman"/>
        <sz val="7.0"/>
      </rPr>
      <t xml:space="preserve"> </t>
    </r>
    <r>
      <rPr>
        <rFont val="Calibri"/>
        <b/>
        <sz val="14.0"/>
      </rPr>
      <t>Age Group</t>
    </r>
    <r>
      <rPr>
        <rFont val="Calibri"/>
        <sz val="14.0"/>
      </rPr>
      <t xml:space="preserve"> – use this field to set the age group of the athlete if it is different from the age group of the competition</t>
    </r>
  </si>
  <si>
    <r>
      <t>Ø</t>
    </r>
    <r>
      <rPr>
        <rFont val="Times New Roman"/>
        <sz val="7.0"/>
      </rPr>
      <t xml:space="preserve"> </t>
    </r>
    <r>
      <rPr>
        <rFont val="Calibri"/>
        <b/>
        <sz val="14.0"/>
      </rPr>
      <t>Disability Group</t>
    </r>
    <r>
      <rPr>
        <rFont val="Calibri"/>
        <sz val="14.0"/>
      </rPr>
      <t xml:space="preserve"> – QuadKids is now fully inclusive allowing disabled athletes to compete alongside non-disabled athetes. For more information on the England Athletics Disability Groups please look in the QuadKids manual or go to the QuadKids website.</t>
    </r>
  </si>
  <si>
    <r>
      <t xml:space="preserve">3. </t>
    </r>
    <r>
      <rPr>
        <rFont val="Calibri"/>
        <b/>
        <sz val="14.0"/>
      </rPr>
      <t>Click on the</t>
    </r>
    <r>
      <rPr>
        <rFont val="Calibri"/>
        <sz val="14.0"/>
      </rPr>
      <t xml:space="preserve"> </t>
    </r>
    <r>
      <rPr>
        <rFont val="Calibri"/>
        <b/>
        <sz val="14.0"/>
      </rPr>
      <t xml:space="preserve">ATHLETES </t>
    </r>
    <r>
      <rPr>
        <rFont val="Calibri"/>
        <sz val="14.0"/>
      </rPr>
      <t>tab at the bottom of the Spreadsheet and in the number column enter the unique athlete’s numbers that you assigned to each athlete on the declaration sheet. The spreadsheet will automatically fill the athlete’s name and team. You need to ensure that all athletes’ numbers in each school/club team are inserted in the same team e.g. team 1</t>
    </r>
  </si>
  <si>
    <r>
      <t xml:space="preserve">4. </t>
    </r>
    <r>
      <rPr>
        <rFont val="Calibri"/>
        <b/>
        <sz val="14.0"/>
      </rPr>
      <t>Click on the</t>
    </r>
    <r>
      <rPr>
        <rFont val="Calibri"/>
        <sz val="14.0"/>
      </rPr>
      <t xml:space="preserve"> </t>
    </r>
    <r>
      <rPr>
        <rFont val="Calibri"/>
        <b/>
        <sz val="14.0"/>
      </rPr>
      <t>TEAMSCORES</t>
    </r>
    <r>
      <rPr>
        <rFont val="Calibri"/>
        <sz val="14.0"/>
      </rPr>
      <t xml:space="preserve"> tab and check that all declared teams appear in the table.</t>
    </r>
  </si>
  <si>
    <t>On Competition Day</t>
  </si>
  <si>
    <r>
      <t>Ø</t>
    </r>
    <r>
      <rPr>
        <rFont val="Times New Roman"/>
        <sz val="7.0"/>
      </rPr>
      <t xml:space="preserve"> </t>
    </r>
    <r>
      <rPr>
        <rFont val="Calibri"/>
        <sz val="14.0"/>
      </rPr>
      <t>Results only need to be entered on the relevant event sheet; the times and distances and allocated points will automatically feed through to the Athlete Sheet</t>
    </r>
  </si>
  <si>
    <r>
      <t>Ø</t>
    </r>
    <r>
      <rPr>
        <rFont val="Times New Roman"/>
        <sz val="7.0"/>
      </rPr>
      <t xml:space="preserve"> </t>
    </r>
    <r>
      <rPr>
        <rFont val="Calibri"/>
        <sz val="14.0"/>
      </rPr>
      <t xml:space="preserve">Enter only the athlete’s number and the time/distance that has been achieved. The spreadsheet automatically calculates the number of points. </t>
    </r>
  </si>
  <si>
    <r>
      <t>Ø</t>
    </r>
    <r>
      <rPr>
        <rFont val="Times New Roman"/>
        <sz val="7.0"/>
      </rPr>
      <t xml:space="preserve"> </t>
    </r>
    <r>
      <rPr>
        <rFont val="Calibri"/>
        <sz val="14.0"/>
      </rPr>
      <t>If any cells in the Duplicate Count column turn red you need to check that you have not duplicated an athlete’s number.</t>
    </r>
  </si>
  <si>
    <r>
      <t>Ø</t>
    </r>
    <r>
      <rPr>
        <rFont val="Times New Roman"/>
        <sz val="7.0"/>
      </rPr>
      <t xml:space="preserve"> </t>
    </r>
    <r>
      <rPr>
        <rFont val="Calibri"/>
        <sz val="14.0"/>
      </rPr>
      <t xml:space="preserve">If </t>
    </r>
    <r>
      <rPr>
        <rFont val="Calibri"/>
        <b/>
        <sz val="14.0"/>
      </rPr>
      <t>PLEASE CHECK</t>
    </r>
    <r>
      <rPr>
        <rFont val="Calibri"/>
        <sz val="14.0"/>
      </rPr>
      <t xml:space="preserve"> appears in the Checkpoint column you need to check the time/distance inputted. An athlete will always score a minimum of 10 points if they record a time/distance even if their time/distance is below the lower end of the points scale.</t>
    </r>
  </si>
  <si>
    <r>
      <t>Ø</t>
    </r>
    <r>
      <rPr>
        <rFont val="Times New Roman"/>
        <sz val="7.0"/>
      </rPr>
      <t xml:space="preserve"> </t>
    </r>
    <r>
      <rPr>
        <rFont val="Calibri"/>
        <sz val="14.0"/>
      </rPr>
      <t>For the Sprint times need to be entered in seconds and tenths of seconds e.g. 12.3 For the Run times need to be entered in minutes and seconds e.g. 2.36</t>
    </r>
  </si>
  <si>
    <r>
      <t>Ø</t>
    </r>
    <r>
      <rPr>
        <rFont val="Times New Roman"/>
        <sz val="7.0"/>
      </rPr>
      <t xml:space="preserve"> </t>
    </r>
    <r>
      <rPr>
        <rFont val="Calibri"/>
        <sz val="14.0"/>
      </rPr>
      <t xml:space="preserve">Team Scores are automatically calculated by the Spreadsheet. Once all the results have been inputted click on the </t>
    </r>
    <r>
      <rPr>
        <rFont val="Calibri"/>
        <b/>
        <sz val="14.0"/>
      </rPr>
      <t>Team Scoresheet</t>
    </r>
    <r>
      <rPr>
        <rFont val="Calibri"/>
        <sz val="14.0"/>
      </rPr>
      <t xml:space="preserve"> tab and the cumulative team points will be displayed plus the ranking of each team.</t>
    </r>
  </si>
  <si>
    <t>Version: 9.0  (15-March-2016)</t>
  </si>
  <si>
    <t>SPRINT</t>
  </si>
  <si>
    <t>RUN</t>
  </si>
  <si>
    <t>JUMP</t>
  </si>
  <si>
    <t>THROW</t>
  </si>
  <si>
    <t>RELAY</t>
  </si>
  <si>
    <t>Max Scorers</t>
  </si>
  <si>
    <t>Min Points</t>
  </si>
  <si>
    <t>Max Points</t>
  </si>
  <si>
    <t>Inclusive Type</t>
  </si>
  <si>
    <t>Name</t>
  </si>
  <si>
    <t>Min</t>
  </si>
  <si>
    <t>Inc</t>
  </si>
  <si>
    <t>Wessex League</t>
  </si>
  <si>
    <t>75m</t>
  </si>
  <si>
    <t>600m</t>
  </si>
  <si>
    <t>Long_Jump</t>
  </si>
  <si>
    <t>Howler</t>
  </si>
  <si>
    <t>Relay</t>
  </si>
  <si>
    <t>Wessex League (U13)</t>
  </si>
  <si>
    <t>70/75mH</t>
  </si>
  <si>
    <t>800m</t>
  </si>
  <si>
    <t>Shot</t>
  </si>
  <si>
    <t>QuadKids Secondary</t>
  </si>
  <si>
    <t>100m</t>
  </si>
  <si>
    <t>QuadKids Primary</t>
  </si>
  <si>
    <t>SLJ</t>
  </si>
  <si>
    <t>QuadKids Start</t>
  </si>
  <si>
    <t>50m</t>
  </si>
  <si>
    <t>400m</t>
  </si>
  <si>
    <t>QuadKids Club</t>
  </si>
  <si>
    <t>QuadKids Club U13</t>
  </si>
  <si>
    <t>QuadKids Club U9</t>
  </si>
  <si>
    <t>QuadKids Pre-Start</t>
  </si>
  <si>
    <t>300m</t>
  </si>
  <si>
    <t>MatchType</t>
  </si>
  <si>
    <t>EventIndex</t>
  </si>
  <si>
    <t>Scoring Table</t>
  </si>
  <si>
    <t>MINS</t>
  </si>
  <si>
    <t>Sprint</t>
  </si>
  <si>
    <t>Run</t>
  </si>
  <si>
    <t>Jump</t>
  </si>
  <si>
    <t>Throw</t>
  </si>
  <si>
    <t>INC</t>
  </si>
  <si>
    <t>Event Name:</t>
  </si>
  <si>
    <t>Bournemouth Spring Open</t>
  </si>
  <si>
    <t>Event Date:</t>
  </si>
  <si>
    <t>Competition Type:</t>
  </si>
  <si>
    <t>Venue:</t>
  </si>
  <si>
    <t>Kings Park Bournemouth</t>
  </si>
  <si>
    <t>Number of Teams:</t>
  </si>
  <si>
    <t>Relay?</t>
  </si>
  <si>
    <t>NO</t>
  </si>
  <si>
    <t>Secure Names?</t>
  </si>
  <si>
    <t>Please take a few moments to properly configure the scoring spreadsheet. If you do not select any of the parameters the spreadsheet will assume some defaults. There is no "CONFIGURE" button anymore!</t>
  </si>
  <si>
    <t>For more information on Quadkids please visit the QuadKids website at</t>
  </si>
  <si>
    <t xml:space="preserve"> http://www.quadkids.org</t>
  </si>
  <si>
    <t>UKA Awards information can be found here</t>
  </si>
  <si>
    <t>http://www.quadkids.org/awards</t>
  </si>
  <si>
    <t>Statistics</t>
  </si>
  <si>
    <t>Athletes Declared</t>
  </si>
  <si>
    <t>Results Entered</t>
  </si>
  <si>
    <t>Disabled Athletes</t>
  </si>
  <si>
    <t>Max</t>
  </si>
  <si>
    <t>Increments</t>
  </si>
  <si>
    <t>Flexing Trigger</t>
  </si>
  <si>
    <t>Num of Scorers</t>
  </si>
  <si>
    <t>Flex %</t>
  </si>
  <si>
    <t>Minimum Points</t>
  </si>
  <si>
    <t>Flexing?</t>
  </si>
  <si>
    <t>Maximum Points</t>
  </si>
  <si>
    <t>Number of Teams</t>
  </si>
  <si>
    <t>Score Multiplier</t>
  </si>
  <si>
    <t>Disability Group</t>
  </si>
  <si>
    <t>Event #1</t>
  </si>
  <si>
    <t>Event #2</t>
  </si>
  <si>
    <t>Event #3</t>
  </si>
  <si>
    <t>Event #4</t>
  </si>
  <si>
    <t>G2</t>
  </si>
  <si>
    <t>G3</t>
  </si>
  <si>
    <t>G4</t>
  </si>
  <si>
    <t>Minimums</t>
  </si>
  <si>
    <t>Year 3/4</t>
  </si>
  <si>
    <t>Vortex</t>
  </si>
  <si>
    <t>Year 5/6</t>
  </si>
  <si>
    <t>No</t>
  </si>
  <si>
    <t>Team / School</t>
  </si>
  <si>
    <t>Gender</t>
  </si>
  <si>
    <t>Date of Birth</t>
  </si>
  <si>
    <t>Age
Group</t>
  </si>
  <si>
    <t>No of Athletes</t>
  </si>
  <si>
    <t>1</t>
  </si>
  <si>
    <t>Harry Adams</t>
  </si>
  <si>
    <t>WADAC</t>
  </si>
  <si>
    <t>M</t>
  </si>
  <si>
    <t>2</t>
  </si>
  <si>
    <t>Connor Bailey-Pierce</t>
  </si>
  <si>
    <t>BAC</t>
  </si>
  <si>
    <t>3</t>
  </si>
  <si>
    <t>Elouan Biwole</t>
  </si>
  <si>
    <t>Poole AC</t>
  </si>
  <si>
    <t/>
  </si>
  <si>
    <t>4</t>
  </si>
  <si>
    <t>Felix Bowyer</t>
  </si>
  <si>
    <t>5</t>
  </si>
  <si>
    <t>Finlay Carvell</t>
  </si>
  <si>
    <t>Wimborne AC</t>
  </si>
  <si>
    <t>6</t>
  </si>
  <si>
    <t>Sam Coltman</t>
  </si>
  <si>
    <t>Bournemouth AC</t>
  </si>
  <si>
    <t>7</t>
  </si>
  <si>
    <t>Ethan Crowley</t>
  </si>
  <si>
    <t>8</t>
  </si>
  <si>
    <t>Alfie Curtis</t>
  </si>
  <si>
    <t>9</t>
  </si>
  <si>
    <t>James Davie</t>
  </si>
  <si>
    <t>10</t>
  </si>
  <si>
    <t>Ethan Dolman</t>
  </si>
  <si>
    <t>11</t>
  </si>
  <si>
    <t>Hugo English</t>
  </si>
  <si>
    <t>Dorchester</t>
  </si>
  <si>
    <t>12</t>
  </si>
  <si>
    <t>Jude Fisher</t>
  </si>
  <si>
    <t>13</t>
  </si>
  <si>
    <t>Toby Fry</t>
  </si>
  <si>
    <t>14</t>
  </si>
  <si>
    <t>Tom Fry</t>
  </si>
  <si>
    <t xml:space="preserve">City of Portsmouth </t>
  </si>
  <si>
    <t>15</t>
  </si>
  <si>
    <t>Jake Goddard</t>
  </si>
  <si>
    <t>16</t>
  </si>
  <si>
    <t>Jacob Green</t>
  </si>
  <si>
    <t>17</t>
  </si>
  <si>
    <t>Elliott Groom</t>
  </si>
  <si>
    <t>Havant</t>
  </si>
  <si>
    <t>18</t>
  </si>
  <si>
    <t>William Launder</t>
  </si>
  <si>
    <t>19</t>
  </si>
  <si>
    <t>Marvin Marshall</t>
  </si>
  <si>
    <t>20</t>
  </si>
  <si>
    <t>Ciaran Merrett</t>
  </si>
  <si>
    <t>Yate &amp; District AC</t>
  </si>
  <si>
    <t>21</t>
  </si>
  <si>
    <t>spare</t>
  </si>
  <si>
    <t>22</t>
  </si>
  <si>
    <t>Rufus Parsons</t>
  </si>
  <si>
    <t>23</t>
  </si>
  <si>
    <t>Charlie Peters</t>
  </si>
  <si>
    <t>24</t>
  </si>
  <si>
    <t>Elijah Robbins</t>
  </si>
  <si>
    <t>25</t>
  </si>
  <si>
    <t>Oscar Robertson</t>
  </si>
  <si>
    <t>26</t>
  </si>
  <si>
    <t>Jake Selwood</t>
  </si>
  <si>
    <t>27</t>
  </si>
  <si>
    <t>Liam Sharp</t>
  </si>
  <si>
    <t>28</t>
  </si>
  <si>
    <t>Joshua Smith</t>
  </si>
  <si>
    <t>29</t>
  </si>
  <si>
    <t>Leo Thomasson</t>
  </si>
  <si>
    <t>30</t>
  </si>
  <si>
    <t>Harley Vincent</t>
  </si>
  <si>
    <t>31</t>
  </si>
  <si>
    <t>Leo Welstead</t>
  </si>
  <si>
    <t>32</t>
  </si>
  <si>
    <t>Otto Williams</t>
  </si>
  <si>
    <t>33</t>
  </si>
  <si>
    <t>Harry Williams</t>
  </si>
  <si>
    <t xml:space="preserve">Poole Athletics Club </t>
  </si>
  <si>
    <t>41</t>
  </si>
  <si>
    <t>Edee Abery</t>
  </si>
  <si>
    <t>Copac</t>
  </si>
  <si>
    <t>F</t>
  </si>
  <si>
    <t>42</t>
  </si>
  <si>
    <t>Lucia Bertacchini</t>
  </si>
  <si>
    <t>Winchester</t>
  </si>
  <si>
    <t>43</t>
  </si>
  <si>
    <t>Carla Bream</t>
  </si>
  <si>
    <t>Havant AC</t>
  </si>
  <si>
    <t>44</t>
  </si>
  <si>
    <t>Isabel Cherrett</t>
  </si>
  <si>
    <t>45</t>
  </si>
  <si>
    <t>Lily Coltman</t>
  </si>
  <si>
    <t>46</t>
  </si>
  <si>
    <t>Sophie Cross</t>
  </si>
  <si>
    <t>Southampton AC</t>
  </si>
  <si>
    <t>47</t>
  </si>
  <si>
    <t>Isis Dalton</t>
  </si>
  <si>
    <t>48</t>
  </si>
  <si>
    <t>Elizabeth Davie</t>
  </si>
  <si>
    <t>49</t>
  </si>
  <si>
    <t>Amelia Drew</t>
  </si>
  <si>
    <t>50</t>
  </si>
  <si>
    <t>Millie Drew</t>
  </si>
  <si>
    <t>51</t>
  </si>
  <si>
    <t>Evie Fuller</t>
  </si>
  <si>
    <t>52</t>
  </si>
  <si>
    <t>Izzy Garavini</t>
  </si>
  <si>
    <t>53</t>
  </si>
  <si>
    <t xml:space="preserve">Amber Groom </t>
  </si>
  <si>
    <t>54</t>
  </si>
  <si>
    <t>Emilia Parsons</t>
  </si>
  <si>
    <t>55</t>
  </si>
  <si>
    <t>Millie Hardcastle</t>
  </si>
  <si>
    <t>56</t>
  </si>
  <si>
    <t>Layla Holdway</t>
  </si>
  <si>
    <t>57</t>
  </si>
  <si>
    <t>Esmee Hurst Atkins</t>
  </si>
  <si>
    <t>58</t>
  </si>
  <si>
    <t>Matilda Hutton</t>
  </si>
  <si>
    <t>City of Portsmouth</t>
  </si>
  <si>
    <t>59</t>
  </si>
  <si>
    <t>Mia Ironside</t>
  </si>
  <si>
    <t>60</t>
  </si>
  <si>
    <t>Chloe Johnson</t>
  </si>
  <si>
    <t>New Forest Junior AC</t>
  </si>
  <si>
    <t>61</t>
  </si>
  <si>
    <t>Katie Kilburn</t>
  </si>
  <si>
    <t>62</t>
  </si>
  <si>
    <t>Abigail MacDonald</t>
  </si>
  <si>
    <t>Andover AC</t>
  </si>
  <si>
    <t>63</t>
  </si>
  <si>
    <t>Jasmine Mahmoudi</t>
  </si>
  <si>
    <t>64</t>
  </si>
  <si>
    <t>Nyla May</t>
  </si>
  <si>
    <t>65</t>
  </si>
  <si>
    <t>Myla McNeill</t>
  </si>
  <si>
    <t>66</t>
  </si>
  <si>
    <t>Albha O'Brien</t>
  </si>
  <si>
    <t>67</t>
  </si>
  <si>
    <t>Clodagh O'Brien</t>
  </si>
  <si>
    <t>68</t>
  </si>
  <si>
    <t>Gracie Osman</t>
  </si>
  <si>
    <t>69</t>
  </si>
  <si>
    <t>Isabelle Saint</t>
  </si>
  <si>
    <t>70</t>
  </si>
  <si>
    <t>Alexis Seymour</t>
  </si>
  <si>
    <t>New forest junior AC</t>
  </si>
  <si>
    <t>71</t>
  </si>
  <si>
    <t>Clover Smith</t>
  </si>
  <si>
    <t>72</t>
  </si>
  <si>
    <t xml:space="preserve">Lucy Smith </t>
  </si>
  <si>
    <t>Poole Runners</t>
  </si>
  <si>
    <t>73</t>
  </si>
  <si>
    <t>Bethany Smith</t>
  </si>
  <si>
    <t>Poole Runner</t>
  </si>
  <si>
    <t>74</t>
  </si>
  <si>
    <t>Jessica Stanbrook</t>
  </si>
  <si>
    <t>Portsmouth</t>
  </si>
  <si>
    <t>75</t>
  </si>
  <si>
    <t>Poppy Taylor</t>
  </si>
  <si>
    <t>76</t>
  </si>
  <si>
    <t>Chrissie Thomson</t>
  </si>
  <si>
    <t>77</t>
  </si>
  <si>
    <t>Darcey Thorne Henderson</t>
  </si>
  <si>
    <t xml:space="preserve">Wadac </t>
  </si>
  <si>
    <t>78</t>
  </si>
  <si>
    <t>Julieana Walsh</t>
  </si>
  <si>
    <t>79</t>
  </si>
  <si>
    <t>Tonaya Welsh</t>
  </si>
  <si>
    <t>80</t>
  </si>
  <si>
    <t>Lavender West</t>
  </si>
  <si>
    <t>81</t>
  </si>
  <si>
    <t>Verity Wilson</t>
  </si>
  <si>
    <t>Poole ac</t>
  </si>
  <si>
    <t>82</t>
  </si>
  <si>
    <t>Shenique Xavier</t>
  </si>
  <si>
    <t xml:space="preserve">New Forest Athletics </t>
  </si>
  <si>
    <t>83</t>
  </si>
  <si>
    <t>Amelie Singletary</t>
  </si>
  <si>
    <t>North Devon</t>
  </si>
  <si>
    <t>84</t>
  </si>
  <si>
    <t>Lilia Flux</t>
  </si>
  <si>
    <t>WSPH</t>
  </si>
  <si>
    <t>Event:</t>
  </si>
  <si>
    <t>IncMatchIdx</t>
  </si>
  <si>
    <t>Number</t>
  </si>
  <si>
    <t>Athlete Name</t>
  </si>
  <si>
    <t>Team</t>
  </si>
  <si>
    <t>Younger</t>
  </si>
  <si>
    <t>G1</t>
  </si>
  <si>
    <t>POINTS</t>
  </si>
  <si>
    <t>Individual Rankings</t>
  </si>
  <si>
    <t>UKA Awards</t>
  </si>
  <si>
    <t>BOYS</t>
  </si>
  <si>
    <t>GIRLS</t>
  </si>
  <si>
    <t>Non-normalised points</t>
  </si>
  <si>
    <t>Time</t>
  </si>
  <si>
    <t>Points</t>
  </si>
  <si>
    <t>Distance</t>
  </si>
  <si>
    <t>Athlete</t>
  </si>
  <si>
    <t>Boys</t>
  </si>
  <si>
    <t>Girls</t>
  </si>
  <si>
    <t>Overall</t>
  </si>
  <si>
    <t>Quadrathlon</t>
  </si>
  <si>
    <t>Rank</t>
  </si>
  <si>
    <t>T Points</t>
  </si>
  <si>
    <t>Older</t>
  </si>
  <si>
    <t>No.</t>
  </si>
  <si>
    <t>DOB</t>
  </si>
  <si>
    <t>Disability</t>
  </si>
  <si>
    <t>Dname</t>
  </si>
  <si>
    <t>AgeGrp</t>
  </si>
  <si>
    <t>AgeDesc</t>
  </si>
  <si>
    <t>FSPRINT</t>
  </si>
  <si>
    <t>FJUMP</t>
  </si>
  <si>
    <t>FRUN</t>
  </si>
  <si>
    <t>FTHROW</t>
  </si>
  <si>
    <t>LASTCOL</t>
  </si>
  <si>
    <t>IDX</t>
  </si>
  <si>
    <t>Notes Read</t>
  </si>
  <si>
    <t>SCHOOL</t>
  </si>
  <si>
    <t>Relay Visible</t>
  </si>
  <si>
    <t>CLUB</t>
  </si>
  <si>
    <t>QuadKids Start = Years 3/4
QuadKids Primary = Years 5/6
QuadKids Secondary = Year 7/8
QuadKids Pre-Start = Year 1/2</t>
  </si>
  <si>
    <t>QuadKids Club U9   - Under 9s
QuadKids Club        - Under 11s
QuadKids Club U13 - Under 13s</t>
  </si>
  <si>
    <t>QuadKids Start = Years 3/4
QuadKids Primary = Years 5/6
QuadKids Secondary = Year 7/8
QuadKids Club U9   - Under 9s
QuadKids Club        - Under 11s
QuadKids Club U13 - Under 13s</t>
  </si>
  <si>
    <t>B</t>
  </si>
  <si>
    <t>G</t>
  </si>
  <si>
    <t>DefaultComp</t>
  </si>
  <si>
    <t>ScoringType</t>
  </si>
  <si>
    <t>TypeMessage</t>
  </si>
  <si>
    <t>SelectMessage</t>
  </si>
  <si>
    <t>AwardsValid</t>
  </si>
  <si>
    <t>AwardsType</t>
  </si>
  <si>
    <t>MIN</t>
  </si>
  <si>
    <t>MAX</t>
  </si>
  <si>
    <t>E1</t>
  </si>
  <si>
    <t>E2</t>
  </si>
  <si>
    <t>E3</t>
  </si>
  <si>
    <t>E4</t>
  </si>
  <si>
    <t>Award</t>
  </si>
  <si>
    <t>S1</t>
  </si>
  <si>
    <t>S2</t>
  </si>
  <si>
    <t>Start</t>
  </si>
  <si>
    <t>Primary</t>
  </si>
  <si>
    <t>Step 1</t>
  </si>
  <si>
    <t>Secondary</t>
  </si>
  <si>
    <t>Step 2</t>
  </si>
  <si>
    <t>Pre-Start</t>
  </si>
  <si>
    <t>Step 3</t>
  </si>
  <si>
    <t>Step 4</t>
  </si>
  <si>
    <t>No awards</t>
  </si>
  <si>
    <t>Step 5</t>
  </si>
  <si>
    <t>Step 6</t>
  </si>
  <si>
    <t>Step 7</t>
  </si>
  <si>
    <t>Step 8</t>
  </si>
  <si>
    <t>Step 9</t>
  </si>
  <si>
    <t>Step 10</t>
  </si>
  <si>
    <t>Bronze</t>
  </si>
  <si>
    <t>Silver</t>
  </si>
  <si>
    <t>Gold</t>
  </si>
  <si>
    <t>EvtIdx</t>
  </si>
  <si>
    <t>DefAgeGrp</t>
  </si>
  <si>
    <t>Athlete No</t>
  </si>
  <si>
    <t>Time (ss.s)</t>
  </si>
  <si>
    <t>Duplicates</t>
  </si>
  <si>
    <t>CheckPoint</t>
  </si>
  <si>
    <t>ValidAthlete</t>
  </si>
  <si>
    <t>AthleteIdx</t>
  </si>
  <si>
    <t>Dgroup</t>
  </si>
  <si>
    <t>Seconds</t>
  </si>
  <si>
    <t>Adjusted</t>
  </si>
  <si>
    <t>AgeGroup</t>
  </si>
  <si>
    <t>Inc_Idx</t>
  </si>
  <si>
    <t>Time (m.ss)</t>
  </si>
  <si>
    <t>Distance (m.mm)</t>
  </si>
  <si>
    <t>meters</t>
  </si>
  <si>
    <t>Group #2</t>
  </si>
</sst>
</file>

<file path=xl/styles.xml><?xml version="1.0" encoding="utf-8"?>
<styleSheet xmlns="http://schemas.openxmlformats.org/spreadsheetml/2006/main" xmlns:x14ac="http://schemas.microsoft.com/office/spreadsheetml/2009/9/ac" xmlns:mc="http://schemas.openxmlformats.org/markup-compatibility/2006">
  <numFmts count="14">
    <numFmt numFmtId="164" formatCode="0.0"/>
    <numFmt numFmtId="165" formatCode="0.000"/>
    <numFmt numFmtId="166" formatCode="[$-F800]dddd\,\ mmmm\ dd\,\ yyyy"/>
    <numFmt numFmtId="167" formatCode="_-* #,##0.00_-;\-* #,##0.00_-;_-* &quot;-&quot;??_-;_-@"/>
    <numFmt numFmtId="168" formatCode="D/M/YYYY"/>
    <numFmt numFmtId="169" formatCode="#;;"/>
    <numFmt numFmtId="170" formatCode="00.0;;"/>
    <numFmt numFmtId="171" formatCode="0;;"/>
    <numFmt numFmtId="172" formatCode="0.00;;"/>
    <numFmt numFmtId="173" formatCode="#,##0;;"/>
    <numFmt numFmtId="174" formatCode="mm:ss;;"/>
    <numFmt numFmtId="175" formatCode="_-* #,##0.0_-;\-* #,##0.0_-;_-* &quot;-&quot;??_-;_-@"/>
    <numFmt numFmtId="176" formatCode="_-* #,##0_-;\-* #,##0_-;_-* &quot;-&quot;??_-;_-@"/>
    <numFmt numFmtId="177" formatCode="00.00;;"/>
  </numFmts>
  <fonts count="62">
    <font>
      <sz val="11.0"/>
      <color rgb="FF000000"/>
      <name val="Calibri"/>
    </font>
    <font>
      <sz val="10.0"/>
      <name val="Arial"/>
    </font>
    <font>
      <b/>
      <sz val="26.0"/>
      <name val="Arial"/>
    </font>
    <font>
      <b/>
      <sz val="18.0"/>
      <name val="Verdana"/>
    </font>
    <font>
      <b/>
      <u/>
      <sz val="20.0"/>
      <name val="Calibri"/>
    </font>
    <font>
      <sz val="18.0"/>
      <name val="Calibri"/>
    </font>
    <font>
      <b/>
      <sz val="16.0"/>
      <color rgb="FFFF0000"/>
      <name val="Arial"/>
    </font>
    <font>
      <b/>
      <sz val="20.0"/>
      <name val="Calibri"/>
    </font>
    <font>
      <b/>
      <u/>
      <sz val="20.0"/>
      <name val="Calibri"/>
    </font>
    <font>
      <sz val="14.0"/>
      <name val="Calibri"/>
    </font>
    <font>
      <sz val="14.0"/>
      <name val="Noto Sans Symbols"/>
    </font>
    <font>
      <sz val="10.0"/>
      <name val="Verdana"/>
    </font>
    <font>
      <b/>
      <sz val="8.0"/>
      <name val="Verdana"/>
    </font>
    <font>
      <sz val="11.0"/>
      <color rgb="FFFFFFFF"/>
      <name val="Calibri"/>
    </font>
    <font>
      <b/>
      <sz val="11.0"/>
      <color rgb="FFFFFF00"/>
      <name val="Calibri"/>
    </font>
    <font/>
    <font>
      <sz val="9.0"/>
      <color rgb="FFFFFFFF"/>
      <name val="Calibri"/>
    </font>
    <font>
      <sz val="10.0"/>
      <color rgb="FF969696"/>
      <name val="Arial"/>
    </font>
    <font>
      <b/>
      <sz val="10.0"/>
      <name val="Arial"/>
    </font>
    <font>
      <sz val="14.0"/>
      <name val="Arial"/>
    </font>
    <font>
      <sz val="11.0"/>
      <name val="Arial"/>
    </font>
    <font>
      <sz val="10.0"/>
      <color rgb="FFFF0000"/>
      <name val="Arial"/>
    </font>
    <font>
      <b/>
      <sz val="10.0"/>
      <color rgb="FFFF0000"/>
      <name val="Arial"/>
    </font>
    <font>
      <b/>
      <sz val="12.0"/>
      <name val="Arial"/>
    </font>
    <font>
      <b/>
      <u/>
      <sz val="14.0"/>
      <color rgb="FF0000FF"/>
      <name val="Arial"/>
    </font>
    <font>
      <b/>
      <sz val="11.0"/>
      <name val="Arial"/>
    </font>
    <font>
      <b/>
      <u/>
      <sz val="12.0"/>
      <color rgb="FF0000FF"/>
      <name val="Arial"/>
    </font>
    <font>
      <b/>
      <sz val="14.0"/>
      <name val="Arial"/>
    </font>
    <font>
      <b/>
      <sz val="10.0"/>
      <color rgb="FF008000"/>
      <name val="Arial"/>
    </font>
    <font>
      <b/>
      <sz val="11.0"/>
      <color rgb="FF000000"/>
      <name val="Calibri"/>
    </font>
    <font>
      <b/>
      <sz val="16.0"/>
      <color rgb="FF000000"/>
      <name val="Calibri"/>
    </font>
    <font>
      <b/>
      <sz val="11.0"/>
      <color rgb="FFFFFFFF"/>
      <name val="Calibri"/>
    </font>
    <font>
      <b/>
      <sz val="22.0"/>
      <color rgb="FF366092"/>
      <name val="Calibri"/>
    </font>
    <font>
      <sz val="11.0"/>
      <color rgb="FF000000"/>
      <name val="Arial"/>
    </font>
    <font>
      <b/>
      <sz val="16.0"/>
      <color rgb="FF000000"/>
      <name val="Arial"/>
    </font>
    <font>
      <b/>
      <sz val="20.0"/>
      <color rgb="FF000000"/>
      <name val="Arial"/>
    </font>
    <font>
      <b/>
      <sz val="16.0"/>
      <color rgb="FFFFFFFF"/>
      <name val="Calibri"/>
    </font>
    <font>
      <b/>
      <sz val="14.0"/>
      <color rgb="FFFFFFFF"/>
      <name val="Calibri"/>
    </font>
    <font>
      <b/>
      <u/>
      <sz val="14.0"/>
      <color rgb="FF0000FF"/>
      <name val="Arial"/>
    </font>
    <font>
      <b/>
      <u/>
      <sz val="14.0"/>
      <color rgb="FF0000FF"/>
      <name val="Arial"/>
    </font>
    <font>
      <b/>
      <sz val="14.0"/>
      <color rgb="FF000000"/>
      <name val="Arial"/>
    </font>
    <font>
      <b/>
      <sz val="12.0"/>
      <color rgb="FF000000"/>
      <name val="Arial"/>
    </font>
    <font>
      <b/>
      <sz val="11.0"/>
      <color rgb="FF000000"/>
      <name val="Arial"/>
    </font>
    <font>
      <b/>
      <u/>
      <sz val="14.0"/>
      <color rgb="FF0000FF"/>
      <name val="Arial"/>
    </font>
    <font>
      <b/>
      <sz val="18.0"/>
      <color rgb="FF000000"/>
      <name val="Arial"/>
    </font>
    <font>
      <sz val="9.0"/>
      <color rgb="FF000000"/>
      <name val="Arial"/>
    </font>
    <font>
      <sz val="10.0"/>
      <color rgb="FFC0C0C0"/>
      <name val="Arial"/>
    </font>
    <font>
      <b/>
      <sz val="28.0"/>
      <color rgb="FF000000"/>
      <name val="Calibri"/>
    </font>
    <font>
      <b/>
      <sz val="36.0"/>
      <name val="Arial"/>
    </font>
    <font>
      <b/>
      <sz val="16.0"/>
      <name val="Arial"/>
    </font>
    <font>
      <sz val="10.0"/>
      <color rgb="FFFFFFFF"/>
      <name val="Arial"/>
    </font>
    <font>
      <sz val="8.0"/>
      <color rgb="FFFFFFFF"/>
      <name val="Arial"/>
    </font>
    <font>
      <b/>
      <u/>
      <sz val="12.0"/>
      <color rgb="FF0000FF"/>
      <name val="Arial"/>
    </font>
    <font>
      <b/>
      <u/>
      <sz val="12.0"/>
      <color rgb="FF0000FF"/>
      <name val="Arial"/>
    </font>
    <font>
      <b/>
      <sz val="22.0"/>
      <color rgb="FF000000"/>
      <name val="Calibri"/>
    </font>
    <font>
      <b/>
      <sz val="14.0"/>
      <color rgb="FF000000"/>
      <name val="Calibri"/>
    </font>
    <font>
      <b/>
      <sz val="11.0"/>
      <color rgb="FFFF0000"/>
      <name val="Calibri"/>
    </font>
    <font>
      <sz val="11.0"/>
      <color rgb="FFFF0000"/>
      <name val="Calibri"/>
    </font>
    <font>
      <sz val="9.0"/>
      <color rgb="FF000000"/>
      <name val="Calibri"/>
    </font>
    <font>
      <b/>
      <sz val="16.0"/>
      <color rgb="FFD8D8D8"/>
      <name val="Arial"/>
    </font>
    <font>
      <sz val="11.0"/>
      <color rgb="FFD8D8D8"/>
      <name val="Arial"/>
    </font>
    <font>
      <sz val="14.0"/>
      <color rgb="FF000000"/>
      <name val="Arial"/>
    </font>
  </fonts>
  <fills count="21">
    <fill>
      <patternFill patternType="none"/>
    </fill>
    <fill>
      <patternFill patternType="lightGray"/>
    </fill>
    <fill>
      <patternFill patternType="solid">
        <fgColor rgb="FFD8D8D8"/>
        <bgColor rgb="FFD8D8D8"/>
      </patternFill>
    </fill>
    <fill>
      <patternFill patternType="solid">
        <fgColor rgb="FF000000"/>
        <bgColor rgb="FF000000"/>
      </patternFill>
    </fill>
    <fill>
      <patternFill patternType="solid">
        <fgColor rgb="FF99CCFF"/>
        <bgColor rgb="FF99CCFF"/>
      </patternFill>
    </fill>
    <fill>
      <patternFill patternType="solid">
        <fgColor rgb="FFCCFFCC"/>
        <bgColor rgb="FFCCFFCC"/>
      </patternFill>
    </fill>
    <fill>
      <patternFill patternType="solid">
        <fgColor rgb="FFDAEEF3"/>
        <bgColor rgb="FFDAEEF3"/>
      </patternFill>
    </fill>
    <fill>
      <patternFill patternType="solid">
        <fgColor rgb="FFEEECE1"/>
        <bgColor rgb="FFEEECE1"/>
      </patternFill>
    </fill>
    <fill>
      <patternFill patternType="solid">
        <fgColor rgb="FFFDE9D9"/>
        <bgColor rgb="FFFDE9D9"/>
      </patternFill>
    </fill>
    <fill>
      <patternFill patternType="solid">
        <fgColor rgb="FFE5DFEC"/>
        <bgColor rgb="FFE5DFEC"/>
      </patternFill>
    </fill>
    <fill>
      <patternFill patternType="solid">
        <fgColor rgb="FFF2F2F2"/>
        <bgColor rgb="FFF2F2F2"/>
      </patternFill>
    </fill>
    <fill>
      <patternFill patternType="solid">
        <fgColor rgb="FF00FF00"/>
        <bgColor rgb="FF00FF00"/>
      </patternFill>
    </fill>
    <fill>
      <patternFill patternType="solid">
        <fgColor rgb="FFFFCC00"/>
        <bgColor rgb="FFFFCC00"/>
      </patternFill>
    </fill>
    <fill>
      <patternFill patternType="solid">
        <fgColor rgb="FFC6D9F0"/>
        <bgColor rgb="FFC6D9F0"/>
      </patternFill>
    </fill>
    <fill>
      <patternFill patternType="solid">
        <fgColor rgb="FF003366"/>
        <bgColor rgb="FF003366"/>
      </patternFill>
    </fill>
    <fill>
      <patternFill patternType="solid">
        <fgColor rgb="FF974806"/>
        <bgColor rgb="FF974806"/>
      </patternFill>
    </fill>
    <fill>
      <patternFill patternType="solid">
        <fgColor rgb="FFA5A5A5"/>
        <bgColor rgb="FFA5A5A5"/>
      </patternFill>
    </fill>
    <fill>
      <patternFill patternType="solid">
        <fgColor rgb="FFFFFF00"/>
        <bgColor rgb="FFFFFF00"/>
      </patternFill>
    </fill>
    <fill>
      <patternFill patternType="solid">
        <fgColor rgb="FF008000"/>
        <bgColor rgb="FF008000"/>
      </patternFill>
    </fill>
    <fill>
      <patternFill patternType="solid">
        <fgColor rgb="FFDBE5F1"/>
        <bgColor rgb="FFDBE5F1"/>
      </patternFill>
    </fill>
    <fill>
      <patternFill patternType="solid">
        <fgColor rgb="FF339966"/>
        <bgColor rgb="FF339966"/>
      </patternFill>
    </fill>
  </fills>
  <borders count="77">
    <border/>
    <border>
      <left style="double">
        <color rgb="FF008000"/>
      </left>
      <right style="double">
        <color rgb="FF008000"/>
      </right>
      <top style="double">
        <color rgb="FF008000"/>
      </top>
      <bottom style="double">
        <color rgb="FF008000"/>
      </bottom>
    </border>
    <border>
      <left style="thin">
        <color rgb="FF000000"/>
      </left>
      <right style="thin">
        <color rgb="FF000000"/>
      </right>
      <top style="thin">
        <color rgb="FF000000"/>
      </top>
    </border>
    <border>
      <left style="thin">
        <color rgb="FF000000"/>
      </left>
      <top style="thin">
        <color rgb="FF000000"/>
      </top>
      <bottom style="dotted">
        <color rgb="FF000000"/>
      </bottom>
    </border>
    <border>
      <top style="thin">
        <color rgb="FF000000"/>
      </top>
      <bottom style="dotted">
        <color rgb="FF000000"/>
      </bottom>
    </border>
    <border>
      <right style="thin">
        <color rgb="FF000000"/>
      </right>
      <top style="thin">
        <color rgb="FF000000"/>
      </top>
      <bottom style="dotted">
        <color rgb="FF000000"/>
      </bottom>
    </border>
    <border>
      <left style="thin">
        <color rgb="FF000000"/>
      </left>
      <right style="dotted">
        <color rgb="FF000000"/>
      </right>
      <top style="thin">
        <color rgb="FF000000"/>
      </top>
    </border>
    <border>
      <left style="dotted">
        <color rgb="FF000000"/>
      </left>
      <right style="dotted">
        <color rgb="FF000000"/>
      </right>
      <top style="thin">
        <color rgb="FF000000"/>
      </top>
    </border>
    <border>
      <left style="dotted">
        <color rgb="FF000000"/>
      </left>
      <right style="thin">
        <color rgb="FF000000"/>
      </right>
      <top style="thin">
        <color rgb="FF000000"/>
      </top>
    </border>
    <border>
      <left style="thin">
        <color rgb="FF000000"/>
      </left>
      <right style="thin">
        <color rgb="FF000000"/>
      </right>
      <bottom style="thin">
        <color rgb="FF000000"/>
      </bottom>
    </border>
    <border>
      <left style="thin">
        <color rgb="FF000000"/>
      </left>
      <right style="dotted">
        <color rgb="FF000000"/>
      </right>
      <top style="dotted">
        <color rgb="FF000000"/>
      </top>
      <bottom style="thin">
        <color rgb="FF000000"/>
      </bottom>
    </border>
    <border>
      <left style="dotted">
        <color rgb="FF000000"/>
      </left>
      <right style="dotted">
        <color rgb="FF000000"/>
      </right>
      <top style="dotted">
        <color rgb="FF000000"/>
      </top>
      <bottom style="thin">
        <color rgb="FF000000"/>
      </bottom>
    </border>
    <border>
      <left style="dotted">
        <color rgb="FF000000"/>
      </left>
      <right style="thin">
        <color rgb="FF000000"/>
      </right>
      <top style="dotted">
        <color rgb="FF000000"/>
      </top>
      <bottom style="thin">
        <color rgb="FF000000"/>
      </bottom>
    </border>
    <border>
      <left style="thin">
        <color rgb="FF000000"/>
      </left>
      <right style="dotted">
        <color rgb="FF000000"/>
      </right>
      <bottom style="thin">
        <color rgb="FF000000"/>
      </bottom>
    </border>
    <border>
      <left style="dotted">
        <color rgb="FF000000"/>
      </left>
      <right style="dotted">
        <color rgb="FF000000"/>
      </right>
      <bottom style="thin">
        <color rgb="FF000000"/>
      </bottom>
    </border>
    <border>
      <left style="dotted">
        <color rgb="FF000000"/>
      </left>
      <right style="thin">
        <color rgb="FF000000"/>
      </right>
      <bottom style="thin">
        <color rgb="FF000000"/>
      </bottom>
    </border>
    <border>
      <left style="thin">
        <color rgb="FF000000"/>
      </left>
      <right style="thin">
        <color rgb="FF000000"/>
      </right>
      <bottom style="dotted">
        <color rgb="FF000000"/>
      </bottom>
    </border>
    <border>
      <left style="thin">
        <color rgb="FF000000"/>
      </left>
      <right style="thin">
        <color rgb="FF000000"/>
      </right>
      <top style="thin">
        <color rgb="FF000000"/>
      </top>
      <bottom style="dotted">
        <color rgb="FF000000"/>
      </bottom>
    </border>
    <border>
      <left style="thin">
        <color rgb="FF000000"/>
      </left>
      <right style="dotted">
        <color rgb="FF000000"/>
      </right>
      <top style="thin">
        <color rgb="FF000000"/>
      </top>
      <bottom style="dotted">
        <color rgb="FF000000"/>
      </bottom>
    </border>
    <border>
      <left style="dotted">
        <color rgb="FF000000"/>
      </left>
      <right style="dotted">
        <color rgb="FF000000"/>
      </right>
      <top style="thin">
        <color rgb="FF000000"/>
      </top>
      <bottom style="dotted">
        <color rgb="FF000000"/>
      </bottom>
    </border>
    <border>
      <left style="dotted">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dotted">
        <color rgb="FF000000"/>
      </right>
      <top style="dotted">
        <color rgb="FF000000"/>
      </top>
      <bottom style="dotted">
        <color rgb="FF000000"/>
      </bottom>
    </border>
    <border>
      <left style="dotted">
        <color rgb="FF000000"/>
      </left>
      <right style="dotted">
        <color rgb="FF000000"/>
      </right>
      <top style="dotted">
        <color rgb="FF000000"/>
      </top>
      <bottom style="dotted">
        <color rgb="FF000000"/>
      </bottom>
    </border>
    <border>
      <left style="dotted">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top/>
      <bottom/>
    </border>
    <border>
      <top/>
      <bottom/>
    </border>
    <border>
      <right/>
      <top/>
      <bottom/>
    </border>
    <border>
      <left/>
      <right/>
      <top/>
      <bottom/>
    </border>
    <border>
      <left/>
      <right/>
      <top/>
    </border>
    <border>
      <left/>
      <right/>
    </border>
    <border>
      <left/>
      <right/>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bottom style="thin">
        <color rgb="FF000000"/>
      </bottom>
    </border>
    <border>
      <right style="thin">
        <color rgb="FF000000"/>
      </right>
      <bottom style="thin">
        <color rgb="FF000000"/>
      </bottom>
    </border>
    <border>
      <left style="thin">
        <color rgb="FF000000"/>
      </left>
      <right/>
      <top style="thin">
        <color rgb="FF000000"/>
      </top>
      <bottom style="dotted">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right/>
      <top style="dotted">
        <color rgb="FF000000"/>
      </top>
      <bottom style="dotted">
        <color rgb="FF000000"/>
      </bottom>
    </border>
    <border>
      <left style="thin">
        <color rgb="FF000000"/>
      </left>
      <right/>
      <top style="dotted">
        <color rgb="FF000000"/>
      </top>
      <bottom/>
    </border>
    <border>
      <left style="thin">
        <color rgb="FF000000"/>
      </left>
      <top style="dotted">
        <color rgb="FF000000"/>
      </top>
      <bottom style="thin">
        <color rgb="FF000000"/>
      </bottom>
    </border>
    <border>
      <top style="dotted">
        <color rgb="FF000000"/>
      </top>
      <bottom style="thin">
        <color rgb="FF000000"/>
      </bottom>
    </border>
    <border>
      <right style="thin">
        <color rgb="FF000000"/>
      </right>
      <top style="dotted">
        <color rgb="FF000000"/>
      </top>
      <bottom style="thin">
        <color rgb="FF000000"/>
      </bottom>
    </border>
    <border>
      <left style="thin">
        <color rgb="FF000000"/>
      </left>
      <right style="thin">
        <color rgb="FF000000"/>
      </right>
      <top/>
      <bottom style="dotted">
        <color rgb="FF000000"/>
      </bottom>
    </border>
    <border>
      <left style="thin">
        <color rgb="FF000000"/>
      </left>
      <right style="dotted">
        <color rgb="FF000000"/>
      </right>
      <top/>
      <bottom style="dotted">
        <color rgb="FF000000"/>
      </bottom>
    </border>
    <border>
      <left style="dotted">
        <color rgb="FF000000"/>
      </left>
      <right style="dotted">
        <color rgb="FF000000"/>
      </right>
      <top/>
      <bottom style="dotted">
        <color rgb="FF000000"/>
      </bottom>
    </border>
    <border>
      <left style="dotted">
        <color rgb="FF000000"/>
      </left>
      <right style="thin">
        <color rgb="FF000000"/>
      </right>
      <top/>
      <bottom style="dotted">
        <color rgb="FF000000"/>
      </bottom>
    </border>
    <border>
      <left style="thin">
        <color rgb="FF000000"/>
      </left>
      <top style="thin">
        <color rgb="FF000000"/>
      </top>
      <bottom style="thin">
        <color rgb="FF000000"/>
      </bottom>
    </border>
    <border>
      <left style="thin">
        <color rgb="FF000000"/>
      </left>
      <right style="dotted">
        <color rgb="FF000000"/>
      </right>
      <top style="thin">
        <color rgb="FF000000"/>
      </top>
      <bottom style="thin">
        <color rgb="FF000000"/>
      </bottom>
    </border>
    <border>
      <left style="dotted">
        <color rgb="FF000000"/>
      </left>
      <right style="dotted">
        <color rgb="FF000000"/>
      </right>
      <top style="thin">
        <color rgb="FF000000"/>
      </top>
      <bottom style="thin">
        <color rgb="FF000000"/>
      </bottom>
    </border>
    <border>
      <left style="dotted">
        <color rgb="FF000000"/>
      </left>
      <right style="thin">
        <color rgb="FF000000"/>
      </right>
      <top style="thin">
        <color rgb="FF000000"/>
      </top>
      <bottom style="thin">
        <color rgb="FF000000"/>
      </bottom>
    </border>
    <border>
      <left style="dotted">
        <color rgb="FF000000"/>
      </left>
      <right/>
      <top style="thin">
        <color rgb="FF000000"/>
      </top>
      <bottom style="dotted">
        <color rgb="FF000000"/>
      </bottom>
    </border>
    <border>
      <left style="dotted">
        <color rgb="FF000000"/>
      </left>
      <top style="dotted">
        <color rgb="FF000000"/>
      </top>
      <bottom style="dotted">
        <color rgb="FF000000"/>
      </bottom>
    </border>
    <border>
      <left style="thin">
        <color rgb="FF000000"/>
      </left>
      <right style="dotted">
        <color rgb="FF000000"/>
      </right>
      <top style="dotted">
        <color rgb="FF000000"/>
      </top>
    </border>
    <border>
      <left style="thin">
        <color rgb="FF000000"/>
      </left>
      <right style="dotted">
        <color rgb="FF000000"/>
      </right>
    </border>
    <border>
      <left style="thin">
        <color rgb="FF000000"/>
      </left>
      <right style="dotted">
        <color rgb="FF000000"/>
      </right>
      <bottom style="dotted">
        <color rgb="FF000000"/>
      </bottom>
    </border>
    <border>
      <left style="thin">
        <color rgb="FF000000"/>
      </left>
      <right style="thin">
        <color rgb="FF000000"/>
      </right>
    </border>
    <border>
      <left style="dotted">
        <color rgb="FF000000"/>
      </left>
      <right style="thin">
        <color rgb="FF000000"/>
      </right>
    </border>
    <border>
      <left/>
      <top style="thin">
        <color rgb="FF000000"/>
      </top>
      <bottom style="dotted">
        <color rgb="FF000000"/>
      </bottom>
    </border>
    <border>
      <left/>
      <right style="dotted">
        <color rgb="FF000000"/>
      </right>
      <top style="dotted">
        <color rgb="FF000000"/>
      </top>
      <bottom style="dotted">
        <color rgb="FF000000"/>
      </bottom>
    </border>
    <border>
      <left style="dotted">
        <color rgb="FF000000"/>
      </left>
      <right style="thin">
        <color rgb="FF000000"/>
      </right>
      <bottom style="dotted">
        <color rgb="FF000000"/>
      </bottom>
    </border>
    <border>
      <left style="thin">
        <color rgb="FF000000"/>
      </left>
      <top style="dotted">
        <color rgb="FF000000"/>
      </top>
      <bottom style="dotted">
        <color rgb="FF000000"/>
      </bottom>
    </border>
    <border>
      <right style="dotted">
        <color rgb="FF000000"/>
      </right>
      <top style="dotted">
        <color rgb="FF000000"/>
      </top>
      <bottom style="dotted">
        <color rgb="FF000000"/>
      </bottom>
    </border>
    <border>
      <right style="dotted">
        <color rgb="FF000000"/>
      </right>
      <top style="dotted">
        <color rgb="FF000000"/>
      </top>
      <bottom style="thin">
        <color rgb="FF000000"/>
      </bottom>
    </border>
    <border>
      <left style="dotted">
        <color rgb="FF000000"/>
      </left>
      <right style="dotted">
        <color rgb="FF000000"/>
      </right>
      <bottom style="dotted">
        <color rgb="FF000000"/>
      </bottom>
    </border>
    <border>
      <left style="thin">
        <color rgb="FF000000"/>
      </left>
      <right style="dotted">
        <color rgb="FF000000"/>
      </right>
      <top style="thin">
        <color rgb="FF000000"/>
      </top>
      <bottom/>
    </border>
    <border>
      <left style="dotted">
        <color rgb="FF000000"/>
      </left>
      <right style="dotted">
        <color rgb="FF000000"/>
      </right>
      <top style="thin">
        <color rgb="FF000000"/>
      </top>
      <bottom/>
    </border>
    <border>
      <left style="dotted">
        <color rgb="FF000000"/>
      </left>
      <right style="thin">
        <color rgb="FF000000"/>
      </right>
      <top style="thin">
        <color rgb="FF000000"/>
      </top>
      <bottom/>
    </border>
    <border>
      <left style="dotted">
        <color rgb="FF000000"/>
      </left>
      <right/>
      <top style="dotted">
        <color rgb="FF000000"/>
      </top>
      <bottom style="dotted">
        <color rgb="FF000000"/>
      </bottom>
    </border>
    <border>
      <left style="dotted">
        <color rgb="FF000000"/>
      </left>
      <right/>
      <top style="dotted">
        <color rgb="FF000000"/>
      </top>
      <bottom style="thin">
        <color rgb="FF000000"/>
      </bottom>
    </border>
  </borders>
  <cellStyleXfs count="1">
    <xf borderId="0" fillId="0" fontId="0" numFmtId="0" applyAlignment="1" applyFont="1"/>
  </cellStyleXfs>
  <cellXfs count="470">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shrinkToFit="0" vertical="bottom" wrapText="1"/>
    </xf>
    <xf borderId="0" fillId="0" fontId="2" numFmtId="0" xfId="0" applyAlignment="1" applyFont="1">
      <alignment shrinkToFit="0" vertical="bottom" wrapText="0"/>
    </xf>
    <xf borderId="0" fillId="0" fontId="1" numFmtId="0" xfId="0" applyAlignment="1" applyFont="1">
      <alignment shrinkToFit="0" vertical="bottom" wrapText="1"/>
    </xf>
    <xf borderId="0" fillId="0" fontId="3" numFmtId="0" xfId="0" applyAlignment="1" applyFont="1">
      <alignment shrinkToFit="0" vertical="bottom" wrapText="1"/>
    </xf>
    <xf borderId="0" fillId="0" fontId="4" numFmtId="0" xfId="0" applyAlignment="1" applyFont="1">
      <alignment horizontal="center" shrinkToFit="0" vertical="center" wrapText="1"/>
    </xf>
    <xf borderId="0" fillId="0" fontId="5" numFmtId="0" xfId="0" applyAlignment="1" applyFont="1">
      <alignment horizontal="center" shrinkToFit="0" vertical="center" wrapText="1"/>
    </xf>
    <xf borderId="1" fillId="2" fontId="6" numFmtId="0" xfId="0" applyAlignment="1" applyBorder="1" applyFill="1" applyFont="1">
      <alignment horizontal="center" shrinkToFit="0" vertical="center" wrapText="1"/>
    </xf>
    <xf borderId="0" fillId="0" fontId="7" numFmtId="0" xfId="0" applyAlignment="1" applyFont="1">
      <alignment horizontal="center" shrinkToFit="0" vertical="center" wrapText="1"/>
    </xf>
    <xf borderId="0" fillId="0" fontId="7" numFmtId="0" xfId="0" applyAlignment="1" applyFont="1">
      <alignment shrinkToFit="0" vertical="center" wrapText="1"/>
    </xf>
    <xf borderId="0" fillId="0" fontId="8" numFmtId="0" xfId="0" applyAlignment="1" applyFont="1">
      <alignment shrinkToFit="0" vertical="center" wrapText="1"/>
    </xf>
    <xf borderId="0" fillId="0" fontId="9" numFmtId="0" xfId="0" applyAlignment="1" applyFont="1">
      <alignment shrinkToFit="0" vertical="center" wrapText="1"/>
    </xf>
    <xf borderId="0" fillId="0" fontId="10" numFmtId="0" xfId="0" applyAlignment="1" applyFont="1">
      <alignment horizontal="left" shrinkToFit="0" vertical="center" wrapText="1"/>
    </xf>
    <xf borderId="0" fillId="0" fontId="9" numFmtId="0" xfId="0" applyAlignment="1" applyFont="1">
      <alignment horizontal="left" shrinkToFit="0" vertical="center" wrapText="1"/>
    </xf>
    <xf borderId="0" fillId="0" fontId="11" numFmtId="0" xfId="0" applyAlignment="1" applyFont="1">
      <alignment horizontal="left" shrinkToFit="0" vertical="top" wrapText="1"/>
    </xf>
    <xf borderId="0" fillId="0" fontId="12" numFmtId="0" xfId="0" applyAlignment="1" applyFont="1">
      <alignment horizontal="left" shrinkToFit="0" vertical="top" wrapText="1"/>
    </xf>
    <xf borderId="2" fillId="3" fontId="13" numFmtId="0" xfId="0" applyAlignment="1" applyBorder="1" applyFill="1" applyFont="1">
      <alignment horizontal="center" shrinkToFit="0" vertical="center" wrapText="0"/>
    </xf>
    <xf borderId="3" fillId="3" fontId="14" numFmtId="0" xfId="0" applyAlignment="1" applyBorder="1" applyFont="1">
      <alignment horizontal="center" shrinkToFit="0" vertical="bottom" wrapText="0"/>
    </xf>
    <xf borderId="4" fillId="0" fontId="15" numFmtId="0" xfId="0" applyBorder="1" applyFont="1"/>
    <xf borderId="5" fillId="0" fontId="15" numFmtId="0" xfId="0" applyBorder="1" applyFont="1"/>
    <xf borderId="6" fillId="3" fontId="13" numFmtId="0" xfId="0" applyAlignment="1" applyBorder="1" applyFont="1">
      <alignment horizontal="center" shrinkToFit="0" vertical="bottom" wrapText="1"/>
    </xf>
    <xf borderId="7" fillId="3" fontId="13" numFmtId="0" xfId="0" applyAlignment="1" applyBorder="1" applyFont="1">
      <alignment horizontal="center" shrinkToFit="0" vertical="bottom" wrapText="1"/>
    </xf>
    <xf borderId="8" fillId="3" fontId="13" numFmtId="0" xfId="0" applyAlignment="1" applyBorder="1" applyFont="1">
      <alignment horizontal="center" shrinkToFit="0" vertical="bottom" wrapText="1"/>
    </xf>
    <xf borderId="2" fillId="3" fontId="16" numFmtId="0" xfId="0" applyAlignment="1" applyBorder="1" applyFont="1">
      <alignment horizontal="center" shrinkToFit="0" vertical="bottom" wrapText="1"/>
    </xf>
    <xf borderId="9" fillId="0" fontId="15" numFmtId="0" xfId="0" applyBorder="1" applyFont="1"/>
    <xf borderId="10" fillId="3" fontId="13" numFmtId="0" xfId="0" applyAlignment="1" applyBorder="1" applyFont="1">
      <alignment shrinkToFit="0" vertical="bottom" wrapText="0"/>
    </xf>
    <xf borderId="11" fillId="3" fontId="13" numFmtId="0" xfId="0" applyAlignment="1" applyBorder="1" applyFont="1">
      <alignment horizontal="center" shrinkToFit="0" vertical="bottom" wrapText="0"/>
    </xf>
    <xf borderId="12" fillId="3" fontId="13" numFmtId="0" xfId="0" applyAlignment="1" applyBorder="1" applyFont="1">
      <alignment horizontal="center" shrinkToFit="0" vertical="bottom" wrapText="0"/>
    </xf>
    <xf borderId="13" fillId="0" fontId="15" numFmtId="0" xfId="0" applyBorder="1" applyFont="1"/>
    <xf borderId="14" fillId="0" fontId="15" numFmtId="0" xfId="0" applyBorder="1" applyFont="1"/>
    <xf borderId="15" fillId="0" fontId="15" numFmtId="0" xfId="0" applyBorder="1" applyFont="1"/>
    <xf borderId="16" fillId="0" fontId="15" numFmtId="0" xfId="0" applyBorder="1" applyFont="1"/>
    <xf borderId="17" fillId="0" fontId="0" numFmtId="0" xfId="0" applyAlignment="1" applyBorder="1" applyFont="1">
      <alignment shrinkToFit="0" vertical="bottom" wrapText="0"/>
    </xf>
    <xf borderId="18" fillId="0" fontId="0" numFmtId="0" xfId="0" applyAlignment="1" applyBorder="1" applyFont="1">
      <alignment shrinkToFit="0" vertical="bottom" wrapText="0"/>
    </xf>
    <xf borderId="19" fillId="0" fontId="0" numFmtId="164" xfId="0" applyAlignment="1" applyBorder="1" applyFont="1" applyNumberFormat="1">
      <alignment horizontal="center" shrinkToFit="0" vertical="bottom" wrapText="0"/>
    </xf>
    <xf borderId="20" fillId="0" fontId="0" numFmtId="0" xfId="0" applyAlignment="1" applyBorder="1" applyFont="1">
      <alignment horizontal="center" shrinkToFit="0" vertical="bottom" wrapText="0"/>
    </xf>
    <xf borderId="19" fillId="0" fontId="0" numFmtId="2" xfId="0" applyAlignment="1" applyBorder="1" applyFont="1" applyNumberFormat="1">
      <alignment horizontal="center" shrinkToFit="0" vertical="bottom" wrapText="0"/>
    </xf>
    <xf borderId="20" fillId="0" fontId="0" numFmtId="165" xfId="0" applyAlignment="1" applyBorder="1" applyFont="1" applyNumberFormat="1">
      <alignment horizontal="center" shrinkToFit="0" vertical="bottom" wrapText="0"/>
    </xf>
    <xf borderId="19" fillId="0" fontId="0" numFmtId="0" xfId="0" applyAlignment="1" applyBorder="1" applyFont="1">
      <alignment horizontal="center" shrinkToFit="0" vertical="bottom" wrapText="0"/>
    </xf>
    <xf borderId="18" fillId="0" fontId="0" numFmtId="0" xfId="0" applyAlignment="1" applyBorder="1" applyFont="1">
      <alignment horizontal="center" shrinkToFit="0" vertical="bottom" wrapText="0"/>
    </xf>
    <xf borderId="21" fillId="0" fontId="0" numFmtId="0" xfId="0" applyAlignment="1" applyBorder="1" applyFont="1">
      <alignment horizontal="center" shrinkToFit="0" vertical="bottom" wrapText="0"/>
    </xf>
    <xf borderId="21" fillId="0" fontId="0" numFmtId="0" xfId="0" applyAlignment="1" applyBorder="1" applyFont="1">
      <alignment shrinkToFit="0" vertical="bottom" wrapText="0"/>
    </xf>
    <xf borderId="22" fillId="0" fontId="0" numFmtId="0" xfId="0" applyAlignment="1" applyBorder="1" applyFont="1">
      <alignment shrinkToFit="0" vertical="bottom" wrapText="0"/>
    </xf>
    <xf borderId="23" fillId="0" fontId="0" numFmtId="164" xfId="0" applyAlignment="1" applyBorder="1" applyFont="1" applyNumberFormat="1">
      <alignment horizontal="center" shrinkToFit="0" vertical="bottom" wrapText="0"/>
    </xf>
    <xf borderId="24" fillId="0" fontId="0" numFmtId="0" xfId="0" applyAlignment="1" applyBorder="1" applyFont="1">
      <alignment horizontal="center" shrinkToFit="0" vertical="bottom" wrapText="0"/>
    </xf>
    <xf borderId="23" fillId="0" fontId="0" numFmtId="2" xfId="0" applyAlignment="1" applyBorder="1" applyFont="1" applyNumberFormat="1">
      <alignment horizontal="center" shrinkToFit="0" vertical="bottom" wrapText="0"/>
    </xf>
    <xf borderId="24" fillId="0" fontId="0" numFmtId="165" xfId="0" applyAlignment="1" applyBorder="1" applyFont="1" applyNumberFormat="1">
      <alignment horizontal="center" shrinkToFit="0" vertical="bottom" wrapText="0"/>
    </xf>
    <xf borderId="23" fillId="0" fontId="0" numFmtId="0" xfId="0" applyAlignment="1" applyBorder="1" applyFont="1">
      <alignment horizontal="center" shrinkToFit="0" vertical="bottom" wrapText="0"/>
    </xf>
    <xf borderId="22" fillId="0" fontId="0" numFmtId="0" xfId="0" applyAlignment="1" applyBorder="1" applyFont="1">
      <alignment horizontal="center" shrinkToFit="0" vertical="bottom" wrapText="0"/>
    </xf>
    <xf borderId="25" fillId="0" fontId="0" numFmtId="0" xfId="0" applyAlignment="1" applyBorder="1" applyFont="1">
      <alignment shrinkToFit="0" vertical="bottom" wrapText="0"/>
    </xf>
    <xf borderId="10" fillId="0" fontId="0" numFmtId="0" xfId="0" applyAlignment="1" applyBorder="1" applyFont="1">
      <alignment shrinkToFit="0" vertical="bottom" wrapText="0"/>
    </xf>
    <xf borderId="11" fillId="0" fontId="0" numFmtId="0" xfId="0" applyAlignment="1" applyBorder="1" applyFont="1">
      <alignment horizontal="center" shrinkToFit="0" vertical="bottom" wrapText="0"/>
    </xf>
    <xf borderId="12" fillId="0" fontId="0" numFmtId="0" xfId="0" applyAlignment="1" applyBorder="1" applyFont="1">
      <alignment horizontal="center" shrinkToFit="0" vertical="bottom" wrapText="0"/>
    </xf>
    <xf borderId="10" fillId="0" fontId="0" numFmtId="0" xfId="0" applyAlignment="1" applyBorder="1" applyFont="1">
      <alignment horizontal="center" shrinkToFit="0" vertical="bottom" wrapText="0"/>
    </xf>
    <xf borderId="0" fillId="0" fontId="0" numFmtId="0" xfId="0" applyAlignment="1" applyFont="1">
      <alignment horizontal="left" shrinkToFit="0" vertical="center" wrapText="0"/>
    </xf>
    <xf borderId="0" fillId="0" fontId="0" numFmtId="0" xfId="0" applyAlignment="1" applyFont="1">
      <alignment horizontal="left" shrinkToFit="0" vertical="bottom" wrapText="0"/>
    </xf>
    <xf borderId="18" fillId="3" fontId="13" numFmtId="0" xfId="0" applyAlignment="1" applyBorder="1" applyFont="1">
      <alignment shrinkToFit="0" vertical="bottom" wrapText="0"/>
    </xf>
    <xf borderId="19" fillId="3" fontId="13" numFmtId="0" xfId="0" applyAlignment="1" applyBorder="1" applyFont="1">
      <alignment horizontal="right" shrinkToFit="1" vertical="bottom" wrapText="0"/>
    </xf>
    <xf borderId="20" fillId="3" fontId="13" numFmtId="0" xfId="0" applyAlignment="1" applyBorder="1" applyFont="1">
      <alignment horizontal="right" shrinkToFit="1" vertical="bottom" wrapText="0"/>
    </xf>
    <xf borderId="18" fillId="3" fontId="14" numFmtId="0" xfId="0" applyAlignment="1" applyBorder="1" applyFont="1">
      <alignment shrinkToFit="0" vertical="bottom" wrapText="0"/>
    </xf>
    <xf borderId="19" fillId="3" fontId="13" numFmtId="0" xfId="0" applyAlignment="1" applyBorder="1" applyFont="1">
      <alignment shrinkToFit="0" vertical="bottom" wrapText="0"/>
    </xf>
    <xf borderId="20" fillId="3" fontId="13" numFmtId="0" xfId="0" applyAlignment="1" applyBorder="1" applyFont="1">
      <alignment shrinkToFit="0" vertical="bottom" wrapText="0"/>
    </xf>
    <xf borderId="22" fillId="0" fontId="0" numFmtId="0" xfId="0" applyAlignment="1" applyBorder="1" applyFont="1">
      <alignment horizontal="right" shrinkToFit="0" vertical="bottom" wrapText="0"/>
    </xf>
    <xf borderId="23" fillId="0" fontId="0" numFmtId="2" xfId="0" applyAlignment="1" applyBorder="1" applyFont="1" applyNumberFormat="1">
      <alignment shrinkToFit="0" vertical="bottom" wrapText="0"/>
    </xf>
    <xf borderId="24" fillId="0" fontId="0" numFmtId="2" xfId="0" applyAlignment="1" applyBorder="1" applyFont="1" applyNumberFormat="1">
      <alignment shrinkToFit="0" vertical="bottom" wrapText="0"/>
    </xf>
    <xf borderId="0" fillId="0" fontId="17" numFmtId="0" xfId="0" applyAlignment="1" applyFont="1">
      <alignment horizontal="center" shrinkToFit="0" vertical="bottom" wrapText="0"/>
    </xf>
    <xf borderId="0" fillId="0" fontId="18" numFmtId="0" xfId="0" applyAlignment="1" applyFont="1">
      <alignment shrinkToFit="0" vertical="center" wrapText="0"/>
    </xf>
    <xf borderId="26" fillId="4" fontId="19" numFmtId="49" xfId="0" applyAlignment="1" applyBorder="1" applyFill="1" applyFont="1" applyNumberFormat="1">
      <alignment horizontal="left" shrinkToFit="0" vertical="bottom" wrapText="0"/>
    </xf>
    <xf borderId="27" fillId="0" fontId="15" numFmtId="0" xfId="0" applyBorder="1" applyFont="1"/>
    <xf borderId="28" fillId="0" fontId="15" numFmtId="0" xfId="0" applyBorder="1" applyFont="1"/>
    <xf borderId="0" fillId="0" fontId="1" numFmtId="0" xfId="0" applyAlignment="1" applyFont="1">
      <alignment shrinkToFit="0" vertical="center" wrapText="0"/>
    </xf>
    <xf borderId="26" fillId="4" fontId="20" numFmtId="166" xfId="0" applyAlignment="1" applyBorder="1" applyFont="1" applyNumberFormat="1">
      <alignment horizontal="left" shrinkToFit="0" vertical="bottom" wrapText="0"/>
    </xf>
    <xf borderId="26" fillId="4" fontId="19" numFmtId="0" xfId="0" applyAlignment="1" applyBorder="1" applyFont="1">
      <alignment horizontal="left" shrinkToFit="0" vertical="bottom" wrapText="0"/>
    </xf>
    <xf borderId="0" fillId="0" fontId="21" numFmtId="0" xfId="0" applyAlignment="1" applyFont="1">
      <alignment shrinkToFit="0" vertical="bottom" wrapText="0"/>
    </xf>
    <xf borderId="0" fillId="0" fontId="21" numFmtId="0" xfId="0" applyAlignment="1" applyFont="1">
      <alignment horizontal="left" shrinkToFit="0" vertical="top" wrapText="0"/>
    </xf>
    <xf borderId="0" fillId="0" fontId="18" numFmtId="0" xfId="0" applyAlignment="1" applyFont="1">
      <alignment shrinkToFit="0" vertical="bottom" wrapText="0"/>
    </xf>
    <xf borderId="29" fillId="4" fontId="19" numFmtId="0" xfId="0" applyAlignment="1" applyBorder="1" applyFont="1">
      <alignment shrinkToFit="0" vertical="bottom" wrapText="0"/>
    </xf>
    <xf borderId="30" fillId="5" fontId="1" numFmtId="0" xfId="0" applyAlignment="1" applyBorder="1" applyFill="1" applyFont="1">
      <alignment horizontal="center" shrinkToFit="0" vertical="center" wrapText="1"/>
    </xf>
    <xf borderId="31" fillId="0" fontId="15" numFmtId="0" xfId="0" applyBorder="1" applyFont="1"/>
    <xf borderId="32" fillId="0" fontId="15" numFmtId="0" xfId="0" applyBorder="1" applyFont="1"/>
    <xf borderId="0" fillId="0" fontId="22" numFmtId="0" xfId="0" applyAlignment="1" applyFont="1">
      <alignment horizontal="center" shrinkToFit="0" vertical="top" wrapText="1"/>
    </xf>
    <xf borderId="0" fillId="0" fontId="23" numFmtId="0" xfId="0" applyAlignment="1" applyFont="1">
      <alignment horizontal="right" shrinkToFit="0" vertical="center" wrapText="0"/>
    </xf>
    <xf borderId="0" fillId="0" fontId="24" numFmtId="0" xfId="0" applyAlignment="1" applyFont="1">
      <alignment horizontal="left" shrinkToFit="0" vertical="center" wrapText="0"/>
    </xf>
    <xf borderId="0" fillId="0" fontId="25" numFmtId="0" xfId="0" applyAlignment="1" applyFont="1">
      <alignment shrinkToFit="0" vertical="bottom" wrapText="0"/>
    </xf>
    <xf borderId="0" fillId="0" fontId="26" numFmtId="0" xfId="0" applyAlignment="1" applyFont="1">
      <alignment horizontal="left" shrinkToFit="0" vertical="center" wrapText="0"/>
    </xf>
    <xf borderId="0" fillId="0" fontId="27" numFmtId="0" xfId="0" applyAlignment="1" applyFont="1">
      <alignment shrinkToFit="0" vertical="bottom" wrapText="0"/>
    </xf>
    <xf borderId="33" fillId="0" fontId="18" numFmtId="0" xfId="0" applyAlignment="1" applyBorder="1" applyFont="1">
      <alignment shrinkToFit="0" vertical="bottom" wrapText="0"/>
    </xf>
    <xf borderId="34" fillId="0" fontId="1" numFmtId="0" xfId="0" applyAlignment="1" applyBorder="1" applyFont="1">
      <alignment shrinkToFit="0" vertical="bottom" wrapText="0"/>
    </xf>
    <xf borderId="23" fillId="0" fontId="0" numFmtId="164" xfId="0" applyAlignment="1" applyBorder="1" applyFont="1" applyNumberFormat="1">
      <alignment shrinkToFit="0" vertical="bottom" wrapText="0"/>
    </xf>
    <xf borderId="34" fillId="0" fontId="28" numFmtId="0" xfId="0" applyAlignment="1" applyBorder="1" applyFont="1">
      <alignment shrinkToFit="0" vertical="bottom" wrapText="0"/>
    </xf>
    <xf borderId="34" fillId="0" fontId="25" numFmtId="0" xfId="0" applyAlignment="1" applyBorder="1" applyFont="1">
      <alignment horizontal="left" shrinkToFit="0" vertical="bottom" wrapText="0"/>
    </xf>
    <xf borderId="35" fillId="0" fontId="15" numFmtId="0" xfId="0" applyBorder="1" applyFont="1"/>
    <xf borderId="36" fillId="0" fontId="18" numFmtId="0" xfId="0" applyAlignment="1" applyBorder="1" applyFont="1">
      <alignment shrinkToFit="0" vertical="bottom" wrapText="0"/>
    </xf>
    <xf borderId="24" fillId="0" fontId="0" numFmtId="164" xfId="0" applyAlignment="1" applyBorder="1" applyFont="1" applyNumberFormat="1">
      <alignment shrinkToFit="0" vertical="bottom" wrapText="0"/>
    </xf>
    <xf borderId="23" fillId="0" fontId="0" numFmtId="0" xfId="0" applyAlignment="1" applyBorder="1" applyFont="1">
      <alignment shrinkToFit="0" vertical="bottom" wrapText="0"/>
    </xf>
    <xf borderId="23" fillId="0" fontId="0" numFmtId="165" xfId="0" applyAlignment="1" applyBorder="1" applyFont="1" applyNumberFormat="1">
      <alignment shrinkToFit="0" vertical="bottom" wrapText="0"/>
    </xf>
    <xf borderId="0" fillId="0" fontId="1" numFmtId="0" xfId="0" applyAlignment="1" applyFont="1">
      <alignment shrinkToFit="0" vertical="bottom" wrapText="0"/>
    </xf>
    <xf borderId="24" fillId="0" fontId="0" numFmtId="0" xfId="0" applyAlignment="1" applyBorder="1" applyFont="1">
      <alignment shrinkToFit="0" vertical="bottom" wrapText="0"/>
    </xf>
    <xf borderId="0" fillId="0" fontId="28" numFmtId="0" xfId="0" applyAlignment="1" applyFont="1">
      <alignment shrinkToFit="0" vertical="bottom" wrapText="0"/>
    </xf>
    <xf borderId="0" fillId="0" fontId="18" numFmtId="0" xfId="0" applyAlignment="1" applyFont="1">
      <alignment horizontal="right" shrinkToFit="0" vertical="bottom" wrapText="0"/>
    </xf>
    <xf borderId="37" fillId="0" fontId="28" numFmtId="9" xfId="0" applyAlignment="1" applyBorder="1" applyFont="1" applyNumberFormat="1">
      <alignment shrinkToFit="0" vertical="bottom" wrapText="0"/>
    </xf>
    <xf borderId="36" fillId="0" fontId="1" numFmtId="0" xfId="0" applyAlignment="1" applyBorder="1" applyFont="1">
      <alignment shrinkToFit="0" vertical="bottom" wrapText="0"/>
    </xf>
    <xf borderId="10" fillId="0" fontId="0" numFmtId="0" xfId="0" applyAlignment="1" applyBorder="1" applyFont="1">
      <alignment horizontal="right" shrinkToFit="0" vertical="bottom" wrapText="0"/>
    </xf>
    <xf borderId="11" fillId="0" fontId="0" numFmtId="2" xfId="0" applyAlignment="1" applyBorder="1" applyFont="1" applyNumberFormat="1">
      <alignment shrinkToFit="0" vertical="bottom" wrapText="0"/>
    </xf>
    <xf borderId="38" fillId="0" fontId="1" numFmtId="0" xfId="0" applyAlignment="1" applyBorder="1" applyFont="1">
      <alignment shrinkToFit="0" vertical="bottom" wrapText="0"/>
    </xf>
    <xf borderId="39" fillId="0" fontId="1" numFmtId="0" xfId="0" applyAlignment="1" applyBorder="1" applyFont="1">
      <alignment shrinkToFit="0" vertical="bottom" wrapText="0"/>
    </xf>
    <xf borderId="39" fillId="0" fontId="18" numFmtId="0" xfId="0" applyAlignment="1" applyBorder="1" applyFont="1">
      <alignment horizontal="right" shrinkToFit="0" vertical="bottom" wrapText="0"/>
    </xf>
    <xf borderId="11" fillId="0" fontId="0" numFmtId="0" xfId="0" applyAlignment="1" applyBorder="1" applyFont="1">
      <alignment shrinkToFit="0" vertical="bottom" wrapText="0"/>
    </xf>
    <xf borderId="40" fillId="0" fontId="28" numFmtId="9" xfId="0" applyAlignment="1" applyBorder="1" applyFont="1" applyNumberFormat="1">
      <alignment shrinkToFit="0" vertical="bottom" wrapText="0"/>
    </xf>
    <xf borderId="11" fillId="0" fontId="0" numFmtId="165" xfId="0" applyAlignment="1" applyBorder="1" applyFont="1" applyNumberFormat="1">
      <alignment shrinkToFit="0" vertical="bottom" wrapText="0"/>
    </xf>
    <xf borderId="12" fillId="0" fontId="0" numFmtId="2" xfId="0" applyAlignment="1" applyBorder="1" applyFont="1" applyNumberFormat="1">
      <alignment shrinkToFit="0" vertical="bottom" wrapText="0"/>
    </xf>
    <xf borderId="29" fillId="4" fontId="19" numFmtId="9" xfId="0" applyAlignment="1" applyBorder="1" applyFont="1" applyNumberFormat="1">
      <alignment shrinkToFit="0" vertical="bottom" wrapText="0"/>
    </xf>
    <xf borderId="0" fillId="0" fontId="0" numFmtId="0" xfId="0" applyAlignment="1" applyFont="1">
      <alignment horizontal="right" shrinkToFit="0" vertical="bottom" wrapText="0"/>
    </xf>
    <xf borderId="0" fillId="0" fontId="29" numFmtId="0" xfId="0" applyAlignment="1" applyFont="1">
      <alignment shrinkToFit="0" vertical="bottom" wrapText="0"/>
    </xf>
    <xf borderId="0" fillId="0" fontId="29" numFmtId="167" xfId="0" applyAlignment="1" applyFont="1" applyNumberFormat="1">
      <alignment shrinkToFit="0" vertical="bottom" wrapText="0"/>
    </xf>
    <xf borderId="0" fillId="0" fontId="0" numFmtId="9" xfId="0" applyAlignment="1" applyFont="1" applyNumberFormat="1">
      <alignment shrinkToFit="0" vertical="bottom" wrapText="0"/>
    </xf>
    <xf borderId="0" fillId="0" fontId="30" numFmtId="0" xfId="0" applyAlignment="1" applyFont="1">
      <alignment horizontal="left" shrinkToFit="0" vertical="bottom" wrapText="0"/>
    </xf>
    <xf borderId="18" fillId="3" fontId="31" numFmtId="0" xfId="0" applyAlignment="1" applyBorder="1" applyFont="1">
      <alignment horizontal="left" shrinkToFit="0" vertical="bottom" wrapText="0"/>
    </xf>
    <xf borderId="19" fillId="3" fontId="13" numFmtId="2" xfId="0" applyAlignment="1" applyBorder="1" applyFont="1" applyNumberFormat="1">
      <alignment shrinkToFit="1" vertical="bottom" wrapText="0"/>
    </xf>
    <xf borderId="11" fillId="0" fontId="0" numFmtId="164" xfId="0" applyAlignment="1" applyBorder="1" applyFont="1" applyNumberFormat="1">
      <alignment shrinkToFit="0" vertical="bottom" wrapText="0"/>
    </xf>
    <xf borderId="12" fillId="0" fontId="0" numFmtId="164" xfId="0" applyAlignment="1" applyBorder="1" applyFont="1" applyNumberFormat="1">
      <alignment shrinkToFit="0" vertical="bottom" wrapText="0"/>
    </xf>
    <xf borderId="12" fillId="0" fontId="0" numFmtId="0" xfId="0" applyAlignment="1" applyBorder="1" applyFont="1">
      <alignment shrinkToFit="0" vertical="bottom" wrapText="0"/>
    </xf>
    <xf borderId="41" fillId="3" fontId="13" numFmtId="0" xfId="0" applyAlignment="1" applyBorder="1" applyFont="1">
      <alignment shrinkToFit="0" vertical="bottom" wrapText="0"/>
    </xf>
    <xf borderId="42" fillId="3" fontId="13" numFmtId="0" xfId="0" applyAlignment="1" applyBorder="1" applyFont="1">
      <alignment horizontal="center" shrinkToFit="0" vertical="bottom" wrapText="0"/>
    </xf>
    <xf borderId="43" fillId="0" fontId="15" numFmtId="0" xfId="0" applyBorder="1" applyFont="1"/>
    <xf borderId="44" fillId="0" fontId="15" numFmtId="0" xfId="0" applyBorder="1" applyFont="1"/>
    <xf borderId="45" fillId="3" fontId="13" numFmtId="0" xfId="0" applyAlignment="1" applyBorder="1" applyFont="1">
      <alignment shrinkToFit="0" vertical="bottom" wrapText="0"/>
    </xf>
    <xf borderId="17" fillId="3" fontId="13" numFmtId="0" xfId="0" applyAlignment="1" applyBorder="1" applyFont="1">
      <alignment horizontal="center" shrinkToFit="0" vertical="bottom" wrapText="0"/>
    </xf>
    <xf borderId="18" fillId="3" fontId="13" numFmtId="0" xfId="0" applyAlignment="1" applyBorder="1" applyFont="1">
      <alignment horizontal="center" shrinkToFit="0" vertical="bottom" wrapText="0"/>
    </xf>
    <xf borderId="19" fillId="3" fontId="13" numFmtId="0" xfId="0" applyAlignment="1" applyBorder="1" applyFont="1">
      <alignment horizontal="center" shrinkToFit="0" vertical="bottom" wrapText="0"/>
    </xf>
    <xf borderId="46" fillId="3" fontId="13" numFmtId="0" xfId="0" applyAlignment="1" applyBorder="1" applyFont="1">
      <alignment shrinkToFit="0" vertical="bottom" wrapText="0"/>
    </xf>
    <xf borderId="25" fillId="3" fontId="13" numFmtId="0" xfId="0" applyAlignment="1" applyBorder="1" applyFont="1">
      <alignment shrinkToFit="0" vertical="bottom" wrapText="0"/>
    </xf>
    <xf borderId="47" fillId="3" fontId="13" numFmtId="0" xfId="0" applyAlignment="1" applyBorder="1" applyFont="1">
      <alignment horizontal="center" shrinkToFit="0" vertical="bottom" wrapText="0"/>
    </xf>
    <xf borderId="48" fillId="0" fontId="15" numFmtId="0" xfId="0" applyBorder="1" applyFont="1"/>
    <xf borderId="49" fillId="0" fontId="15" numFmtId="0" xfId="0" applyBorder="1" applyFont="1"/>
    <xf borderId="50" fillId="6" fontId="0" numFmtId="0" xfId="0" applyAlignment="1" applyBorder="1" applyFill="1" applyFont="1">
      <alignment shrinkToFit="0" vertical="bottom" wrapText="0"/>
    </xf>
    <xf borderId="51" fillId="6" fontId="0" numFmtId="0" xfId="0" applyAlignment="1" applyBorder="1" applyFont="1">
      <alignment shrinkToFit="0" vertical="bottom" wrapText="0"/>
    </xf>
    <xf borderId="52" fillId="6" fontId="0" numFmtId="0" xfId="0" applyAlignment="1" applyBorder="1" applyFont="1">
      <alignment shrinkToFit="0" vertical="bottom" wrapText="0"/>
    </xf>
    <xf borderId="53" fillId="6" fontId="0" numFmtId="0" xfId="0" applyAlignment="1" applyBorder="1" applyFont="1">
      <alignment shrinkToFit="0" vertical="bottom" wrapText="0"/>
    </xf>
    <xf borderId="50" fillId="7" fontId="0" numFmtId="0" xfId="0" applyAlignment="1" applyBorder="1" applyFill="1" applyFont="1">
      <alignment shrinkToFit="0" vertical="bottom" wrapText="0"/>
    </xf>
    <xf borderId="51" fillId="7" fontId="0" numFmtId="0" xfId="0" applyAlignment="1" applyBorder="1" applyFont="1">
      <alignment shrinkToFit="0" vertical="bottom" wrapText="0"/>
    </xf>
    <xf borderId="52" fillId="7" fontId="0" numFmtId="0" xfId="0" applyAlignment="1" applyBorder="1" applyFont="1">
      <alignment shrinkToFit="0" vertical="bottom" wrapText="0"/>
    </xf>
    <xf borderId="53" fillId="7" fontId="0" numFmtId="0" xfId="0" applyAlignment="1" applyBorder="1" applyFont="1">
      <alignment shrinkToFit="0" vertical="bottom" wrapText="0"/>
    </xf>
    <xf borderId="50" fillId="8" fontId="0" numFmtId="0" xfId="0" applyAlignment="1" applyBorder="1" applyFill="1" applyFont="1">
      <alignment shrinkToFit="0" vertical="bottom" wrapText="0"/>
    </xf>
    <xf borderId="51" fillId="8" fontId="0" numFmtId="0" xfId="0" applyAlignment="1" applyBorder="1" applyFont="1">
      <alignment shrinkToFit="0" vertical="bottom" wrapText="0"/>
    </xf>
    <xf borderId="52" fillId="8" fontId="0" numFmtId="0" xfId="0" applyAlignment="1" applyBorder="1" applyFont="1">
      <alignment shrinkToFit="0" vertical="bottom" wrapText="0"/>
    </xf>
    <xf borderId="53" fillId="8" fontId="0" numFmtId="0" xfId="0" applyAlignment="1" applyBorder="1" applyFont="1">
      <alignment shrinkToFit="0" vertical="bottom" wrapText="0"/>
    </xf>
    <xf borderId="50" fillId="9" fontId="0" numFmtId="0" xfId="0" applyAlignment="1" applyBorder="1" applyFill="1" applyFont="1">
      <alignment shrinkToFit="0" vertical="bottom" wrapText="0"/>
    </xf>
    <xf borderId="51" fillId="9" fontId="0" numFmtId="0" xfId="0" applyAlignment="1" applyBorder="1" applyFont="1">
      <alignment shrinkToFit="0" vertical="bottom" wrapText="0"/>
    </xf>
    <xf borderId="52" fillId="9" fontId="0" numFmtId="0" xfId="0" applyAlignment="1" applyBorder="1" applyFont="1">
      <alignment shrinkToFit="0" vertical="bottom" wrapText="0"/>
    </xf>
    <xf borderId="53" fillId="9" fontId="0" numFmtId="0" xfId="0" applyAlignment="1" applyBorder="1" applyFont="1">
      <alignment shrinkToFit="0" vertical="bottom" wrapText="0"/>
    </xf>
    <xf borderId="21" fillId="6" fontId="0" numFmtId="0" xfId="0" applyAlignment="1" applyBorder="1" applyFont="1">
      <alignment shrinkToFit="0" vertical="bottom" wrapText="0"/>
    </xf>
    <xf borderId="22" fillId="6" fontId="0" numFmtId="0" xfId="0" applyAlignment="1" applyBorder="1" applyFont="1">
      <alignment shrinkToFit="0" vertical="bottom" wrapText="0"/>
    </xf>
    <xf borderId="23" fillId="6" fontId="0" numFmtId="0" xfId="0" applyAlignment="1" applyBorder="1" applyFont="1">
      <alignment shrinkToFit="0" vertical="bottom" wrapText="0"/>
    </xf>
    <xf borderId="24" fillId="6" fontId="0" numFmtId="0" xfId="0" applyAlignment="1" applyBorder="1" applyFont="1">
      <alignment shrinkToFit="0" vertical="bottom" wrapText="0"/>
    </xf>
    <xf borderId="21" fillId="7" fontId="0" numFmtId="0" xfId="0" applyAlignment="1" applyBorder="1" applyFont="1">
      <alignment shrinkToFit="0" vertical="bottom" wrapText="0"/>
    </xf>
    <xf borderId="22" fillId="7" fontId="0" numFmtId="0" xfId="0" applyAlignment="1" applyBorder="1" applyFont="1">
      <alignment shrinkToFit="0" vertical="bottom" wrapText="0"/>
    </xf>
    <xf borderId="23" fillId="7" fontId="0" numFmtId="0" xfId="0" applyAlignment="1" applyBorder="1" applyFont="1">
      <alignment shrinkToFit="0" vertical="bottom" wrapText="0"/>
    </xf>
    <xf borderId="24" fillId="7" fontId="0" numFmtId="0" xfId="0" applyAlignment="1" applyBorder="1" applyFont="1">
      <alignment shrinkToFit="0" vertical="bottom" wrapText="0"/>
    </xf>
    <xf borderId="21" fillId="8" fontId="0" numFmtId="0" xfId="0" applyAlignment="1" applyBorder="1" applyFont="1">
      <alignment shrinkToFit="0" vertical="bottom" wrapText="0"/>
    </xf>
    <xf borderId="22" fillId="8" fontId="0" numFmtId="0" xfId="0" applyAlignment="1" applyBorder="1" applyFont="1">
      <alignment shrinkToFit="0" vertical="bottom" wrapText="0"/>
    </xf>
    <xf borderId="23" fillId="8" fontId="0" numFmtId="0" xfId="0" applyAlignment="1" applyBorder="1" applyFont="1">
      <alignment shrinkToFit="0" vertical="bottom" wrapText="0"/>
    </xf>
    <xf borderId="24" fillId="8" fontId="0" numFmtId="0" xfId="0" applyAlignment="1" applyBorder="1" applyFont="1">
      <alignment shrinkToFit="0" vertical="bottom" wrapText="0"/>
    </xf>
    <xf borderId="21" fillId="9" fontId="0" numFmtId="0" xfId="0" applyAlignment="1" applyBorder="1" applyFont="1">
      <alignment shrinkToFit="0" vertical="bottom" wrapText="0"/>
    </xf>
    <xf borderId="22" fillId="9" fontId="0" numFmtId="0" xfId="0" applyAlignment="1" applyBorder="1" applyFont="1">
      <alignment shrinkToFit="0" vertical="bottom" wrapText="0"/>
    </xf>
    <xf borderId="23" fillId="9" fontId="0" numFmtId="0" xfId="0" applyAlignment="1" applyBorder="1" applyFont="1">
      <alignment shrinkToFit="0" vertical="bottom" wrapText="0"/>
    </xf>
    <xf borderId="24" fillId="9" fontId="0" numFmtId="0" xfId="0" applyAlignment="1" applyBorder="1" applyFont="1">
      <alignment shrinkToFit="0" vertical="bottom" wrapText="0"/>
    </xf>
    <xf borderId="25" fillId="6" fontId="0" numFmtId="0" xfId="0" applyAlignment="1" applyBorder="1" applyFont="1">
      <alignment shrinkToFit="0" vertical="bottom" wrapText="0"/>
    </xf>
    <xf borderId="10" fillId="6" fontId="0" numFmtId="0" xfId="0" applyAlignment="1" applyBorder="1" applyFont="1">
      <alignment shrinkToFit="0" vertical="bottom" wrapText="0"/>
    </xf>
    <xf borderId="11" fillId="6" fontId="0" numFmtId="0" xfId="0" applyAlignment="1" applyBorder="1" applyFont="1">
      <alignment shrinkToFit="0" vertical="bottom" wrapText="0"/>
    </xf>
    <xf borderId="12" fillId="6" fontId="0" numFmtId="0" xfId="0" applyAlignment="1" applyBorder="1" applyFont="1">
      <alignment shrinkToFit="0" vertical="bottom" wrapText="0"/>
    </xf>
    <xf borderId="25" fillId="7" fontId="0" numFmtId="0" xfId="0" applyAlignment="1" applyBorder="1" applyFont="1">
      <alignment shrinkToFit="0" vertical="bottom" wrapText="0"/>
    </xf>
    <xf borderId="10" fillId="7" fontId="0" numFmtId="0" xfId="0" applyAlignment="1" applyBorder="1" applyFont="1">
      <alignment shrinkToFit="0" vertical="bottom" wrapText="0"/>
    </xf>
    <xf borderId="11" fillId="7" fontId="0" numFmtId="0" xfId="0" applyAlignment="1" applyBorder="1" applyFont="1">
      <alignment shrinkToFit="0" vertical="bottom" wrapText="0"/>
    </xf>
    <xf borderId="12" fillId="7" fontId="0" numFmtId="0" xfId="0" applyAlignment="1" applyBorder="1" applyFont="1">
      <alignment shrinkToFit="0" vertical="bottom" wrapText="0"/>
    </xf>
    <xf borderId="25" fillId="8" fontId="0" numFmtId="0" xfId="0" applyAlignment="1" applyBorder="1" applyFont="1">
      <alignment shrinkToFit="0" vertical="bottom" wrapText="0"/>
    </xf>
    <xf borderId="10" fillId="8" fontId="0" numFmtId="0" xfId="0" applyAlignment="1" applyBorder="1" applyFont="1">
      <alignment shrinkToFit="0" vertical="bottom" wrapText="0"/>
    </xf>
    <xf borderId="11" fillId="8" fontId="0" numFmtId="0" xfId="0" applyAlignment="1" applyBorder="1" applyFont="1">
      <alignment shrinkToFit="0" vertical="bottom" wrapText="0"/>
    </xf>
    <xf borderId="12" fillId="8" fontId="0" numFmtId="0" xfId="0" applyAlignment="1" applyBorder="1" applyFont="1">
      <alignment shrinkToFit="0" vertical="bottom" wrapText="0"/>
    </xf>
    <xf borderId="25" fillId="9" fontId="0" numFmtId="0" xfId="0" applyAlignment="1" applyBorder="1" applyFont="1">
      <alignment shrinkToFit="0" vertical="bottom" wrapText="0"/>
    </xf>
    <xf borderId="10" fillId="9" fontId="0" numFmtId="0" xfId="0" applyAlignment="1" applyBorder="1" applyFont="1">
      <alignment shrinkToFit="0" vertical="bottom" wrapText="0"/>
    </xf>
    <xf borderId="11" fillId="9" fontId="0" numFmtId="0" xfId="0" applyAlignment="1" applyBorder="1" applyFont="1">
      <alignment shrinkToFit="0" vertical="bottom" wrapText="0"/>
    </xf>
    <xf borderId="12" fillId="9" fontId="0" numFmtId="0" xfId="0" applyAlignment="1" applyBorder="1" applyFont="1">
      <alignment shrinkToFit="0" vertical="bottom" wrapText="0"/>
    </xf>
    <xf borderId="54" fillId="0" fontId="29" numFmtId="0" xfId="0" applyAlignment="1" applyBorder="1" applyFont="1">
      <alignment shrinkToFit="0" vertical="bottom" wrapText="0"/>
    </xf>
    <xf borderId="55" fillId="6" fontId="29" numFmtId="2" xfId="0" applyAlignment="1" applyBorder="1" applyFont="1" applyNumberFormat="1">
      <alignment shrinkToFit="0" vertical="bottom" wrapText="0"/>
    </xf>
    <xf borderId="56" fillId="6" fontId="29" numFmtId="2" xfId="0" applyAlignment="1" applyBorder="1" applyFont="1" applyNumberFormat="1">
      <alignment shrinkToFit="0" vertical="bottom" wrapText="0"/>
    </xf>
    <xf borderId="57" fillId="6" fontId="29" numFmtId="2" xfId="0" applyAlignment="1" applyBorder="1" applyFont="1" applyNumberFormat="1">
      <alignment shrinkToFit="0" vertical="bottom" wrapText="0"/>
    </xf>
    <xf borderId="55" fillId="7" fontId="29" numFmtId="2" xfId="0" applyAlignment="1" applyBorder="1" applyFont="1" applyNumberFormat="1">
      <alignment shrinkToFit="0" vertical="bottom" wrapText="0"/>
    </xf>
    <xf borderId="56" fillId="7" fontId="29" numFmtId="2" xfId="0" applyAlignment="1" applyBorder="1" applyFont="1" applyNumberFormat="1">
      <alignment shrinkToFit="0" vertical="bottom" wrapText="0"/>
    </xf>
    <xf borderId="57" fillId="7" fontId="29" numFmtId="2" xfId="0" applyAlignment="1" applyBorder="1" applyFont="1" applyNumberFormat="1">
      <alignment shrinkToFit="0" vertical="bottom" wrapText="0"/>
    </xf>
    <xf borderId="55" fillId="8" fontId="29" numFmtId="2" xfId="0" applyAlignment="1" applyBorder="1" applyFont="1" applyNumberFormat="1">
      <alignment shrinkToFit="0" vertical="bottom" wrapText="0"/>
    </xf>
    <xf borderId="56" fillId="8" fontId="29" numFmtId="2" xfId="0" applyAlignment="1" applyBorder="1" applyFont="1" applyNumberFormat="1">
      <alignment shrinkToFit="0" vertical="bottom" wrapText="0"/>
    </xf>
    <xf borderId="57" fillId="8" fontId="29" numFmtId="2" xfId="0" applyAlignment="1" applyBorder="1" applyFont="1" applyNumberFormat="1">
      <alignment shrinkToFit="0" vertical="bottom" wrapText="0"/>
    </xf>
    <xf borderId="55" fillId="9" fontId="29" numFmtId="2" xfId="0" applyAlignment="1" applyBorder="1" applyFont="1" applyNumberFormat="1">
      <alignment shrinkToFit="0" vertical="bottom" wrapText="0"/>
    </xf>
    <xf borderId="56" fillId="9" fontId="29" numFmtId="2" xfId="0" applyAlignment="1" applyBorder="1" applyFont="1" applyNumberFormat="1">
      <alignment shrinkToFit="0" vertical="bottom" wrapText="0"/>
    </xf>
    <xf borderId="19" fillId="3" fontId="13" numFmtId="0" xfId="0" applyAlignment="1" applyBorder="1" applyFont="1">
      <alignment horizontal="center" shrinkToFit="0" vertical="bottom" wrapText="1"/>
    </xf>
    <xf borderId="58" fillId="3" fontId="13" numFmtId="0" xfId="0" applyAlignment="1" applyBorder="1" applyFont="1">
      <alignment horizontal="center" shrinkToFit="0" vertical="bottom" wrapText="1"/>
    </xf>
    <xf borderId="20" fillId="3" fontId="13" numFmtId="0" xfId="0" applyAlignment="1" applyBorder="1" applyFont="1">
      <alignment horizontal="center" shrinkToFit="0" vertical="bottom" wrapText="1"/>
    </xf>
    <xf borderId="0" fillId="0" fontId="32" numFmtId="0" xfId="0" applyAlignment="1" applyFont="1">
      <alignment horizontal="center" shrinkToFit="0" vertical="center" wrapText="0"/>
    </xf>
    <xf borderId="0" fillId="0" fontId="29" numFmtId="0" xfId="0" applyAlignment="1" applyFont="1">
      <alignment horizontal="center" shrinkToFit="0" vertical="center" wrapText="1"/>
    </xf>
    <xf borderId="0" fillId="0" fontId="30" numFmtId="0" xfId="0" applyAlignment="1" applyFont="1">
      <alignment horizontal="center" shrinkToFit="0" vertical="center" wrapText="0"/>
    </xf>
    <xf borderId="0" fillId="0" fontId="0" numFmtId="0" xfId="0" applyAlignment="1" applyFont="1">
      <alignment shrinkToFit="0" vertical="bottom" wrapText="1"/>
    </xf>
    <xf borderId="22" fillId="0" fontId="0" numFmtId="49" xfId="0" applyAlignment="1" applyBorder="1" applyFont="1" applyNumberFormat="1">
      <alignment horizontal="center" shrinkToFit="0" vertical="bottom" wrapText="0"/>
    </xf>
    <xf borderId="0" fillId="0" fontId="0" numFmtId="0" xfId="0" applyAlignment="1" applyFont="1">
      <alignment shrinkToFit="0" vertical="bottom" wrapText="0"/>
    </xf>
    <xf borderId="23" fillId="0" fontId="0" numFmtId="168" xfId="0" applyAlignment="1" applyBorder="1" applyFont="1" applyNumberFormat="1">
      <alignment horizontal="center" shrinkToFit="0" vertical="bottom" wrapText="0"/>
    </xf>
    <xf borderId="0" fillId="0" fontId="0" numFmtId="49" xfId="0" applyAlignment="1" applyFont="1" applyNumberFormat="1">
      <alignment horizontal="center" shrinkToFit="0" vertical="bottom" wrapText="0"/>
    </xf>
    <xf borderId="59" fillId="0" fontId="0" numFmtId="49" xfId="0" applyAlignment="1" applyBorder="1" applyFont="1" applyNumberFormat="1">
      <alignment horizontal="center" shrinkToFit="0" vertical="bottom" wrapText="0"/>
    </xf>
    <xf borderId="57" fillId="9" fontId="29" numFmtId="2" xfId="0" applyAlignment="1" applyBorder="1" applyFont="1" applyNumberFormat="1">
      <alignment shrinkToFit="0" vertical="bottom" wrapText="0"/>
    </xf>
    <xf borderId="0" fillId="0" fontId="0" numFmtId="0" xfId="0" applyAlignment="1" applyFont="1">
      <alignment horizontal="center" shrinkToFit="0" vertical="bottom" wrapText="0"/>
    </xf>
    <xf borderId="0" fillId="0" fontId="33" numFmtId="0" xfId="0" applyAlignment="1" applyFont="1">
      <alignment shrinkToFit="0" vertical="bottom" wrapText="0"/>
    </xf>
    <xf borderId="0" fillId="0" fontId="34" numFmtId="0" xfId="0" applyAlignment="1" applyFont="1">
      <alignment shrinkToFit="0" vertical="center" wrapText="0"/>
    </xf>
    <xf borderId="0" fillId="0" fontId="0" numFmtId="2" xfId="0" applyAlignment="1" applyFont="1" applyNumberFormat="1">
      <alignment shrinkToFit="0" vertical="bottom" wrapText="0"/>
    </xf>
    <xf borderId="26" fillId="10" fontId="35" numFmtId="49" xfId="0" applyAlignment="1" applyBorder="1" applyFill="1" applyFont="1" applyNumberFormat="1">
      <alignment horizontal="left" shrinkToFit="0" vertical="bottom" wrapText="0"/>
    </xf>
    <xf borderId="6" fillId="0" fontId="33" numFmtId="0" xfId="0" applyAlignment="1" applyBorder="1" applyFont="1">
      <alignment horizontal="center" shrinkToFit="0" vertical="bottom" wrapText="0"/>
    </xf>
    <xf borderId="2" fillId="3" fontId="36" numFmtId="0" xfId="0" applyAlignment="1" applyBorder="1" applyFont="1">
      <alignment horizontal="center" shrinkToFit="0" vertical="center" wrapText="0"/>
    </xf>
    <xf borderId="7" fillId="0" fontId="33" numFmtId="0" xfId="0" applyAlignment="1" applyBorder="1" applyFont="1">
      <alignment horizontal="left" shrinkToFit="0" vertical="bottom" wrapText="1"/>
    </xf>
    <xf borderId="3" fillId="3" fontId="37" numFmtId="0" xfId="0" applyAlignment="1" applyBorder="1" applyFont="1">
      <alignment horizontal="center" shrinkToFit="0" vertical="bottom" wrapText="0"/>
    </xf>
    <xf borderId="8" fillId="0" fontId="33" numFmtId="0" xfId="0" applyAlignment="1" applyBorder="1" applyFont="1">
      <alignment horizontal="left" shrinkToFit="0" vertical="bottom" wrapText="0"/>
    </xf>
    <xf borderId="3" fillId="0" fontId="38" numFmtId="0" xfId="0" applyAlignment="1" applyBorder="1" applyFont="1">
      <alignment horizontal="center" shrinkToFit="0" vertical="center" wrapText="0"/>
    </xf>
    <xf borderId="19" fillId="3" fontId="31" numFmtId="0" xfId="0" applyAlignment="1" applyBorder="1" applyFont="1">
      <alignment shrinkToFit="0" vertical="bottom" wrapText="0"/>
    </xf>
    <xf borderId="22" fillId="3" fontId="13" numFmtId="0" xfId="0" applyAlignment="1" applyBorder="1" applyFont="1">
      <alignment shrinkToFit="0" vertical="bottom" wrapText="0"/>
    </xf>
    <xf borderId="23" fillId="3" fontId="13" numFmtId="0" xfId="0" applyAlignment="1" applyBorder="1" applyFont="1">
      <alignment shrinkToFit="0" vertical="bottom" wrapText="0"/>
    </xf>
    <xf borderId="24" fillId="3" fontId="13" numFmtId="0" xfId="0" applyAlignment="1" applyBorder="1" applyFont="1">
      <alignment shrinkToFit="0" vertical="bottom" wrapText="0"/>
    </xf>
    <xf borderId="60" fillId="3" fontId="13" numFmtId="0" xfId="0" applyAlignment="1" applyBorder="1" applyFont="1">
      <alignment horizontal="center" shrinkToFit="0" textRotation="180" vertical="center" wrapText="0"/>
    </xf>
    <xf borderId="2" fillId="0" fontId="39" numFmtId="0" xfId="0" applyAlignment="1" applyBorder="1" applyFont="1">
      <alignment horizontal="center" shrinkToFit="0" vertical="center" wrapText="0"/>
    </xf>
    <xf borderId="3" fillId="0" fontId="40" numFmtId="0" xfId="0" applyAlignment="1" applyBorder="1" applyFont="1">
      <alignment horizontal="center" shrinkToFit="0" vertical="center" wrapText="0"/>
    </xf>
    <xf borderId="23" fillId="2" fontId="0" numFmtId="0" xfId="0" applyAlignment="1" applyBorder="1" applyFont="1">
      <alignment shrinkToFit="0" vertical="bottom" wrapText="0"/>
    </xf>
    <xf borderId="3" fillId="0" fontId="41" numFmtId="0" xfId="0" applyAlignment="1" applyBorder="1" applyFont="1">
      <alignment horizontal="center" shrinkToFit="0" vertical="center" wrapText="1"/>
    </xf>
    <xf borderId="17" fillId="0" fontId="41" numFmtId="0" xfId="0" applyAlignment="1" applyBorder="1" applyFont="1">
      <alignment horizontal="center" shrinkToFit="0" vertical="center" wrapText="1"/>
    </xf>
    <xf borderId="23" fillId="2" fontId="0" numFmtId="164" xfId="0" applyAlignment="1" applyBorder="1" applyFont="1" applyNumberFormat="1">
      <alignment shrinkToFit="0" vertical="bottom" wrapText="0"/>
    </xf>
    <xf borderId="3" fillId="0" fontId="42" numFmtId="0" xfId="0" applyAlignment="1" applyBorder="1" applyFont="1">
      <alignment horizontal="center" shrinkToFit="0" vertical="bottom" wrapText="0"/>
    </xf>
    <xf borderId="24" fillId="2" fontId="0" numFmtId="164" xfId="0" applyAlignment="1" applyBorder="1" applyFont="1" applyNumberFormat="1">
      <alignment shrinkToFit="0" vertical="bottom" wrapText="0"/>
    </xf>
    <xf borderId="3" fillId="0" fontId="33" numFmtId="0" xfId="0" applyAlignment="1" applyBorder="1" applyFont="1">
      <alignment horizontal="center" shrinkToFit="0" vertical="bottom" wrapText="1"/>
    </xf>
    <xf borderId="10" fillId="0" fontId="33" numFmtId="0" xfId="0" applyAlignment="1" applyBorder="1" applyFont="1">
      <alignment horizontal="center" shrinkToFit="1" vertical="center" wrapText="0"/>
    </xf>
    <xf borderId="12" fillId="0" fontId="33" numFmtId="0" xfId="0" applyAlignment="1" applyBorder="1" applyFont="1">
      <alignment horizontal="center" shrinkToFit="1" vertical="center" wrapText="0"/>
    </xf>
    <xf borderId="9" fillId="0" fontId="43" numFmtId="0" xfId="0" applyAlignment="1" applyBorder="1" applyFont="1">
      <alignment horizontal="center" shrinkToFit="0" vertical="center" wrapText="0"/>
    </xf>
    <xf borderId="11" fillId="0" fontId="33" numFmtId="0" xfId="0" applyAlignment="1" applyBorder="1" applyFont="1">
      <alignment horizontal="center" shrinkToFit="1" vertical="center" wrapText="0"/>
    </xf>
    <xf borderId="23" fillId="2" fontId="0" numFmtId="2" xfId="0" applyAlignment="1" applyBorder="1" applyFont="1" applyNumberFormat="1">
      <alignment shrinkToFit="0" vertical="bottom" wrapText="0"/>
    </xf>
    <xf borderId="25" fillId="0" fontId="33" numFmtId="0" xfId="0" applyAlignment="1" applyBorder="1" applyFont="1">
      <alignment horizontal="center" shrinkToFit="1" vertical="center" wrapText="0"/>
    </xf>
    <xf borderId="0" fillId="0" fontId="42" numFmtId="0" xfId="0" applyAlignment="1" applyFont="1">
      <alignment shrinkToFit="0" vertical="bottom" wrapText="0"/>
    </xf>
    <xf borderId="24" fillId="2" fontId="0" numFmtId="2" xfId="0" applyAlignment="1" applyBorder="1" applyFont="1" applyNumberFormat="1">
      <alignment shrinkToFit="0" vertical="bottom" wrapText="0"/>
    </xf>
    <xf borderId="10" fillId="0" fontId="33" numFmtId="0" xfId="0" applyAlignment="1" applyBorder="1" applyFont="1">
      <alignment shrinkToFit="0" vertical="bottom" wrapText="0"/>
    </xf>
    <xf borderId="11" fillId="0" fontId="33" numFmtId="0" xfId="0" applyAlignment="1" applyBorder="1" applyFont="1">
      <alignment shrinkToFit="0" vertical="bottom" wrapText="0"/>
    </xf>
    <xf borderId="61" fillId="0" fontId="15" numFmtId="0" xfId="0" applyBorder="1" applyFont="1"/>
    <xf borderId="12" fillId="0" fontId="33" numFmtId="0" xfId="0" applyAlignment="1" applyBorder="1" applyFont="1">
      <alignment shrinkToFit="0" vertical="bottom" wrapText="0"/>
    </xf>
    <xf borderId="10" fillId="0" fontId="33" numFmtId="169" xfId="0" applyAlignment="1" applyBorder="1" applyFont="1" applyNumberFormat="1">
      <alignment horizontal="center" shrinkToFit="0" vertical="bottom" wrapText="0"/>
    </xf>
    <xf borderId="12" fillId="0" fontId="33" numFmtId="169" xfId="0" applyAlignment="1" applyBorder="1" applyFont="1" applyNumberFormat="1">
      <alignment horizontal="center" shrinkToFit="0" vertical="bottom" wrapText="0"/>
    </xf>
    <xf borderId="37" fillId="0" fontId="44" numFmtId="0" xfId="0" applyAlignment="1" applyBorder="1" applyFont="1">
      <alignment horizontal="center" shrinkToFit="1" textRotation="90" vertical="center" wrapText="0"/>
    </xf>
    <xf borderId="62" fillId="0" fontId="15" numFmtId="0" xfId="0" applyBorder="1" applyFont="1"/>
    <xf borderId="0" fillId="0" fontId="45" numFmtId="0" xfId="0" applyAlignment="1" applyFont="1">
      <alignment horizontal="center" shrinkToFit="0" vertical="center" wrapText="0"/>
    </xf>
    <xf borderId="18" fillId="0" fontId="33" numFmtId="49" xfId="0" applyAlignment="1" applyBorder="1" applyFont="1" applyNumberFormat="1">
      <alignment horizontal="center" shrinkToFit="0" vertical="center" wrapText="0"/>
    </xf>
    <xf borderId="19" fillId="0" fontId="33" numFmtId="0" xfId="0" applyAlignment="1" applyBorder="1" applyFont="1">
      <alignment shrinkToFit="0" vertical="center" wrapText="0"/>
    </xf>
    <xf borderId="20" fillId="0" fontId="33" numFmtId="0" xfId="0" applyAlignment="1" applyBorder="1" applyFont="1">
      <alignment shrinkToFit="0" vertical="center" wrapText="0"/>
    </xf>
    <xf borderId="18" fillId="0" fontId="33" numFmtId="170" xfId="0" applyAlignment="1" applyBorder="1" applyFont="1" applyNumberFormat="1">
      <alignment horizontal="center" shrinkToFit="0" vertical="center" wrapText="0"/>
    </xf>
    <xf borderId="20" fillId="0" fontId="33" numFmtId="171" xfId="0" applyAlignment="1" applyBorder="1" applyFont="1" applyNumberFormat="1">
      <alignment horizontal="center" shrinkToFit="0" vertical="center" wrapText="0"/>
    </xf>
    <xf borderId="11" fillId="3" fontId="13" numFmtId="0" xfId="0" applyAlignment="1" applyBorder="1" applyFont="1">
      <alignment shrinkToFit="0" vertical="bottom" wrapText="0"/>
    </xf>
    <xf borderId="18" fillId="0" fontId="33" numFmtId="172" xfId="0" applyAlignment="1" applyBorder="1" applyFont="1" applyNumberFormat="1">
      <alignment horizontal="center" shrinkToFit="0" vertical="center" wrapText="0"/>
    </xf>
    <xf borderId="2" fillId="10" fontId="33" numFmtId="173" xfId="0" applyAlignment="1" applyBorder="1" applyFont="1" applyNumberFormat="1">
      <alignment horizontal="center" shrinkToFit="0" vertical="center" wrapText="0"/>
    </xf>
    <xf borderId="18" fillId="0" fontId="33" numFmtId="171" xfId="0" applyAlignment="1" applyBorder="1" applyFont="1" applyNumberFormat="1">
      <alignment horizontal="center" shrinkToFit="0" vertical="center" wrapText="0"/>
    </xf>
    <xf borderId="8" fillId="0" fontId="40" numFmtId="0" xfId="0" applyAlignment="1" applyBorder="1" applyFont="1">
      <alignment horizontal="center" shrinkToFit="0" vertical="center" wrapText="0"/>
    </xf>
    <xf borderId="0" fillId="0" fontId="42" numFmtId="0" xfId="0" applyAlignment="1" applyFont="1">
      <alignment horizontal="center" shrinkToFit="0" vertical="center" wrapText="0"/>
    </xf>
    <xf borderId="18" fillId="0" fontId="33" numFmtId="173" xfId="0" applyAlignment="1" applyBorder="1" applyFont="1" applyNumberFormat="1">
      <alignment horizontal="center" shrinkToFit="0" vertical="bottom" wrapText="0"/>
    </xf>
    <xf borderId="19" fillId="0" fontId="33" numFmtId="173" xfId="0" applyAlignment="1" applyBorder="1" applyFont="1" applyNumberFormat="1">
      <alignment horizontal="center" shrinkToFit="0" vertical="bottom" wrapText="0"/>
    </xf>
    <xf borderId="20" fillId="0" fontId="33" numFmtId="173" xfId="0" applyAlignment="1" applyBorder="1" applyFont="1" applyNumberFormat="1">
      <alignment horizontal="center" shrinkToFit="0" vertical="bottom" wrapText="0"/>
    </xf>
    <xf borderId="17" fillId="0" fontId="33" numFmtId="1" xfId="0" applyAlignment="1" applyBorder="1" applyFont="1" applyNumberFormat="1">
      <alignment horizontal="center" shrinkToFit="0" vertical="bottom" wrapText="0"/>
    </xf>
    <xf borderId="0" fillId="0" fontId="33" numFmtId="0" xfId="0" applyAlignment="1" applyFont="1">
      <alignment horizontal="center" shrinkToFit="0" vertical="bottom" wrapText="0"/>
    </xf>
    <xf borderId="18" fillId="0" fontId="33" numFmtId="1" xfId="0" applyAlignment="1" applyBorder="1" applyFont="1" applyNumberFormat="1">
      <alignment shrinkToFit="0" vertical="bottom" wrapText="0"/>
    </xf>
    <xf borderId="19" fillId="0" fontId="33" numFmtId="0" xfId="0" applyAlignment="1" applyBorder="1" applyFont="1">
      <alignment shrinkToFit="0" vertical="bottom" wrapText="0"/>
    </xf>
    <xf borderId="20" fillId="0" fontId="33" numFmtId="0" xfId="0" applyAlignment="1" applyBorder="1" applyFont="1">
      <alignment shrinkToFit="0" vertical="bottom" wrapText="0"/>
    </xf>
    <xf borderId="18" fillId="0" fontId="33" numFmtId="169" xfId="0" applyAlignment="1" applyBorder="1" applyFont="1" applyNumberFormat="1">
      <alignment horizontal="center" shrinkToFit="0" vertical="bottom" wrapText="0"/>
    </xf>
    <xf borderId="20" fillId="0" fontId="33" numFmtId="169" xfId="0" applyAlignment="1" applyBorder="1" applyFont="1" applyNumberFormat="1">
      <alignment horizontal="center" shrinkToFit="0" vertical="bottom" wrapText="0"/>
    </xf>
    <xf borderId="37" fillId="0" fontId="15" numFmtId="0" xfId="0" applyBorder="1" applyFont="1"/>
    <xf borderId="23" fillId="0" fontId="33" numFmtId="0" xfId="0" applyAlignment="1" applyBorder="1" applyFont="1">
      <alignment shrinkToFit="0" vertical="center" wrapText="0"/>
    </xf>
    <xf borderId="24" fillId="0" fontId="33" numFmtId="0" xfId="0" applyAlignment="1" applyBorder="1" applyFont="1">
      <alignment shrinkToFit="1" vertical="center" wrapText="0"/>
    </xf>
    <xf borderId="22" fillId="0" fontId="33" numFmtId="170" xfId="0" applyAlignment="1" applyBorder="1" applyFont="1" applyNumberFormat="1">
      <alignment horizontal="center" shrinkToFit="0" vertical="center" wrapText="0"/>
    </xf>
    <xf borderId="24" fillId="0" fontId="33" numFmtId="171" xfId="0" applyAlignment="1" applyBorder="1" applyFont="1" applyNumberFormat="1">
      <alignment horizontal="center" shrinkToFit="0" vertical="center" wrapText="0"/>
    </xf>
    <xf borderId="22" fillId="0" fontId="33" numFmtId="172" xfId="0" applyAlignment="1" applyBorder="1" applyFont="1" applyNumberFormat="1">
      <alignment horizontal="center" shrinkToFit="0" vertical="center" wrapText="0"/>
    </xf>
    <xf borderId="63" fillId="0" fontId="15" numFmtId="0" xfId="0" applyBorder="1" applyFont="1"/>
    <xf borderId="22" fillId="0" fontId="33" numFmtId="171" xfId="0" applyAlignment="1" applyBorder="1" applyFont="1" applyNumberFormat="1">
      <alignment horizontal="center" shrinkToFit="0" vertical="center" wrapText="0"/>
    </xf>
    <xf borderId="64" fillId="0" fontId="15" numFmtId="0" xfId="0" applyBorder="1" applyFont="1"/>
    <xf borderId="22" fillId="10" fontId="33" numFmtId="173" xfId="0" applyAlignment="1" applyBorder="1" applyFont="1" applyNumberFormat="1">
      <alignment horizontal="center" shrinkToFit="0" vertical="bottom" wrapText="0"/>
    </xf>
    <xf borderId="23" fillId="10" fontId="33" numFmtId="173" xfId="0" applyAlignment="1" applyBorder="1" applyFont="1" applyNumberFormat="1">
      <alignment horizontal="center" shrinkToFit="0" vertical="bottom" wrapText="0"/>
    </xf>
    <xf borderId="24" fillId="10" fontId="33" numFmtId="173" xfId="0" applyAlignment="1" applyBorder="1" applyFont="1" applyNumberFormat="1">
      <alignment horizontal="center" shrinkToFit="0" vertical="bottom" wrapText="0"/>
    </xf>
    <xf borderId="21" fillId="10" fontId="33" numFmtId="1" xfId="0" applyAlignment="1" applyBorder="1" applyFont="1" applyNumberFormat="1">
      <alignment horizontal="center" shrinkToFit="0" vertical="bottom" wrapText="0"/>
    </xf>
    <xf borderId="22" fillId="0" fontId="33" numFmtId="1" xfId="0" applyAlignment="1" applyBorder="1" applyFont="1" applyNumberFormat="1">
      <alignment shrinkToFit="0" vertical="bottom" wrapText="0"/>
    </xf>
    <xf borderId="23" fillId="0" fontId="33" numFmtId="0" xfId="0" applyAlignment="1" applyBorder="1" applyFont="1">
      <alignment shrinkToFit="0" vertical="bottom" wrapText="0"/>
    </xf>
    <xf borderId="24" fillId="0" fontId="33" numFmtId="0" xfId="0" applyAlignment="1" applyBorder="1" applyFont="1">
      <alignment shrinkToFit="0" vertical="bottom" wrapText="0"/>
    </xf>
    <xf borderId="22" fillId="0" fontId="33" numFmtId="169" xfId="0" applyAlignment="1" applyBorder="1" applyFont="1" applyNumberFormat="1">
      <alignment horizontal="center" shrinkToFit="0" vertical="bottom" wrapText="0"/>
    </xf>
    <xf borderId="24" fillId="0" fontId="33" numFmtId="169" xfId="0" applyAlignment="1" applyBorder="1" applyFont="1" applyNumberFormat="1">
      <alignment horizontal="center" shrinkToFit="0" vertical="bottom" wrapText="0"/>
    </xf>
    <xf borderId="22" fillId="0" fontId="33" numFmtId="173" xfId="0" applyAlignment="1" applyBorder="1" applyFont="1" applyNumberFormat="1">
      <alignment horizontal="center" shrinkToFit="0" vertical="bottom" wrapText="0"/>
    </xf>
    <xf borderId="23" fillId="0" fontId="33" numFmtId="173" xfId="0" applyAlignment="1" applyBorder="1" applyFont="1" applyNumberFormat="1">
      <alignment horizontal="center" shrinkToFit="0" vertical="bottom" wrapText="0"/>
    </xf>
    <xf borderId="24" fillId="0" fontId="33" numFmtId="173" xfId="0" applyAlignment="1" applyBorder="1" applyFont="1" applyNumberFormat="1">
      <alignment horizontal="center" shrinkToFit="0" vertical="bottom" wrapText="0"/>
    </xf>
    <xf borderId="21" fillId="0" fontId="33" numFmtId="1" xfId="0" applyAlignment="1" applyBorder="1" applyFont="1" applyNumberFormat="1">
      <alignment horizontal="center" shrinkToFit="0" vertical="bottom" wrapText="0"/>
    </xf>
    <xf borderId="29" fillId="3" fontId="13" numFmtId="0" xfId="0" applyAlignment="1" applyBorder="1" applyFont="1">
      <alignment horizontal="center" shrinkToFit="0" vertical="bottom" wrapText="0"/>
    </xf>
    <xf borderId="29" fillId="3" fontId="13" numFmtId="0" xfId="0" applyAlignment="1" applyBorder="1" applyFont="1">
      <alignment shrinkToFit="0" vertical="bottom" wrapText="0"/>
    </xf>
    <xf borderId="0" fillId="0" fontId="0" numFmtId="168" xfId="0" applyAlignment="1" applyFont="1" applyNumberFormat="1">
      <alignment horizontal="center" shrinkToFit="0" vertical="bottom" wrapText="0"/>
    </xf>
    <xf borderId="0" fillId="0" fontId="0" numFmtId="164" xfId="0" applyAlignment="1" applyFont="1" applyNumberFormat="1">
      <alignment shrinkToFit="0" vertical="bottom" wrapText="0"/>
    </xf>
    <xf borderId="0" fillId="0" fontId="0" numFmtId="1" xfId="0" applyAlignment="1" applyFont="1" applyNumberFormat="1">
      <alignment shrinkToFit="0" vertical="bottom" wrapText="0"/>
    </xf>
    <xf borderId="0" fillId="0" fontId="15" numFmtId="1" xfId="0" applyFont="1" applyNumberFormat="1"/>
    <xf borderId="0" fillId="0" fontId="46" numFmtId="0" xfId="0" applyAlignment="1" applyFont="1">
      <alignment shrinkToFit="0" vertical="bottom" wrapText="0"/>
    </xf>
    <xf borderId="0" fillId="0" fontId="1" numFmtId="0" xfId="0" applyAlignment="1" applyFont="1">
      <alignment horizontal="left" shrinkToFit="0" vertical="bottom" wrapText="0"/>
    </xf>
    <xf borderId="0" fillId="0" fontId="0" numFmtId="49" xfId="0" applyAlignment="1" applyFont="1" applyNumberFormat="1">
      <alignment shrinkToFit="0" vertical="bottom" wrapText="0"/>
    </xf>
    <xf borderId="0" fillId="0" fontId="18" numFmtId="0" xfId="0" applyAlignment="1" applyFont="1">
      <alignment horizontal="center" shrinkToFit="0" vertical="bottom" wrapText="0"/>
    </xf>
    <xf borderId="0" fillId="0" fontId="17" numFmtId="0" xfId="0" applyAlignment="1" applyFont="1">
      <alignment shrinkToFit="0" vertical="bottom" wrapText="0"/>
    </xf>
    <xf borderId="37" fillId="0" fontId="33" numFmtId="0" xfId="0" applyAlignment="1" applyBorder="1" applyFont="1">
      <alignment horizontal="center" shrinkToFit="0" vertical="center" wrapText="0"/>
    </xf>
    <xf borderId="11" fillId="0" fontId="33" numFmtId="0" xfId="0" applyAlignment="1" applyBorder="1" applyFont="1">
      <alignment shrinkToFit="0" vertical="center" wrapText="0"/>
    </xf>
    <xf borderId="12" fillId="0" fontId="33" numFmtId="0" xfId="0" applyAlignment="1" applyBorder="1" applyFont="1">
      <alignment shrinkToFit="1" vertical="center" wrapText="0"/>
    </xf>
    <xf borderId="10" fillId="0" fontId="33" numFmtId="170" xfId="0" applyAlignment="1" applyBorder="1" applyFont="1" applyNumberFormat="1">
      <alignment horizontal="center" shrinkToFit="0" vertical="center" wrapText="0"/>
    </xf>
    <xf borderId="12" fillId="0" fontId="33" numFmtId="171" xfId="0" applyAlignment="1" applyBorder="1" applyFont="1" applyNumberFormat="1">
      <alignment horizontal="center" shrinkToFit="0" vertical="center" wrapText="0"/>
    </xf>
    <xf borderId="10" fillId="0" fontId="33" numFmtId="172" xfId="0" applyAlignment="1" applyBorder="1" applyFont="1" applyNumberFormat="1">
      <alignment horizontal="center" shrinkToFit="0" vertical="center" wrapText="0"/>
    </xf>
    <xf borderId="10" fillId="0" fontId="33" numFmtId="171" xfId="0" applyAlignment="1" applyBorder="1" applyFont="1" applyNumberFormat="1">
      <alignment horizontal="center" shrinkToFit="0" vertical="center" wrapText="0"/>
    </xf>
    <xf borderId="10" fillId="10" fontId="33" numFmtId="173" xfId="0" applyAlignment="1" applyBorder="1" applyFont="1" applyNumberFormat="1">
      <alignment horizontal="center" shrinkToFit="0" vertical="bottom" wrapText="0"/>
    </xf>
    <xf borderId="11" fillId="10" fontId="33" numFmtId="173" xfId="0" applyAlignment="1" applyBorder="1" applyFont="1" applyNumberFormat="1">
      <alignment horizontal="center" shrinkToFit="0" vertical="bottom" wrapText="0"/>
    </xf>
    <xf borderId="12" fillId="10" fontId="33" numFmtId="173" xfId="0" applyAlignment="1" applyBorder="1" applyFont="1" applyNumberFormat="1">
      <alignment horizontal="center" shrinkToFit="0" vertical="bottom" wrapText="0"/>
    </xf>
    <xf borderId="25" fillId="10" fontId="33" numFmtId="1" xfId="0" applyAlignment="1" applyBorder="1" applyFont="1" applyNumberFormat="1">
      <alignment horizontal="center" shrinkToFit="0" vertical="bottom" wrapText="0"/>
    </xf>
    <xf borderId="10" fillId="0" fontId="33" numFmtId="1" xfId="0" applyAlignment="1" applyBorder="1" applyFont="1" applyNumberFormat="1">
      <alignment shrinkToFit="0" vertical="bottom" wrapText="0"/>
    </xf>
    <xf borderId="17" fillId="0" fontId="33" numFmtId="0" xfId="0" applyAlignment="1" applyBorder="1" applyFont="1">
      <alignment horizontal="center" shrinkToFit="0" vertical="bottom" wrapText="0"/>
    </xf>
    <xf borderId="0" fillId="0" fontId="47" numFmtId="0" xfId="0" applyAlignment="1" applyFont="1">
      <alignment horizontal="center" shrinkToFit="0" vertical="center" wrapText="0"/>
    </xf>
    <xf borderId="39" fillId="0" fontId="0" numFmtId="0" xfId="0" applyAlignment="1" applyBorder="1" applyFont="1">
      <alignment horizontal="center" shrinkToFit="0" vertical="bottom" wrapText="0"/>
    </xf>
    <xf borderId="39" fillId="0" fontId="15" numFmtId="0" xfId="0" applyBorder="1" applyFont="1"/>
    <xf borderId="18" fillId="3" fontId="37" numFmtId="0" xfId="0" applyAlignment="1" applyBorder="1" applyFont="1">
      <alignment horizontal="center" shrinkToFit="1" vertical="center" wrapText="0"/>
    </xf>
    <xf borderId="19" fillId="3" fontId="37" numFmtId="0" xfId="0" applyAlignment="1" applyBorder="1" applyFont="1">
      <alignment horizontal="center" shrinkToFit="1" vertical="center" wrapText="0"/>
    </xf>
    <xf borderId="20" fillId="3" fontId="37" numFmtId="0" xfId="0" applyAlignment="1" applyBorder="1" applyFont="1">
      <alignment horizontal="center" shrinkToFit="1" vertical="center" wrapText="0"/>
    </xf>
    <xf borderId="22" fillId="11" fontId="0" numFmtId="0" xfId="0" applyAlignment="1" applyBorder="1" applyFill="1" applyFont="1">
      <alignment horizontal="center" shrinkToFit="0" vertical="bottom" wrapText="0"/>
    </xf>
    <xf borderId="23" fillId="11" fontId="0" numFmtId="2" xfId="0" applyAlignment="1" applyBorder="1" applyFont="1" applyNumberFormat="1">
      <alignment horizontal="center" shrinkToFit="0" vertical="bottom" wrapText="0"/>
    </xf>
    <xf borderId="24" fillId="11" fontId="0" numFmtId="0" xfId="0" applyAlignment="1" applyBorder="1" applyFont="1">
      <alignment horizontal="center" shrinkToFit="0" vertical="bottom" wrapText="0"/>
    </xf>
    <xf borderId="22" fillId="12" fontId="29" numFmtId="0" xfId="0" applyAlignment="1" applyBorder="1" applyFill="1" applyFont="1">
      <alignment horizontal="center" shrinkToFit="0" vertical="bottom" wrapText="0"/>
    </xf>
    <xf borderId="23" fillId="12" fontId="29" numFmtId="2" xfId="0" applyAlignment="1" applyBorder="1" applyFont="1" applyNumberFormat="1">
      <alignment horizontal="center" shrinkToFit="0" vertical="bottom" wrapText="0"/>
    </xf>
    <xf borderId="24" fillId="12" fontId="29" numFmtId="0" xfId="0" applyAlignment="1" applyBorder="1" applyFont="1">
      <alignment horizontal="center" shrinkToFit="0" vertical="bottom" wrapText="0"/>
    </xf>
    <xf borderId="21" fillId="0" fontId="33" numFmtId="0" xfId="0" applyAlignment="1" applyBorder="1" applyFont="1">
      <alignment horizontal="center" shrinkToFit="0" vertical="bottom" wrapText="0"/>
    </xf>
    <xf borderId="10" fillId="13" fontId="29" numFmtId="0" xfId="0" applyAlignment="1" applyBorder="1" applyFill="1" applyFont="1">
      <alignment horizontal="center" shrinkToFit="0" vertical="bottom" wrapText="0"/>
    </xf>
    <xf borderId="11" fillId="13" fontId="29" numFmtId="2" xfId="0" applyAlignment="1" applyBorder="1" applyFont="1" applyNumberFormat="1">
      <alignment horizontal="center" shrinkToFit="0" vertical="bottom" wrapText="0"/>
    </xf>
    <xf borderId="12" fillId="13" fontId="29" numFmtId="0" xfId="0" applyAlignment="1" applyBorder="1" applyFont="1">
      <alignment horizontal="center" shrinkToFit="0" vertical="bottom" wrapText="0"/>
    </xf>
    <xf borderId="0" fillId="0" fontId="48" numFmtId="0" xfId="0" applyAlignment="1" applyFont="1">
      <alignment horizontal="center" shrinkToFit="0" vertical="bottom" wrapText="0"/>
    </xf>
    <xf borderId="0" fillId="0" fontId="48" numFmtId="0" xfId="0" applyAlignment="1" applyFont="1">
      <alignment shrinkToFit="0" vertical="bottom" wrapText="0"/>
    </xf>
    <xf borderId="2" fillId="0" fontId="49" numFmtId="0" xfId="0" applyAlignment="1" applyBorder="1" applyFont="1">
      <alignment horizontal="center" shrinkToFit="0" vertical="center" wrapText="0"/>
    </xf>
    <xf borderId="3" fillId="3" fontId="50" numFmtId="0" xfId="0" applyAlignment="1" applyBorder="1" applyFont="1">
      <alignment horizontal="center" shrinkToFit="0" vertical="bottom" wrapText="0"/>
    </xf>
    <xf borderId="65" fillId="3" fontId="50" numFmtId="0" xfId="0" applyAlignment="1" applyBorder="1" applyFont="1">
      <alignment horizontal="center" shrinkToFit="0" vertical="bottom" wrapText="0"/>
    </xf>
    <xf borderId="18" fillId="0" fontId="1" numFmtId="0" xfId="0" applyAlignment="1" applyBorder="1" applyFont="1">
      <alignment shrinkToFit="0" vertical="bottom" wrapText="0"/>
    </xf>
    <xf borderId="19" fillId="14" fontId="50" numFmtId="0" xfId="0" applyAlignment="1" applyBorder="1" applyFill="1" applyFont="1">
      <alignment horizontal="center" shrinkToFit="0" vertical="bottom" wrapText="0"/>
    </xf>
    <xf borderId="8" fillId="14" fontId="50" numFmtId="0" xfId="0" applyAlignment="1" applyBorder="1" applyFont="1">
      <alignment horizontal="center" shrinkToFit="0" vertical="bottom" wrapText="0"/>
    </xf>
    <xf borderId="22" fillId="3" fontId="50" numFmtId="0" xfId="0" applyAlignment="1" applyBorder="1" applyFont="1">
      <alignment horizontal="center" shrinkToFit="0" vertical="bottom" wrapText="0"/>
    </xf>
    <xf borderId="23" fillId="3" fontId="50" numFmtId="0" xfId="0" applyAlignment="1" applyBorder="1" applyFont="1">
      <alignment horizontal="center" shrinkToFit="0" vertical="bottom" wrapText="0"/>
    </xf>
    <xf borderId="24" fillId="3" fontId="50" numFmtId="0" xfId="0" applyAlignment="1" applyBorder="1" applyFont="1">
      <alignment horizontal="center" shrinkToFit="0" vertical="bottom" wrapText="0"/>
    </xf>
    <xf borderId="66" fillId="3" fontId="50" numFmtId="0" xfId="0" applyAlignment="1" applyBorder="1" applyFont="1">
      <alignment horizontal="center" shrinkToFit="0" vertical="bottom" wrapText="0"/>
    </xf>
    <xf borderId="22" fillId="0" fontId="1" numFmtId="0" xfId="0" applyAlignment="1" applyBorder="1" applyFont="1">
      <alignment shrinkToFit="0" vertical="bottom" wrapText="0"/>
    </xf>
    <xf borderId="23" fillId="14" fontId="50" numFmtId="0" xfId="0" applyAlignment="1" applyBorder="1" applyFont="1">
      <alignment horizontal="center" shrinkToFit="0" vertical="bottom" wrapText="0"/>
    </xf>
    <xf borderId="23" fillId="14" fontId="51" numFmtId="0" xfId="0" applyAlignment="1" applyBorder="1" applyFont="1">
      <alignment horizontal="center" shrinkToFit="0" vertical="bottom" wrapText="0"/>
    </xf>
    <xf borderId="67" fillId="0" fontId="15" numFmtId="0" xfId="0" applyBorder="1" applyFont="1"/>
    <xf borderId="68" fillId="0" fontId="1" numFmtId="0" xfId="0" applyAlignment="1" applyBorder="1" applyFont="1">
      <alignment shrinkToFit="0" vertical="bottom" wrapText="0"/>
    </xf>
    <xf borderId="22" fillId="0" fontId="1" numFmtId="164" xfId="0" applyAlignment="1" applyBorder="1" applyFont="1" applyNumberFormat="1">
      <alignment horizontal="center" shrinkToFit="0" vertical="bottom" wrapText="0"/>
    </xf>
    <xf borderId="23" fillId="0" fontId="1" numFmtId="164" xfId="0" applyAlignment="1" applyBorder="1" applyFont="1" applyNumberFormat="1">
      <alignment horizontal="center" shrinkToFit="0" vertical="bottom" wrapText="0"/>
    </xf>
    <xf borderId="24" fillId="0" fontId="1" numFmtId="164" xfId="0" applyAlignment="1" applyBorder="1" applyFont="1" applyNumberFormat="1">
      <alignment horizontal="center" shrinkToFit="0" vertical="bottom" wrapText="0"/>
    </xf>
    <xf borderId="0" fillId="0" fontId="1" numFmtId="45" xfId="0" applyAlignment="1" applyFont="1" applyNumberFormat="1">
      <alignment horizontal="center" shrinkToFit="0" vertical="bottom" wrapText="0"/>
    </xf>
    <xf borderId="23" fillId="0" fontId="1" numFmtId="45" xfId="0" applyAlignment="1" applyBorder="1" applyFont="1" applyNumberFormat="1">
      <alignment horizontal="center" shrinkToFit="0" vertical="bottom" wrapText="0"/>
    </xf>
    <xf borderId="24" fillId="0" fontId="1" numFmtId="45" xfId="0" applyAlignment="1" applyBorder="1" applyFont="1" applyNumberFormat="1">
      <alignment horizontal="center" shrinkToFit="0" vertical="bottom" wrapText="0"/>
    </xf>
    <xf borderId="22" fillId="0" fontId="1" numFmtId="2" xfId="0" applyAlignment="1" applyBorder="1" applyFont="1" applyNumberFormat="1">
      <alignment horizontal="center" shrinkToFit="0" vertical="bottom" wrapText="0"/>
    </xf>
    <xf borderId="23" fillId="0" fontId="1" numFmtId="2" xfId="0" applyAlignment="1" applyBorder="1" applyFont="1" applyNumberFormat="1">
      <alignment horizontal="center" shrinkToFit="0" vertical="bottom" wrapText="0"/>
    </xf>
    <xf borderId="24" fillId="0" fontId="1" numFmtId="2" xfId="0" applyAlignment="1" applyBorder="1" applyFont="1" applyNumberFormat="1">
      <alignment horizontal="center" shrinkToFit="0" vertical="bottom" wrapText="0"/>
    </xf>
    <xf borderId="69" fillId="0" fontId="1" numFmtId="164" xfId="0" applyAlignment="1" applyBorder="1" applyFont="1" applyNumberFormat="1">
      <alignment horizontal="center" shrinkToFit="0" vertical="bottom" wrapText="0"/>
    </xf>
    <xf borderId="69" fillId="0" fontId="1" numFmtId="1" xfId="0" applyAlignment="1" applyBorder="1" applyFont="1" applyNumberFormat="1">
      <alignment horizontal="center" shrinkToFit="0" vertical="bottom" wrapText="0"/>
    </xf>
    <xf borderId="23" fillId="0" fontId="1" numFmtId="1" xfId="0" applyAlignment="1" applyBorder="1" applyFont="1" applyNumberFormat="1">
      <alignment horizontal="center" shrinkToFit="0" vertical="bottom" wrapText="0"/>
    </xf>
    <xf borderId="24" fillId="0" fontId="1" numFmtId="1" xfId="0" applyAlignment="1" applyBorder="1" applyFont="1" applyNumberFormat="1">
      <alignment horizontal="center" shrinkToFit="0" vertical="bottom" wrapText="0"/>
    </xf>
    <xf borderId="22" fillId="11" fontId="1" numFmtId="0" xfId="0" applyAlignment="1" applyBorder="1" applyFont="1">
      <alignment shrinkToFit="0" vertical="bottom" wrapText="0"/>
    </xf>
    <xf borderId="23" fillId="11" fontId="1" numFmtId="164" xfId="0" applyAlignment="1" applyBorder="1" applyFont="1" applyNumberFormat="1">
      <alignment horizontal="center" shrinkToFit="0" vertical="bottom" wrapText="0"/>
    </xf>
    <xf borderId="23" fillId="11" fontId="1" numFmtId="174" xfId="0" applyAlignment="1" applyBorder="1" applyFont="1" applyNumberFormat="1">
      <alignment horizontal="center" shrinkToFit="0" vertical="bottom" wrapText="0"/>
    </xf>
    <xf borderId="23" fillId="11" fontId="1" numFmtId="2" xfId="0" applyAlignment="1" applyBorder="1" applyFont="1" applyNumberFormat="1">
      <alignment horizontal="center" shrinkToFit="0" vertical="bottom" wrapText="0"/>
    </xf>
    <xf borderId="23" fillId="11" fontId="1" numFmtId="1" xfId="0" applyAlignment="1" applyBorder="1" applyFont="1" applyNumberFormat="1">
      <alignment horizontal="center" shrinkToFit="0" vertical="bottom" wrapText="0"/>
    </xf>
    <xf borderId="24" fillId="11" fontId="1" numFmtId="1" xfId="0" applyAlignment="1" applyBorder="1" applyFont="1" applyNumberFormat="1">
      <alignment horizontal="center" shrinkToFit="0" vertical="bottom" wrapText="0"/>
    </xf>
    <xf borderId="22" fillId="0" fontId="1" numFmtId="45" xfId="0" applyAlignment="1" applyBorder="1" applyFont="1" applyNumberFormat="1">
      <alignment horizontal="center" shrinkToFit="0" vertical="bottom" wrapText="0"/>
    </xf>
    <xf borderId="23" fillId="0" fontId="1" numFmtId="174" xfId="0" applyAlignment="1" applyBorder="1" applyFont="1" applyNumberFormat="1">
      <alignment horizontal="center" shrinkToFit="0" vertical="bottom" wrapText="0"/>
    </xf>
    <xf borderId="47" fillId="0" fontId="1" numFmtId="0" xfId="0" applyAlignment="1" applyBorder="1" applyFont="1">
      <alignment shrinkToFit="0" vertical="bottom" wrapText="0"/>
    </xf>
    <xf borderId="10" fillId="0" fontId="1" numFmtId="164" xfId="0" applyAlignment="1" applyBorder="1" applyFont="1" applyNumberFormat="1">
      <alignment horizontal="center" shrinkToFit="0" vertical="bottom" wrapText="0"/>
    </xf>
    <xf borderId="11" fillId="0" fontId="1" numFmtId="164" xfId="0" applyAlignment="1" applyBorder="1" applyFont="1" applyNumberFormat="1">
      <alignment horizontal="center" shrinkToFit="0" vertical="bottom" wrapText="0"/>
    </xf>
    <xf borderId="12" fillId="0" fontId="1" numFmtId="164" xfId="0" applyAlignment="1" applyBorder="1" applyFont="1" applyNumberFormat="1">
      <alignment horizontal="center" shrinkToFit="0" vertical="bottom" wrapText="0"/>
    </xf>
    <xf borderId="10" fillId="0" fontId="1" numFmtId="45" xfId="0" applyAlignment="1" applyBorder="1" applyFont="1" applyNumberFormat="1">
      <alignment horizontal="center" shrinkToFit="0" vertical="bottom" wrapText="0"/>
    </xf>
    <xf borderId="11" fillId="0" fontId="1" numFmtId="45" xfId="0" applyAlignment="1" applyBorder="1" applyFont="1" applyNumberFormat="1">
      <alignment horizontal="center" shrinkToFit="0" vertical="bottom" wrapText="0"/>
    </xf>
    <xf borderId="12" fillId="0" fontId="1" numFmtId="45" xfId="0" applyAlignment="1" applyBorder="1" applyFont="1" applyNumberFormat="1">
      <alignment horizontal="center" shrinkToFit="0" vertical="bottom" wrapText="0"/>
    </xf>
    <xf borderId="10" fillId="0" fontId="1" numFmtId="2" xfId="0" applyAlignment="1" applyBorder="1" applyFont="1" applyNumberFormat="1">
      <alignment horizontal="center" shrinkToFit="0" vertical="bottom" wrapText="0"/>
    </xf>
    <xf borderId="11" fillId="0" fontId="1" numFmtId="2" xfId="0" applyAlignment="1" applyBorder="1" applyFont="1" applyNumberFormat="1">
      <alignment horizontal="center" shrinkToFit="0" vertical="bottom" wrapText="0"/>
    </xf>
    <xf borderId="12" fillId="0" fontId="1" numFmtId="2" xfId="0" applyAlignment="1" applyBorder="1" applyFont="1" applyNumberFormat="1">
      <alignment horizontal="center" shrinkToFit="0" vertical="bottom" wrapText="0"/>
    </xf>
    <xf borderId="70" fillId="0" fontId="1" numFmtId="164" xfId="0" applyAlignment="1" applyBorder="1" applyFont="1" applyNumberFormat="1">
      <alignment horizontal="center" shrinkToFit="0" vertical="bottom" wrapText="0"/>
    </xf>
    <xf borderId="70" fillId="0" fontId="1" numFmtId="1" xfId="0" applyAlignment="1" applyBorder="1" applyFont="1" applyNumberFormat="1">
      <alignment horizontal="center" shrinkToFit="0" vertical="bottom" wrapText="0"/>
    </xf>
    <xf borderId="11" fillId="0" fontId="1" numFmtId="1" xfId="0" applyAlignment="1" applyBorder="1" applyFont="1" applyNumberFormat="1">
      <alignment horizontal="center" shrinkToFit="0" vertical="bottom" wrapText="0"/>
    </xf>
    <xf borderId="12" fillId="0" fontId="1" numFmtId="1" xfId="0" applyAlignment="1" applyBorder="1" applyFont="1" applyNumberFormat="1">
      <alignment horizontal="center" shrinkToFit="0" vertical="bottom" wrapText="0"/>
    </xf>
    <xf borderId="22" fillId="15" fontId="1" numFmtId="0" xfId="0" applyAlignment="1" applyBorder="1" applyFill="1" applyFont="1">
      <alignment shrinkToFit="0" vertical="bottom" wrapText="0"/>
    </xf>
    <xf borderId="23" fillId="15" fontId="1" numFmtId="164" xfId="0" applyAlignment="1" applyBorder="1" applyFont="1" applyNumberFormat="1">
      <alignment horizontal="center" shrinkToFit="0" vertical="bottom" wrapText="0"/>
    </xf>
    <xf borderId="23" fillId="15" fontId="1" numFmtId="174" xfId="0" applyAlignment="1" applyBorder="1" applyFont="1" applyNumberFormat="1">
      <alignment horizontal="center" shrinkToFit="0" vertical="bottom" wrapText="0"/>
    </xf>
    <xf borderId="23" fillId="15" fontId="1" numFmtId="2" xfId="0" applyAlignment="1" applyBorder="1" applyFont="1" applyNumberFormat="1">
      <alignment horizontal="center" shrinkToFit="0" vertical="bottom" wrapText="0"/>
    </xf>
    <xf borderId="23" fillId="15" fontId="1" numFmtId="1" xfId="0" applyAlignment="1" applyBorder="1" applyFont="1" applyNumberFormat="1">
      <alignment horizontal="center" shrinkToFit="0" vertical="bottom" wrapText="0"/>
    </xf>
    <xf borderId="24" fillId="15" fontId="1" numFmtId="1" xfId="0" applyAlignment="1" applyBorder="1" applyFont="1" applyNumberFormat="1">
      <alignment horizontal="center" shrinkToFit="0" vertical="bottom" wrapText="0"/>
    </xf>
    <xf borderId="22" fillId="16" fontId="1" numFmtId="0" xfId="0" applyAlignment="1" applyBorder="1" applyFill="1" applyFont="1">
      <alignment shrinkToFit="0" vertical="bottom" wrapText="0"/>
    </xf>
    <xf borderId="23" fillId="16" fontId="1" numFmtId="164" xfId="0" applyAlignment="1" applyBorder="1" applyFont="1" applyNumberFormat="1">
      <alignment horizontal="center" shrinkToFit="0" vertical="bottom" wrapText="0"/>
    </xf>
    <xf borderId="23" fillId="16" fontId="1" numFmtId="174" xfId="0" applyAlignment="1" applyBorder="1" applyFont="1" applyNumberFormat="1">
      <alignment horizontal="center" shrinkToFit="0" vertical="bottom" wrapText="0"/>
    </xf>
    <xf borderId="23" fillId="16" fontId="1" numFmtId="2" xfId="0" applyAlignment="1" applyBorder="1" applyFont="1" applyNumberFormat="1">
      <alignment horizontal="center" shrinkToFit="0" vertical="bottom" wrapText="0"/>
    </xf>
    <xf borderId="23" fillId="16" fontId="1" numFmtId="1" xfId="0" applyAlignment="1" applyBorder="1" applyFont="1" applyNumberFormat="1">
      <alignment horizontal="center" shrinkToFit="0" vertical="bottom" wrapText="0"/>
    </xf>
    <xf borderId="24" fillId="16" fontId="1" numFmtId="1" xfId="0" applyAlignment="1" applyBorder="1" applyFont="1" applyNumberFormat="1">
      <alignment horizontal="center" shrinkToFit="0" vertical="bottom" wrapText="0"/>
    </xf>
    <xf borderId="22" fillId="17" fontId="1" numFmtId="0" xfId="0" applyAlignment="1" applyBorder="1" applyFill="1" applyFont="1">
      <alignment shrinkToFit="0" vertical="bottom" wrapText="0"/>
    </xf>
    <xf borderId="23" fillId="17" fontId="1" numFmtId="164" xfId="0" applyAlignment="1" applyBorder="1" applyFont="1" applyNumberFormat="1">
      <alignment horizontal="center" shrinkToFit="0" vertical="bottom" wrapText="0"/>
    </xf>
    <xf borderId="23" fillId="17" fontId="1" numFmtId="174" xfId="0" applyAlignment="1" applyBorder="1" applyFont="1" applyNumberFormat="1">
      <alignment horizontal="center" shrinkToFit="0" vertical="bottom" wrapText="0"/>
    </xf>
    <xf borderId="23" fillId="17" fontId="1" numFmtId="2" xfId="0" applyAlignment="1" applyBorder="1" applyFont="1" applyNumberFormat="1">
      <alignment horizontal="center" shrinkToFit="0" vertical="bottom" wrapText="0"/>
    </xf>
    <xf borderId="23" fillId="17" fontId="1" numFmtId="1" xfId="0" applyAlignment="1" applyBorder="1" applyFont="1" applyNumberFormat="1">
      <alignment horizontal="center" shrinkToFit="0" vertical="bottom" wrapText="0"/>
    </xf>
    <xf borderId="24" fillId="17" fontId="1" numFmtId="1" xfId="0" applyAlignment="1" applyBorder="1" applyFont="1" applyNumberFormat="1">
      <alignment horizontal="center" shrinkToFit="0" vertical="bottom" wrapText="0"/>
    </xf>
    <xf borderId="10" fillId="17" fontId="1" numFmtId="0" xfId="0" applyAlignment="1" applyBorder="1" applyFont="1">
      <alignment shrinkToFit="0" vertical="bottom" wrapText="0"/>
    </xf>
    <xf borderId="11" fillId="17" fontId="1" numFmtId="164" xfId="0" applyAlignment="1" applyBorder="1" applyFont="1" applyNumberFormat="1">
      <alignment horizontal="center" shrinkToFit="0" vertical="bottom" wrapText="0"/>
    </xf>
    <xf borderId="11" fillId="17" fontId="1" numFmtId="174" xfId="0" applyAlignment="1" applyBorder="1" applyFont="1" applyNumberFormat="1">
      <alignment horizontal="center" shrinkToFit="0" vertical="bottom" wrapText="0"/>
    </xf>
    <xf borderId="11" fillId="17" fontId="1" numFmtId="2" xfId="0" applyAlignment="1" applyBorder="1" applyFont="1" applyNumberFormat="1">
      <alignment horizontal="center" shrinkToFit="0" vertical="bottom" wrapText="0"/>
    </xf>
    <xf borderId="11" fillId="17" fontId="1" numFmtId="1" xfId="0" applyAlignment="1" applyBorder="1" applyFont="1" applyNumberFormat="1">
      <alignment horizontal="center" shrinkToFit="0" vertical="bottom" wrapText="0"/>
    </xf>
    <xf borderId="12" fillId="17" fontId="1" numFmtId="1" xfId="0" applyAlignment="1" applyBorder="1" applyFont="1" applyNumberFormat="1">
      <alignment horizontal="center" shrinkToFit="0" vertical="bottom" wrapText="0"/>
    </xf>
    <xf borderId="7" fillId="14" fontId="51" numFmtId="0" xfId="0" applyAlignment="1" applyBorder="1" applyFont="1">
      <alignment horizontal="center" shrinkToFit="0" vertical="bottom" wrapText="0"/>
    </xf>
    <xf borderId="71" fillId="0" fontId="15" numFmtId="0" xfId="0" applyBorder="1" applyFont="1"/>
    <xf borderId="23" fillId="11" fontId="1" numFmtId="45" xfId="0" applyAlignment="1" applyBorder="1" applyFont="1" applyNumberFormat="1">
      <alignment horizontal="center" shrinkToFit="0" vertical="bottom" wrapText="0"/>
    </xf>
    <xf borderId="22" fillId="0" fontId="33" numFmtId="49" xfId="0" applyAlignment="1" applyBorder="1" applyFont="1" applyNumberFormat="1">
      <alignment horizontal="center" shrinkToFit="0" vertical="center" wrapText="0"/>
    </xf>
    <xf borderId="23" fillId="15" fontId="1" numFmtId="45" xfId="0" applyAlignment="1" applyBorder="1" applyFont="1" applyNumberFormat="1">
      <alignment horizontal="center" shrinkToFit="0" vertical="bottom" wrapText="0"/>
    </xf>
    <xf borderId="21" fillId="10" fontId="33" numFmtId="0" xfId="0" applyAlignment="1" applyBorder="1" applyFont="1">
      <alignment horizontal="center" shrinkToFit="0" vertical="bottom" wrapText="0"/>
    </xf>
    <xf borderId="23" fillId="16" fontId="1" numFmtId="45" xfId="0" applyAlignment="1" applyBorder="1" applyFont="1" applyNumberFormat="1">
      <alignment horizontal="center" shrinkToFit="0" vertical="bottom" wrapText="0"/>
    </xf>
    <xf borderId="23" fillId="17" fontId="1" numFmtId="45" xfId="0" applyAlignment="1" applyBorder="1" applyFont="1" applyNumberFormat="1">
      <alignment horizontal="center" shrinkToFit="0" vertical="bottom" wrapText="0"/>
    </xf>
    <xf borderId="11" fillId="17" fontId="1" numFmtId="45" xfId="0" applyAlignment="1" applyBorder="1" applyFont="1" applyNumberFormat="1">
      <alignment horizontal="center" shrinkToFit="0" vertical="bottom" wrapText="0"/>
    </xf>
    <xf borderId="0" fillId="0" fontId="23" numFmtId="0" xfId="0" applyAlignment="1" applyFont="1">
      <alignment horizontal="center" shrinkToFit="0" vertical="center" wrapText="0"/>
    </xf>
    <xf borderId="0" fillId="0" fontId="52" numFmtId="0" xfId="0" applyAlignment="1" applyFont="1">
      <alignment horizontal="center" shrinkToFit="0" vertical="center" wrapText="0"/>
    </xf>
    <xf borderId="0" fillId="0" fontId="53" numFmtId="0" xfId="0" applyAlignment="1" applyFont="1">
      <alignment shrinkToFit="0" vertical="center" wrapText="0"/>
    </xf>
    <xf borderId="0" fillId="0" fontId="54" numFmtId="0" xfId="0" applyAlignment="1" applyFont="1">
      <alignment horizontal="left" shrinkToFit="0" vertical="center" wrapText="0"/>
    </xf>
    <xf borderId="0" fillId="0" fontId="54" numFmtId="0" xfId="0" applyAlignment="1" applyFont="1">
      <alignment horizontal="center" shrinkToFit="0" vertical="center" wrapText="0"/>
    </xf>
    <xf borderId="0" fillId="0" fontId="55" numFmtId="9" xfId="0" applyAlignment="1" applyFont="1" applyNumberFormat="1">
      <alignment horizontal="center" shrinkToFit="0" vertical="center" wrapText="0"/>
    </xf>
    <xf borderId="0" fillId="0" fontId="56" numFmtId="0" xfId="0" applyAlignment="1" applyFont="1">
      <alignment shrinkToFit="0" vertical="bottom" wrapText="0"/>
    </xf>
    <xf borderId="0" fillId="0" fontId="56" numFmtId="2" xfId="0" applyAlignment="1" applyFont="1" applyNumberFormat="1">
      <alignment shrinkToFit="0" vertical="bottom" wrapText="0"/>
    </xf>
    <xf borderId="0" fillId="0" fontId="57" numFmtId="0" xfId="0" applyAlignment="1" applyFont="1">
      <alignment shrinkToFit="0" vertical="bottom" wrapText="0"/>
    </xf>
    <xf borderId="18" fillId="18" fontId="13" numFmtId="0" xfId="0" applyAlignment="1" applyBorder="1" applyFill="1" applyFont="1">
      <alignment horizontal="center" shrinkToFit="0" vertical="center" wrapText="0"/>
    </xf>
    <xf borderId="19" fillId="18" fontId="13" numFmtId="0" xfId="0" applyAlignment="1" applyBorder="1" applyFont="1">
      <alignment horizontal="center" shrinkToFit="0" vertical="center" wrapText="0"/>
    </xf>
    <xf borderId="19" fillId="18" fontId="13" numFmtId="0" xfId="0" applyAlignment="1" applyBorder="1" applyFont="1">
      <alignment shrinkToFit="0" vertical="center" wrapText="0"/>
    </xf>
    <xf borderId="20" fillId="18" fontId="13" numFmtId="0" xfId="0" applyAlignment="1" applyBorder="1" applyFont="1">
      <alignment horizontal="center" shrinkToFit="0" vertical="center" wrapText="0"/>
    </xf>
    <xf borderId="0" fillId="0" fontId="0" numFmtId="0" xfId="0" applyAlignment="1" applyFont="1">
      <alignment horizontal="center" shrinkToFit="1" vertical="center" wrapText="0"/>
    </xf>
    <xf borderId="0" fillId="0" fontId="0" numFmtId="0" xfId="0" applyAlignment="1" applyFont="1">
      <alignment shrinkToFit="1" vertical="center" wrapText="0"/>
    </xf>
    <xf borderId="0" fillId="0" fontId="0" numFmtId="0" xfId="0" applyAlignment="1" applyFont="1">
      <alignment shrinkToFit="1" vertical="bottom" wrapText="0"/>
    </xf>
    <xf borderId="22" fillId="19" fontId="0" numFmtId="49" xfId="0" applyAlignment="1" applyBorder="1" applyFill="1" applyFont="1" applyNumberFormat="1">
      <alignment horizontal="center" shrinkToFit="0" vertical="bottom" wrapText="0"/>
    </xf>
    <xf borderId="23" fillId="19" fontId="0" numFmtId="172" xfId="0" applyAlignment="1" applyBorder="1" applyFont="1" applyNumberFormat="1">
      <alignment horizontal="center" shrinkToFit="0" vertical="bottom" wrapText="0"/>
    </xf>
    <xf borderId="24" fillId="0" fontId="0" numFmtId="171" xfId="0" applyAlignment="1" applyBorder="1" applyFont="1" applyNumberFormat="1">
      <alignment horizontal="center" shrinkToFit="0" vertical="bottom" wrapText="0"/>
    </xf>
    <xf borderId="0" fillId="0" fontId="0" numFmtId="171" xfId="0" applyAlignment="1" applyFont="1" applyNumberFormat="1">
      <alignment horizontal="center" shrinkToFit="0" vertical="bottom" wrapText="0"/>
    </xf>
    <xf borderId="0" fillId="0" fontId="58" numFmtId="0" xfId="0" applyAlignment="1" applyFont="1">
      <alignment horizontal="center" shrinkToFit="0" vertical="center" wrapText="0"/>
    </xf>
    <xf borderId="0" fillId="0" fontId="0" numFmtId="175" xfId="0" applyAlignment="1" applyFont="1" applyNumberFormat="1">
      <alignment shrinkToFit="0" vertical="bottom" wrapText="0"/>
    </xf>
    <xf borderId="0" fillId="0" fontId="0" numFmtId="176" xfId="0" applyAlignment="1" applyFont="1" applyNumberFormat="1">
      <alignment shrinkToFit="0" vertical="bottom" wrapText="0"/>
    </xf>
    <xf borderId="0" fillId="0" fontId="15" numFmtId="164" xfId="0" applyFont="1" applyNumberFormat="1"/>
    <xf borderId="10" fillId="0" fontId="33" numFmtId="49" xfId="0" applyAlignment="1" applyBorder="1" applyFont="1" applyNumberFormat="1">
      <alignment horizontal="center" shrinkToFit="0" vertical="center" wrapText="0"/>
    </xf>
    <xf borderId="25" fillId="10" fontId="33" numFmtId="0" xfId="0" applyAlignment="1" applyBorder="1" applyFont="1">
      <alignment horizontal="center" shrinkToFit="0" vertical="bottom" wrapText="0"/>
    </xf>
    <xf borderId="0" fillId="0" fontId="33" numFmtId="173" xfId="0" applyAlignment="1" applyFont="1" applyNumberFormat="1">
      <alignment shrinkToFit="0" vertical="bottom" wrapText="0"/>
    </xf>
    <xf borderId="0" fillId="0" fontId="0" numFmtId="167" xfId="0" applyAlignment="1" applyFont="1" applyNumberFormat="1">
      <alignment shrinkToFit="0" vertical="bottom" wrapText="0"/>
    </xf>
    <xf borderId="0" fillId="0" fontId="15" numFmtId="2" xfId="0" applyFont="1" applyNumberFormat="1"/>
    <xf borderId="0" fillId="0" fontId="15" numFmtId="165" xfId="0" applyFont="1" applyNumberFormat="1"/>
    <xf borderId="10" fillId="19" fontId="0" numFmtId="49" xfId="0" applyAlignment="1" applyBorder="1" applyFont="1" applyNumberFormat="1">
      <alignment horizontal="center" shrinkToFit="0" vertical="bottom" wrapText="0"/>
    </xf>
    <xf borderId="11" fillId="19" fontId="0" numFmtId="172" xfId="0" applyAlignment="1" applyBorder="1" applyFont="1" applyNumberFormat="1">
      <alignment horizontal="center" shrinkToFit="0" vertical="bottom" wrapText="0"/>
    </xf>
    <xf borderId="12" fillId="0" fontId="0" numFmtId="171" xfId="0" applyAlignment="1" applyBorder="1" applyFont="1" applyNumberFormat="1">
      <alignment horizontal="center" shrinkToFit="0" vertical="bottom" wrapText="0"/>
    </xf>
    <xf borderId="72" fillId="20" fontId="59" numFmtId="0" xfId="0" applyAlignment="1" applyBorder="1" applyFill="1" applyFont="1">
      <alignment shrinkToFit="0" vertical="bottom" wrapText="0"/>
    </xf>
    <xf borderId="73" fillId="20" fontId="59" numFmtId="0" xfId="0" applyAlignment="1" applyBorder="1" applyFont="1">
      <alignment horizontal="center" shrinkToFit="0" vertical="bottom" wrapText="0"/>
    </xf>
    <xf borderId="74" fillId="20" fontId="59" numFmtId="0" xfId="0" applyAlignment="1" applyBorder="1" applyFont="1">
      <alignment horizontal="center" shrinkToFit="0" vertical="bottom" wrapText="0"/>
    </xf>
    <xf borderId="0" fillId="0" fontId="60" numFmtId="0" xfId="0" applyAlignment="1" applyFont="1">
      <alignment horizontal="center" shrinkToFit="0" vertical="bottom" wrapText="0"/>
    </xf>
    <xf borderId="18" fillId="0" fontId="61" numFmtId="169" xfId="0" applyAlignment="1" applyBorder="1" applyFont="1" applyNumberFormat="1">
      <alignment shrinkToFit="0" vertical="bottom" wrapText="0"/>
    </xf>
    <xf borderId="19" fillId="19" fontId="61" numFmtId="177" xfId="0" applyAlignment="1" applyBorder="1" applyFont="1" applyNumberFormat="1">
      <alignment horizontal="center" shrinkToFit="0" vertical="bottom" wrapText="0"/>
    </xf>
    <xf borderId="20" fillId="0" fontId="61" numFmtId="173" xfId="0" applyAlignment="1" applyBorder="1" applyFont="1" applyNumberFormat="1">
      <alignment horizontal="center" shrinkToFit="0" vertical="bottom" wrapText="0"/>
    </xf>
    <xf borderId="22" fillId="0" fontId="61" numFmtId="169" xfId="0" applyAlignment="1" applyBorder="1" applyFont="1" applyNumberFormat="1">
      <alignment shrinkToFit="0" vertical="bottom" wrapText="0"/>
    </xf>
    <xf borderId="23" fillId="19" fontId="61" numFmtId="177" xfId="0" applyAlignment="1" applyBorder="1" applyFont="1" applyNumberFormat="1">
      <alignment horizontal="center" shrinkToFit="0" vertical="bottom" wrapText="0"/>
    </xf>
    <xf borderId="24" fillId="0" fontId="61" numFmtId="173" xfId="0" applyAlignment="1" applyBorder="1" applyFont="1" applyNumberFormat="1">
      <alignment horizontal="center" shrinkToFit="0" vertical="bottom" wrapText="0"/>
    </xf>
    <xf borderId="10" fillId="0" fontId="61" numFmtId="169" xfId="0" applyAlignment="1" applyBorder="1" applyFont="1" applyNumberFormat="1">
      <alignment shrinkToFit="0" vertical="bottom" wrapText="0"/>
    </xf>
    <xf borderId="11" fillId="19" fontId="61" numFmtId="177" xfId="0" applyAlignment="1" applyBorder="1" applyFont="1" applyNumberFormat="1">
      <alignment horizontal="center" shrinkToFit="0" vertical="bottom" wrapText="0"/>
    </xf>
    <xf borderId="12" fillId="0" fontId="61" numFmtId="173" xfId="0" applyAlignment="1" applyBorder="1" applyFont="1" applyNumberFormat="1">
      <alignment horizontal="center" shrinkToFit="0" vertical="bottom" wrapText="0"/>
    </xf>
    <xf borderId="58" fillId="3" fontId="37" numFmtId="0" xfId="0" applyAlignment="1" applyBorder="1" applyFont="1">
      <alignment horizontal="center" shrinkToFit="1" vertical="center" wrapText="0"/>
    </xf>
    <xf borderId="59" fillId="0" fontId="0" numFmtId="2" xfId="0" applyAlignment="1" applyBorder="1" applyFont="1" applyNumberFormat="1">
      <alignment horizontal="center" shrinkToFit="0" vertical="bottom" wrapText="0"/>
    </xf>
    <xf borderId="75" fillId="11" fontId="0" numFmtId="2" xfId="0" applyAlignment="1" applyBorder="1" applyFont="1" applyNumberFormat="1">
      <alignment horizontal="center" shrinkToFit="0" vertical="bottom" wrapText="0"/>
    </xf>
    <xf borderId="75" fillId="12" fontId="29" numFmtId="2" xfId="0" applyAlignment="1" applyBorder="1" applyFont="1" applyNumberFormat="1">
      <alignment horizontal="center" shrinkToFit="0" vertical="bottom" wrapText="0"/>
    </xf>
    <xf borderId="76" fillId="13" fontId="29" numFmtId="2" xfId="0" applyAlignment="1" applyBorder="1" applyFont="1" applyNumberFormat="1">
      <alignment horizontal="center" shrinkToFit="0" vertical="bottom" wrapText="0"/>
    </xf>
  </cellXfs>
  <cellStyles count="1">
    <cellStyle xfId="0" name="Normal" builtinId="0"/>
  </cellStyles>
  <dxfs count="6">
    <dxf>
      <font/>
      <fill>
        <patternFill patternType="solid">
          <fgColor rgb="FFCCFFCC"/>
          <bgColor rgb="FFCCFFCC"/>
        </patternFill>
      </fill>
      <border/>
    </dxf>
    <dxf>
      <font>
        <color rgb="FFFFFFFF"/>
      </font>
      <fill>
        <patternFill patternType="solid">
          <fgColor rgb="FFFF0000"/>
          <bgColor rgb="FFFF0000"/>
        </patternFill>
      </fill>
      <border/>
    </dxf>
    <dxf>
      <font>
        <color rgb="FFFFFF00"/>
      </font>
      <fill>
        <patternFill patternType="solid">
          <fgColor rgb="FFE36C09"/>
          <bgColor rgb="FFE36C09"/>
        </patternFill>
      </fill>
      <border/>
    </dxf>
    <dxf>
      <font/>
      <fill>
        <patternFill patternType="solid">
          <fgColor rgb="FF974806"/>
          <bgColor rgb="FF974806"/>
        </patternFill>
      </fill>
      <border/>
    </dxf>
    <dxf>
      <font/>
      <fill>
        <patternFill patternType="solid">
          <fgColor rgb="FFBFBFBF"/>
          <bgColor rgb="FFBFBFBF"/>
        </patternFill>
      </fill>
      <border/>
    </dxf>
    <dxf>
      <font/>
      <fill>
        <patternFill patternType="solid">
          <fgColor rgb="FFFFCC00"/>
          <bgColor rgb="FFFFCC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2876550</xdr:colOff>
      <xdr:row>0</xdr:row>
      <xdr:rowOff>0</xdr:rowOff>
    </xdr:from>
    <xdr:ext cx="2066925" cy="157162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0</xdr:col>
      <xdr:colOff>619125</xdr:colOff>
      <xdr:row>1</xdr:row>
      <xdr:rowOff>47625</xdr:rowOff>
    </xdr:from>
    <xdr:ext cx="2066925" cy="158115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hyperlink" Target="http://www.quadkids.org/awards"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www.quadkids.org/awards"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1" width="4.0"/>
    <col customWidth="1" min="2" max="2" width="121.71"/>
    <col customWidth="1" min="3" max="7" width="9.14"/>
    <col customWidth="1" min="8" max="26" width="8.0"/>
  </cols>
  <sheetData>
    <row r="1" ht="33.75" customHeight="1">
      <c r="A1" s="1"/>
      <c r="B1" s="2"/>
      <c r="C1" s="3"/>
      <c r="D1" s="3"/>
      <c r="E1" s="3"/>
      <c r="F1" s="3"/>
      <c r="G1" s="3"/>
      <c r="H1" s="1"/>
      <c r="I1" s="1"/>
      <c r="J1" s="1"/>
      <c r="K1" s="1"/>
      <c r="L1" s="1"/>
      <c r="M1" s="1"/>
      <c r="N1" s="1"/>
      <c r="O1" s="1"/>
      <c r="P1" s="1"/>
      <c r="Q1" s="1"/>
      <c r="R1" s="1"/>
      <c r="S1" s="1"/>
      <c r="T1" s="1"/>
      <c r="U1" s="1"/>
      <c r="V1" s="1"/>
      <c r="W1" s="1"/>
      <c r="X1" s="1"/>
      <c r="Y1" s="1"/>
      <c r="Z1" s="1"/>
    </row>
    <row r="2" ht="12.75" customHeight="1">
      <c r="A2" s="1"/>
      <c r="B2" s="4"/>
      <c r="C2" s="1"/>
      <c r="D2" s="1"/>
      <c r="E2" s="1"/>
      <c r="F2" s="1"/>
      <c r="G2" s="1"/>
      <c r="H2" s="1"/>
      <c r="I2" s="1"/>
      <c r="J2" s="1"/>
      <c r="K2" s="1"/>
      <c r="L2" s="1"/>
      <c r="M2" s="1"/>
      <c r="N2" s="1"/>
      <c r="O2" s="1"/>
      <c r="P2" s="1"/>
      <c r="Q2" s="1"/>
      <c r="R2" s="1"/>
      <c r="S2" s="1"/>
      <c r="T2" s="1"/>
      <c r="U2" s="1"/>
      <c r="V2" s="1"/>
      <c r="W2" s="1"/>
      <c r="X2" s="1"/>
      <c r="Y2" s="1"/>
      <c r="Z2" s="1"/>
    </row>
    <row r="3" ht="12.75" customHeight="1">
      <c r="A3" s="1"/>
      <c r="B3" s="4"/>
      <c r="C3" s="1"/>
      <c r="D3" s="1"/>
      <c r="E3" s="1"/>
      <c r="F3" s="1"/>
      <c r="G3" s="1"/>
      <c r="H3" s="1"/>
      <c r="I3" s="1"/>
      <c r="J3" s="1"/>
      <c r="K3" s="1"/>
      <c r="L3" s="1"/>
      <c r="M3" s="1"/>
      <c r="N3" s="1"/>
      <c r="O3" s="1"/>
      <c r="P3" s="1"/>
      <c r="Q3" s="1"/>
      <c r="R3" s="1"/>
      <c r="S3" s="1"/>
      <c r="T3" s="1"/>
      <c r="U3" s="1"/>
      <c r="V3" s="1"/>
      <c r="W3" s="1"/>
      <c r="X3" s="1"/>
      <c r="Y3" s="1"/>
      <c r="Z3" s="1"/>
    </row>
    <row r="4" ht="12.75" customHeight="1">
      <c r="A4" s="1"/>
      <c r="B4" s="4"/>
      <c r="C4" s="1"/>
      <c r="D4" s="1"/>
      <c r="E4" s="1"/>
      <c r="F4" s="1"/>
      <c r="G4" s="1"/>
      <c r="H4" s="1"/>
      <c r="I4" s="1"/>
      <c r="J4" s="1"/>
      <c r="K4" s="1"/>
      <c r="L4" s="1"/>
      <c r="M4" s="1"/>
      <c r="N4" s="1"/>
      <c r="O4" s="1"/>
      <c r="P4" s="1"/>
      <c r="Q4" s="1"/>
      <c r="R4" s="1"/>
      <c r="S4" s="1"/>
      <c r="T4" s="1"/>
      <c r="U4" s="1"/>
      <c r="V4" s="1"/>
      <c r="W4" s="1"/>
      <c r="X4" s="1"/>
      <c r="Y4" s="1"/>
      <c r="Z4" s="1"/>
    </row>
    <row r="5" ht="12.75" customHeight="1">
      <c r="A5" s="1"/>
      <c r="B5" s="4"/>
      <c r="C5" s="1"/>
      <c r="D5" s="1"/>
      <c r="E5" s="1"/>
      <c r="F5" s="1"/>
      <c r="G5" s="1"/>
      <c r="H5" s="1"/>
      <c r="I5" s="1"/>
      <c r="J5" s="1"/>
      <c r="K5" s="1"/>
      <c r="L5" s="1"/>
      <c r="M5" s="1"/>
      <c r="N5" s="1"/>
      <c r="O5" s="1"/>
      <c r="P5" s="1"/>
      <c r="Q5" s="1"/>
      <c r="R5" s="1"/>
      <c r="S5" s="1"/>
      <c r="T5" s="1"/>
      <c r="U5" s="1"/>
      <c r="V5" s="1"/>
      <c r="W5" s="1"/>
      <c r="X5" s="1"/>
      <c r="Y5" s="1"/>
      <c r="Z5" s="1"/>
    </row>
    <row r="6" ht="12.75" customHeight="1">
      <c r="A6" s="1"/>
      <c r="B6" s="4"/>
      <c r="C6" s="1"/>
      <c r="D6" s="1"/>
      <c r="E6" s="1"/>
      <c r="F6" s="1"/>
      <c r="G6" s="1"/>
      <c r="H6" s="1"/>
      <c r="I6" s="1"/>
      <c r="J6" s="1"/>
      <c r="K6" s="1"/>
      <c r="L6" s="1"/>
      <c r="M6" s="1"/>
      <c r="N6" s="1"/>
      <c r="O6" s="1"/>
      <c r="P6" s="1"/>
      <c r="Q6" s="1"/>
      <c r="R6" s="1"/>
      <c r="S6" s="1"/>
      <c r="T6" s="1"/>
      <c r="U6" s="1"/>
      <c r="V6" s="1"/>
      <c r="W6" s="1"/>
      <c r="X6" s="1"/>
      <c r="Y6" s="1"/>
      <c r="Z6" s="1"/>
    </row>
    <row r="7" ht="12.75" customHeight="1">
      <c r="A7" s="1"/>
      <c r="B7" s="4"/>
      <c r="C7" s="1"/>
      <c r="D7" s="1"/>
      <c r="E7" s="1"/>
      <c r="F7" s="1"/>
      <c r="G7" s="1"/>
      <c r="H7" s="1"/>
      <c r="I7" s="1"/>
      <c r="J7" s="1"/>
      <c r="K7" s="1"/>
      <c r="L7" s="1"/>
      <c r="M7" s="1"/>
      <c r="N7" s="1"/>
      <c r="O7" s="1"/>
      <c r="P7" s="1"/>
      <c r="Q7" s="1"/>
      <c r="R7" s="1"/>
      <c r="S7" s="1"/>
      <c r="T7" s="1"/>
      <c r="U7" s="1"/>
      <c r="V7" s="1"/>
      <c r="W7" s="1"/>
      <c r="X7" s="1"/>
      <c r="Y7" s="1"/>
      <c r="Z7" s="1"/>
    </row>
    <row r="8" ht="22.5" customHeight="1">
      <c r="A8" s="1"/>
      <c r="B8" s="5"/>
      <c r="C8" s="1"/>
      <c r="D8" s="1"/>
      <c r="E8" s="1"/>
      <c r="F8" s="1"/>
      <c r="G8" s="1"/>
      <c r="H8" s="1"/>
      <c r="I8" s="1"/>
      <c r="J8" s="1"/>
      <c r="K8" s="1"/>
      <c r="L8" s="1"/>
      <c r="M8" s="1"/>
      <c r="N8" s="1"/>
      <c r="O8" s="1"/>
      <c r="P8" s="1"/>
      <c r="Q8" s="1"/>
      <c r="R8" s="1"/>
      <c r="S8" s="1"/>
      <c r="T8" s="1"/>
      <c r="U8" s="1"/>
      <c r="V8" s="1"/>
      <c r="W8" s="1"/>
      <c r="X8" s="1"/>
      <c r="Y8" s="1"/>
      <c r="Z8" s="1"/>
    </row>
    <row r="9" ht="12.75" customHeight="1">
      <c r="A9" s="1"/>
      <c r="B9" s="5"/>
      <c r="C9" s="1"/>
      <c r="D9" s="1"/>
      <c r="E9" s="1"/>
      <c r="F9" s="1"/>
      <c r="G9" s="1"/>
      <c r="H9" s="1"/>
      <c r="I9" s="1"/>
      <c r="J9" s="1"/>
      <c r="K9" s="1"/>
      <c r="L9" s="1"/>
      <c r="M9" s="1"/>
      <c r="N9" s="1"/>
      <c r="O9" s="1"/>
      <c r="P9" s="1"/>
      <c r="Q9" s="1"/>
      <c r="R9" s="1"/>
      <c r="S9" s="1"/>
      <c r="T9" s="1"/>
      <c r="U9" s="1"/>
      <c r="V9" s="1"/>
      <c r="W9" s="1"/>
      <c r="X9" s="1"/>
      <c r="Y9" s="1"/>
      <c r="Z9" s="1"/>
    </row>
    <row r="10" ht="52.5" customHeight="1">
      <c r="A10" s="1"/>
      <c r="B10" s="6" t="s">
        <v>3</v>
      </c>
      <c r="C10" s="1"/>
      <c r="D10" s="1"/>
      <c r="E10" s="1"/>
      <c r="F10" s="1"/>
      <c r="G10" s="1"/>
      <c r="H10" s="1"/>
      <c r="I10" s="1"/>
      <c r="J10" s="1"/>
      <c r="K10" s="1"/>
      <c r="L10" s="1"/>
      <c r="M10" s="1"/>
      <c r="N10" s="1"/>
      <c r="O10" s="1"/>
      <c r="P10" s="1"/>
      <c r="Q10" s="1"/>
      <c r="R10" s="1"/>
      <c r="S10" s="1"/>
      <c r="T10" s="1"/>
      <c r="U10" s="1"/>
      <c r="V10" s="1"/>
      <c r="W10" s="1"/>
      <c r="X10" s="1"/>
      <c r="Y10" s="1"/>
      <c r="Z10" s="1"/>
    </row>
    <row r="11" ht="12.75" customHeight="1">
      <c r="A11" s="1"/>
      <c r="B11" s="7"/>
      <c r="C11" s="1"/>
      <c r="D11" s="1"/>
      <c r="E11" s="1"/>
      <c r="F11" s="1"/>
      <c r="G11" s="1"/>
      <c r="H11" s="1"/>
      <c r="I11" s="1"/>
      <c r="J11" s="1"/>
      <c r="K11" s="1"/>
      <c r="L11" s="1"/>
      <c r="M11" s="1"/>
      <c r="N11" s="1"/>
      <c r="O11" s="1"/>
      <c r="P11" s="1"/>
      <c r="Q11" s="1"/>
      <c r="R11" s="1"/>
      <c r="S11" s="1"/>
      <c r="T11" s="1"/>
      <c r="U11" s="1"/>
      <c r="V11" s="1"/>
      <c r="W11" s="1"/>
      <c r="X11" s="1"/>
      <c r="Y11" s="1"/>
      <c r="Z11" s="1"/>
    </row>
    <row r="12" ht="163.5" customHeight="1">
      <c r="A12" s="1"/>
      <c r="B12" s="8" t="s">
        <v>4</v>
      </c>
      <c r="C12" s="1"/>
      <c r="D12" s="1"/>
      <c r="E12" s="1"/>
      <c r="F12" s="1"/>
      <c r="G12" s="1"/>
      <c r="H12" s="1"/>
      <c r="I12" s="1"/>
      <c r="J12" s="1"/>
      <c r="K12" s="1"/>
      <c r="L12" s="1"/>
      <c r="M12" s="1"/>
      <c r="N12" s="1"/>
      <c r="O12" s="1"/>
      <c r="P12" s="1"/>
      <c r="Q12" s="1"/>
      <c r="R12" s="1"/>
      <c r="S12" s="1"/>
      <c r="T12" s="1"/>
      <c r="U12" s="1"/>
      <c r="V12" s="1"/>
      <c r="W12" s="1"/>
      <c r="X12" s="1"/>
      <c r="Y12" s="1"/>
      <c r="Z12" s="1"/>
    </row>
    <row r="13" ht="12.75" customHeight="1">
      <c r="A13" s="1"/>
      <c r="B13" s="9"/>
      <c r="C13" s="1"/>
      <c r="D13" s="1"/>
      <c r="E13" s="1"/>
      <c r="F13" s="1"/>
      <c r="G13" s="1"/>
      <c r="H13" s="1"/>
      <c r="I13" s="1"/>
      <c r="J13" s="1"/>
      <c r="K13" s="1"/>
      <c r="L13" s="1"/>
      <c r="M13" s="1"/>
      <c r="N13" s="1"/>
      <c r="O13" s="1"/>
      <c r="P13" s="1"/>
      <c r="Q13" s="1"/>
      <c r="R13" s="1"/>
      <c r="S13" s="1"/>
      <c r="T13" s="1"/>
      <c r="U13" s="1"/>
      <c r="V13" s="1"/>
      <c r="W13" s="1"/>
      <c r="X13" s="1"/>
      <c r="Y13" s="1"/>
      <c r="Z13" s="1"/>
    </row>
    <row r="14" ht="12.75" customHeight="1">
      <c r="A14" s="1"/>
      <c r="B14" s="10"/>
      <c r="C14" s="1"/>
      <c r="D14" s="1"/>
      <c r="E14" s="1"/>
      <c r="F14" s="1"/>
      <c r="G14" s="1"/>
      <c r="H14" s="1"/>
      <c r="I14" s="1"/>
      <c r="J14" s="1"/>
      <c r="K14" s="1"/>
      <c r="L14" s="1"/>
      <c r="M14" s="1"/>
      <c r="N14" s="1"/>
      <c r="O14" s="1"/>
      <c r="P14" s="1"/>
      <c r="Q14" s="1"/>
      <c r="R14" s="1"/>
      <c r="S14" s="1"/>
      <c r="T14" s="1"/>
      <c r="U14" s="1"/>
      <c r="V14" s="1"/>
      <c r="W14" s="1"/>
      <c r="X14" s="1"/>
      <c r="Y14" s="1"/>
      <c r="Z14" s="1"/>
    </row>
    <row r="15" ht="12.75" customHeight="1">
      <c r="A15" s="1"/>
      <c r="B15" s="4"/>
      <c r="C15" s="1"/>
      <c r="D15" s="1"/>
      <c r="E15" s="1"/>
      <c r="F15" s="1"/>
      <c r="G15" s="1"/>
      <c r="H15" s="1"/>
      <c r="I15" s="1"/>
      <c r="J15" s="1"/>
      <c r="K15" s="1"/>
      <c r="L15" s="1"/>
      <c r="M15" s="1"/>
      <c r="N15" s="1"/>
      <c r="O15" s="1"/>
      <c r="P15" s="1"/>
      <c r="Q15" s="1"/>
      <c r="R15" s="1"/>
      <c r="S15" s="1"/>
      <c r="T15" s="1"/>
      <c r="U15" s="1"/>
      <c r="V15" s="1"/>
      <c r="W15" s="1"/>
      <c r="X15" s="1"/>
      <c r="Y15" s="1"/>
      <c r="Z15" s="1"/>
    </row>
    <row r="16" ht="26.25" customHeight="1">
      <c r="A16" s="1"/>
      <c r="B16" s="11" t="s">
        <v>5</v>
      </c>
      <c r="C16" s="1"/>
      <c r="D16" s="1"/>
      <c r="E16" s="1"/>
      <c r="F16" s="1"/>
      <c r="G16" s="1"/>
      <c r="H16" s="1"/>
      <c r="I16" s="1"/>
      <c r="J16" s="1"/>
      <c r="K16" s="1"/>
      <c r="L16" s="1"/>
      <c r="M16" s="1"/>
      <c r="N16" s="1"/>
      <c r="O16" s="1"/>
      <c r="P16" s="1"/>
      <c r="Q16" s="1"/>
      <c r="R16" s="1"/>
      <c r="S16" s="1"/>
      <c r="T16" s="1"/>
      <c r="U16" s="1"/>
      <c r="V16" s="1"/>
      <c r="W16" s="1"/>
      <c r="X16" s="1"/>
      <c r="Y16" s="1"/>
      <c r="Z16" s="1"/>
    </row>
    <row r="17" ht="37.5" customHeight="1">
      <c r="A17" s="1"/>
      <c r="B17" s="12" t="s">
        <v>6</v>
      </c>
      <c r="C17" s="1"/>
      <c r="D17" s="1"/>
      <c r="E17" s="1"/>
      <c r="F17" s="1"/>
      <c r="G17" s="1"/>
      <c r="H17" s="1"/>
      <c r="I17" s="1"/>
      <c r="J17" s="1"/>
      <c r="K17" s="1"/>
      <c r="L17" s="1"/>
      <c r="M17" s="1"/>
      <c r="N17" s="1"/>
      <c r="O17" s="1"/>
      <c r="P17" s="1"/>
      <c r="Q17" s="1"/>
      <c r="R17" s="1"/>
      <c r="S17" s="1"/>
      <c r="T17" s="1"/>
      <c r="U17" s="1"/>
      <c r="V17" s="1"/>
      <c r="W17" s="1"/>
      <c r="X17" s="1"/>
      <c r="Y17" s="1"/>
      <c r="Z17" s="1"/>
    </row>
    <row r="18" ht="18.75" customHeight="1">
      <c r="A18" s="1"/>
      <c r="B18" s="13" t="s">
        <v>7</v>
      </c>
      <c r="C18" s="1"/>
      <c r="D18" s="1"/>
      <c r="E18" s="1"/>
      <c r="F18" s="1"/>
      <c r="G18" s="1"/>
      <c r="H18" s="1"/>
      <c r="I18" s="1"/>
      <c r="J18" s="1"/>
      <c r="K18" s="1"/>
      <c r="L18" s="1"/>
      <c r="M18" s="1"/>
      <c r="N18" s="1"/>
      <c r="O18" s="1"/>
      <c r="P18" s="1"/>
      <c r="Q18" s="1"/>
      <c r="R18" s="1"/>
      <c r="S18" s="1"/>
      <c r="T18" s="1"/>
      <c r="U18" s="1"/>
      <c r="V18" s="1"/>
      <c r="W18" s="1"/>
      <c r="X18" s="1"/>
      <c r="Y18" s="1"/>
      <c r="Z18" s="1"/>
    </row>
    <row r="19" ht="18.75" customHeight="1">
      <c r="A19" s="1"/>
      <c r="B19" s="13" t="s">
        <v>8</v>
      </c>
      <c r="C19" s="1"/>
      <c r="D19" s="1"/>
      <c r="E19" s="1"/>
      <c r="F19" s="1"/>
      <c r="G19" s="1"/>
      <c r="H19" s="1"/>
      <c r="I19" s="1"/>
      <c r="J19" s="1"/>
      <c r="K19" s="1"/>
      <c r="L19" s="1"/>
      <c r="M19" s="1"/>
      <c r="N19" s="1"/>
      <c r="O19" s="1"/>
      <c r="P19" s="1"/>
      <c r="Q19" s="1"/>
      <c r="R19" s="1"/>
      <c r="S19" s="1"/>
      <c r="T19" s="1"/>
      <c r="U19" s="1"/>
      <c r="V19" s="1"/>
      <c r="W19" s="1"/>
      <c r="X19" s="1"/>
      <c r="Y19" s="1"/>
      <c r="Z19" s="1"/>
    </row>
    <row r="20" ht="18.75" customHeight="1">
      <c r="A20" s="1"/>
      <c r="B20" s="13" t="s">
        <v>9</v>
      </c>
      <c r="C20" s="1"/>
      <c r="D20" s="1"/>
      <c r="E20" s="1"/>
      <c r="F20" s="1"/>
      <c r="G20" s="1"/>
      <c r="H20" s="1"/>
      <c r="I20" s="1"/>
      <c r="J20" s="1"/>
      <c r="K20" s="1"/>
      <c r="L20" s="1"/>
      <c r="M20" s="1"/>
      <c r="N20" s="1"/>
      <c r="O20" s="1"/>
      <c r="P20" s="1"/>
      <c r="Q20" s="1"/>
      <c r="R20" s="1"/>
      <c r="S20" s="1"/>
      <c r="T20" s="1"/>
      <c r="U20" s="1"/>
      <c r="V20" s="1"/>
      <c r="W20" s="1"/>
      <c r="X20" s="1"/>
      <c r="Y20" s="1"/>
      <c r="Z20" s="1"/>
    </row>
    <row r="21" ht="18.75" customHeight="1">
      <c r="A21" s="1"/>
      <c r="B21" s="13" t="s">
        <v>10</v>
      </c>
      <c r="C21" s="1"/>
      <c r="D21" s="1"/>
      <c r="E21" s="1"/>
      <c r="F21" s="1"/>
      <c r="G21" s="1"/>
      <c r="H21" s="1"/>
      <c r="I21" s="1"/>
      <c r="J21" s="1"/>
      <c r="K21" s="1"/>
      <c r="L21" s="1"/>
      <c r="M21" s="1"/>
      <c r="N21" s="1"/>
      <c r="O21" s="1"/>
      <c r="P21" s="1"/>
      <c r="Q21" s="1"/>
      <c r="R21" s="1"/>
      <c r="S21" s="1"/>
      <c r="T21" s="1"/>
      <c r="U21" s="1"/>
      <c r="V21" s="1"/>
      <c r="W21" s="1"/>
      <c r="X21" s="1"/>
      <c r="Y21" s="1"/>
      <c r="Z21" s="1"/>
    </row>
    <row r="22" ht="37.5" customHeight="1">
      <c r="A22" s="1"/>
      <c r="B22" s="13" t="s">
        <v>11</v>
      </c>
      <c r="C22" s="1"/>
      <c r="D22" s="1"/>
      <c r="E22" s="1"/>
      <c r="F22" s="1"/>
      <c r="G22" s="1"/>
      <c r="H22" s="1"/>
      <c r="I22" s="1"/>
      <c r="J22" s="1"/>
      <c r="K22" s="1"/>
      <c r="L22" s="1"/>
      <c r="M22" s="1"/>
      <c r="N22" s="1"/>
      <c r="O22" s="1"/>
      <c r="P22" s="1"/>
      <c r="Q22" s="1"/>
      <c r="R22" s="1"/>
      <c r="S22" s="1"/>
      <c r="T22" s="1"/>
      <c r="U22" s="1"/>
      <c r="V22" s="1"/>
      <c r="W22" s="1"/>
      <c r="X22" s="1"/>
      <c r="Y22" s="1"/>
      <c r="Z22" s="1"/>
    </row>
    <row r="23" ht="37.5" customHeight="1">
      <c r="A23" s="1"/>
      <c r="B23" s="13" t="s">
        <v>12</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13"/>
      <c r="C24" s="1"/>
      <c r="D24" s="1"/>
      <c r="E24" s="1"/>
      <c r="F24" s="1"/>
      <c r="G24" s="1"/>
      <c r="H24" s="1"/>
      <c r="I24" s="1"/>
      <c r="J24" s="1"/>
      <c r="K24" s="1"/>
      <c r="L24" s="1"/>
      <c r="M24" s="1"/>
      <c r="N24" s="1"/>
      <c r="O24" s="1"/>
      <c r="P24" s="1"/>
      <c r="Q24" s="1"/>
      <c r="R24" s="1"/>
      <c r="S24" s="1"/>
      <c r="T24" s="1"/>
      <c r="U24" s="1"/>
      <c r="V24" s="1"/>
      <c r="W24" s="1"/>
      <c r="X24" s="1"/>
      <c r="Y24" s="1"/>
      <c r="Z24" s="1"/>
    </row>
    <row r="25" ht="12.75" customHeight="1">
      <c r="A25" s="1"/>
      <c r="B25" s="12"/>
      <c r="C25" s="1"/>
      <c r="D25" s="1"/>
      <c r="E25" s="1"/>
      <c r="F25" s="1"/>
      <c r="G25" s="1"/>
      <c r="H25" s="1"/>
      <c r="I25" s="1"/>
      <c r="J25" s="1"/>
      <c r="K25" s="1"/>
      <c r="L25" s="1"/>
      <c r="M25" s="1"/>
      <c r="N25" s="1"/>
      <c r="O25" s="1"/>
      <c r="P25" s="1"/>
      <c r="Q25" s="1"/>
      <c r="R25" s="1"/>
      <c r="S25" s="1"/>
      <c r="T25" s="1"/>
      <c r="U25" s="1"/>
      <c r="V25" s="1"/>
      <c r="W25" s="1"/>
      <c r="X25" s="1"/>
      <c r="Y25" s="1"/>
      <c r="Z25" s="1"/>
    </row>
    <row r="26" ht="18.75" customHeight="1">
      <c r="A26" s="1"/>
      <c r="B26" s="12" t="s">
        <v>13</v>
      </c>
      <c r="C26" s="1"/>
      <c r="D26" s="1"/>
      <c r="E26" s="1"/>
      <c r="F26" s="1"/>
      <c r="G26" s="1"/>
      <c r="H26" s="1"/>
      <c r="I26" s="1"/>
      <c r="J26" s="1"/>
      <c r="K26" s="1"/>
      <c r="L26" s="1"/>
      <c r="M26" s="1"/>
      <c r="N26" s="1"/>
      <c r="O26" s="1"/>
      <c r="P26" s="1"/>
      <c r="Q26" s="1"/>
      <c r="R26" s="1"/>
      <c r="S26" s="1"/>
      <c r="T26" s="1"/>
      <c r="U26" s="1"/>
      <c r="V26" s="1"/>
      <c r="W26" s="1"/>
      <c r="X26" s="1"/>
      <c r="Y26" s="1"/>
      <c r="Z26" s="1"/>
    </row>
    <row r="27" ht="37.5" customHeight="1">
      <c r="A27" s="1"/>
      <c r="B27" s="13" t="s">
        <v>14</v>
      </c>
      <c r="C27" s="1"/>
      <c r="D27" s="1"/>
      <c r="E27" s="1"/>
      <c r="F27" s="1"/>
      <c r="G27" s="1"/>
      <c r="H27" s="1"/>
      <c r="I27" s="1"/>
      <c r="J27" s="1"/>
      <c r="K27" s="1"/>
      <c r="L27" s="1"/>
      <c r="M27" s="1"/>
      <c r="N27" s="1"/>
      <c r="O27" s="1"/>
      <c r="P27" s="1"/>
      <c r="Q27" s="1"/>
      <c r="R27" s="1"/>
      <c r="S27" s="1"/>
      <c r="T27" s="1"/>
      <c r="U27" s="1"/>
      <c r="V27" s="1"/>
      <c r="W27" s="1"/>
      <c r="X27" s="1"/>
      <c r="Y27" s="1"/>
      <c r="Z27" s="1"/>
    </row>
    <row r="28" ht="18.75" customHeight="1">
      <c r="A28" s="1"/>
      <c r="B28" s="13" t="s">
        <v>15</v>
      </c>
      <c r="C28" s="1"/>
      <c r="D28" s="1"/>
      <c r="E28" s="1"/>
      <c r="F28" s="1"/>
      <c r="G28" s="1"/>
      <c r="H28" s="1"/>
      <c r="I28" s="1"/>
      <c r="J28" s="1"/>
      <c r="K28" s="1"/>
      <c r="L28" s="1"/>
      <c r="M28" s="1"/>
      <c r="N28" s="1"/>
      <c r="O28" s="1"/>
      <c r="P28" s="1"/>
      <c r="Q28" s="1"/>
      <c r="R28" s="1"/>
      <c r="S28" s="1"/>
      <c r="T28" s="1"/>
      <c r="U28" s="1"/>
      <c r="V28" s="1"/>
      <c r="W28" s="1"/>
      <c r="X28" s="1"/>
      <c r="Y28" s="1"/>
      <c r="Z28" s="1"/>
    </row>
    <row r="29" ht="18.75" customHeight="1">
      <c r="A29" s="1"/>
      <c r="B29" s="13" t="s">
        <v>16</v>
      </c>
      <c r="C29" s="1"/>
      <c r="D29" s="1"/>
      <c r="E29" s="1"/>
      <c r="F29" s="1"/>
      <c r="G29" s="1"/>
      <c r="H29" s="1"/>
      <c r="I29" s="1"/>
      <c r="J29" s="1"/>
      <c r="K29" s="1"/>
      <c r="L29" s="1"/>
      <c r="M29" s="1"/>
      <c r="N29" s="1"/>
      <c r="O29" s="1"/>
      <c r="P29" s="1"/>
      <c r="Q29" s="1"/>
      <c r="R29" s="1"/>
      <c r="S29" s="1"/>
      <c r="T29" s="1"/>
      <c r="U29" s="1"/>
      <c r="V29" s="1"/>
      <c r="W29" s="1"/>
      <c r="X29" s="1"/>
      <c r="Y29" s="1"/>
      <c r="Z29" s="1"/>
    </row>
    <row r="30" ht="18.75" customHeight="1">
      <c r="A30" s="1"/>
      <c r="B30" s="13" t="s">
        <v>17</v>
      </c>
      <c r="C30" s="1"/>
      <c r="D30" s="1"/>
      <c r="E30" s="1"/>
      <c r="F30" s="1"/>
      <c r="G30" s="1"/>
      <c r="H30" s="1"/>
      <c r="I30" s="1"/>
      <c r="J30" s="1"/>
      <c r="K30" s="1"/>
      <c r="L30" s="1"/>
      <c r="M30" s="1"/>
      <c r="N30" s="1"/>
      <c r="O30" s="1"/>
      <c r="P30" s="1"/>
      <c r="Q30" s="1"/>
      <c r="R30" s="1"/>
      <c r="S30" s="1"/>
      <c r="T30" s="1"/>
      <c r="U30" s="1"/>
      <c r="V30" s="1"/>
      <c r="W30" s="1"/>
      <c r="X30" s="1"/>
      <c r="Y30" s="1"/>
      <c r="Z30" s="1"/>
    </row>
    <row r="31" ht="18.75" customHeight="1">
      <c r="A31" s="1"/>
      <c r="B31" s="13" t="s">
        <v>18</v>
      </c>
      <c r="C31" s="1"/>
      <c r="D31" s="1"/>
      <c r="E31" s="1"/>
      <c r="F31" s="1"/>
      <c r="G31" s="1"/>
      <c r="H31" s="1"/>
      <c r="I31" s="1"/>
      <c r="J31" s="1"/>
      <c r="K31" s="1"/>
      <c r="L31" s="1"/>
      <c r="M31" s="1"/>
      <c r="N31" s="1"/>
      <c r="O31" s="1"/>
      <c r="P31" s="1"/>
      <c r="Q31" s="1"/>
      <c r="R31" s="1"/>
      <c r="S31" s="1"/>
      <c r="T31" s="1"/>
      <c r="U31" s="1"/>
      <c r="V31" s="1"/>
      <c r="W31" s="1"/>
      <c r="X31" s="1"/>
      <c r="Y31" s="1"/>
      <c r="Z31" s="1"/>
    </row>
    <row r="32" ht="37.5" customHeight="1">
      <c r="A32" s="1"/>
      <c r="B32" s="13" t="s">
        <v>19</v>
      </c>
      <c r="C32" s="1"/>
      <c r="D32" s="1"/>
      <c r="E32" s="1"/>
      <c r="F32" s="1"/>
      <c r="G32" s="1"/>
      <c r="H32" s="1"/>
      <c r="I32" s="1"/>
      <c r="J32" s="1"/>
      <c r="K32" s="1"/>
      <c r="L32" s="1"/>
      <c r="M32" s="1"/>
      <c r="N32" s="1"/>
      <c r="O32" s="1"/>
      <c r="P32" s="1"/>
      <c r="Q32" s="1"/>
      <c r="R32" s="1"/>
      <c r="S32" s="1"/>
      <c r="T32" s="1"/>
      <c r="U32" s="1"/>
      <c r="V32" s="1"/>
      <c r="W32" s="1"/>
      <c r="X32" s="1"/>
      <c r="Y32" s="1"/>
      <c r="Z32" s="1"/>
    </row>
    <row r="33" ht="56.25" customHeight="1">
      <c r="A33" s="1"/>
      <c r="B33" s="13" t="s">
        <v>20</v>
      </c>
      <c r="C33" s="1"/>
      <c r="D33" s="1"/>
      <c r="E33" s="1"/>
      <c r="F33" s="1"/>
      <c r="G33" s="1"/>
      <c r="H33" s="1"/>
      <c r="I33" s="1"/>
      <c r="J33" s="1"/>
      <c r="K33" s="1"/>
      <c r="L33" s="1"/>
      <c r="M33" s="1"/>
      <c r="N33" s="1"/>
      <c r="O33" s="1"/>
      <c r="P33" s="1"/>
      <c r="Q33" s="1"/>
      <c r="R33" s="1"/>
      <c r="S33" s="1"/>
      <c r="T33" s="1"/>
      <c r="U33" s="1"/>
      <c r="V33" s="1"/>
      <c r="W33" s="1"/>
      <c r="X33" s="1"/>
      <c r="Y33" s="1"/>
      <c r="Z33" s="1"/>
    </row>
    <row r="34" ht="12.75" customHeight="1">
      <c r="A34" s="1"/>
      <c r="B34" s="12"/>
      <c r="C34" s="1"/>
      <c r="D34" s="1"/>
      <c r="E34" s="1"/>
      <c r="F34" s="1"/>
      <c r="G34" s="1"/>
      <c r="H34" s="1"/>
      <c r="I34" s="1"/>
      <c r="J34" s="1"/>
      <c r="K34" s="1"/>
      <c r="L34" s="1"/>
      <c r="M34" s="1"/>
      <c r="N34" s="1"/>
      <c r="O34" s="1"/>
      <c r="P34" s="1"/>
      <c r="Q34" s="1"/>
      <c r="R34" s="1"/>
      <c r="S34" s="1"/>
      <c r="T34" s="1"/>
      <c r="U34" s="1"/>
      <c r="V34" s="1"/>
      <c r="W34" s="1"/>
      <c r="X34" s="1"/>
      <c r="Y34" s="1"/>
      <c r="Z34" s="1"/>
    </row>
    <row r="35" ht="75.0" customHeight="1">
      <c r="A35" s="1"/>
      <c r="B35" s="12" t="s">
        <v>21</v>
      </c>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2"/>
      <c r="C36" s="1"/>
      <c r="D36" s="1"/>
      <c r="E36" s="1"/>
      <c r="F36" s="1"/>
      <c r="G36" s="1"/>
      <c r="H36" s="1"/>
      <c r="I36" s="1"/>
      <c r="J36" s="1"/>
      <c r="K36" s="1"/>
      <c r="L36" s="1"/>
      <c r="M36" s="1"/>
      <c r="N36" s="1"/>
      <c r="O36" s="1"/>
      <c r="P36" s="1"/>
      <c r="Q36" s="1"/>
      <c r="R36" s="1"/>
      <c r="S36" s="1"/>
      <c r="T36" s="1"/>
      <c r="U36" s="1"/>
      <c r="V36" s="1"/>
      <c r="W36" s="1"/>
      <c r="X36" s="1"/>
      <c r="Y36" s="1"/>
      <c r="Z36" s="1"/>
    </row>
    <row r="37" ht="18.75" customHeight="1">
      <c r="A37" s="1"/>
      <c r="B37" s="12" t="s">
        <v>22</v>
      </c>
      <c r="C37" s="1"/>
      <c r="D37" s="1"/>
      <c r="E37" s="1"/>
      <c r="F37" s="1"/>
      <c r="G37" s="1"/>
      <c r="H37" s="1"/>
      <c r="I37" s="1"/>
      <c r="J37" s="1"/>
      <c r="K37" s="1"/>
      <c r="L37" s="1"/>
      <c r="M37" s="1"/>
      <c r="N37" s="1"/>
      <c r="O37" s="1"/>
      <c r="P37" s="1"/>
      <c r="Q37" s="1"/>
      <c r="R37" s="1"/>
      <c r="S37" s="1"/>
      <c r="T37" s="1"/>
      <c r="U37" s="1"/>
      <c r="V37" s="1"/>
      <c r="W37" s="1"/>
      <c r="X37" s="1"/>
      <c r="Y37" s="1"/>
      <c r="Z37" s="1"/>
    </row>
    <row r="38" ht="12.75" customHeight="1">
      <c r="A38" s="1"/>
      <c r="B38" s="12"/>
      <c r="C38" s="1"/>
      <c r="D38" s="1"/>
      <c r="E38" s="1"/>
      <c r="F38" s="1"/>
      <c r="G38" s="1"/>
      <c r="H38" s="1"/>
      <c r="I38" s="1"/>
      <c r="J38" s="1"/>
      <c r="K38" s="1"/>
      <c r="L38" s="1"/>
      <c r="M38" s="1"/>
      <c r="N38" s="1"/>
      <c r="O38" s="1"/>
      <c r="P38" s="1"/>
      <c r="Q38" s="1"/>
      <c r="R38" s="1"/>
      <c r="S38" s="1"/>
      <c r="T38" s="1"/>
      <c r="U38" s="1"/>
      <c r="V38" s="1"/>
      <c r="W38" s="1"/>
      <c r="X38" s="1"/>
      <c r="Y38" s="1"/>
      <c r="Z38" s="1"/>
    </row>
    <row r="39" ht="26.25" customHeight="1">
      <c r="A39" s="1"/>
      <c r="B39" s="11" t="s">
        <v>23</v>
      </c>
      <c r="C39" s="1"/>
      <c r="D39" s="1"/>
      <c r="E39" s="1"/>
      <c r="F39" s="1"/>
      <c r="G39" s="1"/>
      <c r="H39" s="1"/>
      <c r="I39" s="1"/>
      <c r="J39" s="1"/>
      <c r="K39" s="1"/>
      <c r="L39" s="1"/>
      <c r="M39" s="1"/>
      <c r="N39" s="1"/>
      <c r="O39" s="1"/>
      <c r="P39" s="1"/>
      <c r="Q39" s="1"/>
      <c r="R39" s="1"/>
      <c r="S39" s="1"/>
      <c r="T39" s="1"/>
      <c r="U39" s="1"/>
      <c r="V39" s="1"/>
      <c r="W39" s="1"/>
      <c r="X39" s="1"/>
      <c r="Y39" s="1"/>
      <c r="Z39" s="1"/>
    </row>
    <row r="40" ht="37.5" customHeight="1">
      <c r="A40" s="1"/>
      <c r="B40" s="13" t="s">
        <v>24</v>
      </c>
      <c r="C40" s="1"/>
      <c r="D40" s="1"/>
      <c r="E40" s="1"/>
      <c r="F40" s="1"/>
      <c r="G40" s="1"/>
      <c r="H40" s="1"/>
      <c r="I40" s="1"/>
      <c r="J40" s="1"/>
      <c r="K40" s="1"/>
      <c r="L40" s="1"/>
      <c r="M40" s="1"/>
      <c r="N40" s="1"/>
      <c r="O40" s="1"/>
      <c r="P40" s="1"/>
      <c r="Q40" s="1"/>
      <c r="R40" s="1"/>
      <c r="S40" s="1"/>
      <c r="T40" s="1"/>
      <c r="U40" s="1"/>
      <c r="V40" s="1"/>
      <c r="W40" s="1"/>
      <c r="X40" s="1"/>
      <c r="Y40" s="1"/>
      <c r="Z40" s="1"/>
    </row>
    <row r="41" ht="12.75" customHeight="1">
      <c r="A41" s="1"/>
      <c r="B41" s="14"/>
      <c r="C41" s="1"/>
      <c r="D41" s="1"/>
      <c r="E41" s="1"/>
      <c r="F41" s="1"/>
      <c r="G41" s="1"/>
      <c r="H41" s="1"/>
      <c r="I41" s="1"/>
      <c r="J41" s="1"/>
      <c r="K41" s="1"/>
      <c r="L41" s="1"/>
      <c r="M41" s="1"/>
      <c r="N41" s="1"/>
      <c r="O41" s="1"/>
      <c r="P41" s="1"/>
      <c r="Q41" s="1"/>
      <c r="R41" s="1"/>
      <c r="S41" s="1"/>
      <c r="T41" s="1"/>
      <c r="U41" s="1"/>
      <c r="V41" s="1"/>
      <c r="W41" s="1"/>
      <c r="X41" s="1"/>
      <c r="Y41" s="1"/>
      <c r="Z41" s="1"/>
    </row>
    <row r="42" ht="37.5" customHeight="1">
      <c r="A42" s="1"/>
      <c r="B42" s="13" t="s">
        <v>25</v>
      </c>
      <c r="C42" s="1"/>
      <c r="D42" s="1"/>
      <c r="E42" s="1"/>
      <c r="F42" s="1"/>
      <c r="G42" s="1"/>
      <c r="H42" s="1"/>
      <c r="I42" s="1"/>
      <c r="J42" s="1"/>
      <c r="K42" s="1"/>
      <c r="L42" s="1"/>
      <c r="M42" s="1"/>
      <c r="N42" s="1"/>
      <c r="O42" s="1"/>
      <c r="P42" s="1"/>
      <c r="Q42" s="1"/>
      <c r="R42" s="1"/>
      <c r="S42" s="1"/>
      <c r="T42" s="1"/>
      <c r="U42" s="1"/>
      <c r="V42" s="1"/>
      <c r="W42" s="1"/>
      <c r="X42" s="1"/>
      <c r="Y42" s="1"/>
      <c r="Z42" s="1"/>
    </row>
    <row r="43" ht="12.75" customHeight="1">
      <c r="A43" s="1"/>
      <c r="B43" s="14"/>
      <c r="C43" s="1"/>
      <c r="D43" s="1"/>
      <c r="E43" s="1"/>
      <c r="F43" s="1"/>
      <c r="G43" s="1"/>
      <c r="H43" s="1"/>
      <c r="I43" s="1"/>
      <c r="J43" s="1"/>
      <c r="K43" s="1"/>
      <c r="L43" s="1"/>
      <c r="M43" s="1"/>
      <c r="N43" s="1"/>
      <c r="O43" s="1"/>
      <c r="P43" s="1"/>
      <c r="Q43" s="1"/>
      <c r="R43" s="1"/>
      <c r="S43" s="1"/>
      <c r="T43" s="1"/>
      <c r="U43" s="1"/>
      <c r="V43" s="1"/>
      <c r="W43" s="1"/>
      <c r="X43" s="1"/>
      <c r="Y43" s="1"/>
      <c r="Z43" s="1"/>
    </row>
    <row r="44" ht="37.5" customHeight="1">
      <c r="A44" s="1"/>
      <c r="B44" s="13" t="s">
        <v>26</v>
      </c>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4"/>
      <c r="C45" s="1"/>
      <c r="D45" s="1"/>
      <c r="E45" s="1"/>
      <c r="F45" s="1"/>
      <c r="G45" s="1"/>
      <c r="H45" s="1"/>
      <c r="I45" s="1"/>
      <c r="J45" s="1"/>
      <c r="K45" s="1"/>
      <c r="L45" s="1"/>
      <c r="M45" s="1"/>
      <c r="N45" s="1"/>
      <c r="O45" s="1"/>
      <c r="P45" s="1"/>
      <c r="Q45" s="1"/>
      <c r="R45" s="1"/>
      <c r="S45" s="1"/>
      <c r="T45" s="1"/>
      <c r="U45" s="1"/>
      <c r="V45" s="1"/>
      <c r="W45" s="1"/>
      <c r="X45" s="1"/>
      <c r="Y45" s="1"/>
      <c r="Z45" s="1"/>
    </row>
    <row r="46" ht="56.25" customHeight="1">
      <c r="A46" s="1"/>
      <c r="B46" s="13" t="s">
        <v>27</v>
      </c>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4"/>
      <c r="C47" s="1"/>
      <c r="D47" s="1"/>
      <c r="E47" s="1"/>
      <c r="F47" s="1"/>
      <c r="G47" s="1"/>
      <c r="H47" s="1"/>
      <c r="I47" s="1"/>
      <c r="J47" s="1"/>
      <c r="K47" s="1"/>
      <c r="L47" s="1"/>
      <c r="M47" s="1"/>
      <c r="N47" s="1"/>
      <c r="O47" s="1"/>
      <c r="P47" s="1"/>
      <c r="Q47" s="1"/>
      <c r="R47" s="1"/>
      <c r="S47" s="1"/>
      <c r="T47" s="1"/>
      <c r="U47" s="1"/>
      <c r="V47" s="1"/>
      <c r="W47" s="1"/>
      <c r="X47" s="1"/>
      <c r="Y47" s="1"/>
      <c r="Z47" s="1"/>
    </row>
    <row r="48" ht="37.5" customHeight="1">
      <c r="A48" s="1"/>
      <c r="B48" s="13" t="s">
        <v>28</v>
      </c>
      <c r="C48" s="1"/>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4"/>
      <c r="C49" s="1"/>
      <c r="D49" s="1"/>
      <c r="E49" s="1"/>
      <c r="F49" s="1"/>
      <c r="G49" s="1"/>
      <c r="H49" s="1"/>
      <c r="I49" s="1"/>
      <c r="J49" s="1"/>
      <c r="K49" s="1"/>
      <c r="L49" s="1"/>
      <c r="M49" s="1"/>
      <c r="N49" s="1"/>
      <c r="O49" s="1"/>
      <c r="P49" s="1"/>
      <c r="Q49" s="1"/>
      <c r="R49" s="1"/>
      <c r="S49" s="1"/>
      <c r="T49" s="1"/>
      <c r="U49" s="1"/>
      <c r="V49" s="1"/>
      <c r="W49" s="1"/>
      <c r="X49" s="1"/>
      <c r="Y49" s="1"/>
      <c r="Z49" s="1"/>
    </row>
    <row r="50" ht="43.5" customHeight="1">
      <c r="A50" s="1"/>
      <c r="B50" s="13" t="s">
        <v>29</v>
      </c>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5"/>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6" t="s">
        <v>30</v>
      </c>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5"/>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5"/>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5"/>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5"/>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5"/>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5"/>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5"/>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5"/>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5"/>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4"/>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4"/>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4"/>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4"/>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4"/>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4"/>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4"/>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4"/>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4"/>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4"/>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4"/>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4"/>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4"/>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4"/>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4"/>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4"/>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4"/>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4"/>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4"/>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4"/>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4"/>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4"/>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4"/>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4"/>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4"/>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4"/>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4"/>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4"/>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4"/>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4"/>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4"/>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4"/>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4"/>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4"/>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4"/>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4"/>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4"/>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4"/>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4"/>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4"/>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4"/>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4"/>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4"/>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4"/>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4"/>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4"/>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4"/>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4"/>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4"/>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4"/>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4"/>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4"/>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4"/>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4"/>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4"/>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4"/>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4"/>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4"/>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4"/>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4"/>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4"/>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4"/>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4"/>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4"/>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4"/>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4"/>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4"/>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4"/>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4"/>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4"/>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4"/>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4"/>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4"/>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4"/>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4"/>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4"/>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4"/>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4"/>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4"/>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4"/>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4"/>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4"/>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4"/>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4"/>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4"/>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4"/>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4"/>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4"/>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4"/>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4"/>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4"/>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4"/>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4"/>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4"/>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4"/>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4"/>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4"/>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4"/>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4"/>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4"/>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4"/>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4"/>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4"/>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4"/>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4"/>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4"/>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4"/>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4"/>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4"/>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4"/>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4"/>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4"/>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4"/>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4"/>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4"/>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4"/>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4"/>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4"/>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4"/>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4"/>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4"/>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4"/>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4"/>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4"/>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4"/>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4"/>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4"/>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4"/>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4"/>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4"/>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4"/>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4"/>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4"/>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4"/>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4"/>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4"/>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4"/>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4"/>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4"/>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4"/>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4"/>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4"/>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4"/>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4"/>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4"/>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4"/>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4"/>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4"/>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4"/>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4"/>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4"/>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4"/>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4"/>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4"/>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4"/>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4"/>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4"/>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4"/>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4"/>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4"/>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4"/>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4"/>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4"/>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4"/>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4"/>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4"/>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4"/>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4"/>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4"/>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4"/>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4"/>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4"/>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4"/>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4"/>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4"/>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4"/>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4"/>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4"/>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4"/>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4"/>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4"/>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4"/>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4"/>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4"/>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4"/>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4"/>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4"/>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4"/>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4"/>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4"/>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4"/>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4"/>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4"/>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4"/>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4"/>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4"/>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4"/>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4"/>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4"/>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4"/>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4"/>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4"/>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4"/>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4"/>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4"/>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4"/>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4"/>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4"/>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4"/>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4"/>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4"/>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4"/>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4"/>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4"/>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4"/>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4"/>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4"/>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4"/>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4"/>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4"/>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4"/>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4"/>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4"/>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4"/>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4"/>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4"/>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4"/>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4"/>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4"/>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4"/>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4"/>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4"/>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4"/>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4"/>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4"/>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4"/>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4"/>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4"/>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4"/>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4"/>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4"/>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4"/>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4"/>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4"/>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4"/>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4"/>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4"/>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4"/>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4"/>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4"/>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4"/>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4"/>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4"/>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4"/>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4"/>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4"/>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4"/>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4"/>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4"/>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4"/>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4"/>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4"/>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4"/>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4"/>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4"/>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4"/>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4"/>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4"/>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4"/>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4"/>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4"/>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4"/>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4"/>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4"/>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4"/>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4"/>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4"/>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4"/>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4"/>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4"/>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4"/>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4"/>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4"/>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4"/>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4"/>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4"/>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4"/>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4"/>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4"/>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4"/>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4"/>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4"/>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4"/>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4"/>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4"/>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4"/>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4"/>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4"/>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4"/>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4"/>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4"/>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4"/>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4"/>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4"/>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4"/>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4"/>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4"/>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4"/>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4"/>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4"/>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4"/>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4"/>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4"/>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4"/>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4"/>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4"/>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4"/>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4"/>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4"/>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4"/>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4"/>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4"/>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4"/>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4"/>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4"/>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4"/>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4"/>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4"/>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4"/>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4"/>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4"/>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4"/>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4"/>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4"/>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4"/>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4"/>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4"/>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4"/>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4"/>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4"/>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4"/>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4"/>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4"/>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4"/>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4"/>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4"/>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4"/>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4"/>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4"/>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4"/>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4"/>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4"/>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4"/>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4"/>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4"/>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4"/>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4"/>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4"/>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4"/>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4"/>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4"/>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4"/>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4"/>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4"/>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4"/>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4"/>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4"/>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4"/>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4"/>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4"/>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4"/>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4"/>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4"/>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4"/>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4"/>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4"/>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4"/>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4"/>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4"/>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4"/>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4"/>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4"/>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4"/>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4"/>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4"/>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4"/>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4"/>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4"/>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4"/>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4"/>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4"/>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4"/>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4"/>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4"/>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4"/>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4"/>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4"/>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4"/>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4"/>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4"/>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4"/>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4"/>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4"/>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4"/>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4"/>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4"/>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4"/>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4"/>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4"/>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4"/>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4"/>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4"/>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4"/>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4"/>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4"/>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4"/>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4"/>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4"/>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4"/>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4"/>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4"/>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4"/>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4"/>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4"/>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4"/>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4"/>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4"/>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4"/>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4"/>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4"/>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4"/>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4"/>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4"/>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4"/>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4"/>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4"/>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4"/>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4"/>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4"/>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4"/>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4"/>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4"/>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4"/>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4"/>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4"/>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4"/>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4"/>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4"/>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4"/>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4"/>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4"/>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4"/>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4"/>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4"/>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4"/>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4"/>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4"/>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4"/>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4"/>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4"/>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4"/>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4"/>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4"/>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4"/>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4"/>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4"/>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4"/>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4"/>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4"/>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4"/>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4"/>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4"/>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4"/>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4"/>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4"/>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4"/>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4"/>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4"/>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4"/>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4"/>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4"/>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4"/>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4"/>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4"/>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4"/>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4"/>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4"/>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4"/>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4"/>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4"/>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4"/>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4"/>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4"/>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4"/>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4"/>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4"/>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4"/>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4"/>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4"/>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4"/>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4"/>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4"/>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4"/>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4"/>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4"/>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4"/>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4"/>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4"/>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4"/>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4"/>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4"/>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4"/>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4"/>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4"/>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4"/>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4"/>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4"/>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4"/>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4"/>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4"/>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4"/>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4"/>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4"/>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4"/>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4"/>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4"/>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4"/>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4"/>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4"/>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4"/>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4"/>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4"/>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4"/>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4"/>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4"/>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4"/>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4"/>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4"/>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4"/>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4"/>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4"/>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4"/>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4"/>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4"/>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4"/>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4"/>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4"/>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4"/>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4"/>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4"/>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4"/>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4"/>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4"/>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4"/>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4"/>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4"/>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4"/>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4"/>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4"/>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4"/>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4"/>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4"/>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4"/>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4"/>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4"/>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4"/>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4"/>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4"/>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4"/>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4"/>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4"/>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4"/>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4"/>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4"/>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4"/>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4"/>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4"/>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4"/>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4"/>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4"/>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4"/>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4"/>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4"/>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4"/>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4"/>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4"/>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4"/>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4"/>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4"/>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4"/>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4"/>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4"/>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4"/>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4"/>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4"/>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4"/>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4"/>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4"/>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4"/>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4"/>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4"/>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4"/>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4"/>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4"/>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4"/>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4"/>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4"/>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4"/>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4"/>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4"/>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4"/>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4"/>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4"/>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4"/>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4"/>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4"/>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4"/>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4"/>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4"/>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4"/>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4"/>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4"/>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4"/>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4"/>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4"/>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4"/>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4"/>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4"/>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4"/>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4"/>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4"/>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4"/>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4"/>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4"/>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4"/>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4"/>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4"/>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4"/>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4"/>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4"/>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4"/>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4"/>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4"/>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4"/>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4"/>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4"/>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4"/>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4"/>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4"/>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4"/>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4"/>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4"/>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4"/>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4"/>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4"/>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4"/>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4"/>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4"/>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4"/>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4"/>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4"/>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4"/>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4"/>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4"/>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4"/>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4"/>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4"/>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4"/>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4"/>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4"/>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4"/>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4"/>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4"/>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4"/>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4"/>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4"/>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4"/>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4"/>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4"/>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4"/>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4"/>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4"/>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4"/>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4"/>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4"/>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4"/>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4"/>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4"/>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4"/>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4"/>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4"/>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4"/>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4"/>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4"/>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4"/>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4"/>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4"/>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4"/>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4"/>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4"/>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4"/>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4"/>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4"/>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4"/>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4"/>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4"/>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4"/>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4"/>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4"/>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4"/>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4"/>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4"/>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4"/>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4"/>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4"/>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4"/>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4"/>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4"/>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4"/>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4"/>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4"/>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4"/>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4"/>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4"/>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4"/>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4"/>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4"/>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4"/>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4"/>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4"/>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4"/>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4"/>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4"/>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4"/>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4"/>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4"/>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4"/>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4"/>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4"/>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4"/>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4"/>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4"/>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4"/>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4"/>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4"/>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4"/>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4"/>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4"/>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4"/>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4"/>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4"/>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4"/>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4"/>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4"/>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4"/>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4"/>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4"/>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4"/>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4"/>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4"/>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4"/>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4"/>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4"/>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4"/>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4"/>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4"/>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4"/>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4"/>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4"/>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4"/>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4"/>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4"/>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4"/>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4"/>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4"/>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4"/>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4"/>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4"/>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4"/>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4"/>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4"/>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4"/>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4"/>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4"/>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4"/>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4"/>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4"/>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4"/>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4"/>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4"/>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4"/>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4"/>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4"/>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4"/>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4"/>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4"/>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4"/>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4"/>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4"/>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4"/>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4"/>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4"/>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4"/>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4"/>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4"/>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4"/>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4"/>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4"/>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4"/>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4"/>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4"/>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4"/>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4"/>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4"/>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4"/>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4"/>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4"/>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4"/>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4"/>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4"/>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4"/>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4"/>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4"/>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4"/>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4"/>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4"/>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4"/>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4"/>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4"/>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4"/>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4"/>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4"/>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4"/>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4"/>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4"/>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4"/>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4"/>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4"/>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4"/>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4"/>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4"/>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4"/>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4"/>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4"/>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4"/>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4"/>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4"/>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4"/>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4"/>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4"/>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4"/>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4"/>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4"/>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4"/>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4"/>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4"/>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4"/>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4"/>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4"/>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4"/>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4"/>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4"/>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4"/>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4"/>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4"/>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4"/>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4"/>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4"/>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4"/>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4"/>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4"/>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4"/>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4"/>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4"/>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4"/>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4"/>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4"/>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4"/>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4"/>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4"/>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4"/>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4"/>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4"/>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4"/>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4"/>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4"/>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4"/>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4"/>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4"/>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4"/>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4"/>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4"/>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4"/>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4"/>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4"/>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4"/>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4"/>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4"/>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4"/>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4"/>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4"/>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4"/>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4"/>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4"/>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4"/>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4"/>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4"/>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4"/>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4"/>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4"/>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4"/>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4"/>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4"/>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4"/>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4"/>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4"/>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4"/>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4"/>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4"/>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4"/>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4"/>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4"/>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4"/>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4"/>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4"/>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4"/>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4"/>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4"/>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4"/>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4"/>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4"/>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4"/>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4"/>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4"/>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4"/>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4"/>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4"/>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4"/>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4"/>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808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0.71"/>
    <col customWidth="1" min="2" max="2" width="12.43"/>
    <col customWidth="1" min="3" max="3" width="28.86"/>
    <col customWidth="1" min="4" max="4" width="13.86"/>
    <col customWidth="1" min="5" max="5" width="2.57"/>
    <col customWidth="1" min="6" max="6" width="10.29"/>
    <col customWidth="1" min="7" max="7" width="8.0"/>
    <col customWidth="1" hidden="1" min="8" max="13" width="9.14"/>
    <col customWidth="1" hidden="1" min="14" max="15" width="9.57"/>
    <col customWidth="1" hidden="1" min="16" max="19" width="9.14"/>
    <col customWidth="1" hidden="1" min="20" max="24" width="8.0"/>
    <col customWidth="1" min="25" max="26" width="8.0"/>
  </cols>
  <sheetData>
    <row r="1" ht="28.5" customHeight="1">
      <c r="A1" s="422" t="str">
        <f>"Event:"</f>
        <v>Event:</v>
      </c>
      <c r="C1" s="423" t="s">
        <v>32</v>
      </c>
      <c r="D1" s="209"/>
      <c r="F1" s="424">
        <f>IF(TotalAthletes,COUNTIF(D3:D1002,"&gt;0")/TotalAthletes,0)</f>
        <v>0.8571428571</v>
      </c>
      <c r="J1" s="114" t="s">
        <v>382</v>
      </c>
      <c r="K1" s="425">
        <v>2.0</v>
      </c>
      <c r="L1" s="114" t="s">
        <v>41</v>
      </c>
      <c r="M1" s="426">
        <f t="array" ref="M1">INT(INDEX(ScoreValues,2,$K$1))*60+(MOD(INDEX(ScoreValues,2,$K$1),1)*100)</f>
        <v>180</v>
      </c>
      <c r="N1" s="114" t="s">
        <v>42</v>
      </c>
      <c r="O1" s="426">
        <f t="array" ref="O1">INDEX(ScoreValues,4,$K$1)*100</f>
        <v>1</v>
      </c>
      <c r="P1" s="114"/>
      <c r="Q1" s="114" t="s">
        <v>93</v>
      </c>
      <c r="R1" s="426">
        <f t="array" ref="R1">INT(INDEX(ScoreValues,3,$K$1))*60+(MOD(INDEX(ScoreValues,3,$K$1),1)*100)</f>
        <v>90</v>
      </c>
      <c r="T1" s="114" t="s">
        <v>383</v>
      </c>
      <c r="U1" s="427">
        <f>+EventIndex</f>
        <v>6</v>
      </c>
    </row>
    <row r="2" ht="25.5" customHeight="1">
      <c r="A2" s="428" t="s">
        <v>384</v>
      </c>
      <c r="B2" s="429" t="s">
        <v>395</v>
      </c>
      <c r="C2" s="430" t="s">
        <v>40</v>
      </c>
      <c r="D2" s="431" t="s">
        <v>318</v>
      </c>
      <c r="F2" s="432" t="s">
        <v>386</v>
      </c>
      <c r="G2" s="433" t="s">
        <v>387</v>
      </c>
      <c r="H2" s="433" t="s">
        <v>388</v>
      </c>
      <c r="I2" s="434" t="s">
        <v>389</v>
      </c>
      <c r="J2" s="209" t="s">
        <v>390</v>
      </c>
      <c r="K2" s="209" t="s">
        <v>391</v>
      </c>
      <c r="L2" s="209" t="s">
        <v>392</v>
      </c>
      <c r="M2" s="209" t="s">
        <v>318</v>
      </c>
      <c r="N2" s="113" t="s">
        <v>93</v>
      </c>
      <c r="O2" s="113" t="s">
        <v>41</v>
      </c>
      <c r="P2" s="113" t="s">
        <v>42</v>
      </c>
      <c r="Q2" s="113" t="s">
        <v>393</v>
      </c>
      <c r="S2" s="113" t="s">
        <v>355</v>
      </c>
      <c r="T2" s="113" t="s">
        <v>73</v>
      </c>
      <c r="V2" s="113" t="s">
        <v>394</v>
      </c>
      <c r="W2" s="113" t="s">
        <v>355</v>
      </c>
      <c r="X2" s="113" t="s">
        <v>73</v>
      </c>
    </row>
    <row r="3">
      <c r="A3" s="435" t="s">
        <v>203</v>
      </c>
      <c r="B3" s="436">
        <v>2.07</v>
      </c>
      <c r="C3" s="95" t="str">
        <f t="array" ref="C3">IF(I3&gt;0,INDEX(DB,I3,8),"")</f>
        <v>Lucia Bertacchini</v>
      </c>
      <c r="D3" s="437">
        <f t="shared" ref="D3:D1002" si="1">IF(AND(H3,B3&lt;&gt;0,ISNUMBER(B3)),IF(ISERR(M3),0,M3),0)</f>
        <v>63</v>
      </c>
      <c r="F3" s="438">
        <f t="shared" ref="F3:F1001" si="2">COUNTIF(A$3:A$1002,A3)</f>
        <v>1</v>
      </c>
      <c r="G3" t="str">
        <f t="shared" ref="G3:G1001" si="3">IF(AND(H3,OR(D3&lt;=10,D3&gt;=90)),"CHECK","")</f>
        <v/>
      </c>
      <c r="H3" t="b">
        <f t="shared" ref="H3:H1001" si="4">IF(AND(I3&gt;0,LEN(C3)&gt;0,B3&lt;&gt;0),TRUE,FALSE)</f>
        <v>1</v>
      </c>
      <c r="I3" s="439">
        <f>IF(OR(ISBLANK(A3),ISNA(MATCH(A3&amp;"",AthleteNumbers,0))),0,MATCH(A3&amp;"",AthleteNumbers,0))</f>
        <v>35</v>
      </c>
      <c r="J3" s="209" t="str">
        <f t="array" ref="J3">IF(I3&gt;0,INDEX(DB,$I3,6),0)</f>
        <v/>
      </c>
      <c r="K3" s="446">
        <f t="shared" ref="K3:K1001" si="5">IF(ISNUMBER(B3),ROUND(+B3,2),0)</f>
        <v>2.07</v>
      </c>
      <c r="L3" s="440">
        <f t="shared" ref="L3:L1001" si="6">(INT(K3)*60)+(MOD(K3,1)*100)</f>
        <v>127</v>
      </c>
      <c r="M3" s="441">
        <f>IF(AND(L3&gt;O3,O3&gt;0),MinPoints,IF(AND(L3&lt;N3,O3&gt;0),100,+INT((O3-$L3)/P3)+MinPoints))</f>
        <v>63</v>
      </c>
      <c r="N3" s="440">
        <f t="shared" ref="N3:N1001" si="7">+O3-(P3*90)</f>
        <v>90</v>
      </c>
      <c r="O3" s="440">
        <f t="shared" ref="O3:O1001" si="8">IF($J3=0,$S3,$W3)</f>
        <v>180</v>
      </c>
      <c r="P3" s="440">
        <f t="shared" ref="P3:P1001" si="9">IF($J3=0,$T3,$X3)</f>
        <v>1</v>
      </c>
      <c r="Q3">
        <f t="array" ref="Q3">IF(I3&gt;0,INDEX(DB,I3,9),EventIndex)</f>
        <v>6</v>
      </c>
      <c r="S3">
        <f t="array" ref="S3">(INT(INDEX(MINVALUES,$Q3,$K$1))*60)+(MOD(INDEX(MINVALUES,$Q3,$K$1),1)*100)</f>
        <v>180</v>
      </c>
      <c r="T3">
        <f t="array" ref="T3">(INDEX(INCVALUES,$Q3,$K$1)*100)</f>
        <v>1</v>
      </c>
      <c r="V3">
        <f t="array" ref="V3">+J3+(4*(INDEX(MatchScoreTable,$Q3,20)-1))</f>
        <v>4</v>
      </c>
      <c r="W3">
        <f t="array" ref="W3">INDEX(INC_MINVALUES,$V3,$K$1)</f>
        <v>480</v>
      </c>
      <c r="X3" s="212">
        <f t="array" ref="X3">INDEX(INC_INCVALUES,$V3,$K$1)</f>
        <v>4</v>
      </c>
    </row>
    <row r="4">
      <c r="A4" s="435" t="s">
        <v>236</v>
      </c>
      <c r="B4" s="436">
        <v>2.11</v>
      </c>
      <c r="C4" s="95" t="str">
        <f t="array" ref="C4">IF(I4&gt;0,INDEX(DB,I4,8),"")</f>
        <v>Esmee Hurst Atkins</v>
      </c>
      <c r="D4" s="437">
        <f t="shared" si="1"/>
        <v>59</v>
      </c>
      <c r="F4" s="438">
        <f t="shared" si="2"/>
        <v>1</v>
      </c>
      <c r="G4" t="str">
        <f t="shared" si="3"/>
        <v/>
      </c>
      <c r="H4" t="b">
        <f t="shared" si="4"/>
        <v>1</v>
      </c>
      <c r="I4" s="439">
        <f>IF(OR(ISBLANK(A4),ISNA(MATCH(A4&amp;"",AthleteNumbers,0))),0,MATCH(A4&amp;"",AthleteNumbers,0))</f>
        <v>50</v>
      </c>
      <c r="J4" s="209" t="str">
        <f t="array" ref="J4">IF(I4&gt;0,INDEX(DB,$I4,6),0)</f>
        <v/>
      </c>
      <c r="K4" s="446">
        <f t="shared" si="5"/>
        <v>2.11</v>
      </c>
      <c r="L4" s="440">
        <f t="shared" si="6"/>
        <v>131</v>
      </c>
      <c r="M4" s="441">
        <f>IF(AND(L4&gt;O4,O4&gt;0),MinPoints,IF(AND(L4&lt;N4,O4&gt;0),100,+INT((O4-$L4)/P4)+MinPoints))</f>
        <v>59</v>
      </c>
      <c r="N4" s="440">
        <f t="shared" si="7"/>
        <v>90</v>
      </c>
      <c r="O4" s="440">
        <f t="shared" si="8"/>
        <v>180</v>
      </c>
      <c r="P4" s="440">
        <f t="shared" si="9"/>
        <v>1</v>
      </c>
      <c r="Q4">
        <f t="array" ref="Q4">IF(I4&gt;0,INDEX(DB,I4,9),EventIndex)</f>
        <v>6</v>
      </c>
      <c r="S4">
        <f t="array" ref="S4">(INT(INDEX(MINVALUES,$Q4,$K$1))*60)+(MOD(INDEX(MINVALUES,$Q4,$K$1),1)*100)</f>
        <v>180</v>
      </c>
      <c r="T4">
        <f t="array" ref="T4">(INDEX(INCVALUES,$Q4,$K$1)*100)</f>
        <v>1</v>
      </c>
      <c r="V4">
        <f t="array" ref="V4">+J4+(4*(INDEX(MatchScoreTable,$Q4,20)-1))</f>
        <v>4</v>
      </c>
      <c r="W4">
        <f t="array" ref="W4">INDEX(INC_MINVALUES,$V4,$K$1)</f>
        <v>480</v>
      </c>
      <c r="X4" s="212">
        <f t="array" ref="X4">INDEX(INC_INCVALUES,$V4,$K$1)</f>
        <v>4</v>
      </c>
    </row>
    <row r="5">
      <c r="A5" s="435" t="s">
        <v>273</v>
      </c>
      <c r="B5" s="436">
        <v>2.14</v>
      </c>
      <c r="C5" s="95" t="str">
        <f t="array" ref="C5">IF(I5&gt;0,INDEX(DB,I5,8),"")</f>
        <v>Bethany Smith</v>
      </c>
      <c r="D5" s="437">
        <f t="shared" si="1"/>
        <v>56</v>
      </c>
      <c r="F5" s="438">
        <f t="shared" si="2"/>
        <v>1</v>
      </c>
      <c r="G5" t="str">
        <f t="shared" si="3"/>
        <v/>
      </c>
      <c r="H5" t="b">
        <f t="shared" si="4"/>
        <v>1</v>
      </c>
      <c r="I5" s="439">
        <f>IF(OR(ISBLANK(A5),ISNA(MATCH(A5&amp;"",AthleteNumbers,0))),0,MATCH(A5&amp;"",AthleteNumbers,0))</f>
        <v>66</v>
      </c>
      <c r="J5" s="209" t="str">
        <f t="array" ref="J5">IF(I5&gt;0,INDEX(DB,$I5,6),0)</f>
        <v/>
      </c>
      <c r="K5" s="446">
        <f t="shared" si="5"/>
        <v>2.14</v>
      </c>
      <c r="L5" s="440">
        <f t="shared" si="6"/>
        <v>134</v>
      </c>
      <c r="M5" s="441">
        <f>IF(AND(L5&gt;O5,O5&gt;0),MinPoints,IF(AND(L5&lt;N5,O5&gt;0),100,+INT((O5-$L5)/P5)+MinPoints))</f>
        <v>56</v>
      </c>
      <c r="N5" s="440">
        <f t="shared" si="7"/>
        <v>90</v>
      </c>
      <c r="O5" s="440">
        <f t="shared" si="8"/>
        <v>180</v>
      </c>
      <c r="P5" s="440">
        <f t="shared" si="9"/>
        <v>1</v>
      </c>
      <c r="Q5">
        <f t="array" ref="Q5">IF(I5&gt;0,INDEX(DB,I5,9),EventIndex)</f>
        <v>6</v>
      </c>
      <c r="S5">
        <f t="array" ref="S5">(INT(INDEX(MINVALUES,$Q5,$K$1))*60)+(MOD(INDEX(MINVALUES,$Q5,$K$1),1)*100)</f>
        <v>180</v>
      </c>
      <c r="T5">
        <f t="array" ref="T5">(INDEX(INCVALUES,$Q5,$K$1)*100)</f>
        <v>1</v>
      </c>
      <c r="V5">
        <f t="array" ref="V5">+J5+(4*(INDEX(MatchScoreTable,$Q5,20)-1))</f>
        <v>4</v>
      </c>
      <c r="W5">
        <f t="array" ref="W5">INDEX(INC_MINVALUES,$V5,$K$1)</f>
        <v>480</v>
      </c>
      <c r="X5" s="212">
        <f t="array" ref="X5">INDEX(INC_INCVALUES,$V5,$K$1)</f>
        <v>4</v>
      </c>
    </row>
    <row r="6">
      <c r="A6" s="435" t="s">
        <v>213</v>
      </c>
      <c r="B6" s="436">
        <v>2.14</v>
      </c>
      <c r="C6" s="95" t="str">
        <f t="array" ref="C6">IF(I6&gt;0,INDEX(DB,I6,8),"")</f>
        <v>Sophie Cross</v>
      </c>
      <c r="D6" s="437">
        <f t="shared" si="1"/>
        <v>56</v>
      </c>
      <c r="F6" s="438">
        <f t="shared" si="2"/>
        <v>1</v>
      </c>
      <c r="G6" t="str">
        <f t="shared" si="3"/>
        <v/>
      </c>
      <c r="H6" t="b">
        <f t="shared" si="4"/>
        <v>1</v>
      </c>
      <c r="I6" s="439">
        <f>IF(OR(ISBLANK(A6),ISNA(MATCH(A6&amp;"",AthleteNumbers,0))),0,MATCH(A6&amp;"",AthleteNumbers,0))</f>
        <v>39</v>
      </c>
      <c r="J6" s="209" t="str">
        <f t="array" ref="J6">IF(I6&gt;0,INDEX(DB,$I6,6),0)</f>
        <v/>
      </c>
      <c r="K6" s="446">
        <f t="shared" si="5"/>
        <v>2.14</v>
      </c>
      <c r="L6" s="440">
        <f t="shared" si="6"/>
        <v>134</v>
      </c>
      <c r="M6" s="441">
        <f>IF(AND(L6&gt;O6,O6&gt;0),MinPoints,IF(AND(L6&lt;N6,O6&gt;0),100,+INT((O6-$L6)/P6)+MinPoints))</f>
        <v>56</v>
      </c>
      <c r="N6" s="440">
        <f t="shared" si="7"/>
        <v>90</v>
      </c>
      <c r="O6" s="440">
        <f t="shared" si="8"/>
        <v>180</v>
      </c>
      <c r="P6" s="440">
        <f t="shared" si="9"/>
        <v>1</v>
      </c>
      <c r="Q6">
        <f t="array" ref="Q6">IF(I6&gt;0,INDEX(DB,I6,9),EventIndex)</f>
        <v>6</v>
      </c>
      <c r="S6">
        <f t="array" ref="S6">(INT(INDEX(MINVALUES,$Q6,$K$1))*60)+(MOD(INDEX(MINVALUES,$Q6,$K$1),1)*100)</f>
        <v>180</v>
      </c>
      <c r="T6">
        <f t="array" ref="T6">(INDEX(INCVALUES,$Q6,$K$1)*100)</f>
        <v>1</v>
      </c>
      <c r="V6">
        <f t="array" ref="V6">+J6+(4*(INDEX(MatchScoreTable,$Q6,20)-1))</f>
        <v>4</v>
      </c>
      <c r="W6">
        <f t="array" ref="W6">INDEX(INC_MINVALUES,$V6,$K$1)</f>
        <v>480</v>
      </c>
      <c r="X6" s="212">
        <f t="array" ref="X6">INDEX(INC_INCVALUES,$V6,$K$1)</f>
        <v>4</v>
      </c>
    </row>
    <row r="7">
      <c r="A7" s="435" t="s">
        <v>270</v>
      </c>
      <c r="B7" s="436">
        <v>2.25</v>
      </c>
      <c r="C7" s="95" t="str">
        <f t="array" ref="C7">IF(I7&gt;0,INDEX(DB,I7,8),"")</f>
        <v>Lucy Smith </v>
      </c>
      <c r="D7" s="437">
        <f t="shared" si="1"/>
        <v>45</v>
      </c>
      <c r="F7" s="438">
        <f t="shared" si="2"/>
        <v>1</v>
      </c>
      <c r="G7" t="str">
        <f t="shared" si="3"/>
        <v/>
      </c>
      <c r="H7" t="b">
        <f t="shared" si="4"/>
        <v>1</v>
      </c>
      <c r="I7" s="439">
        <f>IF(OR(ISBLANK(A7),ISNA(MATCH(A7&amp;"",AthleteNumbers,0))),0,MATCH(A7&amp;"",AthleteNumbers,0))</f>
        <v>65</v>
      </c>
      <c r="J7" s="209" t="str">
        <f t="array" ref="J7">IF(I7&gt;0,INDEX(DB,$I7,6),0)</f>
        <v/>
      </c>
      <c r="K7" s="446">
        <f t="shared" si="5"/>
        <v>2.25</v>
      </c>
      <c r="L7" s="440">
        <f t="shared" si="6"/>
        <v>145</v>
      </c>
      <c r="M7" s="441">
        <f>IF(AND(L7&gt;O7,O7&gt;0),MinPoints,IF(AND(L7&lt;N7,O7&gt;0),100,+INT((O7-$L7)/P7)+MinPoints))</f>
        <v>45</v>
      </c>
      <c r="N7" s="440">
        <f t="shared" si="7"/>
        <v>90</v>
      </c>
      <c r="O7" s="440">
        <f t="shared" si="8"/>
        <v>180</v>
      </c>
      <c r="P7" s="440">
        <f t="shared" si="9"/>
        <v>1</v>
      </c>
      <c r="Q7">
        <f t="array" ref="Q7">IF(I7&gt;0,INDEX(DB,I7,9),EventIndex)</f>
        <v>6</v>
      </c>
      <c r="S7">
        <f t="array" ref="S7">(INT(INDEX(MINVALUES,$Q7,$K$1))*60)+(MOD(INDEX(MINVALUES,$Q7,$K$1),1)*100)</f>
        <v>180</v>
      </c>
      <c r="T7">
        <f t="array" ref="T7">(INDEX(INCVALUES,$Q7,$K$1)*100)</f>
        <v>1</v>
      </c>
      <c r="V7">
        <f t="array" ref="V7">+J7+(4*(INDEX(MatchScoreTable,$Q7,20)-1))</f>
        <v>4</v>
      </c>
      <c r="W7">
        <f t="array" ref="W7">INDEX(INC_MINVALUES,$V7,$K$1)</f>
        <v>480</v>
      </c>
      <c r="X7" s="212">
        <f t="array" ref="X7">INDEX(INC_INCVALUES,$V7,$K$1)</f>
        <v>4</v>
      </c>
    </row>
    <row r="8">
      <c r="A8" s="435" t="s">
        <v>218</v>
      </c>
      <c r="B8" s="436">
        <v>2.25</v>
      </c>
      <c r="C8" s="95" t="str">
        <f t="array" ref="C8">IF(I8&gt;0,INDEX(DB,I8,8),"")</f>
        <v>Elizabeth Davie</v>
      </c>
      <c r="D8" s="437">
        <f t="shared" si="1"/>
        <v>45</v>
      </c>
      <c r="F8" s="438">
        <f t="shared" si="2"/>
        <v>1</v>
      </c>
      <c r="G8" t="str">
        <f t="shared" si="3"/>
        <v/>
      </c>
      <c r="H8" t="b">
        <f t="shared" si="4"/>
        <v>1</v>
      </c>
      <c r="I8" s="439">
        <f>IF(OR(ISBLANK(A8),ISNA(MATCH(A8&amp;"",AthleteNumbers,0))),0,MATCH(A8&amp;"",AthleteNumbers,0))</f>
        <v>41</v>
      </c>
      <c r="J8" s="209" t="str">
        <f t="array" ref="J8">IF(I8&gt;0,INDEX(DB,$I8,6),0)</f>
        <v/>
      </c>
      <c r="K8" s="446">
        <f t="shared" si="5"/>
        <v>2.25</v>
      </c>
      <c r="L8" s="440">
        <f t="shared" si="6"/>
        <v>145</v>
      </c>
      <c r="M8" s="441">
        <f>IF(AND(L8&gt;O8,O8&gt;0),MinPoints,IF(AND(L8&lt;N8,O8&gt;0),100,+INT((O8-$L8)/P8)+MinPoints))</f>
        <v>45</v>
      </c>
      <c r="N8" s="440">
        <f t="shared" si="7"/>
        <v>90</v>
      </c>
      <c r="O8" s="440">
        <f t="shared" si="8"/>
        <v>180</v>
      </c>
      <c r="P8" s="440">
        <f t="shared" si="9"/>
        <v>1</v>
      </c>
      <c r="Q8">
        <f t="array" ref="Q8">IF(I8&gt;0,INDEX(DB,I8,9),EventIndex)</f>
        <v>6</v>
      </c>
      <c r="S8">
        <f t="array" ref="S8">(INT(INDEX(MINVALUES,$Q8,$K$1))*60)+(MOD(INDEX(MINVALUES,$Q8,$K$1),1)*100)</f>
        <v>180</v>
      </c>
      <c r="T8">
        <f t="array" ref="T8">(INDEX(INCVALUES,$Q8,$K$1)*100)</f>
        <v>1</v>
      </c>
      <c r="V8">
        <f t="array" ref="V8">+J8+(4*(INDEX(MatchScoreTable,$Q8,20)-1))</f>
        <v>4</v>
      </c>
      <c r="W8">
        <f t="array" ref="W8">INDEX(INC_MINVALUES,$V8,$K$1)</f>
        <v>480</v>
      </c>
      <c r="X8" s="212">
        <f t="array" ref="X8">INDEX(INC_INCVALUES,$V8,$K$1)</f>
        <v>4</v>
      </c>
    </row>
    <row r="9">
      <c r="A9" s="435" t="s">
        <v>281</v>
      </c>
      <c r="B9" s="436">
        <v>2.29</v>
      </c>
      <c r="C9" s="95" t="str">
        <f t="array" ref="C9">IF(I9&gt;0,INDEX(DB,I9,8),"")</f>
        <v>Chrissie Thomson</v>
      </c>
      <c r="D9" s="437">
        <f t="shared" si="1"/>
        <v>41</v>
      </c>
      <c r="F9" s="438">
        <f t="shared" si="2"/>
        <v>1</v>
      </c>
      <c r="G9" t="str">
        <f t="shared" si="3"/>
        <v/>
      </c>
      <c r="H9" t="b">
        <f t="shared" si="4"/>
        <v>1</v>
      </c>
      <c r="I9" s="439">
        <f>IF(OR(ISBLANK(A9),ISNA(MATCH(A9&amp;"",AthleteNumbers,0))),0,MATCH(A9&amp;"",AthleteNumbers,0))</f>
        <v>69</v>
      </c>
      <c r="J9" s="209" t="str">
        <f t="array" ref="J9">IF(I9&gt;0,INDEX(DB,$I9,6),0)</f>
        <v/>
      </c>
      <c r="K9" s="446">
        <f t="shared" si="5"/>
        <v>2.29</v>
      </c>
      <c r="L9" s="440">
        <f t="shared" si="6"/>
        <v>149</v>
      </c>
      <c r="M9" s="441">
        <f>IF(AND(L9&gt;O9,O9&gt;0),MinPoints,IF(AND(L9&lt;N9,O9&gt;0),100,+INT((O9-$L9)/P9)+MinPoints))</f>
        <v>41</v>
      </c>
      <c r="N9" s="440">
        <f t="shared" si="7"/>
        <v>90</v>
      </c>
      <c r="O9" s="440">
        <f t="shared" si="8"/>
        <v>180</v>
      </c>
      <c r="P9" s="440">
        <f t="shared" si="9"/>
        <v>1</v>
      </c>
      <c r="Q9">
        <f t="array" ref="Q9">IF(I9&gt;0,INDEX(DB,I9,9),EventIndex)</f>
        <v>6</v>
      </c>
      <c r="S9">
        <f t="array" ref="S9">(INT(INDEX(MINVALUES,$Q9,$K$1))*60)+(MOD(INDEX(MINVALUES,$Q9,$K$1),1)*100)</f>
        <v>180</v>
      </c>
      <c r="T9">
        <f t="array" ref="T9">(INDEX(INCVALUES,$Q9,$K$1)*100)</f>
        <v>1</v>
      </c>
      <c r="V9">
        <f t="array" ref="V9">+J9+(4*(INDEX(MatchScoreTable,$Q9,20)-1))</f>
        <v>4</v>
      </c>
      <c r="W9">
        <f t="array" ref="W9">INDEX(INC_MINVALUES,$V9,$K$1)</f>
        <v>480</v>
      </c>
      <c r="X9" s="212">
        <f t="array" ref="X9">INDEX(INC_INCVALUES,$V9,$K$1)</f>
        <v>4</v>
      </c>
    </row>
    <row r="10">
      <c r="A10" s="435" t="s">
        <v>255</v>
      </c>
      <c r="B10" s="436">
        <v>2.32</v>
      </c>
      <c r="C10" s="95" t="str">
        <f t="array" ref="C10">IF(I10&gt;0,INDEX(DB,I10,8),"")</f>
        <v>Myla McNeill</v>
      </c>
      <c r="D10" s="437">
        <f t="shared" si="1"/>
        <v>38</v>
      </c>
      <c r="F10" s="438">
        <f t="shared" si="2"/>
        <v>1</v>
      </c>
      <c r="G10" t="str">
        <f t="shared" si="3"/>
        <v/>
      </c>
      <c r="H10" t="b">
        <f t="shared" si="4"/>
        <v>1</v>
      </c>
      <c r="I10" s="439">
        <f>IF(OR(ISBLANK(A10),ISNA(MATCH(A10&amp;"",AthleteNumbers,0))),0,MATCH(A10&amp;"",AthleteNumbers,0))</f>
        <v>58</v>
      </c>
      <c r="J10" s="209" t="str">
        <f t="array" ref="J10">IF(I10&gt;0,INDEX(DB,$I10,6),0)</f>
        <v/>
      </c>
      <c r="K10" s="446">
        <f t="shared" si="5"/>
        <v>2.32</v>
      </c>
      <c r="L10" s="440">
        <f t="shared" si="6"/>
        <v>152</v>
      </c>
      <c r="M10" s="441">
        <f>IF(AND(L10&gt;O10,O10&gt;0),MinPoints,IF(AND(L10&lt;N10,O10&gt;0),100,+INT((O10-$L10)/P10)+MinPoints))</f>
        <v>38</v>
      </c>
      <c r="N10" s="440">
        <f t="shared" si="7"/>
        <v>90</v>
      </c>
      <c r="O10" s="440">
        <f t="shared" si="8"/>
        <v>180</v>
      </c>
      <c r="P10" s="440">
        <f t="shared" si="9"/>
        <v>1</v>
      </c>
      <c r="Q10">
        <f t="array" ref="Q10">IF(I10&gt;0,INDEX(DB,I10,9),EventIndex)</f>
        <v>6</v>
      </c>
      <c r="S10">
        <f t="array" ref="S10">(INT(INDEX(MINVALUES,$Q10,$K$1))*60)+(MOD(INDEX(MINVALUES,$Q10,$K$1),1)*100)</f>
        <v>180</v>
      </c>
      <c r="T10">
        <f t="array" ref="T10">(INDEX(INCVALUES,$Q10,$K$1)*100)</f>
        <v>1</v>
      </c>
      <c r="V10">
        <f t="array" ref="V10">+J10+(4*(INDEX(MatchScoreTable,$Q10,20)-1))</f>
        <v>4</v>
      </c>
      <c r="W10">
        <f t="array" ref="W10">INDEX(INC_MINVALUES,$V10,$K$1)</f>
        <v>480</v>
      </c>
      <c r="X10" s="212">
        <f t="array" ref="X10">INDEX(INC_INCVALUES,$V10,$K$1)</f>
        <v>4</v>
      </c>
    </row>
    <row r="11">
      <c r="A11" s="435" t="s">
        <v>238</v>
      </c>
      <c r="B11" s="436">
        <v>2.34</v>
      </c>
      <c r="C11" s="95" t="str">
        <f t="array" ref="C11">IF(I11&gt;0,INDEX(DB,I11,8),"")</f>
        <v>Matilda Hutton</v>
      </c>
      <c r="D11" s="437">
        <f t="shared" si="1"/>
        <v>36</v>
      </c>
      <c r="F11" s="438">
        <f t="shared" si="2"/>
        <v>1</v>
      </c>
      <c r="G11" t="str">
        <f t="shared" si="3"/>
        <v/>
      </c>
      <c r="H11" t="b">
        <f t="shared" si="4"/>
        <v>1</v>
      </c>
      <c r="I11" s="439">
        <f>IF(OR(ISBLANK(A11),ISNA(MATCH(A11&amp;"",AthleteNumbers,0))),0,MATCH(A11&amp;"",AthleteNumbers,0))</f>
        <v>51</v>
      </c>
      <c r="J11" s="209" t="str">
        <f t="array" ref="J11">IF(I11&gt;0,INDEX(DB,$I11,6),0)</f>
        <v/>
      </c>
      <c r="K11" s="446">
        <f t="shared" si="5"/>
        <v>2.34</v>
      </c>
      <c r="L11" s="440">
        <f t="shared" si="6"/>
        <v>154</v>
      </c>
      <c r="M11" s="441">
        <f>IF(AND(L11&gt;O11,O11&gt;0),MinPoints,IF(AND(L11&lt;N11,O11&gt;0),100,+INT((O11-$L11)/P11)+MinPoints))</f>
        <v>36</v>
      </c>
      <c r="N11" s="440">
        <f t="shared" si="7"/>
        <v>90</v>
      </c>
      <c r="O11" s="440">
        <f t="shared" si="8"/>
        <v>180</v>
      </c>
      <c r="P11" s="440">
        <f t="shared" si="9"/>
        <v>1</v>
      </c>
      <c r="Q11">
        <f t="array" ref="Q11">IF(I11&gt;0,INDEX(DB,I11,9),EventIndex)</f>
        <v>6</v>
      </c>
      <c r="S11">
        <f t="array" ref="S11">(INT(INDEX(MINVALUES,$Q11,$K$1))*60)+(MOD(INDEX(MINVALUES,$Q11,$K$1),1)*100)</f>
        <v>180</v>
      </c>
      <c r="T11">
        <f t="array" ref="T11">(INDEX(INCVALUES,$Q11,$K$1)*100)</f>
        <v>1</v>
      </c>
      <c r="V11">
        <f t="array" ref="V11">+J11+(4*(INDEX(MatchScoreTable,$Q11,20)-1))</f>
        <v>4</v>
      </c>
      <c r="W11">
        <f t="array" ref="W11">INDEX(INC_MINVALUES,$V11,$K$1)</f>
        <v>480</v>
      </c>
      <c r="X11" s="212">
        <f t="array" ref="X11">INDEX(INC_INCVALUES,$V11,$K$1)</f>
        <v>4</v>
      </c>
    </row>
    <row r="12">
      <c r="A12" s="435" t="s">
        <v>220</v>
      </c>
      <c r="B12" s="436">
        <v>2.34</v>
      </c>
      <c r="C12" s="95" t="str">
        <f t="array" ref="C12">IF(I12&gt;0,INDEX(DB,I12,8),"")</f>
        <v>Amelia Drew</v>
      </c>
      <c r="D12" s="437">
        <f t="shared" si="1"/>
        <v>36</v>
      </c>
      <c r="F12" s="438">
        <f t="shared" si="2"/>
        <v>1</v>
      </c>
      <c r="G12" t="str">
        <f t="shared" si="3"/>
        <v/>
      </c>
      <c r="H12" t="b">
        <f t="shared" si="4"/>
        <v>1</v>
      </c>
      <c r="I12" s="439">
        <f>IF(OR(ISBLANK(A12),ISNA(MATCH(A12&amp;"",AthleteNumbers,0))),0,MATCH(A12&amp;"",AthleteNumbers,0))</f>
        <v>42</v>
      </c>
      <c r="J12" s="209" t="str">
        <f t="array" ref="J12">IF(I12&gt;0,INDEX(DB,$I12,6),0)</f>
        <v/>
      </c>
      <c r="K12" s="446">
        <f t="shared" si="5"/>
        <v>2.34</v>
      </c>
      <c r="L12" s="440">
        <f t="shared" si="6"/>
        <v>154</v>
      </c>
      <c r="M12" s="441">
        <f>IF(AND(L12&gt;O12,O12&gt;0),MinPoints,IF(AND(L12&lt;N12,O12&gt;0),100,+INT((O12-$L12)/P12)+MinPoints))</f>
        <v>36</v>
      </c>
      <c r="N12" s="440">
        <f t="shared" si="7"/>
        <v>90</v>
      </c>
      <c r="O12" s="440">
        <f t="shared" si="8"/>
        <v>180</v>
      </c>
      <c r="P12" s="440">
        <f t="shared" si="9"/>
        <v>1</v>
      </c>
      <c r="Q12">
        <f t="array" ref="Q12">IF(I12&gt;0,INDEX(DB,I12,9),EventIndex)</f>
        <v>6</v>
      </c>
      <c r="S12">
        <f t="array" ref="S12">(INT(INDEX(MINVALUES,$Q12,$K$1))*60)+(MOD(INDEX(MINVALUES,$Q12,$K$1),1)*100)</f>
        <v>180</v>
      </c>
      <c r="T12">
        <f t="array" ref="T12">(INDEX(INCVALUES,$Q12,$K$1)*100)</f>
        <v>1</v>
      </c>
      <c r="V12">
        <f t="array" ref="V12">+J12+(4*(INDEX(MatchScoreTable,$Q12,20)-1))</f>
        <v>4</v>
      </c>
      <c r="W12">
        <f t="array" ref="W12">INDEX(INC_MINVALUES,$V12,$K$1)</f>
        <v>480</v>
      </c>
      <c r="X12" s="212">
        <f t="array" ref="X12">INDEX(INC_INCVALUES,$V12,$K$1)</f>
        <v>4</v>
      </c>
    </row>
    <row r="13">
      <c r="A13" s="435" t="s">
        <v>199</v>
      </c>
      <c r="B13" s="436">
        <v>2.4</v>
      </c>
      <c r="C13" s="95" t="str">
        <f t="array" ref="C13">IF(I13&gt;0,INDEX(DB,I13,8),"")</f>
        <v>Edee Abery</v>
      </c>
      <c r="D13" s="437">
        <f t="shared" si="1"/>
        <v>30</v>
      </c>
      <c r="F13" s="438">
        <f t="shared" si="2"/>
        <v>1</v>
      </c>
      <c r="G13" t="str">
        <f t="shared" si="3"/>
        <v/>
      </c>
      <c r="H13" t="b">
        <f t="shared" si="4"/>
        <v>1</v>
      </c>
      <c r="I13" s="439">
        <f>IF(OR(ISBLANK(A13),ISNA(MATCH(A13&amp;"",AthleteNumbers,0))),0,MATCH(A13&amp;"",AthleteNumbers,0))</f>
        <v>34</v>
      </c>
      <c r="J13" s="209" t="str">
        <f t="array" ref="J13">IF(I13&gt;0,INDEX(DB,$I13,6),0)</f>
        <v/>
      </c>
      <c r="K13" s="446">
        <f t="shared" si="5"/>
        <v>2.4</v>
      </c>
      <c r="L13" s="440">
        <f t="shared" si="6"/>
        <v>160</v>
      </c>
      <c r="M13" s="441">
        <f>IF(AND(L13&gt;O13,O13&gt;0),MinPoints,IF(AND(L13&lt;N13,O13&gt;0),100,+INT((O13-$L13)/P13)+MinPoints))</f>
        <v>30</v>
      </c>
      <c r="N13" s="440">
        <f t="shared" si="7"/>
        <v>90</v>
      </c>
      <c r="O13" s="440">
        <f t="shared" si="8"/>
        <v>180</v>
      </c>
      <c r="P13" s="440">
        <f t="shared" si="9"/>
        <v>1</v>
      </c>
      <c r="Q13">
        <f t="array" ref="Q13">IF(I13&gt;0,INDEX(DB,I13,9),EventIndex)</f>
        <v>6</v>
      </c>
      <c r="S13">
        <f t="array" ref="S13">(INT(INDEX(MINVALUES,$Q13,$K$1))*60)+(MOD(INDEX(MINVALUES,$Q13,$K$1),1)*100)</f>
        <v>180</v>
      </c>
      <c r="T13">
        <f t="array" ref="T13">(INDEX(INCVALUES,$Q13,$K$1)*100)</f>
        <v>1</v>
      </c>
      <c r="V13">
        <f t="array" ref="V13">+J13+(4*(INDEX(MatchScoreTable,$Q13,20)-1))</f>
        <v>4</v>
      </c>
      <c r="W13">
        <f t="array" ref="W13">INDEX(INC_MINVALUES,$V13,$K$1)</f>
        <v>480</v>
      </c>
      <c r="X13" s="212">
        <f t="array" ref="X13">INDEX(INC_INCVALUES,$V13,$K$1)</f>
        <v>4</v>
      </c>
    </row>
    <row r="14">
      <c r="A14" s="435" t="s">
        <v>261</v>
      </c>
      <c r="B14" s="436">
        <v>1.59</v>
      </c>
      <c r="C14" s="95" t="str">
        <f t="array" ref="C14">IF(I14&gt;0,INDEX(DB,I14,8),"")</f>
        <v>Gracie Osman</v>
      </c>
      <c r="D14" s="437">
        <f t="shared" si="1"/>
        <v>71</v>
      </c>
      <c r="F14" s="438">
        <f t="shared" si="2"/>
        <v>1</v>
      </c>
      <c r="G14" t="str">
        <f t="shared" si="3"/>
        <v/>
      </c>
      <c r="H14" t="b">
        <f t="shared" si="4"/>
        <v>1</v>
      </c>
      <c r="I14" s="439">
        <f>IF(OR(ISBLANK(A14),ISNA(MATCH(A14&amp;"",AthleteNumbers,0))),0,MATCH(A14&amp;"",AthleteNumbers,0))</f>
        <v>61</v>
      </c>
      <c r="J14" s="209" t="str">
        <f t="array" ref="J14">IF(I14&gt;0,INDEX(DB,$I14,6),0)</f>
        <v/>
      </c>
      <c r="K14" s="446">
        <f t="shared" si="5"/>
        <v>1.59</v>
      </c>
      <c r="L14" s="440">
        <f t="shared" si="6"/>
        <v>119</v>
      </c>
      <c r="M14" s="441">
        <f>IF(AND(L14&gt;O14,O14&gt;0),MinPoints,IF(AND(L14&lt;N14,O14&gt;0),100,+INT((O14-$L14)/P14)+MinPoints))</f>
        <v>71</v>
      </c>
      <c r="N14" s="440">
        <f t="shared" si="7"/>
        <v>90</v>
      </c>
      <c r="O14" s="440">
        <f t="shared" si="8"/>
        <v>180</v>
      </c>
      <c r="P14" s="440">
        <f t="shared" si="9"/>
        <v>1</v>
      </c>
      <c r="Q14">
        <f t="array" ref="Q14">IF(I14&gt;0,INDEX(DB,I14,9),EventIndex)</f>
        <v>6</v>
      </c>
      <c r="S14">
        <f t="array" ref="S14">(INT(INDEX(MINVALUES,$Q14,$K$1))*60)+(MOD(INDEX(MINVALUES,$Q14,$K$1),1)*100)</f>
        <v>180</v>
      </c>
      <c r="T14">
        <f t="array" ref="T14">(INDEX(INCVALUES,$Q14,$K$1)*100)</f>
        <v>1</v>
      </c>
      <c r="V14">
        <f t="array" ref="V14">+J14+(4*(INDEX(MatchScoreTable,$Q14,20)-1))</f>
        <v>4</v>
      </c>
      <c r="W14">
        <f t="array" ref="W14">INDEX(INC_MINVALUES,$V14,$K$1)</f>
        <v>480</v>
      </c>
      <c r="X14" s="212">
        <f t="array" ref="X14">INDEX(INC_INCVALUES,$V14,$K$1)</f>
        <v>4</v>
      </c>
    </row>
    <row r="15">
      <c r="A15" s="435" t="s">
        <v>279</v>
      </c>
      <c r="B15" s="436">
        <v>2.0</v>
      </c>
      <c r="C15" s="95" t="str">
        <f t="array" ref="C15">IF(I15&gt;0,INDEX(DB,I15,8),"")</f>
        <v>Poppy Taylor</v>
      </c>
      <c r="D15" s="437">
        <f t="shared" si="1"/>
        <v>70</v>
      </c>
      <c r="F15" s="438">
        <f t="shared" si="2"/>
        <v>1</v>
      </c>
      <c r="G15" t="str">
        <f t="shared" si="3"/>
        <v/>
      </c>
      <c r="H15" t="b">
        <f t="shared" si="4"/>
        <v>1</v>
      </c>
      <c r="I15" s="439">
        <f>IF(OR(ISBLANK(A15),ISNA(MATCH(A15&amp;"",AthleteNumbers,0))),0,MATCH(A15&amp;"",AthleteNumbers,0))</f>
        <v>68</v>
      </c>
      <c r="J15" s="209" t="str">
        <f t="array" ref="J15">IF(I15&gt;0,INDEX(DB,$I15,6),0)</f>
        <v/>
      </c>
      <c r="K15" s="446">
        <f t="shared" si="5"/>
        <v>2</v>
      </c>
      <c r="L15" s="440">
        <f t="shared" si="6"/>
        <v>120</v>
      </c>
      <c r="M15" s="441">
        <f>IF(AND(L15&gt;O15,O15&gt;0),MinPoints,IF(AND(L15&lt;N15,O15&gt;0),100,+INT((O15-$L15)/P15)+MinPoints))</f>
        <v>70</v>
      </c>
      <c r="N15" s="440">
        <f t="shared" si="7"/>
        <v>90</v>
      </c>
      <c r="O15" s="440">
        <f t="shared" si="8"/>
        <v>180</v>
      </c>
      <c r="P15" s="440">
        <f t="shared" si="9"/>
        <v>1</v>
      </c>
      <c r="Q15">
        <f t="array" ref="Q15">IF(I15&gt;0,INDEX(DB,I15,9),EventIndex)</f>
        <v>6</v>
      </c>
      <c r="S15">
        <f t="array" ref="S15">(INT(INDEX(MINVALUES,$Q15,$K$1))*60)+(MOD(INDEX(MINVALUES,$Q15,$K$1),1)*100)</f>
        <v>180</v>
      </c>
      <c r="T15">
        <f t="array" ref="T15">(INDEX(INCVALUES,$Q15,$K$1)*100)</f>
        <v>1</v>
      </c>
      <c r="V15">
        <f t="array" ref="V15">+J15+(4*(INDEX(MatchScoreTable,$Q15,20)-1))</f>
        <v>4</v>
      </c>
      <c r="W15">
        <f t="array" ref="W15">INDEX(INC_MINVALUES,$V15,$K$1)</f>
        <v>480</v>
      </c>
      <c r="X15" s="212">
        <f t="array" ref="X15">INDEX(INC_INCVALUES,$V15,$K$1)</f>
        <v>4</v>
      </c>
    </row>
    <row r="16">
      <c r="A16" s="435" t="s">
        <v>286</v>
      </c>
      <c r="B16" s="436">
        <v>2.03</v>
      </c>
      <c r="C16" s="95" t="str">
        <f t="array" ref="C16">IF(I16&gt;0,INDEX(DB,I16,8),"")</f>
        <v>Julieana Walsh</v>
      </c>
      <c r="D16" s="437">
        <f t="shared" si="1"/>
        <v>67</v>
      </c>
      <c r="F16" s="438">
        <f t="shared" si="2"/>
        <v>1</v>
      </c>
      <c r="G16" t="str">
        <f t="shared" si="3"/>
        <v/>
      </c>
      <c r="H16" t="b">
        <f t="shared" si="4"/>
        <v>1</v>
      </c>
      <c r="I16" s="439">
        <f>IF(OR(ISBLANK(A16),ISNA(MATCH(A16&amp;"",AthleteNumbers,0))),0,MATCH(A16&amp;"",AthleteNumbers,0))</f>
        <v>71</v>
      </c>
      <c r="J16" s="209" t="str">
        <f t="array" ref="J16">IF(I16&gt;0,INDEX(DB,$I16,6),0)</f>
        <v/>
      </c>
      <c r="K16" s="446">
        <f t="shared" si="5"/>
        <v>2.03</v>
      </c>
      <c r="L16" s="440">
        <f t="shared" si="6"/>
        <v>123</v>
      </c>
      <c r="M16" s="441">
        <f>IF(AND(L16&gt;O16,O16&gt;0),MinPoints,IF(AND(L16&lt;N16,O16&gt;0),100,+INT((O16-$L16)/P16)+MinPoints))</f>
        <v>67</v>
      </c>
      <c r="N16" s="440">
        <f t="shared" si="7"/>
        <v>90</v>
      </c>
      <c r="O16" s="440">
        <f t="shared" si="8"/>
        <v>180</v>
      </c>
      <c r="P16" s="440">
        <f t="shared" si="9"/>
        <v>1</v>
      </c>
      <c r="Q16">
        <f t="array" ref="Q16">IF(I16&gt;0,INDEX(DB,I16,9),EventIndex)</f>
        <v>6</v>
      </c>
      <c r="S16">
        <f t="array" ref="S16">(INT(INDEX(MINVALUES,$Q16,$K$1))*60)+(MOD(INDEX(MINVALUES,$Q16,$K$1),1)*100)</f>
        <v>180</v>
      </c>
      <c r="T16">
        <f t="array" ref="T16">(INDEX(INCVALUES,$Q16,$K$1)*100)</f>
        <v>1</v>
      </c>
      <c r="V16">
        <f t="array" ref="V16">+J16+(4*(INDEX(MatchScoreTable,$Q16,20)-1))</f>
        <v>4</v>
      </c>
      <c r="W16">
        <f t="array" ref="W16">INDEX(INC_MINVALUES,$V16,$K$1)</f>
        <v>480</v>
      </c>
      <c r="X16" s="212">
        <f t="array" ref="X16">INDEX(INC_INCVALUES,$V16,$K$1)</f>
        <v>4</v>
      </c>
    </row>
    <row r="17">
      <c r="A17" s="435" t="s">
        <v>246</v>
      </c>
      <c r="B17" s="436">
        <v>2.07</v>
      </c>
      <c r="C17" s="95" t="str">
        <f t="array" ref="C17">IF(I17&gt;0,INDEX(DB,I17,8),"")</f>
        <v>Katie Kilburn</v>
      </c>
      <c r="D17" s="437">
        <f t="shared" si="1"/>
        <v>63</v>
      </c>
      <c r="F17" s="438">
        <f t="shared" si="2"/>
        <v>1</v>
      </c>
      <c r="G17" t="str">
        <f t="shared" si="3"/>
        <v/>
      </c>
      <c r="H17" t="b">
        <f t="shared" si="4"/>
        <v>1</v>
      </c>
      <c r="I17" s="439">
        <f>IF(OR(ISBLANK(A17),ISNA(MATCH(A17&amp;"",AthleteNumbers,0))),0,MATCH(A17&amp;"",AthleteNumbers,0))</f>
        <v>54</v>
      </c>
      <c r="J17" s="209" t="str">
        <f t="array" ref="J17">IF(I17&gt;0,INDEX(DB,$I17,6),0)</f>
        <v/>
      </c>
      <c r="K17" s="446">
        <f t="shared" si="5"/>
        <v>2.07</v>
      </c>
      <c r="L17" s="440">
        <f t="shared" si="6"/>
        <v>127</v>
      </c>
      <c r="M17" s="441">
        <f>IF(AND(L17&gt;O17,O17&gt;0),MinPoints,IF(AND(L17&lt;N17,O17&gt;0),100,+INT((O17-$L17)/P17)+MinPoints))</f>
        <v>63</v>
      </c>
      <c r="N17" s="440">
        <f t="shared" si="7"/>
        <v>90</v>
      </c>
      <c r="O17" s="440">
        <f t="shared" si="8"/>
        <v>180</v>
      </c>
      <c r="P17" s="440">
        <f t="shared" si="9"/>
        <v>1</v>
      </c>
      <c r="Q17">
        <f t="array" ref="Q17">IF(I17&gt;0,INDEX(DB,I17,9),EventIndex)</f>
        <v>6</v>
      </c>
      <c r="S17">
        <f t="array" ref="S17">(INT(INDEX(MINVALUES,$Q17,$K$1))*60)+(MOD(INDEX(MINVALUES,$Q17,$K$1),1)*100)</f>
        <v>180</v>
      </c>
      <c r="T17">
        <f t="array" ref="T17">(INDEX(INCVALUES,$Q17,$K$1)*100)</f>
        <v>1</v>
      </c>
      <c r="V17">
        <f t="array" ref="V17">+J17+(4*(INDEX(MatchScoreTable,$Q17,20)-1))</f>
        <v>4</v>
      </c>
      <c r="W17">
        <f t="array" ref="W17">INDEX(INC_MINVALUES,$V17,$K$1)</f>
        <v>480</v>
      </c>
      <c r="X17" s="212">
        <f t="array" ref="X17">INDEX(INC_INCVALUES,$V17,$K$1)</f>
        <v>4</v>
      </c>
    </row>
    <row r="18">
      <c r="A18" s="435" t="s">
        <v>209</v>
      </c>
      <c r="B18" s="436">
        <v>2.07</v>
      </c>
      <c r="C18" s="95" t="str">
        <f t="array" ref="C18">IF(I18&gt;0,INDEX(DB,I18,8),"")</f>
        <v>Isabel Cherrett</v>
      </c>
      <c r="D18" s="437">
        <f t="shared" si="1"/>
        <v>63</v>
      </c>
      <c r="F18" s="438">
        <f t="shared" si="2"/>
        <v>1</v>
      </c>
      <c r="G18" t="str">
        <f t="shared" si="3"/>
        <v/>
      </c>
      <c r="H18" t="b">
        <f t="shared" si="4"/>
        <v>1</v>
      </c>
      <c r="I18" s="439">
        <f>IF(OR(ISBLANK(A18),ISNA(MATCH(A18&amp;"",AthleteNumbers,0))),0,MATCH(A18&amp;"",AthleteNumbers,0))</f>
        <v>37</v>
      </c>
      <c r="J18" s="209" t="str">
        <f t="array" ref="J18">IF(I18&gt;0,INDEX(DB,$I18,6),0)</f>
        <v/>
      </c>
      <c r="K18" s="446">
        <f t="shared" si="5"/>
        <v>2.07</v>
      </c>
      <c r="L18" s="440">
        <f t="shared" si="6"/>
        <v>127</v>
      </c>
      <c r="M18" s="441">
        <f>IF(AND(L18&gt;O18,O18&gt;0),MinPoints,IF(AND(L18&lt;N18,O18&gt;0),100,+INT((O18-$L18)/P18)+MinPoints))</f>
        <v>63</v>
      </c>
      <c r="N18" s="440">
        <f t="shared" si="7"/>
        <v>90</v>
      </c>
      <c r="O18" s="440">
        <f t="shared" si="8"/>
        <v>180</v>
      </c>
      <c r="P18" s="440">
        <f t="shared" si="9"/>
        <v>1</v>
      </c>
      <c r="Q18">
        <f t="array" ref="Q18">IF(I18&gt;0,INDEX(DB,I18,9),EventIndex)</f>
        <v>6</v>
      </c>
      <c r="S18">
        <f t="array" ref="S18">(INT(INDEX(MINVALUES,$Q18,$K$1))*60)+(MOD(INDEX(MINVALUES,$Q18,$K$1),1)*100)</f>
        <v>180</v>
      </c>
      <c r="T18">
        <f t="array" ref="T18">(INDEX(INCVALUES,$Q18,$K$1)*100)</f>
        <v>1</v>
      </c>
      <c r="V18">
        <f t="array" ref="V18">+J18+(4*(INDEX(MatchScoreTable,$Q18,20)-1))</f>
        <v>4</v>
      </c>
      <c r="W18">
        <f t="array" ref="W18">INDEX(INC_MINVALUES,$V18,$K$1)</f>
        <v>480</v>
      </c>
      <c r="X18" s="212">
        <f t="array" ref="X18">INDEX(INC_INCVALUES,$V18,$K$1)</f>
        <v>4</v>
      </c>
    </row>
    <row r="19">
      <c r="A19" s="435" t="s">
        <v>224</v>
      </c>
      <c r="B19" s="436">
        <v>2.11</v>
      </c>
      <c r="C19" s="95" t="str">
        <f t="array" ref="C19">IF(I19&gt;0,INDEX(DB,I19,8),"")</f>
        <v>Evie Fuller</v>
      </c>
      <c r="D19" s="437">
        <f t="shared" si="1"/>
        <v>59</v>
      </c>
      <c r="F19" s="438">
        <f t="shared" si="2"/>
        <v>1</v>
      </c>
      <c r="G19" t="str">
        <f t="shared" si="3"/>
        <v/>
      </c>
      <c r="H19" t="b">
        <f t="shared" si="4"/>
        <v>1</v>
      </c>
      <c r="I19" s="439">
        <f>IF(OR(ISBLANK(A19),ISNA(MATCH(A19&amp;"",AthleteNumbers,0))),0,MATCH(A19&amp;"",AthleteNumbers,0))</f>
        <v>44</v>
      </c>
      <c r="J19" s="209" t="str">
        <f t="array" ref="J19">IF(I19&gt;0,INDEX(DB,$I19,6),0)</f>
        <v/>
      </c>
      <c r="K19" s="446">
        <f t="shared" si="5"/>
        <v>2.11</v>
      </c>
      <c r="L19" s="440">
        <f t="shared" si="6"/>
        <v>131</v>
      </c>
      <c r="M19" s="441">
        <f>IF(AND(L19&gt;O19,O19&gt;0),MinPoints,IF(AND(L19&lt;N19,O19&gt;0),100,+INT((O19-$L19)/P19)+MinPoints))</f>
        <v>59</v>
      </c>
      <c r="N19" s="440">
        <f t="shared" si="7"/>
        <v>90</v>
      </c>
      <c r="O19" s="440">
        <f t="shared" si="8"/>
        <v>180</v>
      </c>
      <c r="P19" s="440">
        <f t="shared" si="9"/>
        <v>1</v>
      </c>
      <c r="Q19">
        <f t="array" ref="Q19">IF(I19&gt;0,INDEX(DB,I19,9),EventIndex)</f>
        <v>6</v>
      </c>
      <c r="S19">
        <f t="array" ref="S19">(INT(INDEX(MINVALUES,$Q19,$K$1))*60)+(MOD(INDEX(MINVALUES,$Q19,$K$1),1)*100)</f>
        <v>180</v>
      </c>
      <c r="T19">
        <f t="array" ref="T19">(INDEX(INCVALUES,$Q19,$K$1)*100)</f>
        <v>1</v>
      </c>
      <c r="V19">
        <f t="array" ref="V19">+J19+(4*(INDEX(MatchScoreTable,$Q19,20)-1))</f>
        <v>4</v>
      </c>
      <c r="W19">
        <f t="array" ref="W19">INDEX(INC_MINVALUES,$V19,$K$1)</f>
        <v>480</v>
      </c>
      <c r="X19" s="212">
        <f t="array" ref="X19">INDEX(INC_INCVALUES,$V19,$K$1)</f>
        <v>4</v>
      </c>
    </row>
    <row r="20">
      <c r="A20" s="435" t="s">
        <v>243</v>
      </c>
      <c r="B20" s="436">
        <v>2.16</v>
      </c>
      <c r="C20" s="95" t="str">
        <f t="array" ref="C20">IF(I20&gt;0,INDEX(DB,I20,8),"")</f>
        <v>Chloe Johnson</v>
      </c>
      <c r="D20" s="437">
        <f t="shared" si="1"/>
        <v>54</v>
      </c>
      <c r="F20" s="438">
        <f t="shared" si="2"/>
        <v>1</v>
      </c>
      <c r="G20" t="str">
        <f t="shared" si="3"/>
        <v/>
      </c>
      <c r="H20" t="b">
        <f t="shared" si="4"/>
        <v>1</v>
      </c>
      <c r="I20" s="439">
        <f>IF(OR(ISBLANK(A20),ISNA(MATCH(A20&amp;"",AthleteNumbers,0))),0,MATCH(A20&amp;"",AthleteNumbers,0))</f>
        <v>53</v>
      </c>
      <c r="J20" s="209" t="str">
        <f t="array" ref="J20">IF(I20&gt;0,INDEX(DB,$I20,6),0)</f>
        <v/>
      </c>
      <c r="K20" s="446">
        <f t="shared" si="5"/>
        <v>2.16</v>
      </c>
      <c r="L20" s="440">
        <f t="shared" si="6"/>
        <v>136</v>
      </c>
      <c r="M20" s="441">
        <f>IF(AND(L20&gt;O20,O20&gt;0),MinPoints,IF(AND(L20&lt;N20,O20&gt;0),100,+INT((O20-$L20)/P20)+MinPoints))</f>
        <v>54</v>
      </c>
      <c r="N20" s="440">
        <f t="shared" si="7"/>
        <v>90</v>
      </c>
      <c r="O20" s="440">
        <f t="shared" si="8"/>
        <v>180</v>
      </c>
      <c r="P20" s="440">
        <f t="shared" si="9"/>
        <v>1</v>
      </c>
      <c r="Q20">
        <f t="array" ref="Q20">IF(I20&gt;0,INDEX(DB,I20,9),EventIndex)</f>
        <v>6</v>
      </c>
      <c r="S20">
        <f t="array" ref="S20">(INT(INDEX(MINVALUES,$Q20,$K$1))*60)+(MOD(INDEX(MINVALUES,$Q20,$K$1),1)*100)</f>
        <v>180</v>
      </c>
      <c r="T20">
        <f t="array" ref="T20">(INDEX(INCVALUES,$Q20,$K$1)*100)</f>
        <v>1</v>
      </c>
      <c r="V20">
        <f t="array" ref="V20">+J20+(4*(INDEX(MatchScoreTable,$Q20,20)-1))</f>
        <v>4</v>
      </c>
      <c r="W20">
        <f t="array" ref="W20">INDEX(INC_MINVALUES,$V20,$K$1)</f>
        <v>480</v>
      </c>
      <c r="X20" s="212">
        <f t="array" ref="X20">INDEX(INC_INCVALUES,$V20,$K$1)</f>
        <v>4</v>
      </c>
    </row>
    <row r="21" ht="15.75" customHeight="1">
      <c r="A21" s="435" t="s">
        <v>290</v>
      </c>
      <c r="B21" s="436">
        <v>2.19</v>
      </c>
      <c r="C21" s="95" t="str">
        <f t="array" ref="C21">IF(I21&gt;0,INDEX(DB,I21,8),"")</f>
        <v>Lavender West</v>
      </c>
      <c r="D21" s="437">
        <f t="shared" si="1"/>
        <v>51</v>
      </c>
      <c r="F21" s="438">
        <f t="shared" si="2"/>
        <v>1</v>
      </c>
      <c r="G21" t="str">
        <f t="shared" si="3"/>
        <v/>
      </c>
      <c r="H21" t="b">
        <f t="shared" si="4"/>
        <v>1</v>
      </c>
      <c r="I21" s="439">
        <f>IF(OR(ISBLANK(A21),ISNA(MATCH(A21&amp;"",AthleteNumbers,0))),0,MATCH(A21&amp;"",AthleteNumbers,0))</f>
        <v>73</v>
      </c>
      <c r="J21" s="209" t="str">
        <f t="array" ref="J21">IF(I21&gt;0,INDEX(DB,$I21,6),0)</f>
        <v/>
      </c>
      <c r="K21" s="446">
        <f t="shared" si="5"/>
        <v>2.19</v>
      </c>
      <c r="L21" s="440">
        <f t="shared" si="6"/>
        <v>139</v>
      </c>
      <c r="M21" s="441">
        <f>IF(AND(L21&gt;O21,O21&gt;0),MinPoints,IF(AND(L21&lt;N21,O21&gt;0),100,+INT((O21-$L21)/P21)+MinPoints))</f>
        <v>51</v>
      </c>
      <c r="N21" s="440">
        <f t="shared" si="7"/>
        <v>90</v>
      </c>
      <c r="O21" s="440">
        <f t="shared" si="8"/>
        <v>180</v>
      </c>
      <c r="P21" s="440">
        <f t="shared" si="9"/>
        <v>1</v>
      </c>
      <c r="Q21">
        <f t="array" ref="Q21">IF(I21&gt;0,INDEX(DB,I21,9),EventIndex)</f>
        <v>6</v>
      </c>
      <c r="S21">
        <f t="array" ref="S21">(INT(INDEX(MINVALUES,$Q21,$K$1))*60)+(MOD(INDEX(MINVALUES,$Q21,$K$1),1)*100)</f>
        <v>180</v>
      </c>
      <c r="T21">
        <f t="array" ref="T21">(INDEX(INCVALUES,$Q21,$K$1)*100)</f>
        <v>1</v>
      </c>
      <c r="V21">
        <f t="array" ref="V21">+J21+(4*(INDEX(MatchScoreTable,$Q21,20)-1))</f>
        <v>4</v>
      </c>
      <c r="W21">
        <f t="array" ref="W21">INDEX(INC_MINVALUES,$V21,$K$1)</f>
        <v>480</v>
      </c>
      <c r="X21" s="212">
        <f t="array" ref="X21">INDEX(INC_INCVALUES,$V21,$K$1)</f>
        <v>4</v>
      </c>
    </row>
    <row r="22" ht="15.75" customHeight="1">
      <c r="A22" s="435" t="s">
        <v>268</v>
      </c>
      <c r="B22" s="436">
        <v>2.22</v>
      </c>
      <c r="C22" s="95" t="str">
        <f t="array" ref="C22">IF(I22&gt;0,INDEX(DB,I22,8),"")</f>
        <v>Clover Smith</v>
      </c>
      <c r="D22" s="437">
        <f t="shared" si="1"/>
        <v>48</v>
      </c>
      <c r="F22" s="438">
        <f t="shared" si="2"/>
        <v>1</v>
      </c>
      <c r="G22" t="str">
        <f t="shared" si="3"/>
        <v/>
      </c>
      <c r="H22" t="b">
        <f t="shared" si="4"/>
        <v>1</v>
      </c>
      <c r="I22" s="439">
        <f>IF(OR(ISBLANK(A22),ISNA(MATCH(A22&amp;"",AthleteNumbers,0))),0,MATCH(A22&amp;"",AthleteNumbers,0))</f>
        <v>64</v>
      </c>
      <c r="J22" s="209" t="str">
        <f t="array" ref="J22">IF(I22&gt;0,INDEX(DB,$I22,6),0)</f>
        <v/>
      </c>
      <c r="K22" s="446">
        <f t="shared" si="5"/>
        <v>2.22</v>
      </c>
      <c r="L22" s="440">
        <f t="shared" si="6"/>
        <v>142</v>
      </c>
      <c r="M22" s="441">
        <f>IF(AND(L22&gt;O22,O22&gt;0),MinPoints,IF(AND(L22&lt;N22,O22&gt;0),100,+INT((O22-$L22)/P22)+MinPoints))</f>
        <v>48</v>
      </c>
      <c r="N22" s="440">
        <f t="shared" si="7"/>
        <v>90</v>
      </c>
      <c r="O22" s="440">
        <f t="shared" si="8"/>
        <v>180</v>
      </c>
      <c r="P22" s="440">
        <f t="shared" si="9"/>
        <v>1</v>
      </c>
      <c r="Q22">
        <f t="array" ref="Q22">IF(I22&gt;0,INDEX(DB,I22,9),EventIndex)</f>
        <v>6</v>
      </c>
      <c r="S22">
        <f t="array" ref="S22">(INT(INDEX(MINVALUES,$Q22,$K$1))*60)+(MOD(INDEX(MINVALUES,$Q22,$K$1),1)*100)</f>
        <v>180</v>
      </c>
      <c r="T22">
        <f t="array" ref="T22">(INDEX(INCVALUES,$Q22,$K$1)*100)</f>
        <v>1</v>
      </c>
      <c r="V22">
        <f t="array" ref="V22">+J22+(4*(INDEX(MatchScoreTable,$Q22,20)-1))</f>
        <v>4</v>
      </c>
      <c r="W22">
        <f t="array" ref="W22">INDEX(INC_MINVALUES,$V22,$K$1)</f>
        <v>480</v>
      </c>
      <c r="X22" s="212">
        <f t="array" ref="X22">INDEX(INC_INCVALUES,$V22,$K$1)</f>
        <v>4</v>
      </c>
    </row>
    <row r="23" ht="15.75" customHeight="1">
      <c r="A23" s="435" t="s">
        <v>211</v>
      </c>
      <c r="B23" s="436">
        <v>2.24</v>
      </c>
      <c r="C23" s="95" t="str">
        <f t="array" ref="C23">IF(I23&gt;0,INDEX(DB,I23,8),"")</f>
        <v>Lily Coltman</v>
      </c>
      <c r="D23" s="437">
        <f t="shared" si="1"/>
        <v>46</v>
      </c>
      <c r="F23" s="438">
        <f t="shared" si="2"/>
        <v>1</v>
      </c>
      <c r="G23" t="str">
        <f t="shared" si="3"/>
        <v/>
      </c>
      <c r="H23" t="b">
        <f t="shared" si="4"/>
        <v>1</v>
      </c>
      <c r="I23" s="439">
        <f>IF(OR(ISBLANK(A23),ISNA(MATCH(A23&amp;"",AthleteNumbers,0))),0,MATCH(A23&amp;"",AthleteNumbers,0))</f>
        <v>38</v>
      </c>
      <c r="J23" s="209" t="str">
        <f t="array" ref="J23">IF(I23&gt;0,INDEX(DB,$I23,6),0)</f>
        <v/>
      </c>
      <c r="K23" s="446">
        <f t="shared" si="5"/>
        <v>2.24</v>
      </c>
      <c r="L23" s="440">
        <f t="shared" si="6"/>
        <v>144</v>
      </c>
      <c r="M23" s="441">
        <f>IF(AND(L23&gt;O23,O23&gt;0),MinPoints,IF(AND(L23&lt;N23,O23&gt;0),100,+INT((O23-$L23)/P23)+MinPoints))</f>
        <v>46</v>
      </c>
      <c r="N23" s="440">
        <f t="shared" si="7"/>
        <v>90</v>
      </c>
      <c r="O23" s="440">
        <f t="shared" si="8"/>
        <v>180</v>
      </c>
      <c r="P23" s="440">
        <f t="shared" si="9"/>
        <v>1</v>
      </c>
      <c r="Q23">
        <f t="array" ref="Q23">IF(I23&gt;0,INDEX(DB,I23,9),EventIndex)</f>
        <v>6</v>
      </c>
      <c r="S23">
        <f t="array" ref="S23">(INT(INDEX(MINVALUES,$Q23,$K$1))*60)+(MOD(INDEX(MINVALUES,$Q23,$K$1),1)*100)</f>
        <v>180</v>
      </c>
      <c r="T23">
        <f t="array" ref="T23">(INDEX(INCVALUES,$Q23,$K$1)*100)</f>
        <v>1</v>
      </c>
      <c r="V23">
        <f t="array" ref="V23">+J23+(4*(INDEX(MatchScoreTable,$Q23,20)-1))</f>
        <v>4</v>
      </c>
      <c r="W23">
        <f t="array" ref="W23">INDEX(INC_MINVALUES,$V23,$K$1)</f>
        <v>480</v>
      </c>
      <c r="X23" s="212">
        <f t="array" ref="X23">INDEX(INC_INCVALUES,$V23,$K$1)</f>
        <v>4</v>
      </c>
    </row>
    <row r="24" ht="15.75" customHeight="1">
      <c r="A24" s="435" t="s">
        <v>263</v>
      </c>
      <c r="B24" s="436">
        <v>2.27</v>
      </c>
      <c r="C24" s="95" t="str">
        <f t="array" ref="C24">IF(I24&gt;0,INDEX(DB,I24,8),"")</f>
        <v>Isabelle Saint</v>
      </c>
      <c r="D24" s="437">
        <f t="shared" si="1"/>
        <v>43</v>
      </c>
      <c r="F24" s="438">
        <f t="shared" si="2"/>
        <v>1</v>
      </c>
      <c r="G24" t="str">
        <f t="shared" si="3"/>
        <v/>
      </c>
      <c r="H24" t="b">
        <f t="shared" si="4"/>
        <v>1</v>
      </c>
      <c r="I24" s="439">
        <f>IF(OR(ISBLANK(A24),ISNA(MATCH(A24&amp;"",AthleteNumbers,0))),0,MATCH(A24&amp;"",AthleteNumbers,0))</f>
        <v>62</v>
      </c>
      <c r="J24" s="209" t="str">
        <f t="array" ref="J24">IF(I24&gt;0,INDEX(DB,$I24,6),0)</f>
        <v/>
      </c>
      <c r="K24" s="446">
        <f t="shared" si="5"/>
        <v>2.27</v>
      </c>
      <c r="L24" s="440">
        <f t="shared" si="6"/>
        <v>147</v>
      </c>
      <c r="M24" s="441">
        <f>IF(AND(L24&gt;O24,O24&gt;0),MinPoints,IF(AND(L24&lt;N24,O24&gt;0),100,+INT((O24-$L24)/P24)+MinPoints))</f>
        <v>43</v>
      </c>
      <c r="N24" s="440">
        <f t="shared" si="7"/>
        <v>90</v>
      </c>
      <c r="O24" s="440">
        <f t="shared" si="8"/>
        <v>180</v>
      </c>
      <c r="P24" s="440">
        <f t="shared" si="9"/>
        <v>1</v>
      </c>
      <c r="Q24">
        <f t="array" ref="Q24">IF(I24&gt;0,INDEX(DB,I24,9),EventIndex)</f>
        <v>6</v>
      </c>
      <c r="S24">
        <f t="array" ref="S24">(INT(INDEX(MINVALUES,$Q24,$K$1))*60)+(MOD(INDEX(MINVALUES,$Q24,$K$1),1)*100)</f>
        <v>180</v>
      </c>
      <c r="T24">
        <f t="array" ref="T24">(INDEX(INCVALUES,$Q24,$K$1)*100)</f>
        <v>1</v>
      </c>
      <c r="V24">
        <f t="array" ref="V24">+J24+(4*(INDEX(MatchScoreTable,$Q24,20)-1))</f>
        <v>4</v>
      </c>
      <c r="W24">
        <f t="array" ref="W24">INDEX(INC_MINVALUES,$V24,$K$1)</f>
        <v>480</v>
      </c>
      <c r="X24" s="212">
        <f t="array" ref="X24">INDEX(INC_INCVALUES,$V24,$K$1)</f>
        <v>4</v>
      </c>
    </row>
    <row r="25" ht="15.75" customHeight="1">
      <c r="A25" s="435" t="s">
        <v>232</v>
      </c>
      <c r="B25" s="436">
        <v>2.43</v>
      </c>
      <c r="C25" s="95" t="str">
        <f t="array" ref="C25">IF(I25&gt;0,INDEX(DB,I25,8),"")</f>
        <v>Millie Hardcastle</v>
      </c>
      <c r="D25" s="437">
        <f t="shared" si="1"/>
        <v>27</v>
      </c>
      <c r="F25" s="438">
        <f t="shared" si="2"/>
        <v>1</v>
      </c>
      <c r="G25" t="str">
        <f t="shared" si="3"/>
        <v/>
      </c>
      <c r="H25" t="b">
        <f t="shared" si="4"/>
        <v>1</v>
      </c>
      <c r="I25" s="439">
        <f>IF(OR(ISBLANK(A25),ISNA(MATCH(A25&amp;"",AthleteNumbers,0))),0,MATCH(A25&amp;"",AthleteNumbers,0))</f>
        <v>48</v>
      </c>
      <c r="J25" s="209" t="str">
        <f t="array" ref="J25">IF(I25&gt;0,INDEX(DB,$I25,6),0)</f>
        <v/>
      </c>
      <c r="K25" s="446">
        <f t="shared" si="5"/>
        <v>2.43</v>
      </c>
      <c r="L25" s="440">
        <f t="shared" si="6"/>
        <v>163</v>
      </c>
      <c r="M25" s="441">
        <f>IF(AND(L25&gt;O25,O25&gt;0),MinPoints,IF(AND(L25&lt;N25,O25&gt;0),100,+INT((O25-$L25)/P25)+MinPoints))</f>
        <v>27</v>
      </c>
      <c r="N25" s="440">
        <f t="shared" si="7"/>
        <v>90</v>
      </c>
      <c r="O25" s="440">
        <f t="shared" si="8"/>
        <v>180</v>
      </c>
      <c r="P25" s="440">
        <f t="shared" si="9"/>
        <v>1</v>
      </c>
      <c r="Q25">
        <f t="array" ref="Q25">IF(I25&gt;0,INDEX(DB,I25,9),EventIndex)</f>
        <v>6</v>
      </c>
      <c r="S25">
        <f t="array" ref="S25">(INT(INDEX(MINVALUES,$Q25,$K$1))*60)+(MOD(INDEX(MINVALUES,$Q25,$K$1),1)*100)</f>
        <v>180</v>
      </c>
      <c r="T25">
        <f t="array" ref="T25">(INDEX(INCVALUES,$Q25,$K$1)*100)</f>
        <v>1</v>
      </c>
      <c r="V25">
        <f t="array" ref="V25">+J25+(4*(INDEX(MatchScoreTable,$Q25,20)-1))</f>
        <v>4</v>
      </c>
      <c r="W25">
        <f t="array" ref="W25">INDEX(INC_MINVALUES,$V25,$K$1)</f>
        <v>480</v>
      </c>
      <c r="X25" s="212">
        <f t="array" ref="X25">INDEX(INC_INCVALUES,$V25,$K$1)</f>
        <v>4</v>
      </c>
    </row>
    <row r="26" ht="15.75" customHeight="1">
      <c r="A26" s="435" t="s">
        <v>234</v>
      </c>
      <c r="B26" s="436">
        <v>2.44</v>
      </c>
      <c r="C26" s="95" t="str">
        <f t="array" ref="C26">IF(I26&gt;0,INDEX(DB,I26,8),"")</f>
        <v>Layla Holdway</v>
      </c>
      <c r="D26" s="437">
        <f t="shared" si="1"/>
        <v>26</v>
      </c>
      <c r="F26" s="438">
        <f t="shared" si="2"/>
        <v>1</v>
      </c>
      <c r="G26" t="str">
        <f t="shared" si="3"/>
        <v/>
      </c>
      <c r="H26" t="b">
        <f t="shared" si="4"/>
        <v>1</v>
      </c>
      <c r="I26" s="439">
        <f>IF(OR(ISBLANK(A26),ISNA(MATCH(A26&amp;"",AthleteNumbers,0))),0,MATCH(A26&amp;"",AthleteNumbers,0))</f>
        <v>49</v>
      </c>
      <c r="J26" s="209" t="str">
        <f t="array" ref="J26">IF(I26&gt;0,INDEX(DB,$I26,6),0)</f>
        <v/>
      </c>
      <c r="K26" s="446">
        <f t="shared" si="5"/>
        <v>2.44</v>
      </c>
      <c r="L26" s="440">
        <f t="shared" si="6"/>
        <v>164</v>
      </c>
      <c r="M26" s="441">
        <f>IF(AND(L26&gt;O26,O26&gt;0),MinPoints,IF(AND(L26&lt;N26,O26&gt;0),100,+INT((O26-$L26)/P26)+MinPoints))</f>
        <v>26</v>
      </c>
      <c r="N26" s="440">
        <f t="shared" si="7"/>
        <v>90</v>
      </c>
      <c r="O26" s="440">
        <f t="shared" si="8"/>
        <v>180</v>
      </c>
      <c r="P26" s="440">
        <f t="shared" si="9"/>
        <v>1</v>
      </c>
      <c r="Q26">
        <f t="array" ref="Q26">IF(I26&gt;0,INDEX(DB,I26,9),EventIndex)</f>
        <v>6</v>
      </c>
      <c r="S26">
        <f t="array" ref="S26">(INT(INDEX(MINVALUES,$Q26,$K$1))*60)+(MOD(INDEX(MINVALUES,$Q26,$K$1),1)*100)</f>
        <v>180</v>
      </c>
      <c r="T26">
        <f t="array" ref="T26">(INDEX(INCVALUES,$Q26,$K$1)*100)</f>
        <v>1</v>
      </c>
      <c r="V26">
        <f t="array" ref="V26">+J26+(4*(INDEX(MatchScoreTable,$Q26,20)-1))</f>
        <v>4</v>
      </c>
      <c r="W26">
        <f t="array" ref="W26">INDEX(INC_MINVALUES,$V26,$K$1)</f>
        <v>480</v>
      </c>
      <c r="X26" s="212">
        <f t="array" ref="X26">INDEX(INC_INCVALUES,$V26,$K$1)</f>
        <v>4</v>
      </c>
    </row>
    <row r="27" ht="15.75" customHeight="1">
      <c r="A27" s="435" t="s">
        <v>295</v>
      </c>
      <c r="B27" s="436">
        <v>2.03</v>
      </c>
      <c r="C27" s="95" t="str">
        <f t="array" ref="C27">IF(I27&gt;0,INDEX(DB,I27,8),"")</f>
        <v>Shenique Xavier</v>
      </c>
      <c r="D27" s="437">
        <f t="shared" si="1"/>
        <v>67</v>
      </c>
      <c r="F27" s="438">
        <f t="shared" si="2"/>
        <v>1</v>
      </c>
      <c r="G27" t="str">
        <f t="shared" si="3"/>
        <v/>
      </c>
      <c r="H27" t="b">
        <f t="shared" si="4"/>
        <v>1</v>
      </c>
      <c r="I27" s="439">
        <f>IF(OR(ISBLANK(A27),ISNA(MATCH(A27&amp;"",AthleteNumbers,0))),0,MATCH(A27&amp;"",AthleteNumbers,0))</f>
        <v>75</v>
      </c>
      <c r="J27" s="209" t="str">
        <f t="array" ref="J27">IF(I27&gt;0,INDEX(DB,$I27,6),0)</f>
        <v/>
      </c>
      <c r="K27" s="446">
        <f t="shared" si="5"/>
        <v>2.03</v>
      </c>
      <c r="L27" s="440">
        <f t="shared" si="6"/>
        <v>123</v>
      </c>
      <c r="M27" s="441">
        <f>IF(AND(L27&gt;O27,O27&gt;0),MinPoints,IF(AND(L27&lt;N27,O27&gt;0),100,+INT((O27-$L27)/P27)+MinPoints))</f>
        <v>67</v>
      </c>
      <c r="N27" s="440">
        <f t="shared" si="7"/>
        <v>90</v>
      </c>
      <c r="O27" s="440">
        <f t="shared" si="8"/>
        <v>180</v>
      </c>
      <c r="P27" s="440">
        <f t="shared" si="9"/>
        <v>1</v>
      </c>
      <c r="Q27">
        <f t="array" ref="Q27">IF(I27&gt;0,INDEX(DB,I27,9),EventIndex)</f>
        <v>6</v>
      </c>
      <c r="S27">
        <f t="array" ref="S27">(INT(INDEX(MINVALUES,$Q27,$K$1))*60)+(MOD(INDEX(MINVALUES,$Q27,$K$1),1)*100)</f>
        <v>180</v>
      </c>
      <c r="T27">
        <f t="array" ref="T27">(INDEX(INCVALUES,$Q27,$K$1)*100)</f>
        <v>1</v>
      </c>
      <c r="V27">
        <f t="array" ref="V27">+J27+(4*(INDEX(MatchScoreTable,$Q27,20)-1))</f>
        <v>4</v>
      </c>
      <c r="W27">
        <f t="array" ref="W27">INDEX(INC_MINVALUES,$V27,$K$1)</f>
        <v>480</v>
      </c>
      <c r="X27" s="212">
        <f t="array" ref="X27">INDEX(INC_INCVALUES,$V27,$K$1)</f>
        <v>4</v>
      </c>
    </row>
    <row r="28" ht="15.75" customHeight="1">
      <c r="A28" s="435" t="s">
        <v>257</v>
      </c>
      <c r="B28" s="436">
        <v>2.14</v>
      </c>
      <c r="C28" s="95" t="str">
        <f t="array" ref="C28">IF(I28&gt;0,INDEX(DB,I28,8),"")</f>
        <v>Albha O'Brien</v>
      </c>
      <c r="D28" s="437">
        <f t="shared" si="1"/>
        <v>56</v>
      </c>
      <c r="F28" s="438">
        <f t="shared" si="2"/>
        <v>1</v>
      </c>
      <c r="G28" t="str">
        <f t="shared" si="3"/>
        <v/>
      </c>
      <c r="H28" t="b">
        <f t="shared" si="4"/>
        <v>1</v>
      </c>
      <c r="I28" s="439">
        <f>IF(OR(ISBLANK(A28),ISNA(MATCH(A28&amp;"",AthleteNumbers,0))),0,MATCH(A28&amp;"",AthleteNumbers,0))</f>
        <v>59</v>
      </c>
      <c r="J28" s="209" t="str">
        <f t="array" ref="J28">IF(I28&gt;0,INDEX(DB,$I28,6),0)</f>
        <v/>
      </c>
      <c r="K28" s="446">
        <f t="shared" si="5"/>
        <v>2.14</v>
      </c>
      <c r="L28" s="440">
        <f t="shared" si="6"/>
        <v>134</v>
      </c>
      <c r="M28" s="441">
        <f>IF(AND(L28&gt;O28,O28&gt;0),MinPoints,IF(AND(L28&lt;N28,O28&gt;0),100,+INT((O28-$L28)/P28)+MinPoints))</f>
        <v>56</v>
      </c>
      <c r="N28" s="440">
        <f t="shared" si="7"/>
        <v>90</v>
      </c>
      <c r="O28" s="440">
        <f t="shared" si="8"/>
        <v>180</v>
      </c>
      <c r="P28" s="440">
        <f t="shared" si="9"/>
        <v>1</v>
      </c>
      <c r="Q28">
        <f t="array" ref="Q28">IF(I28&gt;0,INDEX(DB,I28,9),EventIndex)</f>
        <v>6</v>
      </c>
      <c r="S28">
        <f t="array" ref="S28">(INT(INDEX(MINVALUES,$Q28,$K$1))*60)+(MOD(INDEX(MINVALUES,$Q28,$K$1),1)*100)</f>
        <v>180</v>
      </c>
      <c r="T28">
        <f t="array" ref="T28">(INDEX(INCVALUES,$Q28,$K$1)*100)</f>
        <v>1</v>
      </c>
      <c r="V28">
        <f t="array" ref="V28">+J28+(4*(INDEX(MatchScoreTable,$Q28,20)-1))</f>
        <v>4</v>
      </c>
      <c r="W28">
        <f t="array" ref="W28">INDEX(INC_MINVALUES,$V28,$K$1)</f>
        <v>480</v>
      </c>
      <c r="X28" s="212">
        <f t="array" ref="X28">INDEX(INC_INCVALUES,$V28,$K$1)</f>
        <v>4</v>
      </c>
    </row>
    <row r="29" ht="15.75" customHeight="1">
      <c r="A29" s="435" t="s">
        <v>265</v>
      </c>
      <c r="B29" s="436">
        <v>2.15</v>
      </c>
      <c r="C29" s="95" t="str">
        <f t="array" ref="C29">IF(I29&gt;0,INDEX(DB,I29,8),"")</f>
        <v>Alexis Seymour</v>
      </c>
      <c r="D29" s="437">
        <f t="shared" si="1"/>
        <v>55</v>
      </c>
      <c r="F29" s="438">
        <f t="shared" si="2"/>
        <v>1</v>
      </c>
      <c r="G29" t="str">
        <f t="shared" si="3"/>
        <v/>
      </c>
      <c r="H29" t="b">
        <f t="shared" si="4"/>
        <v>1</v>
      </c>
      <c r="I29" s="439">
        <f>IF(OR(ISBLANK(A29),ISNA(MATCH(A29&amp;"",AthleteNumbers,0))),0,MATCH(A29&amp;"",AthleteNumbers,0))</f>
        <v>63</v>
      </c>
      <c r="J29" s="209" t="str">
        <f t="array" ref="J29">IF(I29&gt;0,INDEX(DB,$I29,6),0)</f>
        <v/>
      </c>
      <c r="K29" s="446">
        <f t="shared" si="5"/>
        <v>2.15</v>
      </c>
      <c r="L29" s="440">
        <f t="shared" si="6"/>
        <v>135</v>
      </c>
      <c r="M29" s="441">
        <f>IF(AND(L29&gt;O29,O29&gt;0),MinPoints,IF(AND(L29&lt;N29,O29&gt;0),100,+INT((O29-$L29)/P29)+MinPoints))</f>
        <v>55</v>
      </c>
      <c r="N29" s="440">
        <f t="shared" si="7"/>
        <v>90</v>
      </c>
      <c r="O29" s="440">
        <f t="shared" si="8"/>
        <v>180</v>
      </c>
      <c r="P29" s="440">
        <f t="shared" si="9"/>
        <v>1</v>
      </c>
      <c r="Q29">
        <f t="array" ref="Q29">IF(I29&gt;0,INDEX(DB,I29,9),EventIndex)</f>
        <v>6</v>
      </c>
      <c r="S29">
        <f t="array" ref="S29">(INT(INDEX(MINVALUES,$Q29,$K$1))*60)+(MOD(INDEX(MINVALUES,$Q29,$K$1),1)*100)</f>
        <v>180</v>
      </c>
      <c r="T29">
        <f t="array" ref="T29">(INDEX(INCVALUES,$Q29,$K$1)*100)</f>
        <v>1</v>
      </c>
      <c r="V29">
        <f t="array" ref="V29">+J29+(4*(INDEX(MatchScoreTable,$Q29,20)-1))</f>
        <v>4</v>
      </c>
      <c r="W29">
        <f t="array" ref="W29">INDEX(INC_MINVALUES,$V29,$K$1)</f>
        <v>480</v>
      </c>
      <c r="X29" s="212">
        <f t="array" ref="X29">INDEX(INC_INCVALUES,$V29,$K$1)</f>
        <v>4</v>
      </c>
    </row>
    <row r="30" ht="15.75" customHeight="1">
      <c r="A30" s="435" t="s">
        <v>259</v>
      </c>
      <c r="B30" s="436">
        <v>2.18</v>
      </c>
      <c r="C30" s="95" t="str">
        <f t="array" ref="C30">IF(I30&gt;0,INDEX(DB,I30,8),"")</f>
        <v>Clodagh O'Brien</v>
      </c>
      <c r="D30" s="437">
        <f t="shared" si="1"/>
        <v>52</v>
      </c>
      <c r="F30" s="438">
        <f t="shared" si="2"/>
        <v>1</v>
      </c>
      <c r="G30" t="str">
        <f t="shared" si="3"/>
        <v/>
      </c>
      <c r="H30" t="b">
        <f t="shared" si="4"/>
        <v>1</v>
      </c>
      <c r="I30" s="439">
        <f>IF(OR(ISBLANK(A30),ISNA(MATCH(A30&amp;"",AthleteNumbers,0))),0,MATCH(A30&amp;"",AthleteNumbers,0))</f>
        <v>60</v>
      </c>
      <c r="J30" s="209" t="str">
        <f t="array" ref="J30">IF(I30&gt;0,INDEX(DB,$I30,6),0)</f>
        <v/>
      </c>
      <c r="K30" s="446">
        <f t="shared" si="5"/>
        <v>2.18</v>
      </c>
      <c r="L30" s="440">
        <f t="shared" si="6"/>
        <v>138</v>
      </c>
      <c r="M30" s="441">
        <f>IF(AND(L30&gt;O30,O30&gt;0),MinPoints,IF(AND(L30&lt;N30,O30&gt;0),100,+INT((O30-$L30)/P30)+MinPoints))</f>
        <v>52</v>
      </c>
      <c r="N30" s="440">
        <f t="shared" si="7"/>
        <v>90</v>
      </c>
      <c r="O30" s="440">
        <f t="shared" si="8"/>
        <v>180</v>
      </c>
      <c r="P30" s="440">
        <f t="shared" si="9"/>
        <v>1</v>
      </c>
      <c r="Q30">
        <f t="array" ref="Q30">IF(I30&gt;0,INDEX(DB,I30,9),EventIndex)</f>
        <v>6</v>
      </c>
      <c r="S30">
        <f t="array" ref="S30">(INT(INDEX(MINVALUES,$Q30,$K$1))*60)+(MOD(INDEX(MINVALUES,$Q30,$K$1),1)*100)</f>
        <v>180</v>
      </c>
      <c r="T30">
        <f t="array" ref="T30">(INDEX(INCVALUES,$Q30,$K$1)*100)</f>
        <v>1</v>
      </c>
      <c r="V30">
        <f t="array" ref="V30">+J30+(4*(INDEX(MatchScoreTable,$Q30,20)-1))</f>
        <v>4</v>
      </c>
      <c r="W30">
        <f t="array" ref="W30">INDEX(INC_MINVALUES,$V30,$K$1)</f>
        <v>480</v>
      </c>
      <c r="X30" s="212">
        <f t="array" ref="X30">INDEX(INC_INCVALUES,$V30,$K$1)</f>
        <v>4</v>
      </c>
    </row>
    <row r="31" ht="15.75" customHeight="1">
      <c r="A31" s="435" t="s">
        <v>226</v>
      </c>
      <c r="B31" s="436">
        <v>2.13</v>
      </c>
      <c r="C31" s="95" t="str">
        <f t="array" ref="C31">IF(I31&gt;0,INDEX(DB,I31,8),"")</f>
        <v>Izzy Garavini</v>
      </c>
      <c r="D31" s="437">
        <f t="shared" si="1"/>
        <v>57</v>
      </c>
      <c r="F31" s="438">
        <f t="shared" si="2"/>
        <v>1</v>
      </c>
      <c r="G31" t="str">
        <f t="shared" si="3"/>
        <v/>
      </c>
      <c r="H31" t="b">
        <f t="shared" si="4"/>
        <v>1</v>
      </c>
      <c r="I31" s="439">
        <f>IF(OR(ISBLANK(A31),ISNA(MATCH(A31&amp;"",AthleteNumbers,0))),0,MATCH(A31&amp;"",AthleteNumbers,0))</f>
        <v>45</v>
      </c>
      <c r="J31" s="209" t="str">
        <f t="array" ref="J31">IF(I31&gt;0,INDEX(DB,$I31,6),0)</f>
        <v/>
      </c>
      <c r="K31" s="446">
        <f t="shared" si="5"/>
        <v>2.13</v>
      </c>
      <c r="L31" s="440">
        <f t="shared" si="6"/>
        <v>133</v>
      </c>
      <c r="M31" s="441">
        <f>IF(AND(L31&gt;O31,O31&gt;0),MinPoints,IF(AND(L31&lt;N31,O31&gt;0),100,+INT((O31-$L31)/P31)+MinPoints))</f>
        <v>57</v>
      </c>
      <c r="N31" s="440">
        <f t="shared" si="7"/>
        <v>90</v>
      </c>
      <c r="O31" s="440">
        <f t="shared" si="8"/>
        <v>180</v>
      </c>
      <c r="P31" s="440">
        <f t="shared" si="9"/>
        <v>1</v>
      </c>
      <c r="Q31">
        <f t="array" ref="Q31">IF(I31&gt;0,INDEX(DB,I31,9),EventIndex)</f>
        <v>6</v>
      </c>
      <c r="S31">
        <f t="array" ref="S31">(INT(INDEX(MINVALUES,$Q31,$K$1))*60)+(MOD(INDEX(MINVALUES,$Q31,$K$1),1)*100)</f>
        <v>180</v>
      </c>
      <c r="T31">
        <f t="array" ref="T31">(INDEX(INCVALUES,$Q31,$K$1)*100)</f>
        <v>1</v>
      </c>
      <c r="V31">
        <f t="array" ref="V31">+J31+(4*(INDEX(MatchScoreTable,$Q31,20)-1))</f>
        <v>4</v>
      </c>
      <c r="W31">
        <f t="array" ref="W31">INDEX(INC_MINVALUES,$V31,$K$1)</f>
        <v>480</v>
      </c>
      <c r="X31" s="212">
        <f t="array" ref="X31">INDEX(INC_INCVALUES,$V31,$K$1)</f>
        <v>4</v>
      </c>
    </row>
    <row r="32" ht="15.75" customHeight="1">
      <c r="A32" s="435" t="s">
        <v>301</v>
      </c>
      <c r="B32" s="436">
        <v>2.23</v>
      </c>
      <c r="C32" s="95" t="str">
        <f t="array" ref="C32">IF(I32&gt;0,INDEX(DB,I32,8),"")</f>
        <v>Lilia Flux</v>
      </c>
      <c r="D32" s="437">
        <f t="shared" si="1"/>
        <v>47</v>
      </c>
      <c r="F32" s="438">
        <f t="shared" si="2"/>
        <v>1</v>
      </c>
      <c r="G32" t="str">
        <f t="shared" si="3"/>
        <v/>
      </c>
      <c r="H32" t="b">
        <f t="shared" si="4"/>
        <v>1</v>
      </c>
      <c r="I32" s="439">
        <f>IF(OR(ISBLANK(A32),ISNA(MATCH(A32&amp;"",AthleteNumbers,0))),0,MATCH(A32&amp;"",AthleteNumbers,0))</f>
        <v>77</v>
      </c>
      <c r="J32" s="209" t="str">
        <f t="array" ref="J32">IF(I32&gt;0,INDEX(DB,$I32,6),0)</f>
        <v/>
      </c>
      <c r="K32" s="446">
        <f t="shared" si="5"/>
        <v>2.23</v>
      </c>
      <c r="L32" s="440">
        <f t="shared" si="6"/>
        <v>143</v>
      </c>
      <c r="M32" s="441">
        <f>IF(AND(L32&gt;O32,O32&gt;0),MinPoints,IF(AND(L32&lt;N32,O32&gt;0),100,+INT((O32-$L32)/P32)+MinPoints))</f>
        <v>47</v>
      </c>
      <c r="N32" s="440">
        <f t="shared" si="7"/>
        <v>90</v>
      </c>
      <c r="O32" s="440">
        <f t="shared" si="8"/>
        <v>180</v>
      </c>
      <c r="P32" s="440">
        <f t="shared" si="9"/>
        <v>1</v>
      </c>
      <c r="Q32">
        <f t="array" ref="Q32">IF(I32&gt;0,INDEX(DB,I32,9),EventIndex)</f>
        <v>6</v>
      </c>
      <c r="S32">
        <f t="array" ref="S32">(INT(INDEX(MINVALUES,$Q32,$K$1))*60)+(MOD(INDEX(MINVALUES,$Q32,$K$1),1)*100)</f>
        <v>180</v>
      </c>
      <c r="T32">
        <f t="array" ref="T32">(INDEX(INCVALUES,$Q32,$K$1)*100)</f>
        <v>1</v>
      </c>
      <c r="V32">
        <f t="array" ref="V32">+J32+(4*(INDEX(MatchScoreTable,$Q32,20)-1))</f>
        <v>4</v>
      </c>
      <c r="W32">
        <f t="array" ref="W32">INDEX(INC_MINVALUES,$V32,$K$1)</f>
        <v>480</v>
      </c>
      <c r="X32" s="212">
        <f t="array" ref="X32">INDEX(INC_INCVALUES,$V32,$K$1)</f>
        <v>4</v>
      </c>
    </row>
    <row r="33" ht="15.75" customHeight="1">
      <c r="A33" s="435" t="s">
        <v>241</v>
      </c>
      <c r="B33" s="436">
        <v>2.23</v>
      </c>
      <c r="C33" s="95" t="str">
        <f t="array" ref="C33">IF(I33&gt;0,INDEX(DB,I33,8),"")</f>
        <v>Mia Ironside</v>
      </c>
      <c r="D33" s="437">
        <f t="shared" si="1"/>
        <v>47</v>
      </c>
      <c r="F33" s="438">
        <f t="shared" si="2"/>
        <v>1</v>
      </c>
      <c r="G33" t="str">
        <f t="shared" si="3"/>
        <v/>
      </c>
      <c r="H33" t="b">
        <f t="shared" si="4"/>
        <v>1</v>
      </c>
      <c r="I33" s="439">
        <f>IF(OR(ISBLANK(A33),ISNA(MATCH(A33&amp;"",AthleteNumbers,0))),0,MATCH(A33&amp;"",AthleteNumbers,0))</f>
        <v>52</v>
      </c>
      <c r="J33" s="209" t="str">
        <f t="array" ref="J33">IF(I33&gt;0,INDEX(DB,$I33,6),0)</f>
        <v/>
      </c>
      <c r="K33" s="446">
        <f t="shared" si="5"/>
        <v>2.23</v>
      </c>
      <c r="L33" s="440">
        <f t="shared" si="6"/>
        <v>143</v>
      </c>
      <c r="M33" s="441">
        <f>IF(AND(L33&gt;O33,O33&gt;0),MinPoints,IF(AND(L33&lt;N33,O33&gt;0),100,+INT((O33-$L33)/P33)+MinPoints))</f>
        <v>47</v>
      </c>
      <c r="N33" s="440">
        <f t="shared" si="7"/>
        <v>90</v>
      </c>
      <c r="O33" s="440">
        <f t="shared" si="8"/>
        <v>180</v>
      </c>
      <c r="P33" s="440">
        <f t="shared" si="9"/>
        <v>1</v>
      </c>
      <c r="Q33">
        <f t="array" ref="Q33">IF(I33&gt;0,INDEX(DB,I33,9),EventIndex)</f>
        <v>6</v>
      </c>
      <c r="S33">
        <f t="array" ref="S33">(INT(INDEX(MINVALUES,$Q33,$K$1))*60)+(MOD(INDEX(MINVALUES,$Q33,$K$1),1)*100)</f>
        <v>180</v>
      </c>
      <c r="T33">
        <f t="array" ref="T33">(INDEX(INCVALUES,$Q33,$K$1)*100)</f>
        <v>1</v>
      </c>
      <c r="V33">
        <f t="array" ref="V33">+J33+(4*(INDEX(MatchScoreTable,$Q33,20)-1))</f>
        <v>4</v>
      </c>
      <c r="W33">
        <f t="array" ref="W33">INDEX(INC_MINVALUES,$V33,$K$1)</f>
        <v>480</v>
      </c>
      <c r="X33" s="212">
        <f t="array" ref="X33">INDEX(INC_INCVALUES,$V33,$K$1)</f>
        <v>4</v>
      </c>
    </row>
    <row r="34" ht="15.75" customHeight="1">
      <c r="A34" s="435" t="s">
        <v>298</v>
      </c>
      <c r="B34" s="436">
        <v>2.25</v>
      </c>
      <c r="C34" s="95" t="str">
        <f t="array" ref="C34">IF(I34&gt;0,INDEX(DB,I34,8),"")</f>
        <v>Amelie Singletary</v>
      </c>
      <c r="D34" s="437">
        <f t="shared" si="1"/>
        <v>45</v>
      </c>
      <c r="F34" s="438">
        <f t="shared" si="2"/>
        <v>1</v>
      </c>
      <c r="G34" t="str">
        <f t="shared" si="3"/>
        <v/>
      </c>
      <c r="H34" t="b">
        <f t="shared" si="4"/>
        <v>1</v>
      </c>
      <c r="I34" s="439">
        <f>IF(OR(ISBLANK(A34),ISNA(MATCH(A34&amp;"",AthleteNumbers,0))),0,MATCH(A34&amp;"",AthleteNumbers,0))</f>
        <v>76</v>
      </c>
      <c r="J34" s="209" t="str">
        <f t="array" ref="J34">IF(I34&gt;0,INDEX(DB,$I34,6),0)</f>
        <v/>
      </c>
      <c r="K34" s="446">
        <f t="shared" si="5"/>
        <v>2.25</v>
      </c>
      <c r="L34" s="440">
        <f t="shared" si="6"/>
        <v>145</v>
      </c>
      <c r="M34" s="441">
        <f>IF(AND(L34&gt;O34,O34&gt;0),MinPoints,IF(AND(L34&lt;N34,O34&gt;0),100,+INT((O34-$L34)/P34)+MinPoints))</f>
        <v>45</v>
      </c>
      <c r="N34" s="440">
        <f t="shared" si="7"/>
        <v>90</v>
      </c>
      <c r="O34" s="440">
        <f t="shared" si="8"/>
        <v>180</v>
      </c>
      <c r="P34" s="440">
        <f t="shared" si="9"/>
        <v>1</v>
      </c>
      <c r="Q34">
        <f t="array" ref="Q34">IF(I34&gt;0,INDEX(DB,I34,9),EventIndex)</f>
        <v>6</v>
      </c>
      <c r="S34">
        <f t="array" ref="S34">(INT(INDEX(MINVALUES,$Q34,$K$1))*60)+(MOD(INDEX(MINVALUES,$Q34,$K$1),1)*100)</f>
        <v>180</v>
      </c>
      <c r="T34">
        <f t="array" ref="T34">(INDEX(INCVALUES,$Q34,$K$1)*100)</f>
        <v>1</v>
      </c>
      <c r="V34">
        <f t="array" ref="V34">+J34+(4*(INDEX(MatchScoreTable,$Q34,20)-1))</f>
        <v>4</v>
      </c>
      <c r="W34">
        <f t="array" ref="W34">INDEX(INC_MINVALUES,$V34,$K$1)</f>
        <v>480</v>
      </c>
      <c r="X34" s="212">
        <f t="array" ref="X34">INDEX(INC_INCVALUES,$V34,$K$1)</f>
        <v>4</v>
      </c>
    </row>
    <row r="35" ht="15.75" customHeight="1">
      <c r="A35" s="435" t="s">
        <v>251</v>
      </c>
      <c r="B35" s="436">
        <v>2.32</v>
      </c>
      <c r="C35" s="95" t="str">
        <f t="array" ref="C35">IF(I35&gt;0,INDEX(DB,I35,8),"")</f>
        <v>Jasmine Mahmoudi</v>
      </c>
      <c r="D35" s="437">
        <f t="shared" si="1"/>
        <v>38</v>
      </c>
      <c r="F35" s="438">
        <f t="shared" si="2"/>
        <v>1</v>
      </c>
      <c r="G35" t="str">
        <f t="shared" si="3"/>
        <v/>
      </c>
      <c r="H35" t="b">
        <f t="shared" si="4"/>
        <v>1</v>
      </c>
      <c r="I35" s="439">
        <f>IF(OR(ISBLANK(A35),ISNA(MATCH(A35&amp;"",AthleteNumbers,0))),0,MATCH(A35&amp;"",AthleteNumbers,0))</f>
        <v>56</v>
      </c>
      <c r="J35" s="209" t="str">
        <f t="array" ref="J35">IF(I35&gt;0,INDEX(DB,$I35,6),0)</f>
        <v/>
      </c>
      <c r="K35" s="446">
        <f t="shared" si="5"/>
        <v>2.32</v>
      </c>
      <c r="L35" s="440">
        <f t="shared" si="6"/>
        <v>152</v>
      </c>
      <c r="M35" s="441">
        <f>IF(AND(L35&gt;O35,O35&gt;0),MinPoints,IF(AND(L35&lt;N35,O35&gt;0),100,+INT((O35-$L35)/P35)+MinPoints))</f>
        <v>38</v>
      </c>
      <c r="N35" s="440">
        <f t="shared" si="7"/>
        <v>90</v>
      </c>
      <c r="O35" s="440">
        <f t="shared" si="8"/>
        <v>180</v>
      </c>
      <c r="P35" s="440">
        <f t="shared" si="9"/>
        <v>1</v>
      </c>
      <c r="Q35">
        <f t="array" ref="Q35">IF(I35&gt;0,INDEX(DB,I35,9),EventIndex)</f>
        <v>6</v>
      </c>
      <c r="S35">
        <f t="array" ref="S35">(INT(INDEX(MINVALUES,$Q35,$K$1))*60)+(MOD(INDEX(MINVALUES,$Q35,$K$1),1)*100)</f>
        <v>180</v>
      </c>
      <c r="T35">
        <f t="array" ref="T35">(INDEX(INCVALUES,$Q35,$K$1)*100)</f>
        <v>1</v>
      </c>
      <c r="V35">
        <f t="array" ref="V35">+J35+(4*(INDEX(MatchScoreTable,$Q35,20)-1))</f>
        <v>4</v>
      </c>
      <c r="W35">
        <f t="array" ref="W35">INDEX(INC_MINVALUES,$V35,$K$1)</f>
        <v>480</v>
      </c>
      <c r="X35" s="212">
        <f t="array" ref="X35">INDEX(INC_INCVALUES,$V35,$K$1)</f>
        <v>4</v>
      </c>
    </row>
    <row r="36" ht="15.75" customHeight="1">
      <c r="A36" s="435" t="s">
        <v>248</v>
      </c>
      <c r="B36" s="436">
        <v>2.49</v>
      </c>
      <c r="C36" s="95" t="str">
        <f t="array" ref="C36">IF(I36&gt;0,INDEX(DB,I36,8),"")</f>
        <v>Abigail MacDonald</v>
      </c>
      <c r="D36" s="437">
        <f t="shared" si="1"/>
        <v>21</v>
      </c>
      <c r="F36" s="438">
        <f t="shared" si="2"/>
        <v>1</v>
      </c>
      <c r="G36" t="str">
        <f t="shared" si="3"/>
        <v/>
      </c>
      <c r="H36" t="b">
        <f t="shared" si="4"/>
        <v>1</v>
      </c>
      <c r="I36" s="439">
        <f>IF(OR(ISBLANK(A36),ISNA(MATCH(A36&amp;"",AthleteNumbers,0))),0,MATCH(A36&amp;"",AthleteNumbers,0))</f>
        <v>55</v>
      </c>
      <c r="J36" s="209" t="str">
        <f t="array" ref="J36">IF(I36&gt;0,INDEX(DB,$I36,6),0)</f>
        <v/>
      </c>
      <c r="K36" s="446">
        <f t="shared" si="5"/>
        <v>2.49</v>
      </c>
      <c r="L36" s="440">
        <f t="shared" si="6"/>
        <v>169</v>
      </c>
      <c r="M36" s="441">
        <f>IF(AND(L36&gt;O36,O36&gt;0),MinPoints,IF(AND(L36&lt;N36,O36&gt;0),100,+INT((O36-$L36)/P36)+MinPoints))</f>
        <v>21</v>
      </c>
      <c r="N36" s="440">
        <f t="shared" si="7"/>
        <v>90</v>
      </c>
      <c r="O36" s="440">
        <f t="shared" si="8"/>
        <v>180</v>
      </c>
      <c r="P36" s="440">
        <f t="shared" si="9"/>
        <v>1</v>
      </c>
      <c r="Q36">
        <f t="array" ref="Q36">IF(I36&gt;0,INDEX(DB,I36,9),EventIndex)</f>
        <v>6</v>
      </c>
      <c r="S36">
        <f t="array" ref="S36">(INT(INDEX(MINVALUES,$Q36,$K$1))*60)+(MOD(INDEX(MINVALUES,$Q36,$K$1),1)*100)</f>
        <v>180</v>
      </c>
      <c r="T36">
        <f t="array" ref="T36">(INDEX(INCVALUES,$Q36,$K$1)*100)</f>
        <v>1</v>
      </c>
      <c r="V36">
        <f t="array" ref="V36">+J36+(4*(INDEX(MatchScoreTable,$Q36,20)-1))</f>
        <v>4</v>
      </c>
      <c r="W36">
        <f t="array" ref="W36">INDEX(INC_MINVALUES,$V36,$K$1)</f>
        <v>480</v>
      </c>
      <c r="X36" s="212">
        <f t="array" ref="X36">INDEX(INC_INCVALUES,$V36,$K$1)</f>
        <v>4</v>
      </c>
    </row>
    <row r="37" ht="15.75" customHeight="1">
      <c r="A37" s="435" t="s">
        <v>230</v>
      </c>
      <c r="B37" s="436">
        <v>2.52</v>
      </c>
      <c r="C37" s="95" t="str">
        <f t="array" ref="C37">IF(I37&gt;0,INDEX(DB,I37,8),"")</f>
        <v>Emilia Parsons</v>
      </c>
      <c r="D37" s="437">
        <f t="shared" si="1"/>
        <v>18</v>
      </c>
      <c r="F37" s="438">
        <f t="shared" si="2"/>
        <v>1</v>
      </c>
      <c r="G37" t="str">
        <f t="shared" si="3"/>
        <v/>
      </c>
      <c r="H37" t="b">
        <f t="shared" si="4"/>
        <v>1</v>
      </c>
      <c r="I37" s="439">
        <f>IF(OR(ISBLANK(A37),ISNA(MATCH(A37&amp;"",AthleteNumbers,0))),0,MATCH(A37&amp;"",AthleteNumbers,0))</f>
        <v>47</v>
      </c>
      <c r="J37" s="209" t="str">
        <f t="array" ref="J37">IF(I37&gt;0,INDEX(DB,$I37,6),0)</f>
        <v/>
      </c>
      <c r="K37" s="446">
        <f t="shared" si="5"/>
        <v>2.52</v>
      </c>
      <c r="L37" s="440">
        <f t="shared" si="6"/>
        <v>172</v>
      </c>
      <c r="M37" s="441">
        <f>IF(AND(L37&gt;O37,O37&gt;0),MinPoints,IF(AND(L37&lt;N37,O37&gt;0),100,+INT((O37-$L37)/P37)+MinPoints))</f>
        <v>18</v>
      </c>
      <c r="N37" s="440">
        <f t="shared" si="7"/>
        <v>90</v>
      </c>
      <c r="O37" s="440">
        <f t="shared" si="8"/>
        <v>180</v>
      </c>
      <c r="P37" s="440">
        <f t="shared" si="9"/>
        <v>1</v>
      </c>
      <c r="Q37">
        <f t="array" ref="Q37">IF(I37&gt;0,INDEX(DB,I37,9),EventIndex)</f>
        <v>6</v>
      </c>
      <c r="S37">
        <f t="array" ref="S37">(INT(INDEX(MINVALUES,$Q37,$K$1))*60)+(MOD(INDEX(MINVALUES,$Q37,$K$1),1)*100)</f>
        <v>180</v>
      </c>
      <c r="T37">
        <f t="array" ref="T37">(INDEX(INCVALUES,$Q37,$K$1)*100)</f>
        <v>1</v>
      </c>
      <c r="V37">
        <f t="array" ref="V37">+J37+(4*(INDEX(MatchScoreTable,$Q37,20)-1))</f>
        <v>4</v>
      </c>
      <c r="W37">
        <f t="array" ref="W37">INDEX(INC_MINVALUES,$V37,$K$1)</f>
        <v>480</v>
      </c>
      <c r="X37" s="212">
        <f t="array" ref="X37">INDEX(INC_INCVALUES,$V37,$K$1)</f>
        <v>4</v>
      </c>
    </row>
    <row r="38" ht="15.75" customHeight="1">
      <c r="A38" s="435" t="s">
        <v>165</v>
      </c>
      <c r="B38" s="436">
        <v>1.59</v>
      </c>
      <c r="C38" s="95" t="str">
        <f t="array" ref="C38">IF(I38&gt;0,INDEX(DB,I38,8),"")</f>
        <v>William Launder</v>
      </c>
      <c r="D38" s="437">
        <f t="shared" si="1"/>
        <v>71</v>
      </c>
      <c r="F38" s="438">
        <f t="shared" si="2"/>
        <v>1</v>
      </c>
      <c r="G38" t="str">
        <f t="shared" si="3"/>
        <v/>
      </c>
      <c r="H38" t="b">
        <f t="shared" si="4"/>
        <v>1</v>
      </c>
      <c r="I38" s="439">
        <f>IF(OR(ISBLANK(A38),ISNA(MATCH(A38&amp;"",AthleteNumbers,0))),0,MATCH(A38&amp;"",AthleteNumbers,0))</f>
        <v>18</v>
      </c>
      <c r="J38" s="209" t="str">
        <f t="array" ref="J38">IF(I38&gt;0,INDEX(DB,$I38,6),0)</f>
        <v/>
      </c>
      <c r="K38" s="446">
        <f t="shared" si="5"/>
        <v>1.59</v>
      </c>
      <c r="L38" s="440">
        <f t="shared" si="6"/>
        <v>119</v>
      </c>
      <c r="M38" s="441">
        <f>IF(AND(L38&gt;O38,O38&gt;0),MinPoints,IF(AND(L38&lt;N38,O38&gt;0),100,+INT((O38-$L38)/P38)+MinPoints))</f>
        <v>71</v>
      </c>
      <c r="N38" s="440">
        <f t="shared" si="7"/>
        <v>90</v>
      </c>
      <c r="O38" s="440">
        <f t="shared" si="8"/>
        <v>180</v>
      </c>
      <c r="P38" s="440">
        <f t="shared" si="9"/>
        <v>1</v>
      </c>
      <c r="Q38">
        <f t="array" ref="Q38">IF(I38&gt;0,INDEX(DB,I38,9),EventIndex)</f>
        <v>6</v>
      </c>
      <c r="S38">
        <f t="array" ref="S38">(INT(INDEX(MINVALUES,$Q38,$K$1))*60)+(MOD(INDEX(MINVALUES,$Q38,$K$1),1)*100)</f>
        <v>180</v>
      </c>
      <c r="T38">
        <f t="array" ref="T38">(INDEX(INCVALUES,$Q38,$K$1)*100)</f>
        <v>1</v>
      </c>
      <c r="V38">
        <f t="array" ref="V38">+J38+(4*(INDEX(MatchScoreTable,$Q38,20)-1))</f>
        <v>4</v>
      </c>
      <c r="W38">
        <f t="array" ref="W38">INDEX(INC_MINVALUES,$V38,$K$1)</f>
        <v>480</v>
      </c>
      <c r="X38" s="212">
        <f t="array" ref="X38">INDEX(INC_INCVALUES,$V38,$K$1)</f>
        <v>4</v>
      </c>
    </row>
    <row r="39" ht="15.75" customHeight="1">
      <c r="A39" s="435" t="s">
        <v>132</v>
      </c>
      <c r="B39" s="436">
        <v>2.03</v>
      </c>
      <c r="C39" s="95" t="str">
        <f t="array" ref="C39">IF(I39&gt;0,INDEX(DB,I39,8),"")</f>
        <v>Felix Bowyer</v>
      </c>
      <c r="D39" s="437">
        <f t="shared" si="1"/>
        <v>67</v>
      </c>
      <c r="F39" s="438">
        <f t="shared" si="2"/>
        <v>1</v>
      </c>
      <c r="G39" t="str">
        <f t="shared" si="3"/>
        <v/>
      </c>
      <c r="H39" t="b">
        <f t="shared" si="4"/>
        <v>1</v>
      </c>
      <c r="I39" s="439">
        <f>IF(OR(ISBLANK(A39),ISNA(MATCH(A39&amp;"",AthleteNumbers,0))),0,MATCH(A39&amp;"",AthleteNumbers,0))</f>
        <v>4</v>
      </c>
      <c r="J39" s="209" t="str">
        <f t="array" ref="J39">IF(I39&gt;0,INDEX(DB,$I39,6),0)</f>
        <v/>
      </c>
      <c r="K39" s="446">
        <f t="shared" si="5"/>
        <v>2.03</v>
      </c>
      <c r="L39" s="440">
        <f t="shared" si="6"/>
        <v>123</v>
      </c>
      <c r="M39" s="441">
        <f>IF(AND(L39&gt;O39,O39&gt;0),MinPoints,IF(AND(L39&lt;N39,O39&gt;0),100,+INT((O39-$L39)/P39)+MinPoints))</f>
        <v>67</v>
      </c>
      <c r="N39" s="440">
        <f t="shared" si="7"/>
        <v>90</v>
      </c>
      <c r="O39" s="440">
        <f t="shared" si="8"/>
        <v>180</v>
      </c>
      <c r="P39" s="440">
        <f t="shared" si="9"/>
        <v>1</v>
      </c>
      <c r="Q39">
        <f t="array" ref="Q39">IF(I39&gt;0,INDEX(DB,I39,9),EventIndex)</f>
        <v>6</v>
      </c>
      <c r="S39">
        <f t="array" ref="S39">(INT(INDEX(MINVALUES,$Q39,$K$1))*60)+(MOD(INDEX(MINVALUES,$Q39,$K$1),1)*100)</f>
        <v>180</v>
      </c>
      <c r="T39">
        <f t="array" ref="T39">(INDEX(INCVALUES,$Q39,$K$1)*100)</f>
        <v>1</v>
      </c>
      <c r="V39">
        <f t="array" ref="V39">+J39+(4*(INDEX(MatchScoreTable,$Q39,20)-1))</f>
        <v>4</v>
      </c>
      <c r="W39">
        <f t="array" ref="W39">INDEX(INC_MINVALUES,$V39,$K$1)</f>
        <v>480</v>
      </c>
      <c r="X39" s="212">
        <f t="array" ref="X39">INDEX(INC_INCVALUES,$V39,$K$1)</f>
        <v>4</v>
      </c>
    </row>
    <row r="40" ht="15.75" customHeight="1">
      <c r="A40" s="435" t="s">
        <v>176</v>
      </c>
      <c r="B40" s="436">
        <v>2.05</v>
      </c>
      <c r="C40" s="95" t="str">
        <f t="array" ref="C40">IF(I40&gt;0,INDEX(DB,I40,8),"")</f>
        <v>Charlie Peters</v>
      </c>
      <c r="D40" s="437">
        <f t="shared" si="1"/>
        <v>65</v>
      </c>
      <c r="F40" s="438">
        <f t="shared" si="2"/>
        <v>1</v>
      </c>
      <c r="G40" t="str">
        <f t="shared" si="3"/>
        <v/>
      </c>
      <c r="H40" t="b">
        <f t="shared" si="4"/>
        <v>1</v>
      </c>
      <c r="I40" s="439">
        <f>IF(OR(ISBLANK(A40),ISNA(MATCH(A40&amp;"",AthleteNumbers,0))),0,MATCH(A40&amp;"",AthleteNumbers,0))</f>
        <v>23</v>
      </c>
      <c r="J40" s="209" t="str">
        <f t="array" ref="J40">IF(I40&gt;0,INDEX(DB,$I40,6),0)</f>
        <v/>
      </c>
      <c r="K40" s="446">
        <f t="shared" si="5"/>
        <v>2.05</v>
      </c>
      <c r="L40" s="440">
        <f t="shared" si="6"/>
        <v>125</v>
      </c>
      <c r="M40" s="441">
        <f>IF(AND(L40&gt;O40,O40&gt;0),MinPoints,IF(AND(L40&lt;N40,O40&gt;0),100,+INT((O40-$L40)/P40)+MinPoints))</f>
        <v>65</v>
      </c>
      <c r="N40" s="440">
        <f t="shared" si="7"/>
        <v>90</v>
      </c>
      <c r="O40" s="440">
        <f t="shared" si="8"/>
        <v>180</v>
      </c>
      <c r="P40" s="440">
        <f t="shared" si="9"/>
        <v>1</v>
      </c>
      <c r="Q40">
        <f t="array" ref="Q40">IF(I40&gt;0,INDEX(DB,I40,9),EventIndex)</f>
        <v>6</v>
      </c>
      <c r="S40">
        <f t="array" ref="S40">(INT(INDEX(MINVALUES,$Q40,$K$1))*60)+(MOD(INDEX(MINVALUES,$Q40,$K$1),1)*100)</f>
        <v>180</v>
      </c>
      <c r="T40">
        <f t="array" ref="T40">(INDEX(INCVALUES,$Q40,$K$1)*100)</f>
        <v>1</v>
      </c>
      <c r="V40">
        <f t="array" ref="V40">+J40+(4*(INDEX(MatchScoreTable,$Q40,20)-1))</f>
        <v>4</v>
      </c>
      <c r="W40">
        <f t="array" ref="W40">INDEX(INC_MINVALUES,$V40,$K$1)</f>
        <v>480</v>
      </c>
      <c r="X40" s="212">
        <f t="array" ref="X40">INDEX(INC_INCVALUES,$V40,$K$1)</f>
        <v>4</v>
      </c>
    </row>
    <row r="41" ht="15.75" customHeight="1">
      <c r="A41" s="435" t="s">
        <v>188</v>
      </c>
      <c r="B41" s="436">
        <v>2.07</v>
      </c>
      <c r="C41" s="95" t="str">
        <f t="array" ref="C41">IF(I41&gt;0,INDEX(DB,I41,8),"")</f>
        <v>Leo Thomasson</v>
      </c>
      <c r="D41" s="437">
        <f t="shared" si="1"/>
        <v>63</v>
      </c>
      <c r="F41" s="438">
        <f t="shared" si="2"/>
        <v>1</v>
      </c>
      <c r="G41" t="str">
        <f t="shared" si="3"/>
        <v/>
      </c>
      <c r="H41" t="b">
        <f t="shared" si="4"/>
        <v>1</v>
      </c>
      <c r="I41" s="439">
        <f>IF(OR(ISBLANK(A41),ISNA(MATCH(A41&amp;"",AthleteNumbers,0))),0,MATCH(A41&amp;"",AthleteNumbers,0))</f>
        <v>29</v>
      </c>
      <c r="J41" s="209" t="str">
        <f t="array" ref="J41">IF(I41&gt;0,INDEX(DB,$I41,6),0)</f>
        <v/>
      </c>
      <c r="K41" s="446">
        <f t="shared" si="5"/>
        <v>2.07</v>
      </c>
      <c r="L41" s="440">
        <f t="shared" si="6"/>
        <v>127</v>
      </c>
      <c r="M41" s="441">
        <f>IF(AND(L41&gt;O41,O41&gt;0),MinPoints,IF(AND(L41&lt;N41,O41&gt;0),100,+INT((O41-$L41)/P41)+MinPoints))</f>
        <v>63</v>
      </c>
      <c r="N41" s="440">
        <f t="shared" si="7"/>
        <v>90</v>
      </c>
      <c r="O41" s="440">
        <f t="shared" si="8"/>
        <v>180</v>
      </c>
      <c r="P41" s="440">
        <f t="shared" si="9"/>
        <v>1</v>
      </c>
      <c r="Q41">
        <f t="array" ref="Q41">IF(I41&gt;0,INDEX(DB,I41,9),EventIndex)</f>
        <v>6</v>
      </c>
      <c r="S41">
        <f t="array" ref="S41">(INT(INDEX(MINVALUES,$Q41,$K$1))*60)+(MOD(INDEX(MINVALUES,$Q41,$K$1),1)*100)</f>
        <v>180</v>
      </c>
      <c r="T41">
        <f t="array" ref="T41">(INDEX(INCVALUES,$Q41,$K$1)*100)</f>
        <v>1</v>
      </c>
      <c r="V41">
        <f t="array" ref="V41">+J41+(4*(INDEX(MatchScoreTable,$Q41,20)-1))</f>
        <v>4</v>
      </c>
      <c r="W41">
        <f t="array" ref="W41">INDEX(INC_MINVALUES,$V41,$K$1)</f>
        <v>480</v>
      </c>
      <c r="X41" s="212">
        <f t="array" ref="X41">INDEX(INC_INCVALUES,$V41,$K$1)</f>
        <v>4</v>
      </c>
    </row>
    <row r="42" ht="15.75" customHeight="1">
      <c r="A42" s="435" t="s">
        <v>182</v>
      </c>
      <c r="B42" s="436">
        <v>2.08</v>
      </c>
      <c r="C42" s="95" t="str">
        <f t="array" ref="C42">IF(I42&gt;0,INDEX(DB,I42,8),"")</f>
        <v>Jake Selwood</v>
      </c>
      <c r="D42" s="437">
        <f t="shared" si="1"/>
        <v>62</v>
      </c>
      <c r="F42" s="438">
        <f t="shared" si="2"/>
        <v>1</v>
      </c>
      <c r="G42" t="str">
        <f t="shared" si="3"/>
        <v/>
      </c>
      <c r="H42" t="b">
        <f t="shared" si="4"/>
        <v>1</v>
      </c>
      <c r="I42" s="439">
        <f>IF(OR(ISBLANK(A42),ISNA(MATCH(A42&amp;"",AthleteNumbers,0))),0,MATCH(A42&amp;"",AthleteNumbers,0))</f>
        <v>26</v>
      </c>
      <c r="J42" s="209" t="str">
        <f t="array" ref="J42">IF(I42&gt;0,INDEX(DB,$I42,6),0)</f>
        <v/>
      </c>
      <c r="K42" s="446">
        <f t="shared" si="5"/>
        <v>2.08</v>
      </c>
      <c r="L42" s="440">
        <f t="shared" si="6"/>
        <v>128</v>
      </c>
      <c r="M42" s="441">
        <f>IF(AND(L42&gt;O42,O42&gt;0),MinPoints,IF(AND(L42&lt;N42,O42&gt;0),100,+INT((O42-$L42)/P42)+MinPoints))</f>
        <v>62</v>
      </c>
      <c r="N42" s="440">
        <f t="shared" si="7"/>
        <v>90</v>
      </c>
      <c r="O42" s="440">
        <f t="shared" si="8"/>
        <v>180</v>
      </c>
      <c r="P42" s="440">
        <f t="shared" si="9"/>
        <v>1</v>
      </c>
      <c r="Q42">
        <f t="array" ref="Q42">IF(I42&gt;0,INDEX(DB,I42,9),EventIndex)</f>
        <v>6</v>
      </c>
      <c r="S42">
        <f t="array" ref="S42">(INT(INDEX(MINVALUES,$Q42,$K$1))*60)+(MOD(INDEX(MINVALUES,$Q42,$K$1),1)*100)</f>
        <v>180</v>
      </c>
      <c r="T42">
        <f t="array" ref="T42">(INDEX(INCVALUES,$Q42,$K$1)*100)</f>
        <v>1</v>
      </c>
      <c r="V42">
        <f t="array" ref="V42">+J42+(4*(INDEX(MatchScoreTable,$Q42,20)-1))</f>
        <v>4</v>
      </c>
      <c r="W42">
        <f t="array" ref="W42">INDEX(INC_MINVALUES,$V42,$K$1)</f>
        <v>480</v>
      </c>
      <c r="X42" s="212">
        <f t="array" ref="X42">INDEX(INC_INCVALUES,$V42,$K$1)</f>
        <v>4</v>
      </c>
    </row>
    <row r="43" ht="15.75" customHeight="1">
      <c r="A43" s="435" t="s">
        <v>184</v>
      </c>
      <c r="B43" s="436">
        <v>2.21</v>
      </c>
      <c r="C43" s="95" t="str">
        <f t="array" ref="C43">IF(I43&gt;0,INDEX(DB,I43,8),"")</f>
        <v>Liam Sharp</v>
      </c>
      <c r="D43" s="437">
        <f t="shared" si="1"/>
        <v>49</v>
      </c>
      <c r="F43" s="438">
        <f t="shared" si="2"/>
        <v>1</v>
      </c>
      <c r="G43" t="str">
        <f t="shared" si="3"/>
        <v/>
      </c>
      <c r="H43" t="b">
        <f t="shared" si="4"/>
        <v>1</v>
      </c>
      <c r="I43" s="439">
        <f>IF(OR(ISBLANK(A43),ISNA(MATCH(A43&amp;"",AthleteNumbers,0))),0,MATCH(A43&amp;"",AthleteNumbers,0))</f>
        <v>27</v>
      </c>
      <c r="J43" s="209" t="str">
        <f t="array" ref="J43">IF(I43&gt;0,INDEX(DB,$I43,6),0)</f>
        <v/>
      </c>
      <c r="K43" s="446">
        <f t="shared" si="5"/>
        <v>2.21</v>
      </c>
      <c r="L43" s="440">
        <f t="shared" si="6"/>
        <v>141</v>
      </c>
      <c r="M43" s="441">
        <f>IF(AND(L43&gt;O43,O43&gt;0),MinPoints,IF(AND(L43&lt;N43,O43&gt;0),100,+INT((O43-$L43)/P43)+MinPoints))</f>
        <v>49</v>
      </c>
      <c r="N43" s="440">
        <f t="shared" si="7"/>
        <v>90</v>
      </c>
      <c r="O43" s="440">
        <f t="shared" si="8"/>
        <v>180</v>
      </c>
      <c r="P43" s="440">
        <f t="shared" si="9"/>
        <v>1</v>
      </c>
      <c r="Q43">
        <f t="array" ref="Q43">IF(I43&gt;0,INDEX(DB,I43,9),EventIndex)</f>
        <v>6</v>
      </c>
      <c r="S43">
        <f t="array" ref="S43">(INT(INDEX(MINVALUES,$Q43,$K$1))*60)+(MOD(INDEX(MINVALUES,$Q43,$K$1),1)*100)</f>
        <v>180</v>
      </c>
      <c r="T43">
        <f t="array" ref="T43">(INDEX(INCVALUES,$Q43,$K$1)*100)</f>
        <v>1</v>
      </c>
      <c r="V43">
        <f t="array" ref="V43">+J43+(4*(INDEX(MatchScoreTable,$Q43,20)-1))</f>
        <v>4</v>
      </c>
      <c r="W43">
        <f t="array" ref="W43">INDEX(INC_MINVALUES,$V43,$K$1)</f>
        <v>480</v>
      </c>
      <c r="X43" s="212">
        <f t="array" ref="X43">INDEX(INC_INCVALUES,$V43,$K$1)</f>
        <v>4</v>
      </c>
    </row>
    <row r="44" ht="15.75" customHeight="1">
      <c r="A44" s="435" t="s">
        <v>160</v>
      </c>
      <c r="B44" s="436">
        <v>2.27</v>
      </c>
      <c r="C44" s="95" t="str">
        <f t="array" ref="C44">IF(I44&gt;0,INDEX(DB,I44,8),"")</f>
        <v>Jacob Green</v>
      </c>
      <c r="D44" s="437">
        <f t="shared" si="1"/>
        <v>43</v>
      </c>
      <c r="F44" s="438">
        <f t="shared" si="2"/>
        <v>1</v>
      </c>
      <c r="G44" t="str">
        <f t="shared" si="3"/>
        <v/>
      </c>
      <c r="H44" t="b">
        <f t="shared" si="4"/>
        <v>1</v>
      </c>
      <c r="I44" s="439">
        <f>IF(OR(ISBLANK(A44),ISNA(MATCH(A44&amp;"",AthleteNumbers,0))),0,MATCH(A44&amp;"",AthleteNumbers,0))</f>
        <v>16</v>
      </c>
      <c r="J44" s="209" t="str">
        <f t="array" ref="J44">IF(I44&gt;0,INDEX(DB,$I44,6),0)</f>
        <v/>
      </c>
      <c r="K44" s="446">
        <f t="shared" si="5"/>
        <v>2.27</v>
      </c>
      <c r="L44" s="440">
        <f t="shared" si="6"/>
        <v>147</v>
      </c>
      <c r="M44" s="441">
        <f>IF(AND(L44&gt;O44,O44&gt;0),MinPoints,IF(AND(L44&lt;N44,O44&gt;0),100,+INT((O44-$L44)/P44)+MinPoints))</f>
        <v>43</v>
      </c>
      <c r="N44" s="440">
        <f t="shared" si="7"/>
        <v>90</v>
      </c>
      <c r="O44" s="440">
        <f t="shared" si="8"/>
        <v>180</v>
      </c>
      <c r="P44" s="440">
        <f t="shared" si="9"/>
        <v>1</v>
      </c>
      <c r="Q44">
        <f t="array" ref="Q44">IF(I44&gt;0,INDEX(DB,I44,9),EventIndex)</f>
        <v>6</v>
      </c>
      <c r="S44">
        <f t="array" ref="S44">(INT(INDEX(MINVALUES,$Q44,$K$1))*60)+(MOD(INDEX(MINVALUES,$Q44,$K$1),1)*100)</f>
        <v>180</v>
      </c>
      <c r="T44">
        <f t="array" ref="T44">(INDEX(INCVALUES,$Q44,$K$1)*100)</f>
        <v>1</v>
      </c>
      <c r="V44">
        <f t="array" ref="V44">+J44+(4*(INDEX(MatchScoreTable,$Q44,20)-1))</f>
        <v>4</v>
      </c>
      <c r="W44">
        <f t="array" ref="W44">INDEX(INC_MINVALUES,$V44,$K$1)</f>
        <v>480</v>
      </c>
      <c r="X44" s="212">
        <f t="array" ref="X44">INDEX(INC_INCVALUES,$V44,$K$1)</f>
        <v>4</v>
      </c>
    </row>
    <row r="45" ht="15.75" customHeight="1">
      <c r="A45" s="435" t="s">
        <v>180</v>
      </c>
      <c r="B45" s="436">
        <v>2.34</v>
      </c>
      <c r="C45" s="95" t="str">
        <f t="array" ref="C45">IF(I45&gt;0,INDEX(DB,I45,8),"")</f>
        <v>Oscar Robertson</v>
      </c>
      <c r="D45" s="437">
        <f t="shared" si="1"/>
        <v>36</v>
      </c>
      <c r="F45" s="438">
        <f t="shared" si="2"/>
        <v>1</v>
      </c>
      <c r="G45" t="str">
        <f t="shared" si="3"/>
        <v/>
      </c>
      <c r="H45" t="b">
        <f t="shared" si="4"/>
        <v>1</v>
      </c>
      <c r="I45" s="439">
        <f>IF(OR(ISBLANK(A45),ISNA(MATCH(A45&amp;"",AthleteNumbers,0))),0,MATCH(A45&amp;"",AthleteNumbers,0))</f>
        <v>25</v>
      </c>
      <c r="J45" s="209" t="str">
        <f t="array" ref="J45">IF(I45&gt;0,INDEX(DB,$I45,6),0)</f>
        <v/>
      </c>
      <c r="K45" s="446">
        <f t="shared" si="5"/>
        <v>2.34</v>
      </c>
      <c r="L45" s="440">
        <f t="shared" si="6"/>
        <v>154</v>
      </c>
      <c r="M45" s="441">
        <f>IF(AND(L45&gt;O45,O45&gt;0),MinPoints,IF(AND(L45&lt;N45,O45&gt;0),100,+INT((O45-$L45)/P45)+MinPoints))</f>
        <v>36</v>
      </c>
      <c r="N45" s="440">
        <f t="shared" si="7"/>
        <v>90</v>
      </c>
      <c r="O45" s="440">
        <f t="shared" si="8"/>
        <v>180</v>
      </c>
      <c r="P45" s="440">
        <f t="shared" si="9"/>
        <v>1</v>
      </c>
      <c r="Q45">
        <f t="array" ref="Q45">IF(I45&gt;0,INDEX(DB,I45,9),EventIndex)</f>
        <v>6</v>
      </c>
      <c r="S45">
        <f t="array" ref="S45">(INT(INDEX(MINVALUES,$Q45,$K$1))*60)+(MOD(INDEX(MINVALUES,$Q45,$K$1),1)*100)</f>
        <v>180</v>
      </c>
      <c r="T45">
        <f t="array" ref="T45">(INDEX(INCVALUES,$Q45,$K$1)*100)</f>
        <v>1</v>
      </c>
      <c r="V45">
        <f t="array" ref="V45">+J45+(4*(INDEX(MatchScoreTable,$Q45,20)-1))</f>
        <v>4</v>
      </c>
      <c r="W45">
        <f t="array" ref="W45">INDEX(INC_MINVALUES,$V45,$K$1)</f>
        <v>480</v>
      </c>
      <c r="X45" s="212">
        <f t="array" ref="X45">INDEX(INC_INCVALUES,$V45,$K$1)</f>
        <v>4</v>
      </c>
    </row>
    <row r="46" ht="15.75" customHeight="1">
      <c r="A46" s="435" t="s">
        <v>174</v>
      </c>
      <c r="B46" s="436">
        <v>2.4</v>
      </c>
      <c r="C46" s="95" t="str">
        <f t="array" ref="C46">IF(I46&gt;0,INDEX(DB,I46,8),"")</f>
        <v>Rufus Parsons</v>
      </c>
      <c r="D46" s="437">
        <f t="shared" si="1"/>
        <v>30</v>
      </c>
      <c r="F46" s="438">
        <f t="shared" si="2"/>
        <v>1</v>
      </c>
      <c r="G46" t="str">
        <f t="shared" si="3"/>
        <v/>
      </c>
      <c r="H46" t="b">
        <f t="shared" si="4"/>
        <v>1</v>
      </c>
      <c r="I46" s="439">
        <f>IF(OR(ISBLANK(A46),ISNA(MATCH(A46&amp;"",AthleteNumbers,0))),0,MATCH(A46&amp;"",AthleteNumbers,0))</f>
        <v>22</v>
      </c>
      <c r="J46" s="209" t="str">
        <f t="array" ref="J46">IF(I46&gt;0,INDEX(DB,$I46,6),0)</f>
        <v/>
      </c>
      <c r="K46" s="446">
        <f t="shared" si="5"/>
        <v>2.4</v>
      </c>
      <c r="L46" s="440">
        <f t="shared" si="6"/>
        <v>160</v>
      </c>
      <c r="M46" s="441">
        <f>IF(AND(L46&gt;O46,O46&gt;0),MinPoints,IF(AND(L46&lt;N46,O46&gt;0),100,+INT((O46-$L46)/P46)+MinPoints))</f>
        <v>30</v>
      </c>
      <c r="N46" s="440">
        <f t="shared" si="7"/>
        <v>90</v>
      </c>
      <c r="O46" s="440">
        <f t="shared" si="8"/>
        <v>180</v>
      </c>
      <c r="P46" s="440">
        <f t="shared" si="9"/>
        <v>1</v>
      </c>
      <c r="Q46">
        <f t="array" ref="Q46">IF(I46&gt;0,INDEX(DB,I46,9),EventIndex)</f>
        <v>6</v>
      </c>
      <c r="S46">
        <f t="array" ref="S46">(INT(INDEX(MINVALUES,$Q46,$K$1))*60)+(MOD(INDEX(MINVALUES,$Q46,$K$1),1)*100)</f>
        <v>180</v>
      </c>
      <c r="T46">
        <f t="array" ref="T46">(INDEX(INCVALUES,$Q46,$K$1)*100)</f>
        <v>1</v>
      </c>
      <c r="V46">
        <f t="array" ref="V46">+J46+(4*(INDEX(MatchScoreTable,$Q46,20)-1))</f>
        <v>4</v>
      </c>
      <c r="W46">
        <f t="array" ref="W46">INDEX(INC_MINVALUES,$V46,$K$1)</f>
        <v>480</v>
      </c>
      <c r="X46" s="212">
        <f t="array" ref="X46">INDEX(INC_INCVALUES,$V46,$K$1)</f>
        <v>4</v>
      </c>
    </row>
    <row r="47" ht="15.75" customHeight="1">
      <c r="A47" s="435" t="s">
        <v>169</v>
      </c>
      <c r="B47" s="436">
        <v>2.44</v>
      </c>
      <c r="C47" s="95" t="str">
        <f t="array" ref="C47">IF(I47&gt;0,INDEX(DB,I47,8),"")</f>
        <v>Ciaran Merrett</v>
      </c>
      <c r="D47" s="437">
        <f t="shared" si="1"/>
        <v>26</v>
      </c>
      <c r="F47" s="438">
        <f t="shared" si="2"/>
        <v>1</v>
      </c>
      <c r="G47" t="str">
        <f t="shared" si="3"/>
        <v/>
      </c>
      <c r="H47" t="b">
        <f t="shared" si="4"/>
        <v>1</v>
      </c>
      <c r="I47" s="439">
        <f>IF(OR(ISBLANK(A47),ISNA(MATCH(A47&amp;"",AthleteNumbers,0))),0,MATCH(A47&amp;"",AthleteNumbers,0))</f>
        <v>20</v>
      </c>
      <c r="J47" s="209" t="str">
        <f t="array" ref="J47">IF(I47&gt;0,INDEX(DB,$I47,6),0)</f>
        <v/>
      </c>
      <c r="K47" s="446">
        <f t="shared" si="5"/>
        <v>2.44</v>
      </c>
      <c r="L47" s="440">
        <f t="shared" si="6"/>
        <v>164</v>
      </c>
      <c r="M47" s="441">
        <f>IF(AND(L47&gt;O47,O47&gt;0),MinPoints,IF(AND(L47&lt;N47,O47&gt;0),100,+INT((O47-$L47)/P47)+MinPoints))</f>
        <v>26</v>
      </c>
      <c r="N47" s="440">
        <f t="shared" si="7"/>
        <v>90</v>
      </c>
      <c r="O47" s="440">
        <f t="shared" si="8"/>
        <v>180</v>
      </c>
      <c r="P47" s="440">
        <f t="shared" si="9"/>
        <v>1</v>
      </c>
      <c r="Q47">
        <f t="array" ref="Q47">IF(I47&gt;0,INDEX(DB,I47,9),EventIndex)</f>
        <v>6</v>
      </c>
      <c r="S47">
        <f t="array" ref="S47">(INT(INDEX(MINVALUES,$Q47,$K$1))*60)+(MOD(INDEX(MINVALUES,$Q47,$K$1),1)*100)</f>
        <v>180</v>
      </c>
      <c r="T47">
        <f t="array" ref="T47">(INDEX(INCVALUES,$Q47,$K$1)*100)</f>
        <v>1</v>
      </c>
      <c r="V47">
        <f t="array" ref="V47">+J47+(4*(INDEX(MatchScoreTable,$Q47,20)-1))</f>
        <v>4</v>
      </c>
      <c r="W47">
        <f t="array" ref="W47">INDEX(INC_MINVALUES,$V47,$K$1)</f>
        <v>480</v>
      </c>
      <c r="X47" s="212">
        <f t="array" ref="X47">INDEX(INC_INCVALUES,$V47,$K$1)</f>
        <v>4</v>
      </c>
    </row>
    <row r="48" ht="15.75" customHeight="1">
      <c r="A48" s="435" t="s">
        <v>186</v>
      </c>
      <c r="B48" s="436">
        <v>2.03</v>
      </c>
      <c r="C48" s="95" t="str">
        <f t="array" ref="C48">IF(I48&gt;0,INDEX(DB,I48,8),"")</f>
        <v>Joshua Smith</v>
      </c>
      <c r="D48" s="437">
        <f t="shared" si="1"/>
        <v>67</v>
      </c>
      <c r="F48" s="438">
        <f t="shared" si="2"/>
        <v>1</v>
      </c>
      <c r="G48" t="str">
        <f t="shared" si="3"/>
        <v/>
      </c>
      <c r="H48" t="b">
        <f t="shared" si="4"/>
        <v>1</v>
      </c>
      <c r="I48" s="439">
        <f>IF(OR(ISBLANK(A48),ISNA(MATCH(A48&amp;"",AthleteNumbers,0))),0,MATCH(A48&amp;"",AthleteNumbers,0))</f>
        <v>28</v>
      </c>
      <c r="J48" s="209" t="str">
        <f t="array" ref="J48">IF(I48&gt;0,INDEX(DB,$I48,6),0)</f>
        <v/>
      </c>
      <c r="K48" s="446">
        <f t="shared" si="5"/>
        <v>2.03</v>
      </c>
      <c r="L48" s="440">
        <f t="shared" si="6"/>
        <v>123</v>
      </c>
      <c r="M48" s="441">
        <f>IF(AND(L48&gt;O48,O48&gt;0),MinPoints,IF(AND(L48&lt;N48,O48&gt;0),100,+INT((O48-$L48)/P48)+MinPoints))</f>
        <v>67</v>
      </c>
      <c r="N48" s="440">
        <f t="shared" si="7"/>
        <v>90</v>
      </c>
      <c r="O48" s="440">
        <f t="shared" si="8"/>
        <v>180</v>
      </c>
      <c r="P48" s="440">
        <f t="shared" si="9"/>
        <v>1</v>
      </c>
      <c r="Q48">
        <f t="array" ref="Q48">IF(I48&gt;0,INDEX(DB,I48,9),EventIndex)</f>
        <v>6</v>
      </c>
      <c r="S48">
        <f t="array" ref="S48">(INT(INDEX(MINVALUES,$Q48,$K$1))*60)+(MOD(INDEX(MINVALUES,$Q48,$K$1),1)*100)</f>
        <v>180</v>
      </c>
      <c r="T48">
        <f t="array" ref="T48">(INDEX(INCVALUES,$Q48,$K$1)*100)</f>
        <v>1</v>
      </c>
      <c r="V48">
        <f t="array" ref="V48">+J48+(4*(INDEX(MatchScoreTable,$Q48,20)-1))</f>
        <v>4</v>
      </c>
      <c r="W48">
        <f t="array" ref="W48">INDEX(INC_MINVALUES,$V48,$K$1)</f>
        <v>480</v>
      </c>
      <c r="X48" s="212">
        <f t="array" ref="X48">INDEX(INC_INCVALUES,$V48,$K$1)</f>
        <v>4</v>
      </c>
    </row>
    <row r="49" ht="15.75" customHeight="1">
      <c r="A49" s="435" t="s">
        <v>190</v>
      </c>
      <c r="B49" s="436">
        <v>2.07</v>
      </c>
      <c r="C49" s="95" t="str">
        <f t="array" ref="C49">IF(I49&gt;0,INDEX(DB,I49,8),"")</f>
        <v>Harley Vincent</v>
      </c>
      <c r="D49" s="437">
        <f t="shared" si="1"/>
        <v>63</v>
      </c>
      <c r="F49" s="438">
        <f t="shared" si="2"/>
        <v>1</v>
      </c>
      <c r="G49" t="str">
        <f t="shared" si="3"/>
        <v/>
      </c>
      <c r="H49" t="b">
        <f t="shared" si="4"/>
        <v>1</v>
      </c>
      <c r="I49" s="439">
        <f>IF(OR(ISBLANK(A49),ISNA(MATCH(A49&amp;"",AthleteNumbers,0))),0,MATCH(A49&amp;"",AthleteNumbers,0))</f>
        <v>30</v>
      </c>
      <c r="J49" s="209" t="str">
        <f t="array" ref="J49">IF(I49&gt;0,INDEX(DB,$I49,6),0)</f>
        <v/>
      </c>
      <c r="K49" s="446">
        <f t="shared" si="5"/>
        <v>2.07</v>
      </c>
      <c r="L49" s="440">
        <f t="shared" si="6"/>
        <v>127</v>
      </c>
      <c r="M49" s="441">
        <f>IF(AND(L49&gt;O49,O49&gt;0),MinPoints,IF(AND(L49&lt;N49,O49&gt;0),100,+INT((O49-$L49)/P49)+MinPoints))</f>
        <v>63</v>
      </c>
      <c r="N49" s="440">
        <f t="shared" si="7"/>
        <v>90</v>
      </c>
      <c r="O49" s="440">
        <f t="shared" si="8"/>
        <v>180</v>
      </c>
      <c r="P49" s="440">
        <f t="shared" si="9"/>
        <v>1</v>
      </c>
      <c r="Q49">
        <f t="array" ref="Q49">IF(I49&gt;0,INDEX(DB,I49,9),EventIndex)</f>
        <v>6</v>
      </c>
      <c r="S49">
        <f t="array" ref="S49">(INT(INDEX(MINVALUES,$Q49,$K$1))*60)+(MOD(INDEX(MINVALUES,$Q49,$K$1),1)*100)</f>
        <v>180</v>
      </c>
      <c r="T49">
        <f t="array" ref="T49">(INDEX(INCVALUES,$Q49,$K$1)*100)</f>
        <v>1</v>
      </c>
      <c r="V49">
        <f t="array" ref="V49">+J49+(4*(INDEX(MatchScoreTable,$Q49,20)-1))</f>
        <v>4</v>
      </c>
      <c r="W49">
        <f t="array" ref="W49">INDEX(INC_MINVALUES,$V49,$K$1)</f>
        <v>480</v>
      </c>
      <c r="X49" s="212">
        <f t="array" ref="X49">INDEX(INC_INCVALUES,$V49,$K$1)</f>
        <v>4</v>
      </c>
    </row>
    <row r="50" ht="15.75" customHeight="1">
      <c r="A50" s="435" t="s">
        <v>196</v>
      </c>
      <c r="B50" s="436">
        <v>2.08</v>
      </c>
      <c r="C50" s="95" t="str">
        <f t="array" ref="C50">IF(I50&gt;0,INDEX(DB,I50,8),"")</f>
        <v>Harry Williams</v>
      </c>
      <c r="D50" s="437">
        <f t="shared" si="1"/>
        <v>62</v>
      </c>
      <c r="F50" s="438">
        <f t="shared" si="2"/>
        <v>1</v>
      </c>
      <c r="G50" t="str">
        <f t="shared" si="3"/>
        <v/>
      </c>
      <c r="H50" t="b">
        <f t="shared" si="4"/>
        <v>1</v>
      </c>
      <c r="I50" s="439">
        <f>IF(OR(ISBLANK(A50),ISNA(MATCH(A50&amp;"",AthleteNumbers,0))),0,MATCH(A50&amp;"",AthleteNumbers,0))</f>
        <v>33</v>
      </c>
      <c r="J50" s="209" t="str">
        <f t="array" ref="J50">IF(I50&gt;0,INDEX(DB,$I50,6),0)</f>
        <v/>
      </c>
      <c r="K50" s="446">
        <f t="shared" si="5"/>
        <v>2.08</v>
      </c>
      <c r="L50" s="440">
        <f t="shared" si="6"/>
        <v>128</v>
      </c>
      <c r="M50" s="441">
        <f>IF(AND(L50&gt;O50,O50&gt;0),MinPoints,IF(AND(L50&lt;N50,O50&gt;0),100,+INT((O50-$L50)/P50)+MinPoints))</f>
        <v>62</v>
      </c>
      <c r="N50" s="440">
        <f t="shared" si="7"/>
        <v>90</v>
      </c>
      <c r="O50" s="440">
        <f t="shared" si="8"/>
        <v>180</v>
      </c>
      <c r="P50" s="440">
        <f t="shared" si="9"/>
        <v>1</v>
      </c>
      <c r="Q50">
        <f t="array" ref="Q50">IF(I50&gt;0,INDEX(DB,I50,9),EventIndex)</f>
        <v>6</v>
      </c>
      <c r="S50">
        <f t="array" ref="S50">(INT(INDEX(MINVALUES,$Q50,$K$1))*60)+(MOD(INDEX(MINVALUES,$Q50,$K$1),1)*100)</f>
        <v>180</v>
      </c>
      <c r="T50">
        <f t="array" ref="T50">(INDEX(INCVALUES,$Q50,$K$1)*100)</f>
        <v>1</v>
      </c>
      <c r="V50">
        <f t="array" ref="V50">+J50+(4*(INDEX(MatchScoreTable,$Q50,20)-1))</f>
        <v>4</v>
      </c>
      <c r="W50">
        <f t="array" ref="W50">INDEX(INC_MINVALUES,$V50,$K$1)</f>
        <v>480</v>
      </c>
      <c r="X50" s="212">
        <f t="array" ref="X50">INDEX(INC_INCVALUES,$V50,$K$1)</f>
        <v>4</v>
      </c>
    </row>
    <row r="51" ht="15.75" customHeight="1">
      <c r="A51" s="435" t="s">
        <v>194</v>
      </c>
      <c r="B51" s="436">
        <v>2.15</v>
      </c>
      <c r="C51" s="95" t="str">
        <f t="array" ref="C51">IF(I51&gt;0,INDEX(DB,I51,8),"")</f>
        <v>Otto Williams</v>
      </c>
      <c r="D51" s="437">
        <f t="shared" si="1"/>
        <v>55</v>
      </c>
      <c r="F51" s="438">
        <f t="shared" si="2"/>
        <v>1</v>
      </c>
      <c r="G51" t="str">
        <f t="shared" si="3"/>
        <v/>
      </c>
      <c r="H51" t="b">
        <f t="shared" si="4"/>
        <v>1</v>
      </c>
      <c r="I51" s="439">
        <f>IF(OR(ISBLANK(A51),ISNA(MATCH(A51&amp;"",AthleteNumbers,0))),0,MATCH(A51&amp;"",AthleteNumbers,0))</f>
        <v>32</v>
      </c>
      <c r="J51" s="209" t="str">
        <f t="array" ref="J51">IF(I51&gt;0,INDEX(DB,$I51,6),0)</f>
        <v/>
      </c>
      <c r="K51" s="446">
        <f t="shared" si="5"/>
        <v>2.15</v>
      </c>
      <c r="L51" s="440">
        <f t="shared" si="6"/>
        <v>135</v>
      </c>
      <c r="M51" s="441">
        <f>IF(AND(L51&gt;O51,O51&gt;0),MinPoints,IF(AND(L51&lt;N51,O51&gt;0),100,+INT((O51-$L51)/P51)+MinPoints))</f>
        <v>55</v>
      </c>
      <c r="N51" s="440">
        <f t="shared" si="7"/>
        <v>90</v>
      </c>
      <c r="O51" s="440">
        <f t="shared" si="8"/>
        <v>180</v>
      </c>
      <c r="P51" s="440">
        <f t="shared" si="9"/>
        <v>1</v>
      </c>
      <c r="Q51">
        <f t="array" ref="Q51">IF(I51&gt;0,INDEX(DB,I51,9),EventIndex)</f>
        <v>6</v>
      </c>
      <c r="S51">
        <f t="array" ref="S51">(INT(INDEX(MINVALUES,$Q51,$K$1))*60)+(MOD(INDEX(MINVALUES,$Q51,$K$1),1)*100)</f>
        <v>180</v>
      </c>
      <c r="T51">
        <f t="array" ref="T51">(INDEX(INCVALUES,$Q51,$K$1)*100)</f>
        <v>1</v>
      </c>
      <c r="V51">
        <f t="array" ref="V51">+J51+(4*(INDEX(MatchScoreTable,$Q51,20)-1))</f>
        <v>4</v>
      </c>
      <c r="W51">
        <f t="array" ref="W51">INDEX(INC_MINVALUES,$V51,$K$1)</f>
        <v>480</v>
      </c>
      <c r="X51" s="212">
        <f t="array" ref="X51">INDEX(INC_INCVALUES,$V51,$K$1)</f>
        <v>4</v>
      </c>
    </row>
    <row r="52" ht="15.75" customHeight="1">
      <c r="A52" s="435" t="s">
        <v>192</v>
      </c>
      <c r="B52" s="436">
        <v>2.16</v>
      </c>
      <c r="C52" s="95" t="str">
        <f t="array" ref="C52">IF(I52&gt;0,INDEX(DB,I52,8),"")</f>
        <v>Leo Welstead</v>
      </c>
      <c r="D52" s="437">
        <f t="shared" si="1"/>
        <v>54</v>
      </c>
      <c r="F52" s="438">
        <f t="shared" si="2"/>
        <v>1</v>
      </c>
      <c r="G52" t="str">
        <f t="shared" si="3"/>
        <v/>
      </c>
      <c r="H52" t="b">
        <f t="shared" si="4"/>
        <v>1</v>
      </c>
      <c r="I52" s="439">
        <f>IF(OR(ISBLANK(A52),ISNA(MATCH(A52&amp;"",AthleteNumbers,0))),0,MATCH(A52&amp;"",AthleteNumbers,0))</f>
        <v>31</v>
      </c>
      <c r="J52" s="209" t="str">
        <f t="array" ref="J52">IF(I52&gt;0,INDEX(DB,$I52,6),0)</f>
        <v/>
      </c>
      <c r="K52" s="446">
        <f t="shared" si="5"/>
        <v>2.16</v>
      </c>
      <c r="L52" s="440">
        <f t="shared" si="6"/>
        <v>136</v>
      </c>
      <c r="M52" s="441">
        <f>IF(AND(L52&gt;O52,O52&gt;0),MinPoints,IF(AND(L52&lt;N52,O52&gt;0),100,+INT((O52-$L52)/P52)+MinPoints))</f>
        <v>54</v>
      </c>
      <c r="N52" s="440">
        <f t="shared" si="7"/>
        <v>90</v>
      </c>
      <c r="O52" s="440">
        <f t="shared" si="8"/>
        <v>180</v>
      </c>
      <c r="P52" s="440">
        <f t="shared" si="9"/>
        <v>1</v>
      </c>
      <c r="Q52">
        <f t="array" ref="Q52">IF(I52&gt;0,INDEX(DB,I52,9),EventIndex)</f>
        <v>6</v>
      </c>
      <c r="S52">
        <f t="array" ref="S52">(INT(INDEX(MINVALUES,$Q52,$K$1))*60)+(MOD(INDEX(MINVALUES,$Q52,$K$1),1)*100)</f>
        <v>180</v>
      </c>
      <c r="T52">
        <f t="array" ref="T52">(INDEX(INCVALUES,$Q52,$K$1)*100)</f>
        <v>1</v>
      </c>
      <c r="V52">
        <f t="array" ref="V52">+J52+(4*(INDEX(MatchScoreTable,$Q52,20)-1))</f>
        <v>4</v>
      </c>
      <c r="W52">
        <f t="array" ref="W52">INDEX(INC_MINVALUES,$V52,$K$1)</f>
        <v>480</v>
      </c>
      <c r="X52" s="212">
        <f t="array" ref="X52">INDEX(INC_INCVALUES,$V52,$K$1)</f>
        <v>4</v>
      </c>
    </row>
    <row r="53" ht="15.75" customHeight="1">
      <c r="A53" s="435" t="s">
        <v>128</v>
      </c>
      <c r="B53" s="436">
        <v>2.18</v>
      </c>
      <c r="C53" s="95" t="str">
        <f t="array" ref="C53">IF(I53&gt;0,INDEX(DB,I53,8),"")</f>
        <v>Elouan Biwole</v>
      </c>
      <c r="D53" s="437">
        <f t="shared" si="1"/>
        <v>52</v>
      </c>
      <c r="F53" s="438">
        <f t="shared" si="2"/>
        <v>1</v>
      </c>
      <c r="G53" t="str">
        <f t="shared" si="3"/>
        <v/>
      </c>
      <c r="H53" t="b">
        <f t="shared" si="4"/>
        <v>1</v>
      </c>
      <c r="I53" s="439">
        <f>IF(OR(ISBLANK(A53),ISNA(MATCH(A53&amp;"",AthleteNumbers,0))),0,MATCH(A53&amp;"",AthleteNumbers,0))</f>
        <v>3</v>
      </c>
      <c r="J53" s="209" t="str">
        <f t="array" ref="J53">IF(I53&gt;0,INDEX(DB,$I53,6),0)</f>
        <v/>
      </c>
      <c r="K53" s="446">
        <f t="shared" si="5"/>
        <v>2.18</v>
      </c>
      <c r="L53" s="440">
        <f t="shared" si="6"/>
        <v>138</v>
      </c>
      <c r="M53" s="441">
        <f>IF(AND(L53&gt;O53,O53&gt;0),MinPoints,IF(AND(L53&lt;N53,O53&gt;0),100,+INT((O53-$L53)/P53)+MinPoints))</f>
        <v>52</v>
      </c>
      <c r="N53" s="440">
        <f t="shared" si="7"/>
        <v>90</v>
      </c>
      <c r="O53" s="440">
        <f t="shared" si="8"/>
        <v>180</v>
      </c>
      <c r="P53" s="440">
        <f t="shared" si="9"/>
        <v>1</v>
      </c>
      <c r="Q53">
        <f t="array" ref="Q53">IF(I53&gt;0,INDEX(DB,I53,9),EventIndex)</f>
        <v>6</v>
      </c>
      <c r="S53">
        <f t="array" ref="S53">(INT(INDEX(MINVALUES,$Q53,$K$1))*60)+(MOD(INDEX(MINVALUES,$Q53,$K$1),1)*100)</f>
        <v>180</v>
      </c>
      <c r="T53">
        <f t="array" ref="T53">(INDEX(INCVALUES,$Q53,$K$1)*100)</f>
        <v>1</v>
      </c>
      <c r="V53">
        <f t="array" ref="V53">+J53+(4*(INDEX(MatchScoreTable,$Q53,20)-1))</f>
        <v>4</v>
      </c>
      <c r="W53">
        <f t="array" ref="W53">INDEX(INC_MINVALUES,$V53,$K$1)</f>
        <v>480</v>
      </c>
      <c r="X53" s="212">
        <f t="array" ref="X53">INDEX(INC_INCVALUES,$V53,$K$1)</f>
        <v>4</v>
      </c>
    </row>
    <row r="54" ht="15.75" customHeight="1">
      <c r="A54" s="435" t="s">
        <v>137</v>
      </c>
      <c r="B54" s="436">
        <v>2.19</v>
      </c>
      <c r="C54" s="95" t="str">
        <f t="array" ref="C54">IF(I54&gt;0,INDEX(DB,I54,8),"")</f>
        <v>Sam Coltman</v>
      </c>
      <c r="D54" s="437">
        <f t="shared" si="1"/>
        <v>51</v>
      </c>
      <c r="F54" s="438">
        <f t="shared" si="2"/>
        <v>1</v>
      </c>
      <c r="G54" t="str">
        <f t="shared" si="3"/>
        <v/>
      </c>
      <c r="H54" t="b">
        <f t="shared" si="4"/>
        <v>1</v>
      </c>
      <c r="I54" s="439">
        <f>IF(OR(ISBLANK(A54),ISNA(MATCH(A54&amp;"",AthleteNumbers,0))),0,MATCH(A54&amp;"",AthleteNumbers,0))</f>
        <v>6</v>
      </c>
      <c r="J54" s="209" t="str">
        <f t="array" ref="J54">IF(I54&gt;0,INDEX(DB,$I54,6),0)</f>
        <v/>
      </c>
      <c r="K54" s="446">
        <f t="shared" si="5"/>
        <v>2.19</v>
      </c>
      <c r="L54" s="440">
        <f t="shared" si="6"/>
        <v>139</v>
      </c>
      <c r="M54" s="441">
        <f>IF(AND(L54&gt;O54,O54&gt;0),MinPoints,IF(AND(L54&lt;N54,O54&gt;0),100,+INT((O54-$L54)/P54)+MinPoints))</f>
        <v>51</v>
      </c>
      <c r="N54" s="440">
        <f t="shared" si="7"/>
        <v>90</v>
      </c>
      <c r="O54" s="440">
        <f t="shared" si="8"/>
        <v>180</v>
      </c>
      <c r="P54" s="440">
        <f t="shared" si="9"/>
        <v>1</v>
      </c>
      <c r="Q54">
        <f t="array" ref="Q54">IF(I54&gt;0,INDEX(DB,I54,9),EventIndex)</f>
        <v>6</v>
      </c>
      <c r="S54">
        <f t="array" ref="S54">(INT(INDEX(MINVALUES,$Q54,$K$1))*60)+(MOD(INDEX(MINVALUES,$Q54,$K$1),1)*100)</f>
        <v>180</v>
      </c>
      <c r="T54">
        <f t="array" ref="T54">(INDEX(INCVALUES,$Q54,$K$1)*100)</f>
        <v>1</v>
      </c>
      <c r="V54">
        <f t="array" ref="V54">+J54+(4*(INDEX(MatchScoreTable,$Q54,20)-1))</f>
        <v>4</v>
      </c>
      <c r="W54">
        <f t="array" ref="W54">INDEX(INC_MINVALUES,$V54,$K$1)</f>
        <v>480</v>
      </c>
      <c r="X54" s="212">
        <f t="array" ref="X54">INDEX(INC_INCVALUES,$V54,$K$1)</f>
        <v>4</v>
      </c>
    </row>
    <row r="55" ht="15.75" customHeight="1">
      <c r="A55" s="435" t="s">
        <v>144</v>
      </c>
      <c r="B55" s="436">
        <v>2.2</v>
      </c>
      <c r="C55" s="95" t="str">
        <f t="array" ref="C55">IF(I55&gt;0,INDEX(DB,I55,8),"")</f>
        <v>James Davie</v>
      </c>
      <c r="D55" s="437">
        <f t="shared" si="1"/>
        <v>50</v>
      </c>
      <c r="F55" s="438">
        <f t="shared" si="2"/>
        <v>1</v>
      </c>
      <c r="G55" t="str">
        <f t="shared" si="3"/>
        <v/>
      </c>
      <c r="H55" t="b">
        <f t="shared" si="4"/>
        <v>1</v>
      </c>
      <c r="I55" s="439">
        <f>IF(OR(ISBLANK(A55),ISNA(MATCH(A55&amp;"",AthleteNumbers,0))),0,MATCH(A55&amp;"",AthleteNumbers,0))</f>
        <v>9</v>
      </c>
      <c r="J55" s="209" t="str">
        <f t="array" ref="J55">IF(I55&gt;0,INDEX(DB,$I55,6),0)</f>
        <v/>
      </c>
      <c r="K55" s="446">
        <f t="shared" si="5"/>
        <v>2.2</v>
      </c>
      <c r="L55" s="440">
        <f t="shared" si="6"/>
        <v>140</v>
      </c>
      <c r="M55" s="441">
        <f>IF(AND(L55&gt;O55,O55&gt;0),MinPoints,IF(AND(L55&lt;N55,O55&gt;0),100,+INT((O55-$L55)/P55)+MinPoints))</f>
        <v>50</v>
      </c>
      <c r="N55" s="440">
        <f t="shared" si="7"/>
        <v>90</v>
      </c>
      <c r="O55" s="440">
        <f t="shared" si="8"/>
        <v>180</v>
      </c>
      <c r="P55" s="440">
        <f t="shared" si="9"/>
        <v>1</v>
      </c>
      <c r="Q55">
        <f t="array" ref="Q55">IF(I55&gt;0,INDEX(DB,I55,9),EventIndex)</f>
        <v>6</v>
      </c>
      <c r="S55">
        <f t="array" ref="S55">(INT(INDEX(MINVALUES,$Q55,$K$1))*60)+(MOD(INDEX(MINVALUES,$Q55,$K$1),1)*100)</f>
        <v>180</v>
      </c>
      <c r="T55">
        <f t="array" ref="T55">(INDEX(INCVALUES,$Q55,$K$1)*100)</f>
        <v>1</v>
      </c>
      <c r="V55">
        <f t="array" ref="V55">+J55+(4*(INDEX(MatchScoreTable,$Q55,20)-1))</f>
        <v>4</v>
      </c>
      <c r="W55">
        <f t="array" ref="W55">INDEX(INC_MINVALUES,$V55,$K$1)</f>
        <v>480</v>
      </c>
      <c r="X55" s="212">
        <f t="array" ref="X55">INDEX(INC_INCVALUES,$V55,$K$1)</f>
        <v>4</v>
      </c>
    </row>
    <row r="56" ht="15.75" customHeight="1">
      <c r="A56" s="435" t="s">
        <v>153</v>
      </c>
      <c r="B56" s="436">
        <v>2.29</v>
      </c>
      <c r="C56" s="95" t="str">
        <f t="array" ref="C56">IF(I56&gt;0,INDEX(DB,I56,8),"")</f>
        <v>Toby Fry</v>
      </c>
      <c r="D56" s="437">
        <f t="shared" si="1"/>
        <v>41</v>
      </c>
      <c r="F56" s="438">
        <f t="shared" si="2"/>
        <v>1</v>
      </c>
      <c r="G56" t="str">
        <f t="shared" si="3"/>
        <v/>
      </c>
      <c r="H56" t="b">
        <f t="shared" si="4"/>
        <v>1</v>
      </c>
      <c r="I56" s="439">
        <f>IF(OR(ISBLANK(A56),ISNA(MATCH(A56&amp;"",AthleteNumbers,0))),0,MATCH(A56&amp;"",AthleteNumbers,0))</f>
        <v>13</v>
      </c>
      <c r="J56" s="209" t="str">
        <f t="array" ref="J56">IF(I56&gt;0,INDEX(DB,$I56,6),0)</f>
        <v/>
      </c>
      <c r="K56" s="446">
        <f t="shared" si="5"/>
        <v>2.29</v>
      </c>
      <c r="L56" s="440">
        <f t="shared" si="6"/>
        <v>149</v>
      </c>
      <c r="M56" s="441">
        <f>IF(AND(L56&gt;O56,O56&gt;0),MinPoints,IF(AND(L56&lt;N56,O56&gt;0),100,+INT((O56-$L56)/P56)+MinPoints))</f>
        <v>41</v>
      </c>
      <c r="N56" s="440">
        <f t="shared" si="7"/>
        <v>90</v>
      </c>
      <c r="O56" s="440">
        <f t="shared" si="8"/>
        <v>180</v>
      </c>
      <c r="P56" s="440">
        <f t="shared" si="9"/>
        <v>1</v>
      </c>
      <c r="Q56">
        <f t="array" ref="Q56">IF(I56&gt;0,INDEX(DB,I56,9),EventIndex)</f>
        <v>6</v>
      </c>
      <c r="S56">
        <f t="array" ref="S56">(INT(INDEX(MINVALUES,$Q56,$K$1))*60)+(MOD(INDEX(MINVALUES,$Q56,$K$1),1)*100)</f>
        <v>180</v>
      </c>
      <c r="T56">
        <f t="array" ref="T56">(INDEX(INCVALUES,$Q56,$K$1)*100)</f>
        <v>1</v>
      </c>
      <c r="V56">
        <f t="array" ref="V56">+J56+(4*(INDEX(MatchScoreTable,$Q56,20)-1))</f>
        <v>4</v>
      </c>
      <c r="W56">
        <f t="array" ref="W56">INDEX(INC_MINVALUES,$V56,$K$1)</f>
        <v>480</v>
      </c>
      <c r="X56" s="212">
        <f t="array" ref="X56">INDEX(INC_INCVALUES,$V56,$K$1)</f>
        <v>4</v>
      </c>
    </row>
    <row r="57" ht="15.75" customHeight="1">
      <c r="A57" s="435" t="s">
        <v>148</v>
      </c>
      <c r="B57" s="436">
        <v>2.36</v>
      </c>
      <c r="C57" s="95" t="str">
        <f t="array" ref="C57">IF(I57&gt;0,INDEX(DB,I57,8),"")</f>
        <v>Hugo English</v>
      </c>
      <c r="D57" s="437">
        <f t="shared" si="1"/>
        <v>34</v>
      </c>
      <c r="F57" s="438">
        <f t="shared" si="2"/>
        <v>1</v>
      </c>
      <c r="G57" t="str">
        <f t="shared" si="3"/>
        <v/>
      </c>
      <c r="H57" t="b">
        <f t="shared" si="4"/>
        <v>1</v>
      </c>
      <c r="I57" s="439">
        <f>IF(OR(ISBLANK(A57),ISNA(MATCH(A57&amp;"",AthleteNumbers,0))),0,MATCH(A57&amp;"",AthleteNumbers,0))</f>
        <v>11</v>
      </c>
      <c r="J57" s="209" t="str">
        <f t="array" ref="J57">IF(I57&gt;0,INDEX(DB,$I57,6),0)</f>
        <v/>
      </c>
      <c r="K57" s="446">
        <f t="shared" si="5"/>
        <v>2.36</v>
      </c>
      <c r="L57" s="440">
        <f t="shared" si="6"/>
        <v>156</v>
      </c>
      <c r="M57" s="441">
        <f>IF(AND(L57&gt;O57,O57&gt;0),MinPoints,IF(AND(L57&lt;N57,O57&gt;0),100,+INT((O57-$L57)/P57)+MinPoints))</f>
        <v>34</v>
      </c>
      <c r="N57" s="440">
        <f t="shared" si="7"/>
        <v>90</v>
      </c>
      <c r="O57" s="440">
        <f t="shared" si="8"/>
        <v>180</v>
      </c>
      <c r="P57" s="440">
        <f t="shared" si="9"/>
        <v>1</v>
      </c>
      <c r="Q57">
        <f t="array" ref="Q57">IF(I57&gt;0,INDEX(DB,I57,9),EventIndex)</f>
        <v>6</v>
      </c>
      <c r="S57">
        <f t="array" ref="S57">(INT(INDEX(MINVALUES,$Q57,$K$1))*60)+(MOD(INDEX(MINVALUES,$Q57,$K$1),1)*100)</f>
        <v>180</v>
      </c>
      <c r="T57">
        <f t="array" ref="T57">(INDEX(INCVALUES,$Q57,$K$1)*100)</f>
        <v>1</v>
      </c>
      <c r="V57">
        <f t="array" ref="V57">+J57+(4*(INDEX(MatchScoreTable,$Q57,20)-1))</f>
        <v>4</v>
      </c>
      <c r="W57">
        <f t="array" ref="W57">INDEX(INC_MINVALUES,$V57,$K$1)</f>
        <v>480</v>
      </c>
      <c r="X57" s="212">
        <f t="array" ref="X57">INDEX(INC_INCVALUES,$V57,$K$1)</f>
        <v>4</v>
      </c>
    </row>
    <row r="58" ht="15.75" customHeight="1">
      <c r="A58" s="435" t="s">
        <v>167</v>
      </c>
      <c r="B58" s="436">
        <v>3.03</v>
      </c>
      <c r="C58" s="95" t="str">
        <f t="array" ref="C58">IF(I58&gt;0,INDEX(DB,I58,8),"")</f>
        <v>Marvin Marshall</v>
      </c>
      <c r="D58" s="437">
        <f t="shared" si="1"/>
        <v>10</v>
      </c>
      <c r="F58" s="438">
        <f t="shared" si="2"/>
        <v>1</v>
      </c>
      <c r="G58" t="str">
        <f t="shared" si="3"/>
        <v>CHECK</v>
      </c>
      <c r="H58" t="b">
        <f t="shared" si="4"/>
        <v>1</v>
      </c>
      <c r="I58" s="439">
        <f>IF(OR(ISBLANK(A58),ISNA(MATCH(A58&amp;"",AthleteNumbers,0))),0,MATCH(A58&amp;"",AthleteNumbers,0))</f>
        <v>19</v>
      </c>
      <c r="J58" s="209" t="str">
        <f t="array" ref="J58">IF(I58&gt;0,INDEX(DB,$I58,6),0)</f>
        <v/>
      </c>
      <c r="K58" s="446">
        <f t="shared" si="5"/>
        <v>3.03</v>
      </c>
      <c r="L58" s="440">
        <f t="shared" si="6"/>
        <v>183</v>
      </c>
      <c r="M58" s="441">
        <f>IF(AND(L58&gt;O58,O58&gt;0),MinPoints,IF(AND(L58&lt;N58,O58&gt;0),100,+INT((O58-$L58)/P58)+MinPoints))</f>
        <v>10</v>
      </c>
      <c r="N58" s="440">
        <f t="shared" si="7"/>
        <v>90</v>
      </c>
      <c r="O58" s="440">
        <f t="shared" si="8"/>
        <v>180</v>
      </c>
      <c r="P58" s="440">
        <f t="shared" si="9"/>
        <v>1</v>
      </c>
      <c r="Q58">
        <f t="array" ref="Q58">IF(I58&gt;0,INDEX(DB,I58,9),EventIndex)</f>
        <v>6</v>
      </c>
      <c r="S58">
        <f t="array" ref="S58">(INT(INDEX(MINVALUES,$Q58,$K$1))*60)+(MOD(INDEX(MINVALUES,$Q58,$K$1),1)*100)</f>
        <v>180</v>
      </c>
      <c r="T58">
        <f t="array" ref="T58">(INDEX(INCVALUES,$Q58,$K$1)*100)</f>
        <v>1</v>
      </c>
      <c r="V58">
        <f t="array" ref="V58">+J58+(4*(INDEX(MatchScoreTable,$Q58,20)-1))</f>
        <v>4</v>
      </c>
      <c r="W58">
        <f t="array" ref="W58">INDEX(INC_MINVALUES,$V58,$K$1)</f>
        <v>480</v>
      </c>
      <c r="X58" s="212">
        <f t="array" ref="X58">INDEX(INC_INCVALUES,$V58,$K$1)</f>
        <v>4</v>
      </c>
    </row>
    <row r="59" ht="15.75" customHeight="1">
      <c r="A59" s="435" t="s">
        <v>140</v>
      </c>
      <c r="B59" s="436">
        <v>2.07</v>
      </c>
      <c r="C59" s="95" t="str">
        <f t="array" ref="C59">IF(I59&gt;0,INDEX(DB,I59,8),"")</f>
        <v>Ethan Crowley</v>
      </c>
      <c r="D59" s="437">
        <f t="shared" si="1"/>
        <v>63</v>
      </c>
      <c r="F59" s="438">
        <f t="shared" si="2"/>
        <v>1</v>
      </c>
      <c r="G59" t="str">
        <f t="shared" si="3"/>
        <v/>
      </c>
      <c r="H59" t="b">
        <f t="shared" si="4"/>
        <v>1</v>
      </c>
      <c r="I59" s="439">
        <f>IF(OR(ISBLANK(A59),ISNA(MATCH(A59&amp;"",AthleteNumbers,0))),0,MATCH(A59&amp;"",AthleteNumbers,0))</f>
        <v>7</v>
      </c>
      <c r="J59" s="209" t="str">
        <f t="array" ref="J59">IF(I59&gt;0,INDEX(DB,$I59,6),0)</f>
        <v/>
      </c>
      <c r="K59" s="446">
        <f t="shared" si="5"/>
        <v>2.07</v>
      </c>
      <c r="L59" s="440">
        <f t="shared" si="6"/>
        <v>127</v>
      </c>
      <c r="M59" s="441">
        <f>IF(AND(L59&gt;O59,O59&gt;0),MinPoints,IF(AND(L59&lt;N59,O59&gt;0),100,+INT((O59-$L59)/P59)+MinPoints))</f>
        <v>63</v>
      </c>
      <c r="N59" s="440">
        <f t="shared" si="7"/>
        <v>90</v>
      </c>
      <c r="O59" s="440">
        <f t="shared" si="8"/>
        <v>180</v>
      </c>
      <c r="P59" s="440">
        <f t="shared" si="9"/>
        <v>1</v>
      </c>
      <c r="Q59">
        <f t="array" ref="Q59">IF(I59&gt;0,INDEX(DB,I59,9),EventIndex)</f>
        <v>6</v>
      </c>
      <c r="S59">
        <f t="array" ref="S59">(INT(INDEX(MINVALUES,$Q59,$K$1))*60)+(MOD(INDEX(MINVALUES,$Q59,$K$1),1)*100)</f>
        <v>180</v>
      </c>
      <c r="T59">
        <f t="array" ref="T59">(INDEX(INCVALUES,$Q59,$K$1)*100)</f>
        <v>1</v>
      </c>
      <c r="V59">
        <f t="array" ref="V59">+J59+(4*(INDEX(MatchScoreTable,$Q59,20)-1))</f>
        <v>4</v>
      </c>
      <c r="W59">
        <f t="array" ref="W59">INDEX(INC_MINVALUES,$V59,$K$1)</f>
        <v>480</v>
      </c>
      <c r="X59" s="212">
        <f t="array" ref="X59">INDEX(INC_INCVALUES,$V59,$K$1)</f>
        <v>4</v>
      </c>
    </row>
    <row r="60" ht="15.75" customHeight="1">
      <c r="A60" s="435" t="s">
        <v>146</v>
      </c>
      <c r="B60" s="436">
        <v>2.13</v>
      </c>
      <c r="C60" s="95" t="str">
        <f t="array" ref="C60">IF(I60&gt;0,INDEX(DB,I60,8),"")</f>
        <v>Ethan Dolman</v>
      </c>
      <c r="D60" s="437">
        <f t="shared" si="1"/>
        <v>57</v>
      </c>
      <c r="F60" s="438">
        <f t="shared" si="2"/>
        <v>1</v>
      </c>
      <c r="G60" t="str">
        <f t="shared" si="3"/>
        <v/>
      </c>
      <c r="H60" t="b">
        <f t="shared" si="4"/>
        <v>1</v>
      </c>
      <c r="I60" s="439">
        <f>IF(OR(ISBLANK(A60),ISNA(MATCH(A60&amp;"",AthleteNumbers,0))),0,MATCH(A60&amp;"",AthleteNumbers,0))</f>
        <v>10</v>
      </c>
      <c r="J60" s="209" t="str">
        <f t="array" ref="J60">IF(I60&gt;0,INDEX(DB,$I60,6),0)</f>
        <v/>
      </c>
      <c r="K60" s="446">
        <f t="shared" si="5"/>
        <v>2.13</v>
      </c>
      <c r="L60" s="440">
        <f t="shared" si="6"/>
        <v>133</v>
      </c>
      <c r="M60" s="441">
        <f>IF(AND(L60&gt;O60,O60&gt;0),MinPoints,IF(AND(L60&lt;N60,O60&gt;0),100,+INT((O60-$L60)/P60)+MinPoints))</f>
        <v>57</v>
      </c>
      <c r="N60" s="440">
        <f t="shared" si="7"/>
        <v>90</v>
      </c>
      <c r="O60" s="440">
        <f t="shared" si="8"/>
        <v>180</v>
      </c>
      <c r="P60" s="440">
        <f t="shared" si="9"/>
        <v>1</v>
      </c>
      <c r="Q60">
        <f t="array" ref="Q60">IF(I60&gt;0,INDEX(DB,I60,9),EventIndex)</f>
        <v>6</v>
      </c>
      <c r="S60">
        <f t="array" ref="S60">(INT(INDEX(MINVALUES,$Q60,$K$1))*60)+(MOD(INDEX(MINVALUES,$Q60,$K$1),1)*100)</f>
        <v>180</v>
      </c>
      <c r="T60">
        <f t="array" ref="T60">(INDEX(INCVALUES,$Q60,$K$1)*100)</f>
        <v>1</v>
      </c>
      <c r="V60">
        <f t="array" ref="V60">+J60+(4*(INDEX(MatchScoreTable,$Q60,20)-1))</f>
        <v>4</v>
      </c>
      <c r="W60">
        <f t="array" ref="W60">INDEX(INC_MINVALUES,$V60,$K$1)</f>
        <v>480</v>
      </c>
      <c r="X60" s="212">
        <f t="array" ref="X60">INDEX(INC_INCVALUES,$V60,$K$1)</f>
        <v>4</v>
      </c>
    </row>
    <row r="61" ht="15.75" customHeight="1">
      <c r="A61" s="435" t="s">
        <v>134</v>
      </c>
      <c r="B61" s="436">
        <v>2.15</v>
      </c>
      <c r="C61" s="95" t="str">
        <f t="array" ref="C61">IF(I61&gt;0,INDEX(DB,I61,8),"")</f>
        <v>Finlay Carvell</v>
      </c>
      <c r="D61" s="437">
        <f t="shared" si="1"/>
        <v>55</v>
      </c>
      <c r="F61" s="438">
        <f t="shared" si="2"/>
        <v>1</v>
      </c>
      <c r="G61" t="str">
        <f t="shared" si="3"/>
        <v/>
      </c>
      <c r="H61" t="b">
        <f t="shared" si="4"/>
        <v>1</v>
      </c>
      <c r="I61" s="439">
        <f>IF(OR(ISBLANK(A61),ISNA(MATCH(A61&amp;"",AthleteNumbers,0))),0,MATCH(A61&amp;"",AthleteNumbers,0))</f>
        <v>5</v>
      </c>
      <c r="J61" s="209" t="str">
        <f t="array" ref="J61">IF(I61&gt;0,INDEX(DB,$I61,6),0)</f>
        <v/>
      </c>
      <c r="K61" s="446">
        <f t="shared" si="5"/>
        <v>2.15</v>
      </c>
      <c r="L61" s="440">
        <f t="shared" si="6"/>
        <v>135</v>
      </c>
      <c r="M61" s="441">
        <f>IF(AND(L61&gt;O61,O61&gt;0),MinPoints,IF(AND(L61&lt;N61,O61&gt;0),100,+INT((O61-$L61)/P61)+MinPoints))</f>
        <v>55</v>
      </c>
      <c r="N61" s="440">
        <f t="shared" si="7"/>
        <v>90</v>
      </c>
      <c r="O61" s="440">
        <f t="shared" si="8"/>
        <v>180</v>
      </c>
      <c r="P61" s="440">
        <f t="shared" si="9"/>
        <v>1</v>
      </c>
      <c r="Q61">
        <f t="array" ref="Q61">IF(I61&gt;0,INDEX(DB,I61,9),EventIndex)</f>
        <v>6</v>
      </c>
      <c r="S61">
        <f t="array" ref="S61">(INT(INDEX(MINVALUES,$Q61,$K$1))*60)+(MOD(INDEX(MINVALUES,$Q61,$K$1),1)*100)</f>
        <v>180</v>
      </c>
      <c r="T61">
        <f t="array" ref="T61">(INDEX(INCVALUES,$Q61,$K$1)*100)</f>
        <v>1</v>
      </c>
      <c r="V61">
        <f t="array" ref="V61">+J61+(4*(INDEX(MatchScoreTable,$Q61,20)-1))</f>
        <v>4</v>
      </c>
      <c r="W61">
        <f t="array" ref="W61">INDEX(INC_MINVALUES,$V61,$K$1)</f>
        <v>480</v>
      </c>
      <c r="X61" s="212">
        <f t="array" ref="X61">INDEX(INC_INCVALUES,$V61,$K$1)</f>
        <v>4</v>
      </c>
    </row>
    <row r="62" ht="15.75" customHeight="1">
      <c r="A62" s="435" t="s">
        <v>121</v>
      </c>
      <c r="B62" s="436">
        <v>2.16</v>
      </c>
      <c r="C62" s="95" t="str">
        <f t="array" ref="C62">IF(I62&gt;0,INDEX(DB,I62,8),"")</f>
        <v>Harry Adams</v>
      </c>
      <c r="D62" s="437">
        <f t="shared" si="1"/>
        <v>54</v>
      </c>
      <c r="F62" s="438">
        <f t="shared" si="2"/>
        <v>1</v>
      </c>
      <c r="G62" t="str">
        <f t="shared" si="3"/>
        <v/>
      </c>
      <c r="H62" t="b">
        <f t="shared" si="4"/>
        <v>1</v>
      </c>
      <c r="I62" s="439">
        <f>IF(OR(ISBLANK(A62),ISNA(MATCH(A62&amp;"",AthleteNumbers,0))),0,MATCH(A62&amp;"",AthleteNumbers,0))</f>
        <v>1</v>
      </c>
      <c r="J62" s="209" t="str">
        <f t="array" ref="J62">IF(I62&gt;0,INDEX(DB,$I62,6),0)</f>
        <v/>
      </c>
      <c r="K62" s="446">
        <f t="shared" si="5"/>
        <v>2.16</v>
      </c>
      <c r="L62" s="440">
        <f t="shared" si="6"/>
        <v>136</v>
      </c>
      <c r="M62" s="441">
        <f>IF(AND(L62&gt;O62,O62&gt;0),MinPoints,IF(AND(L62&lt;N62,O62&gt;0),100,+INT((O62-$L62)/P62)+MinPoints))</f>
        <v>54</v>
      </c>
      <c r="N62" s="440">
        <f t="shared" si="7"/>
        <v>90</v>
      </c>
      <c r="O62" s="440">
        <f t="shared" si="8"/>
        <v>180</v>
      </c>
      <c r="P62" s="440">
        <f t="shared" si="9"/>
        <v>1</v>
      </c>
      <c r="Q62">
        <f t="array" ref="Q62">IF(I62&gt;0,INDEX(DB,I62,9),EventIndex)</f>
        <v>6</v>
      </c>
      <c r="S62">
        <f t="array" ref="S62">(INT(INDEX(MINVALUES,$Q62,$K$1))*60)+(MOD(INDEX(MINVALUES,$Q62,$K$1),1)*100)</f>
        <v>180</v>
      </c>
      <c r="T62">
        <f t="array" ref="T62">(INDEX(INCVALUES,$Q62,$K$1)*100)</f>
        <v>1</v>
      </c>
      <c r="V62">
        <f t="array" ref="V62">+J62+(4*(INDEX(MatchScoreTable,$Q62,20)-1))</f>
        <v>4</v>
      </c>
      <c r="W62">
        <f t="array" ref="W62">INDEX(INC_MINVALUES,$V62,$K$1)</f>
        <v>480</v>
      </c>
      <c r="X62" s="212">
        <f t="array" ref="X62">INDEX(INC_INCVALUES,$V62,$K$1)</f>
        <v>4</v>
      </c>
    </row>
    <row r="63" ht="15.75" customHeight="1">
      <c r="A63" s="435" t="s">
        <v>142</v>
      </c>
      <c r="B63" s="436">
        <v>2.17</v>
      </c>
      <c r="C63" s="95" t="str">
        <f t="array" ref="C63">IF(I63&gt;0,INDEX(DB,I63,8),"")</f>
        <v>Alfie Curtis</v>
      </c>
      <c r="D63" s="437">
        <f t="shared" si="1"/>
        <v>53</v>
      </c>
      <c r="F63" s="438">
        <f t="shared" si="2"/>
        <v>1</v>
      </c>
      <c r="G63" t="str">
        <f t="shared" si="3"/>
        <v/>
      </c>
      <c r="H63" t="b">
        <f t="shared" si="4"/>
        <v>1</v>
      </c>
      <c r="I63" s="439">
        <f>IF(OR(ISBLANK(A63),ISNA(MATCH(A63&amp;"",AthleteNumbers,0))),0,MATCH(A63&amp;"",AthleteNumbers,0))</f>
        <v>8</v>
      </c>
      <c r="J63" s="209" t="str">
        <f t="array" ref="J63">IF(I63&gt;0,INDEX(DB,$I63,6),0)</f>
        <v/>
      </c>
      <c r="K63" s="446">
        <f t="shared" si="5"/>
        <v>2.17</v>
      </c>
      <c r="L63" s="440">
        <f t="shared" si="6"/>
        <v>137</v>
      </c>
      <c r="M63" s="441">
        <f>IF(AND(L63&gt;O63,O63&gt;0),MinPoints,IF(AND(L63&lt;N63,O63&gt;0),100,+INT((O63-$L63)/P63)+MinPoints))</f>
        <v>53</v>
      </c>
      <c r="N63" s="440">
        <f t="shared" si="7"/>
        <v>90</v>
      </c>
      <c r="O63" s="440">
        <f t="shared" si="8"/>
        <v>180</v>
      </c>
      <c r="P63" s="440">
        <f t="shared" si="9"/>
        <v>1</v>
      </c>
      <c r="Q63">
        <f t="array" ref="Q63">IF(I63&gt;0,INDEX(DB,I63,9),EventIndex)</f>
        <v>6</v>
      </c>
      <c r="S63">
        <f t="array" ref="S63">(INT(INDEX(MINVALUES,$Q63,$K$1))*60)+(MOD(INDEX(MINVALUES,$Q63,$K$1),1)*100)</f>
        <v>180</v>
      </c>
      <c r="T63">
        <f t="array" ref="T63">(INDEX(INCVALUES,$Q63,$K$1)*100)</f>
        <v>1</v>
      </c>
      <c r="V63">
        <f t="array" ref="V63">+J63+(4*(INDEX(MatchScoreTable,$Q63,20)-1))</f>
        <v>4</v>
      </c>
      <c r="W63">
        <f t="array" ref="W63">INDEX(INC_MINVALUES,$V63,$K$1)</f>
        <v>480</v>
      </c>
      <c r="X63" s="212">
        <f t="array" ref="X63">INDEX(INC_INCVALUES,$V63,$K$1)</f>
        <v>4</v>
      </c>
    </row>
    <row r="64" ht="15.75" customHeight="1">
      <c r="A64" s="435" t="s">
        <v>151</v>
      </c>
      <c r="B64" s="436">
        <v>2.18</v>
      </c>
      <c r="C64" s="95" t="str">
        <f t="array" ref="C64">IF(I64&gt;0,INDEX(DB,I64,8),"")</f>
        <v>Jude Fisher</v>
      </c>
      <c r="D64" s="437">
        <f t="shared" si="1"/>
        <v>52</v>
      </c>
      <c r="F64" s="438">
        <f t="shared" si="2"/>
        <v>1</v>
      </c>
      <c r="G64" t="str">
        <f t="shared" si="3"/>
        <v/>
      </c>
      <c r="H64" t="b">
        <f t="shared" si="4"/>
        <v>1</v>
      </c>
      <c r="I64" s="439">
        <f>IF(OR(ISBLANK(A64),ISNA(MATCH(A64&amp;"",AthleteNumbers,0))),0,MATCH(A64&amp;"",AthleteNumbers,0))</f>
        <v>12</v>
      </c>
      <c r="J64" s="209" t="str">
        <f t="array" ref="J64">IF(I64&gt;0,INDEX(DB,$I64,6),0)</f>
        <v/>
      </c>
      <c r="K64" s="446">
        <f t="shared" si="5"/>
        <v>2.18</v>
      </c>
      <c r="L64" s="440">
        <f t="shared" si="6"/>
        <v>138</v>
      </c>
      <c r="M64" s="441">
        <f>IF(AND(L64&gt;O64,O64&gt;0),MinPoints,IF(AND(L64&lt;N64,O64&gt;0),100,+INT((O64-$L64)/P64)+MinPoints))</f>
        <v>52</v>
      </c>
      <c r="N64" s="440">
        <f t="shared" si="7"/>
        <v>90</v>
      </c>
      <c r="O64" s="440">
        <f t="shared" si="8"/>
        <v>180</v>
      </c>
      <c r="P64" s="440">
        <f t="shared" si="9"/>
        <v>1</v>
      </c>
      <c r="Q64">
        <f t="array" ref="Q64">IF(I64&gt;0,INDEX(DB,I64,9),EventIndex)</f>
        <v>6</v>
      </c>
      <c r="S64">
        <f t="array" ref="S64">(INT(INDEX(MINVALUES,$Q64,$K$1))*60)+(MOD(INDEX(MINVALUES,$Q64,$K$1),1)*100)</f>
        <v>180</v>
      </c>
      <c r="T64">
        <f t="array" ref="T64">(INDEX(INCVALUES,$Q64,$K$1)*100)</f>
        <v>1</v>
      </c>
      <c r="V64">
        <f t="array" ref="V64">+J64+(4*(INDEX(MatchScoreTable,$Q64,20)-1))</f>
        <v>4</v>
      </c>
      <c r="W64">
        <f t="array" ref="W64">INDEX(INC_MINVALUES,$V64,$K$1)</f>
        <v>480</v>
      </c>
      <c r="X64" s="212">
        <f t="array" ref="X64">INDEX(INC_INCVALUES,$V64,$K$1)</f>
        <v>4</v>
      </c>
    </row>
    <row r="65" ht="15.75" customHeight="1">
      <c r="A65" s="435" t="s">
        <v>125</v>
      </c>
      <c r="B65" s="436">
        <v>2.22</v>
      </c>
      <c r="C65" s="95" t="str">
        <f t="array" ref="C65">IF(I65&gt;0,INDEX(DB,I65,8),"")</f>
        <v>Connor Bailey-Pierce</v>
      </c>
      <c r="D65" s="437">
        <f t="shared" si="1"/>
        <v>48</v>
      </c>
      <c r="F65" s="438">
        <f t="shared" si="2"/>
        <v>1</v>
      </c>
      <c r="G65" t="str">
        <f t="shared" si="3"/>
        <v/>
      </c>
      <c r="H65" t="b">
        <f t="shared" si="4"/>
        <v>1</v>
      </c>
      <c r="I65" s="439">
        <f>IF(OR(ISBLANK(A65),ISNA(MATCH(A65&amp;"",AthleteNumbers,0))),0,MATCH(A65&amp;"",AthleteNumbers,0))</f>
        <v>2</v>
      </c>
      <c r="J65" s="209" t="str">
        <f t="array" ref="J65">IF(I65&gt;0,INDEX(DB,$I65,6),0)</f>
        <v/>
      </c>
      <c r="K65" s="446">
        <f t="shared" si="5"/>
        <v>2.22</v>
      </c>
      <c r="L65" s="440">
        <f t="shared" si="6"/>
        <v>142</v>
      </c>
      <c r="M65" s="441">
        <f>IF(AND(L65&gt;O65,O65&gt;0),MinPoints,IF(AND(L65&lt;N65,O65&gt;0),100,+INT((O65-$L65)/P65)+MinPoints))</f>
        <v>48</v>
      </c>
      <c r="N65" s="440">
        <f t="shared" si="7"/>
        <v>90</v>
      </c>
      <c r="O65" s="440">
        <f t="shared" si="8"/>
        <v>180</v>
      </c>
      <c r="P65" s="440">
        <f t="shared" si="9"/>
        <v>1</v>
      </c>
      <c r="Q65">
        <f t="array" ref="Q65">IF(I65&gt;0,INDEX(DB,I65,9),EventIndex)</f>
        <v>6</v>
      </c>
      <c r="S65">
        <f t="array" ref="S65">(INT(INDEX(MINVALUES,$Q65,$K$1))*60)+(MOD(INDEX(MINVALUES,$Q65,$K$1),1)*100)</f>
        <v>180</v>
      </c>
      <c r="T65">
        <f t="array" ref="T65">(INDEX(INCVALUES,$Q65,$K$1)*100)</f>
        <v>1</v>
      </c>
      <c r="V65">
        <f t="array" ref="V65">+J65+(4*(INDEX(MatchScoreTable,$Q65,20)-1))</f>
        <v>4</v>
      </c>
      <c r="W65">
        <f t="array" ref="W65">INDEX(INC_MINVALUES,$V65,$K$1)</f>
        <v>480</v>
      </c>
      <c r="X65" s="212">
        <f t="array" ref="X65">INDEX(INC_INCVALUES,$V65,$K$1)</f>
        <v>4</v>
      </c>
    </row>
    <row r="66" ht="15.75" customHeight="1">
      <c r="A66" s="435" t="s">
        <v>158</v>
      </c>
      <c r="B66" s="436">
        <v>2.23</v>
      </c>
      <c r="C66" s="95" t="str">
        <f t="array" ref="C66">IF(I66&gt;0,INDEX(DB,I66,8),"")</f>
        <v>Jake Goddard</v>
      </c>
      <c r="D66" s="437">
        <f t="shared" si="1"/>
        <v>47</v>
      </c>
      <c r="F66" s="438">
        <f t="shared" si="2"/>
        <v>1</v>
      </c>
      <c r="G66" t="str">
        <f t="shared" si="3"/>
        <v/>
      </c>
      <c r="H66" t="b">
        <f t="shared" si="4"/>
        <v>1</v>
      </c>
      <c r="I66" s="439">
        <f>IF(OR(ISBLANK(A66),ISNA(MATCH(A66&amp;"",AthleteNumbers,0))),0,MATCH(A66&amp;"",AthleteNumbers,0))</f>
        <v>15</v>
      </c>
      <c r="J66" s="209" t="str">
        <f t="array" ref="J66">IF(I66&gt;0,INDEX(DB,$I66,6),0)</f>
        <v/>
      </c>
      <c r="K66" s="446">
        <f t="shared" si="5"/>
        <v>2.23</v>
      </c>
      <c r="L66" s="440">
        <f t="shared" si="6"/>
        <v>143</v>
      </c>
      <c r="M66" s="441">
        <f>IF(AND(L66&gt;O66,O66&gt;0),MinPoints,IF(AND(L66&lt;N66,O66&gt;0),100,+INT((O66-$L66)/P66)+MinPoints))</f>
        <v>47</v>
      </c>
      <c r="N66" s="440">
        <f t="shared" si="7"/>
        <v>90</v>
      </c>
      <c r="O66" s="440">
        <f t="shared" si="8"/>
        <v>180</v>
      </c>
      <c r="P66" s="440">
        <f t="shared" si="9"/>
        <v>1</v>
      </c>
      <c r="Q66">
        <f t="array" ref="Q66">IF(I66&gt;0,INDEX(DB,I66,9),EventIndex)</f>
        <v>6</v>
      </c>
      <c r="S66">
        <f t="array" ref="S66">(INT(INDEX(MINVALUES,$Q66,$K$1))*60)+(MOD(INDEX(MINVALUES,$Q66,$K$1),1)*100)</f>
        <v>180</v>
      </c>
      <c r="T66">
        <f t="array" ref="T66">(INDEX(INCVALUES,$Q66,$K$1)*100)</f>
        <v>1</v>
      </c>
      <c r="V66">
        <f t="array" ref="V66">+J66+(4*(INDEX(MatchScoreTable,$Q66,20)-1))</f>
        <v>4</v>
      </c>
      <c r="W66">
        <f t="array" ref="W66">INDEX(INC_MINVALUES,$V66,$K$1)</f>
        <v>480</v>
      </c>
      <c r="X66" s="212">
        <f t="array" ref="X66">INDEX(INC_INCVALUES,$V66,$K$1)</f>
        <v>4</v>
      </c>
    </row>
    <row r="67" ht="15.75" customHeight="1">
      <c r="A67" s="435" t="s">
        <v>155</v>
      </c>
      <c r="B67" s="436">
        <v>2.37</v>
      </c>
      <c r="C67" s="95" t="str">
        <f t="array" ref="C67">IF(I67&gt;0,INDEX(DB,I67,8),"")</f>
        <v>Tom Fry</v>
      </c>
      <c r="D67" s="437">
        <f t="shared" si="1"/>
        <v>33</v>
      </c>
      <c r="F67" s="438">
        <f t="shared" si="2"/>
        <v>1</v>
      </c>
      <c r="G67" t="str">
        <f t="shared" si="3"/>
        <v/>
      </c>
      <c r="H67" t="b">
        <f t="shared" si="4"/>
        <v>1</v>
      </c>
      <c r="I67" s="439">
        <f>IF(OR(ISBLANK(A67),ISNA(MATCH(A67&amp;"",AthleteNumbers,0))),0,MATCH(A67&amp;"",AthleteNumbers,0))</f>
        <v>14</v>
      </c>
      <c r="J67" s="209" t="str">
        <f t="array" ref="J67">IF(I67&gt;0,INDEX(DB,$I67,6),0)</f>
        <v/>
      </c>
      <c r="K67" s="446">
        <f t="shared" si="5"/>
        <v>2.37</v>
      </c>
      <c r="L67" s="440">
        <f t="shared" si="6"/>
        <v>157</v>
      </c>
      <c r="M67" s="441">
        <f>IF(AND(L67&gt;O67,O67&gt;0),MinPoints,IF(AND(L67&lt;N67,O67&gt;0),100,+INT((O67-$L67)/P67)+MinPoints))</f>
        <v>33</v>
      </c>
      <c r="N67" s="440">
        <f t="shared" si="7"/>
        <v>90</v>
      </c>
      <c r="O67" s="440">
        <f t="shared" si="8"/>
        <v>180</v>
      </c>
      <c r="P67" s="440">
        <f t="shared" si="9"/>
        <v>1</v>
      </c>
      <c r="Q67">
        <f t="array" ref="Q67">IF(I67&gt;0,INDEX(DB,I67,9),EventIndex)</f>
        <v>6</v>
      </c>
      <c r="S67">
        <f t="array" ref="S67">(INT(INDEX(MINVALUES,$Q67,$K$1))*60)+(MOD(INDEX(MINVALUES,$Q67,$K$1),1)*100)</f>
        <v>180</v>
      </c>
      <c r="T67">
        <f t="array" ref="T67">(INDEX(INCVALUES,$Q67,$K$1)*100)</f>
        <v>1</v>
      </c>
      <c r="V67">
        <f t="array" ref="V67">+J67+(4*(INDEX(MatchScoreTable,$Q67,20)-1))</f>
        <v>4</v>
      </c>
      <c r="W67">
        <f t="array" ref="W67">INDEX(INC_MINVALUES,$V67,$K$1)</f>
        <v>480</v>
      </c>
      <c r="X67" s="212">
        <f t="array" ref="X67">INDEX(INC_INCVALUES,$V67,$K$1)</f>
        <v>4</v>
      </c>
    </row>
    <row r="68" ht="15.75" customHeight="1">
      <c r="A68" s="435" t="s">
        <v>178</v>
      </c>
      <c r="B68" s="436">
        <v>2.5</v>
      </c>
      <c r="C68" s="95" t="str">
        <f t="array" ref="C68">IF(I68&gt;0,INDEX(DB,I68,8),"")</f>
        <v>Elijah Robbins</v>
      </c>
      <c r="D68" s="437">
        <f t="shared" si="1"/>
        <v>20</v>
      </c>
      <c r="F68" s="438">
        <f t="shared" si="2"/>
        <v>1</v>
      </c>
      <c r="G68" t="str">
        <f t="shared" si="3"/>
        <v/>
      </c>
      <c r="H68" t="b">
        <f t="shared" si="4"/>
        <v>1</v>
      </c>
      <c r="I68" s="439">
        <f>IF(OR(ISBLANK(A68),ISNA(MATCH(A68&amp;"",AthleteNumbers,0))),0,MATCH(A68&amp;"",AthleteNumbers,0))</f>
        <v>24</v>
      </c>
      <c r="J68" s="209" t="str">
        <f t="array" ref="J68">IF(I68&gt;0,INDEX(DB,$I68,6),0)</f>
        <v/>
      </c>
      <c r="K68" s="446">
        <f t="shared" si="5"/>
        <v>2.5</v>
      </c>
      <c r="L68" s="440">
        <f t="shared" si="6"/>
        <v>170</v>
      </c>
      <c r="M68" s="441">
        <f>IF(AND(L68&gt;O68,O68&gt;0),MinPoints,IF(AND(L68&lt;N68,O68&gt;0),100,+INT((O68-$L68)/P68)+MinPoints))</f>
        <v>20</v>
      </c>
      <c r="N68" s="440">
        <f t="shared" si="7"/>
        <v>90</v>
      </c>
      <c r="O68" s="440">
        <f t="shared" si="8"/>
        <v>180</v>
      </c>
      <c r="P68" s="440">
        <f t="shared" si="9"/>
        <v>1</v>
      </c>
      <c r="Q68">
        <f t="array" ref="Q68">IF(I68&gt;0,INDEX(DB,I68,9),EventIndex)</f>
        <v>6</v>
      </c>
      <c r="S68">
        <f t="array" ref="S68">(INT(INDEX(MINVALUES,$Q68,$K$1))*60)+(MOD(INDEX(MINVALUES,$Q68,$K$1),1)*100)</f>
        <v>180</v>
      </c>
      <c r="T68">
        <f t="array" ref="T68">(INDEX(INCVALUES,$Q68,$K$1)*100)</f>
        <v>1</v>
      </c>
      <c r="V68">
        <f t="array" ref="V68">+J68+(4*(INDEX(MatchScoreTable,$Q68,20)-1))</f>
        <v>4</v>
      </c>
      <c r="W68">
        <f t="array" ref="W68">INDEX(INC_MINVALUES,$V68,$K$1)</f>
        <v>480</v>
      </c>
      <c r="X68" s="212">
        <f t="array" ref="X68">INDEX(INC_INCVALUES,$V68,$K$1)</f>
        <v>4</v>
      </c>
    </row>
    <row r="69" ht="15.75" customHeight="1">
      <c r="A69" s="435"/>
      <c r="B69" s="436"/>
      <c r="C69" s="95" t="str">
        <f t="array" ref="C69">IF(I69&gt;0,INDEX(DB,I69,8),"")</f>
        <v/>
      </c>
      <c r="D69" s="437">
        <f t="shared" si="1"/>
        <v>0</v>
      </c>
      <c r="F69" s="438">
        <f t="shared" si="2"/>
        <v>0</v>
      </c>
      <c r="G69" t="str">
        <f t="shared" si="3"/>
        <v/>
      </c>
      <c r="H69" t="b">
        <f t="shared" si="4"/>
        <v>0</v>
      </c>
      <c r="I69" s="439">
        <f>IF(OR(ISBLANK(A69),ISNA(MATCH(A69&amp;"",AthleteNumbers,0))),0,MATCH(A69&amp;"",AthleteNumbers,0))</f>
        <v>0</v>
      </c>
      <c r="J69" s="209">
        <f t="array" ref="J69">IF(I69&gt;0,INDEX(DB,$I69,6),0)</f>
        <v>0</v>
      </c>
      <c r="K69" s="446">
        <f t="shared" si="5"/>
        <v>0</v>
      </c>
      <c r="L69" s="440">
        <f t="shared" si="6"/>
        <v>0</v>
      </c>
      <c r="M69" s="441">
        <f>IF(AND(L69&gt;O69,O69&gt;0),MinPoints,IF(AND(L69&lt;N69,O69&gt;0),100,+INT((O69-$L69)/P69)+MinPoints))</f>
        <v>100</v>
      </c>
      <c r="N69" s="440">
        <f t="shared" si="7"/>
        <v>90</v>
      </c>
      <c r="O69" s="440">
        <f t="shared" si="8"/>
        <v>180</v>
      </c>
      <c r="P69" s="440">
        <f t="shared" si="9"/>
        <v>1</v>
      </c>
      <c r="Q69">
        <f t="array" ref="Q69">IF(I69&gt;0,INDEX(DB,I69,9),EventIndex)</f>
        <v>6</v>
      </c>
      <c r="S69">
        <f t="array" ref="S69">(INT(INDEX(MINVALUES,$Q69,$K$1))*60)+(MOD(INDEX(MINVALUES,$Q69,$K$1),1)*100)</f>
        <v>180</v>
      </c>
      <c r="T69">
        <f t="array" ref="T69">(INDEX(INCVALUES,$Q69,$K$1)*100)</f>
        <v>1</v>
      </c>
      <c r="V69">
        <f t="array" ref="V69">+J69+(4*(INDEX(MatchScoreTable,$Q69,20)-1))</f>
        <v>4</v>
      </c>
      <c r="W69">
        <f t="array" ref="W69">INDEX(INC_MINVALUES,$V69,$K$1)</f>
        <v>480</v>
      </c>
      <c r="X69" s="212">
        <f t="array" ref="X69">INDEX(INC_INCVALUES,$V69,$K$1)</f>
        <v>4</v>
      </c>
    </row>
    <row r="70" ht="15.75" customHeight="1">
      <c r="A70" s="435"/>
      <c r="B70" s="436"/>
      <c r="C70" s="95" t="str">
        <f t="array" ref="C70">IF(I70&gt;0,INDEX(DB,I70,8),"")</f>
        <v/>
      </c>
      <c r="D70" s="437">
        <f t="shared" si="1"/>
        <v>0</v>
      </c>
      <c r="F70" s="438">
        <f t="shared" si="2"/>
        <v>0</v>
      </c>
      <c r="G70" t="str">
        <f t="shared" si="3"/>
        <v/>
      </c>
      <c r="H70" t="b">
        <f t="shared" si="4"/>
        <v>0</v>
      </c>
      <c r="I70" s="439">
        <f>IF(OR(ISBLANK(A70),ISNA(MATCH(A70&amp;"",AthleteNumbers,0))),0,MATCH(A70&amp;"",AthleteNumbers,0))</f>
        <v>0</v>
      </c>
      <c r="J70" s="209">
        <f t="array" ref="J70">IF(I70&gt;0,INDEX(DB,$I70,6),0)</f>
        <v>0</v>
      </c>
      <c r="K70" s="446">
        <f t="shared" si="5"/>
        <v>0</v>
      </c>
      <c r="L70" s="440">
        <f t="shared" si="6"/>
        <v>0</v>
      </c>
      <c r="M70" s="441">
        <f>IF(AND(L70&gt;O70,O70&gt;0),MinPoints,IF(AND(L70&lt;N70,O70&gt;0),100,+INT((O70-$L70)/P70)+MinPoints))</f>
        <v>100</v>
      </c>
      <c r="N70" s="440">
        <f t="shared" si="7"/>
        <v>90</v>
      </c>
      <c r="O70" s="440">
        <f t="shared" si="8"/>
        <v>180</v>
      </c>
      <c r="P70" s="440">
        <f t="shared" si="9"/>
        <v>1</v>
      </c>
      <c r="Q70">
        <f t="array" ref="Q70">IF(I70&gt;0,INDEX(DB,I70,9),EventIndex)</f>
        <v>6</v>
      </c>
      <c r="S70">
        <f t="array" ref="S70">(INT(INDEX(MINVALUES,$Q70,$K$1))*60)+(MOD(INDEX(MINVALUES,$Q70,$K$1),1)*100)</f>
        <v>180</v>
      </c>
      <c r="T70">
        <f t="array" ref="T70">(INDEX(INCVALUES,$Q70,$K$1)*100)</f>
        <v>1</v>
      </c>
      <c r="V70">
        <f t="array" ref="V70">+J70+(4*(INDEX(MatchScoreTable,$Q70,20)-1))</f>
        <v>4</v>
      </c>
      <c r="W70">
        <f t="array" ref="W70">INDEX(INC_MINVALUES,$V70,$K$1)</f>
        <v>480</v>
      </c>
      <c r="X70" s="212">
        <f t="array" ref="X70">INDEX(INC_INCVALUES,$V70,$K$1)</f>
        <v>4</v>
      </c>
    </row>
    <row r="71" ht="15.75" customHeight="1">
      <c r="A71" s="435"/>
      <c r="B71" s="436"/>
      <c r="C71" s="95" t="str">
        <f t="array" ref="C71">IF(I71&gt;0,INDEX(DB,I71,8),"")</f>
        <v/>
      </c>
      <c r="D71" s="437">
        <f t="shared" si="1"/>
        <v>0</v>
      </c>
      <c r="F71" s="438">
        <f t="shared" si="2"/>
        <v>0</v>
      </c>
      <c r="G71" t="str">
        <f t="shared" si="3"/>
        <v/>
      </c>
      <c r="H71" t="b">
        <f t="shared" si="4"/>
        <v>0</v>
      </c>
      <c r="I71" s="439">
        <f>IF(OR(ISBLANK(A71),ISNA(MATCH(A71&amp;"",AthleteNumbers,0))),0,MATCH(A71&amp;"",AthleteNumbers,0))</f>
        <v>0</v>
      </c>
      <c r="J71" s="209">
        <f t="array" ref="J71">IF(I71&gt;0,INDEX(DB,$I71,6),0)</f>
        <v>0</v>
      </c>
      <c r="K71" s="446">
        <f t="shared" si="5"/>
        <v>0</v>
      </c>
      <c r="L71" s="440">
        <f t="shared" si="6"/>
        <v>0</v>
      </c>
      <c r="M71" s="441">
        <f>IF(AND(L71&gt;O71,O71&gt;0),MinPoints,IF(AND(L71&lt;N71,O71&gt;0),100,+INT((O71-$L71)/P71)+MinPoints))</f>
        <v>100</v>
      </c>
      <c r="N71" s="440">
        <f t="shared" si="7"/>
        <v>90</v>
      </c>
      <c r="O71" s="440">
        <f t="shared" si="8"/>
        <v>180</v>
      </c>
      <c r="P71" s="440">
        <f t="shared" si="9"/>
        <v>1</v>
      </c>
      <c r="Q71">
        <f t="array" ref="Q71">IF(I71&gt;0,INDEX(DB,I71,9),EventIndex)</f>
        <v>6</v>
      </c>
      <c r="S71">
        <f t="array" ref="S71">(INT(INDEX(MINVALUES,$Q71,$K$1))*60)+(MOD(INDEX(MINVALUES,$Q71,$K$1),1)*100)</f>
        <v>180</v>
      </c>
      <c r="T71">
        <f t="array" ref="T71">(INDEX(INCVALUES,$Q71,$K$1)*100)</f>
        <v>1</v>
      </c>
      <c r="V71">
        <f t="array" ref="V71">+J71+(4*(INDEX(MatchScoreTable,$Q71,20)-1))</f>
        <v>4</v>
      </c>
      <c r="W71">
        <f t="array" ref="W71">INDEX(INC_MINVALUES,$V71,$K$1)</f>
        <v>480</v>
      </c>
      <c r="X71" s="212">
        <f t="array" ref="X71">INDEX(INC_INCVALUES,$V71,$K$1)</f>
        <v>4</v>
      </c>
    </row>
    <row r="72" ht="15.75" customHeight="1">
      <c r="A72" s="435"/>
      <c r="B72" s="436"/>
      <c r="C72" s="95" t="str">
        <f t="array" ref="C72">IF(I72&gt;0,INDEX(DB,I72,8),"")</f>
        <v/>
      </c>
      <c r="D72" s="437">
        <f t="shared" si="1"/>
        <v>0</v>
      </c>
      <c r="F72" s="438">
        <f t="shared" si="2"/>
        <v>0</v>
      </c>
      <c r="G72" t="str">
        <f t="shared" si="3"/>
        <v/>
      </c>
      <c r="H72" t="b">
        <f t="shared" si="4"/>
        <v>0</v>
      </c>
      <c r="I72" s="439">
        <f>IF(OR(ISBLANK(A72),ISNA(MATCH(A72&amp;"",AthleteNumbers,0))),0,MATCH(A72&amp;"",AthleteNumbers,0))</f>
        <v>0</v>
      </c>
      <c r="J72" s="209">
        <f t="array" ref="J72">IF(I72&gt;0,INDEX(DB,$I72,6),0)</f>
        <v>0</v>
      </c>
      <c r="K72" s="446">
        <f t="shared" si="5"/>
        <v>0</v>
      </c>
      <c r="L72" s="440">
        <f t="shared" si="6"/>
        <v>0</v>
      </c>
      <c r="M72" s="441">
        <f>IF(AND(L72&gt;O72,O72&gt;0),MinPoints,IF(AND(L72&lt;N72,O72&gt;0),100,+INT((O72-$L72)/P72)+MinPoints))</f>
        <v>100</v>
      </c>
      <c r="N72" s="440">
        <f t="shared" si="7"/>
        <v>90</v>
      </c>
      <c r="O72" s="440">
        <f t="shared" si="8"/>
        <v>180</v>
      </c>
      <c r="P72" s="440">
        <f t="shared" si="9"/>
        <v>1</v>
      </c>
      <c r="Q72">
        <f t="array" ref="Q72">IF(I72&gt;0,INDEX(DB,I72,9),EventIndex)</f>
        <v>6</v>
      </c>
      <c r="S72">
        <f t="array" ref="S72">(INT(INDEX(MINVALUES,$Q72,$K$1))*60)+(MOD(INDEX(MINVALUES,$Q72,$K$1),1)*100)</f>
        <v>180</v>
      </c>
      <c r="T72">
        <f t="array" ref="T72">(INDEX(INCVALUES,$Q72,$K$1)*100)</f>
        <v>1</v>
      </c>
      <c r="V72">
        <f t="array" ref="V72">+J72+(4*(INDEX(MatchScoreTable,$Q72,20)-1))</f>
        <v>4</v>
      </c>
      <c r="W72">
        <f t="array" ref="W72">INDEX(INC_MINVALUES,$V72,$K$1)</f>
        <v>480</v>
      </c>
      <c r="X72" s="212">
        <f t="array" ref="X72">INDEX(INC_INCVALUES,$V72,$K$1)</f>
        <v>4</v>
      </c>
    </row>
    <row r="73" ht="15.75" customHeight="1">
      <c r="A73" s="435"/>
      <c r="B73" s="436"/>
      <c r="C73" s="95" t="str">
        <f t="array" ref="C73">IF(I73&gt;0,INDEX(DB,I73,8),"")</f>
        <v/>
      </c>
      <c r="D73" s="437">
        <f t="shared" si="1"/>
        <v>0</v>
      </c>
      <c r="F73" s="438">
        <f t="shared" si="2"/>
        <v>0</v>
      </c>
      <c r="G73" t="str">
        <f t="shared" si="3"/>
        <v/>
      </c>
      <c r="H73" t="b">
        <f t="shared" si="4"/>
        <v>0</v>
      </c>
      <c r="I73" s="439">
        <f>IF(OR(ISBLANK(A73),ISNA(MATCH(A73&amp;"",AthleteNumbers,0))),0,MATCH(A73&amp;"",AthleteNumbers,0))</f>
        <v>0</v>
      </c>
      <c r="J73" s="209">
        <f t="array" ref="J73">IF(I73&gt;0,INDEX(DB,$I73,6),0)</f>
        <v>0</v>
      </c>
      <c r="K73" s="446">
        <f t="shared" si="5"/>
        <v>0</v>
      </c>
      <c r="L73" s="440">
        <f t="shared" si="6"/>
        <v>0</v>
      </c>
      <c r="M73" s="441">
        <f>IF(AND(L73&gt;O73,O73&gt;0),MinPoints,IF(AND(L73&lt;N73,O73&gt;0),100,+INT((O73-$L73)/P73)+MinPoints))</f>
        <v>100</v>
      </c>
      <c r="N73" s="440">
        <f t="shared" si="7"/>
        <v>90</v>
      </c>
      <c r="O73" s="440">
        <f t="shared" si="8"/>
        <v>180</v>
      </c>
      <c r="P73" s="440">
        <f t="shared" si="9"/>
        <v>1</v>
      </c>
      <c r="Q73">
        <f t="array" ref="Q73">IF(I73&gt;0,INDEX(DB,I73,9),EventIndex)</f>
        <v>6</v>
      </c>
      <c r="S73">
        <f t="array" ref="S73">(INT(INDEX(MINVALUES,$Q73,$K$1))*60)+(MOD(INDEX(MINVALUES,$Q73,$K$1),1)*100)</f>
        <v>180</v>
      </c>
      <c r="T73">
        <f t="array" ref="T73">(INDEX(INCVALUES,$Q73,$K$1)*100)</f>
        <v>1</v>
      </c>
      <c r="V73">
        <f t="array" ref="V73">+J73+(4*(INDEX(MatchScoreTable,$Q73,20)-1))</f>
        <v>4</v>
      </c>
      <c r="W73">
        <f t="array" ref="W73">INDEX(INC_MINVALUES,$V73,$K$1)</f>
        <v>480</v>
      </c>
      <c r="X73" s="212">
        <f t="array" ref="X73">INDEX(INC_INCVALUES,$V73,$K$1)</f>
        <v>4</v>
      </c>
    </row>
    <row r="74" ht="15.75" customHeight="1">
      <c r="A74" s="435"/>
      <c r="B74" s="436"/>
      <c r="C74" s="95" t="str">
        <f t="array" ref="C74">IF(I74&gt;0,INDEX(DB,I74,8),"")</f>
        <v/>
      </c>
      <c r="D74" s="437">
        <f t="shared" si="1"/>
        <v>0</v>
      </c>
      <c r="F74" s="438">
        <f t="shared" si="2"/>
        <v>0</v>
      </c>
      <c r="G74" t="str">
        <f t="shared" si="3"/>
        <v/>
      </c>
      <c r="H74" t="b">
        <f t="shared" si="4"/>
        <v>0</v>
      </c>
      <c r="I74" s="439">
        <f>IF(OR(ISBLANK(A74),ISNA(MATCH(A74&amp;"",AthleteNumbers,0))),0,MATCH(A74&amp;"",AthleteNumbers,0))</f>
        <v>0</v>
      </c>
      <c r="J74" s="209">
        <f t="array" ref="J74">IF(I74&gt;0,INDEX(DB,$I74,6),0)</f>
        <v>0</v>
      </c>
      <c r="K74" s="446">
        <f t="shared" si="5"/>
        <v>0</v>
      </c>
      <c r="L74" s="440">
        <f t="shared" si="6"/>
        <v>0</v>
      </c>
      <c r="M74" s="441">
        <f>IF(AND(L74&gt;O74,O74&gt;0),MinPoints,IF(AND(L74&lt;N74,O74&gt;0),100,+INT((O74-$L74)/P74)+MinPoints))</f>
        <v>100</v>
      </c>
      <c r="N74" s="440">
        <f t="shared" si="7"/>
        <v>90</v>
      </c>
      <c r="O74" s="440">
        <f t="shared" si="8"/>
        <v>180</v>
      </c>
      <c r="P74" s="440">
        <f t="shared" si="9"/>
        <v>1</v>
      </c>
      <c r="Q74">
        <f t="array" ref="Q74">IF(I74&gt;0,INDEX(DB,I74,9),EventIndex)</f>
        <v>6</v>
      </c>
      <c r="S74">
        <f t="array" ref="S74">(INT(INDEX(MINVALUES,$Q74,$K$1))*60)+(MOD(INDEX(MINVALUES,$Q74,$K$1),1)*100)</f>
        <v>180</v>
      </c>
      <c r="T74">
        <f t="array" ref="T74">(INDEX(INCVALUES,$Q74,$K$1)*100)</f>
        <v>1</v>
      </c>
      <c r="V74">
        <f t="array" ref="V74">+J74+(4*(INDEX(MatchScoreTable,$Q74,20)-1))</f>
        <v>4</v>
      </c>
      <c r="W74">
        <f t="array" ref="W74">INDEX(INC_MINVALUES,$V74,$K$1)</f>
        <v>480</v>
      </c>
      <c r="X74" s="212">
        <f t="array" ref="X74">INDEX(INC_INCVALUES,$V74,$K$1)</f>
        <v>4</v>
      </c>
    </row>
    <row r="75" ht="15.75" customHeight="1">
      <c r="A75" s="435"/>
      <c r="B75" s="436"/>
      <c r="C75" s="95" t="str">
        <f t="array" ref="C75">IF(I75&gt;0,INDEX(DB,I75,8),"")</f>
        <v/>
      </c>
      <c r="D75" s="437">
        <f t="shared" si="1"/>
        <v>0</v>
      </c>
      <c r="F75" s="438">
        <f t="shared" si="2"/>
        <v>0</v>
      </c>
      <c r="G75" t="str">
        <f t="shared" si="3"/>
        <v/>
      </c>
      <c r="H75" t="b">
        <f t="shared" si="4"/>
        <v>0</v>
      </c>
      <c r="I75" s="439">
        <f>IF(OR(ISBLANK(A75),ISNA(MATCH(A75&amp;"",AthleteNumbers,0))),0,MATCH(A75&amp;"",AthleteNumbers,0))</f>
        <v>0</v>
      </c>
      <c r="J75" s="209">
        <f t="array" ref="J75">IF(I75&gt;0,INDEX(DB,$I75,6),0)</f>
        <v>0</v>
      </c>
      <c r="K75" s="446">
        <f t="shared" si="5"/>
        <v>0</v>
      </c>
      <c r="L75" s="440">
        <f t="shared" si="6"/>
        <v>0</v>
      </c>
      <c r="M75" s="441">
        <f>IF(AND(L75&gt;O75,O75&gt;0),MinPoints,IF(AND(L75&lt;N75,O75&gt;0),100,+INT((O75-$L75)/P75)+MinPoints))</f>
        <v>100</v>
      </c>
      <c r="N75" s="440">
        <f t="shared" si="7"/>
        <v>90</v>
      </c>
      <c r="O75" s="440">
        <f t="shared" si="8"/>
        <v>180</v>
      </c>
      <c r="P75" s="440">
        <f t="shared" si="9"/>
        <v>1</v>
      </c>
      <c r="Q75">
        <f t="array" ref="Q75">IF(I75&gt;0,INDEX(DB,I75,9),EventIndex)</f>
        <v>6</v>
      </c>
      <c r="S75">
        <f t="array" ref="S75">(INT(INDEX(MINVALUES,$Q75,$K$1))*60)+(MOD(INDEX(MINVALUES,$Q75,$K$1),1)*100)</f>
        <v>180</v>
      </c>
      <c r="T75">
        <f t="array" ref="T75">(INDEX(INCVALUES,$Q75,$K$1)*100)</f>
        <v>1</v>
      </c>
      <c r="V75">
        <f t="array" ref="V75">+J75+(4*(INDEX(MatchScoreTable,$Q75,20)-1))</f>
        <v>4</v>
      </c>
      <c r="W75">
        <f t="array" ref="W75">INDEX(INC_MINVALUES,$V75,$K$1)</f>
        <v>480</v>
      </c>
      <c r="X75" s="212">
        <f t="array" ref="X75">INDEX(INC_INCVALUES,$V75,$K$1)</f>
        <v>4</v>
      </c>
    </row>
    <row r="76" ht="15.75" customHeight="1">
      <c r="A76" s="435"/>
      <c r="B76" s="436"/>
      <c r="C76" s="95" t="str">
        <f t="array" ref="C76">IF(I76&gt;0,INDEX(DB,I76,8),"")</f>
        <v/>
      </c>
      <c r="D76" s="437">
        <f t="shared" si="1"/>
        <v>0</v>
      </c>
      <c r="F76" s="438">
        <f t="shared" si="2"/>
        <v>0</v>
      </c>
      <c r="G76" t="str">
        <f t="shared" si="3"/>
        <v/>
      </c>
      <c r="H76" t="b">
        <f t="shared" si="4"/>
        <v>0</v>
      </c>
      <c r="I76" s="439">
        <f>IF(OR(ISBLANK(A76),ISNA(MATCH(A76&amp;"",AthleteNumbers,0))),0,MATCH(A76&amp;"",AthleteNumbers,0))</f>
        <v>0</v>
      </c>
      <c r="J76" s="209">
        <f t="array" ref="J76">IF(I76&gt;0,INDEX(DB,$I76,6),0)</f>
        <v>0</v>
      </c>
      <c r="K76" s="446">
        <f t="shared" si="5"/>
        <v>0</v>
      </c>
      <c r="L76" s="440">
        <f t="shared" si="6"/>
        <v>0</v>
      </c>
      <c r="M76" s="441">
        <f>IF(AND(L76&gt;O76,O76&gt;0),MinPoints,IF(AND(L76&lt;N76,O76&gt;0),100,+INT((O76-$L76)/P76)+MinPoints))</f>
        <v>100</v>
      </c>
      <c r="N76" s="440">
        <f t="shared" si="7"/>
        <v>90</v>
      </c>
      <c r="O76" s="440">
        <f t="shared" si="8"/>
        <v>180</v>
      </c>
      <c r="P76" s="440">
        <f t="shared" si="9"/>
        <v>1</v>
      </c>
      <c r="Q76">
        <f t="array" ref="Q76">IF(I76&gt;0,INDEX(DB,I76,9),EventIndex)</f>
        <v>6</v>
      </c>
      <c r="S76">
        <f t="array" ref="S76">(INT(INDEX(MINVALUES,$Q76,$K$1))*60)+(MOD(INDEX(MINVALUES,$Q76,$K$1),1)*100)</f>
        <v>180</v>
      </c>
      <c r="T76">
        <f t="array" ref="T76">(INDEX(INCVALUES,$Q76,$K$1)*100)</f>
        <v>1</v>
      </c>
      <c r="V76">
        <f t="array" ref="V76">+J76+(4*(INDEX(MatchScoreTable,$Q76,20)-1))</f>
        <v>4</v>
      </c>
      <c r="W76">
        <f t="array" ref="W76">INDEX(INC_MINVALUES,$V76,$K$1)</f>
        <v>480</v>
      </c>
      <c r="X76" s="212">
        <f t="array" ref="X76">INDEX(INC_INCVALUES,$V76,$K$1)</f>
        <v>4</v>
      </c>
    </row>
    <row r="77" ht="15.75" customHeight="1">
      <c r="A77" s="435"/>
      <c r="B77" s="436"/>
      <c r="C77" s="95" t="str">
        <f t="array" ref="C77">IF(I77&gt;0,INDEX(DB,I77,8),"")</f>
        <v/>
      </c>
      <c r="D77" s="437">
        <f t="shared" si="1"/>
        <v>0</v>
      </c>
      <c r="F77" s="438">
        <f t="shared" si="2"/>
        <v>0</v>
      </c>
      <c r="G77" t="str">
        <f t="shared" si="3"/>
        <v/>
      </c>
      <c r="H77" t="b">
        <f t="shared" si="4"/>
        <v>0</v>
      </c>
      <c r="I77" s="439">
        <f>IF(OR(ISBLANK(A77),ISNA(MATCH(A77&amp;"",AthleteNumbers,0))),0,MATCH(A77&amp;"",AthleteNumbers,0))</f>
        <v>0</v>
      </c>
      <c r="J77" s="209">
        <f t="array" ref="J77">IF(I77&gt;0,INDEX(DB,$I77,6),0)</f>
        <v>0</v>
      </c>
      <c r="K77" s="446">
        <f t="shared" si="5"/>
        <v>0</v>
      </c>
      <c r="L77" s="440">
        <f t="shared" si="6"/>
        <v>0</v>
      </c>
      <c r="M77" s="441">
        <f>IF(AND(L77&gt;O77,O77&gt;0),MinPoints,IF(AND(L77&lt;N77,O77&gt;0),100,+INT((O77-$L77)/P77)+MinPoints))</f>
        <v>100</v>
      </c>
      <c r="N77" s="440">
        <f t="shared" si="7"/>
        <v>90</v>
      </c>
      <c r="O77" s="440">
        <f t="shared" si="8"/>
        <v>180</v>
      </c>
      <c r="P77" s="440">
        <f t="shared" si="9"/>
        <v>1</v>
      </c>
      <c r="Q77">
        <f t="array" ref="Q77">IF(I77&gt;0,INDEX(DB,I77,9),EventIndex)</f>
        <v>6</v>
      </c>
      <c r="S77">
        <f t="array" ref="S77">(INT(INDEX(MINVALUES,$Q77,$K$1))*60)+(MOD(INDEX(MINVALUES,$Q77,$K$1),1)*100)</f>
        <v>180</v>
      </c>
      <c r="T77">
        <f t="array" ref="T77">(INDEX(INCVALUES,$Q77,$K$1)*100)</f>
        <v>1</v>
      </c>
      <c r="V77">
        <f t="array" ref="V77">+J77+(4*(INDEX(MatchScoreTable,$Q77,20)-1))</f>
        <v>4</v>
      </c>
      <c r="W77">
        <f t="array" ref="W77">INDEX(INC_MINVALUES,$V77,$K$1)</f>
        <v>480</v>
      </c>
      <c r="X77" s="212">
        <f t="array" ref="X77">INDEX(INC_INCVALUES,$V77,$K$1)</f>
        <v>4</v>
      </c>
    </row>
    <row r="78" ht="15.75" customHeight="1">
      <c r="A78" s="435"/>
      <c r="B78" s="436"/>
      <c r="C78" s="95" t="str">
        <f t="array" ref="C78">IF(I78&gt;0,INDEX(DB,I78,8),"")</f>
        <v/>
      </c>
      <c r="D78" s="437">
        <f t="shared" si="1"/>
        <v>0</v>
      </c>
      <c r="F78" s="438">
        <f t="shared" si="2"/>
        <v>0</v>
      </c>
      <c r="G78" t="str">
        <f t="shared" si="3"/>
        <v/>
      </c>
      <c r="H78" t="b">
        <f t="shared" si="4"/>
        <v>0</v>
      </c>
      <c r="I78" s="439">
        <f>IF(OR(ISBLANK(A78),ISNA(MATCH(A78&amp;"",AthleteNumbers,0))),0,MATCH(A78&amp;"",AthleteNumbers,0))</f>
        <v>0</v>
      </c>
      <c r="J78" s="209">
        <f t="array" ref="J78">IF(I78&gt;0,INDEX(DB,$I78,6),0)</f>
        <v>0</v>
      </c>
      <c r="K78" s="446">
        <f t="shared" si="5"/>
        <v>0</v>
      </c>
      <c r="L78" s="440">
        <f t="shared" si="6"/>
        <v>0</v>
      </c>
      <c r="M78" s="441">
        <f>IF(AND(L78&gt;O78,O78&gt;0),MinPoints,IF(AND(L78&lt;N78,O78&gt;0),100,+INT((O78-$L78)/P78)+MinPoints))</f>
        <v>100</v>
      </c>
      <c r="N78" s="440">
        <f t="shared" si="7"/>
        <v>90</v>
      </c>
      <c r="O78" s="440">
        <f t="shared" si="8"/>
        <v>180</v>
      </c>
      <c r="P78" s="440">
        <f t="shared" si="9"/>
        <v>1</v>
      </c>
      <c r="Q78">
        <f t="array" ref="Q78">IF(I78&gt;0,INDEX(DB,I78,9),EventIndex)</f>
        <v>6</v>
      </c>
      <c r="S78">
        <f t="array" ref="S78">(INT(INDEX(MINVALUES,$Q78,$K$1))*60)+(MOD(INDEX(MINVALUES,$Q78,$K$1),1)*100)</f>
        <v>180</v>
      </c>
      <c r="T78">
        <f t="array" ref="T78">(INDEX(INCVALUES,$Q78,$K$1)*100)</f>
        <v>1</v>
      </c>
      <c r="V78">
        <f t="array" ref="V78">+J78+(4*(INDEX(MatchScoreTable,$Q78,20)-1))</f>
        <v>4</v>
      </c>
      <c r="W78">
        <f t="array" ref="W78">INDEX(INC_MINVALUES,$V78,$K$1)</f>
        <v>480</v>
      </c>
      <c r="X78" s="212">
        <f t="array" ref="X78">INDEX(INC_INCVALUES,$V78,$K$1)</f>
        <v>4</v>
      </c>
    </row>
    <row r="79" ht="15.75" customHeight="1">
      <c r="A79" s="435"/>
      <c r="B79" s="436"/>
      <c r="C79" s="95" t="str">
        <f t="array" ref="C79">IF(I79&gt;0,INDEX(DB,I79,8),"")</f>
        <v/>
      </c>
      <c r="D79" s="437">
        <f t="shared" si="1"/>
        <v>0</v>
      </c>
      <c r="F79" s="438">
        <f t="shared" si="2"/>
        <v>0</v>
      </c>
      <c r="G79" t="str">
        <f t="shared" si="3"/>
        <v/>
      </c>
      <c r="H79" t="b">
        <f t="shared" si="4"/>
        <v>0</v>
      </c>
      <c r="I79" s="439">
        <f>IF(OR(ISBLANK(A79),ISNA(MATCH(A79&amp;"",AthleteNumbers,0))),0,MATCH(A79&amp;"",AthleteNumbers,0))</f>
        <v>0</v>
      </c>
      <c r="J79" s="209">
        <f t="array" ref="J79">IF(I79&gt;0,INDEX(DB,$I79,6),0)</f>
        <v>0</v>
      </c>
      <c r="K79" s="446">
        <f t="shared" si="5"/>
        <v>0</v>
      </c>
      <c r="L79" s="440">
        <f t="shared" si="6"/>
        <v>0</v>
      </c>
      <c r="M79" s="441">
        <f>IF(AND(L79&gt;O79,O79&gt;0),MinPoints,IF(AND(L79&lt;N79,O79&gt;0),100,+INT((O79-$L79)/P79)+MinPoints))</f>
        <v>100</v>
      </c>
      <c r="N79" s="440">
        <f t="shared" si="7"/>
        <v>90</v>
      </c>
      <c r="O79" s="440">
        <f t="shared" si="8"/>
        <v>180</v>
      </c>
      <c r="P79" s="440">
        <f t="shared" si="9"/>
        <v>1</v>
      </c>
      <c r="Q79">
        <f t="array" ref="Q79">IF(I79&gt;0,INDEX(DB,I79,9),EventIndex)</f>
        <v>6</v>
      </c>
      <c r="S79">
        <f t="array" ref="S79">(INT(INDEX(MINVALUES,$Q79,$K$1))*60)+(MOD(INDEX(MINVALUES,$Q79,$K$1),1)*100)</f>
        <v>180</v>
      </c>
      <c r="T79">
        <f t="array" ref="T79">(INDEX(INCVALUES,$Q79,$K$1)*100)</f>
        <v>1</v>
      </c>
      <c r="V79">
        <f t="array" ref="V79">+J79+(4*(INDEX(MatchScoreTable,$Q79,20)-1))</f>
        <v>4</v>
      </c>
      <c r="W79">
        <f t="array" ref="W79">INDEX(INC_MINVALUES,$V79,$K$1)</f>
        <v>480</v>
      </c>
      <c r="X79" s="212">
        <f t="array" ref="X79">INDEX(INC_INCVALUES,$V79,$K$1)</f>
        <v>4</v>
      </c>
    </row>
    <row r="80" ht="15.75" customHeight="1">
      <c r="A80" s="435"/>
      <c r="B80" s="436"/>
      <c r="C80" s="95" t="str">
        <f t="array" ref="C80">IF(I80&gt;0,INDEX(DB,I80,8),"")</f>
        <v/>
      </c>
      <c r="D80" s="437">
        <f t="shared" si="1"/>
        <v>0</v>
      </c>
      <c r="F80" s="438">
        <f t="shared" si="2"/>
        <v>0</v>
      </c>
      <c r="G80" t="str">
        <f t="shared" si="3"/>
        <v/>
      </c>
      <c r="H80" t="b">
        <f t="shared" si="4"/>
        <v>0</v>
      </c>
      <c r="I80" s="439">
        <f>IF(OR(ISBLANK(A80),ISNA(MATCH(A80&amp;"",AthleteNumbers,0))),0,MATCH(A80&amp;"",AthleteNumbers,0))</f>
        <v>0</v>
      </c>
      <c r="J80" s="209">
        <f t="array" ref="J80">IF(I80&gt;0,INDEX(DB,$I80,6),0)</f>
        <v>0</v>
      </c>
      <c r="K80" s="446">
        <f t="shared" si="5"/>
        <v>0</v>
      </c>
      <c r="L80" s="440">
        <f t="shared" si="6"/>
        <v>0</v>
      </c>
      <c r="M80" s="441">
        <f>IF(AND(L80&gt;O80,O80&gt;0),MinPoints,IF(AND(L80&lt;N80,O80&gt;0),100,+INT((O80-$L80)/P80)+MinPoints))</f>
        <v>100</v>
      </c>
      <c r="N80" s="440">
        <f t="shared" si="7"/>
        <v>90</v>
      </c>
      <c r="O80" s="440">
        <f t="shared" si="8"/>
        <v>180</v>
      </c>
      <c r="P80" s="440">
        <f t="shared" si="9"/>
        <v>1</v>
      </c>
      <c r="Q80">
        <f t="array" ref="Q80">IF(I80&gt;0,INDEX(DB,I80,9),EventIndex)</f>
        <v>6</v>
      </c>
      <c r="S80">
        <f t="array" ref="S80">(INT(INDEX(MINVALUES,$Q80,$K$1))*60)+(MOD(INDEX(MINVALUES,$Q80,$K$1),1)*100)</f>
        <v>180</v>
      </c>
      <c r="T80">
        <f t="array" ref="T80">(INDEX(INCVALUES,$Q80,$K$1)*100)</f>
        <v>1</v>
      </c>
      <c r="V80">
        <f t="array" ref="V80">+J80+(4*(INDEX(MatchScoreTable,$Q80,20)-1))</f>
        <v>4</v>
      </c>
      <c r="W80">
        <f t="array" ref="W80">INDEX(INC_MINVALUES,$V80,$K$1)</f>
        <v>480</v>
      </c>
      <c r="X80" s="212">
        <f t="array" ref="X80">INDEX(INC_INCVALUES,$V80,$K$1)</f>
        <v>4</v>
      </c>
    </row>
    <row r="81" ht="15.75" customHeight="1">
      <c r="A81" s="435"/>
      <c r="B81" s="436"/>
      <c r="C81" s="95" t="str">
        <f t="array" ref="C81">IF(I81&gt;0,INDEX(DB,I81,8),"")</f>
        <v/>
      </c>
      <c r="D81" s="437">
        <f t="shared" si="1"/>
        <v>0</v>
      </c>
      <c r="F81" s="438">
        <f t="shared" si="2"/>
        <v>0</v>
      </c>
      <c r="G81" t="str">
        <f t="shared" si="3"/>
        <v/>
      </c>
      <c r="H81" t="b">
        <f t="shared" si="4"/>
        <v>0</v>
      </c>
      <c r="I81" s="439">
        <f>IF(OR(ISBLANK(A81),ISNA(MATCH(A81&amp;"",AthleteNumbers,0))),0,MATCH(A81&amp;"",AthleteNumbers,0))</f>
        <v>0</v>
      </c>
      <c r="J81" s="209">
        <f t="array" ref="J81">IF(I81&gt;0,INDEX(DB,$I81,6),0)</f>
        <v>0</v>
      </c>
      <c r="K81" s="446">
        <f t="shared" si="5"/>
        <v>0</v>
      </c>
      <c r="L81" s="440">
        <f t="shared" si="6"/>
        <v>0</v>
      </c>
      <c r="M81" s="441">
        <f>IF(AND(L81&gt;O81,O81&gt;0),MinPoints,IF(AND(L81&lt;N81,O81&gt;0),100,+INT((O81-$L81)/P81)+MinPoints))</f>
        <v>100</v>
      </c>
      <c r="N81" s="440">
        <f t="shared" si="7"/>
        <v>90</v>
      </c>
      <c r="O81" s="440">
        <f t="shared" si="8"/>
        <v>180</v>
      </c>
      <c r="P81" s="440">
        <f t="shared" si="9"/>
        <v>1</v>
      </c>
      <c r="Q81">
        <f t="array" ref="Q81">IF(I81&gt;0,INDEX(DB,I81,9),EventIndex)</f>
        <v>6</v>
      </c>
      <c r="S81">
        <f t="array" ref="S81">(INT(INDEX(MINVALUES,$Q81,$K$1))*60)+(MOD(INDEX(MINVALUES,$Q81,$K$1),1)*100)</f>
        <v>180</v>
      </c>
      <c r="T81">
        <f t="array" ref="T81">(INDEX(INCVALUES,$Q81,$K$1)*100)</f>
        <v>1</v>
      </c>
      <c r="V81">
        <f t="array" ref="V81">+J81+(4*(INDEX(MatchScoreTable,$Q81,20)-1))</f>
        <v>4</v>
      </c>
      <c r="W81">
        <f t="array" ref="W81">INDEX(INC_MINVALUES,$V81,$K$1)</f>
        <v>480</v>
      </c>
      <c r="X81" s="212">
        <f t="array" ref="X81">INDEX(INC_INCVALUES,$V81,$K$1)</f>
        <v>4</v>
      </c>
    </row>
    <row r="82" ht="15.75" customHeight="1">
      <c r="A82" s="435"/>
      <c r="B82" s="436"/>
      <c r="C82" s="95" t="str">
        <f t="array" ref="C82">IF(I82&gt;0,INDEX(DB,I82,8),"")</f>
        <v/>
      </c>
      <c r="D82" s="437">
        <f t="shared" si="1"/>
        <v>0</v>
      </c>
      <c r="F82" s="438">
        <f t="shared" si="2"/>
        <v>0</v>
      </c>
      <c r="G82" t="str">
        <f t="shared" si="3"/>
        <v/>
      </c>
      <c r="H82" t="b">
        <f t="shared" si="4"/>
        <v>0</v>
      </c>
      <c r="I82" s="439">
        <f>IF(OR(ISBLANK(A82),ISNA(MATCH(A82&amp;"",AthleteNumbers,0))),0,MATCH(A82&amp;"",AthleteNumbers,0))</f>
        <v>0</v>
      </c>
      <c r="J82" s="209">
        <f t="array" ref="J82">IF(I82&gt;0,INDEX(DB,$I82,6),0)</f>
        <v>0</v>
      </c>
      <c r="K82" s="446">
        <f t="shared" si="5"/>
        <v>0</v>
      </c>
      <c r="L82" s="440">
        <f t="shared" si="6"/>
        <v>0</v>
      </c>
      <c r="M82" s="441">
        <f>IF(AND(L82&gt;O82,O82&gt;0),MinPoints,IF(AND(L82&lt;N82,O82&gt;0),100,+INT((O82-$L82)/P82)+MinPoints))</f>
        <v>100</v>
      </c>
      <c r="N82" s="440">
        <f t="shared" si="7"/>
        <v>90</v>
      </c>
      <c r="O82" s="440">
        <f t="shared" si="8"/>
        <v>180</v>
      </c>
      <c r="P82" s="440">
        <f t="shared" si="9"/>
        <v>1</v>
      </c>
      <c r="Q82">
        <f t="array" ref="Q82">IF(I82&gt;0,INDEX(DB,I82,9),EventIndex)</f>
        <v>6</v>
      </c>
      <c r="S82">
        <f t="array" ref="S82">(INT(INDEX(MINVALUES,$Q82,$K$1))*60)+(MOD(INDEX(MINVALUES,$Q82,$K$1),1)*100)</f>
        <v>180</v>
      </c>
      <c r="T82">
        <f t="array" ref="T82">(INDEX(INCVALUES,$Q82,$K$1)*100)</f>
        <v>1</v>
      </c>
      <c r="V82">
        <f t="array" ref="V82">+J82+(4*(INDEX(MatchScoreTable,$Q82,20)-1))</f>
        <v>4</v>
      </c>
      <c r="W82">
        <f t="array" ref="W82">INDEX(INC_MINVALUES,$V82,$K$1)</f>
        <v>480</v>
      </c>
      <c r="X82" s="212">
        <f t="array" ref="X82">INDEX(INC_INCVALUES,$V82,$K$1)</f>
        <v>4</v>
      </c>
    </row>
    <row r="83" ht="15.75" customHeight="1">
      <c r="A83" s="435"/>
      <c r="B83" s="436"/>
      <c r="C83" s="95" t="str">
        <f t="array" ref="C83">IF(I83&gt;0,INDEX(DB,I83,8),"")</f>
        <v/>
      </c>
      <c r="D83" s="437">
        <f t="shared" si="1"/>
        <v>0</v>
      </c>
      <c r="F83" s="438">
        <f t="shared" si="2"/>
        <v>0</v>
      </c>
      <c r="G83" t="str">
        <f t="shared" si="3"/>
        <v/>
      </c>
      <c r="H83" t="b">
        <f t="shared" si="4"/>
        <v>0</v>
      </c>
      <c r="I83" s="439">
        <f>IF(OR(ISBLANK(A83),ISNA(MATCH(A83&amp;"",AthleteNumbers,0))),0,MATCH(A83&amp;"",AthleteNumbers,0))</f>
        <v>0</v>
      </c>
      <c r="J83" s="209">
        <f t="array" ref="J83">IF(I83&gt;0,INDEX(DB,$I83,6),0)</f>
        <v>0</v>
      </c>
      <c r="K83" s="446">
        <f t="shared" si="5"/>
        <v>0</v>
      </c>
      <c r="L83" s="440">
        <f t="shared" si="6"/>
        <v>0</v>
      </c>
      <c r="M83" s="441">
        <f>IF(AND(L83&gt;O83,O83&gt;0),MinPoints,IF(AND(L83&lt;N83,O83&gt;0),100,+INT((O83-$L83)/P83)+MinPoints))</f>
        <v>100</v>
      </c>
      <c r="N83" s="440">
        <f t="shared" si="7"/>
        <v>90</v>
      </c>
      <c r="O83" s="440">
        <f t="shared" si="8"/>
        <v>180</v>
      </c>
      <c r="P83" s="440">
        <f t="shared" si="9"/>
        <v>1</v>
      </c>
      <c r="Q83">
        <f t="array" ref="Q83">IF(I83&gt;0,INDEX(DB,I83,9),EventIndex)</f>
        <v>6</v>
      </c>
      <c r="S83">
        <f t="array" ref="S83">(INT(INDEX(MINVALUES,$Q83,$K$1))*60)+(MOD(INDEX(MINVALUES,$Q83,$K$1),1)*100)</f>
        <v>180</v>
      </c>
      <c r="T83">
        <f t="array" ref="T83">(INDEX(INCVALUES,$Q83,$K$1)*100)</f>
        <v>1</v>
      </c>
      <c r="V83">
        <f t="array" ref="V83">+J83+(4*(INDEX(MatchScoreTable,$Q83,20)-1))</f>
        <v>4</v>
      </c>
      <c r="W83">
        <f t="array" ref="W83">INDEX(INC_MINVALUES,$V83,$K$1)</f>
        <v>480</v>
      </c>
      <c r="X83" s="212">
        <f t="array" ref="X83">INDEX(INC_INCVALUES,$V83,$K$1)</f>
        <v>4</v>
      </c>
    </row>
    <row r="84" ht="15.75" customHeight="1">
      <c r="A84" s="435"/>
      <c r="B84" s="436"/>
      <c r="C84" s="95" t="str">
        <f t="array" ref="C84">IF(I84&gt;0,INDEX(DB,I84,8),"")</f>
        <v/>
      </c>
      <c r="D84" s="437">
        <f t="shared" si="1"/>
        <v>0</v>
      </c>
      <c r="F84" s="438">
        <f t="shared" si="2"/>
        <v>0</v>
      </c>
      <c r="G84" t="str">
        <f t="shared" si="3"/>
        <v/>
      </c>
      <c r="H84" t="b">
        <f t="shared" si="4"/>
        <v>0</v>
      </c>
      <c r="I84" s="439">
        <f>IF(OR(ISBLANK(A84),ISNA(MATCH(A84&amp;"",AthleteNumbers,0))),0,MATCH(A84&amp;"",AthleteNumbers,0))</f>
        <v>0</v>
      </c>
      <c r="J84" s="209">
        <f t="array" ref="J84">IF(I84&gt;0,INDEX(DB,$I84,6),0)</f>
        <v>0</v>
      </c>
      <c r="K84" s="446">
        <f t="shared" si="5"/>
        <v>0</v>
      </c>
      <c r="L84" s="440">
        <f t="shared" si="6"/>
        <v>0</v>
      </c>
      <c r="M84" s="441">
        <f>IF(AND(L84&gt;O84,O84&gt;0),MinPoints,IF(AND(L84&lt;N84,O84&gt;0),100,+INT((O84-$L84)/P84)+MinPoints))</f>
        <v>100</v>
      </c>
      <c r="N84" s="440">
        <f t="shared" si="7"/>
        <v>90</v>
      </c>
      <c r="O84" s="440">
        <f t="shared" si="8"/>
        <v>180</v>
      </c>
      <c r="P84" s="440">
        <f t="shared" si="9"/>
        <v>1</v>
      </c>
      <c r="Q84">
        <f t="array" ref="Q84">IF(I84&gt;0,INDEX(DB,I84,9),EventIndex)</f>
        <v>6</v>
      </c>
      <c r="S84">
        <f t="array" ref="S84">(INT(INDEX(MINVALUES,$Q84,$K$1))*60)+(MOD(INDEX(MINVALUES,$Q84,$K$1),1)*100)</f>
        <v>180</v>
      </c>
      <c r="T84">
        <f t="array" ref="T84">(INDEX(INCVALUES,$Q84,$K$1)*100)</f>
        <v>1</v>
      </c>
      <c r="V84">
        <f t="array" ref="V84">+J84+(4*(INDEX(MatchScoreTable,$Q84,20)-1))</f>
        <v>4</v>
      </c>
      <c r="W84">
        <f t="array" ref="W84">INDEX(INC_MINVALUES,$V84,$K$1)</f>
        <v>480</v>
      </c>
      <c r="X84" s="212">
        <f t="array" ref="X84">INDEX(INC_INCVALUES,$V84,$K$1)</f>
        <v>4</v>
      </c>
    </row>
    <row r="85" ht="15.75" customHeight="1">
      <c r="A85" s="435"/>
      <c r="B85" s="436"/>
      <c r="C85" s="95" t="str">
        <f t="array" ref="C85">IF(I85&gt;0,INDEX(DB,I85,8),"")</f>
        <v/>
      </c>
      <c r="D85" s="437">
        <f t="shared" si="1"/>
        <v>0</v>
      </c>
      <c r="F85" s="438">
        <f t="shared" si="2"/>
        <v>0</v>
      </c>
      <c r="G85" t="str">
        <f t="shared" si="3"/>
        <v/>
      </c>
      <c r="H85" t="b">
        <f t="shared" si="4"/>
        <v>0</v>
      </c>
      <c r="I85" s="439">
        <f>IF(OR(ISBLANK(A85),ISNA(MATCH(A85&amp;"",AthleteNumbers,0))),0,MATCH(A85&amp;"",AthleteNumbers,0))</f>
        <v>0</v>
      </c>
      <c r="J85" s="209">
        <f t="array" ref="J85">IF(I85&gt;0,INDEX(DB,$I85,6),0)</f>
        <v>0</v>
      </c>
      <c r="K85" s="446">
        <f t="shared" si="5"/>
        <v>0</v>
      </c>
      <c r="L85" s="440">
        <f t="shared" si="6"/>
        <v>0</v>
      </c>
      <c r="M85" s="441">
        <f>IF(AND(L85&gt;O85,O85&gt;0),MinPoints,IF(AND(L85&lt;N85,O85&gt;0),100,+INT((O85-$L85)/P85)+MinPoints))</f>
        <v>100</v>
      </c>
      <c r="N85" s="440">
        <f t="shared" si="7"/>
        <v>90</v>
      </c>
      <c r="O85" s="440">
        <f t="shared" si="8"/>
        <v>180</v>
      </c>
      <c r="P85" s="440">
        <f t="shared" si="9"/>
        <v>1</v>
      </c>
      <c r="Q85">
        <f t="array" ref="Q85">IF(I85&gt;0,INDEX(DB,I85,9),EventIndex)</f>
        <v>6</v>
      </c>
      <c r="S85">
        <f t="array" ref="S85">(INT(INDEX(MINVALUES,$Q85,$K$1))*60)+(MOD(INDEX(MINVALUES,$Q85,$K$1),1)*100)</f>
        <v>180</v>
      </c>
      <c r="T85">
        <f t="array" ref="T85">(INDEX(INCVALUES,$Q85,$K$1)*100)</f>
        <v>1</v>
      </c>
      <c r="V85">
        <f t="array" ref="V85">+J85+(4*(INDEX(MatchScoreTable,$Q85,20)-1))</f>
        <v>4</v>
      </c>
      <c r="W85">
        <f t="array" ref="W85">INDEX(INC_MINVALUES,$V85,$K$1)</f>
        <v>480</v>
      </c>
      <c r="X85" s="212">
        <f t="array" ref="X85">INDEX(INC_INCVALUES,$V85,$K$1)</f>
        <v>4</v>
      </c>
    </row>
    <row r="86" ht="15.75" customHeight="1">
      <c r="A86" s="435"/>
      <c r="B86" s="436"/>
      <c r="C86" s="95" t="str">
        <f t="array" ref="C86">IF(I86&gt;0,INDEX(DB,I86,8),"")</f>
        <v/>
      </c>
      <c r="D86" s="437">
        <f t="shared" si="1"/>
        <v>0</v>
      </c>
      <c r="F86" s="438">
        <f t="shared" si="2"/>
        <v>0</v>
      </c>
      <c r="G86" t="str">
        <f t="shared" si="3"/>
        <v/>
      </c>
      <c r="H86" t="b">
        <f t="shared" si="4"/>
        <v>0</v>
      </c>
      <c r="I86" s="439">
        <f>IF(OR(ISBLANK(A86),ISNA(MATCH(A86&amp;"",AthleteNumbers,0))),0,MATCH(A86&amp;"",AthleteNumbers,0))</f>
        <v>0</v>
      </c>
      <c r="J86" s="209">
        <f t="array" ref="J86">IF(I86&gt;0,INDEX(DB,$I86,6),0)</f>
        <v>0</v>
      </c>
      <c r="K86" s="446">
        <f t="shared" si="5"/>
        <v>0</v>
      </c>
      <c r="L86" s="440">
        <f t="shared" si="6"/>
        <v>0</v>
      </c>
      <c r="M86" s="441">
        <f>IF(AND(L86&gt;O86,O86&gt;0),MinPoints,IF(AND(L86&lt;N86,O86&gt;0),100,+INT((O86-$L86)/P86)+MinPoints))</f>
        <v>100</v>
      </c>
      <c r="N86" s="440">
        <f t="shared" si="7"/>
        <v>90</v>
      </c>
      <c r="O86" s="440">
        <f t="shared" si="8"/>
        <v>180</v>
      </c>
      <c r="P86" s="440">
        <f t="shared" si="9"/>
        <v>1</v>
      </c>
      <c r="Q86">
        <f t="array" ref="Q86">IF(I86&gt;0,INDEX(DB,I86,9),EventIndex)</f>
        <v>6</v>
      </c>
      <c r="S86">
        <f t="array" ref="S86">(INT(INDEX(MINVALUES,$Q86,$K$1))*60)+(MOD(INDEX(MINVALUES,$Q86,$K$1),1)*100)</f>
        <v>180</v>
      </c>
      <c r="T86">
        <f t="array" ref="T86">(INDEX(INCVALUES,$Q86,$K$1)*100)</f>
        <v>1</v>
      </c>
      <c r="V86">
        <f t="array" ref="V86">+J86+(4*(INDEX(MatchScoreTable,$Q86,20)-1))</f>
        <v>4</v>
      </c>
      <c r="W86">
        <f t="array" ref="W86">INDEX(INC_MINVALUES,$V86,$K$1)</f>
        <v>480</v>
      </c>
      <c r="X86" s="212">
        <f t="array" ref="X86">INDEX(INC_INCVALUES,$V86,$K$1)</f>
        <v>4</v>
      </c>
    </row>
    <row r="87" ht="15.75" customHeight="1">
      <c r="A87" s="435"/>
      <c r="B87" s="436"/>
      <c r="C87" s="95" t="str">
        <f t="array" ref="C87">IF(I87&gt;0,INDEX(DB,I87,8),"")</f>
        <v/>
      </c>
      <c r="D87" s="437">
        <f t="shared" si="1"/>
        <v>0</v>
      </c>
      <c r="F87" s="438">
        <f t="shared" si="2"/>
        <v>0</v>
      </c>
      <c r="G87" t="str">
        <f t="shared" si="3"/>
        <v/>
      </c>
      <c r="H87" t="b">
        <f t="shared" si="4"/>
        <v>0</v>
      </c>
      <c r="I87" s="439">
        <f>IF(OR(ISBLANK(A87),ISNA(MATCH(A87&amp;"",AthleteNumbers,0))),0,MATCH(A87&amp;"",AthleteNumbers,0))</f>
        <v>0</v>
      </c>
      <c r="J87" s="209">
        <f t="array" ref="J87">IF(I87&gt;0,INDEX(DB,$I87,6),0)</f>
        <v>0</v>
      </c>
      <c r="K87" s="446">
        <f t="shared" si="5"/>
        <v>0</v>
      </c>
      <c r="L87" s="440">
        <f t="shared" si="6"/>
        <v>0</v>
      </c>
      <c r="M87" s="441">
        <f>IF(AND(L87&gt;O87,O87&gt;0),MinPoints,IF(AND(L87&lt;N87,O87&gt;0),100,+INT((O87-$L87)/P87)+MinPoints))</f>
        <v>100</v>
      </c>
      <c r="N87" s="440">
        <f t="shared" si="7"/>
        <v>90</v>
      </c>
      <c r="O87" s="440">
        <f t="shared" si="8"/>
        <v>180</v>
      </c>
      <c r="P87" s="440">
        <f t="shared" si="9"/>
        <v>1</v>
      </c>
      <c r="Q87">
        <f t="array" ref="Q87">IF(I87&gt;0,INDEX(DB,I87,9),EventIndex)</f>
        <v>6</v>
      </c>
      <c r="S87">
        <f t="array" ref="S87">(INT(INDEX(MINVALUES,$Q87,$K$1))*60)+(MOD(INDEX(MINVALUES,$Q87,$K$1),1)*100)</f>
        <v>180</v>
      </c>
      <c r="T87">
        <f t="array" ref="T87">(INDEX(INCVALUES,$Q87,$K$1)*100)</f>
        <v>1</v>
      </c>
      <c r="V87">
        <f t="array" ref="V87">+J87+(4*(INDEX(MatchScoreTable,$Q87,20)-1))</f>
        <v>4</v>
      </c>
      <c r="W87">
        <f t="array" ref="W87">INDEX(INC_MINVALUES,$V87,$K$1)</f>
        <v>480</v>
      </c>
      <c r="X87" s="212">
        <f t="array" ref="X87">INDEX(INC_INCVALUES,$V87,$K$1)</f>
        <v>4</v>
      </c>
    </row>
    <row r="88" ht="15.75" customHeight="1">
      <c r="A88" s="435"/>
      <c r="B88" s="436"/>
      <c r="C88" s="95" t="str">
        <f t="array" ref="C88">IF(I88&gt;0,INDEX(DB,I88,8),"")</f>
        <v/>
      </c>
      <c r="D88" s="437">
        <f t="shared" si="1"/>
        <v>0</v>
      </c>
      <c r="F88" s="438">
        <f t="shared" si="2"/>
        <v>0</v>
      </c>
      <c r="G88" t="str">
        <f t="shared" si="3"/>
        <v/>
      </c>
      <c r="H88" t="b">
        <f t="shared" si="4"/>
        <v>0</v>
      </c>
      <c r="I88" s="439">
        <f>IF(OR(ISBLANK(A88),ISNA(MATCH(A88&amp;"",AthleteNumbers,0))),0,MATCH(A88&amp;"",AthleteNumbers,0))</f>
        <v>0</v>
      </c>
      <c r="J88" s="209">
        <f t="array" ref="J88">IF(I88&gt;0,INDEX(DB,$I88,6),0)</f>
        <v>0</v>
      </c>
      <c r="K88" s="446">
        <f t="shared" si="5"/>
        <v>0</v>
      </c>
      <c r="L88" s="440">
        <f t="shared" si="6"/>
        <v>0</v>
      </c>
      <c r="M88" s="441">
        <f>IF(AND(L88&gt;O88,O88&gt;0),MinPoints,IF(AND(L88&lt;N88,O88&gt;0),100,+INT((O88-$L88)/P88)+MinPoints))</f>
        <v>100</v>
      </c>
      <c r="N88" s="440">
        <f t="shared" si="7"/>
        <v>90</v>
      </c>
      <c r="O88" s="440">
        <f t="shared" si="8"/>
        <v>180</v>
      </c>
      <c r="P88" s="440">
        <f t="shared" si="9"/>
        <v>1</v>
      </c>
      <c r="Q88">
        <f t="array" ref="Q88">IF(I88&gt;0,INDEX(DB,I88,9),EventIndex)</f>
        <v>6</v>
      </c>
      <c r="S88">
        <f t="array" ref="S88">(INT(INDEX(MINVALUES,$Q88,$K$1))*60)+(MOD(INDEX(MINVALUES,$Q88,$K$1),1)*100)</f>
        <v>180</v>
      </c>
      <c r="T88">
        <f t="array" ref="T88">(INDEX(INCVALUES,$Q88,$K$1)*100)</f>
        <v>1</v>
      </c>
      <c r="V88">
        <f t="array" ref="V88">+J88+(4*(INDEX(MatchScoreTable,$Q88,20)-1))</f>
        <v>4</v>
      </c>
      <c r="W88">
        <f t="array" ref="W88">INDEX(INC_MINVALUES,$V88,$K$1)</f>
        <v>480</v>
      </c>
      <c r="X88" s="212">
        <f t="array" ref="X88">INDEX(INC_INCVALUES,$V88,$K$1)</f>
        <v>4</v>
      </c>
    </row>
    <row r="89" ht="15.75" customHeight="1">
      <c r="A89" s="435"/>
      <c r="B89" s="436"/>
      <c r="C89" s="95" t="str">
        <f t="array" ref="C89">IF(I89&gt;0,INDEX(DB,I89,8),"")</f>
        <v/>
      </c>
      <c r="D89" s="437">
        <f t="shared" si="1"/>
        <v>0</v>
      </c>
      <c r="F89" s="438">
        <f t="shared" si="2"/>
        <v>0</v>
      </c>
      <c r="G89" t="str">
        <f t="shared" si="3"/>
        <v/>
      </c>
      <c r="H89" t="b">
        <f t="shared" si="4"/>
        <v>0</v>
      </c>
      <c r="I89" s="439">
        <f>IF(OR(ISBLANK(A89),ISNA(MATCH(A89&amp;"",AthleteNumbers,0))),0,MATCH(A89&amp;"",AthleteNumbers,0))</f>
        <v>0</v>
      </c>
      <c r="J89" s="209">
        <f t="array" ref="J89">IF(I89&gt;0,INDEX(DB,$I89,6),0)</f>
        <v>0</v>
      </c>
      <c r="K89" s="446">
        <f t="shared" si="5"/>
        <v>0</v>
      </c>
      <c r="L89" s="440">
        <f t="shared" si="6"/>
        <v>0</v>
      </c>
      <c r="M89" s="441">
        <f>IF(AND(L89&gt;O89,O89&gt;0),MinPoints,IF(AND(L89&lt;N89,O89&gt;0),100,+INT((O89-$L89)/P89)+MinPoints))</f>
        <v>100</v>
      </c>
      <c r="N89" s="440">
        <f t="shared" si="7"/>
        <v>90</v>
      </c>
      <c r="O89" s="440">
        <f t="shared" si="8"/>
        <v>180</v>
      </c>
      <c r="P89" s="440">
        <f t="shared" si="9"/>
        <v>1</v>
      </c>
      <c r="Q89">
        <f t="array" ref="Q89">IF(I89&gt;0,INDEX(DB,I89,9),EventIndex)</f>
        <v>6</v>
      </c>
      <c r="S89">
        <f t="array" ref="S89">(INT(INDEX(MINVALUES,$Q89,$K$1))*60)+(MOD(INDEX(MINVALUES,$Q89,$K$1),1)*100)</f>
        <v>180</v>
      </c>
      <c r="T89">
        <f t="array" ref="T89">(INDEX(INCVALUES,$Q89,$K$1)*100)</f>
        <v>1</v>
      </c>
      <c r="V89">
        <f t="array" ref="V89">+J89+(4*(INDEX(MatchScoreTable,$Q89,20)-1))</f>
        <v>4</v>
      </c>
      <c r="W89">
        <f t="array" ref="W89">INDEX(INC_MINVALUES,$V89,$K$1)</f>
        <v>480</v>
      </c>
      <c r="X89" s="212">
        <f t="array" ref="X89">INDEX(INC_INCVALUES,$V89,$K$1)</f>
        <v>4</v>
      </c>
    </row>
    <row r="90" ht="15.75" customHeight="1">
      <c r="A90" s="435"/>
      <c r="B90" s="436"/>
      <c r="C90" s="95" t="str">
        <f t="array" ref="C90">IF(I90&gt;0,INDEX(DB,I90,8),"")</f>
        <v/>
      </c>
      <c r="D90" s="437">
        <f t="shared" si="1"/>
        <v>0</v>
      </c>
      <c r="F90" s="438">
        <f t="shared" si="2"/>
        <v>0</v>
      </c>
      <c r="G90" t="str">
        <f t="shared" si="3"/>
        <v/>
      </c>
      <c r="H90" t="b">
        <f t="shared" si="4"/>
        <v>0</v>
      </c>
      <c r="I90" s="439">
        <f>IF(OR(ISBLANK(A90),ISNA(MATCH(A90&amp;"",AthleteNumbers,0))),0,MATCH(A90&amp;"",AthleteNumbers,0))</f>
        <v>0</v>
      </c>
      <c r="J90" s="209">
        <f t="array" ref="J90">IF(I90&gt;0,INDEX(DB,$I90,6),0)</f>
        <v>0</v>
      </c>
      <c r="K90" s="446">
        <f t="shared" si="5"/>
        <v>0</v>
      </c>
      <c r="L90" s="440">
        <f t="shared" si="6"/>
        <v>0</v>
      </c>
      <c r="M90" s="441">
        <f>IF(AND(L90&gt;O90,O90&gt;0),MinPoints,IF(AND(L90&lt;N90,O90&gt;0),100,+INT((O90-$L90)/P90)+MinPoints))</f>
        <v>100</v>
      </c>
      <c r="N90" s="440">
        <f t="shared" si="7"/>
        <v>90</v>
      </c>
      <c r="O90" s="440">
        <f t="shared" si="8"/>
        <v>180</v>
      </c>
      <c r="P90" s="440">
        <f t="shared" si="9"/>
        <v>1</v>
      </c>
      <c r="Q90">
        <f t="array" ref="Q90">IF(I90&gt;0,INDEX(DB,I90,9),EventIndex)</f>
        <v>6</v>
      </c>
      <c r="S90">
        <f t="array" ref="S90">(INT(INDEX(MINVALUES,$Q90,$K$1))*60)+(MOD(INDEX(MINVALUES,$Q90,$K$1),1)*100)</f>
        <v>180</v>
      </c>
      <c r="T90">
        <f t="array" ref="T90">(INDEX(INCVALUES,$Q90,$K$1)*100)</f>
        <v>1</v>
      </c>
      <c r="V90">
        <f t="array" ref="V90">+J90+(4*(INDEX(MatchScoreTable,$Q90,20)-1))</f>
        <v>4</v>
      </c>
      <c r="W90">
        <f t="array" ref="W90">INDEX(INC_MINVALUES,$V90,$K$1)</f>
        <v>480</v>
      </c>
      <c r="X90" s="212">
        <f t="array" ref="X90">INDEX(INC_INCVALUES,$V90,$K$1)</f>
        <v>4</v>
      </c>
    </row>
    <row r="91" ht="15.75" customHeight="1">
      <c r="A91" s="435"/>
      <c r="B91" s="436"/>
      <c r="C91" s="95" t="str">
        <f t="array" ref="C91">IF(I91&gt;0,INDEX(DB,I91,8),"")</f>
        <v/>
      </c>
      <c r="D91" s="437">
        <f t="shared" si="1"/>
        <v>0</v>
      </c>
      <c r="F91" s="438">
        <f t="shared" si="2"/>
        <v>0</v>
      </c>
      <c r="G91" t="str">
        <f t="shared" si="3"/>
        <v/>
      </c>
      <c r="H91" t="b">
        <f t="shared" si="4"/>
        <v>0</v>
      </c>
      <c r="I91" s="439">
        <f>IF(OR(ISBLANK(A91),ISNA(MATCH(A91&amp;"",AthleteNumbers,0))),0,MATCH(A91&amp;"",AthleteNumbers,0))</f>
        <v>0</v>
      </c>
      <c r="J91" s="209">
        <f t="array" ref="J91">IF(I91&gt;0,INDEX(DB,$I91,6),0)</f>
        <v>0</v>
      </c>
      <c r="K91" s="446">
        <f t="shared" si="5"/>
        <v>0</v>
      </c>
      <c r="L91" s="440">
        <f t="shared" si="6"/>
        <v>0</v>
      </c>
      <c r="M91" s="441">
        <f>IF(AND(L91&gt;O91,O91&gt;0),MinPoints,IF(AND(L91&lt;N91,O91&gt;0),100,+INT((O91-$L91)/P91)+MinPoints))</f>
        <v>100</v>
      </c>
      <c r="N91" s="440">
        <f t="shared" si="7"/>
        <v>90</v>
      </c>
      <c r="O91" s="440">
        <f t="shared" si="8"/>
        <v>180</v>
      </c>
      <c r="P91" s="440">
        <f t="shared" si="9"/>
        <v>1</v>
      </c>
      <c r="Q91">
        <f t="array" ref="Q91">IF(I91&gt;0,INDEX(DB,I91,9),EventIndex)</f>
        <v>6</v>
      </c>
      <c r="S91">
        <f t="array" ref="S91">(INT(INDEX(MINVALUES,$Q91,$K$1))*60)+(MOD(INDEX(MINVALUES,$Q91,$K$1),1)*100)</f>
        <v>180</v>
      </c>
      <c r="T91">
        <f t="array" ref="T91">(INDEX(INCVALUES,$Q91,$K$1)*100)</f>
        <v>1</v>
      </c>
      <c r="V91">
        <f t="array" ref="V91">+J91+(4*(INDEX(MatchScoreTable,$Q91,20)-1))</f>
        <v>4</v>
      </c>
      <c r="W91">
        <f t="array" ref="W91">INDEX(INC_MINVALUES,$V91,$K$1)</f>
        <v>480</v>
      </c>
      <c r="X91" s="212">
        <f t="array" ref="X91">INDEX(INC_INCVALUES,$V91,$K$1)</f>
        <v>4</v>
      </c>
    </row>
    <row r="92" ht="15.75" customHeight="1">
      <c r="A92" s="435"/>
      <c r="B92" s="436"/>
      <c r="C92" s="95" t="str">
        <f t="array" ref="C92">IF(I92&gt;0,INDEX(DB,I92,8),"")</f>
        <v/>
      </c>
      <c r="D92" s="437">
        <f t="shared" si="1"/>
        <v>0</v>
      </c>
      <c r="F92" s="438">
        <f t="shared" si="2"/>
        <v>0</v>
      </c>
      <c r="G92" t="str">
        <f t="shared" si="3"/>
        <v/>
      </c>
      <c r="H92" t="b">
        <f t="shared" si="4"/>
        <v>0</v>
      </c>
      <c r="I92" s="439">
        <f>IF(OR(ISBLANK(A92),ISNA(MATCH(A92&amp;"",AthleteNumbers,0))),0,MATCH(A92&amp;"",AthleteNumbers,0))</f>
        <v>0</v>
      </c>
      <c r="J92" s="209">
        <f t="array" ref="J92">IF(I92&gt;0,INDEX(DB,$I92,6),0)</f>
        <v>0</v>
      </c>
      <c r="K92" s="446">
        <f t="shared" si="5"/>
        <v>0</v>
      </c>
      <c r="L92" s="440">
        <f t="shared" si="6"/>
        <v>0</v>
      </c>
      <c r="M92" s="441">
        <f>IF(AND(L92&gt;O92,O92&gt;0),MinPoints,IF(AND(L92&lt;N92,O92&gt;0),100,+INT((O92-$L92)/P92)+MinPoints))</f>
        <v>100</v>
      </c>
      <c r="N92" s="440">
        <f t="shared" si="7"/>
        <v>90</v>
      </c>
      <c r="O92" s="440">
        <f t="shared" si="8"/>
        <v>180</v>
      </c>
      <c r="P92" s="440">
        <f t="shared" si="9"/>
        <v>1</v>
      </c>
      <c r="Q92">
        <f t="array" ref="Q92">IF(I92&gt;0,INDEX(DB,I92,9),EventIndex)</f>
        <v>6</v>
      </c>
      <c r="S92">
        <f t="array" ref="S92">(INT(INDEX(MINVALUES,$Q92,$K$1))*60)+(MOD(INDEX(MINVALUES,$Q92,$K$1),1)*100)</f>
        <v>180</v>
      </c>
      <c r="T92">
        <f t="array" ref="T92">(INDEX(INCVALUES,$Q92,$K$1)*100)</f>
        <v>1</v>
      </c>
      <c r="V92">
        <f t="array" ref="V92">+J92+(4*(INDEX(MatchScoreTable,$Q92,20)-1))</f>
        <v>4</v>
      </c>
      <c r="W92">
        <f t="array" ref="W92">INDEX(INC_MINVALUES,$V92,$K$1)</f>
        <v>480</v>
      </c>
      <c r="X92" s="212">
        <f t="array" ref="X92">INDEX(INC_INCVALUES,$V92,$K$1)</f>
        <v>4</v>
      </c>
    </row>
    <row r="93" ht="15.75" customHeight="1">
      <c r="A93" s="435"/>
      <c r="B93" s="436"/>
      <c r="C93" s="95" t="str">
        <f t="array" ref="C93">IF(I93&gt;0,INDEX(DB,I93,8),"")</f>
        <v/>
      </c>
      <c r="D93" s="437">
        <f t="shared" si="1"/>
        <v>0</v>
      </c>
      <c r="F93" s="438">
        <f t="shared" si="2"/>
        <v>0</v>
      </c>
      <c r="G93" t="str">
        <f t="shared" si="3"/>
        <v/>
      </c>
      <c r="H93" t="b">
        <f t="shared" si="4"/>
        <v>0</v>
      </c>
      <c r="I93" s="439">
        <f>IF(OR(ISBLANK(A93),ISNA(MATCH(A93&amp;"",AthleteNumbers,0))),0,MATCH(A93&amp;"",AthleteNumbers,0))</f>
        <v>0</v>
      </c>
      <c r="J93" s="209">
        <f t="array" ref="J93">IF(I93&gt;0,INDEX(DB,$I93,6),0)</f>
        <v>0</v>
      </c>
      <c r="K93" s="446">
        <f t="shared" si="5"/>
        <v>0</v>
      </c>
      <c r="L93" s="440">
        <f t="shared" si="6"/>
        <v>0</v>
      </c>
      <c r="M93" s="441">
        <f>IF(AND(L93&gt;O93,O93&gt;0),MinPoints,IF(AND(L93&lt;N93,O93&gt;0),100,+INT((O93-$L93)/P93)+MinPoints))</f>
        <v>100</v>
      </c>
      <c r="N93" s="440">
        <f t="shared" si="7"/>
        <v>90</v>
      </c>
      <c r="O93" s="440">
        <f t="shared" si="8"/>
        <v>180</v>
      </c>
      <c r="P93" s="440">
        <f t="shared" si="9"/>
        <v>1</v>
      </c>
      <c r="Q93">
        <f t="array" ref="Q93">IF(I93&gt;0,INDEX(DB,I93,9),EventIndex)</f>
        <v>6</v>
      </c>
      <c r="S93">
        <f t="array" ref="S93">(INT(INDEX(MINVALUES,$Q93,$K$1))*60)+(MOD(INDEX(MINVALUES,$Q93,$K$1),1)*100)</f>
        <v>180</v>
      </c>
      <c r="T93">
        <f t="array" ref="T93">(INDEX(INCVALUES,$Q93,$K$1)*100)</f>
        <v>1</v>
      </c>
      <c r="V93">
        <f t="array" ref="V93">+J93+(4*(INDEX(MatchScoreTable,$Q93,20)-1))</f>
        <v>4</v>
      </c>
      <c r="W93">
        <f t="array" ref="W93">INDEX(INC_MINVALUES,$V93,$K$1)</f>
        <v>480</v>
      </c>
      <c r="X93" s="212">
        <f t="array" ref="X93">INDEX(INC_INCVALUES,$V93,$K$1)</f>
        <v>4</v>
      </c>
    </row>
    <row r="94" ht="15.75" customHeight="1">
      <c r="A94" s="435"/>
      <c r="B94" s="436"/>
      <c r="C94" s="95" t="str">
        <f t="array" ref="C94">IF(I94&gt;0,INDEX(DB,I94,8),"")</f>
        <v/>
      </c>
      <c r="D94" s="437">
        <f t="shared" si="1"/>
        <v>0</v>
      </c>
      <c r="F94" s="438">
        <f t="shared" si="2"/>
        <v>0</v>
      </c>
      <c r="G94" t="str">
        <f t="shared" si="3"/>
        <v/>
      </c>
      <c r="H94" t="b">
        <f t="shared" si="4"/>
        <v>0</v>
      </c>
      <c r="I94" s="439">
        <f>IF(OR(ISBLANK(A94),ISNA(MATCH(A94&amp;"",AthleteNumbers,0))),0,MATCH(A94&amp;"",AthleteNumbers,0))</f>
        <v>0</v>
      </c>
      <c r="J94" s="209">
        <f t="array" ref="J94">IF(I94&gt;0,INDEX(DB,$I94,6),0)</f>
        <v>0</v>
      </c>
      <c r="K94" s="446">
        <f t="shared" si="5"/>
        <v>0</v>
      </c>
      <c r="L94" s="440">
        <f t="shared" si="6"/>
        <v>0</v>
      </c>
      <c r="M94" s="441">
        <f>IF(AND(L94&gt;O94,O94&gt;0),MinPoints,IF(AND(L94&lt;N94,O94&gt;0),100,+INT((O94-$L94)/P94)+MinPoints))</f>
        <v>100</v>
      </c>
      <c r="N94" s="440">
        <f t="shared" si="7"/>
        <v>90</v>
      </c>
      <c r="O94" s="440">
        <f t="shared" si="8"/>
        <v>180</v>
      </c>
      <c r="P94" s="440">
        <f t="shared" si="9"/>
        <v>1</v>
      </c>
      <c r="Q94">
        <f t="array" ref="Q94">IF(I94&gt;0,INDEX(DB,I94,9),EventIndex)</f>
        <v>6</v>
      </c>
      <c r="S94">
        <f t="array" ref="S94">(INT(INDEX(MINVALUES,$Q94,$K$1))*60)+(MOD(INDEX(MINVALUES,$Q94,$K$1),1)*100)</f>
        <v>180</v>
      </c>
      <c r="T94">
        <f t="array" ref="T94">(INDEX(INCVALUES,$Q94,$K$1)*100)</f>
        <v>1</v>
      </c>
      <c r="V94">
        <f t="array" ref="V94">+J94+(4*(INDEX(MatchScoreTable,$Q94,20)-1))</f>
        <v>4</v>
      </c>
      <c r="W94">
        <f t="array" ref="W94">INDEX(INC_MINVALUES,$V94,$K$1)</f>
        <v>480</v>
      </c>
      <c r="X94" s="212">
        <f t="array" ref="X94">INDEX(INC_INCVALUES,$V94,$K$1)</f>
        <v>4</v>
      </c>
    </row>
    <row r="95" ht="15.75" customHeight="1">
      <c r="A95" s="435"/>
      <c r="B95" s="436"/>
      <c r="C95" s="95" t="str">
        <f t="array" ref="C95">IF(I95&gt;0,INDEX(DB,I95,8),"")</f>
        <v/>
      </c>
      <c r="D95" s="437">
        <f t="shared" si="1"/>
        <v>0</v>
      </c>
      <c r="F95" s="438">
        <f t="shared" si="2"/>
        <v>0</v>
      </c>
      <c r="G95" t="str">
        <f t="shared" si="3"/>
        <v/>
      </c>
      <c r="H95" t="b">
        <f t="shared" si="4"/>
        <v>0</v>
      </c>
      <c r="I95" s="439">
        <f>IF(OR(ISBLANK(A95),ISNA(MATCH(A95&amp;"",AthleteNumbers,0))),0,MATCH(A95&amp;"",AthleteNumbers,0))</f>
        <v>0</v>
      </c>
      <c r="J95" s="209">
        <f t="array" ref="J95">IF(I95&gt;0,INDEX(DB,$I95,6),0)</f>
        <v>0</v>
      </c>
      <c r="K95" s="446">
        <f t="shared" si="5"/>
        <v>0</v>
      </c>
      <c r="L95" s="440">
        <f t="shared" si="6"/>
        <v>0</v>
      </c>
      <c r="M95" s="441">
        <f>IF(AND(L95&gt;O95,O95&gt;0),MinPoints,IF(AND(L95&lt;N95,O95&gt;0),100,+INT((O95-$L95)/P95)+MinPoints))</f>
        <v>100</v>
      </c>
      <c r="N95" s="440">
        <f t="shared" si="7"/>
        <v>90</v>
      </c>
      <c r="O95" s="440">
        <f t="shared" si="8"/>
        <v>180</v>
      </c>
      <c r="P95" s="440">
        <f t="shared" si="9"/>
        <v>1</v>
      </c>
      <c r="Q95">
        <f t="array" ref="Q95">IF(I95&gt;0,INDEX(DB,I95,9),EventIndex)</f>
        <v>6</v>
      </c>
      <c r="S95">
        <f t="array" ref="S95">(INT(INDEX(MINVALUES,$Q95,$K$1))*60)+(MOD(INDEX(MINVALUES,$Q95,$K$1),1)*100)</f>
        <v>180</v>
      </c>
      <c r="T95">
        <f t="array" ref="T95">(INDEX(INCVALUES,$Q95,$K$1)*100)</f>
        <v>1</v>
      </c>
      <c r="V95">
        <f t="array" ref="V95">+J95+(4*(INDEX(MatchScoreTable,$Q95,20)-1))</f>
        <v>4</v>
      </c>
      <c r="W95">
        <f t="array" ref="W95">INDEX(INC_MINVALUES,$V95,$K$1)</f>
        <v>480</v>
      </c>
      <c r="X95" s="212">
        <f t="array" ref="X95">INDEX(INC_INCVALUES,$V95,$K$1)</f>
        <v>4</v>
      </c>
    </row>
    <row r="96" ht="15.75" customHeight="1">
      <c r="A96" s="435"/>
      <c r="B96" s="436"/>
      <c r="C96" s="95" t="str">
        <f t="array" ref="C96">IF(I96&gt;0,INDEX(DB,I96,8),"")</f>
        <v/>
      </c>
      <c r="D96" s="437">
        <f t="shared" si="1"/>
        <v>0</v>
      </c>
      <c r="F96" s="438">
        <f t="shared" si="2"/>
        <v>0</v>
      </c>
      <c r="G96" t="str">
        <f t="shared" si="3"/>
        <v/>
      </c>
      <c r="H96" t="b">
        <f t="shared" si="4"/>
        <v>0</v>
      </c>
      <c r="I96" s="439">
        <f>IF(OR(ISBLANK(A96),ISNA(MATCH(A96&amp;"",AthleteNumbers,0))),0,MATCH(A96&amp;"",AthleteNumbers,0))</f>
        <v>0</v>
      </c>
      <c r="J96" s="209">
        <f t="array" ref="J96">IF(I96&gt;0,INDEX(DB,$I96,6),0)</f>
        <v>0</v>
      </c>
      <c r="K96" s="446">
        <f t="shared" si="5"/>
        <v>0</v>
      </c>
      <c r="L96" s="440">
        <f t="shared" si="6"/>
        <v>0</v>
      </c>
      <c r="M96" s="441">
        <f>IF(AND(L96&gt;O96,O96&gt;0),MinPoints,IF(AND(L96&lt;N96,O96&gt;0),100,+INT((O96-$L96)/P96)+MinPoints))</f>
        <v>100</v>
      </c>
      <c r="N96" s="440">
        <f t="shared" si="7"/>
        <v>90</v>
      </c>
      <c r="O96" s="440">
        <f t="shared" si="8"/>
        <v>180</v>
      </c>
      <c r="P96" s="440">
        <f t="shared" si="9"/>
        <v>1</v>
      </c>
      <c r="Q96">
        <f t="array" ref="Q96">IF(I96&gt;0,INDEX(DB,I96,9),EventIndex)</f>
        <v>6</v>
      </c>
      <c r="S96">
        <f t="array" ref="S96">(INT(INDEX(MINVALUES,$Q96,$K$1))*60)+(MOD(INDEX(MINVALUES,$Q96,$K$1),1)*100)</f>
        <v>180</v>
      </c>
      <c r="T96">
        <f t="array" ref="T96">(INDEX(INCVALUES,$Q96,$K$1)*100)</f>
        <v>1</v>
      </c>
      <c r="V96">
        <f t="array" ref="V96">+J96+(4*(INDEX(MatchScoreTable,$Q96,20)-1))</f>
        <v>4</v>
      </c>
      <c r="W96">
        <f t="array" ref="W96">INDEX(INC_MINVALUES,$V96,$K$1)</f>
        <v>480</v>
      </c>
      <c r="X96" s="212">
        <f t="array" ref="X96">INDEX(INC_INCVALUES,$V96,$K$1)</f>
        <v>4</v>
      </c>
    </row>
    <row r="97" ht="15.75" customHeight="1">
      <c r="A97" s="435"/>
      <c r="B97" s="436"/>
      <c r="C97" s="95" t="str">
        <f t="array" ref="C97">IF(I97&gt;0,INDEX(DB,I97,8),"")</f>
        <v/>
      </c>
      <c r="D97" s="437">
        <f t="shared" si="1"/>
        <v>0</v>
      </c>
      <c r="F97" s="438">
        <f t="shared" si="2"/>
        <v>0</v>
      </c>
      <c r="G97" t="str">
        <f t="shared" si="3"/>
        <v/>
      </c>
      <c r="H97" t="b">
        <f t="shared" si="4"/>
        <v>0</v>
      </c>
      <c r="I97" s="439">
        <f>IF(OR(ISBLANK(A97),ISNA(MATCH(A97&amp;"",AthleteNumbers,0))),0,MATCH(A97&amp;"",AthleteNumbers,0))</f>
        <v>0</v>
      </c>
      <c r="J97" s="209">
        <f t="array" ref="J97">IF(I97&gt;0,INDEX(DB,$I97,6),0)</f>
        <v>0</v>
      </c>
      <c r="K97" s="446">
        <f t="shared" si="5"/>
        <v>0</v>
      </c>
      <c r="L97" s="440">
        <f t="shared" si="6"/>
        <v>0</v>
      </c>
      <c r="M97" s="441">
        <f>IF(AND(L97&gt;O97,O97&gt;0),MinPoints,IF(AND(L97&lt;N97,O97&gt;0),100,+INT((O97-$L97)/P97)+MinPoints))</f>
        <v>100</v>
      </c>
      <c r="N97" s="440">
        <f t="shared" si="7"/>
        <v>90</v>
      </c>
      <c r="O97" s="440">
        <f t="shared" si="8"/>
        <v>180</v>
      </c>
      <c r="P97" s="440">
        <f t="shared" si="9"/>
        <v>1</v>
      </c>
      <c r="Q97">
        <f t="array" ref="Q97">IF(I97&gt;0,INDEX(DB,I97,9),EventIndex)</f>
        <v>6</v>
      </c>
      <c r="S97">
        <f t="array" ref="S97">(INT(INDEX(MINVALUES,$Q97,$K$1))*60)+(MOD(INDEX(MINVALUES,$Q97,$K$1),1)*100)</f>
        <v>180</v>
      </c>
      <c r="T97">
        <f t="array" ref="T97">(INDEX(INCVALUES,$Q97,$K$1)*100)</f>
        <v>1</v>
      </c>
      <c r="V97">
        <f t="array" ref="V97">+J97+(4*(INDEX(MatchScoreTable,$Q97,20)-1))</f>
        <v>4</v>
      </c>
      <c r="W97">
        <f t="array" ref="W97">INDEX(INC_MINVALUES,$V97,$K$1)</f>
        <v>480</v>
      </c>
      <c r="X97" s="212">
        <f t="array" ref="X97">INDEX(INC_INCVALUES,$V97,$K$1)</f>
        <v>4</v>
      </c>
    </row>
    <row r="98" ht="15.75" customHeight="1">
      <c r="A98" s="435"/>
      <c r="B98" s="436"/>
      <c r="C98" s="95" t="str">
        <f t="array" ref="C98">IF(I98&gt;0,INDEX(DB,I98,8),"")</f>
        <v/>
      </c>
      <c r="D98" s="437">
        <f t="shared" si="1"/>
        <v>0</v>
      </c>
      <c r="F98" s="438">
        <f t="shared" si="2"/>
        <v>0</v>
      </c>
      <c r="G98" t="str">
        <f t="shared" si="3"/>
        <v/>
      </c>
      <c r="H98" t="b">
        <f t="shared" si="4"/>
        <v>0</v>
      </c>
      <c r="I98" s="439">
        <f>IF(OR(ISBLANK(A98),ISNA(MATCH(A98&amp;"",AthleteNumbers,0))),0,MATCH(A98&amp;"",AthleteNumbers,0))</f>
        <v>0</v>
      </c>
      <c r="J98" s="209">
        <f t="array" ref="J98">IF(I98&gt;0,INDEX(DB,$I98,6),0)</f>
        <v>0</v>
      </c>
      <c r="K98" s="446">
        <f t="shared" si="5"/>
        <v>0</v>
      </c>
      <c r="L98" s="440">
        <f t="shared" si="6"/>
        <v>0</v>
      </c>
      <c r="M98" s="441">
        <f>IF(AND(L98&gt;O98,O98&gt;0),MinPoints,IF(AND(L98&lt;N98,O98&gt;0),100,+INT((O98-$L98)/P98)+MinPoints))</f>
        <v>100</v>
      </c>
      <c r="N98" s="440">
        <f t="shared" si="7"/>
        <v>90</v>
      </c>
      <c r="O98" s="440">
        <f t="shared" si="8"/>
        <v>180</v>
      </c>
      <c r="P98" s="440">
        <f t="shared" si="9"/>
        <v>1</v>
      </c>
      <c r="Q98">
        <f t="array" ref="Q98">IF(I98&gt;0,INDEX(DB,I98,9),EventIndex)</f>
        <v>6</v>
      </c>
      <c r="S98">
        <f t="array" ref="S98">(INT(INDEX(MINVALUES,$Q98,$K$1))*60)+(MOD(INDEX(MINVALUES,$Q98,$K$1),1)*100)</f>
        <v>180</v>
      </c>
      <c r="T98">
        <f t="array" ref="T98">(INDEX(INCVALUES,$Q98,$K$1)*100)</f>
        <v>1</v>
      </c>
      <c r="V98">
        <f t="array" ref="V98">+J98+(4*(INDEX(MatchScoreTable,$Q98,20)-1))</f>
        <v>4</v>
      </c>
      <c r="W98">
        <f t="array" ref="W98">INDEX(INC_MINVALUES,$V98,$K$1)</f>
        <v>480</v>
      </c>
      <c r="X98" s="212">
        <f t="array" ref="X98">INDEX(INC_INCVALUES,$V98,$K$1)</f>
        <v>4</v>
      </c>
    </row>
    <row r="99" ht="15.75" customHeight="1">
      <c r="A99" s="435"/>
      <c r="B99" s="436"/>
      <c r="C99" s="95" t="str">
        <f t="array" ref="C99">IF(I99&gt;0,INDEX(DB,I99,8),"")</f>
        <v/>
      </c>
      <c r="D99" s="437">
        <f t="shared" si="1"/>
        <v>0</v>
      </c>
      <c r="F99" s="438">
        <f t="shared" si="2"/>
        <v>0</v>
      </c>
      <c r="G99" t="str">
        <f t="shared" si="3"/>
        <v/>
      </c>
      <c r="H99" t="b">
        <f t="shared" si="4"/>
        <v>0</v>
      </c>
      <c r="I99" s="439">
        <f>IF(OR(ISBLANK(A99),ISNA(MATCH(A99&amp;"",AthleteNumbers,0))),0,MATCH(A99&amp;"",AthleteNumbers,0))</f>
        <v>0</v>
      </c>
      <c r="J99" s="209">
        <f t="array" ref="J99">IF(I99&gt;0,INDEX(DB,$I99,6),0)</f>
        <v>0</v>
      </c>
      <c r="K99" s="446">
        <f t="shared" si="5"/>
        <v>0</v>
      </c>
      <c r="L99" s="440">
        <f t="shared" si="6"/>
        <v>0</v>
      </c>
      <c r="M99" s="441">
        <f>IF(AND(L99&gt;O99,O99&gt;0),MinPoints,IF(AND(L99&lt;N99,O99&gt;0),100,+INT((O99-$L99)/P99)+MinPoints))</f>
        <v>100</v>
      </c>
      <c r="N99" s="440">
        <f t="shared" si="7"/>
        <v>90</v>
      </c>
      <c r="O99" s="440">
        <f t="shared" si="8"/>
        <v>180</v>
      </c>
      <c r="P99" s="440">
        <f t="shared" si="9"/>
        <v>1</v>
      </c>
      <c r="Q99">
        <f t="array" ref="Q99">IF(I99&gt;0,INDEX(DB,I99,9),EventIndex)</f>
        <v>6</v>
      </c>
      <c r="S99">
        <f t="array" ref="S99">(INT(INDEX(MINVALUES,$Q99,$K$1))*60)+(MOD(INDEX(MINVALUES,$Q99,$K$1),1)*100)</f>
        <v>180</v>
      </c>
      <c r="T99">
        <f t="array" ref="T99">(INDEX(INCVALUES,$Q99,$K$1)*100)</f>
        <v>1</v>
      </c>
      <c r="V99">
        <f t="array" ref="V99">+J99+(4*(INDEX(MatchScoreTable,$Q99,20)-1))</f>
        <v>4</v>
      </c>
      <c r="W99">
        <f t="array" ref="W99">INDEX(INC_MINVALUES,$V99,$K$1)</f>
        <v>480</v>
      </c>
      <c r="X99" s="212">
        <f t="array" ref="X99">INDEX(INC_INCVALUES,$V99,$K$1)</f>
        <v>4</v>
      </c>
    </row>
    <row r="100" ht="15.75" customHeight="1">
      <c r="A100" s="435"/>
      <c r="B100" s="436"/>
      <c r="C100" s="95" t="str">
        <f t="array" ref="C100">IF(I100&gt;0,INDEX(DB,I100,8),"")</f>
        <v/>
      </c>
      <c r="D100" s="437">
        <f t="shared" si="1"/>
        <v>0</v>
      </c>
      <c r="F100" s="438">
        <f t="shared" si="2"/>
        <v>0</v>
      </c>
      <c r="G100" t="str">
        <f t="shared" si="3"/>
        <v/>
      </c>
      <c r="H100" t="b">
        <f t="shared" si="4"/>
        <v>0</v>
      </c>
      <c r="I100" s="439">
        <f>IF(OR(ISBLANK(A100),ISNA(MATCH(A100&amp;"",AthleteNumbers,0))),0,MATCH(A100&amp;"",AthleteNumbers,0))</f>
        <v>0</v>
      </c>
      <c r="J100" s="209">
        <f t="array" ref="J100">IF(I100&gt;0,INDEX(DB,$I100,6),0)</f>
        <v>0</v>
      </c>
      <c r="K100" s="446">
        <f t="shared" si="5"/>
        <v>0</v>
      </c>
      <c r="L100" s="440">
        <f t="shared" si="6"/>
        <v>0</v>
      </c>
      <c r="M100" s="441">
        <f>IF(AND(L100&gt;O100,O100&gt;0),MinPoints,IF(AND(L100&lt;N100,O100&gt;0),100,+INT((O100-$L100)/P100)+MinPoints))</f>
        <v>100</v>
      </c>
      <c r="N100" s="440">
        <f t="shared" si="7"/>
        <v>90</v>
      </c>
      <c r="O100" s="440">
        <f t="shared" si="8"/>
        <v>180</v>
      </c>
      <c r="P100" s="440">
        <f t="shared" si="9"/>
        <v>1</v>
      </c>
      <c r="Q100">
        <f t="array" ref="Q100">IF(I100&gt;0,INDEX(DB,I100,9),EventIndex)</f>
        <v>6</v>
      </c>
      <c r="S100">
        <f t="array" ref="S100">(INT(INDEX(MINVALUES,$Q100,$K$1))*60)+(MOD(INDEX(MINVALUES,$Q100,$K$1),1)*100)</f>
        <v>180</v>
      </c>
      <c r="T100">
        <f t="array" ref="T100">(INDEX(INCVALUES,$Q100,$K$1)*100)</f>
        <v>1</v>
      </c>
      <c r="V100">
        <f t="array" ref="V100">+J100+(4*(INDEX(MatchScoreTable,$Q100,20)-1))</f>
        <v>4</v>
      </c>
      <c r="W100">
        <f t="array" ref="W100">INDEX(INC_MINVALUES,$V100,$K$1)</f>
        <v>480</v>
      </c>
      <c r="X100" s="212">
        <f t="array" ref="X100">INDEX(INC_INCVALUES,$V100,$K$1)</f>
        <v>4</v>
      </c>
    </row>
    <row r="101" ht="15.75" customHeight="1">
      <c r="A101" s="435"/>
      <c r="B101" s="436"/>
      <c r="C101" s="95" t="str">
        <f t="array" ref="C101">IF(I101&gt;0,INDEX(DB,I101,8),"")</f>
        <v/>
      </c>
      <c r="D101" s="437">
        <f t="shared" si="1"/>
        <v>0</v>
      </c>
      <c r="F101" s="438">
        <f t="shared" si="2"/>
        <v>0</v>
      </c>
      <c r="G101" t="str">
        <f t="shared" si="3"/>
        <v/>
      </c>
      <c r="H101" t="b">
        <f t="shared" si="4"/>
        <v>0</v>
      </c>
      <c r="I101" s="439">
        <f>IF(OR(ISBLANK(A101),ISNA(MATCH(A101&amp;"",AthleteNumbers,0))),0,MATCH(A101&amp;"",AthleteNumbers,0))</f>
        <v>0</v>
      </c>
      <c r="J101" s="209">
        <f t="array" ref="J101">IF(I101&gt;0,INDEX(DB,$I101,6),0)</f>
        <v>0</v>
      </c>
      <c r="K101" s="446">
        <f t="shared" si="5"/>
        <v>0</v>
      </c>
      <c r="L101" s="440">
        <f t="shared" si="6"/>
        <v>0</v>
      </c>
      <c r="M101" s="441">
        <f>IF(AND(L101&gt;O101,O101&gt;0),MinPoints,IF(AND(L101&lt;N101,O101&gt;0),100,+INT((O101-$L101)/P101)+MinPoints))</f>
        <v>100</v>
      </c>
      <c r="N101" s="440">
        <f t="shared" si="7"/>
        <v>90</v>
      </c>
      <c r="O101" s="440">
        <f t="shared" si="8"/>
        <v>180</v>
      </c>
      <c r="P101" s="440">
        <f t="shared" si="9"/>
        <v>1</v>
      </c>
      <c r="Q101">
        <f t="array" ref="Q101">IF(I101&gt;0,INDEX(DB,I101,9),EventIndex)</f>
        <v>6</v>
      </c>
      <c r="S101">
        <f t="array" ref="S101">(INT(INDEX(MINVALUES,$Q101,$K$1))*60)+(MOD(INDEX(MINVALUES,$Q101,$K$1),1)*100)</f>
        <v>180</v>
      </c>
      <c r="T101">
        <f t="array" ref="T101">(INDEX(INCVALUES,$Q101,$K$1)*100)</f>
        <v>1</v>
      </c>
      <c r="V101">
        <f t="array" ref="V101">+J101+(4*(INDEX(MatchScoreTable,$Q101,20)-1))</f>
        <v>4</v>
      </c>
      <c r="W101">
        <f t="array" ref="W101">INDEX(INC_MINVALUES,$V101,$K$1)</f>
        <v>480</v>
      </c>
      <c r="X101" s="212">
        <f t="array" ref="X101">INDEX(INC_INCVALUES,$V101,$K$1)</f>
        <v>4</v>
      </c>
    </row>
    <row r="102" ht="15.75" customHeight="1">
      <c r="A102" s="435"/>
      <c r="B102" s="436"/>
      <c r="C102" s="95" t="str">
        <f t="array" ref="C102">IF(I102&gt;0,INDEX(DB,I102,8),"")</f>
        <v/>
      </c>
      <c r="D102" s="437">
        <f t="shared" si="1"/>
        <v>0</v>
      </c>
      <c r="F102" s="438">
        <f t="shared" si="2"/>
        <v>0</v>
      </c>
      <c r="G102" t="str">
        <f t="shared" si="3"/>
        <v/>
      </c>
      <c r="H102" t="b">
        <f t="shared" si="4"/>
        <v>0</v>
      </c>
      <c r="I102" s="439">
        <f>IF(OR(ISBLANK(A102),ISNA(MATCH(A102&amp;"",AthleteNumbers,0))),0,MATCH(A102&amp;"",AthleteNumbers,0))</f>
        <v>0</v>
      </c>
      <c r="J102" s="209">
        <f t="array" ref="J102">IF(I102&gt;0,INDEX(DB,$I102,6),0)</f>
        <v>0</v>
      </c>
      <c r="K102" s="446">
        <f t="shared" si="5"/>
        <v>0</v>
      </c>
      <c r="L102" s="440">
        <f t="shared" si="6"/>
        <v>0</v>
      </c>
      <c r="M102" s="441">
        <f>IF(AND(L102&gt;O102,O102&gt;0),MinPoints,IF(AND(L102&lt;N102,O102&gt;0),100,+INT((O102-$L102)/P102)+MinPoints))</f>
        <v>100</v>
      </c>
      <c r="N102" s="440">
        <f t="shared" si="7"/>
        <v>90</v>
      </c>
      <c r="O102" s="440">
        <f t="shared" si="8"/>
        <v>180</v>
      </c>
      <c r="P102" s="440">
        <f t="shared" si="9"/>
        <v>1</v>
      </c>
      <c r="Q102">
        <f t="array" ref="Q102">IF(I102&gt;0,INDEX(DB,I102,9),EventIndex)</f>
        <v>6</v>
      </c>
      <c r="S102">
        <f t="array" ref="S102">(INT(INDEX(MINVALUES,$Q102,$K$1))*60)+(MOD(INDEX(MINVALUES,$Q102,$K$1),1)*100)</f>
        <v>180</v>
      </c>
      <c r="T102">
        <f t="array" ref="T102">(INDEX(INCVALUES,$Q102,$K$1)*100)</f>
        <v>1</v>
      </c>
      <c r="V102">
        <f t="array" ref="V102">+J102+(4*(INDEX(MatchScoreTable,$Q102,20)-1))</f>
        <v>4</v>
      </c>
      <c r="W102">
        <f t="array" ref="W102">INDEX(INC_MINVALUES,$V102,$K$1)</f>
        <v>480</v>
      </c>
      <c r="X102" s="212">
        <f t="array" ref="X102">INDEX(INC_INCVALUES,$V102,$K$1)</f>
        <v>4</v>
      </c>
    </row>
    <row r="103" ht="15.75" customHeight="1">
      <c r="A103" s="435"/>
      <c r="B103" s="436"/>
      <c r="C103" s="95" t="str">
        <f t="array" ref="C103">IF(I103&gt;0,INDEX(DB,I103,8),"")</f>
        <v/>
      </c>
      <c r="D103" s="437">
        <f t="shared" si="1"/>
        <v>0</v>
      </c>
      <c r="F103" s="438">
        <f t="shared" si="2"/>
        <v>0</v>
      </c>
      <c r="G103" t="str">
        <f t="shared" si="3"/>
        <v/>
      </c>
      <c r="H103" t="b">
        <f t="shared" si="4"/>
        <v>0</v>
      </c>
      <c r="I103" s="439">
        <f>IF(OR(ISBLANK(A103),ISNA(MATCH(A103&amp;"",AthleteNumbers,0))),0,MATCH(A103&amp;"",AthleteNumbers,0))</f>
        <v>0</v>
      </c>
      <c r="J103" s="209">
        <f t="array" ref="J103">IF(I103&gt;0,INDEX(DB,$I103,6),0)</f>
        <v>0</v>
      </c>
      <c r="K103" s="446">
        <f t="shared" si="5"/>
        <v>0</v>
      </c>
      <c r="L103" s="440">
        <f t="shared" si="6"/>
        <v>0</v>
      </c>
      <c r="M103" s="441">
        <f>IF(AND(L103&gt;O103,O103&gt;0),MinPoints,IF(AND(L103&lt;N103,O103&gt;0),100,+INT((O103-$L103)/P103)+MinPoints))</f>
        <v>100</v>
      </c>
      <c r="N103" s="440">
        <f t="shared" si="7"/>
        <v>90</v>
      </c>
      <c r="O103" s="440">
        <f t="shared" si="8"/>
        <v>180</v>
      </c>
      <c r="P103" s="440">
        <f t="shared" si="9"/>
        <v>1</v>
      </c>
      <c r="Q103">
        <f t="array" ref="Q103">IF(I103&gt;0,INDEX(DB,I103,9),EventIndex)</f>
        <v>6</v>
      </c>
      <c r="S103">
        <f t="array" ref="S103">(INT(INDEX(MINVALUES,$Q103,$K$1))*60)+(MOD(INDEX(MINVALUES,$Q103,$K$1),1)*100)</f>
        <v>180</v>
      </c>
      <c r="T103">
        <f t="array" ref="T103">(INDEX(INCVALUES,$Q103,$K$1)*100)</f>
        <v>1</v>
      </c>
      <c r="V103">
        <f t="array" ref="V103">+J103+(4*(INDEX(MatchScoreTable,$Q103,20)-1))</f>
        <v>4</v>
      </c>
      <c r="W103">
        <f t="array" ref="W103">INDEX(INC_MINVALUES,$V103,$K$1)</f>
        <v>480</v>
      </c>
      <c r="X103" s="212">
        <f t="array" ref="X103">INDEX(INC_INCVALUES,$V103,$K$1)</f>
        <v>4</v>
      </c>
    </row>
    <row r="104" ht="15.75" customHeight="1">
      <c r="A104" s="435"/>
      <c r="B104" s="436"/>
      <c r="C104" s="95" t="str">
        <f t="array" ref="C104">IF(I104&gt;0,INDEX(DB,I104,8),"")</f>
        <v/>
      </c>
      <c r="D104" s="437">
        <f t="shared" si="1"/>
        <v>0</v>
      </c>
      <c r="F104" s="438">
        <f t="shared" si="2"/>
        <v>0</v>
      </c>
      <c r="G104" t="str">
        <f t="shared" si="3"/>
        <v/>
      </c>
      <c r="H104" t="b">
        <f t="shared" si="4"/>
        <v>0</v>
      </c>
      <c r="I104" s="439">
        <f>IF(OR(ISBLANK(A104),ISNA(MATCH(A104&amp;"",AthleteNumbers,0))),0,MATCH(A104&amp;"",AthleteNumbers,0))</f>
        <v>0</v>
      </c>
      <c r="J104" s="209">
        <f t="array" ref="J104">IF(I104&gt;0,INDEX(DB,$I104,6),0)</f>
        <v>0</v>
      </c>
      <c r="K104" s="446">
        <f t="shared" si="5"/>
        <v>0</v>
      </c>
      <c r="L104" s="440">
        <f t="shared" si="6"/>
        <v>0</v>
      </c>
      <c r="M104" s="441">
        <f>IF(AND(L104&gt;O104,O104&gt;0),MinPoints,IF(AND(L104&lt;N104,O104&gt;0),100,+INT((O104-$L104)/P104)+MinPoints))</f>
        <v>100</v>
      </c>
      <c r="N104" s="440">
        <f t="shared" si="7"/>
        <v>90</v>
      </c>
      <c r="O104" s="440">
        <f t="shared" si="8"/>
        <v>180</v>
      </c>
      <c r="P104" s="440">
        <f t="shared" si="9"/>
        <v>1</v>
      </c>
      <c r="Q104">
        <f t="array" ref="Q104">IF(I104&gt;0,INDEX(DB,I104,9),EventIndex)</f>
        <v>6</v>
      </c>
      <c r="S104">
        <f t="array" ref="S104">(INT(INDEX(MINVALUES,$Q104,$K$1))*60)+(MOD(INDEX(MINVALUES,$Q104,$K$1),1)*100)</f>
        <v>180</v>
      </c>
      <c r="T104">
        <f t="array" ref="T104">(INDEX(INCVALUES,$Q104,$K$1)*100)</f>
        <v>1</v>
      </c>
      <c r="V104">
        <f t="array" ref="V104">+J104+(4*(INDEX(MatchScoreTable,$Q104,20)-1))</f>
        <v>4</v>
      </c>
      <c r="W104">
        <f t="array" ref="W104">INDEX(INC_MINVALUES,$V104,$K$1)</f>
        <v>480</v>
      </c>
      <c r="X104" s="212">
        <f t="array" ref="X104">INDEX(INC_INCVALUES,$V104,$K$1)</f>
        <v>4</v>
      </c>
    </row>
    <row r="105" ht="15.75" customHeight="1">
      <c r="A105" s="435"/>
      <c r="B105" s="436"/>
      <c r="C105" s="95" t="str">
        <f t="array" ref="C105">IF(I105&gt;0,INDEX(DB,I105,8),"")</f>
        <v/>
      </c>
      <c r="D105" s="437">
        <f t="shared" si="1"/>
        <v>0</v>
      </c>
      <c r="F105" s="438">
        <f t="shared" si="2"/>
        <v>0</v>
      </c>
      <c r="G105" t="str">
        <f t="shared" si="3"/>
        <v/>
      </c>
      <c r="H105" t="b">
        <f t="shared" si="4"/>
        <v>0</v>
      </c>
      <c r="I105" s="439">
        <f>IF(OR(ISBLANK(A105),ISNA(MATCH(A105&amp;"",AthleteNumbers,0))),0,MATCH(A105&amp;"",AthleteNumbers,0))</f>
        <v>0</v>
      </c>
      <c r="J105" s="209">
        <f t="array" ref="J105">IF(I105&gt;0,INDEX(DB,$I105,6),0)</f>
        <v>0</v>
      </c>
      <c r="K105" s="446">
        <f t="shared" si="5"/>
        <v>0</v>
      </c>
      <c r="L105" s="440">
        <f t="shared" si="6"/>
        <v>0</v>
      </c>
      <c r="M105" s="441">
        <f>IF(AND(L105&gt;O105,O105&gt;0),MinPoints,IF(AND(L105&lt;N105,O105&gt;0),100,+INT((O105-$L105)/P105)+MinPoints))</f>
        <v>100</v>
      </c>
      <c r="N105" s="440">
        <f t="shared" si="7"/>
        <v>90</v>
      </c>
      <c r="O105" s="440">
        <f t="shared" si="8"/>
        <v>180</v>
      </c>
      <c r="P105" s="440">
        <f t="shared" si="9"/>
        <v>1</v>
      </c>
      <c r="Q105">
        <f t="array" ref="Q105">IF(I105&gt;0,INDEX(DB,I105,9),EventIndex)</f>
        <v>6</v>
      </c>
      <c r="S105">
        <f t="array" ref="S105">(INT(INDEX(MINVALUES,$Q105,$K$1))*60)+(MOD(INDEX(MINVALUES,$Q105,$K$1),1)*100)</f>
        <v>180</v>
      </c>
      <c r="T105">
        <f t="array" ref="T105">(INDEX(INCVALUES,$Q105,$K$1)*100)</f>
        <v>1</v>
      </c>
      <c r="V105">
        <f t="array" ref="V105">+J105+(4*(INDEX(MatchScoreTable,$Q105,20)-1))</f>
        <v>4</v>
      </c>
      <c r="W105">
        <f t="array" ref="W105">INDEX(INC_MINVALUES,$V105,$K$1)</f>
        <v>480</v>
      </c>
      <c r="X105" s="212">
        <f t="array" ref="X105">INDEX(INC_INCVALUES,$V105,$K$1)</f>
        <v>4</v>
      </c>
    </row>
    <row r="106" ht="15.75" customHeight="1">
      <c r="A106" s="435"/>
      <c r="B106" s="436"/>
      <c r="C106" s="95" t="str">
        <f t="array" ref="C106">IF(I106&gt;0,INDEX(DB,I106,8),"")</f>
        <v/>
      </c>
      <c r="D106" s="437">
        <f t="shared" si="1"/>
        <v>0</v>
      </c>
      <c r="F106" s="438">
        <f t="shared" si="2"/>
        <v>0</v>
      </c>
      <c r="G106" t="str">
        <f t="shared" si="3"/>
        <v/>
      </c>
      <c r="H106" t="b">
        <f t="shared" si="4"/>
        <v>0</v>
      </c>
      <c r="I106" s="439">
        <f>IF(OR(ISBLANK(A106),ISNA(MATCH(A106&amp;"",AthleteNumbers,0))),0,MATCH(A106&amp;"",AthleteNumbers,0))</f>
        <v>0</v>
      </c>
      <c r="J106" s="209">
        <f t="array" ref="J106">IF(I106&gt;0,INDEX(DB,$I106,6),0)</f>
        <v>0</v>
      </c>
      <c r="K106" s="446">
        <f t="shared" si="5"/>
        <v>0</v>
      </c>
      <c r="L106" s="440">
        <f t="shared" si="6"/>
        <v>0</v>
      </c>
      <c r="M106" s="441">
        <f>IF(AND(L106&gt;O106,O106&gt;0),MinPoints,IF(AND(L106&lt;N106,O106&gt;0),100,+INT((O106-$L106)/P106)+MinPoints))</f>
        <v>100</v>
      </c>
      <c r="N106" s="440">
        <f t="shared" si="7"/>
        <v>90</v>
      </c>
      <c r="O106" s="440">
        <f t="shared" si="8"/>
        <v>180</v>
      </c>
      <c r="P106" s="440">
        <f t="shared" si="9"/>
        <v>1</v>
      </c>
      <c r="Q106">
        <f t="array" ref="Q106">IF(I106&gt;0,INDEX(DB,I106,9),EventIndex)</f>
        <v>6</v>
      </c>
      <c r="S106">
        <f t="array" ref="S106">(INT(INDEX(MINVALUES,$Q106,$K$1))*60)+(MOD(INDEX(MINVALUES,$Q106,$K$1),1)*100)</f>
        <v>180</v>
      </c>
      <c r="T106">
        <f t="array" ref="T106">(INDEX(INCVALUES,$Q106,$K$1)*100)</f>
        <v>1</v>
      </c>
      <c r="V106">
        <f t="array" ref="V106">+J106+(4*(INDEX(MatchScoreTable,$Q106,20)-1))</f>
        <v>4</v>
      </c>
      <c r="W106">
        <f t="array" ref="W106">INDEX(INC_MINVALUES,$V106,$K$1)</f>
        <v>480</v>
      </c>
      <c r="X106" s="212">
        <f t="array" ref="X106">INDEX(INC_INCVALUES,$V106,$K$1)</f>
        <v>4</v>
      </c>
    </row>
    <row r="107" ht="15.75" customHeight="1">
      <c r="A107" s="435"/>
      <c r="B107" s="436"/>
      <c r="C107" s="95" t="str">
        <f t="array" ref="C107">IF(I107&gt;0,INDEX(DB,I107,8),"")</f>
        <v/>
      </c>
      <c r="D107" s="437">
        <f t="shared" si="1"/>
        <v>0</v>
      </c>
      <c r="F107" s="438">
        <f t="shared" si="2"/>
        <v>0</v>
      </c>
      <c r="G107" t="str">
        <f t="shared" si="3"/>
        <v/>
      </c>
      <c r="H107" t="b">
        <f t="shared" si="4"/>
        <v>0</v>
      </c>
      <c r="I107" s="439">
        <f>IF(OR(ISBLANK(A107),ISNA(MATCH(A107&amp;"",AthleteNumbers,0))),0,MATCH(A107&amp;"",AthleteNumbers,0))</f>
        <v>0</v>
      </c>
      <c r="J107" s="209">
        <f t="array" ref="J107">IF(I107&gt;0,INDEX(DB,$I107,6),0)</f>
        <v>0</v>
      </c>
      <c r="K107" s="446">
        <f t="shared" si="5"/>
        <v>0</v>
      </c>
      <c r="L107" s="440">
        <f t="shared" si="6"/>
        <v>0</v>
      </c>
      <c r="M107" s="441">
        <f>IF(AND(L107&gt;O107,O107&gt;0),MinPoints,IF(AND(L107&lt;N107,O107&gt;0),100,+INT((O107-$L107)/P107)+MinPoints))</f>
        <v>100</v>
      </c>
      <c r="N107" s="440">
        <f t="shared" si="7"/>
        <v>90</v>
      </c>
      <c r="O107" s="440">
        <f t="shared" si="8"/>
        <v>180</v>
      </c>
      <c r="P107" s="440">
        <f t="shared" si="9"/>
        <v>1</v>
      </c>
      <c r="Q107">
        <f t="array" ref="Q107">IF(I107&gt;0,INDEX(DB,I107,9),EventIndex)</f>
        <v>6</v>
      </c>
      <c r="S107">
        <f t="array" ref="S107">(INT(INDEX(MINVALUES,$Q107,$K$1))*60)+(MOD(INDEX(MINVALUES,$Q107,$K$1),1)*100)</f>
        <v>180</v>
      </c>
      <c r="T107">
        <f t="array" ref="T107">(INDEX(INCVALUES,$Q107,$K$1)*100)</f>
        <v>1</v>
      </c>
      <c r="V107">
        <f t="array" ref="V107">+J107+(4*(INDEX(MatchScoreTable,$Q107,20)-1))</f>
        <v>4</v>
      </c>
      <c r="W107">
        <f t="array" ref="W107">INDEX(INC_MINVALUES,$V107,$K$1)</f>
        <v>480</v>
      </c>
      <c r="X107" s="212">
        <f t="array" ref="X107">INDEX(INC_INCVALUES,$V107,$K$1)</f>
        <v>4</v>
      </c>
    </row>
    <row r="108" ht="15.75" customHeight="1">
      <c r="A108" s="435"/>
      <c r="B108" s="436"/>
      <c r="C108" s="95" t="str">
        <f t="array" ref="C108">IF(I108&gt;0,INDEX(DB,I108,8),"")</f>
        <v/>
      </c>
      <c r="D108" s="437">
        <f t="shared" si="1"/>
        <v>0</v>
      </c>
      <c r="F108" s="438">
        <f t="shared" si="2"/>
        <v>0</v>
      </c>
      <c r="G108" t="str">
        <f t="shared" si="3"/>
        <v/>
      </c>
      <c r="H108" t="b">
        <f t="shared" si="4"/>
        <v>0</v>
      </c>
      <c r="I108" s="439">
        <f>IF(OR(ISBLANK(A108),ISNA(MATCH(A108&amp;"",AthleteNumbers,0))),0,MATCH(A108&amp;"",AthleteNumbers,0))</f>
        <v>0</v>
      </c>
      <c r="J108" s="209">
        <f t="array" ref="J108">IF(I108&gt;0,INDEX(DB,$I108,6),0)</f>
        <v>0</v>
      </c>
      <c r="K108" s="446">
        <f t="shared" si="5"/>
        <v>0</v>
      </c>
      <c r="L108" s="440">
        <f t="shared" si="6"/>
        <v>0</v>
      </c>
      <c r="M108" s="441">
        <f>IF(AND(L108&gt;O108,O108&gt;0),MinPoints,IF(AND(L108&lt;N108,O108&gt;0),100,+INT((O108-$L108)/P108)+MinPoints))</f>
        <v>100</v>
      </c>
      <c r="N108" s="440">
        <f t="shared" si="7"/>
        <v>90</v>
      </c>
      <c r="O108" s="440">
        <f t="shared" si="8"/>
        <v>180</v>
      </c>
      <c r="P108" s="440">
        <f t="shared" si="9"/>
        <v>1</v>
      </c>
      <c r="Q108">
        <f t="array" ref="Q108">IF(I108&gt;0,INDEX(DB,I108,9),EventIndex)</f>
        <v>6</v>
      </c>
      <c r="S108">
        <f t="array" ref="S108">(INT(INDEX(MINVALUES,$Q108,$K$1))*60)+(MOD(INDEX(MINVALUES,$Q108,$K$1),1)*100)</f>
        <v>180</v>
      </c>
      <c r="T108">
        <f t="array" ref="T108">(INDEX(INCVALUES,$Q108,$K$1)*100)</f>
        <v>1</v>
      </c>
      <c r="V108">
        <f t="array" ref="V108">+J108+(4*(INDEX(MatchScoreTable,$Q108,20)-1))</f>
        <v>4</v>
      </c>
      <c r="W108">
        <f t="array" ref="W108">INDEX(INC_MINVALUES,$V108,$K$1)</f>
        <v>480</v>
      </c>
      <c r="X108" s="212">
        <f t="array" ref="X108">INDEX(INC_INCVALUES,$V108,$K$1)</f>
        <v>4</v>
      </c>
    </row>
    <row r="109" ht="15.75" customHeight="1">
      <c r="A109" s="435"/>
      <c r="B109" s="436"/>
      <c r="C109" s="95" t="str">
        <f t="array" ref="C109">IF(I109&gt;0,INDEX(DB,I109,8),"")</f>
        <v/>
      </c>
      <c r="D109" s="437">
        <f t="shared" si="1"/>
        <v>0</v>
      </c>
      <c r="F109" s="438">
        <f t="shared" si="2"/>
        <v>0</v>
      </c>
      <c r="G109" t="str">
        <f t="shared" si="3"/>
        <v/>
      </c>
      <c r="H109" t="b">
        <f t="shared" si="4"/>
        <v>0</v>
      </c>
      <c r="I109" s="439">
        <f>IF(OR(ISBLANK(A109),ISNA(MATCH(A109&amp;"",AthleteNumbers,0))),0,MATCH(A109&amp;"",AthleteNumbers,0))</f>
        <v>0</v>
      </c>
      <c r="J109" s="209">
        <f t="array" ref="J109">IF(I109&gt;0,INDEX(DB,$I109,6),0)</f>
        <v>0</v>
      </c>
      <c r="K109" s="446">
        <f t="shared" si="5"/>
        <v>0</v>
      </c>
      <c r="L109" s="440">
        <f t="shared" si="6"/>
        <v>0</v>
      </c>
      <c r="M109" s="441">
        <f>IF(AND(L109&gt;O109,O109&gt;0),MinPoints,IF(AND(L109&lt;N109,O109&gt;0),100,+INT((O109-$L109)/P109)+MinPoints))</f>
        <v>100</v>
      </c>
      <c r="N109" s="440">
        <f t="shared" si="7"/>
        <v>90</v>
      </c>
      <c r="O109" s="440">
        <f t="shared" si="8"/>
        <v>180</v>
      </c>
      <c r="P109" s="440">
        <f t="shared" si="9"/>
        <v>1</v>
      </c>
      <c r="Q109">
        <f t="array" ref="Q109">IF(I109&gt;0,INDEX(DB,I109,9),EventIndex)</f>
        <v>6</v>
      </c>
      <c r="S109">
        <f t="array" ref="S109">(INT(INDEX(MINVALUES,$Q109,$K$1))*60)+(MOD(INDEX(MINVALUES,$Q109,$K$1),1)*100)</f>
        <v>180</v>
      </c>
      <c r="T109">
        <f t="array" ref="T109">(INDEX(INCVALUES,$Q109,$K$1)*100)</f>
        <v>1</v>
      </c>
      <c r="V109">
        <f t="array" ref="V109">+J109+(4*(INDEX(MatchScoreTable,$Q109,20)-1))</f>
        <v>4</v>
      </c>
      <c r="W109">
        <f t="array" ref="W109">INDEX(INC_MINVALUES,$V109,$K$1)</f>
        <v>480</v>
      </c>
      <c r="X109" s="212">
        <f t="array" ref="X109">INDEX(INC_INCVALUES,$V109,$K$1)</f>
        <v>4</v>
      </c>
    </row>
    <row r="110" ht="15.75" customHeight="1">
      <c r="A110" s="435"/>
      <c r="B110" s="436"/>
      <c r="C110" s="95" t="str">
        <f t="array" ref="C110">IF(I110&gt;0,INDEX(DB,I110,8),"")</f>
        <v/>
      </c>
      <c r="D110" s="437">
        <f t="shared" si="1"/>
        <v>0</v>
      </c>
      <c r="F110" s="438">
        <f t="shared" si="2"/>
        <v>0</v>
      </c>
      <c r="G110" t="str">
        <f t="shared" si="3"/>
        <v/>
      </c>
      <c r="H110" t="b">
        <f t="shared" si="4"/>
        <v>0</v>
      </c>
      <c r="I110" s="439">
        <f>IF(OR(ISBLANK(A110),ISNA(MATCH(A110&amp;"",AthleteNumbers,0))),0,MATCH(A110&amp;"",AthleteNumbers,0))</f>
        <v>0</v>
      </c>
      <c r="J110" s="209">
        <f t="array" ref="J110">IF(I110&gt;0,INDEX(DB,$I110,6),0)</f>
        <v>0</v>
      </c>
      <c r="K110" s="446">
        <f t="shared" si="5"/>
        <v>0</v>
      </c>
      <c r="L110" s="440">
        <f t="shared" si="6"/>
        <v>0</v>
      </c>
      <c r="M110" s="441">
        <f>IF(AND(L110&gt;O110,O110&gt;0),MinPoints,IF(AND(L110&lt;N110,O110&gt;0),100,+INT((O110-$L110)/P110)+MinPoints))</f>
        <v>100</v>
      </c>
      <c r="N110" s="440">
        <f t="shared" si="7"/>
        <v>90</v>
      </c>
      <c r="O110" s="440">
        <f t="shared" si="8"/>
        <v>180</v>
      </c>
      <c r="P110" s="440">
        <f t="shared" si="9"/>
        <v>1</v>
      </c>
      <c r="Q110">
        <f t="array" ref="Q110">IF(I110&gt;0,INDEX(DB,I110,9),EventIndex)</f>
        <v>6</v>
      </c>
      <c r="S110">
        <f t="array" ref="S110">(INT(INDEX(MINVALUES,$Q110,$K$1))*60)+(MOD(INDEX(MINVALUES,$Q110,$K$1),1)*100)</f>
        <v>180</v>
      </c>
      <c r="T110">
        <f t="array" ref="T110">(INDEX(INCVALUES,$Q110,$K$1)*100)</f>
        <v>1</v>
      </c>
      <c r="V110">
        <f t="array" ref="V110">+J110+(4*(INDEX(MatchScoreTable,$Q110,20)-1))</f>
        <v>4</v>
      </c>
      <c r="W110">
        <f t="array" ref="W110">INDEX(INC_MINVALUES,$V110,$K$1)</f>
        <v>480</v>
      </c>
      <c r="X110" s="212">
        <f t="array" ref="X110">INDEX(INC_INCVALUES,$V110,$K$1)</f>
        <v>4</v>
      </c>
    </row>
    <row r="111" ht="15.75" customHeight="1">
      <c r="A111" s="435"/>
      <c r="B111" s="436"/>
      <c r="C111" s="95" t="str">
        <f t="array" ref="C111">IF(I111&gt;0,INDEX(DB,I111,8),"")</f>
        <v/>
      </c>
      <c r="D111" s="437">
        <f t="shared" si="1"/>
        <v>0</v>
      </c>
      <c r="F111" s="438">
        <f t="shared" si="2"/>
        <v>0</v>
      </c>
      <c r="G111" t="str">
        <f t="shared" si="3"/>
        <v/>
      </c>
      <c r="H111" t="b">
        <f t="shared" si="4"/>
        <v>0</v>
      </c>
      <c r="I111" s="439">
        <f>IF(OR(ISBLANK(A111),ISNA(MATCH(A111&amp;"",AthleteNumbers,0))),0,MATCH(A111&amp;"",AthleteNumbers,0))</f>
        <v>0</v>
      </c>
      <c r="J111" s="209">
        <f t="array" ref="J111">IF(I111&gt;0,INDEX(DB,$I111,6),0)</f>
        <v>0</v>
      </c>
      <c r="K111" s="446">
        <f t="shared" si="5"/>
        <v>0</v>
      </c>
      <c r="L111" s="440">
        <f t="shared" si="6"/>
        <v>0</v>
      </c>
      <c r="M111" s="441">
        <f>IF(AND(L111&gt;O111,O111&gt;0),MinPoints,IF(AND(L111&lt;N111,O111&gt;0),100,+INT((O111-$L111)/P111)+MinPoints))</f>
        <v>100</v>
      </c>
      <c r="N111" s="440">
        <f t="shared" si="7"/>
        <v>90</v>
      </c>
      <c r="O111" s="440">
        <f t="shared" si="8"/>
        <v>180</v>
      </c>
      <c r="P111" s="440">
        <f t="shared" si="9"/>
        <v>1</v>
      </c>
      <c r="Q111">
        <f t="array" ref="Q111">IF(I111&gt;0,INDEX(DB,I111,9),EventIndex)</f>
        <v>6</v>
      </c>
      <c r="S111">
        <f t="array" ref="S111">(INT(INDEX(MINVALUES,$Q111,$K$1))*60)+(MOD(INDEX(MINVALUES,$Q111,$K$1),1)*100)</f>
        <v>180</v>
      </c>
      <c r="T111">
        <f t="array" ref="T111">(INDEX(INCVALUES,$Q111,$K$1)*100)</f>
        <v>1</v>
      </c>
      <c r="V111">
        <f t="array" ref="V111">+J111+(4*(INDEX(MatchScoreTable,$Q111,20)-1))</f>
        <v>4</v>
      </c>
      <c r="W111">
        <f t="array" ref="W111">INDEX(INC_MINVALUES,$V111,$K$1)</f>
        <v>480</v>
      </c>
      <c r="X111" s="212">
        <f t="array" ref="X111">INDEX(INC_INCVALUES,$V111,$K$1)</f>
        <v>4</v>
      </c>
    </row>
    <row r="112" ht="15.75" customHeight="1">
      <c r="A112" s="435"/>
      <c r="B112" s="436"/>
      <c r="C112" s="95" t="str">
        <f t="array" ref="C112">IF(I112&gt;0,INDEX(DB,I112,8),"")</f>
        <v/>
      </c>
      <c r="D112" s="437">
        <f t="shared" si="1"/>
        <v>0</v>
      </c>
      <c r="F112" s="438">
        <f t="shared" si="2"/>
        <v>0</v>
      </c>
      <c r="G112" t="str">
        <f t="shared" si="3"/>
        <v/>
      </c>
      <c r="H112" t="b">
        <f t="shared" si="4"/>
        <v>0</v>
      </c>
      <c r="I112" s="439">
        <f>IF(OR(ISBLANK(A112),ISNA(MATCH(A112&amp;"",AthleteNumbers,0))),0,MATCH(A112&amp;"",AthleteNumbers,0))</f>
        <v>0</v>
      </c>
      <c r="J112" s="209">
        <f t="array" ref="J112">IF(I112&gt;0,INDEX(DB,$I112,6),0)</f>
        <v>0</v>
      </c>
      <c r="K112" s="446">
        <f t="shared" si="5"/>
        <v>0</v>
      </c>
      <c r="L112" s="440">
        <f t="shared" si="6"/>
        <v>0</v>
      </c>
      <c r="M112" s="441">
        <f>IF(AND(L112&gt;O112,O112&gt;0),MinPoints,IF(AND(L112&lt;N112,O112&gt;0),100,+INT((O112-$L112)/P112)+MinPoints))</f>
        <v>100</v>
      </c>
      <c r="N112" s="440">
        <f t="shared" si="7"/>
        <v>90</v>
      </c>
      <c r="O112" s="440">
        <f t="shared" si="8"/>
        <v>180</v>
      </c>
      <c r="P112" s="440">
        <f t="shared" si="9"/>
        <v>1</v>
      </c>
      <c r="Q112">
        <f t="array" ref="Q112">IF(I112&gt;0,INDEX(DB,I112,9),EventIndex)</f>
        <v>6</v>
      </c>
      <c r="S112">
        <f t="array" ref="S112">(INT(INDEX(MINVALUES,$Q112,$K$1))*60)+(MOD(INDEX(MINVALUES,$Q112,$K$1),1)*100)</f>
        <v>180</v>
      </c>
      <c r="T112">
        <f t="array" ref="T112">(INDEX(INCVALUES,$Q112,$K$1)*100)</f>
        <v>1</v>
      </c>
      <c r="V112">
        <f t="array" ref="V112">+J112+(4*(INDEX(MatchScoreTable,$Q112,20)-1))</f>
        <v>4</v>
      </c>
      <c r="W112">
        <f t="array" ref="W112">INDEX(INC_MINVALUES,$V112,$K$1)</f>
        <v>480</v>
      </c>
      <c r="X112" s="212">
        <f t="array" ref="X112">INDEX(INC_INCVALUES,$V112,$K$1)</f>
        <v>4</v>
      </c>
    </row>
    <row r="113" ht="15.75" customHeight="1">
      <c r="A113" s="435"/>
      <c r="B113" s="436"/>
      <c r="C113" s="95" t="str">
        <f t="array" ref="C113">IF(I113&gt;0,INDEX(DB,I113,8),"")</f>
        <v/>
      </c>
      <c r="D113" s="437">
        <f t="shared" si="1"/>
        <v>0</v>
      </c>
      <c r="F113" s="438">
        <f t="shared" si="2"/>
        <v>0</v>
      </c>
      <c r="G113" t="str">
        <f t="shared" si="3"/>
        <v/>
      </c>
      <c r="H113" t="b">
        <f t="shared" si="4"/>
        <v>0</v>
      </c>
      <c r="I113" s="439">
        <f>IF(OR(ISBLANK(A113),ISNA(MATCH(A113&amp;"",AthleteNumbers,0))),0,MATCH(A113&amp;"",AthleteNumbers,0))</f>
        <v>0</v>
      </c>
      <c r="J113" s="209">
        <f t="array" ref="J113">IF(I113&gt;0,INDEX(DB,$I113,6),0)</f>
        <v>0</v>
      </c>
      <c r="K113" s="446">
        <f t="shared" si="5"/>
        <v>0</v>
      </c>
      <c r="L113" s="440">
        <f t="shared" si="6"/>
        <v>0</v>
      </c>
      <c r="M113" s="441">
        <f>IF(AND(L113&gt;O113,O113&gt;0),MinPoints,IF(AND(L113&lt;N113,O113&gt;0),100,+INT((O113-$L113)/P113)+MinPoints))</f>
        <v>100</v>
      </c>
      <c r="N113" s="440">
        <f t="shared" si="7"/>
        <v>90</v>
      </c>
      <c r="O113" s="440">
        <f t="shared" si="8"/>
        <v>180</v>
      </c>
      <c r="P113" s="440">
        <f t="shared" si="9"/>
        <v>1</v>
      </c>
      <c r="Q113">
        <f t="array" ref="Q113">IF(I113&gt;0,INDEX(DB,I113,9),EventIndex)</f>
        <v>6</v>
      </c>
      <c r="S113">
        <f t="array" ref="S113">(INT(INDEX(MINVALUES,$Q113,$K$1))*60)+(MOD(INDEX(MINVALUES,$Q113,$K$1),1)*100)</f>
        <v>180</v>
      </c>
      <c r="T113">
        <f t="array" ref="T113">(INDEX(INCVALUES,$Q113,$K$1)*100)</f>
        <v>1</v>
      </c>
      <c r="V113">
        <f t="array" ref="V113">+J113+(4*(INDEX(MatchScoreTable,$Q113,20)-1))</f>
        <v>4</v>
      </c>
      <c r="W113">
        <f t="array" ref="W113">INDEX(INC_MINVALUES,$V113,$K$1)</f>
        <v>480</v>
      </c>
      <c r="X113" s="212">
        <f t="array" ref="X113">INDEX(INC_INCVALUES,$V113,$K$1)</f>
        <v>4</v>
      </c>
    </row>
    <row r="114" ht="15.75" customHeight="1">
      <c r="A114" s="435"/>
      <c r="B114" s="436"/>
      <c r="C114" s="95" t="str">
        <f t="array" ref="C114">IF(I114&gt;0,INDEX(DB,I114,8),"")</f>
        <v/>
      </c>
      <c r="D114" s="437">
        <f t="shared" si="1"/>
        <v>0</v>
      </c>
      <c r="F114" s="438">
        <f t="shared" si="2"/>
        <v>0</v>
      </c>
      <c r="G114" t="str">
        <f t="shared" si="3"/>
        <v/>
      </c>
      <c r="H114" t="b">
        <f t="shared" si="4"/>
        <v>0</v>
      </c>
      <c r="I114" s="439">
        <f>IF(OR(ISBLANK(A114),ISNA(MATCH(A114&amp;"",AthleteNumbers,0))),0,MATCH(A114&amp;"",AthleteNumbers,0))</f>
        <v>0</v>
      </c>
      <c r="J114" s="209">
        <f t="array" ref="J114">IF(I114&gt;0,INDEX(DB,$I114,6),0)</f>
        <v>0</v>
      </c>
      <c r="K114" s="446">
        <f t="shared" si="5"/>
        <v>0</v>
      </c>
      <c r="L114" s="440">
        <f t="shared" si="6"/>
        <v>0</v>
      </c>
      <c r="M114" s="441">
        <f>IF(AND(L114&gt;O114,O114&gt;0),MinPoints,IF(AND(L114&lt;N114,O114&gt;0),100,+INT((O114-$L114)/P114)+MinPoints))</f>
        <v>100</v>
      </c>
      <c r="N114" s="440">
        <f t="shared" si="7"/>
        <v>90</v>
      </c>
      <c r="O114" s="440">
        <f t="shared" si="8"/>
        <v>180</v>
      </c>
      <c r="P114" s="440">
        <f t="shared" si="9"/>
        <v>1</v>
      </c>
      <c r="Q114">
        <f t="array" ref="Q114">IF(I114&gt;0,INDEX(DB,I114,9),EventIndex)</f>
        <v>6</v>
      </c>
      <c r="S114">
        <f t="array" ref="S114">(INT(INDEX(MINVALUES,$Q114,$K$1))*60)+(MOD(INDEX(MINVALUES,$Q114,$K$1),1)*100)</f>
        <v>180</v>
      </c>
      <c r="T114">
        <f t="array" ref="T114">(INDEX(INCVALUES,$Q114,$K$1)*100)</f>
        <v>1</v>
      </c>
      <c r="V114">
        <f t="array" ref="V114">+J114+(4*(INDEX(MatchScoreTable,$Q114,20)-1))</f>
        <v>4</v>
      </c>
      <c r="W114">
        <f t="array" ref="W114">INDEX(INC_MINVALUES,$V114,$K$1)</f>
        <v>480</v>
      </c>
      <c r="X114" s="212">
        <f t="array" ref="X114">INDEX(INC_INCVALUES,$V114,$K$1)</f>
        <v>4</v>
      </c>
    </row>
    <row r="115" ht="15.75" customHeight="1">
      <c r="A115" s="435"/>
      <c r="B115" s="436"/>
      <c r="C115" s="95" t="str">
        <f t="array" ref="C115">IF(I115&gt;0,INDEX(DB,I115,8),"")</f>
        <v/>
      </c>
      <c r="D115" s="437">
        <f t="shared" si="1"/>
        <v>0</v>
      </c>
      <c r="F115" s="438">
        <f t="shared" si="2"/>
        <v>0</v>
      </c>
      <c r="G115" t="str">
        <f t="shared" si="3"/>
        <v/>
      </c>
      <c r="H115" t="b">
        <f t="shared" si="4"/>
        <v>0</v>
      </c>
      <c r="I115" s="439">
        <f>IF(OR(ISBLANK(A115),ISNA(MATCH(A115&amp;"",AthleteNumbers,0))),0,MATCH(A115&amp;"",AthleteNumbers,0))</f>
        <v>0</v>
      </c>
      <c r="J115" s="209">
        <f t="array" ref="J115">IF(I115&gt;0,INDEX(DB,$I115,6),0)</f>
        <v>0</v>
      </c>
      <c r="K115" s="446">
        <f t="shared" si="5"/>
        <v>0</v>
      </c>
      <c r="L115" s="440">
        <f t="shared" si="6"/>
        <v>0</v>
      </c>
      <c r="M115" s="441">
        <f>IF(AND(L115&gt;O115,O115&gt;0),MinPoints,IF(AND(L115&lt;N115,O115&gt;0),100,+INT((O115-$L115)/P115)+MinPoints))</f>
        <v>100</v>
      </c>
      <c r="N115" s="440">
        <f t="shared" si="7"/>
        <v>90</v>
      </c>
      <c r="O115" s="440">
        <f t="shared" si="8"/>
        <v>180</v>
      </c>
      <c r="P115" s="440">
        <f t="shared" si="9"/>
        <v>1</v>
      </c>
      <c r="Q115">
        <f t="array" ref="Q115">IF(I115&gt;0,INDEX(DB,I115,9),EventIndex)</f>
        <v>6</v>
      </c>
      <c r="S115">
        <f t="array" ref="S115">(INT(INDEX(MINVALUES,$Q115,$K$1))*60)+(MOD(INDEX(MINVALUES,$Q115,$K$1),1)*100)</f>
        <v>180</v>
      </c>
      <c r="T115">
        <f t="array" ref="T115">(INDEX(INCVALUES,$Q115,$K$1)*100)</f>
        <v>1</v>
      </c>
      <c r="V115">
        <f t="array" ref="V115">+J115+(4*(INDEX(MatchScoreTable,$Q115,20)-1))</f>
        <v>4</v>
      </c>
      <c r="W115">
        <f t="array" ref="W115">INDEX(INC_MINVALUES,$V115,$K$1)</f>
        <v>480</v>
      </c>
      <c r="X115" s="212">
        <f t="array" ref="X115">INDEX(INC_INCVALUES,$V115,$K$1)</f>
        <v>4</v>
      </c>
    </row>
    <row r="116" ht="15.75" customHeight="1">
      <c r="A116" s="435"/>
      <c r="B116" s="436"/>
      <c r="C116" s="95" t="str">
        <f t="array" ref="C116">IF(I116&gt;0,INDEX(DB,I116,8),"")</f>
        <v/>
      </c>
      <c r="D116" s="437">
        <f t="shared" si="1"/>
        <v>0</v>
      </c>
      <c r="F116" s="438">
        <f t="shared" si="2"/>
        <v>0</v>
      </c>
      <c r="G116" t="str">
        <f t="shared" si="3"/>
        <v/>
      </c>
      <c r="H116" t="b">
        <f t="shared" si="4"/>
        <v>0</v>
      </c>
      <c r="I116" s="439">
        <f>IF(OR(ISBLANK(A116),ISNA(MATCH(A116&amp;"",AthleteNumbers,0))),0,MATCH(A116&amp;"",AthleteNumbers,0))</f>
        <v>0</v>
      </c>
      <c r="J116" s="209">
        <f t="array" ref="J116">IF(I116&gt;0,INDEX(DB,$I116,6),0)</f>
        <v>0</v>
      </c>
      <c r="K116" s="446">
        <f t="shared" si="5"/>
        <v>0</v>
      </c>
      <c r="L116" s="440">
        <f t="shared" si="6"/>
        <v>0</v>
      </c>
      <c r="M116" s="441">
        <f>IF(AND(L116&gt;O116,O116&gt;0),MinPoints,IF(AND(L116&lt;N116,O116&gt;0),100,+INT((O116-$L116)/P116)+MinPoints))</f>
        <v>100</v>
      </c>
      <c r="N116" s="440">
        <f t="shared" si="7"/>
        <v>90</v>
      </c>
      <c r="O116" s="440">
        <f t="shared" si="8"/>
        <v>180</v>
      </c>
      <c r="P116" s="440">
        <f t="shared" si="9"/>
        <v>1</v>
      </c>
      <c r="Q116">
        <f t="array" ref="Q116">IF(I116&gt;0,INDEX(DB,I116,9),EventIndex)</f>
        <v>6</v>
      </c>
      <c r="S116">
        <f t="array" ref="S116">(INT(INDEX(MINVALUES,$Q116,$K$1))*60)+(MOD(INDEX(MINVALUES,$Q116,$K$1),1)*100)</f>
        <v>180</v>
      </c>
      <c r="T116">
        <f t="array" ref="T116">(INDEX(INCVALUES,$Q116,$K$1)*100)</f>
        <v>1</v>
      </c>
      <c r="V116">
        <f t="array" ref="V116">+J116+(4*(INDEX(MatchScoreTable,$Q116,20)-1))</f>
        <v>4</v>
      </c>
      <c r="W116">
        <f t="array" ref="W116">INDEX(INC_MINVALUES,$V116,$K$1)</f>
        <v>480</v>
      </c>
      <c r="X116" s="212">
        <f t="array" ref="X116">INDEX(INC_INCVALUES,$V116,$K$1)</f>
        <v>4</v>
      </c>
    </row>
    <row r="117" ht="15.75" customHeight="1">
      <c r="A117" s="435"/>
      <c r="B117" s="436"/>
      <c r="C117" s="95" t="str">
        <f t="array" ref="C117">IF(I117&gt;0,INDEX(DB,I117,8),"")</f>
        <v/>
      </c>
      <c r="D117" s="437">
        <f t="shared" si="1"/>
        <v>0</v>
      </c>
      <c r="F117" s="438">
        <f t="shared" si="2"/>
        <v>0</v>
      </c>
      <c r="G117" t="str">
        <f t="shared" si="3"/>
        <v/>
      </c>
      <c r="H117" t="b">
        <f t="shared" si="4"/>
        <v>0</v>
      </c>
      <c r="I117" s="439">
        <f>IF(OR(ISBLANK(A117),ISNA(MATCH(A117&amp;"",AthleteNumbers,0))),0,MATCH(A117&amp;"",AthleteNumbers,0))</f>
        <v>0</v>
      </c>
      <c r="J117" s="209">
        <f t="array" ref="J117">IF(I117&gt;0,INDEX(DB,$I117,6),0)</f>
        <v>0</v>
      </c>
      <c r="K117" s="446">
        <f t="shared" si="5"/>
        <v>0</v>
      </c>
      <c r="L117" s="440">
        <f t="shared" si="6"/>
        <v>0</v>
      </c>
      <c r="M117" s="441">
        <f>IF(AND(L117&gt;O117,O117&gt;0),MinPoints,IF(AND(L117&lt;N117,O117&gt;0),100,+INT((O117-$L117)/P117)+MinPoints))</f>
        <v>100</v>
      </c>
      <c r="N117" s="440">
        <f t="shared" si="7"/>
        <v>90</v>
      </c>
      <c r="O117" s="440">
        <f t="shared" si="8"/>
        <v>180</v>
      </c>
      <c r="P117" s="440">
        <f t="shared" si="9"/>
        <v>1</v>
      </c>
      <c r="Q117">
        <f t="array" ref="Q117">IF(I117&gt;0,INDEX(DB,I117,9),EventIndex)</f>
        <v>6</v>
      </c>
      <c r="S117">
        <f t="array" ref="S117">(INT(INDEX(MINVALUES,$Q117,$K$1))*60)+(MOD(INDEX(MINVALUES,$Q117,$K$1),1)*100)</f>
        <v>180</v>
      </c>
      <c r="T117">
        <f t="array" ref="T117">(INDEX(INCVALUES,$Q117,$K$1)*100)</f>
        <v>1</v>
      </c>
      <c r="V117">
        <f t="array" ref="V117">+J117+(4*(INDEX(MatchScoreTable,$Q117,20)-1))</f>
        <v>4</v>
      </c>
      <c r="W117">
        <f t="array" ref="W117">INDEX(INC_MINVALUES,$V117,$K$1)</f>
        <v>480</v>
      </c>
      <c r="X117" s="212">
        <f t="array" ref="X117">INDEX(INC_INCVALUES,$V117,$K$1)</f>
        <v>4</v>
      </c>
    </row>
    <row r="118" ht="15.75" customHeight="1">
      <c r="A118" s="435"/>
      <c r="B118" s="436"/>
      <c r="C118" s="95" t="str">
        <f t="array" ref="C118">IF(I118&gt;0,INDEX(DB,I118,8),"")</f>
        <v/>
      </c>
      <c r="D118" s="437">
        <f t="shared" si="1"/>
        <v>0</v>
      </c>
      <c r="F118" s="438">
        <f t="shared" si="2"/>
        <v>0</v>
      </c>
      <c r="G118" t="str">
        <f t="shared" si="3"/>
        <v/>
      </c>
      <c r="H118" t="b">
        <f t="shared" si="4"/>
        <v>0</v>
      </c>
      <c r="I118" s="439">
        <f>IF(OR(ISBLANK(A118),ISNA(MATCH(A118&amp;"",AthleteNumbers,0))),0,MATCH(A118&amp;"",AthleteNumbers,0))</f>
        <v>0</v>
      </c>
      <c r="J118" s="209">
        <f t="array" ref="J118">IF(I118&gt;0,INDEX(DB,$I118,6),0)</f>
        <v>0</v>
      </c>
      <c r="K118" s="446">
        <f t="shared" si="5"/>
        <v>0</v>
      </c>
      <c r="L118" s="440">
        <f t="shared" si="6"/>
        <v>0</v>
      </c>
      <c r="M118" s="441">
        <f>IF(AND(L118&gt;O118,O118&gt;0),MinPoints,IF(AND(L118&lt;N118,O118&gt;0),100,+INT((O118-$L118)/P118)+MinPoints))</f>
        <v>100</v>
      </c>
      <c r="N118" s="440">
        <f t="shared" si="7"/>
        <v>90</v>
      </c>
      <c r="O118" s="440">
        <f t="shared" si="8"/>
        <v>180</v>
      </c>
      <c r="P118" s="440">
        <f t="shared" si="9"/>
        <v>1</v>
      </c>
      <c r="Q118">
        <f t="array" ref="Q118">IF(I118&gt;0,INDEX(DB,I118,9),EventIndex)</f>
        <v>6</v>
      </c>
      <c r="S118">
        <f t="array" ref="S118">(INT(INDEX(MINVALUES,$Q118,$K$1))*60)+(MOD(INDEX(MINVALUES,$Q118,$K$1),1)*100)</f>
        <v>180</v>
      </c>
      <c r="T118">
        <f t="array" ref="T118">(INDEX(INCVALUES,$Q118,$K$1)*100)</f>
        <v>1</v>
      </c>
      <c r="V118">
        <f t="array" ref="V118">+J118+(4*(INDEX(MatchScoreTable,$Q118,20)-1))</f>
        <v>4</v>
      </c>
      <c r="W118">
        <f t="array" ref="W118">INDEX(INC_MINVALUES,$V118,$K$1)</f>
        <v>480</v>
      </c>
      <c r="X118" s="212">
        <f t="array" ref="X118">INDEX(INC_INCVALUES,$V118,$K$1)</f>
        <v>4</v>
      </c>
    </row>
    <row r="119" ht="15.75" customHeight="1">
      <c r="A119" s="435"/>
      <c r="B119" s="436"/>
      <c r="C119" s="95" t="str">
        <f t="array" ref="C119">IF(I119&gt;0,INDEX(DB,I119,8),"")</f>
        <v/>
      </c>
      <c r="D119" s="437">
        <f t="shared" si="1"/>
        <v>0</v>
      </c>
      <c r="F119" s="438">
        <f t="shared" si="2"/>
        <v>0</v>
      </c>
      <c r="G119" t="str">
        <f t="shared" si="3"/>
        <v/>
      </c>
      <c r="H119" t="b">
        <f t="shared" si="4"/>
        <v>0</v>
      </c>
      <c r="I119" s="439">
        <f>IF(OR(ISBLANK(A119),ISNA(MATCH(A119&amp;"",AthleteNumbers,0))),0,MATCH(A119&amp;"",AthleteNumbers,0))</f>
        <v>0</v>
      </c>
      <c r="J119" s="209">
        <f t="array" ref="J119">IF(I119&gt;0,INDEX(DB,$I119,6),0)</f>
        <v>0</v>
      </c>
      <c r="K119" s="446">
        <f t="shared" si="5"/>
        <v>0</v>
      </c>
      <c r="L119" s="440">
        <f t="shared" si="6"/>
        <v>0</v>
      </c>
      <c r="M119" s="441">
        <f>IF(AND(L119&gt;O119,O119&gt;0),MinPoints,IF(AND(L119&lt;N119,O119&gt;0),100,+INT((O119-$L119)/P119)+MinPoints))</f>
        <v>100</v>
      </c>
      <c r="N119" s="440">
        <f t="shared" si="7"/>
        <v>90</v>
      </c>
      <c r="O119" s="440">
        <f t="shared" si="8"/>
        <v>180</v>
      </c>
      <c r="P119" s="440">
        <f t="shared" si="9"/>
        <v>1</v>
      </c>
      <c r="Q119">
        <f t="array" ref="Q119">IF(I119&gt;0,INDEX(DB,I119,9),EventIndex)</f>
        <v>6</v>
      </c>
      <c r="S119">
        <f t="array" ref="S119">(INT(INDEX(MINVALUES,$Q119,$K$1))*60)+(MOD(INDEX(MINVALUES,$Q119,$K$1),1)*100)</f>
        <v>180</v>
      </c>
      <c r="T119">
        <f t="array" ref="T119">(INDEX(INCVALUES,$Q119,$K$1)*100)</f>
        <v>1</v>
      </c>
      <c r="V119">
        <f t="array" ref="V119">+J119+(4*(INDEX(MatchScoreTable,$Q119,20)-1))</f>
        <v>4</v>
      </c>
      <c r="W119">
        <f t="array" ref="W119">INDEX(INC_MINVALUES,$V119,$K$1)</f>
        <v>480</v>
      </c>
      <c r="X119" s="212">
        <f t="array" ref="X119">INDEX(INC_INCVALUES,$V119,$K$1)</f>
        <v>4</v>
      </c>
    </row>
    <row r="120" ht="15.75" customHeight="1">
      <c r="A120" s="435"/>
      <c r="B120" s="436"/>
      <c r="C120" s="95" t="str">
        <f t="array" ref="C120">IF(I120&gt;0,INDEX(DB,I120,8),"")</f>
        <v/>
      </c>
      <c r="D120" s="437">
        <f t="shared" si="1"/>
        <v>0</v>
      </c>
      <c r="F120" s="438">
        <f t="shared" si="2"/>
        <v>0</v>
      </c>
      <c r="G120" t="str">
        <f t="shared" si="3"/>
        <v/>
      </c>
      <c r="H120" t="b">
        <f t="shared" si="4"/>
        <v>0</v>
      </c>
      <c r="I120" s="439">
        <f>IF(OR(ISBLANK(A120),ISNA(MATCH(A120&amp;"",AthleteNumbers,0))),0,MATCH(A120&amp;"",AthleteNumbers,0))</f>
        <v>0</v>
      </c>
      <c r="J120" s="209">
        <f t="array" ref="J120">IF(I120&gt;0,INDEX(DB,$I120,6),0)</f>
        <v>0</v>
      </c>
      <c r="K120" s="446">
        <f t="shared" si="5"/>
        <v>0</v>
      </c>
      <c r="L120" s="440">
        <f t="shared" si="6"/>
        <v>0</v>
      </c>
      <c r="M120" s="441">
        <f>IF(AND(L120&gt;O120,O120&gt;0),MinPoints,IF(AND(L120&lt;N120,O120&gt;0),100,+INT((O120-$L120)/P120)+MinPoints))</f>
        <v>100</v>
      </c>
      <c r="N120" s="440">
        <f t="shared" si="7"/>
        <v>90</v>
      </c>
      <c r="O120" s="440">
        <f t="shared" si="8"/>
        <v>180</v>
      </c>
      <c r="P120" s="440">
        <f t="shared" si="9"/>
        <v>1</v>
      </c>
      <c r="Q120">
        <f t="array" ref="Q120">IF(I120&gt;0,INDEX(DB,I120,9),EventIndex)</f>
        <v>6</v>
      </c>
      <c r="S120">
        <f t="array" ref="S120">(INT(INDEX(MINVALUES,$Q120,$K$1))*60)+(MOD(INDEX(MINVALUES,$Q120,$K$1),1)*100)</f>
        <v>180</v>
      </c>
      <c r="T120">
        <f t="array" ref="T120">(INDEX(INCVALUES,$Q120,$K$1)*100)</f>
        <v>1</v>
      </c>
      <c r="V120">
        <f t="array" ref="V120">+J120+(4*(INDEX(MatchScoreTable,$Q120,20)-1))</f>
        <v>4</v>
      </c>
      <c r="W120">
        <f t="array" ref="W120">INDEX(INC_MINVALUES,$V120,$K$1)</f>
        <v>480</v>
      </c>
      <c r="X120" s="212">
        <f t="array" ref="X120">INDEX(INC_INCVALUES,$V120,$K$1)</f>
        <v>4</v>
      </c>
    </row>
    <row r="121" ht="15.75" customHeight="1">
      <c r="A121" s="435"/>
      <c r="B121" s="436"/>
      <c r="C121" s="95" t="str">
        <f t="array" ref="C121">IF(I121&gt;0,INDEX(DB,I121,8),"")</f>
        <v/>
      </c>
      <c r="D121" s="437">
        <f t="shared" si="1"/>
        <v>0</v>
      </c>
      <c r="F121" s="438">
        <f t="shared" si="2"/>
        <v>0</v>
      </c>
      <c r="G121" t="str">
        <f t="shared" si="3"/>
        <v/>
      </c>
      <c r="H121" t="b">
        <f t="shared" si="4"/>
        <v>0</v>
      </c>
      <c r="I121" s="439">
        <f>IF(OR(ISBLANK(A121),ISNA(MATCH(A121&amp;"",AthleteNumbers,0))),0,MATCH(A121&amp;"",AthleteNumbers,0))</f>
        <v>0</v>
      </c>
      <c r="J121" s="209">
        <f t="array" ref="J121">IF(I121&gt;0,INDEX(DB,$I121,6),0)</f>
        <v>0</v>
      </c>
      <c r="K121" s="446">
        <f t="shared" si="5"/>
        <v>0</v>
      </c>
      <c r="L121" s="440">
        <f t="shared" si="6"/>
        <v>0</v>
      </c>
      <c r="M121" s="441">
        <f>IF(AND(L121&gt;O121,O121&gt;0),MinPoints,IF(AND(L121&lt;N121,O121&gt;0),100,+INT((O121-$L121)/P121)+MinPoints))</f>
        <v>100</v>
      </c>
      <c r="N121" s="440">
        <f t="shared" si="7"/>
        <v>90</v>
      </c>
      <c r="O121" s="440">
        <f t="shared" si="8"/>
        <v>180</v>
      </c>
      <c r="P121" s="440">
        <f t="shared" si="9"/>
        <v>1</v>
      </c>
      <c r="Q121">
        <f t="array" ref="Q121">IF(I121&gt;0,INDEX(DB,I121,9),EventIndex)</f>
        <v>6</v>
      </c>
      <c r="S121">
        <f t="array" ref="S121">(INT(INDEX(MINVALUES,$Q121,$K$1))*60)+(MOD(INDEX(MINVALUES,$Q121,$K$1),1)*100)</f>
        <v>180</v>
      </c>
      <c r="T121">
        <f t="array" ref="T121">(INDEX(INCVALUES,$Q121,$K$1)*100)</f>
        <v>1</v>
      </c>
      <c r="V121">
        <f t="array" ref="V121">+J121+(4*(INDEX(MatchScoreTable,$Q121,20)-1))</f>
        <v>4</v>
      </c>
      <c r="W121">
        <f t="array" ref="W121">INDEX(INC_MINVALUES,$V121,$K$1)</f>
        <v>480</v>
      </c>
      <c r="X121" s="212">
        <f t="array" ref="X121">INDEX(INC_INCVALUES,$V121,$K$1)</f>
        <v>4</v>
      </c>
    </row>
    <row r="122" ht="15.75" customHeight="1">
      <c r="A122" s="435"/>
      <c r="B122" s="436"/>
      <c r="C122" s="95" t="str">
        <f t="array" ref="C122">IF(I122&gt;0,INDEX(DB,I122,8),"")</f>
        <v/>
      </c>
      <c r="D122" s="437">
        <f t="shared" si="1"/>
        <v>0</v>
      </c>
      <c r="F122" s="438">
        <f t="shared" si="2"/>
        <v>0</v>
      </c>
      <c r="G122" t="str">
        <f t="shared" si="3"/>
        <v/>
      </c>
      <c r="H122" t="b">
        <f t="shared" si="4"/>
        <v>0</v>
      </c>
      <c r="I122" s="439">
        <f>IF(OR(ISBLANK(A122),ISNA(MATCH(A122&amp;"",AthleteNumbers,0))),0,MATCH(A122&amp;"",AthleteNumbers,0))</f>
        <v>0</v>
      </c>
      <c r="J122" s="209">
        <f t="array" ref="J122">IF(I122&gt;0,INDEX(DB,$I122,6),0)</f>
        <v>0</v>
      </c>
      <c r="K122" s="446">
        <f t="shared" si="5"/>
        <v>0</v>
      </c>
      <c r="L122" s="440">
        <f t="shared" si="6"/>
        <v>0</v>
      </c>
      <c r="M122" s="441">
        <f>IF(AND(L122&gt;O122,O122&gt;0),MinPoints,IF(AND(L122&lt;N122,O122&gt;0),100,+INT((O122-$L122)/P122)+MinPoints))</f>
        <v>100</v>
      </c>
      <c r="N122" s="440">
        <f t="shared" si="7"/>
        <v>90</v>
      </c>
      <c r="O122" s="440">
        <f t="shared" si="8"/>
        <v>180</v>
      </c>
      <c r="P122" s="440">
        <f t="shared" si="9"/>
        <v>1</v>
      </c>
      <c r="Q122">
        <f t="array" ref="Q122">IF(I122&gt;0,INDEX(DB,I122,9),EventIndex)</f>
        <v>6</v>
      </c>
      <c r="S122">
        <f t="array" ref="S122">(INT(INDEX(MINVALUES,$Q122,$K$1))*60)+(MOD(INDEX(MINVALUES,$Q122,$K$1),1)*100)</f>
        <v>180</v>
      </c>
      <c r="T122">
        <f t="array" ref="T122">(INDEX(INCVALUES,$Q122,$K$1)*100)</f>
        <v>1</v>
      </c>
      <c r="V122">
        <f t="array" ref="V122">+J122+(4*(INDEX(MatchScoreTable,$Q122,20)-1))</f>
        <v>4</v>
      </c>
      <c r="W122">
        <f t="array" ref="W122">INDEX(INC_MINVALUES,$V122,$K$1)</f>
        <v>480</v>
      </c>
      <c r="X122" s="212">
        <f t="array" ref="X122">INDEX(INC_INCVALUES,$V122,$K$1)</f>
        <v>4</v>
      </c>
    </row>
    <row r="123" ht="15.75" customHeight="1">
      <c r="A123" s="435"/>
      <c r="B123" s="436"/>
      <c r="C123" s="95" t="str">
        <f t="array" ref="C123">IF(I123&gt;0,INDEX(DB,I123,8),"")</f>
        <v/>
      </c>
      <c r="D123" s="437">
        <f t="shared" si="1"/>
        <v>0</v>
      </c>
      <c r="F123" s="438">
        <f t="shared" si="2"/>
        <v>0</v>
      </c>
      <c r="G123" t="str">
        <f t="shared" si="3"/>
        <v/>
      </c>
      <c r="H123" t="b">
        <f t="shared" si="4"/>
        <v>0</v>
      </c>
      <c r="I123" s="439">
        <f>IF(OR(ISBLANK(A123),ISNA(MATCH(A123&amp;"",AthleteNumbers,0))),0,MATCH(A123&amp;"",AthleteNumbers,0))</f>
        <v>0</v>
      </c>
      <c r="J123" s="209">
        <f t="array" ref="J123">IF(I123&gt;0,INDEX(DB,$I123,6),0)</f>
        <v>0</v>
      </c>
      <c r="K123" s="446">
        <f t="shared" si="5"/>
        <v>0</v>
      </c>
      <c r="L123" s="440">
        <f t="shared" si="6"/>
        <v>0</v>
      </c>
      <c r="M123" s="441">
        <f>IF(AND(L123&gt;O123,O123&gt;0),MinPoints,IF(AND(L123&lt;N123,O123&gt;0),100,+INT((O123-$L123)/P123)+MinPoints))</f>
        <v>100</v>
      </c>
      <c r="N123" s="440">
        <f t="shared" si="7"/>
        <v>90</v>
      </c>
      <c r="O123" s="440">
        <f t="shared" si="8"/>
        <v>180</v>
      </c>
      <c r="P123" s="440">
        <f t="shared" si="9"/>
        <v>1</v>
      </c>
      <c r="Q123">
        <f t="array" ref="Q123">IF(I123&gt;0,INDEX(DB,I123,9),EventIndex)</f>
        <v>6</v>
      </c>
      <c r="S123">
        <f t="array" ref="S123">(INT(INDEX(MINVALUES,$Q123,$K$1))*60)+(MOD(INDEX(MINVALUES,$Q123,$K$1),1)*100)</f>
        <v>180</v>
      </c>
      <c r="T123">
        <f t="array" ref="T123">(INDEX(INCVALUES,$Q123,$K$1)*100)</f>
        <v>1</v>
      </c>
      <c r="V123">
        <f t="array" ref="V123">+J123+(4*(INDEX(MatchScoreTable,$Q123,20)-1))</f>
        <v>4</v>
      </c>
      <c r="W123">
        <f t="array" ref="W123">INDEX(INC_MINVALUES,$V123,$K$1)</f>
        <v>480</v>
      </c>
      <c r="X123" s="212">
        <f t="array" ref="X123">INDEX(INC_INCVALUES,$V123,$K$1)</f>
        <v>4</v>
      </c>
    </row>
    <row r="124" ht="15.75" customHeight="1">
      <c r="A124" s="435"/>
      <c r="B124" s="436"/>
      <c r="C124" s="95" t="str">
        <f t="array" ref="C124">IF(I124&gt;0,INDEX(DB,I124,8),"")</f>
        <v/>
      </c>
      <c r="D124" s="437">
        <f t="shared" si="1"/>
        <v>0</v>
      </c>
      <c r="F124" s="438">
        <f t="shared" si="2"/>
        <v>0</v>
      </c>
      <c r="G124" t="str">
        <f t="shared" si="3"/>
        <v/>
      </c>
      <c r="H124" t="b">
        <f t="shared" si="4"/>
        <v>0</v>
      </c>
      <c r="I124" s="439">
        <f>IF(OR(ISBLANK(A124),ISNA(MATCH(A124&amp;"",AthleteNumbers,0))),0,MATCH(A124&amp;"",AthleteNumbers,0))</f>
        <v>0</v>
      </c>
      <c r="J124" s="209">
        <f t="array" ref="J124">IF(I124&gt;0,INDEX(DB,$I124,6),0)</f>
        <v>0</v>
      </c>
      <c r="K124" s="446">
        <f t="shared" si="5"/>
        <v>0</v>
      </c>
      <c r="L124" s="440">
        <f t="shared" si="6"/>
        <v>0</v>
      </c>
      <c r="M124" s="441">
        <f>IF(AND(L124&gt;O124,O124&gt;0),MinPoints,IF(AND(L124&lt;N124,O124&gt;0),100,+INT((O124-$L124)/P124)+MinPoints))</f>
        <v>100</v>
      </c>
      <c r="N124" s="440">
        <f t="shared" si="7"/>
        <v>90</v>
      </c>
      <c r="O124" s="440">
        <f t="shared" si="8"/>
        <v>180</v>
      </c>
      <c r="P124" s="440">
        <f t="shared" si="9"/>
        <v>1</v>
      </c>
      <c r="Q124">
        <f t="array" ref="Q124">IF(I124&gt;0,INDEX(DB,I124,9),EventIndex)</f>
        <v>6</v>
      </c>
      <c r="S124">
        <f t="array" ref="S124">(INT(INDEX(MINVALUES,$Q124,$K$1))*60)+(MOD(INDEX(MINVALUES,$Q124,$K$1),1)*100)</f>
        <v>180</v>
      </c>
      <c r="T124">
        <f t="array" ref="T124">(INDEX(INCVALUES,$Q124,$K$1)*100)</f>
        <v>1</v>
      </c>
      <c r="V124">
        <f t="array" ref="V124">+J124+(4*(INDEX(MatchScoreTable,$Q124,20)-1))</f>
        <v>4</v>
      </c>
      <c r="W124">
        <f t="array" ref="W124">INDEX(INC_MINVALUES,$V124,$K$1)</f>
        <v>480</v>
      </c>
      <c r="X124" s="212">
        <f t="array" ref="X124">INDEX(INC_INCVALUES,$V124,$K$1)</f>
        <v>4</v>
      </c>
    </row>
    <row r="125" ht="15.75" customHeight="1">
      <c r="A125" s="435"/>
      <c r="B125" s="436"/>
      <c r="C125" s="95" t="str">
        <f t="array" ref="C125">IF(I125&gt;0,INDEX(DB,I125,8),"")</f>
        <v/>
      </c>
      <c r="D125" s="437">
        <f t="shared" si="1"/>
        <v>0</v>
      </c>
      <c r="F125" s="438">
        <f t="shared" si="2"/>
        <v>0</v>
      </c>
      <c r="G125" t="str">
        <f t="shared" si="3"/>
        <v/>
      </c>
      <c r="H125" t="b">
        <f t="shared" si="4"/>
        <v>0</v>
      </c>
      <c r="I125" s="439">
        <f>IF(OR(ISBLANK(A125),ISNA(MATCH(A125&amp;"",AthleteNumbers,0))),0,MATCH(A125&amp;"",AthleteNumbers,0))</f>
        <v>0</v>
      </c>
      <c r="J125" s="209">
        <f t="array" ref="J125">IF(I125&gt;0,INDEX(DB,$I125,6),0)</f>
        <v>0</v>
      </c>
      <c r="K125" s="446">
        <f t="shared" si="5"/>
        <v>0</v>
      </c>
      <c r="L125" s="440">
        <f t="shared" si="6"/>
        <v>0</v>
      </c>
      <c r="M125" s="441">
        <f>IF(AND(L125&gt;O125,O125&gt;0),MinPoints,IF(AND(L125&lt;N125,O125&gt;0),100,+INT((O125-$L125)/P125)+MinPoints))</f>
        <v>100</v>
      </c>
      <c r="N125" s="440">
        <f t="shared" si="7"/>
        <v>90</v>
      </c>
      <c r="O125" s="440">
        <f t="shared" si="8"/>
        <v>180</v>
      </c>
      <c r="P125" s="440">
        <f t="shared" si="9"/>
        <v>1</v>
      </c>
      <c r="Q125">
        <f t="array" ref="Q125">IF(I125&gt;0,INDEX(DB,I125,9),EventIndex)</f>
        <v>6</v>
      </c>
      <c r="S125">
        <f t="array" ref="S125">(INT(INDEX(MINVALUES,$Q125,$K$1))*60)+(MOD(INDEX(MINVALUES,$Q125,$K$1),1)*100)</f>
        <v>180</v>
      </c>
      <c r="T125">
        <f t="array" ref="T125">(INDEX(INCVALUES,$Q125,$K$1)*100)</f>
        <v>1</v>
      </c>
      <c r="V125">
        <f t="array" ref="V125">+J125+(4*(INDEX(MatchScoreTable,$Q125,20)-1))</f>
        <v>4</v>
      </c>
      <c r="W125">
        <f t="array" ref="W125">INDEX(INC_MINVALUES,$V125,$K$1)</f>
        <v>480</v>
      </c>
      <c r="X125" s="212">
        <f t="array" ref="X125">INDEX(INC_INCVALUES,$V125,$K$1)</f>
        <v>4</v>
      </c>
    </row>
    <row r="126" ht="15.75" customHeight="1">
      <c r="A126" s="435"/>
      <c r="B126" s="436"/>
      <c r="C126" s="95" t="str">
        <f t="array" ref="C126">IF(I126&gt;0,INDEX(DB,I126,8),"")</f>
        <v/>
      </c>
      <c r="D126" s="437">
        <f t="shared" si="1"/>
        <v>0</v>
      </c>
      <c r="F126" s="438">
        <f t="shared" si="2"/>
        <v>0</v>
      </c>
      <c r="G126" t="str">
        <f t="shared" si="3"/>
        <v/>
      </c>
      <c r="H126" t="b">
        <f t="shared" si="4"/>
        <v>0</v>
      </c>
      <c r="I126" s="439">
        <f>IF(OR(ISBLANK(A126),ISNA(MATCH(A126&amp;"",AthleteNumbers,0))),0,MATCH(A126&amp;"",AthleteNumbers,0))</f>
        <v>0</v>
      </c>
      <c r="J126" s="209">
        <f t="array" ref="J126">IF(I126&gt;0,INDEX(DB,$I126,6),0)</f>
        <v>0</v>
      </c>
      <c r="K126" s="446">
        <f t="shared" si="5"/>
        <v>0</v>
      </c>
      <c r="L126" s="440">
        <f t="shared" si="6"/>
        <v>0</v>
      </c>
      <c r="M126" s="441">
        <f>IF(AND(L126&gt;O126,O126&gt;0),MinPoints,IF(AND(L126&lt;N126,O126&gt;0),100,+INT((O126-$L126)/P126)+MinPoints))</f>
        <v>100</v>
      </c>
      <c r="N126" s="440">
        <f t="shared" si="7"/>
        <v>90</v>
      </c>
      <c r="O126" s="440">
        <f t="shared" si="8"/>
        <v>180</v>
      </c>
      <c r="P126" s="440">
        <f t="shared" si="9"/>
        <v>1</v>
      </c>
      <c r="Q126">
        <f t="array" ref="Q126">IF(I126&gt;0,INDEX(DB,I126,9),EventIndex)</f>
        <v>6</v>
      </c>
      <c r="S126">
        <f t="array" ref="S126">(INT(INDEX(MINVALUES,$Q126,$K$1))*60)+(MOD(INDEX(MINVALUES,$Q126,$K$1),1)*100)</f>
        <v>180</v>
      </c>
      <c r="T126">
        <f t="array" ref="T126">(INDEX(INCVALUES,$Q126,$K$1)*100)</f>
        <v>1</v>
      </c>
      <c r="V126">
        <f t="array" ref="V126">+J126+(4*(INDEX(MatchScoreTable,$Q126,20)-1))</f>
        <v>4</v>
      </c>
      <c r="W126">
        <f t="array" ref="W126">INDEX(INC_MINVALUES,$V126,$K$1)</f>
        <v>480</v>
      </c>
      <c r="X126" s="212">
        <f t="array" ref="X126">INDEX(INC_INCVALUES,$V126,$K$1)</f>
        <v>4</v>
      </c>
    </row>
    <row r="127" ht="15.75" customHeight="1">
      <c r="A127" s="435"/>
      <c r="B127" s="436"/>
      <c r="C127" s="95" t="str">
        <f t="array" ref="C127">IF(I127&gt;0,INDEX(DB,I127,8),"")</f>
        <v/>
      </c>
      <c r="D127" s="437">
        <f t="shared" si="1"/>
        <v>0</v>
      </c>
      <c r="F127" s="438">
        <f t="shared" si="2"/>
        <v>0</v>
      </c>
      <c r="G127" t="str">
        <f t="shared" si="3"/>
        <v/>
      </c>
      <c r="H127" t="b">
        <f t="shared" si="4"/>
        <v>0</v>
      </c>
      <c r="I127" s="439">
        <f>IF(OR(ISBLANK(A127),ISNA(MATCH(A127&amp;"",AthleteNumbers,0))),0,MATCH(A127&amp;"",AthleteNumbers,0))</f>
        <v>0</v>
      </c>
      <c r="J127" s="209">
        <f t="array" ref="J127">IF(I127&gt;0,INDEX(DB,$I127,6),0)</f>
        <v>0</v>
      </c>
      <c r="K127" s="446">
        <f t="shared" si="5"/>
        <v>0</v>
      </c>
      <c r="L127" s="440">
        <f t="shared" si="6"/>
        <v>0</v>
      </c>
      <c r="M127" s="441">
        <f>IF(AND(L127&gt;O127,O127&gt;0),MinPoints,IF(AND(L127&lt;N127,O127&gt;0),100,+INT((O127-$L127)/P127)+MinPoints))</f>
        <v>100</v>
      </c>
      <c r="N127" s="440">
        <f t="shared" si="7"/>
        <v>90</v>
      </c>
      <c r="O127" s="440">
        <f t="shared" si="8"/>
        <v>180</v>
      </c>
      <c r="P127" s="440">
        <f t="shared" si="9"/>
        <v>1</v>
      </c>
      <c r="Q127">
        <f t="array" ref="Q127">IF(I127&gt;0,INDEX(DB,I127,9),EventIndex)</f>
        <v>6</v>
      </c>
      <c r="S127">
        <f t="array" ref="S127">(INT(INDEX(MINVALUES,$Q127,$K$1))*60)+(MOD(INDEX(MINVALUES,$Q127,$K$1),1)*100)</f>
        <v>180</v>
      </c>
      <c r="T127">
        <f t="array" ref="T127">(INDEX(INCVALUES,$Q127,$K$1)*100)</f>
        <v>1</v>
      </c>
      <c r="V127">
        <f t="array" ref="V127">+J127+(4*(INDEX(MatchScoreTable,$Q127,20)-1))</f>
        <v>4</v>
      </c>
      <c r="W127">
        <f t="array" ref="W127">INDEX(INC_MINVALUES,$V127,$K$1)</f>
        <v>480</v>
      </c>
      <c r="X127" s="212">
        <f t="array" ref="X127">INDEX(INC_INCVALUES,$V127,$K$1)</f>
        <v>4</v>
      </c>
    </row>
    <row r="128" ht="15.75" customHeight="1">
      <c r="A128" s="435"/>
      <c r="B128" s="436"/>
      <c r="C128" s="95" t="str">
        <f t="array" ref="C128">IF(I128&gt;0,INDEX(DB,I128,8),"")</f>
        <v/>
      </c>
      <c r="D128" s="437">
        <f t="shared" si="1"/>
        <v>0</v>
      </c>
      <c r="F128" s="438">
        <f t="shared" si="2"/>
        <v>0</v>
      </c>
      <c r="G128" t="str">
        <f t="shared" si="3"/>
        <v/>
      </c>
      <c r="H128" t="b">
        <f t="shared" si="4"/>
        <v>0</v>
      </c>
      <c r="I128" s="439">
        <f>IF(OR(ISBLANK(A128),ISNA(MATCH(A128&amp;"",AthleteNumbers,0))),0,MATCH(A128&amp;"",AthleteNumbers,0))</f>
        <v>0</v>
      </c>
      <c r="J128" s="209">
        <f t="array" ref="J128">IF(I128&gt;0,INDEX(DB,$I128,6),0)</f>
        <v>0</v>
      </c>
      <c r="K128" s="446">
        <f t="shared" si="5"/>
        <v>0</v>
      </c>
      <c r="L128" s="440">
        <f t="shared" si="6"/>
        <v>0</v>
      </c>
      <c r="M128" s="441">
        <f>IF(AND(L128&gt;O128,O128&gt;0),MinPoints,IF(AND(L128&lt;N128,O128&gt;0),100,+INT((O128-$L128)/P128)+MinPoints))</f>
        <v>100</v>
      </c>
      <c r="N128" s="440">
        <f t="shared" si="7"/>
        <v>90</v>
      </c>
      <c r="O128" s="440">
        <f t="shared" si="8"/>
        <v>180</v>
      </c>
      <c r="P128" s="440">
        <f t="shared" si="9"/>
        <v>1</v>
      </c>
      <c r="Q128">
        <f t="array" ref="Q128">IF(I128&gt;0,INDEX(DB,I128,9),EventIndex)</f>
        <v>6</v>
      </c>
      <c r="S128">
        <f t="array" ref="S128">(INT(INDEX(MINVALUES,$Q128,$K$1))*60)+(MOD(INDEX(MINVALUES,$Q128,$K$1),1)*100)</f>
        <v>180</v>
      </c>
      <c r="T128">
        <f t="array" ref="T128">(INDEX(INCVALUES,$Q128,$K$1)*100)</f>
        <v>1</v>
      </c>
      <c r="V128">
        <f t="array" ref="V128">+J128+(4*(INDEX(MatchScoreTable,$Q128,20)-1))</f>
        <v>4</v>
      </c>
      <c r="W128">
        <f t="array" ref="W128">INDEX(INC_MINVALUES,$V128,$K$1)</f>
        <v>480</v>
      </c>
      <c r="X128" s="212">
        <f t="array" ref="X128">INDEX(INC_INCVALUES,$V128,$K$1)</f>
        <v>4</v>
      </c>
    </row>
    <row r="129" ht="15.75" customHeight="1">
      <c r="A129" s="435"/>
      <c r="B129" s="436"/>
      <c r="C129" s="95" t="str">
        <f t="array" ref="C129">IF(I129&gt;0,INDEX(DB,I129,8),"")</f>
        <v/>
      </c>
      <c r="D129" s="437">
        <f t="shared" si="1"/>
        <v>0</v>
      </c>
      <c r="F129" s="438">
        <f t="shared" si="2"/>
        <v>0</v>
      </c>
      <c r="G129" t="str">
        <f t="shared" si="3"/>
        <v/>
      </c>
      <c r="H129" t="b">
        <f t="shared" si="4"/>
        <v>0</v>
      </c>
      <c r="I129" s="439">
        <f>IF(OR(ISBLANK(A129),ISNA(MATCH(A129&amp;"",AthleteNumbers,0))),0,MATCH(A129&amp;"",AthleteNumbers,0))</f>
        <v>0</v>
      </c>
      <c r="J129" s="209">
        <f t="array" ref="J129">IF(I129&gt;0,INDEX(DB,$I129,6),0)</f>
        <v>0</v>
      </c>
      <c r="K129" s="446">
        <f t="shared" si="5"/>
        <v>0</v>
      </c>
      <c r="L129" s="440">
        <f t="shared" si="6"/>
        <v>0</v>
      </c>
      <c r="M129" s="441">
        <f>IF(AND(L129&gt;O129,O129&gt;0),MinPoints,IF(AND(L129&lt;N129,O129&gt;0),100,+INT((O129-$L129)/P129)+MinPoints))</f>
        <v>100</v>
      </c>
      <c r="N129" s="440">
        <f t="shared" si="7"/>
        <v>90</v>
      </c>
      <c r="O129" s="440">
        <f t="shared" si="8"/>
        <v>180</v>
      </c>
      <c r="P129" s="440">
        <f t="shared" si="9"/>
        <v>1</v>
      </c>
      <c r="Q129">
        <f t="array" ref="Q129">IF(I129&gt;0,INDEX(DB,I129,9),EventIndex)</f>
        <v>6</v>
      </c>
      <c r="S129">
        <f t="array" ref="S129">(INT(INDEX(MINVALUES,$Q129,$K$1))*60)+(MOD(INDEX(MINVALUES,$Q129,$K$1),1)*100)</f>
        <v>180</v>
      </c>
      <c r="T129">
        <f t="array" ref="T129">(INDEX(INCVALUES,$Q129,$K$1)*100)</f>
        <v>1</v>
      </c>
      <c r="V129">
        <f t="array" ref="V129">+J129+(4*(INDEX(MatchScoreTable,$Q129,20)-1))</f>
        <v>4</v>
      </c>
      <c r="W129">
        <f t="array" ref="W129">INDEX(INC_MINVALUES,$V129,$K$1)</f>
        <v>480</v>
      </c>
      <c r="X129" s="212">
        <f t="array" ref="X129">INDEX(INC_INCVALUES,$V129,$K$1)</f>
        <v>4</v>
      </c>
    </row>
    <row r="130" ht="15.75" customHeight="1">
      <c r="A130" s="435"/>
      <c r="B130" s="436"/>
      <c r="C130" s="95" t="str">
        <f t="array" ref="C130">IF(I130&gt;0,INDEX(DB,I130,8),"")</f>
        <v/>
      </c>
      <c r="D130" s="437">
        <f t="shared" si="1"/>
        <v>0</v>
      </c>
      <c r="F130" s="438">
        <f t="shared" si="2"/>
        <v>0</v>
      </c>
      <c r="G130" t="str">
        <f t="shared" si="3"/>
        <v/>
      </c>
      <c r="H130" t="b">
        <f t="shared" si="4"/>
        <v>0</v>
      </c>
      <c r="I130" s="439">
        <f>IF(OR(ISBLANK(A130),ISNA(MATCH(A130&amp;"",AthleteNumbers,0))),0,MATCH(A130&amp;"",AthleteNumbers,0))</f>
        <v>0</v>
      </c>
      <c r="J130" s="209">
        <f t="array" ref="J130">IF(I130&gt;0,INDEX(DB,$I130,6),0)</f>
        <v>0</v>
      </c>
      <c r="K130" s="446">
        <f t="shared" si="5"/>
        <v>0</v>
      </c>
      <c r="L130" s="440">
        <f t="shared" si="6"/>
        <v>0</v>
      </c>
      <c r="M130" s="441">
        <f>IF(AND(L130&gt;O130,O130&gt;0),MinPoints,IF(AND(L130&lt;N130,O130&gt;0),100,+INT((O130-$L130)/P130)+MinPoints))</f>
        <v>100</v>
      </c>
      <c r="N130" s="440">
        <f t="shared" si="7"/>
        <v>90</v>
      </c>
      <c r="O130" s="440">
        <f t="shared" si="8"/>
        <v>180</v>
      </c>
      <c r="P130" s="440">
        <f t="shared" si="9"/>
        <v>1</v>
      </c>
      <c r="Q130">
        <f t="array" ref="Q130">IF(I130&gt;0,INDEX(DB,I130,9),EventIndex)</f>
        <v>6</v>
      </c>
      <c r="S130">
        <f t="array" ref="S130">(INT(INDEX(MINVALUES,$Q130,$K$1))*60)+(MOD(INDEX(MINVALUES,$Q130,$K$1),1)*100)</f>
        <v>180</v>
      </c>
      <c r="T130">
        <f t="array" ref="T130">(INDEX(INCVALUES,$Q130,$K$1)*100)</f>
        <v>1</v>
      </c>
      <c r="V130">
        <f t="array" ref="V130">+J130+(4*(INDEX(MatchScoreTable,$Q130,20)-1))</f>
        <v>4</v>
      </c>
      <c r="W130">
        <f t="array" ref="W130">INDEX(INC_MINVALUES,$V130,$K$1)</f>
        <v>480</v>
      </c>
      <c r="X130" s="212">
        <f t="array" ref="X130">INDEX(INC_INCVALUES,$V130,$K$1)</f>
        <v>4</v>
      </c>
    </row>
    <row r="131" ht="15.75" customHeight="1">
      <c r="A131" s="435"/>
      <c r="B131" s="436"/>
      <c r="C131" s="95" t="str">
        <f t="array" ref="C131">IF(I131&gt;0,INDEX(DB,I131,8),"")</f>
        <v/>
      </c>
      <c r="D131" s="437">
        <f t="shared" si="1"/>
        <v>0</v>
      </c>
      <c r="F131" s="438">
        <f t="shared" si="2"/>
        <v>0</v>
      </c>
      <c r="G131" t="str">
        <f t="shared" si="3"/>
        <v/>
      </c>
      <c r="H131" t="b">
        <f t="shared" si="4"/>
        <v>0</v>
      </c>
      <c r="I131" s="439">
        <f>IF(OR(ISBLANK(A131),ISNA(MATCH(A131&amp;"",AthleteNumbers,0))),0,MATCH(A131&amp;"",AthleteNumbers,0))</f>
        <v>0</v>
      </c>
      <c r="J131" s="209">
        <f t="array" ref="J131">IF(I131&gt;0,INDEX(DB,$I131,6),0)</f>
        <v>0</v>
      </c>
      <c r="K131" s="446">
        <f t="shared" si="5"/>
        <v>0</v>
      </c>
      <c r="L131" s="440">
        <f t="shared" si="6"/>
        <v>0</v>
      </c>
      <c r="M131" s="441">
        <f>IF(AND(L131&gt;O131,O131&gt;0),MinPoints,IF(AND(L131&lt;N131,O131&gt;0),100,+INT((O131-$L131)/P131)+MinPoints))</f>
        <v>100</v>
      </c>
      <c r="N131" s="440">
        <f t="shared" si="7"/>
        <v>90</v>
      </c>
      <c r="O131" s="440">
        <f t="shared" si="8"/>
        <v>180</v>
      </c>
      <c r="P131" s="440">
        <f t="shared" si="9"/>
        <v>1</v>
      </c>
      <c r="Q131">
        <f t="array" ref="Q131">IF(I131&gt;0,INDEX(DB,I131,9),EventIndex)</f>
        <v>6</v>
      </c>
      <c r="S131">
        <f t="array" ref="S131">(INT(INDEX(MINVALUES,$Q131,$K$1))*60)+(MOD(INDEX(MINVALUES,$Q131,$K$1),1)*100)</f>
        <v>180</v>
      </c>
      <c r="T131">
        <f t="array" ref="T131">(INDEX(INCVALUES,$Q131,$K$1)*100)</f>
        <v>1</v>
      </c>
      <c r="V131">
        <f t="array" ref="V131">+J131+(4*(INDEX(MatchScoreTable,$Q131,20)-1))</f>
        <v>4</v>
      </c>
      <c r="W131">
        <f t="array" ref="W131">INDEX(INC_MINVALUES,$V131,$K$1)</f>
        <v>480</v>
      </c>
      <c r="X131" s="212">
        <f t="array" ref="X131">INDEX(INC_INCVALUES,$V131,$K$1)</f>
        <v>4</v>
      </c>
    </row>
    <row r="132" ht="15.75" customHeight="1">
      <c r="A132" s="435"/>
      <c r="B132" s="436"/>
      <c r="C132" s="95" t="str">
        <f t="array" ref="C132">IF(I132&gt;0,INDEX(DB,I132,8),"")</f>
        <v/>
      </c>
      <c r="D132" s="437">
        <f t="shared" si="1"/>
        <v>0</v>
      </c>
      <c r="F132" s="438">
        <f t="shared" si="2"/>
        <v>0</v>
      </c>
      <c r="G132" t="str">
        <f t="shared" si="3"/>
        <v/>
      </c>
      <c r="H132" t="b">
        <f t="shared" si="4"/>
        <v>0</v>
      </c>
      <c r="I132" s="439">
        <f>IF(OR(ISBLANK(A132),ISNA(MATCH(A132&amp;"",AthleteNumbers,0))),0,MATCH(A132&amp;"",AthleteNumbers,0))</f>
        <v>0</v>
      </c>
      <c r="J132" s="209">
        <f t="array" ref="J132">IF(I132&gt;0,INDEX(DB,$I132,6),0)</f>
        <v>0</v>
      </c>
      <c r="K132" s="446">
        <f t="shared" si="5"/>
        <v>0</v>
      </c>
      <c r="L132" s="440">
        <f t="shared" si="6"/>
        <v>0</v>
      </c>
      <c r="M132" s="441">
        <f>IF(AND(L132&gt;O132,O132&gt;0),MinPoints,IF(AND(L132&lt;N132,O132&gt;0),100,+INT((O132-$L132)/P132)+MinPoints))</f>
        <v>100</v>
      </c>
      <c r="N132" s="440">
        <f t="shared" si="7"/>
        <v>90</v>
      </c>
      <c r="O132" s="440">
        <f t="shared" si="8"/>
        <v>180</v>
      </c>
      <c r="P132" s="440">
        <f t="shared" si="9"/>
        <v>1</v>
      </c>
      <c r="Q132">
        <f t="array" ref="Q132">IF(I132&gt;0,INDEX(DB,I132,9),EventIndex)</f>
        <v>6</v>
      </c>
      <c r="S132">
        <f t="array" ref="S132">(INT(INDEX(MINVALUES,$Q132,$K$1))*60)+(MOD(INDEX(MINVALUES,$Q132,$K$1),1)*100)</f>
        <v>180</v>
      </c>
      <c r="T132">
        <f t="array" ref="T132">(INDEX(INCVALUES,$Q132,$K$1)*100)</f>
        <v>1</v>
      </c>
      <c r="V132">
        <f t="array" ref="V132">+J132+(4*(INDEX(MatchScoreTable,$Q132,20)-1))</f>
        <v>4</v>
      </c>
      <c r="W132">
        <f t="array" ref="W132">INDEX(INC_MINVALUES,$V132,$K$1)</f>
        <v>480</v>
      </c>
      <c r="X132" s="212">
        <f t="array" ref="X132">INDEX(INC_INCVALUES,$V132,$K$1)</f>
        <v>4</v>
      </c>
    </row>
    <row r="133" ht="15.75" customHeight="1">
      <c r="A133" s="435"/>
      <c r="B133" s="436"/>
      <c r="C133" s="95" t="str">
        <f t="array" ref="C133">IF(I133&gt;0,INDEX(DB,I133,8),"")</f>
        <v/>
      </c>
      <c r="D133" s="437">
        <f t="shared" si="1"/>
        <v>0</v>
      </c>
      <c r="F133" s="438">
        <f t="shared" si="2"/>
        <v>0</v>
      </c>
      <c r="G133" t="str">
        <f t="shared" si="3"/>
        <v/>
      </c>
      <c r="H133" t="b">
        <f t="shared" si="4"/>
        <v>0</v>
      </c>
      <c r="I133" s="439">
        <f>IF(OR(ISBLANK(A133),ISNA(MATCH(A133&amp;"",AthleteNumbers,0))),0,MATCH(A133&amp;"",AthleteNumbers,0))</f>
        <v>0</v>
      </c>
      <c r="J133" s="209">
        <f t="array" ref="J133">IF(I133&gt;0,INDEX(DB,$I133,6),0)</f>
        <v>0</v>
      </c>
      <c r="K133" s="446">
        <f t="shared" si="5"/>
        <v>0</v>
      </c>
      <c r="L133" s="440">
        <f t="shared" si="6"/>
        <v>0</v>
      </c>
      <c r="M133" s="441">
        <f>IF(AND(L133&gt;O133,O133&gt;0),MinPoints,IF(AND(L133&lt;N133,O133&gt;0),100,+INT((O133-$L133)/P133)+MinPoints))</f>
        <v>100</v>
      </c>
      <c r="N133" s="440">
        <f t="shared" si="7"/>
        <v>90</v>
      </c>
      <c r="O133" s="440">
        <f t="shared" si="8"/>
        <v>180</v>
      </c>
      <c r="P133" s="440">
        <f t="shared" si="9"/>
        <v>1</v>
      </c>
      <c r="Q133">
        <f t="array" ref="Q133">IF(I133&gt;0,INDEX(DB,I133,9),EventIndex)</f>
        <v>6</v>
      </c>
      <c r="S133">
        <f t="array" ref="S133">(INT(INDEX(MINVALUES,$Q133,$K$1))*60)+(MOD(INDEX(MINVALUES,$Q133,$K$1),1)*100)</f>
        <v>180</v>
      </c>
      <c r="T133">
        <f t="array" ref="T133">(INDEX(INCVALUES,$Q133,$K$1)*100)</f>
        <v>1</v>
      </c>
      <c r="V133">
        <f t="array" ref="V133">+J133+(4*(INDEX(MatchScoreTable,$Q133,20)-1))</f>
        <v>4</v>
      </c>
      <c r="W133">
        <f t="array" ref="W133">INDEX(INC_MINVALUES,$V133,$K$1)</f>
        <v>480</v>
      </c>
      <c r="X133" s="212">
        <f t="array" ref="X133">INDEX(INC_INCVALUES,$V133,$K$1)</f>
        <v>4</v>
      </c>
    </row>
    <row r="134" ht="15.75" customHeight="1">
      <c r="A134" s="435"/>
      <c r="B134" s="436"/>
      <c r="C134" s="95" t="str">
        <f t="array" ref="C134">IF(I134&gt;0,INDEX(DB,I134,8),"")</f>
        <v/>
      </c>
      <c r="D134" s="437">
        <f t="shared" si="1"/>
        <v>0</v>
      </c>
      <c r="F134" s="438">
        <f t="shared" si="2"/>
        <v>0</v>
      </c>
      <c r="G134" t="str">
        <f t="shared" si="3"/>
        <v/>
      </c>
      <c r="H134" t="b">
        <f t="shared" si="4"/>
        <v>0</v>
      </c>
      <c r="I134" s="439">
        <f>IF(OR(ISBLANK(A134),ISNA(MATCH(A134&amp;"",AthleteNumbers,0))),0,MATCH(A134&amp;"",AthleteNumbers,0))</f>
        <v>0</v>
      </c>
      <c r="J134" s="209">
        <f t="array" ref="J134">IF(I134&gt;0,INDEX(DB,$I134,6),0)</f>
        <v>0</v>
      </c>
      <c r="K134" s="446">
        <f t="shared" si="5"/>
        <v>0</v>
      </c>
      <c r="L134" s="440">
        <f t="shared" si="6"/>
        <v>0</v>
      </c>
      <c r="M134" s="441">
        <f>IF(AND(L134&gt;O134,O134&gt;0),MinPoints,IF(AND(L134&lt;N134,O134&gt;0),100,+INT((O134-$L134)/P134)+MinPoints))</f>
        <v>100</v>
      </c>
      <c r="N134" s="440">
        <f t="shared" si="7"/>
        <v>90</v>
      </c>
      <c r="O134" s="440">
        <f t="shared" si="8"/>
        <v>180</v>
      </c>
      <c r="P134" s="440">
        <f t="shared" si="9"/>
        <v>1</v>
      </c>
      <c r="Q134">
        <f t="array" ref="Q134">IF(I134&gt;0,INDEX(DB,I134,9),EventIndex)</f>
        <v>6</v>
      </c>
      <c r="S134">
        <f t="array" ref="S134">(INT(INDEX(MINVALUES,$Q134,$K$1))*60)+(MOD(INDEX(MINVALUES,$Q134,$K$1),1)*100)</f>
        <v>180</v>
      </c>
      <c r="T134">
        <f t="array" ref="T134">(INDEX(INCVALUES,$Q134,$K$1)*100)</f>
        <v>1</v>
      </c>
      <c r="V134">
        <f t="array" ref="V134">+J134+(4*(INDEX(MatchScoreTable,$Q134,20)-1))</f>
        <v>4</v>
      </c>
      <c r="W134">
        <f t="array" ref="W134">INDEX(INC_MINVALUES,$V134,$K$1)</f>
        <v>480</v>
      </c>
      <c r="X134" s="212">
        <f t="array" ref="X134">INDEX(INC_INCVALUES,$V134,$K$1)</f>
        <v>4</v>
      </c>
    </row>
    <row r="135" ht="15.75" customHeight="1">
      <c r="A135" s="435"/>
      <c r="B135" s="436"/>
      <c r="C135" s="95" t="str">
        <f t="array" ref="C135">IF(I135&gt;0,INDEX(DB,I135,8),"")</f>
        <v/>
      </c>
      <c r="D135" s="437">
        <f t="shared" si="1"/>
        <v>0</v>
      </c>
      <c r="F135" s="438">
        <f t="shared" si="2"/>
        <v>0</v>
      </c>
      <c r="G135" t="str">
        <f t="shared" si="3"/>
        <v/>
      </c>
      <c r="H135" t="b">
        <f t="shared" si="4"/>
        <v>0</v>
      </c>
      <c r="I135" s="439">
        <f>IF(OR(ISBLANK(A135),ISNA(MATCH(A135&amp;"",AthleteNumbers,0))),0,MATCH(A135&amp;"",AthleteNumbers,0))</f>
        <v>0</v>
      </c>
      <c r="J135" s="209">
        <f t="array" ref="J135">IF(I135&gt;0,INDEX(DB,$I135,6),0)</f>
        <v>0</v>
      </c>
      <c r="K135" s="446">
        <f t="shared" si="5"/>
        <v>0</v>
      </c>
      <c r="L135" s="440">
        <f t="shared" si="6"/>
        <v>0</v>
      </c>
      <c r="M135" s="441">
        <f>IF(AND(L135&gt;O135,O135&gt;0),MinPoints,IF(AND(L135&lt;N135,O135&gt;0),100,+INT((O135-$L135)/P135)+MinPoints))</f>
        <v>100</v>
      </c>
      <c r="N135" s="440">
        <f t="shared" si="7"/>
        <v>90</v>
      </c>
      <c r="O135" s="440">
        <f t="shared" si="8"/>
        <v>180</v>
      </c>
      <c r="P135" s="440">
        <f t="shared" si="9"/>
        <v>1</v>
      </c>
      <c r="Q135">
        <f t="array" ref="Q135">IF(I135&gt;0,INDEX(DB,I135,9),EventIndex)</f>
        <v>6</v>
      </c>
      <c r="S135">
        <f t="array" ref="S135">(INT(INDEX(MINVALUES,$Q135,$K$1))*60)+(MOD(INDEX(MINVALUES,$Q135,$K$1),1)*100)</f>
        <v>180</v>
      </c>
      <c r="T135">
        <f t="array" ref="T135">(INDEX(INCVALUES,$Q135,$K$1)*100)</f>
        <v>1</v>
      </c>
      <c r="V135">
        <f t="array" ref="V135">+J135+(4*(INDEX(MatchScoreTable,$Q135,20)-1))</f>
        <v>4</v>
      </c>
      <c r="W135">
        <f t="array" ref="W135">INDEX(INC_MINVALUES,$V135,$K$1)</f>
        <v>480</v>
      </c>
      <c r="X135" s="212">
        <f t="array" ref="X135">INDEX(INC_INCVALUES,$V135,$K$1)</f>
        <v>4</v>
      </c>
    </row>
    <row r="136" ht="15.75" customHeight="1">
      <c r="A136" s="435"/>
      <c r="B136" s="436"/>
      <c r="C136" s="95" t="str">
        <f t="array" ref="C136">IF(I136&gt;0,INDEX(DB,I136,8),"")</f>
        <v/>
      </c>
      <c r="D136" s="437">
        <f t="shared" si="1"/>
        <v>0</v>
      </c>
      <c r="F136" s="438">
        <f t="shared" si="2"/>
        <v>0</v>
      </c>
      <c r="G136" t="str">
        <f t="shared" si="3"/>
        <v/>
      </c>
      <c r="H136" t="b">
        <f t="shared" si="4"/>
        <v>0</v>
      </c>
      <c r="I136" s="439">
        <f>IF(OR(ISBLANK(A136),ISNA(MATCH(A136&amp;"",AthleteNumbers,0))),0,MATCH(A136&amp;"",AthleteNumbers,0))</f>
        <v>0</v>
      </c>
      <c r="J136" s="209">
        <f t="array" ref="J136">IF(I136&gt;0,INDEX(DB,$I136,6),0)</f>
        <v>0</v>
      </c>
      <c r="K136" s="446">
        <f t="shared" si="5"/>
        <v>0</v>
      </c>
      <c r="L136" s="440">
        <f t="shared" si="6"/>
        <v>0</v>
      </c>
      <c r="M136" s="441">
        <f>IF(AND(L136&gt;O136,O136&gt;0),MinPoints,IF(AND(L136&lt;N136,O136&gt;0),100,+INT((O136-$L136)/P136)+MinPoints))</f>
        <v>100</v>
      </c>
      <c r="N136" s="440">
        <f t="shared" si="7"/>
        <v>90</v>
      </c>
      <c r="O136" s="440">
        <f t="shared" si="8"/>
        <v>180</v>
      </c>
      <c r="P136" s="440">
        <f t="shared" si="9"/>
        <v>1</v>
      </c>
      <c r="Q136">
        <f t="array" ref="Q136">IF(I136&gt;0,INDEX(DB,I136,9),EventIndex)</f>
        <v>6</v>
      </c>
      <c r="S136">
        <f t="array" ref="S136">(INT(INDEX(MINVALUES,$Q136,$K$1))*60)+(MOD(INDEX(MINVALUES,$Q136,$K$1),1)*100)</f>
        <v>180</v>
      </c>
      <c r="T136">
        <f t="array" ref="T136">(INDEX(INCVALUES,$Q136,$K$1)*100)</f>
        <v>1</v>
      </c>
      <c r="V136">
        <f t="array" ref="V136">+J136+(4*(INDEX(MatchScoreTable,$Q136,20)-1))</f>
        <v>4</v>
      </c>
      <c r="W136">
        <f t="array" ref="W136">INDEX(INC_MINVALUES,$V136,$K$1)</f>
        <v>480</v>
      </c>
      <c r="X136" s="212">
        <f t="array" ref="X136">INDEX(INC_INCVALUES,$V136,$K$1)</f>
        <v>4</v>
      </c>
    </row>
    <row r="137" ht="15.75" customHeight="1">
      <c r="A137" s="435"/>
      <c r="B137" s="436"/>
      <c r="C137" s="95" t="str">
        <f t="array" ref="C137">IF(I137&gt;0,INDEX(DB,I137,8),"")</f>
        <v/>
      </c>
      <c r="D137" s="437">
        <f t="shared" si="1"/>
        <v>0</v>
      </c>
      <c r="F137" s="438">
        <f t="shared" si="2"/>
        <v>0</v>
      </c>
      <c r="G137" t="str">
        <f t="shared" si="3"/>
        <v/>
      </c>
      <c r="H137" t="b">
        <f t="shared" si="4"/>
        <v>0</v>
      </c>
      <c r="I137" s="439">
        <f>IF(OR(ISBLANK(A137),ISNA(MATCH(A137&amp;"",AthleteNumbers,0))),0,MATCH(A137&amp;"",AthleteNumbers,0))</f>
        <v>0</v>
      </c>
      <c r="J137" s="209">
        <f t="array" ref="J137">IF(I137&gt;0,INDEX(DB,$I137,6),0)</f>
        <v>0</v>
      </c>
      <c r="K137" s="446">
        <f t="shared" si="5"/>
        <v>0</v>
      </c>
      <c r="L137" s="440">
        <f t="shared" si="6"/>
        <v>0</v>
      </c>
      <c r="M137" s="441">
        <f>IF(AND(L137&gt;O137,O137&gt;0),MinPoints,IF(AND(L137&lt;N137,O137&gt;0),100,+INT((O137-$L137)/P137)+MinPoints))</f>
        <v>100</v>
      </c>
      <c r="N137" s="440">
        <f t="shared" si="7"/>
        <v>90</v>
      </c>
      <c r="O137" s="440">
        <f t="shared" si="8"/>
        <v>180</v>
      </c>
      <c r="P137" s="440">
        <f t="shared" si="9"/>
        <v>1</v>
      </c>
      <c r="Q137">
        <f t="array" ref="Q137">IF(I137&gt;0,INDEX(DB,I137,9),EventIndex)</f>
        <v>6</v>
      </c>
      <c r="S137">
        <f t="array" ref="S137">(INT(INDEX(MINVALUES,$Q137,$K$1))*60)+(MOD(INDEX(MINVALUES,$Q137,$K$1),1)*100)</f>
        <v>180</v>
      </c>
      <c r="T137">
        <f t="array" ref="T137">(INDEX(INCVALUES,$Q137,$K$1)*100)</f>
        <v>1</v>
      </c>
      <c r="V137">
        <f t="array" ref="V137">+J137+(4*(INDEX(MatchScoreTable,$Q137,20)-1))</f>
        <v>4</v>
      </c>
      <c r="W137">
        <f t="array" ref="W137">INDEX(INC_MINVALUES,$V137,$K$1)</f>
        <v>480</v>
      </c>
      <c r="X137" s="212">
        <f t="array" ref="X137">INDEX(INC_INCVALUES,$V137,$K$1)</f>
        <v>4</v>
      </c>
    </row>
    <row r="138" ht="15.75" customHeight="1">
      <c r="A138" s="435"/>
      <c r="B138" s="436"/>
      <c r="C138" s="95" t="str">
        <f t="array" ref="C138">IF(I138&gt;0,INDEX(DB,I138,8),"")</f>
        <v/>
      </c>
      <c r="D138" s="437">
        <f t="shared" si="1"/>
        <v>0</v>
      </c>
      <c r="F138" s="438">
        <f t="shared" si="2"/>
        <v>0</v>
      </c>
      <c r="G138" t="str">
        <f t="shared" si="3"/>
        <v/>
      </c>
      <c r="H138" t="b">
        <f t="shared" si="4"/>
        <v>0</v>
      </c>
      <c r="I138" s="439">
        <f>IF(OR(ISBLANK(A138),ISNA(MATCH(A138&amp;"",AthleteNumbers,0))),0,MATCH(A138&amp;"",AthleteNumbers,0))</f>
        <v>0</v>
      </c>
      <c r="J138" s="209">
        <f t="array" ref="J138">IF(I138&gt;0,INDEX(DB,$I138,6),0)</f>
        <v>0</v>
      </c>
      <c r="K138" s="446">
        <f t="shared" si="5"/>
        <v>0</v>
      </c>
      <c r="L138" s="440">
        <f t="shared" si="6"/>
        <v>0</v>
      </c>
      <c r="M138" s="441">
        <f>IF(AND(L138&gt;O138,O138&gt;0),MinPoints,IF(AND(L138&lt;N138,O138&gt;0),100,+INT((O138-$L138)/P138)+MinPoints))</f>
        <v>100</v>
      </c>
      <c r="N138" s="440">
        <f t="shared" si="7"/>
        <v>90</v>
      </c>
      <c r="O138" s="440">
        <f t="shared" si="8"/>
        <v>180</v>
      </c>
      <c r="P138" s="440">
        <f t="shared" si="9"/>
        <v>1</v>
      </c>
      <c r="Q138">
        <f t="array" ref="Q138">IF(I138&gt;0,INDEX(DB,I138,9),EventIndex)</f>
        <v>6</v>
      </c>
      <c r="S138">
        <f t="array" ref="S138">(INT(INDEX(MINVALUES,$Q138,$K$1))*60)+(MOD(INDEX(MINVALUES,$Q138,$K$1),1)*100)</f>
        <v>180</v>
      </c>
      <c r="T138">
        <f t="array" ref="T138">(INDEX(INCVALUES,$Q138,$K$1)*100)</f>
        <v>1</v>
      </c>
      <c r="V138">
        <f t="array" ref="V138">+J138+(4*(INDEX(MatchScoreTable,$Q138,20)-1))</f>
        <v>4</v>
      </c>
      <c r="W138">
        <f t="array" ref="W138">INDEX(INC_MINVALUES,$V138,$K$1)</f>
        <v>480</v>
      </c>
      <c r="X138" s="212">
        <f t="array" ref="X138">INDEX(INC_INCVALUES,$V138,$K$1)</f>
        <v>4</v>
      </c>
    </row>
    <row r="139" ht="15.75" customHeight="1">
      <c r="A139" s="435"/>
      <c r="B139" s="436"/>
      <c r="C139" s="95" t="str">
        <f t="array" ref="C139">IF(I139&gt;0,INDEX(DB,I139,8),"")</f>
        <v/>
      </c>
      <c r="D139" s="437">
        <f t="shared" si="1"/>
        <v>0</v>
      </c>
      <c r="F139" s="438">
        <f t="shared" si="2"/>
        <v>0</v>
      </c>
      <c r="G139" t="str">
        <f t="shared" si="3"/>
        <v/>
      </c>
      <c r="H139" t="b">
        <f t="shared" si="4"/>
        <v>0</v>
      </c>
      <c r="I139" s="439">
        <f>IF(OR(ISBLANK(A139),ISNA(MATCH(A139&amp;"",AthleteNumbers,0))),0,MATCH(A139&amp;"",AthleteNumbers,0))</f>
        <v>0</v>
      </c>
      <c r="J139" s="209">
        <f t="array" ref="J139">IF(I139&gt;0,INDEX(DB,$I139,6),0)</f>
        <v>0</v>
      </c>
      <c r="K139" s="446">
        <f t="shared" si="5"/>
        <v>0</v>
      </c>
      <c r="L139" s="440">
        <f t="shared" si="6"/>
        <v>0</v>
      </c>
      <c r="M139" s="441">
        <f>IF(AND(L139&gt;O139,O139&gt;0),MinPoints,IF(AND(L139&lt;N139,O139&gt;0),100,+INT((O139-$L139)/P139)+MinPoints))</f>
        <v>100</v>
      </c>
      <c r="N139" s="440">
        <f t="shared" si="7"/>
        <v>90</v>
      </c>
      <c r="O139" s="440">
        <f t="shared" si="8"/>
        <v>180</v>
      </c>
      <c r="P139" s="440">
        <f t="shared" si="9"/>
        <v>1</v>
      </c>
      <c r="Q139">
        <f t="array" ref="Q139">IF(I139&gt;0,INDEX(DB,I139,9),EventIndex)</f>
        <v>6</v>
      </c>
      <c r="S139">
        <f t="array" ref="S139">(INT(INDEX(MINVALUES,$Q139,$K$1))*60)+(MOD(INDEX(MINVALUES,$Q139,$K$1),1)*100)</f>
        <v>180</v>
      </c>
      <c r="T139">
        <f t="array" ref="T139">(INDEX(INCVALUES,$Q139,$K$1)*100)</f>
        <v>1</v>
      </c>
      <c r="V139">
        <f t="array" ref="V139">+J139+(4*(INDEX(MatchScoreTable,$Q139,20)-1))</f>
        <v>4</v>
      </c>
      <c r="W139">
        <f t="array" ref="W139">INDEX(INC_MINVALUES,$V139,$K$1)</f>
        <v>480</v>
      </c>
      <c r="X139" s="212">
        <f t="array" ref="X139">INDEX(INC_INCVALUES,$V139,$K$1)</f>
        <v>4</v>
      </c>
    </row>
    <row r="140" ht="15.75" customHeight="1">
      <c r="A140" s="435"/>
      <c r="B140" s="436"/>
      <c r="C140" s="95" t="str">
        <f t="array" ref="C140">IF(I140&gt;0,INDEX(DB,I140,8),"")</f>
        <v/>
      </c>
      <c r="D140" s="437">
        <f t="shared" si="1"/>
        <v>0</v>
      </c>
      <c r="F140" s="438">
        <f t="shared" si="2"/>
        <v>0</v>
      </c>
      <c r="G140" t="str">
        <f t="shared" si="3"/>
        <v/>
      </c>
      <c r="H140" t="b">
        <f t="shared" si="4"/>
        <v>0</v>
      </c>
      <c r="I140" s="439">
        <f>IF(OR(ISBLANK(A140),ISNA(MATCH(A140&amp;"",AthleteNumbers,0))),0,MATCH(A140&amp;"",AthleteNumbers,0))</f>
        <v>0</v>
      </c>
      <c r="J140" s="209">
        <f t="array" ref="J140">IF(I140&gt;0,INDEX(DB,$I140,6),0)</f>
        <v>0</v>
      </c>
      <c r="K140" s="446">
        <f t="shared" si="5"/>
        <v>0</v>
      </c>
      <c r="L140" s="440">
        <f t="shared" si="6"/>
        <v>0</v>
      </c>
      <c r="M140" s="441">
        <f>IF(AND(L140&gt;O140,O140&gt;0),MinPoints,IF(AND(L140&lt;N140,O140&gt;0),100,+INT((O140-$L140)/P140)+MinPoints))</f>
        <v>100</v>
      </c>
      <c r="N140" s="440">
        <f t="shared" si="7"/>
        <v>90</v>
      </c>
      <c r="O140" s="440">
        <f t="shared" si="8"/>
        <v>180</v>
      </c>
      <c r="P140" s="440">
        <f t="shared" si="9"/>
        <v>1</v>
      </c>
      <c r="Q140">
        <f t="array" ref="Q140">IF(I140&gt;0,INDEX(DB,I140,9),EventIndex)</f>
        <v>6</v>
      </c>
      <c r="S140">
        <f t="array" ref="S140">(INT(INDEX(MINVALUES,$Q140,$K$1))*60)+(MOD(INDEX(MINVALUES,$Q140,$K$1),1)*100)</f>
        <v>180</v>
      </c>
      <c r="T140">
        <f t="array" ref="T140">(INDEX(INCVALUES,$Q140,$K$1)*100)</f>
        <v>1</v>
      </c>
      <c r="V140">
        <f t="array" ref="V140">+J140+(4*(INDEX(MatchScoreTable,$Q140,20)-1))</f>
        <v>4</v>
      </c>
      <c r="W140">
        <f t="array" ref="W140">INDEX(INC_MINVALUES,$V140,$K$1)</f>
        <v>480</v>
      </c>
      <c r="X140" s="212">
        <f t="array" ref="X140">INDEX(INC_INCVALUES,$V140,$K$1)</f>
        <v>4</v>
      </c>
    </row>
    <row r="141" ht="15.75" customHeight="1">
      <c r="A141" s="435"/>
      <c r="B141" s="436"/>
      <c r="C141" s="95" t="str">
        <f t="array" ref="C141">IF(I141&gt;0,INDEX(DB,I141,8),"")</f>
        <v/>
      </c>
      <c r="D141" s="437">
        <f t="shared" si="1"/>
        <v>0</v>
      </c>
      <c r="F141" s="438">
        <f t="shared" si="2"/>
        <v>0</v>
      </c>
      <c r="G141" t="str">
        <f t="shared" si="3"/>
        <v/>
      </c>
      <c r="H141" t="b">
        <f t="shared" si="4"/>
        <v>0</v>
      </c>
      <c r="I141" s="439">
        <f>IF(OR(ISBLANK(A141),ISNA(MATCH(A141&amp;"",AthleteNumbers,0))),0,MATCH(A141&amp;"",AthleteNumbers,0))</f>
        <v>0</v>
      </c>
      <c r="J141" s="209">
        <f t="array" ref="J141">IF(I141&gt;0,INDEX(DB,$I141,6),0)</f>
        <v>0</v>
      </c>
      <c r="K141" s="446">
        <f t="shared" si="5"/>
        <v>0</v>
      </c>
      <c r="L141" s="440">
        <f t="shared" si="6"/>
        <v>0</v>
      </c>
      <c r="M141" s="441">
        <f>IF(AND(L141&gt;O141,O141&gt;0),MinPoints,IF(AND(L141&lt;N141,O141&gt;0),100,+INT((O141-$L141)/P141)+MinPoints))</f>
        <v>100</v>
      </c>
      <c r="N141" s="440">
        <f t="shared" si="7"/>
        <v>90</v>
      </c>
      <c r="O141" s="440">
        <f t="shared" si="8"/>
        <v>180</v>
      </c>
      <c r="P141" s="440">
        <f t="shared" si="9"/>
        <v>1</v>
      </c>
      <c r="Q141">
        <f t="array" ref="Q141">IF(I141&gt;0,INDEX(DB,I141,9),EventIndex)</f>
        <v>6</v>
      </c>
      <c r="S141">
        <f t="array" ref="S141">(INT(INDEX(MINVALUES,$Q141,$K$1))*60)+(MOD(INDEX(MINVALUES,$Q141,$K$1),1)*100)</f>
        <v>180</v>
      </c>
      <c r="T141">
        <f t="array" ref="T141">(INDEX(INCVALUES,$Q141,$K$1)*100)</f>
        <v>1</v>
      </c>
      <c r="V141">
        <f t="array" ref="V141">+J141+(4*(INDEX(MatchScoreTable,$Q141,20)-1))</f>
        <v>4</v>
      </c>
      <c r="W141">
        <f t="array" ref="W141">INDEX(INC_MINVALUES,$V141,$K$1)</f>
        <v>480</v>
      </c>
      <c r="X141" s="212">
        <f t="array" ref="X141">INDEX(INC_INCVALUES,$V141,$K$1)</f>
        <v>4</v>
      </c>
    </row>
    <row r="142" ht="15.75" customHeight="1">
      <c r="A142" s="435"/>
      <c r="B142" s="436"/>
      <c r="C142" s="95" t="str">
        <f t="array" ref="C142">IF(I142&gt;0,INDEX(DB,I142,8),"")</f>
        <v/>
      </c>
      <c r="D142" s="437">
        <f t="shared" si="1"/>
        <v>0</v>
      </c>
      <c r="F142" s="438">
        <f t="shared" si="2"/>
        <v>0</v>
      </c>
      <c r="G142" t="str">
        <f t="shared" si="3"/>
        <v/>
      </c>
      <c r="H142" t="b">
        <f t="shared" si="4"/>
        <v>0</v>
      </c>
      <c r="I142" s="439">
        <f>IF(OR(ISBLANK(A142),ISNA(MATCH(A142&amp;"",AthleteNumbers,0))),0,MATCH(A142&amp;"",AthleteNumbers,0))</f>
        <v>0</v>
      </c>
      <c r="J142" s="209">
        <f t="array" ref="J142">IF(I142&gt;0,INDEX(DB,$I142,6),0)</f>
        <v>0</v>
      </c>
      <c r="K142" s="446">
        <f t="shared" si="5"/>
        <v>0</v>
      </c>
      <c r="L142" s="440">
        <f t="shared" si="6"/>
        <v>0</v>
      </c>
      <c r="M142" s="441">
        <f>IF(AND(L142&gt;O142,O142&gt;0),MinPoints,IF(AND(L142&lt;N142,O142&gt;0),100,+INT((O142-$L142)/P142)+MinPoints))</f>
        <v>100</v>
      </c>
      <c r="N142" s="440">
        <f t="shared" si="7"/>
        <v>90</v>
      </c>
      <c r="O142" s="440">
        <f t="shared" si="8"/>
        <v>180</v>
      </c>
      <c r="P142" s="440">
        <f t="shared" si="9"/>
        <v>1</v>
      </c>
      <c r="Q142">
        <f t="array" ref="Q142">IF(I142&gt;0,INDEX(DB,I142,9),EventIndex)</f>
        <v>6</v>
      </c>
      <c r="S142">
        <f t="array" ref="S142">(INT(INDEX(MINVALUES,$Q142,$K$1))*60)+(MOD(INDEX(MINVALUES,$Q142,$K$1),1)*100)</f>
        <v>180</v>
      </c>
      <c r="T142">
        <f t="array" ref="T142">(INDEX(INCVALUES,$Q142,$K$1)*100)</f>
        <v>1</v>
      </c>
      <c r="V142">
        <f t="array" ref="V142">+J142+(4*(INDEX(MatchScoreTable,$Q142,20)-1))</f>
        <v>4</v>
      </c>
      <c r="W142">
        <f t="array" ref="W142">INDEX(INC_MINVALUES,$V142,$K$1)</f>
        <v>480</v>
      </c>
      <c r="X142" s="212">
        <f t="array" ref="X142">INDEX(INC_INCVALUES,$V142,$K$1)</f>
        <v>4</v>
      </c>
    </row>
    <row r="143" ht="15.75" customHeight="1">
      <c r="A143" s="435"/>
      <c r="B143" s="436"/>
      <c r="C143" s="95" t="str">
        <f t="array" ref="C143">IF(I143&gt;0,INDEX(DB,I143,8),"")</f>
        <v/>
      </c>
      <c r="D143" s="437">
        <f t="shared" si="1"/>
        <v>0</v>
      </c>
      <c r="F143" s="438">
        <f t="shared" si="2"/>
        <v>0</v>
      </c>
      <c r="G143" t="str">
        <f t="shared" si="3"/>
        <v/>
      </c>
      <c r="H143" t="b">
        <f t="shared" si="4"/>
        <v>0</v>
      </c>
      <c r="I143" s="439">
        <f>IF(OR(ISBLANK(A143),ISNA(MATCH(A143&amp;"",AthleteNumbers,0))),0,MATCH(A143&amp;"",AthleteNumbers,0))</f>
        <v>0</v>
      </c>
      <c r="J143" s="209">
        <f t="array" ref="J143">IF(I143&gt;0,INDEX(DB,$I143,6),0)</f>
        <v>0</v>
      </c>
      <c r="K143" s="446">
        <f t="shared" si="5"/>
        <v>0</v>
      </c>
      <c r="L143" s="440">
        <f t="shared" si="6"/>
        <v>0</v>
      </c>
      <c r="M143" s="441">
        <f>IF(AND(L143&gt;O143,O143&gt;0),MinPoints,IF(AND(L143&lt;N143,O143&gt;0),100,+INT((O143-$L143)/P143)+MinPoints))</f>
        <v>100</v>
      </c>
      <c r="N143" s="440">
        <f t="shared" si="7"/>
        <v>90</v>
      </c>
      <c r="O143" s="440">
        <f t="shared" si="8"/>
        <v>180</v>
      </c>
      <c r="P143" s="440">
        <f t="shared" si="9"/>
        <v>1</v>
      </c>
      <c r="Q143">
        <f t="array" ref="Q143">IF(I143&gt;0,INDEX(DB,I143,9),EventIndex)</f>
        <v>6</v>
      </c>
      <c r="S143">
        <f t="array" ref="S143">(INT(INDEX(MINVALUES,$Q143,$K$1))*60)+(MOD(INDEX(MINVALUES,$Q143,$K$1),1)*100)</f>
        <v>180</v>
      </c>
      <c r="T143">
        <f t="array" ref="T143">(INDEX(INCVALUES,$Q143,$K$1)*100)</f>
        <v>1</v>
      </c>
      <c r="V143">
        <f t="array" ref="V143">+J143+(4*(INDEX(MatchScoreTable,$Q143,20)-1))</f>
        <v>4</v>
      </c>
      <c r="W143">
        <f t="array" ref="W143">INDEX(INC_MINVALUES,$V143,$K$1)</f>
        <v>480</v>
      </c>
      <c r="X143" s="212">
        <f t="array" ref="X143">INDEX(INC_INCVALUES,$V143,$K$1)</f>
        <v>4</v>
      </c>
    </row>
    <row r="144" ht="15.75" customHeight="1">
      <c r="A144" s="435"/>
      <c r="B144" s="436"/>
      <c r="C144" s="95" t="str">
        <f t="array" ref="C144">IF(I144&gt;0,INDEX(DB,I144,8),"")</f>
        <v/>
      </c>
      <c r="D144" s="437">
        <f t="shared" si="1"/>
        <v>0</v>
      </c>
      <c r="F144" s="438">
        <f t="shared" si="2"/>
        <v>0</v>
      </c>
      <c r="G144" t="str">
        <f t="shared" si="3"/>
        <v/>
      </c>
      <c r="H144" t="b">
        <f t="shared" si="4"/>
        <v>0</v>
      </c>
      <c r="I144" s="439">
        <f>IF(OR(ISBLANK(A144),ISNA(MATCH(A144&amp;"",AthleteNumbers,0))),0,MATCH(A144&amp;"",AthleteNumbers,0))</f>
        <v>0</v>
      </c>
      <c r="J144" s="209">
        <f t="array" ref="J144">IF(I144&gt;0,INDEX(DB,$I144,6),0)</f>
        <v>0</v>
      </c>
      <c r="K144" s="446">
        <f t="shared" si="5"/>
        <v>0</v>
      </c>
      <c r="L144" s="440">
        <f t="shared" si="6"/>
        <v>0</v>
      </c>
      <c r="M144" s="441">
        <f>IF(AND(L144&gt;O144,O144&gt;0),MinPoints,IF(AND(L144&lt;N144,O144&gt;0),100,+INT((O144-$L144)/P144)+MinPoints))</f>
        <v>100</v>
      </c>
      <c r="N144" s="440">
        <f t="shared" si="7"/>
        <v>90</v>
      </c>
      <c r="O144" s="440">
        <f t="shared" si="8"/>
        <v>180</v>
      </c>
      <c r="P144" s="440">
        <f t="shared" si="9"/>
        <v>1</v>
      </c>
      <c r="Q144">
        <f t="array" ref="Q144">IF(I144&gt;0,INDEX(DB,I144,9),EventIndex)</f>
        <v>6</v>
      </c>
      <c r="S144">
        <f t="array" ref="S144">(INT(INDEX(MINVALUES,$Q144,$K$1))*60)+(MOD(INDEX(MINVALUES,$Q144,$K$1),1)*100)</f>
        <v>180</v>
      </c>
      <c r="T144">
        <f t="array" ref="T144">(INDEX(INCVALUES,$Q144,$K$1)*100)</f>
        <v>1</v>
      </c>
      <c r="V144">
        <f t="array" ref="V144">+J144+(4*(INDEX(MatchScoreTable,$Q144,20)-1))</f>
        <v>4</v>
      </c>
      <c r="W144">
        <f t="array" ref="W144">INDEX(INC_MINVALUES,$V144,$K$1)</f>
        <v>480</v>
      </c>
      <c r="X144" s="212">
        <f t="array" ref="X144">INDEX(INC_INCVALUES,$V144,$K$1)</f>
        <v>4</v>
      </c>
    </row>
    <row r="145" ht="15.75" customHeight="1">
      <c r="A145" s="435"/>
      <c r="B145" s="436"/>
      <c r="C145" s="95" t="str">
        <f t="array" ref="C145">IF(I145&gt;0,INDEX(DB,I145,8),"")</f>
        <v/>
      </c>
      <c r="D145" s="437">
        <f t="shared" si="1"/>
        <v>0</v>
      </c>
      <c r="F145" s="438">
        <f t="shared" si="2"/>
        <v>0</v>
      </c>
      <c r="G145" t="str">
        <f t="shared" si="3"/>
        <v/>
      </c>
      <c r="H145" t="b">
        <f t="shared" si="4"/>
        <v>0</v>
      </c>
      <c r="I145" s="439">
        <f>IF(OR(ISBLANK(A145),ISNA(MATCH(A145&amp;"",AthleteNumbers,0))),0,MATCH(A145&amp;"",AthleteNumbers,0))</f>
        <v>0</v>
      </c>
      <c r="J145" s="209">
        <f t="array" ref="J145">IF(I145&gt;0,INDEX(DB,$I145,6),0)</f>
        <v>0</v>
      </c>
      <c r="K145" s="446">
        <f t="shared" si="5"/>
        <v>0</v>
      </c>
      <c r="L145" s="440">
        <f t="shared" si="6"/>
        <v>0</v>
      </c>
      <c r="M145" s="441">
        <f>IF(AND(L145&gt;O145,O145&gt;0),MinPoints,IF(AND(L145&lt;N145,O145&gt;0),100,+INT((O145-$L145)/P145)+MinPoints))</f>
        <v>100</v>
      </c>
      <c r="N145" s="440">
        <f t="shared" si="7"/>
        <v>90</v>
      </c>
      <c r="O145" s="440">
        <f t="shared" si="8"/>
        <v>180</v>
      </c>
      <c r="P145" s="440">
        <f t="shared" si="9"/>
        <v>1</v>
      </c>
      <c r="Q145">
        <f t="array" ref="Q145">IF(I145&gt;0,INDEX(DB,I145,9),EventIndex)</f>
        <v>6</v>
      </c>
      <c r="S145">
        <f t="array" ref="S145">(INT(INDEX(MINVALUES,$Q145,$K$1))*60)+(MOD(INDEX(MINVALUES,$Q145,$K$1),1)*100)</f>
        <v>180</v>
      </c>
      <c r="T145">
        <f t="array" ref="T145">(INDEX(INCVALUES,$Q145,$K$1)*100)</f>
        <v>1</v>
      </c>
      <c r="V145">
        <f t="array" ref="V145">+J145+(4*(INDEX(MatchScoreTable,$Q145,20)-1))</f>
        <v>4</v>
      </c>
      <c r="W145">
        <f t="array" ref="W145">INDEX(INC_MINVALUES,$V145,$K$1)</f>
        <v>480</v>
      </c>
      <c r="X145" s="212">
        <f t="array" ref="X145">INDEX(INC_INCVALUES,$V145,$K$1)</f>
        <v>4</v>
      </c>
    </row>
    <row r="146" ht="15.75" customHeight="1">
      <c r="A146" s="435"/>
      <c r="B146" s="436"/>
      <c r="C146" s="95" t="str">
        <f t="array" ref="C146">IF(I146&gt;0,INDEX(DB,I146,8),"")</f>
        <v/>
      </c>
      <c r="D146" s="437">
        <f t="shared" si="1"/>
        <v>0</v>
      </c>
      <c r="F146" s="438">
        <f t="shared" si="2"/>
        <v>0</v>
      </c>
      <c r="G146" t="str">
        <f t="shared" si="3"/>
        <v/>
      </c>
      <c r="H146" t="b">
        <f t="shared" si="4"/>
        <v>0</v>
      </c>
      <c r="I146" s="439">
        <f>IF(OR(ISBLANK(A146),ISNA(MATCH(A146&amp;"",AthleteNumbers,0))),0,MATCH(A146&amp;"",AthleteNumbers,0))</f>
        <v>0</v>
      </c>
      <c r="J146" s="209">
        <f t="array" ref="J146">IF(I146&gt;0,INDEX(DB,$I146,6),0)</f>
        <v>0</v>
      </c>
      <c r="K146" s="446">
        <f t="shared" si="5"/>
        <v>0</v>
      </c>
      <c r="L146" s="440">
        <f t="shared" si="6"/>
        <v>0</v>
      </c>
      <c r="M146" s="441">
        <f>IF(AND(L146&gt;O146,O146&gt;0),MinPoints,IF(AND(L146&lt;N146,O146&gt;0),100,+INT((O146-$L146)/P146)+MinPoints))</f>
        <v>100</v>
      </c>
      <c r="N146" s="440">
        <f t="shared" si="7"/>
        <v>90</v>
      </c>
      <c r="O146" s="440">
        <f t="shared" si="8"/>
        <v>180</v>
      </c>
      <c r="P146" s="440">
        <f t="shared" si="9"/>
        <v>1</v>
      </c>
      <c r="Q146">
        <f t="array" ref="Q146">IF(I146&gt;0,INDEX(DB,I146,9),EventIndex)</f>
        <v>6</v>
      </c>
      <c r="S146">
        <f t="array" ref="S146">(INT(INDEX(MINVALUES,$Q146,$K$1))*60)+(MOD(INDEX(MINVALUES,$Q146,$K$1),1)*100)</f>
        <v>180</v>
      </c>
      <c r="T146">
        <f t="array" ref="T146">(INDEX(INCVALUES,$Q146,$K$1)*100)</f>
        <v>1</v>
      </c>
      <c r="V146">
        <f t="array" ref="V146">+J146+(4*(INDEX(MatchScoreTable,$Q146,20)-1))</f>
        <v>4</v>
      </c>
      <c r="W146">
        <f t="array" ref="W146">INDEX(INC_MINVALUES,$V146,$K$1)</f>
        <v>480</v>
      </c>
      <c r="X146" s="212">
        <f t="array" ref="X146">INDEX(INC_INCVALUES,$V146,$K$1)</f>
        <v>4</v>
      </c>
    </row>
    <row r="147" ht="15.75" customHeight="1">
      <c r="A147" s="435"/>
      <c r="B147" s="436"/>
      <c r="C147" s="95" t="str">
        <f t="array" ref="C147">IF(I147&gt;0,INDEX(DB,I147,8),"")</f>
        <v/>
      </c>
      <c r="D147" s="437">
        <f t="shared" si="1"/>
        <v>0</v>
      </c>
      <c r="F147" s="438">
        <f t="shared" si="2"/>
        <v>0</v>
      </c>
      <c r="G147" t="str">
        <f t="shared" si="3"/>
        <v/>
      </c>
      <c r="H147" t="b">
        <f t="shared" si="4"/>
        <v>0</v>
      </c>
      <c r="I147" s="439">
        <f>IF(OR(ISBLANK(A147),ISNA(MATCH(A147&amp;"",AthleteNumbers,0))),0,MATCH(A147&amp;"",AthleteNumbers,0))</f>
        <v>0</v>
      </c>
      <c r="J147" s="209">
        <f t="array" ref="J147">IF(I147&gt;0,INDEX(DB,$I147,6),0)</f>
        <v>0</v>
      </c>
      <c r="K147" s="446">
        <f t="shared" si="5"/>
        <v>0</v>
      </c>
      <c r="L147" s="440">
        <f t="shared" si="6"/>
        <v>0</v>
      </c>
      <c r="M147" s="441">
        <f>IF(AND(L147&gt;O147,O147&gt;0),MinPoints,IF(AND(L147&lt;N147,O147&gt;0),100,+INT((O147-$L147)/P147)+MinPoints))</f>
        <v>100</v>
      </c>
      <c r="N147" s="440">
        <f t="shared" si="7"/>
        <v>90</v>
      </c>
      <c r="O147" s="440">
        <f t="shared" si="8"/>
        <v>180</v>
      </c>
      <c r="P147" s="440">
        <f t="shared" si="9"/>
        <v>1</v>
      </c>
      <c r="Q147">
        <f t="array" ref="Q147">IF(I147&gt;0,INDEX(DB,I147,9),EventIndex)</f>
        <v>6</v>
      </c>
      <c r="S147">
        <f t="array" ref="S147">(INT(INDEX(MINVALUES,$Q147,$K$1))*60)+(MOD(INDEX(MINVALUES,$Q147,$K$1),1)*100)</f>
        <v>180</v>
      </c>
      <c r="T147">
        <f t="array" ref="T147">(INDEX(INCVALUES,$Q147,$K$1)*100)</f>
        <v>1</v>
      </c>
      <c r="V147">
        <f t="array" ref="V147">+J147+(4*(INDEX(MatchScoreTable,$Q147,20)-1))</f>
        <v>4</v>
      </c>
      <c r="W147">
        <f t="array" ref="W147">INDEX(INC_MINVALUES,$V147,$K$1)</f>
        <v>480</v>
      </c>
      <c r="X147" s="212">
        <f t="array" ref="X147">INDEX(INC_INCVALUES,$V147,$K$1)</f>
        <v>4</v>
      </c>
    </row>
    <row r="148" ht="15.75" customHeight="1">
      <c r="A148" s="435"/>
      <c r="B148" s="436"/>
      <c r="C148" s="95" t="str">
        <f t="array" ref="C148">IF(I148&gt;0,INDEX(DB,I148,8),"")</f>
        <v/>
      </c>
      <c r="D148" s="437">
        <f t="shared" si="1"/>
        <v>0</v>
      </c>
      <c r="F148" s="438">
        <f t="shared" si="2"/>
        <v>0</v>
      </c>
      <c r="G148" t="str">
        <f t="shared" si="3"/>
        <v/>
      </c>
      <c r="H148" t="b">
        <f t="shared" si="4"/>
        <v>0</v>
      </c>
      <c r="I148" s="439">
        <f>IF(OR(ISBLANK(A148),ISNA(MATCH(A148&amp;"",AthleteNumbers,0))),0,MATCH(A148&amp;"",AthleteNumbers,0))</f>
        <v>0</v>
      </c>
      <c r="J148" s="209">
        <f t="array" ref="J148">IF(I148&gt;0,INDEX(DB,$I148,6),0)</f>
        <v>0</v>
      </c>
      <c r="K148" s="446">
        <f t="shared" si="5"/>
        <v>0</v>
      </c>
      <c r="L148" s="440">
        <f t="shared" si="6"/>
        <v>0</v>
      </c>
      <c r="M148" s="441">
        <f>IF(AND(L148&gt;O148,O148&gt;0),MinPoints,IF(AND(L148&lt;N148,O148&gt;0),100,+INT((O148-$L148)/P148)+MinPoints))</f>
        <v>100</v>
      </c>
      <c r="N148" s="440">
        <f t="shared" si="7"/>
        <v>90</v>
      </c>
      <c r="O148" s="440">
        <f t="shared" si="8"/>
        <v>180</v>
      </c>
      <c r="P148" s="440">
        <f t="shared" si="9"/>
        <v>1</v>
      </c>
      <c r="Q148">
        <f t="array" ref="Q148">IF(I148&gt;0,INDEX(DB,I148,9),EventIndex)</f>
        <v>6</v>
      </c>
      <c r="S148">
        <f t="array" ref="S148">(INT(INDEX(MINVALUES,$Q148,$K$1))*60)+(MOD(INDEX(MINVALUES,$Q148,$K$1),1)*100)</f>
        <v>180</v>
      </c>
      <c r="T148">
        <f t="array" ref="T148">(INDEX(INCVALUES,$Q148,$K$1)*100)</f>
        <v>1</v>
      </c>
      <c r="V148">
        <f t="array" ref="V148">+J148+(4*(INDEX(MatchScoreTable,$Q148,20)-1))</f>
        <v>4</v>
      </c>
      <c r="W148">
        <f t="array" ref="W148">INDEX(INC_MINVALUES,$V148,$K$1)</f>
        <v>480</v>
      </c>
      <c r="X148" s="212">
        <f t="array" ref="X148">INDEX(INC_INCVALUES,$V148,$K$1)</f>
        <v>4</v>
      </c>
    </row>
    <row r="149" ht="15.75" customHeight="1">
      <c r="A149" s="435"/>
      <c r="B149" s="436"/>
      <c r="C149" s="95" t="str">
        <f t="array" ref="C149">IF(I149&gt;0,INDEX(DB,I149,8),"")</f>
        <v/>
      </c>
      <c r="D149" s="437">
        <f t="shared" si="1"/>
        <v>0</v>
      </c>
      <c r="F149" s="438">
        <f t="shared" si="2"/>
        <v>0</v>
      </c>
      <c r="G149" t="str">
        <f t="shared" si="3"/>
        <v/>
      </c>
      <c r="H149" t="b">
        <f t="shared" si="4"/>
        <v>0</v>
      </c>
      <c r="I149" s="439">
        <f>IF(OR(ISBLANK(A149),ISNA(MATCH(A149&amp;"",AthleteNumbers,0))),0,MATCH(A149&amp;"",AthleteNumbers,0))</f>
        <v>0</v>
      </c>
      <c r="J149" s="209">
        <f t="array" ref="J149">IF(I149&gt;0,INDEX(DB,$I149,6),0)</f>
        <v>0</v>
      </c>
      <c r="K149" s="446">
        <f t="shared" si="5"/>
        <v>0</v>
      </c>
      <c r="L149" s="440">
        <f t="shared" si="6"/>
        <v>0</v>
      </c>
      <c r="M149" s="441">
        <f>IF(AND(L149&gt;O149,O149&gt;0),MinPoints,IF(AND(L149&lt;N149,O149&gt;0),100,+INT((O149-$L149)/P149)+MinPoints))</f>
        <v>100</v>
      </c>
      <c r="N149" s="440">
        <f t="shared" si="7"/>
        <v>90</v>
      </c>
      <c r="O149" s="440">
        <f t="shared" si="8"/>
        <v>180</v>
      </c>
      <c r="P149" s="440">
        <f t="shared" si="9"/>
        <v>1</v>
      </c>
      <c r="Q149">
        <f t="array" ref="Q149">IF(I149&gt;0,INDEX(DB,I149,9),EventIndex)</f>
        <v>6</v>
      </c>
      <c r="S149">
        <f t="array" ref="S149">(INT(INDEX(MINVALUES,$Q149,$K$1))*60)+(MOD(INDEX(MINVALUES,$Q149,$K$1),1)*100)</f>
        <v>180</v>
      </c>
      <c r="T149">
        <f t="array" ref="T149">(INDEX(INCVALUES,$Q149,$K$1)*100)</f>
        <v>1</v>
      </c>
      <c r="V149">
        <f t="array" ref="V149">+J149+(4*(INDEX(MatchScoreTable,$Q149,20)-1))</f>
        <v>4</v>
      </c>
      <c r="W149">
        <f t="array" ref="W149">INDEX(INC_MINVALUES,$V149,$K$1)</f>
        <v>480</v>
      </c>
      <c r="X149" s="212">
        <f t="array" ref="X149">INDEX(INC_INCVALUES,$V149,$K$1)</f>
        <v>4</v>
      </c>
    </row>
    <row r="150" ht="15.75" customHeight="1">
      <c r="A150" s="435"/>
      <c r="B150" s="436"/>
      <c r="C150" s="95" t="str">
        <f t="array" ref="C150">IF(I150&gt;0,INDEX(DB,I150,8),"")</f>
        <v/>
      </c>
      <c r="D150" s="437">
        <f t="shared" si="1"/>
        <v>0</v>
      </c>
      <c r="F150" s="438">
        <f t="shared" si="2"/>
        <v>0</v>
      </c>
      <c r="G150" t="str">
        <f t="shared" si="3"/>
        <v/>
      </c>
      <c r="H150" t="b">
        <f t="shared" si="4"/>
        <v>0</v>
      </c>
      <c r="I150" s="439">
        <f>IF(OR(ISBLANK(A150),ISNA(MATCH(A150&amp;"",AthleteNumbers,0))),0,MATCH(A150&amp;"",AthleteNumbers,0))</f>
        <v>0</v>
      </c>
      <c r="J150" s="209">
        <f t="array" ref="J150">IF(I150&gt;0,INDEX(DB,$I150,6),0)</f>
        <v>0</v>
      </c>
      <c r="K150" s="446">
        <f t="shared" si="5"/>
        <v>0</v>
      </c>
      <c r="L150" s="440">
        <f t="shared" si="6"/>
        <v>0</v>
      </c>
      <c r="M150" s="441">
        <f>IF(AND(L150&gt;O150,O150&gt;0),MinPoints,IF(AND(L150&lt;N150,O150&gt;0),100,+INT((O150-$L150)/P150)+MinPoints))</f>
        <v>100</v>
      </c>
      <c r="N150" s="440">
        <f t="shared" si="7"/>
        <v>90</v>
      </c>
      <c r="O150" s="440">
        <f t="shared" si="8"/>
        <v>180</v>
      </c>
      <c r="P150" s="440">
        <f t="shared" si="9"/>
        <v>1</v>
      </c>
      <c r="Q150">
        <f t="array" ref="Q150">IF(I150&gt;0,INDEX(DB,I150,9),EventIndex)</f>
        <v>6</v>
      </c>
      <c r="S150">
        <f t="array" ref="S150">(INT(INDEX(MINVALUES,$Q150,$K$1))*60)+(MOD(INDEX(MINVALUES,$Q150,$K$1),1)*100)</f>
        <v>180</v>
      </c>
      <c r="T150">
        <f t="array" ref="T150">(INDEX(INCVALUES,$Q150,$K$1)*100)</f>
        <v>1</v>
      </c>
      <c r="V150">
        <f t="array" ref="V150">+J150+(4*(INDEX(MatchScoreTable,$Q150,20)-1))</f>
        <v>4</v>
      </c>
      <c r="W150">
        <f t="array" ref="W150">INDEX(INC_MINVALUES,$V150,$K$1)</f>
        <v>480</v>
      </c>
      <c r="X150" s="212">
        <f t="array" ref="X150">INDEX(INC_INCVALUES,$V150,$K$1)</f>
        <v>4</v>
      </c>
    </row>
    <row r="151" ht="15.75" customHeight="1">
      <c r="A151" s="435"/>
      <c r="B151" s="436"/>
      <c r="C151" s="95" t="str">
        <f t="array" ref="C151">IF(I151&gt;0,INDEX(DB,I151,8),"")</f>
        <v/>
      </c>
      <c r="D151" s="437">
        <f t="shared" si="1"/>
        <v>0</v>
      </c>
      <c r="F151" s="438">
        <f t="shared" si="2"/>
        <v>0</v>
      </c>
      <c r="G151" t="str">
        <f t="shared" si="3"/>
        <v/>
      </c>
      <c r="H151" t="b">
        <f t="shared" si="4"/>
        <v>0</v>
      </c>
      <c r="I151" s="439">
        <f>IF(OR(ISBLANK(A151),ISNA(MATCH(A151&amp;"",AthleteNumbers,0))),0,MATCH(A151&amp;"",AthleteNumbers,0))</f>
        <v>0</v>
      </c>
      <c r="J151" s="209">
        <f t="array" ref="J151">IF(I151&gt;0,INDEX(DB,$I151,6),0)</f>
        <v>0</v>
      </c>
      <c r="K151" s="446">
        <f t="shared" si="5"/>
        <v>0</v>
      </c>
      <c r="L151" s="440">
        <f t="shared" si="6"/>
        <v>0</v>
      </c>
      <c r="M151" s="441">
        <f>IF(AND(L151&gt;O151,O151&gt;0),MinPoints,IF(AND(L151&lt;N151,O151&gt;0),100,+INT((O151-$L151)/P151)+MinPoints))</f>
        <v>100</v>
      </c>
      <c r="N151" s="440">
        <f t="shared" si="7"/>
        <v>90</v>
      </c>
      <c r="O151" s="440">
        <f t="shared" si="8"/>
        <v>180</v>
      </c>
      <c r="P151" s="440">
        <f t="shared" si="9"/>
        <v>1</v>
      </c>
      <c r="Q151">
        <f t="array" ref="Q151">IF(I151&gt;0,INDEX(DB,I151,9),EventIndex)</f>
        <v>6</v>
      </c>
      <c r="S151">
        <f t="array" ref="S151">(INT(INDEX(MINVALUES,$Q151,$K$1))*60)+(MOD(INDEX(MINVALUES,$Q151,$K$1),1)*100)</f>
        <v>180</v>
      </c>
      <c r="T151">
        <f t="array" ref="T151">(INDEX(INCVALUES,$Q151,$K$1)*100)</f>
        <v>1</v>
      </c>
      <c r="V151">
        <f t="array" ref="V151">+J151+(4*(INDEX(MatchScoreTable,$Q151,20)-1))</f>
        <v>4</v>
      </c>
      <c r="W151">
        <f t="array" ref="W151">INDEX(INC_MINVALUES,$V151,$K$1)</f>
        <v>480</v>
      </c>
      <c r="X151" s="212">
        <f t="array" ref="X151">INDEX(INC_INCVALUES,$V151,$K$1)</f>
        <v>4</v>
      </c>
    </row>
    <row r="152" ht="15.75" customHeight="1">
      <c r="A152" s="435"/>
      <c r="B152" s="436"/>
      <c r="C152" s="95" t="str">
        <f t="array" ref="C152">IF(I152&gt;0,INDEX(DB,I152,8),"")</f>
        <v/>
      </c>
      <c r="D152" s="437">
        <f t="shared" si="1"/>
        <v>0</v>
      </c>
      <c r="F152" s="438">
        <f t="shared" si="2"/>
        <v>0</v>
      </c>
      <c r="G152" t="str">
        <f t="shared" si="3"/>
        <v/>
      </c>
      <c r="H152" t="b">
        <f t="shared" si="4"/>
        <v>0</v>
      </c>
      <c r="I152" s="439">
        <f>IF(OR(ISBLANK(A152),ISNA(MATCH(A152&amp;"",AthleteNumbers,0))),0,MATCH(A152&amp;"",AthleteNumbers,0))</f>
        <v>0</v>
      </c>
      <c r="J152" s="209">
        <f t="array" ref="J152">IF(I152&gt;0,INDEX(DB,$I152,6),0)</f>
        <v>0</v>
      </c>
      <c r="K152" s="446">
        <f t="shared" si="5"/>
        <v>0</v>
      </c>
      <c r="L152" s="440">
        <f t="shared" si="6"/>
        <v>0</v>
      </c>
      <c r="M152" s="441">
        <f>IF(AND(L152&gt;O152,O152&gt;0),MinPoints,IF(AND(L152&lt;N152,O152&gt;0),100,+INT((O152-$L152)/P152)+MinPoints))</f>
        <v>100</v>
      </c>
      <c r="N152" s="440">
        <f t="shared" si="7"/>
        <v>90</v>
      </c>
      <c r="O152" s="440">
        <f t="shared" si="8"/>
        <v>180</v>
      </c>
      <c r="P152" s="440">
        <f t="shared" si="9"/>
        <v>1</v>
      </c>
      <c r="Q152">
        <f t="array" ref="Q152">IF(I152&gt;0,INDEX(DB,I152,9),EventIndex)</f>
        <v>6</v>
      </c>
      <c r="S152">
        <f t="array" ref="S152">(INT(INDEX(MINVALUES,$Q152,$K$1))*60)+(MOD(INDEX(MINVALUES,$Q152,$K$1),1)*100)</f>
        <v>180</v>
      </c>
      <c r="T152">
        <f t="array" ref="T152">(INDEX(INCVALUES,$Q152,$K$1)*100)</f>
        <v>1</v>
      </c>
      <c r="V152">
        <f t="array" ref="V152">+J152+(4*(INDEX(MatchScoreTable,$Q152,20)-1))</f>
        <v>4</v>
      </c>
      <c r="W152">
        <f t="array" ref="W152">INDEX(INC_MINVALUES,$V152,$K$1)</f>
        <v>480</v>
      </c>
      <c r="X152" s="212">
        <f t="array" ref="X152">INDEX(INC_INCVALUES,$V152,$K$1)</f>
        <v>4</v>
      </c>
    </row>
    <row r="153" ht="15.75" customHeight="1">
      <c r="A153" s="435"/>
      <c r="B153" s="436"/>
      <c r="C153" s="95" t="str">
        <f t="array" ref="C153">IF(I153&gt;0,INDEX(DB,I153,8),"")</f>
        <v/>
      </c>
      <c r="D153" s="437">
        <f t="shared" si="1"/>
        <v>0</v>
      </c>
      <c r="F153" s="438">
        <f t="shared" si="2"/>
        <v>0</v>
      </c>
      <c r="G153" t="str">
        <f t="shared" si="3"/>
        <v/>
      </c>
      <c r="H153" t="b">
        <f t="shared" si="4"/>
        <v>0</v>
      </c>
      <c r="I153" s="439">
        <f>IF(OR(ISBLANK(A153),ISNA(MATCH(A153&amp;"",AthleteNumbers,0))),0,MATCH(A153&amp;"",AthleteNumbers,0))</f>
        <v>0</v>
      </c>
      <c r="J153" s="209">
        <f t="array" ref="J153">IF(I153&gt;0,INDEX(DB,$I153,6),0)</f>
        <v>0</v>
      </c>
      <c r="K153" s="446">
        <f t="shared" si="5"/>
        <v>0</v>
      </c>
      <c r="L153" s="440">
        <f t="shared" si="6"/>
        <v>0</v>
      </c>
      <c r="M153" s="441">
        <f>IF(AND(L153&gt;O153,O153&gt;0),MinPoints,IF(AND(L153&lt;N153,O153&gt;0),100,+INT((O153-$L153)/P153)+MinPoints))</f>
        <v>100</v>
      </c>
      <c r="N153" s="440">
        <f t="shared" si="7"/>
        <v>90</v>
      </c>
      <c r="O153" s="440">
        <f t="shared" si="8"/>
        <v>180</v>
      </c>
      <c r="P153" s="440">
        <f t="shared" si="9"/>
        <v>1</v>
      </c>
      <c r="Q153">
        <f t="array" ref="Q153">IF(I153&gt;0,INDEX(DB,I153,9),EventIndex)</f>
        <v>6</v>
      </c>
      <c r="S153">
        <f t="array" ref="S153">(INT(INDEX(MINVALUES,$Q153,$K$1))*60)+(MOD(INDEX(MINVALUES,$Q153,$K$1),1)*100)</f>
        <v>180</v>
      </c>
      <c r="T153">
        <f t="array" ref="T153">(INDEX(INCVALUES,$Q153,$K$1)*100)</f>
        <v>1</v>
      </c>
      <c r="V153">
        <f t="array" ref="V153">+J153+(4*(INDEX(MatchScoreTable,$Q153,20)-1))</f>
        <v>4</v>
      </c>
      <c r="W153">
        <f t="array" ref="W153">INDEX(INC_MINVALUES,$V153,$K$1)</f>
        <v>480</v>
      </c>
      <c r="X153" s="212">
        <f t="array" ref="X153">INDEX(INC_INCVALUES,$V153,$K$1)</f>
        <v>4</v>
      </c>
    </row>
    <row r="154" ht="15.75" customHeight="1">
      <c r="A154" s="435"/>
      <c r="B154" s="436"/>
      <c r="C154" s="95" t="str">
        <f t="array" ref="C154">IF(I154&gt;0,INDEX(DB,I154,8),"")</f>
        <v/>
      </c>
      <c r="D154" s="437">
        <f t="shared" si="1"/>
        <v>0</v>
      </c>
      <c r="F154" s="438">
        <f t="shared" si="2"/>
        <v>0</v>
      </c>
      <c r="G154" t="str">
        <f t="shared" si="3"/>
        <v/>
      </c>
      <c r="H154" t="b">
        <f t="shared" si="4"/>
        <v>0</v>
      </c>
      <c r="I154" s="439">
        <f>IF(OR(ISBLANK(A154),ISNA(MATCH(A154&amp;"",AthleteNumbers,0))),0,MATCH(A154&amp;"",AthleteNumbers,0))</f>
        <v>0</v>
      </c>
      <c r="J154" s="209">
        <f t="array" ref="J154">IF(I154&gt;0,INDEX(DB,$I154,6),0)</f>
        <v>0</v>
      </c>
      <c r="K154" s="446">
        <f t="shared" si="5"/>
        <v>0</v>
      </c>
      <c r="L154" s="440">
        <f t="shared" si="6"/>
        <v>0</v>
      </c>
      <c r="M154" s="441">
        <f>IF(AND(L154&gt;O154,O154&gt;0),MinPoints,IF(AND(L154&lt;N154,O154&gt;0),100,+INT((O154-$L154)/P154)+MinPoints))</f>
        <v>100</v>
      </c>
      <c r="N154" s="440">
        <f t="shared" si="7"/>
        <v>90</v>
      </c>
      <c r="O154" s="440">
        <f t="shared" si="8"/>
        <v>180</v>
      </c>
      <c r="P154" s="440">
        <f t="shared" si="9"/>
        <v>1</v>
      </c>
      <c r="Q154">
        <f t="array" ref="Q154">IF(I154&gt;0,INDEX(DB,I154,9),EventIndex)</f>
        <v>6</v>
      </c>
      <c r="S154">
        <f t="array" ref="S154">(INT(INDEX(MINVALUES,$Q154,$K$1))*60)+(MOD(INDEX(MINVALUES,$Q154,$K$1),1)*100)</f>
        <v>180</v>
      </c>
      <c r="T154">
        <f t="array" ref="T154">(INDEX(INCVALUES,$Q154,$K$1)*100)</f>
        <v>1</v>
      </c>
      <c r="V154">
        <f t="array" ref="V154">+J154+(4*(INDEX(MatchScoreTable,$Q154,20)-1))</f>
        <v>4</v>
      </c>
      <c r="W154">
        <f t="array" ref="W154">INDEX(INC_MINVALUES,$V154,$K$1)</f>
        <v>480</v>
      </c>
      <c r="X154" s="212">
        <f t="array" ref="X154">INDEX(INC_INCVALUES,$V154,$K$1)</f>
        <v>4</v>
      </c>
    </row>
    <row r="155" ht="15.75" customHeight="1">
      <c r="A155" s="435"/>
      <c r="B155" s="436"/>
      <c r="C155" s="95" t="str">
        <f t="array" ref="C155">IF(I155&gt;0,INDEX(DB,I155,8),"")</f>
        <v/>
      </c>
      <c r="D155" s="437">
        <f t="shared" si="1"/>
        <v>0</v>
      </c>
      <c r="F155" s="438">
        <f t="shared" si="2"/>
        <v>0</v>
      </c>
      <c r="G155" t="str">
        <f t="shared" si="3"/>
        <v/>
      </c>
      <c r="H155" t="b">
        <f t="shared" si="4"/>
        <v>0</v>
      </c>
      <c r="I155" s="439">
        <f>IF(OR(ISBLANK(A155),ISNA(MATCH(A155&amp;"",AthleteNumbers,0))),0,MATCH(A155&amp;"",AthleteNumbers,0))</f>
        <v>0</v>
      </c>
      <c r="J155" s="209">
        <f t="array" ref="J155">IF(I155&gt;0,INDEX(DB,$I155,6),0)</f>
        <v>0</v>
      </c>
      <c r="K155" s="446">
        <f t="shared" si="5"/>
        <v>0</v>
      </c>
      <c r="L155" s="440">
        <f t="shared" si="6"/>
        <v>0</v>
      </c>
      <c r="M155" s="441">
        <f>IF(AND(L155&gt;O155,O155&gt;0),MinPoints,IF(AND(L155&lt;N155,O155&gt;0),100,+INT((O155-$L155)/P155)+MinPoints))</f>
        <v>100</v>
      </c>
      <c r="N155" s="440">
        <f t="shared" si="7"/>
        <v>90</v>
      </c>
      <c r="O155" s="440">
        <f t="shared" si="8"/>
        <v>180</v>
      </c>
      <c r="P155" s="440">
        <f t="shared" si="9"/>
        <v>1</v>
      </c>
      <c r="Q155">
        <f t="array" ref="Q155">IF(I155&gt;0,INDEX(DB,I155,9),EventIndex)</f>
        <v>6</v>
      </c>
      <c r="S155">
        <f t="array" ref="S155">(INT(INDEX(MINVALUES,$Q155,$K$1))*60)+(MOD(INDEX(MINVALUES,$Q155,$K$1),1)*100)</f>
        <v>180</v>
      </c>
      <c r="T155">
        <f t="array" ref="T155">(INDEX(INCVALUES,$Q155,$K$1)*100)</f>
        <v>1</v>
      </c>
      <c r="V155">
        <f t="array" ref="V155">+J155+(4*(INDEX(MatchScoreTable,$Q155,20)-1))</f>
        <v>4</v>
      </c>
      <c r="W155">
        <f t="array" ref="W155">INDEX(INC_MINVALUES,$V155,$K$1)</f>
        <v>480</v>
      </c>
      <c r="X155" s="212">
        <f t="array" ref="X155">INDEX(INC_INCVALUES,$V155,$K$1)</f>
        <v>4</v>
      </c>
    </row>
    <row r="156" ht="15.75" customHeight="1">
      <c r="A156" s="435"/>
      <c r="B156" s="436"/>
      <c r="C156" s="95" t="str">
        <f t="array" ref="C156">IF(I156&gt;0,INDEX(DB,I156,8),"")</f>
        <v/>
      </c>
      <c r="D156" s="437">
        <f t="shared" si="1"/>
        <v>0</v>
      </c>
      <c r="F156" s="438">
        <f t="shared" si="2"/>
        <v>0</v>
      </c>
      <c r="G156" t="str">
        <f t="shared" si="3"/>
        <v/>
      </c>
      <c r="H156" t="b">
        <f t="shared" si="4"/>
        <v>0</v>
      </c>
      <c r="I156" s="439">
        <f>IF(OR(ISBLANK(A156),ISNA(MATCH(A156&amp;"",AthleteNumbers,0))),0,MATCH(A156&amp;"",AthleteNumbers,0))</f>
        <v>0</v>
      </c>
      <c r="J156" s="209">
        <f t="array" ref="J156">IF(I156&gt;0,INDEX(DB,$I156,6),0)</f>
        <v>0</v>
      </c>
      <c r="K156" s="446">
        <f t="shared" si="5"/>
        <v>0</v>
      </c>
      <c r="L156" s="440">
        <f t="shared" si="6"/>
        <v>0</v>
      </c>
      <c r="M156" s="441">
        <f>IF(AND(L156&gt;O156,O156&gt;0),MinPoints,IF(AND(L156&lt;N156,O156&gt;0),100,+INT((O156-$L156)/P156)+MinPoints))</f>
        <v>100</v>
      </c>
      <c r="N156" s="440">
        <f t="shared" si="7"/>
        <v>90</v>
      </c>
      <c r="O156" s="440">
        <f t="shared" si="8"/>
        <v>180</v>
      </c>
      <c r="P156" s="440">
        <f t="shared" si="9"/>
        <v>1</v>
      </c>
      <c r="Q156">
        <f t="array" ref="Q156">IF(I156&gt;0,INDEX(DB,I156,9),EventIndex)</f>
        <v>6</v>
      </c>
      <c r="S156">
        <f t="array" ref="S156">(INT(INDEX(MINVALUES,$Q156,$K$1))*60)+(MOD(INDEX(MINVALUES,$Q156,$K$1),1)*100)</f>
        <v>180</v>
      </c>
      <c r="T156">
        <f t="array" ref="T156">(INDEX(INCVALUES,$Q156,$K$1)*100)</f>
        <v>1</v>
      </c>
      <c r="V156">
        <f t="array" ref="V156">+J156+(4*(INDEX(MatchScoreTable,$Q156,20)-1))</f>
        <v>4</v>
      </c>
      <c r="W156">
        <f t="array" ref="W156">INDEX(INC_MINVALUES,$V156,$K$1)</f>
        <v>480</v>
      </c>
      <c r="X156" s="212">
        <f t="array" ref="X156">INDEX(INC_INCVALUES,$V156,$K$1)</f>
        <v>4</v>
      </c>
    </row>
    <row r="157" ht="15.75" customHeight="1">
      <c r="A157" s="435"/>
      <c r="B157" s="436"/>
      <c r="C157" s="95" t="str">
        <f t="array" ref="C157">IF(I157&gt;0,INDEX(DB,I157,8),"")</f>
        <v/>
      </c>
      <c r="D157" s="437">
        <f t="shared" si="1"/>
        <v>0</v>
      </c>
      <c r="F157" s="438">
        <f t="shared" si="2"/>
        <v>0</v>
      </c>
      <c r="G157" t="str">
        <f t="shared" si="3"/>
        <v/>
      </c>
      <c r="H157" t="b">
        <f t="shared" si="4"/>
        <v>0</v>
      </c>
      <c r="I157" s="439">
        <f>IF(OR(ISBLANK(A157),ISNA(MATCH(A157&amp;"",AthleteNumbers,0))),0,MATCH(A157&amp;"",AthleteNumbers,0))</f>
        <v>0</v>
      </c>
      <c r="J157" s="209">
        <f t="array" ref="J157">IF(I157&gt;0,INDEX(DB,$I157,6),0)</f>
        <v>0</v>
      </c>
      <c r="K157" s="446">
        <f t="shared" si="5"/>
        <v>0</v>
      </c>
      <c r="L157" s="440">
        <f t="shared" si="6"/>
        <v>0</v>
      </c>
      <c r="M157" s="441">
        <f>IF(AND(L157&gt;O157,O157&gt;0),MinPoints,IF(AND(L157&lt;N157,O157&gt;0),100,+INT((O157-$L157)/P157)+MinPoints))</f>
        <v>100</v>
      </c>
      <c r="N157" s="440">
        <f t="shared" si="7"/>
        <v>90</v>
      </c>
      <c r="O157" s="440">
        <f t="shared" si="8"/>
        <v>180</v>
      </c>
      <c r="P157" s="440">
        <f t="shared" si="9"/>
        <v>1</v>
      </c>
      <c r="Q157">
        <f t="array" ref="Q157">IF(I157&gt;0,INDEX(DB,I157,9),EventIndex)</f>
        <v>6</v>
      </c>
      <c r="S157">
        <f t="array" ref="S157">(INT(INDEX(MINVALUES,$Q157,$K$1))*60)+(MOD(INDEX(MINVALUES,$Q157,$K$1),1)*100)</f>
        <v>180</v>
      </c>
      <c r="T157">
        <f t="array" ref="T157">(INDEX(INCVALUES,$Q157,$K$1)*100)</f>
        <v>1</v>
      </c>
      <c r="V157">
        <f t="array" ref="V157">+J157+(4*(INDEX(MatchScoreTable,$Q157,20)-1))</f>
        <v>4</v>
      </c>
      <c r="W157">
        <f t="array" ref="W157">INDEX(INC_MINVALUES,$V157,$K$1)</f>
        <v>480</v>
      </c>
      <c r="X157" s="212">
        <f t="array" ref="X157">INDEX(INC_INCVALUES,$V157,$K$1)</f>
        <v>4</v>
      </c>
    </row>
    <row r="158" ht="15.75" customHeight="1">
      <c r="A158" s="435"/>
      <c r="B158" s="436"/>
      <c r="C158" s="95" t="str">
        <f t="array" ref="C158">IF(I158&gt;0,INDEX(DB,I158,8),"")</f>
        <v/>
      </c>
      <c r="D158" s="437">
        <f t="shared" si="1"/>
        <v>0</v>
      </c>
      <c r="F158" s="438">
        <f t="shared" si="2"/>
        <v>0</v>
      </c>
      <c r="G158" t="str">
        <f t="shared" si="3"/>
        <v/>
      </c>
      <c r="H158" t="b">
        <f t="shared" si="4"/>
        <v>0</v>
      </c>
      <c r="I158" s="439">
        <f>IF(OR(ISBLANK(A158),ISNA(MATCH(A158&amp;"",AthleteNumbers,0))),0,MATCH(A158&amp;"",AthleteNumbers,0))</f>
        <v>0</v>
      </c>
      <c r="J158" s="209">
        <f t="array" ref="J158">IF(I158&gt;0,INDEX(DB,$I158,6),0)</f>
        <v>0</v>
      </c>
      <c r="K158" s="446">
        <f t="shared" si="5"/>
        <v>0</v>
      </c>
      <c r="L158" s="440">
        <f t="shared" si="6"/>
        <v>0</v>
      </c>
      <c r="M158" s="441">
        <f>IF(AND(L158&gt;O158,O158&gt;0),MinPoints,IF(AND(L158&lt;N158,O158&gt;0),100,+INT((O158-$L158)/P158)+MinPoints))</f>
        <v>100</v>
      </c>
      <c r="N158" s="440">
        <f t="shared" si="7"/>
        <v>90</v>
      </c>
      <c r="O158" s="440">
        <f t="shared" si="8"/>
        <v>180</v>
      </c>
      <c r="P158" s="440">
        <f t="shared" si="9"/>
        <v>1</v>
      </c>
      <c r="Q158">
        <f t="array" ref="Q158">IF(I158&gt;0,INDEX(DB,I158,9),EventIndex)</f>
        <v>6</v>
      </c>
      <c r="S158">
        <f t="array" ref="S158">(INT(INDEX(MINVALUES,$Q158,$K$1))*60)+(MOD(INDEX(MINVALUES,$Q158,$K$1),1)*100)</f>
        <v>180</v>
      </c>
      <c r="T158">
        <f t="array" ref="T158">(INDEX(INCVALUES,$Q158,$K$1)*100)</f>
        <v>1</v>
      </c>
      <c r="V158">
        <f t="array" ref="V158">+J158+(4*(INDEX(MatchScoreTable,$Q158,20)-1))</f>
        <v>4</v>
      </c>
      <c r="W158">
        <f t="array" ref="W158">INDEX(INC_MINVALUES,$V158,$K$1)</f>
        <v>480</v>
      </c>
      <c r="X158" s="212">
        <f t="array" ref="X158">INDEX(INC_INCVALUES,$V158,$K$1)</f>
        <v>4</v>
      </c>
    </row>
    <row r="159" ht="15.75" customHeight="1">
      <c r="A159" s="435"/>
      <c r="B159" s="436"/>
      <c r="C159" s="95" t="str">
        <f t="array" ref="C159">IF(I159&gt;0,INDEX(DB,I159,8),"")</f>
        <v/>
      </c>
      <c r="D159" s="437">
        <f t="shared" si="1"/>
        <v>0</v>
      </c>
      <c r="F159" s="438">
        <f t="shared" si="2"/>
        <v>0</v>
      </c>
      <c r="G159" t="str">
        <f t="shared" si="3"/>
        <v/>
      </c>
      <c r="H159" t="b">
        <f t="shared" si="4"/>
        <v>0</v>
      </c>
      <c r="I159" s="439">
        <f>IF(OR(ISBLANK(A159),ISNA(MATCH(A159&amp;"",AthleteNumbers,0))),0,MATCH(A159&amp;"",AthleteNumbers,0))</f>
        <v>0</v>
      </c>
      <c r="J159" s="209">
        <f t="array" ref="J159">IF(I159&gt;0,INDEX(DB,$I159,6),0)</f>
        <v>0</v>
      </c>
      <c r="K159" s="446">
        <f t="shared" si="5"/>
        <v>0</v>
      </c>
      <c r="L159" s="440">
        <f t="shared" si="6"/>
        <v>0</v>
      </c>
      <c r="M159" s="441">
        <f>IF(AND(L159&gt;O159,O159&gt;0),MinPoints,IF(AND(L159&lt;N159,O159&gt;0),100,+INT((O159-$L159)/P159)+MinPoints))</f>
        <v>100</v>
      </c>
      <c r="N159" s="440">
        <f t="shared" si="7"/>
        <v>90</v>
      </c>
      <c r="O159" s="440">
        <f t="shared" si="8"/>
        <v>180</v>
      </c>
      <c r="P159" s="440">
        <f t="shared" si="9"/>
        <v>1</v>
      </c>
      <c r="Q159">
        <f t="array" ref="Q159">IF(I159&gt;0,INDEX(DB,I159,9),EventIndex)</f>
        <v>6</v>
      </c>
      <c r="S159">
        <f t="array" ref="S159">(INT(INDEX(MINVALUES,$Q159,$K$1))*60)+(MOD(INDEX(MINVALUES,$Q159,$K$1),1)*100)</f>
        <v>180</v>
      </c>
      <c r="T159">
        <f t="array" ref="T159">(INDEX(INCVALUES,$Q159,$K$1)*100)</f>
        <v>1</v>
      </c>
      <c r="V159">
        <f t="array" ref="V159">+J159+(4*(INDEX(MatchScoreTable,$Q159,20)-1))</f>
        <v>4</v>
      </c>
      <c r="W159">
        <f t="array" ref="W159">INDEX(INC_MINVALUES,$V159,$K$1)</f>
        <v>480</v>
      </c>
      <c r="X159" s="212">
        <f t="array" ref="X159">INDEX(INC_INCVALUES,$V159,$K$1)</f>
        <v>4</v>
      </c>
    </row>
    <row r="160" ht="15.75" customHeight="1">
      <c r="A160" s="435"/>
      <c r="B160" s="436"/>
      <c r="C160" s="95" t="str">
        <f t="array" ref="C160">IF(I160&gt;0,INDEX(DB,I160,8),"")</f>
        <v/>
      </c>
      <c r="D160" s="437">
        <f t="shared" si="1"/>
        <v>0</v>
      </c>
      <c r="F160" s="438">
        <f t="shared" si="2"/>
        <v>0</v>
      </c>
      <c r="G160" t="str">
        <f t="shared" si="3"/>
        <v/>
      </c>
      <c r="H160" t="b">
        <f t="shared" si="4"/>
        <v>0</v>
      </c>
      <c r="I160" s="439">
        <f>IF(OR(ISBLANK(A160),ISNA(MATCH(A160&amp;"",AthleteNumbers,0))),0,MATCH(A160&amp;"",AthleteNumbers,0))</f>
        <v>0</v>
      </c>
      <c r="J160" s="209">
        <f t="array" ref="J160">IF(I160&gt;0,INDEX(DB,$I160,6),0)</f>
        <v>0</v>
      </c>
      <c r="K160" s="446">
        <f t="shared" si="5"/>
        <v>0</v>
      </c>
      <c r="L160" s="440">
        <f t="shared" si="6"/>
        <v>0</v>
      </c>
      <c r="M160" s="441">
        <f>IF(AND(L160&gt;O160,O160&gt;0),MinPoints,IF(AND(L160&lt;N160,O160&gt;0),100,+INT((O160-$L160)/P160)+MinPoints))</f>
        <v>100</v>
      </c>
      <c r="N160" s="440">
        <f t="shared" si="7"/>
        <v>90</v>
      </c>
      <c r="O160" s="440">
        <f t="shared" si="8"/>
        <v>180</v>
      </c>
      <c r="P160" s="440">
        <f t="shared" si="9"/>
        <v>1</v>
      </c>
      <c r="Q160">
        <f t="array" ref="Q160">IF(I160&gt;0,INDEX(DB,I160,9),EventIndex)</f>
        <v>6</v>
      </c>
      <c r="S160">
        <f t="array" ref="S160">(INT(INDEX(MINVALUES,$Q160,$K$1))*60)+(MOD(INDEX(MINVALUES,$Q160,$K$1),1)*100)</f>
        <v>180</v>
      </c>
      <c r="T160">
        <f t="array" ref="T160">(INDEX(INCVALUES,$Q160,$K$1)*100)</f>
        <v>1</v>
      </c>
      <c r="V160">
        <f t="array" ref="V160">+J160+(4*(INDEX(MatchScoreTable,$Q160,20)-1))</f>
        <v>4</v>
      </c>
      <c r="W160">
        <f t="array" ref="W160">INDEX(INC_MINVALUES,$V160,$K$1)</f>
        <v>480</v>
      </c>
      <c r="X160" s="212">
        <f t="array" ref="X160">INDEX(INC_INCVALUES,$V160,$K$1)</f>
        <v>4</v>
      </c>
    </row>
    <row r="161" ht="15.75" customHeight="1">
      <c r="A161" s="435"/>
      <c r="B161" s="436"/>
      <c r="C161" s="95" t="str">
        <f t="array" ref="C161">IF(I161&gt;0,INDEX(DB,I161,8),"")</f>
        <v/>
      </c>
      <c r="D161" s="437">
        <f t="shared" si="1"/>
        <v>0</v>
      </c>
      <c r="F161" s="438">
        <f t="shared" si="2"/>
        <v>0</v>
      </c>
      <c r="G161" t="str">
        <f t="shared" si="3"/>
        <v/>
      </c>
      <c r="H161" t="b">
        <f t="shared" si="4"/>
        <v>0</v>
      </c>
      <c r="I161" s="439">
        <f>IF(OR(ISBLANK(A161),ISNA(MATCH(A161&amp;"",AthleteNumbers,0))),0,MATCH(A161&amp;"",AthleteNumbers,0))</f>
        <v>0</v>
      </c>
      <c r="J161" s="209">
        <f t="array" ref="J161">IF(I161&gt;0,INDEX(DB,$I161,6),0)</f>
        <v>0</v>
      </c>
      <c r="K161" s="446">
        <f t="shared" si="5"/>
        <v>0</v>
      </c>
      <c r="L161" s="440">
        <f t="shared" si="6"/>
        <v>0</v>
      </c>
      <c r="M161" s="441">
        <f>IF(AND(L161&gt;O161,O161&gt;0),MinPoints,IF(AND(L161&lt;N161,O161&gt;0),100,+INT((O161-$L161)/P161)+MinPoints))</f>
        <v>100</v>
      </c>
      <c r="N161" s="440">
        <f t="shared" si="7"/>
        <v>90</v>
      </c>
      <c r="O161" s="440">
        <f t="shared" si="8"/>
        <v>180</v>
      </c>
      <c r="P161" s="440">
        <f t="shared" si="9"/>
        <v>1</v>
      </c>
      <c r="Q161">
        <f t="array" ref="Q161">IF(I161&gt;0,INDEX(DB,I161,9),EventIndex)</f>
        <v>6</v>
      </c>
      <c r="S161">
        <f t="array" ref="S161">(INT(INDEX(MINVALUES,$Q161,$K$1))*60)+(MOD(INDEX(MINVALUES,$Q161,$K$1),1)*100)</f>
        <v>180</v>
      </c>
      <c r="T161">
        <f t="array" ref="T161">(INDEX(INCVALUES,$Q161,$K$1)*100)</f>
        <v>1</v>
      </c>
      <c r="V161">
        <f t="array" ref="V161">+J161+(4*(INDEX(MatchScoreTable,$Q161,20)-1))</f>
        <v>4</v>
      </c>
      <c r="W161">
        <f t="array" ref="W161">INDEX(INC_MINVALUES,$V161,$K$1)</f>
        <v>480</v>
      </c>
      <c r="X161" s="212">
        <f t="array" ref="X161">INDEX(INC_INCVALUES,$V161,$K$1)</f>
        <v>4</v>
      </c>
    </row>
    <row r="162" ht="15.75" customHeight="1">
      <c r="A162" s="435"/>
      <c r="B162" s="436"/>
      <c r="C162" s="95" t="str">
        <f t="array" ref="C162">IF(I162&gt;0,INDEX(DB,I162,8),"")</f>
        <v/>
      </c>
      <c r="D162" s="437">
        <f t="shared" si="1"/>
        <v>0</v>
      </c>
      <c r="F162" s="438">
        <f t="shared" si="2"/>
        <v>0</v>
      </c>
      <c r="G162" t="str">
        <f t="shared" si="3"/>
        <v/>
      </c>
      <c r="H162" t="b">
        <f t="shared" si="4"/>
        <v>0</v>
      </c>
      <c r="I162" s="439">
        <f>IF(OR(ISBLANK(A162),ISNA(MATCH(A162&amp;"",AthleteNumbers,0))),0,MATCH(A162&amp;"",AthleteNumbers,0))</f>
        <v>0</v>
      </c>
      <c r="J162" s="209">
        <f t="array" ref="J162">IF(I162&gt;0,INDEX(DB,$I162,6),0)</f>
        <v>0</v>
      </c>
      <c r="K162" s="446">
        <f t="shared" si="5"/>
        <v>0</v>
      </c>
      <c r="L162" s="440">
        <f t="shared" si="6"/>
        <v>0</v>
      </c>
      <c r="M162" s="441">
        <f>IF(AND(L162&gt;O162,O162&gt;0),MinPoints,IF(AND(L162&lt;N162,O162&gt;0),100,+INT((O162-$L162)/P162)+MinPoints))</f>
        <v>100</v>
      </c>
      <c r="N162" s="440">
        <f t="shared" si="7"/>
        <v>90</v>
      </c>
      <c r="O162" s="440">
        <f t="shared" si="8"/>
        <v>180</v>
      </c>
      <c r="P162" s="440">
        <f t="shared" si="9"/>
        <v>1</v>
      </c>
      <c r="Q162">
        <f t="array" ref="Q162">IF(I162&gt;0,INDEX(DB,I162,9),EventIndex)</f>
        <v>6</v>
      </c>
      <c r="S162">
        <f t="array" ref="S162">(INT(INDEX(MINVALUES,$Q162,$K$1))*60)+(MOD(INDEX(MINVALUES,$Q162,$K$1),1)*100)</f>
        <v>180</v>
      </c>
      <c r="T162">
        <f t="array" ref="T162">(INDEX(INCVALUES,$Q162,$K$1)*100)</f>
        <v>1</v>
      </c>
      <c r="V162">
        <f t="array" ref="V162">+J162+(4*(INDEX(MatchScoreTable,$Q162,20)-1))</f>
        <v>4</v>
      </c>
      <c r="W162">
        <f t="array" ref="W162">INDEX(INC_MINVALUES,$V162,$K$1)</f>
        <v>480</v>
      </c>
      <c r="X162" s="212">
        <f t="array" ref="X162">INDEX(INC_INCVALUES,$V162,$K$1)</f>
        <v>4</v>
      </c>
    </row>
    <row r="163" ht="15.75" customHeight="1">
      <c r="A163" s="435"/>
      <c r="B163" s="436"/>
      <c r="C163" s="95" t="str">
        <f t="array" ref="C163">IF(I163&gt;0,INDEX(DB,I163,8),"")</f>
        <v/>
      </c>
      <c r="D163" s="437">
        <f t="shared" si="1"/>
        <v>0</v>
      </c>
      <c r="F163" s="438">
        <f t="shared" si="2"/>
        <v>0</v>
      </c>
      <c r="G163" t="str">
        <f t="shared" si="3"/>
        <v/>
      </c>
      <c r="H163" t="b">
        <f t="shared" si="4"/>
        <v>0</v>
      </c>
      <c r="I163" s="439">
        <f>IF(OR(ISBLANK(A163),ISNA(MATCH(A163&amp;"",AthleteNumbers,0))),0,MATCH(A163&amp;"",AthleteNumbers,0))</f>
        <v>0</v>
      </c>
      <c r="J163" s="209">
        <f t="array" ref="J163">IF(I163&gt;0,INDEX(DB,$I163,6),0)</f>
        <v>0</v>
      </c>
      <c r="K163" s="446">
        <f t="shared" si="5"/>
        <v>0</v>
      </c>
      <c r="L163" s="440">
        <f t="shared" si="6"/>
        <v>0</v>
      </c>
      <c r="M163" s="441">
        <f>IF(AND(L163&gt;O163,O163&gt;0),MinPoints,IF(AND(L163&lt;N163,O163&gt;0),100,+INT((O163-$L163)/P163)+MinPoints))</f>
        <v>100</v>
      </c>
      <c r="N163" s="440">
        <f t="shared" si="7"/>
        <v>90</v>
      </c>
      <c r="O163" s="440">
        <f t="shared" si="8"/>
        <v>180</v>
      </c>
      <c r="P163" s="440">
        <f t="shared" si="9"/>
        <v>1</v>
      </c>
      <c r="Q163">
        <f t="array" ref="Q163">IF(I163&gt;0,INDEX(DB,I163,9),EventIndex)</f>
        <v>6</v>
      </c>
      <c r="S163">
        <f t="array" ref="S163">(INT(INDEX(MINVALUES,$Q163,$K$1))*60)+(MOD(INDEX(MINVALUES,$Q163,$K$1),1)*100)</f>
        <v>180</v>
      </c>
      <c r="T163">
        <f t="array" ref="T163">(INDEX(INCVALUES,$Q163,$K$1)*100)</f>
        <v>1</v>
      </c>
      <c r="V163">
        <f t="array" ref="V163">+J163+(4*(INDEX(MatchScoreTable,$Q163,20)-1))</f>
        <v>4</v>
      </c>
      <c r="W163">
        <f t="array" ref="W163">INDEX(INC_MINVALUES,$V163,$K$1)</f>
        <v>480</v>
      </c>
      <c r="X163" s="212">
        <f t="array" ref="X163">INDEX(INC_INCVALUES,$V163,$K$1)</f>
        <v>4</v>
      </c>
    </row>
    <row r="164" ht="15.75" customHeight="1">
      <c r="A164" s="435"/>
      <c r="B164" s="436"/>
      <c r="C164" s="95" t="str">
        <f t="array" ref="C164">IF(I164&gt;0,INDEX(DB,I164,8),"")</f>
        <v/>
      </c>
      <c r="D164" s="437">
        <f t="shared" si="1"/>
        <v>0</v>
      </c>
      <c r="F164" s="438">
        <f t="shared" si="2"/>
        <v>0</v>
      </c>
      <c r="G164" t="str">
        <f t="shared" si="3"/>
        <v/>
      </c>
      <c r="H164" t="b">
        <f t="shared" si="4"/>
        <v>0</v>
      </c>
      <c r="I164" s="439">
        <f>IF(OR(ISBLANK(A164),ISNA(MATCH(A164&amp;"",AthleteNumbers,0))),0,MATCH(A164&amp;"",AthleteNumbers,0))</f>
        <v>0</v>
      </c>
      <c r="J164" s="209">
        <f t="array" ref="J164">IF(I164&gt;0,INDEX(DB,$I164,6),0)</f>
        <v>0</v>
      </c>
      <c r="K164" s="446">
        <f t="shared" si="5"/>
        <v>0</v>
      </c>
      <c r="L164" s="440">
        <f t="shared" si="6"/>
        <v>0</v>
      </c>
      <c r="M164" s="441">
        <f>IF(AND(L164&gt;O164,O164&gt;0),MinPoints,IF(AND(L164&lt;N164,O164&gt;0),100,+INT((O164-$L164)/P164)+MinPoints))</f>
        <v>100</v>
      </c>
      <c r="N164" s="440">
        <f t="shared" si="7"/>
        <v>90</v>
      </c>
      <c r="O164" s="440">
        <f t="shared" si="8"/>
        <v>180</v>
      </c>
      <c r="P164" s="440">
        <f t="shared" si="9"/>
        <v>1</v>
      </c>
      <c r="Q164">
        <f t="array" ref="Q164">IF(I164&gt;0,INDEX(DB,I164,9),EventIndex)</f>
        <v>6</v>
      </c>
      <c r="S164">
        <f t="array" ref="S164">(INT(INDEX(MINVALUES,$Q164,$K$1))*60)+(MOD(INDEX(MINVALUES,$Q164,$K$1),1)*100)</f>
        <v>180</v>
      </c>
      <c r="T164">
        <f t="array" ref="T164">(INDEX(INCVALUES,$Q164,$K$1)*100)</f>
        <v>1</v>
      </c>
      <c r="V164">
        <f t="array" ref="V164">+J164+(4*(INDEX(MatchScoreTable,$Q164,20)-1))</f>
        <v>4</v>
      </c>
      <c r="W164">
        <f t="array" ref="W164">INDEX(INC_MINVALUES,$V164,$K$1)</f>
        <v>480</v>
      </c>
      <c r="X164" s="212">
        <f t="array" ref="X164">INDEX(INC_INCVALUES,$V164,$K$1)</f>
        <v>4</v>
      </c>
    </row>
    <row r="165" ht="15.75" customHeight="1">
      <c r="A165" s="435"/>
      <c r="B165" s="436"/>
      <c r="C165" s="95" t="str">
        <f t="array" ref="C165">IF(I165&gt;0,INDEX(DB,I165,8),"")</f>
        <v/>
      </c>
      <c r="D165" s="437">
        <f t="shared" si="1"/>
        <v>0</v>
      </c>
      <c r="F165" s="438">
        <f t="shared" si="2"/>
        <v>0</v>
      </c>
      <c r="G165" t="str">
        <f t="shared" si="3"/>
        <v/>
      </c>
      <c r="H165" t="b">
        <f t="shared" si="4"/>
        <v>0</v>
      </c>
      <c r="I165" s="439">
        <f>IF(OR(ISBLANK(A165),ISNA(MATCH(A165&amp;"",AthleteNumbers,0))),0,MATCH(A165&amp;"",AthleteNumbers,0))</f>
        <v>0</v>
      </c>
      <c r="J165" s="209">
        <f t="array" ref="J165">IF(I165&gt;0,INDEX(DB,$I165,6),0)</f>
        <v>0</v>
      </c>
      <c r="K165" s="446">
        <f t="shared" si="5"/>
        <v>0</v>
      </c>
      <c r="L165" s="440">
        <f t="shared" si="6"/>
        <v>0</v>
      </c>
      <c r="M165" s="441">
        <f>IF(AND(L165&gt;O165,O165&gt;0),MinPoints,IF(AND(L165&lt;N165,O165&gt;0),100,+INT((O165-$L165)/P165)+MinPoints))</f>
        <v>100</v>
      </c>
      <c r="N165" s="440">
        <f t="shared" si="7"/>
        <v>90</v>
      </c>
      <c r="O165" s="440">
        <f t="shared" si="8"/>
        <v>180</v>
      </c>
      <c r="P165" s="440">
        <f t="shared" si="9"/>
        <v>1</v>
      </c>
      <c r="Q165">
        <f t="array" ref="Q165">IF(I165&gt;0,INDEX(DB,I165,9),EventIndex)</f>
        <v>6</v>
      </c>
      <c r="S165">
        <f t="array" ref="S165">(INT(INDEX(MINVALUES,$Q165,$K$1))*60)+(MOD(INDEX(MINVALUES,$Q165,$K$1),1)*100)</f>
        <v>180</v>
      </c>
      <c r="T165">
        <f t="array" ref="T165">(INDEX(INCVALUES,$Q165,$K$1)*100)</f>
        <v>1</v>
      </c>
      <c r="V165">
        <f t="array" ref="V165">+J165+(4*(INDEX(MatchScoreTable,$Q165,20)-1))</f>
        <v>4</v>
      </c>
      <c r="W165">
        <f t="array" ref="W165">INDEX(INC_MINVALUES,$V165,$K$1)</f>
        <v>480</v>
      </c>
      <c r="X165" s="212">
        <f t="array" ref="X165">INDEX(INC_INCVALUES,$V165,$K$1)</f>
        <v>4</v>
      </c>
    </row>
    <row r="166" ht="15.75" customHeight="1">
      <c r="A166" s="435"/>
      <c r="B166" s="436"/>
      <c r="C166" s="95" t="str">
        <f t="array" ref="C166">IF(I166&gt;0,INDEX(DB,I166,8),"")</f>
        <v/>
      </c>
      <c r="D166" s="437">
        <f t="shared" si="1"/>
        <v>0</v>
      </c>
      <c r="F166" s="438">
        <f t="shared" si="2"/>
        <v>0</v>
      </c>
      <c r="G166" t="str">
        <f t="shared" si="3"/>
        <v/>
      </c>
      <c r="H166" t="b">
        <f t="shared" si="4"/>
        <v>0</v>
      </c>
      <c r="I166" s="439">
        <f>IF(OR(ISBLANK(A166),ISNA(MATCH(A166&amp;"",AthleteNumbers,0))),0,MATCH(A166&amp;"",AthleteNumbers,0))</f>
        <v>0</v>
      </c>
      <c r="J166" s="209">
        <f t="array" ref="J166">IF(I166&gt;0,INDEX(DB,$I166,6),0)</f>
        <v>0</v>
      </c>
      <c r="K166" s="446">
        <f t="shared" si="5"/>
        <v>0</v>
      </c>
      <c r="L166" s="440">
        <f t="shared" si="6"/>
        <v>0</v>
      </c>
      <c r="M166" s="441">
        <f>IF(AND(L166&gt;O166,O166&gt;0),MinPoints,IF(AND(L166&lt;N166,O166&gt;0),100,+INT((O166-$L166)/P166)+MinPoints))</f>
        <v>100</v>
      </c>
      <c r="N166" s="440">
        <f t="shared" si="7"/>
        <v>90</v>
      </c>
      <c r="O166" s="440">
        <f t="shared" si="8"/>
        <v>180</v>
      </c>
      <c r="P166" s="440">
        <f t="shared" si="9"/>
        <v>1</v>
      </c>
      <c r="Q166">
        <f t="array" ref="Q166">IF(I166&gt;0,INDEX(DB,I166,9),EventIndex)</f>
        <v>6</v>
      </c>
      <c r="S166">
        <f t="array" ref="S166">(INT(INDEX(MINVALUES,$Q166,$K$1))*60)+(MOD(INDEX(MINVALUES,$Q166,$K$1),1)*100)</f>
        <v>180</v>
      </c>
      <c r="T166">
        <f t="array" ref="T166">(INDEX(INCVALUES,$Q166,$K$1)*100)</f>
        <v>1</v>
      </c>
      <c r="V166">
        <f t="array" ref="V166">+J166+(4*(INDEX(MatchScoreTable,$Q166,20)-1))</f>
        <v>4</v>
      </c>
      <c r="W166">
        <f t="array" ref="W166">INDEX(INC_MINVALUES,$V166,$K$1)</f>
        <v>480</v>
      </c>
      <c r="X166" s="212">
        <f t="array" ref="X166">INDEX(INC_INCVALUES,$V166,$K$1)</f>
        <v>4</v>
      </c>
    </row>
    <row r="167" ht="15.75" customHeight="1">
      <c r="A167" s="435"/>
      <c r="B167" s="436"/>
      <c r="C167" s="95" t="str">
        <f t="array" ref="C167">IF(I167&gt;0,INDEX(DB,I167,8),"")</f>
        <v/>
      </c>
      <c r="D167" s="437">
        <f t="shared" si="1"/>
        <v>0</v>
      </c>
      <c r="F167" s="438">
        <f t="shared" si="2"/>
        <v>0</v>
      </c>
      <c r="G167" t="str">
        <f t="shared" si="3"/>
        <v/>
      </c>
      <c r="H167" t="b">
        <f t="shared" si="4"/>
        <v>0</v>
      </c>
      <c r="I167" s="439">
        <f>IF(OR(ISBLANK(A167),ISNA(MATCH(A167&amp;"",AthleteNumbers,0))),0,MATCH(A167&amp;"",AthleteNumbers,0))</f>
        <v>0</v>
      </c>
      <c r="J167" s="209">
        <f t="array" ref="J167">IF(I167&gt;0,INDEX(DB,$I167,6),0)</f>
        <v>0</v>
      </c>
      <c r="K167" s="446">
        <f t="shared" si="5"/>
        <v>0</v>
      </c>
      <c r="L167" s="440">
        <f t="shared" si="6"/>
        <v>0</v>
      </c>
      <c r="M167" s="441">
        <f>IF(AND(L167&gt;O167,O167&gt;0),MinPoints,IF(AND(L167&lt;N167,O167&gt;0),100,+INT((O167-$L167)/P167)+MinPoints))</f>
        <v>100</v>
      </c>
      <c r="N167" s="440">
        <f t="shared" si="7"/>
        <v>90</v>
      </c>
      <c r="O167" s="440">
        <f t="shared" si="8"/>
        <v>180</v>
      </c>
      <c r="P167" s="440">
        <f t="shared" si="9"/>
        <v>1</v>
      </c>
      <c r="Q167">
        <f t="array" ref="Q167">IF(I167&gt;0,INDEX(DB,I167,9),EventIndex)</f>
        <v>6</v>
      </c>
      <c r="S167">
        <f t="array" ref="S167">(INT(INDEX(MINVALUES,$Q167,$K$1))*60)+(MOD(INDEX(MINVALUES,$Q167,$K$1),1)*100)</f>
        <v>180</v>
      </c>
      <c r="T167">
        <f t="array" ref="T167">(INDEX(INCVALUES,$Q167,$K$1)*100)</f>
        <v>1</v>
      </c>
      <c r="V167">
        <f t="array" ref="V167">+J167+(4*(INDEX(MatchScoreTable,$Q167,20)-1))</f>
        <v>4</v>
      </c>
      <c r="W167">
        <f t="array" ref="W167">INDEX(INC_MINVALUES,$V167,$K$1)</f>
        <v>480</v>
      </c>
      <c r="X167" s="212">
        <f t="array" ref="X167">INDEX(INC_INCVALUES,$V167,$K$1)</f>
        <v>4</v>
      </c>
    </row>
    <row r="168" ht="15.75" customHeight="1">
      <c r="A168" s="435"/>
      <c r="B168" s="436"/>
      <c r="C168" s="95" t="str">
        <f t="array" ref="C168">IF(I168&gt;0,INDEX(DB,I168,8),"")</f>
        <v/>
      </c>
      <c r="D168" s="437">
        <f t="shared" si="1"/>
        <v>0</v>
      </c>
      <c r="F168" s="438">
        <f t="shared" si="2"/>
        <v>0</v>
      </c>
      <c r="G168" t="str">
        <f t="shared" si="3"/>
        <v/>
      </c>
      <c r="H168" t="b">
        <f t="shared" si="4"/>
        <v>0</v>
      </c>
      <c r="I168" s="439">
        <f>IF(OR(ISBLANK(A168),ISNA(MATCH(A168&amp;"",AthleteNumbers,0))),0,MATCH(A168&amp;"",AthleteNumbers,0))</f>
        <v>0</v>
      </c>
      <c r="J168" s="209">
        <f t="array" ref="J168">IF(I168&gt;0,INDEX(DB,$I168,6),0)</f>
        <v>0</v>
      </c>
      <c r="K168" s="446">
        <f t="shared" si="5"/>
        <v>0</v>
      </c>
      <c r="L168" s="440">
        <f t="shared" si="6"/>
        <v>0</v>
      </c>
      <c r="M168" s="441">
        <f>IF(AND(L168&gt;O168,O168&gt;0),MinPoints,IF(AND(L168&lt;N168,O168&gt;0),100,+INT((O168-$L168)/P168)+MinPoints))</f>
        <v>100</v>
      </c>
      <c r="N168" s="440">
        <f t="shared" si="7"/>
        <v>90</v>
      </c>
      <c r="O168" s="440">
        <f t="shared" si="8"/>
        <v>180</v>
      </c>
      <c r="P168" s="440">
        <f t="shared" si="9"/>
        <v>1</v>
      </c>
      <c r="Q168">
        <f t="array" ref="Q168">IF(I168&gt;0,INDEX(DB,I168,9),EventIndex)</f>
        <v>6</v>
      </c>
      <c r="S168">
        <f t="array" ref="S168">(INT(INDEX(MINVALUES,$Q168,$K$1))*60)+(MOD(INDEX(MINVALUES,$Q168,$K$1),1)*100)</f>
        <v>180</v>
      </c>
      <c r="T168">
        <f t="array" ref="T168">(INDEX(INCVALUES,$Q168,$K$1)*100)</f>
        <v>1</v>
      </c>
      <c r="V168">
        <f t="array" ref="V168">+J168+(4*(INDEX(MatchScoreTable,$Q168,20)-1))</f>
        <v>4</v>
      </c>
      <c r="W168">
        <f t="array" ref="W168">INDEX(INC_MINVALUES,$V168,$K$1)</f>
        <v>480</v>
      </c>
      <c r="X168" s="212">
        <f t="array" ref="X168">INDEX(INC_INCVALUES,$V168,$K$1)</f>
        <v>4</v>
      </c>
    </row>
    <row r="169" ht="15.75" customHeight="1">
      <c r="A169" s="435"/>
      <c r="B169" s="436"/>
      <c r="C169" s="95" t="str">
        <f t="array" ref="C169">IF(I169&gt;0,INDEX(DB,I169,8),"")</f>
        <v/>
      </c>
      <c r="D169" s="437">
        <f t="shared" si="1"/>
        <v>0</v>
      </c>
      <c r="F169" s="438">
        <f t="shared" si="2"/>
        <v>0</v>
      </c>
      <c r="G169" t="str">
        <f t="shared" si="3"/>
        <v/>
      </c>
      <c r="H169" t="b">
        <f t="shared" si="4"/>
        <v>0</v>
      </c>
      <c r="I169" s="439">
        <f>IF(OR(ISBLANK(A169),ISNA(MATCH(A169&amp;"",AthleteNumbers,0))),0,MATCH(A169&amp;"",AthleteNumbers,0))</f>
        <v>0</v>
      </c>
      <c r="J169" s="209">
        <f t="array" ref="J169">IF(I169&gt;0,INDEX(DB,$I169,6),0)</f>
        <v>0</v>
      </c>
      <c r="K169" s="446">
        <f t="shared" si="5"/>
        <v>0</v>
      </c>
      <c r="L169" s="440">
        <f t="shared" si="6"/>
        <v>0</v>
      </c>
      <c r="M169" s="441">
        <f>IF(AND(L169&gt;O169,O169&gt;0),MinPoints,IF(AND(L169&lt;N169,O169&gt;0),100,+INT((O169-$L169)/P169)+MinPoints))</f>
        <v>100</v>
      </c>
      <c r="N169" s="440">
        <f t="shared" si="7"/>
        <v>90</v>
      </c>
      <c r="O169" s="440">
        <f t="shared" si="8"/>
        <v>180</v>
      </c>
      <c r="P169" s="440">
        <f t="shared" si="9"/>
        <v>1</v>
      </c>
      <c r="Q169">
        <f t="array" ref="Q169">IF(I169&gt;0,INDEX(DB,I169,9),EventIndex)</f>
        <v>6</v>
      </c>
      <c r="S169">
        <f t="array" ref="S169">(INT(INDEX(MINVALUES,$Q169,$K$1))*60)+(MOD(INDEX(MINVALUES,$Q169,$K$1),1)*100)</f>
        <v>180</v>
      </c>
      <c r="T169">
        <f t="array" ref="T169">(INDEX(INCVALUES,$Q169,$K$1)*100)</f>
        <v>1</v>
      </c>
      <c r="V169">
        <f t="array" ref="V169">+J169+(4*(INDEX(MatchScoreTable,$Q169,20)-1))</f>
        <v>4</v>
      </c>
      <c r="W169">
        <f t="array" ref="W169">INDEX(INC_MINVALUES,$V169,$K$1)</f>
        <v>480</v>
      </c>
      <c r="X169" s="212">
        <f t="array" ref="X169">INDEX(INC_INCVALUES,$V169,$K$1)</f>
        <v>4</v>
      </c>
    </row>
    <row r="170" ht="15.75" customHeight="1">
      <c r="A170" s="435"/>
      <c r="B170" s="436"/>
      <c r="C170" s="95" t="str">
        <f t="array" ref="C170">IF(I170&gt;0,INDEX(DB,I170,8),"")</f>
        <v/>
      </c>
      <c r="D170" s="437">
        <f t="shared" si="1"/>
        <v>0</v>
      </c>
      <c r="F170" s="438">
        <f t="shared" si="2"/>
        <v>0</v>
      </c>
      <c r="G170" t="str">
        <f t="shared" si="3"/>
        <v/>
      </c>
      <c r="H170" t="b">
        <f t="shared" si="4"/>
        <v>0</v>
      </c>
      <c r="I170" s="439">
        <f>IF(OR(ISBLANK(A170),ISNA(MATCH(A170&amp;"",AthleteNumbers,0))),0,MATCH(A170&amp;"",AthleteNumbers,0))</f>
        <v>0</v>
      </c>
      <c r="J170" s="209">
        <f t="array" ref="J170">IF(I170&gt;0,INDEX(DB,$I170,6),0)</f>
        <v>0</v>
      </c>
      <c r="K170" s="446">
        <f t="shared" si="5"/>
        <v>0</v>
      </c>
      <c r="L170" s="440">
        <f t="shared" si="6"/>
        <v>0</v>
      </c>
      <c r="M170" s="441">
        <f>IF(AND(L170&gt;O170,O170&gt;0),MinPoints,IF(AND(L170&lt;N170,O170&gt;0),100,+INT((O170-$L170)/P170)+MinPoints))</f>
        <v>100</v>
      </c>
      <c r="N170" s="440">
        <f t="shared" si="7"/>
        <v>90</v>
      </c>
      <c r="O170" s="440">
        <f t="shared" si="8"/>
        <v>180</v>
      </c>
      <c r="P170" s="440">
        <f t="shared" si="9"/>
        <v>1</v>
      </c>
      <c r="Q170">
        <f t="array" ref="Q170">IF(I170&gt;0,INDEX(DB,I170,9),EventIndex)</f>
        <v>6</v>
      </c>
      <c r="S170">
        <f t="array" ref="S170">(INT(INDEX(MINVALUES,$Q170,$K$1))*60)+(MOD(INDEX(MINVALUES,$Q170,$K$1),1)*100)</f>
        <v>180</v>
      </c>
      <c r="T170">
        <f t="array" ref="T170">(INDEX(INCVALUES,$Q170,$K$1)*100)</f>
        <v>1</v>
      </c>
      <c r="V170">
        <f t="array" ref="V170">+J170+(4*(INDEX(MatchScoreTable,$Q170,20)-1))</f>
        <v>4</v>
      </c>
      <c r="W170">
        <f t="array" ref="W170">INDEX(INC_MINVALUES,$V170,$K$1)</f>
        <v>480</v>
      </c>
      <c r="X170" s="212">
        <f t="array" ref="X170">INDEX(INC_INCVALUES,$V170,$K$1)</f>
        <v>4</v>
      </c>
    </row>
    <row r="171" ht="15.75" customHeight="1">
      <c r="A171" s="435"/>
      <c r="B171" s="436"/>
      <c r="C171" s="95" t="str">
        <f t="array" ref="C171">IF(I171&gt;0,INDEX(DB,I171,8),"")</f>
        <v/>
      </c>
      <c r="D171" s="437">
        <f t="shared" si="1"/>
        <v>0</v>
      </c>
      <c r="F171" s="438">
        <f t="shared" si="2"/>
        <v>0</v>
      </c>
      <c r="G171" t="str">
        <f t="shared" si="3"/>
        <v/>
      </c>
      <c r="H171" t="b">
        <f t="shared" si="4"/>
        <v>0</v>
      </c>
      <c r="I171" s="439">
        <f>IF(OR(ISBLANK(A171),ISNA(MATCH(A171&amp;"",AthleteNumbers,0))),0,MATCH(A171&amp;"",AthleteNumbers,0))</f>
        <v>0</v>
      </c>
      <c r="J171" s="209">
        <f t="array" ref="J171">IF(I171&gt;0,INDEX(DB,$I171,6),0)</f>
        <v>0</v>
      </c>
      <c r="K171" s="446">
        <f t="shared" si="5"/>
        <v>0</v>
      </c>
      <c r="L171" s="440">
        <f t="shared" si="6"/>
        <v>0</v>
      </c>
      <c r="M171" s="441">
        <f>IF(AND(L171&gt;O171,O171&gt;0),MinPoints,IF(AND(L171&lt;N171,O171&gt;0),100,+INT((O171-$L171)/P171)+MinPoints))</f>
        <v>100</v>
      </c>
      <c r="N171" s="440">
        <f t="shared" si="7"/>
        <v>90</v>
      </c>
      <c r="O171" s="440">
        <f t="shared" si="8"/>
        <v>180</v>
      </c>
      <c r="P171" s="440">
        <f t="shared" si="9"/>
        <v>1</v>
      </c>
      <c r="Q171">
        <f t="array" ref="Q171">IF(I171&gt;0,INDEX(DB,I171,9),EventIndex)</f>
        <v>6</v>
      </c>
      <c r="S171">
        <f t="array" ref="S171">(INT(INDEX(MINVALUES,$Q171,$K$1))*60)+(MOD(INDEX(MINVALUES,$Q171,$K$1),1)*100)</f>
        <v>180</v>
      </c>
      <c r="T171">
        <f t="array" ref="T171">(INDEX(INCVALUES,$Q171,$K$1)*100)</f>
        <v>1</v>
      </c>
      <c r="V171">
        <f t="array" ref="V171">+J171+(4*(INDEX(MatchScoreTable,$Q171,20)-1))</f>
        <v>4</v>
      </c>
      <c r="W171">
        <f t="array" ref="W171">INDEX(INC_MINVALUES,$V171,$K$1)</f>
        <v>480</v>
      </c>
      <c r="X171" s="212">
        <f t="array" ref="X171">INDEX(INC_INCVALUES,$V171,$K$1)</f>
        <v>4</v>
      </c>
    </row>
    <row r="172" ht="15.75" customHeight="1">
      <c r="A172" s="435"/>
      <c r="B172" s="436"/>
      <c r="C172" s="95" t="str">
        <f t="array" ref="C172">IF(I172&gt;0,INDEX(DB,I172,8),"")</f>
        <v/>
      </c>
      <c r="D172" s="437">
        <f t="shared" si="1"/>
        <v>0</v>
      </c>
      <c r="F172" s="438">
        <f t="shared" si="2"/>
        <v>0</v>
      </c>
      <c r="G172" t="str">
        <f t="shared" si="3"/>
        <v/>
      </c>
      <c r="H172" t="b">
        <f t="shared" si="4"/>
        <v>0</v>
      </c>
      <c r="I172" s="439">
        <f>IF(OR(ISBLANK(A172),ISNA(MATCH(A172&amp;"",AthleteNumbers,0))),0,MATCH(A172&amp;"",AthleteNumbers,0))</f>
        <v>0</v>
      </c>
      <c r="J172" s="209">
        <f t="array" ref="J172">IF(I172&gt;0,INDEX(DB,$I172,6),0)</f>
        <v>0</v>
      </c>
      <c r="K172" s="446">
        <f t="shared" si="5"/>
        <v>0</v>
      </c>
      <c r="L172" s="440">
        <f t="shared" si="6"/>
        <v>0</v>
      </c>
      <c r="M172" s="441">
        <f>IF(AND(L172&gt;O172,O172&gt;0),MinPoints,IF(AND(L172&lt;N172,O172&gt;0),100,+INT((O172-$L172)/P172)+MinPoints))</f>
        <v>100</v>
      </c>
      <c r="N172" s="440">
        <f t="shared" si="7"/>
        <v>90</v>
      </c>
      <c r="O172" s="440">
        <f t="shared" si="8"/>
        <v>180</v>
      </c>
      <c r="P172" s="440">
        <f t="shared" si="9"/>
        <v>1</v>
      </c>
      <c r="Q172">
        <f t="array" ref="Q172">IF(I172&gt;0,INDEX(DB,I172,9),EventIndex)</f>
        <v>6</v>
      </c>
      <c r="S172">
        <f t="array" ref="S172">(INT(INDEX(MINVALUES,$Q172,$K$1))*60)+(MOD(INDEX(MINVALUES,$Q172,$K$1),1)*100)</f>
        <v>180</v>
      </c>
      <c r="T172">
        <f t="array" ref="T172">(INDEX(INCVALUES,$Q172,$K$1)*100)</f>
        <v>1</v>
      </c>
      <c r="V172">
        <f t="array" ref="V172">+J172+(4*(INDEX(MatchScoreTable,$Q172,20)-1))</f>
        <v>4</v>
      </c>
      <c r="W172">
        <f t="array" ref="W172">INDEX(INC_MINVALUES,$V172,$K$1)</f>
        <v>480</v>
      </c>
      <c r="X172" s="212">
        <f t="array" ref="X172">INDEX(INC_INCVALUES,$V172,$K$1)</f>
        <v>4</v>
      </c>
    </row>
    <row r="173" ht="15.75" customHeight="1">
      <c r="A173" s="435"/>
      <c r="B173" s="436"/>
      <c r="C173" s="95" t="str">
        <f t="array" ref="C173">IF(I173&gt;0,INDEX(DB,I173,8),"")</f>
        <v/>
      </c>
      <c r="D173" s="437">
        <f t="shared" si="1"/>
        <v>0</v>
      </c>
      <c r="F173" s="438">
        <f t="shared" si="2"/>
        <v>0</v>
      </c>
      <c r="G173" t="str">
        <f t="shared" si="3"/>
        <v/>
      </c>
      <c r="H173" t="b">
        <f t="shared" si="4"/>
        <v>0</v>
      </c>
      <c r="I173" s="439">
        <f>IF(OR(ISBLANK(A173),ISNA(MATCH(A173&amp;"",AthleteNumbers,0))),0,MATCH(A173&amp;"",AthleteNumbers,0))</f>
        <v>0</v>
      </c>
      <c r="J173" s="209">
        <f t="array" ref="J173">IF(I173&gt;0,INDEX(DB,$I173,6),0)</f>
        <v>0</v>
      </c>
      <c r="K173" s="446">
        <f t="shared" si="5"/>
        <v>0</v>
      </c>
      <c r="L173" s="440">
        <f t="shared" si="6"/>
        <v>0</v>
      </c>
      <c r="M173" s="441">
        <f>IF(AND(L173&gt;O173,O173&gt;0),MinPoints,IF(AND(L173&lt;N173,O173&gt;0),100,+INT((O173-$L173)/P173)+MinPoints))</f>
        <v>100</v>
      </c>
      <c r="N173" s="440">
        <f t="shared" si="7"/>
        <v>90</v>
      </c>
      <c r="O173" s="440">
        <f t="shared" si="8"/>
        <v>180</v>
      </c>
      <c r="P173" s="440">
        <f t="shared" si="9"/>
        <v>1</v>
      </c>
      <c r="Q173">
        <f t="array" ref="Q173">IF(I173&gt;0,INDEX(DB,I173,9),EventIndex)</f>
        <v>6</v>
      </c>
      <c r="S173">
        <f t="array" ref="S173">(INT(INDEX(MINVALUES,$Q173,$K$1))*60)+(MOD(INDEX(MINVALUES,$Q173,$K$1),1)*100)</f>
        <v>180</v>
      </c>
      <c r="T173">
        <f t="array" ref="T173">(INDEX(INCVALUES,$Q173,$K$1)*100)</f>
        <v>1</v>
      </c>
      <c r="V173">
        <f t="array" ref="V173">+J173+(4*(INDEX(MatchScoreTable,$Q173,20)-1))</f>
        <v>4</v>
      </c>
      <c r="W173">
        <f t="array" ref="W173">INDEX(INC_MINVALUES,$V173,$K$1)</f>
        <v>480</v>
      </c>
      <c r="X173" s="212">
        <f t="array" ref="X173">INDEX(INC_INCVALUES,$V173,$K$1)</f>
        <v>4</v>
      </c>
    </row>
    <row r="174" ht="15.75" customHeight="1">
      <c r="A174" s="435"/>
      <c r="B174" s="436"/>
      <c r="C174" s="95" t="str">
        <f t="array" ref="C174">IF(I174&gt;0,INDEX(DB,I174,8),"")</f>
        <v/>
      </c>
      <c r="D174" s="437">
        <f t="shared" si="1"/>
        <v>0</v>
      </c>
      <c r="F174" s="438">
        <f t="shared" si="2"/>
        <v>0</v>
      </c>
      <c r="G174" t="str">
        <f t="shared" si="3"/>
        <v/>
      </c>
      <c r="H174" t="b">
        <f t="shared" si="4"/>
        <v>0</v>
      </c>
      <c r="I174" s="439">
        <f>IF(OR(ISBLANK(A174),ISNA(MATCH(A174&amp;"",AthleteNumbers,0))),0,MATCH(A174&amp;"",AthleteNumbers,0))</f>
        <v>0</v>
      </c>
      <c r="J174" s="209">
        <f t="array" ref="J174">IF(I174&gt;0,INDEX(DB,$I174,6),0)</f>
        <v>0</v>
      </c>
      <c r="K174" s="446">
        <f t="shared" si="5"/>
        <v>0</v>
      </c>
      <c r="L174" s="440">
        <f t="shared" si="6"/>
        <v>0</v>
      </c>
      <c r="M174" s="441">
        <f>IF(AND(L174&gt;O174,O174&gt;0),MinPoints,IF(AND(L174&lt;N174,O174&gt;0),100,+INT((O174-$L174)/P174)+MinPoints))</f>
        <v>100</v>
      </c>
      <c r="N174" s="440">
        <f t="shared" si="7"/>
        <v>90</v>
      </c>
      <c r="O174" s="440">
        <f t="shared" si="8"/>
        <v>180</v>
      </c>
      <c r="P174" s="440">
        <f t="shared" si="9"/>
        <v>1</v>
      </c>
      <c r="Q174">
        <f t="array" ref="Q174">IF(I174&gt;0,INDEX(DB,I174,9),EventIndex)</f>
        <v>6</v>
      </c>
      <c r="S174">
        <f t="array" ref="S174">(INT(INDEX(MINVALUES,$Q174,$K$1))*60)+(MOD(INDEX(MINVALUES,$Q174,$K$1),1)*100)</f>
        <v>180</v>
      </c>
      <c r="T174">
        <f t="array" ref="T174">(INDEX(INCVALUES,$Q174,$K$1)*100)</f>
        <v>1</v>
      </c>
      <c r="V174">
        <f t="array" ref="V174">+J174+(4*(INDEX(MatchScoreTable,$Q174,20)-1))</f>
        <v>4</v>
      </c>
      <c r="W174">
        <f t="array" ref="W174">INDEX(INC_MINVALUES,$V174,$K$1)</f>
        <v>480</v>
      </c>
      <c r="X174" s="212">
        <f t="array" ref="X174">INDEX(INC_INCVALUES,$V174,$K$1)</f>
        <v>4</v>
      </c>
    </row>
    <row r="175" ht="15.75" customHeight="1">
      <c r="A175" s="435"/>
      <c r="B175" s="436"/>
      <c r="C175" s="95" t="str">
        <f t="array" ref="C175">IF(I175&gt;0,INDEX(DB,I175,8),"")</f>
        <v/>
      </c>
      <c r="D175" s="437">
        <f t="shared" si="1"/>
        <v>0</v>
      </c>
      <c r="F175" s="438">
        <f t="shared" si="2"/>
        <v>0</v>
      </c>
      <c r="G175" t="str">
        <f t="shared" si="3"/>
        <v/>
      </c>
      <c r="H175" t="b">
        <f t="shared" si="4"/>
        <v>0</v>
      </c>
      <c r="I175" s="439">
        <f>IF(OR(ISBLANK(A175),ISNA(MATCH(A175&amp;"",AthleteNumbers,0))),0,MATCH(A175&amp;"",AthleteNumbers,0))</f>
        <v>0</v>
      </c>
      <c r="J175" s="209">
        <f t="array" ref="J175">IF(I175&gt;0,INDEX(DB,$I175,6),0)</f>
        <v>0</v>
      </c>
      <c r="K175" s="446">
        <f t="shared" si="5"/>
        <v>0</v>
      </c>
      <c r="L175" s="440">
        <f t="shared" si="6"/>
        <v>0</v>
      </c>
      <c r="M175" s="441">
        <f>IF(AND(L175&gt;O175,O175&gt;0),MinPoints,IF(AND(L175&lt;N175,O175&gt;0),100,+INT((O175-$L175)/P175)+MinPoints))</f>
        <v>100</v>
      </c>
      <c r="N175" s="440">
        <f t="shared" si="7"/>
        <v>90</v>
      </c>
      <c r="O175" s="440">
        <f t="shared" si="8"/>
        <v>180</v>
      </c>
      <c r="P175" s="440">
        <f t="shared" si="9"/>
        <v>1</v>
      </c>
      <c r="Q175">
        <f t="array" ref="Q175">IF(I175&gt;0,INDEX(DB,I175,9),EventIndex)</f>
        <v>6</v>
      </c>
      <c r="S175">
        <f t="array" ref="S175">(INT(INDEX(MINVALUES,$Q175,$K$1))*60)+(MOD(INDEX(MINVALUES,$Q175,$K$1),1)*100)</f>
        <v>180</v>
      </c>
      <c r="T175">
        <f t="array" ref="T175">(INDEX(INCVALUES,$Q175,$K$1)*100)</f>
        <v>1</v>
      </c>
      <c r="V175">
        <f t="array" ref="V175">+J175+(4*(INDEX(MatchScoreTable,$Q175,20)-1))</f>
        <v>4</v>
      </c>
      <c r="W175">
        <f t="array" ref="W175">INDEX(INC_MINVALUES,$V175,$K$1)</f>
        <v>480</v>
      </c>
      <c r="X175" s="212">
        <f t="array" ref="X175">INDEX(INC_INCVALUES,$V175,$K$1)</f>
        <v>4</v>
      </c>
    </row>
    <row r="176" ht="15.75" customHeight="1">
      <c r="A176" s="435"/>
      <c r="B176" s="436"/>
      <c r="C176" s="95" t="str">
        <f t="array" ref="C176">IF(I176&gt;0,INDEX(DB,I176,8),"")</f>
        <v/>
      </c>
      <c r="D176" s="437">
        <f t="shared" si="1"/>
        <v>0</v>
      </c>
      <c r="F176" s="438">
        <f t="shared" si="2"/>
        <v>0</v>
      </c>
      <c r="G176" t="str">
        <f t="shared" si="3"/>
        <v/>
      </c>
      <c r="H176" t="b">
        <f t="shared" si="4"/>
        <v>0</v>
      </c>
      <c r="I176" s="439">
        <f>IF(OR(ISBLANK(A176),ISNA(MATCH(A176&amp;"",AthleteNumbers,0))),0,MATCH(A176&amp;"",AthleteNumbers,0))</f>
        <v>0</v>
      </c>
      <c r="J176" s="209">
        <f t="array" ref="J176">IF(I176&gt;0,INDEX(DB,$I176,6),0)</f>
        <v>0</v>
      </c>
      <c r="K176" s="446">
        <f t="shared" si="5"/>
        <v>0</v>
      </c>
      <c r="L176" s="440">
        <f t="shared" si="6"/>
        <v>0</v>
      </c>
      <c r="M176" s="441">
        <f>IF(AND(L176&gt;O176,O176&gt;0),MinPoints,IF(AND(L176&lt;N176,O176&gt;0),100,+INT((O176-$L176)/P176)+MinPoints))</f>
        <v>100</v>
      </c>
      <c r="N176" s="440">
        <f t="shared" si="7"/>
        <v>90</v>
      </c>
      <c r="O176" s="440">
        <f t="shared" si="8"/>
        <v>180</v>
      </c>
      <c r="P176" s="440">
        <f t="shared" si="9"/>
        <v>1</v>
      </c>
      <c r="Q176">
        <f t="array" ref="Q176">IF(I176&gt;0,INDEX(DB,I176,9),EventIndex)</f>
        <v>6</v>
      </c>
      <c r="S176">
        <f t="array" ref="S176">(INT(INDEX(MINVALUES,$Q176,$K$1))*60)+(MOD(INDEX(MINVALUES,$Q176,$K$1),1)*100)</f>
        <v>180</v>
      </c>
      <c r="T176">
        <f t="array" ref="T176">(INDEX(INCVALUES,$Q176,$K$1)*100)</f>
        <v>1</v>
      </c>
      <c r="V176">
        <f t="array" ref="V176">+J176+(4*(INDEX(MatchScoreTable,$Q176,20)-1))</f>
        <v>4</v>
      </c>
      <c r="W176">
        <f t="array" ref="W176">INDEX(INC_MINVALUES,$V176,$K$1)</f>
        <v>480</v>
      </c>
      <c r="X176" s="212">
        <f t="array" ref="X176">INDEX(INC_INCVALUES,$V176,$K$1)</f>
        <v>4</v>
      </c>
    </row>
    <row r="177" ht="15.75" customHeight="1">
      <c r="A177" s="435"/>
      <c r="B177" s="436"/>
      <c r="C177" s="95" t="str">
        <f t="array" ref="C177">IF(I177&gt;0,INDEX(DB,I177,8),"")</f>
        <v/>
      </c>
      <c r="D177" s="437">
        <f t="shared" si="1"/>
        <v>0</v>
      </c>
      <c r="F177" s="438">
        <f t="shared" si="2"/>
        <v>0</v>
      </c>
      <c r="G177" t="str">
        <f t="shared" si="3"/>
        <v/>
      </c>
      <c r="H177" t="b">
        <f t="shared" si="4"/>
        <v>0</v>
      </c>
      <c r="I177" s="439">
        <f>IF(OR(ISBLANK(A177),ISNA(MATCH(A177&amp;"",AthleteNumbers,0))),0,MATCH(A177&amp;"",AthleteNumbers,0))</f>
        <v>0</v>
      </c>
      <c r="J177" s="209">
        <f t="array" ref="J177">IF(I177&gt;0,INDEX(DB,$I177,6),0)</f>
        <v>0</v>
      </c>
      <c r="K177" s="446">
        <f t="shared" si="5"/>
        <v>0</v>
      </c>
      <c r="L177" s="440">
        <f t="shared" si="6"/>
        <v>0</v>
      </c>
      <c r="M177" s="441">
        <f>IF(AND(L177&gt;O177,O177&gt;0),MinPoints,IF(AND(L177&lt;N177,O177&gt;0),100,+INT((O177-$L177)/P177)+MinPoints))</f>
        <v>100</v>
      </c>
      <c r="N177" s="440">
        <f t="shared" si="7"/>
        <v>90</v>
      </c>
      <c r="O177" s="440">
        <f t="shared" si="8"/>
        <v>180</v>
      </c>
      <c r="P177" s="440">
        <f t="shared" si="9"/>
        <v>1</v>
      </c>
      <c r="Q177">
        <f t="array" ref="Q177">IF(I177&gt;0,INDEX(DB,I177,9),EventIndex)</f>
        <v>6</v>
      </c>
      <c r="S177">
        <f t="array" ref="S177">(INT(INDEX(MINVALUES,$Q177,$K$1))*60)+(MOD(INDEX(MINVALUES,$Q177,$K$1),1)*100)</f>
        <v>180</v>
      </c>
      <c r="T177">
        <f t="array" ref="T177">(INDEX(INCVALUES,$Q177,$K$1)*100)</f>
        <v>1</v>
      </c>
      <c r="V177">
        <f t="array" ref="V177">+J177+(4*(INDEX(MatchScoreTable,$Q177,20)-1))</f>
        <v>4</v>
      </c>
      <c r="W177">
        <f t="array" ref="W177">INDEX(INC_MINVALUES,$V177,$K$1)</f>
        <v>480</v>
      </c>
      <c r="X177" s="212">
        <f t="array" ref="X177">INDEX(INC_INCVALUES,$V177,$K$1)</f>
        <v>4</v>
      </c>
    </row>
    <row r="178" ht="15.75" customHeight="1">
      <c r="A178" s="435"/>
      <c r="B178" s="436"/>
      <c r="C178" s="95" t="str">
        <f t="array" ref="C178">IF(I178&gt;0,INDEX(DB,I178,8),"")</f>
        <v/>
      </c>
      <c r="D178" s="437">
        <f t="shared" si="1"/>
        <v>0</v>
      </c>
      <c r="F178" s="438">
        <f t="shared" si="2"/>
        <v>0</v>
      </c>
      <c r="G178" t="str">
        <f t="shared" si="3"/>
        <v/>
      </c>
      <c r="H178" t="b">
        <f t="shared" si="4"/>
        <v>0</v>
      </c>
      <c r="I178" s="439">
        <f>IF(OR(ISBLANK(A178),ISNA(MATCH(A178&amp;"",AthleteNumbers,0))),0,MATCH(A178&amp;"",AthleteNumbers,0))</f>
        <v>0</v>
      </c>
      <c r="J178" s="209">
        <f t="array" ref="J178">IF(I178&gt;0,INDEX(DB,$I178,6),0)</f>
        <v>0</v>
      </c>
      <c r="K178" s="446">
        <f t="shared" si="5"/>
        <v>0</v>
      </c>
      <c r="L178" s="440">
        <f t="shared" si="6"/>
        <v>0</v>
      </c>
      <c r="M178" s="441">
        <f>IF(AND(L178&gt;O178,O178&gt;0),MinPoints,IF(AND(L178&lt;N178,O178&gt;0),100,+INT((O178-$L178)/P178)+MinPoints))</f>
        <v>100</v>
      </c>
      <c r="N178" s="440">
        <f t="shared" si="7"/>
        <v>90</v>
      </c>
      <c r="O178" s="440">
        <f t="shared" si="8"/>
        <v>180</v>
      </c>
      <c r="P178" s="440">
        <f t="shared" si="9"/>
        <v>1</v>
      </c>
      <c r="Q178">
        <f t="array" ref="Q178">IF(I178&gt;0,INDEX(DB,I178,9),EventIndex)</f>
        <v>6</v>
      </c>
      <c r="S178">
        <f t="array" ref="S178">(INT(INDEX(MINVALUES,$Q178,$K$1))*60)+(MOD(INDEX(MINVALUES,$Q178,$K$1),1)*100)</f>
        <v>180</v>
      </c>
      <c r="T178">
        <f t="array" ref="T178">(INDEX(INCVALUES,$Q178,$K$1)*100)</f>
        <v>1</v>
      </c>
      <c r="V178">
        <f t="array" ref="V178">+J178+(4*(INDEX(MatchScoreTable,$Q178,20)-1))</f>
        <v>4</v>
      </c>
      <c r="W178">
        <f t="array" ref="W178">INDEX(INC_MINVALUES,$V178,$K$1)</f>
        <v>480</v>
      </c>
      <c r="X178" s="212">
        <f t="array" ref="X178">INDEX(INC_INCVALUES,$V178,$K$1)</f>
        <v>4</v>
      </c>
    </row>
    <row r="179" ht="15.75" customHeight="1">
      <c r="A179" s="435"/>
      <c r="B179" s="436"/>
      <c r="C179" s="95" t="str">
        <f t="array" ref="C179">IF(I179&gt;0,INDEX(DB,I179,8),"")</f>
        <v/>
      </c>
      <c r="D179" s="437">
        <f t="shared" si="1"/>
        <v>0</v>
      </c>
      <c r="F179" s="438">
        <f t="shared" si="2"/>
        <v>0</v>
      </c>
      <c r="G179" t="str">
        <f t="shared" si="3"/>
        <v/>
      </c>
      <c r="H179" t="b">
        <f t="shared" si="4"/>
        <v>0</v>
      </c>
      <c r="I179" s="439">
        <f>IF(OR(ISBLANK(A179),ISNA(MATCH(A179&amp;"",AthleteNumbers,0))),0,MATCH(A179&amp;"",AthleteNumbers,0))</f>
        <v>0</v>
      </c>
      <c r="J179" s="209">
        <f t="array" ref="J179">IF(I179&gt;0,INDEX(DB,$I179,6),0)</f>
        <v>0</v>
      </c>
      <c r="K179" s="446">
        <f t="shared" si="5"/>
        <v>0</v>
      </c>
      <c r="L179" s="440">
        <f t="shared" si="6"/>
        <v>0</v>
      </c>
      <c r="M179" s="441">
        <f>IF(AND(L179&gt;O179,O179&gt;0),MinPoints,IF(AND(L179&lt;N179,O179&gt;0),100,+INT((O179-$L179)/P179)+MinPoints))</f>
        <v>100</v>
      </c>
      <c r="N179" s="440">
        <f t="shared" si="7"/>
        <v>90</v>
      </c>
      <c r="O179" s="440">
        <f t="shared" si="8"/>
        <v>180</v>
      </c>
      <c r="P179" s="440">
        <f t="shared" si="9"/>
        <v>1</v>
      </c>
      <c r="Q179">
        <f t="array" ref="Q179">IF(I179&gt;0,INDEX(DB,I179,9),EventIndex)</f>
        <v>6</v>
      </c>
      <c r="S179">
        <f t="array" ref="S179">(INT(INDEX(MINVALUES,$Q179,$K$1))*60)+(MOD(INDEX(MINVALUES,$Q179,$K$1),1)*100)</f>
        <v>180</v>
      </c>
      <c r="T179">
        <f t="array" ref="T179">(INDEX(INCVALUES,$Q179,$K$1)*100)</f>
        <v>1</v>
      </c>
      <c r="V179">
        <f t="array" ref="V179">+J179+(4*(INDEX(MatchScoreTable,$Q179,20)-1))</f>
        <v>4</v>
      </c>
      <c r="W179">
        <f t="array" ref="W179">INDEX(INC_MINVALUES,$V179,$K$1)</f>
        <v>480</v>
      </c>
      <c r="X179" s="212">
        <f t="array" ref="X179">INDEX(INC_INCVALUES,$V179,$K$1)</f>
        <v>4</v>
      </c>
    </row>
    <row r="180" ht="15.75" customHeight="1">
      <c r="A180" s="435"/>
      <c r="B180" s="436"/>
      <c r="C180" s="95" t="str">
        <f t="array" ref="C180">IF(I180&gt;0,INDEX(DB,I180,8),"")</f>
        <v/>
      </c>
      <c r="D180" s="437">
        <f t="shared" si="1"/>
        <v>0</v>
      </c>
      <c r="F180" s="438">
        <f t="shared" si="2"/>
        <v>0</v>
      </c>
      <c r="G180" t="str">
        <f t="shared" si="3"/>
        <v/>
      </c>
      <c r="H180" t="b">
        <f t="shared" si="4"/>
        <v>0</v>
      </c>
      <c r="I180" s="439">
        <f>IF(OR(ISBLANK(A180),ISNA(MATCH(A180&amp;"",AthleteNumbers,0))),0,MATCH(A180&amp;"",AthleteNumbers,0))</f>
        <v>0</v>
      </c>
      <c r="J180" s="209">
        <f t="array" ref="J180">IF(I180&gt;0,INDEX(DB,$I180,6),0)</f>
        <v>0</v>
      </c>
      <c r="K180" s="446">
        <f t="shared" si="5"/>
        <v>0</v>
      </c>
      <c r="L180" s="440">
        <f t="shared" si="6"/>
        <v>0</v>
      </c>
      <c r="M180" s="441">
        <f>IF(AND(L180&gt;O180,O180&gt;0),MinPoints,IF(AND(L180&lt;N180,O180&gt;0),100,+INT((O180-$L180)/P180)+MinPoints))</f>
        <v>100</v>
      </c>
      <c r="N180" s="440">
        <f t="shared" si="7"/>
        <v>90</v>
      </c>
      <c r="O180" s="440">
        <f t="shared" si="8"/>
        <v>180</v>
      </c>
      <c r="P180" s="440">
        <f t="shared" si="9"/>
        <v>1</v>
      </c>
      <c r="Q180">
        <f t="array" ref="Q180">IF(I180&gt;0,INDEX(DB,I180,9),EventIndex)</f>
        <v>6</v>
      </c>
      <c r="S180">
        <f t="array" ref="S180">(INT(INDEX(MINVALUES,$Q180,$K$1))*60)+(MOD(INDEX(MINVALUES,$Q180,$K$1),1)*100)</f>
        <v>180</v>
      </c>
      <c r="T180">
        <f t="array" ref="T180">(INDEX(INCVALUES,$Q180,$K$1)*100)</f>
        <v>1</v>
      </c>
      <c r="V180">
        <f t="array" ref="V180">+J180+(4*(INDEX(MatchScoreTable,$Q180,20)-1))</f>
        <v>4</v>
      </c>
      <c r="W180">
        <f t="array" ref="W180">INDEX(INC_MINVALUES,$V180,$K$1)</f>
        <v>480</v>
      </c>
      <c r="X180" s="212">
        <f t="array" ref="X180">INDEX(INC_INCVALUES,$V180,$K$1)</f>
        <v>4</v>
      </c>
    </row>
    <row r="181" ht="15.75" customHeight="1">
      <c r="A181" s="435"/>
      <c r="B181" s="436"/>
      <c r="C181" s="95" t="str">
        <f t="array" ref="C181">IF(I181&gt;0,INDEX(DB,I181,8),"")</f>
        <v/>
      </c>
      <c r="D181" s="437">
        <f t="shared" si="1"/>
        <v>0</v>
      </c>
      <c r="F181" s="438">
        <f t="shared" si="2"/>
        <v>0</v>
      </c>
      <c r="G181" t="str">
        <f t="shared" si="3"/>
        <v/>
      </c>
      <c r="H181" t="b">
        <f t="shared" si="4"/>
        <v>0</v>
      </c>
      <c r="I181" s="439">
        <f>IF(OR(ISBLANK(A181),ISNA(MATCH(A181&amp;"",AthleteNumbers,0))),0,MATCH(A181&amp;"",AthleteNumbers,0))</f>
        <v>0</v>
      </c>
      <c r="J181" s="209">
        <f t="array" ref="J181">IF(I181&gt;0,INDEX(DB,$I181,6),0)</f>
        <v>0</v>
      </c>
      <c r="K181" s="446">
        <f t="shared" si="5"/>
        <v>0</v>
      </c>
      <c r="L181" s="440">
        <f t="shared" si="6"/>
        <v>0</v>
      </c>
      <c r="M181" s="441">
        <f>IF(AND(L181&gt;O181,O181&gt;0),MinPoints,IF(AND(L181&lt;N181,O181&gt;0),100,+INT((O181-$L181)/P181)+MinPoints))</f>
        <v>100</v>
      </c>
      <c r="N181" s="440">
        <f t="shared" si="7"/>
        <v>90</v>
      </c>
      <c r="O181" s="440">
        <f t="shared" si="8"/>
        <v>180</v>
      </c>
      <c r="P181" s="440">
        <f t="shared" si="9"/>
        <v>1</v>
      </c>
      <c r="Q181">
        <f t="array" ref="Q181">IF(I181&gt;0,INDEX(DB,I181,9),EventIndex)</f>
        <v>6</v>
      </c>
      <c r="S181">
        <f t="array" ref="S181">(INT(INDEX(MINVALUES,$Q181,$K$1))*60)+(MOD(INDEX(MINVALUES,$Q181,$K$1),1)*100)</f>
        <v>180</v>
      </c>
      <c r="T181">
        <f t="array" ref="T181">(INDEX(INCVALUES,$Q181,$K$1)*100)</f>
        <v>1</v>
      </c>
      <c r="V181">
        <f t="array" ref="V181">+J181+(4*(INDEX(MatchScoreTable,$Q181,20)-1))</f>
        <v>4</v>
      </c>
      <c r="W181">
        <f t="array" ref="W181">INDEX(INC_MINVALUES,$V181,$K$1)</f>
        <v>480</v>
      </c>
      <c r="X181" s="212">
        <f t="array" ref="X181">INDEX(INC_INCVALUES,$V181,$K$1)</f>
        <v>4</v>
      </c>
    </row>
    <row r="182" ht="15.75" customHeight="1">
      <c r="A182" s="435"/>
      <c r="B182" s="436"/>
      <c r="C182" s="95" t="str">
        <f t="array" ref="C182">IF(I182&gt;0,INDEX(DB,I182,8),"")</f>
        <v/>
      </c>
      <c r="D182" s="437">
        <f t="shared" si="1"/>
        <v>0</v>
      </c>
      <c r="F182" s="438">
        <f t="shared" si="2"/>
        <v>0</v>
      </c>
      <c r="G182" t="str">
        <f t="shared" si="3"/>
        <v/>
      </c>
      <c r="H182" t="b">
        <f t="shared" si="4"/>
        <v>0</v>
      </c>
      <c r="I182" s="439">
        <f>IF(OR(ISBLANK(A182),ISNA(MATCH(A182&amp;"",AthleteNumbers,0))),0,MATCH(A182&amp;"",AthleteNumbers,0))</f>
        <v>0</v>
      </c>
      <c r="J182" s="209">
        <f t="array" ref="J182">IF(I182&gt;0,INDEX(DB,$I182,6),0)</f>
        <v>0</v>
      </c>
      <c r="K182" s="446">
        <f t="shared" si="5"/>
        <v>0</v>
      </c>
      <c r="L182" s="440">
        <f t="shared" si="6"/>
        <v>0</v>
      </c>
      <c r="M182" s="441">
        <f>IF(AND(L182&gt;O182,O182&gt;0),MinPoints,IF(AND(L182&lt;N182,O182&gt;0),100,+INT((O182-$L182)/P182)+MinPoints))</f>
        <v>100</v>
      </c>
      <c r="N182" s="440">
        <f t="shared" si="7"/>
        <v>90</v>
      </c>
      <c r="O182" s="440">
        <f t="shared" si="8"/>
        <v>180</v>
      </c>
      <c r="P182" s="440">
        <f t="shared" si="9"/>
        <v>1</v>
      </c>
      <c r="Q182">
        <f t="array" ref="Q182">IF(I182&gt;0,INDEX(DB,I182,9),EventIndex)</f>
        <v>6</v>
      </c>
      <c r="S182">
        <f t="array" ref="S182">(INT(INDEX(MINVALUES,$Q182,$K$1))*60)+(MOD(INDEX(MINVALUES,$Q182,$K$1),1)*100)</f>
        <v>180</v>
      </c>
      <c r="T182">
        <f t="array" ref="T182">(INDEX(INCVALUES,$Q182,$K$1)*100)</f>
        <v>1</v>
      </c>
      <c r="V182">
        <f t="array" ref="V182">+J182+(4*(INDEX(MatchScoreTable,$Q182,20)-1))</f>
        <v>4</v>
      </c>
      <c r="W182">
        <f t="array" ref="W182">INDEX(INC_MINVALUES,$V182,$K$1)</f>
        <v>480</v>
      </c>
      <c r="X182" s="212">
        <f t="array" ref="X182">INDEX(INC_INCVALUES,$V182,$K$1)</f>
        <v>4</v>
      </c>
    </row>
    <row r="183" ht="15.75" customHeight="1">
      <c r="A183" s="435"/>
      <c r="B183" s="436"/>
      <c r="C183" s="95" t="str">
        <f t="array" ref="C183">IF(I183&gt;0,INDEX(DB,I183,8),"")</f>
        <v/>
      </c>
      <c r="D183" s="437">
        <f t="shared" si="1"/>
        <v>0</v>
      </c>
      <c r="F183" s="438">
        <f t="shared" si="2"/>
        <v>0</v>
      </c>
      <c r="G183" t="str">
        <f t="shared" si="3"/>
        <v/>
      </c>
      <c r="H183" t="b">
        <f t="shared" si="4"/>
        <v>0</v>
      </c>
      <c r="I183" s="439">
        <f>IF(OR(ISBLANK(A183),ISNA(MATCH(A183&amp;"",AthleteNumbers,0))),0,MATCH(A183&amp;"",AthleteNumbers,0))</f>
        <v>0</v>
      </c>
      <c r="J183" s="209">
        <f t="array" ref="J183">IF(I183&gt;0,INDEX(DB,$I183,6),0)</f>
        <v>0</v>
      </c>
      <c r="K183" s="446">
        <f t="shared" si="5"/>
        <v>0</v>
      </c>
      <c r="L183" s="440">
        <f t="shared" si="6"/>
        <v>0</v>
      </c>
      <c r="M183" s="441">
        <f>IF(AND(L183&gt;O183,O183&gt;0),MinPoints,IF(AND(L183&lt;N183,O183&gt;0),100,+INT((O183-$L183)/P183)+MinPoints))</f>
        <v>100</v>
      </c>
      <c r="N183" s="440">
        <f t="shared" si="7"/>
        <v>90</v>
      </c>
      <c r="O183" s="440">
        <f t="shared" si="8"/>
        <v>180</v>
      </c>
      <c r="P183" s="440">
        <f t="shared" si="9"/>
        <v>1</v>
      </c>
      <c r="Q183">
        <f t="array" ref="Q183">IF(I183&gt;0,INDEX(DB,I183,9),EventIndex)</f>
        <v>6</v>
      </c>
      <c r="S183">
        <f t="array" ref="S183">(INT(INDEX(MINVALUES,$Q183,$K$1))*60)+(MOD(INDEX(MINVALUES,$Q183,$K$1),1)*100)</f>
        <v>180</v>
      </c>
      <c r="T183">
        <f t="array" ref="T183">(INDEX(INCVALUES,$Q183,$K$1)*100)</f>
        <v>1</v>
      </c>
      <c r="V183">
        <f t="array" ref="V183">+J183+(4*(INDEX(MatchScoreTable,$Q183,20)-1))</f>
        <v>4</v>
      </c>
      <c r="W183">
        <f t="array" ref="W183">INDEX(INC_MINVALUES,$V183,$K$1)</f>
        <v>480</v>
      </c>
      <c r="X183" s="212">
        <f t="array" ref="X183">INDEX(INC_INCVALUES,$V183,$K$1)</f>
        <v>4</v>
      </c>
    </row>
    <row r="184" ht="15.75" customHeight="1">
      <c r="A184" s="435"/>
      <c r="B184" s="436"/>
      <c r="C184" s="95" t="str">
        <f t="array" ref="C184">IF(I184&gt;0,INDEX(DB,I184,8),"")</f>
        <v/>
      </c>
      <c r="D184" s="437">
        <f t="shared" si="1"/>
        <v>0</v>
      </c>
      <c r="F184" s="438">
        <f t="shared" si="2"/>
        <v>0</v>
      </c>
      <c r="G184" t="str">
        <f t="shared" si="3"/>
        <v/>
      </c>
      <c r="H184" t="b">
        <f t="shared" si="4"/>
        <v>0</v>
      </c>
      <c r="I184" s="439">
        <f>IF(OR(ISBLANK(A184),ISNA(MATCH(A184&amp;"",AthleteNumbers,0))),0,MATCH(A184&amp;"",AthleteNumbers,0))</f>
        <v>0</v>
      </c>
      <c r="J184" s="209">
        <f t="array" ref="J184">IF(I184&gt;0,INDEX(DB,$I184,6),0)</f>
        <v>0</v>
      </c>
      <c r="K184" s="446">
        <f t="shared" si="5"/>
        <v>0</v>
      </c>
      <c r="L184" s="440">
        <f t="shared" si="6"/>
        <v>0</v>
      </c>
      <c r="M184" s="441">
        <f>IF(AND(L184&gt;O184,O184&gt;0),MinPoints,IF(AND(L184&lt;N184,O184&gt;0),100,+INT((O184-$L184)/P184)+MinPoints))</f>
        <v>100</v>
      </c>
      <c r="N184" s="440">
        <f t="shared" si="7"/>
        <v>90</v>
      </c>
      <c r="O184" s="440">
        <f t="shared" si="8"/>
        <v>180</v>
      </c>
      <c r="P184" s="440">
        <f t="shared" si="9"/>
        <v>1</v>
      </c>
      <c r="Q184">
        <f t="array" ref="Q184">IF(I184&gt;0,INDEX(DB,I184,9),EventIndex)</f>
        <v>6</v>
      </c>
      <c r="S184">
        <f t="array" ref="S184">(INT(INDEX(MINVALUES,$Q184,$K$1))*60)+(MOD(INDEX(MINVALUES,$Q184,$K$1),1)*100)</f>
        <v>180</v>
      </c>
      <c r="T184">
        <f t="array" ref="T184">(INDEX(INCVALUES,$Q184,$K$1)*100)</f>
        <v>1</v>
      </c>
      <c r="V184">
        <f t="array" ref="V184">+J184+(4*(INDEX(MatchScoreTable,$Q184,20)-1))</f>
        <v>4</v>
      </c>
      <c r="W184">
        <f t="array" ref="W184">INDEX(INC_MINVALUES,$V184,$K$1)</f>
        <v>480</v>
      </c>
      <c r="X184" s="212">
        <f t="array" ref="X184">INDEX(INC_INCVALUES,$V184,$K$1)</f>
        <v>4</v>
      </c>
    </row>
    <row r="185" ht="15.75" customHeight="1">
      <c r="A185" s="435"/>
      <c r="B185" s="436"/>
      <c r="C185" s="95" t="str">
        <f t="array" ref="C185">IF(I185&gt;0,INDEX(DB,I185,8),"")</f>
        <v/>
      </c>
      <c r="D185" s="437">
        <f t="shared" si="1"/>
        <v>0</v>
      </c>
      <c r="F185" s="438">
        <f t="shared" si="2"/>
        <v>0</v>
      </c>
      <c r="G185" t="str">
        <f t="shared" si="3"/>
        <v/>
      </c>
      <c r="H185" t="b">
        <f t="shared" si="4"/>
        <v>0</v>
      </c>
      <c r="I185" s="439">
        <f>IF(OR(ISBLANK(A185),ISNA(MATCH(A185&amp;"",AthleteNumbers,0))),0,MATCH(A185&amp;"",AthleteNumbers,0))</f>
        <v>0</v>
      </c>
      <c r="J185" s="209">
        <f t="array" ref="J185">IF(I185&gt;0,INDEX(DB,$I185,6),0)</f>
        <v>0</v>
      </c>
      <c r="K185" s="446">
        <f t="shared" si="5"/>
        <v>0</v>
      </c>
      <c r="L185" s="440">
        <f t="shared" si="6"/>
        <v>0</v>
      </c>
      <c r="M185" s="441">
        <f>IF(AND(L185&gt;O185,O185&gt;0),MinPoints,IF(AND(L185&lt;N185,O185&gt;0),100,+INT((O185-$L185)/P185)+MinPoints))</f>
        <v>100</v>
      </c>
      <c r="N185" s="440">
        <f t="shared" si="7"/>
        <v>90</v>
      </c>
      <c r="O185" s="440">
        <f t="shared" si="8"/>
        <v>180</v>
      </c>
      <c r="P185" s="440">
        <f t="shared" si="9"/>
        <v>1</v>
      </c>
      <c r="Q185">
        <f t="array" ref="Q185">IF(I185&gt;0,INDEX(DB,I185,9),EventIndex)</f>
        <v>6</v>
      </c>
      <c r="S185">
        <f t="array" ref="S185">(INT(INDEX(MINVALUES,$Q185,$K$1))*60)+(MOD(INDEX(MINVALUES,$Q185,$K$1),1)*100)</f>
        <v>180</v>
      </c>
      <c r="T185">
        <f t="array" ref="T185">(INDEX(INCVALUES,$Q185,$K$1)*100)</f>
        <v>1</v>
      </c>
      <c r="V185">
        <f t="array" ref="V185">+J185+(4*(INDEX(MatchScoreTable,$Q185,20)-1))</f>
        <v>4</v>
      </c>
      <c r="W185">
        <f t="array" ref="W185">INDEX(INC_MINVALUES,$V185,$K$1)</f>
        <v>480</v>
      </c>
      <c r="X185" s="212">
        <f t="array" ref="X185">INDEX(INC_INCVALUES,$V185,$K$1)</f>
        <v>4</v>
      </c>
    </row>
    <row r="186" ht="15.75" customHeight="1">
      <c r="A186" s="435"/>
      <c r="B186" s="436"/>
      <c r="C186" s="95" t="str">
        <f t="array" ref="C186">IF(I186&gt;0,INDEX(DB,I186,8),"")</f>
        <v/>
      </c>
      <c r="D186" s="437">
        <f t="shared" si="1"/>
        <v>0</v>
      </c>
      <c r="F186" s="438">
        <f t="shared" si="2"/>
        <v>0</v>
      </c>
      <c r="G186" t="str">
        <f t="shared" si="3"/>
        <v/>
      </c>
      <c r="H186" t="b">
        <f t="shared" si="4"/>
        <v>0</v>
      </c>
      <c r="I186" s="439">
        <f>IF(OR(ISBLANK(A186),ISNA(MATCH(A186&amp;"",AthleteNumbers,0))),0,MATCH(A186&amp;"",AthleteNumbers,0))</f>
        <v>0</v>
      </c>
      <c r="J186" s="209">
        <f t="array" ref="J186">IF(I186&gt;0,INDEX(DB,$I186,6),0)</f>
        <v>0</v>
      </c>
      <c r="K186" s="446">
        <f t="shared" si="5"/>
        <v>0</v>
      </c>
      <c r="L186" s="440">
        <f t="shared" si="6"/>
        <v>0</v>
      </c>
      <c r="M186" s="441">
        <f>IF(AND(L186&gt;O186,O186&gt;0),MinPoints,IF(AND(L186&lt;N186,O186&gt;0),100,+INT((O186-$L186)/P186)+MinPoints))</f>
        <v>100</v>
      </c>
      <c r="N186" s="440">
        <f t="shared" si="7"/>
        <v>90</v>
      </c>
      <c r="O186" s="440">
        <f t="shared" si="8"/>
        <v>180</v>
      </c>
      <c r="P186" s="440">
        <f t="shared" si="9"/>
        <v>1</v>
      </c>
      <c r="Q186">
        <f t="array" ref="Q186">IF(I186&gt;0,INDEX(DB,I186,9),EventIndex)</f>
        <v>6</v>
      </c>
      <c r="S186">
        <f t="array" ref="S186">(INT(INDEX(MINVALUES,$Q186,$K$1))*60)+(MOD(INDEX(MINVALUES,$Q186,$K$1),1)*100)</f>
        <v>180</v>
      </c>
      <c r="T186">
        <f t="array" ref="T186">(INDEX(INCVALUES,$Q186,$K$1)*100)</f>
        <v>1</v>
      </c>
      <c r="V186">
        <f t="array" ref="V186">+J186+(4*(INDEX(MatchScoreTable,$Q186,20)-1))</f>
        <v>4</v>
      </c>
      <c r="W186">
        <f t="array" ref="W186">INDEX(INC_MINVALUES,$V186,$K$1)</f>
        <v>480</v>
      </c>
      <c r="X186" s="212">
        <f t="array" ref="X186">INDEX(INC_INCVALUES,$V186,$K$1)</f>
        <v>4</v>
      </c>
    </row>
    <row r="187" ht="15.75" customHeight="1">
      <c r="A187" s="435"/>
      <c r="B187" s="436"/>
      <c r="C187" s="95" t="str">
        <f t="array" ref="C187">IF(I187&gt;0,INDEX(DB,I187,8),"")</f>
        <v/>
      </c>
      <c r="D187" s="437">
        <f t="shared" si="1"/>
        <v>0</v>
      </c>
      <c r="F187" s="438">
        <f t="shared" si="2"/>
        <v>0</v>
      </c>
      <c r="G187" t="str">
        <f t="shared" si="3"/>
        <v/>
      </c>
      <c r="H187" t="b">
        <f t="shared" si="4"/>
        <v>0</v>
      </c>
      <c r="I187" s="439">
        <f>IF(OR(ISBLANK(A187),ISNA(MATCH(A187&amp;"",AthleteNumbers,0))),0,MATCH(A187&amp;"",AthleteNumbers,0))</f>
        <v>0</v>
      </c>
      <c r="J187" s="209">
        <f t="array" ref="J187">IF(I187&gt;0,INDEX(DB,$I187,6),0)</f>
        <v>0</v>
      </c>
      <c r="K187" s="446">
        <f t="shared" si="5"/>
        <v>0</v>
      </c>
      <c r="L187" s="440">
        <f t="shared" si="6"/>
        <v>0</v>
      </c>
      <c r="M187" s="441">
        <f>IF(AND(L187&gt;O187,O187&gt;0),MinPoints,IF(AND(L187&lt;N187,O187&gt;0),100,+INT((O187-$L187)/P187)+MinPoints))</f>
        <v>100</v>
      </c>
      <c r="N187" s="440">
        <f t="shared" si="7"/>
        <v>90</v>
      </c>
      <c r="O187" s="440">
        <f t="shared" si="8"/>
        <v>180</v>
      </c>
      <c r="P187" s="440">
        <f t="shared" si="9"/>
        <v>1</v>
      </c>
      <c r="Q187">
        <f t="array" ref="Q187">IF(I187&gt;0,INDEX(DB,I187,9),EventIndex)</f>
        <v>6</v>
      </c>
      <c r="S187">
        <f t="array" ref="S187">(INT(INDEX(MINVALUES,$Q187,$K$1))*60)+(MOD(INDEX(MINVALUES,$Q187,$K$1),1)*100)</f>
        <v>180</v>
      </c>
      <c r="T187">
        <f t="array" ref="T187">(INDEX(INCVALUES,$Q187,$K$1)*100)</f>
        <v>1</v>
      </c>
      <c r="V187">
        <f t="array" ref="V187">+J187+(4*(INDEX(MatchScoreTable,$Q187,20)-1))</f>
        <v>4</v>
      </c>
      <c r="W187">
        <f t="array" ref="W187">INDEX(INC_MINVALUES,$V187,$K$1)</f>
        <v>480</v>
      </c>
      <c r="X187" s="212">
        <f t="array" ref="X187">INDEX(INC_INCVALUES,$V187,$K$1)</f>
        <v>4</v>
      </c>
    </row>
    <row r="188" ht="15.75" customHeight="1">
      <c r="A188" s="435"/>
      <c r="B188" s="436"/>
      <c r="C188" s="95" t="str">
        <f t="array" ref="C188">IF(I188&gt;0,INDEX(DB,I188,8),"")</f>
        <v/>
      </c>
      <c r="D188" s="437">
        <f t="shared" si="1"/>
        <v>0</v>
      </c>
      <c r="F188" s="438">
        <f t="shared" si="2"/>
        <v>0</v>
      </c>
      <c r="G188" t="str">
        <f t="shared" si="3"/>
        <v/>
      </c>
      <c r="H188" t="b">
        <f t="shared" si="4"/>
        <v>0</v>
      </c>
      <c r="I188" s="439">
        <f>IF(OR(ISBLANK(A188),ISNA(MATCH(A188&amp;"",AthleteNumbers,0))),0,MATCH(A188&amp;"",AthleteNumbers,0))</f>
        <v>0</v>
      </c>
      <c r="J188" s="209">
        <f t="array" ref="J188">IF(I188&gt;0,INDEX(DB,$I188,6),0)</f>
        <v>0</v>
      </c>
      <c r="K188" s="446">
        <f t="shared" si="5"/>
        <v>0</v>
      </c>
      <c r="L188" s="440">
        <f t="shared" si="6"/>
        <v>0</v>
      </c>
      <c r="M188" s="441">
        <f>IF(AND(L188&gt;O188,O188&gt;0),MinPoints,IF(AND(L188&lt;N188,O188&gt;0),100,+INT((O188-$L188)/P188)+MinPoints))</f>
        <v>100</v>
      </c>
      <c r="N188" s="440">
        <f t="shared" si="7"/>
        <v>90</v>
      </c>
      <c r="O188" s="440">
        <f t="shared" si="8"/>
        <v>180</v>
      </c>
      <c r="P188" s="440">
        <f t="shared" si="9"/>
        <v>1</v>
      </c>
      <c r="Q188">
        <f t="array" ref="Q188">IF(I188&gt;0,INDEX(DB,I188,9),EventIndex)</f>
        <v>6</v>
      </c>
      <c r="S188">
        <f t="array" ref="S188">(INT(INDEX(MINVALUES,$Q188,$K$1))*60)+(MOD(INDEX(MINVALUES,$Q188,$K$1),1)*100)</f>
        <v>180</v>
      </c>
      <c r="T188">
        <f t="array" ref="T188">(INDEX(INCVALUES,$Q188,$K$1)*100)</f>
        <v>1</v>
      </c>
      <c r="V188">
        <f t="array" ref="V188">+J188+(4*(INDEX(MatchScoreTable,$Q188,20)-1))</f>
        <v>4</v>
      </c>
      <c r="W188">
        <f t="array" ref="W188">INDEX(INC_MINVALUES,$V188,$K$1)</f>
        <v>480</v>
      </c>
      <c r="X188" s="212">
        <f t="array" ref="X188">INDEX(INC_INCVALUES,$V188,$K$1)</f>
        <v>4</v>
      </c>
    </row>
    <row r="189" ht="15.75" customHeight="1">
      <c r="A189" s="435"/>
      <c r="B189" s="436"/>
      <c r="C189" s="95" t="str">
        <f t="array" ref="C189">IF(I189&gt;0,INDEX(DB,I189,8),"")</f>
        <v/>
      </c>
      <c r="D189" s="437">
        <f t="shared" si="1"/>
        <v>0</v>
      </c>
      <c r="F189" s="438">
        <f t="shared" si="2"/>
        <v>0</v>
      </c>
      <c r="G189" t="str">
        <f t="shared" si="3"/>
        <v/>
      </c>
      <c r="H189" t="b">
        <f t="shared" si="4"/>
        <v>0</v>
      </c>
      <c r="I189" s="439">
        <f>IF(OR(ISBLANK(A189),ISNA(MATCH(A189&amp;"",AthleteNumbers,0))),0,MATCH(A189&amp;"",AthleteNumbers,0))</f>
        <v>0</v>
      </c>
      <c r="J189" s="209">
        <f t="array" ref="J189">IF(I189&gt;0,INDEX(DB,$I189,6),0)</f>
        <v>0</v>
      </c>
      <c r="K189" s="446">
        <f t="shared" si="5"/>
        <v>0</v>
      </c>
      <c r="L189" s="440">
        <f t="shared" si="6"/>
        <v>0</v>
      </c>
      <c r="M189" s="441">
        <f>IF(AND(L189&gt;O189,O189&gt;0),MinPoints,IF(AND(L189&lt;N189,O189&gt;0),100,+INT((O189-$L189)/P189)+MinPoints))</f>
        <v>100</v>
      </c>
      <c r="N189" s="440">
        <f t="shared" si="7"/>
        <v>90</v>
      </c>
      <c r="O189" s="440">
        <f t="shared" si="8"/>
        <v>180</v>
      </c>
      <c r="P189" s="440">
        <f t="shared" si="9"/>
        <v>1</v>
      </c>
      <c r="Q189">
        <f t="array" ref="Q189">IF(I189&gt;0,INDEX(DB,I189,9),EventIndex)</f>
        <v>6</v>
      </c>
      <c r="S189">
        <f t="array" ref="S189">(INT(INDEX(MINVALUES,$Q189,$K$1))*60)+(MOD(INDEX(MINVALUES,$Q189,$K$1),1)*100)</f>
        <v>180</v>
      </c>
      <c r="T189">
        <f t="array" ref="T189">(INDEX(INCVALUES,$Q189,$K$1)*100)</f>
        <v>1</v>
      </c>
      <c r="V189">
        <f t="array" ref="V189">+J189+(4*(INDEX(MatchScoreTable,$Q189,20)-1))</f>
        <v>4</v>
      </c>
      <c r="W189">
        <f t="array" ref="W189">INDEX(INC_MINVALUES,$V189,$K$1)</f>
        <v>480</v>
      </c>
      <c r="X189" s="212">
        <f t="array" ref="X189">INDEX(INC_INCVALUES,$V189,$K$1)</f>
        <v>4</v>
      </c>
    </row>
    <row r="190" ht="15.75" customHeight="1">
      <c r="A190" s="435"/>
      <c r="B190" s="436"/>
      <c r="C190" s="95" t="str">
        <f t="array" ref="C190">IF(I190&gt;0,INDEX(DB,I190,8),"")</f>
        <v/>
      </c>
      <c r="D190" s="437">
        <f t="shared" si="1"/>
        <v>0</v>
      </c>
      <c r="F190" s="438">
        <f t="shared" si="2"/>
        <v>0</v>
      </c>
      <c r="G190" t="str">
        <f t="shared" si="3"/>
        <v/>
      </c>
      <c r="H190" t="b">
        <f t="shared" si="4"/>
        <v>0</v>
      </c>
      <c r="I190" s="439">
        <f>IF(OR(ISBLANK(A190),ISNA(MATCH(A190&amp;"",AthleteNumbers,0))),0,MATCH(A190&amp;"",AthleteNumbers,0))</f>
        <v>0</v>
      </c>
      <c r="J190" s="209">
        <f t="array" ref="J190">IF(I190&gt;0,INDEX(DB,$I190,6),0)</f>
        <v>0</v>
      </c>
      <c r="K190" s="446">
        <f t="shared" si="5"/>
        <v>0</v>
      </c>
      <c r="L190" s="440">
        <f t="shared" si="6"/>
        <v>0</v>
      </c>
      <c r="M190" s="441">
        <f>IF(AND(L190&gt;O190,O190&gt;0),MinPoints,IF(AND(L190&lt;N190,O190&gt;0),100,+INT((O190-$L190)/P190)+MinPoints))</f>
        <v>100</v>
      </c>
      <c r="N190" s="440">
        <f t="shared" si="7"/>
        <v>90</v>
      </c>
      <c r="O190" s="440">
        <f t="shared" si="8"/>
        <v>180</v>
      </c>
      <c r="P190" s="440">
        <f t="shared" si="9"/>
        <v>1</v>
      </c>
      <c r="Q190">
        <f t="array" ref="Q190">IF(I190&gt;0,INDEX(DB,I190,9),EventIndex)</f>
        <v>6</v>
      </c>
      <c r="S190">
        <f t="array" ref="S190">(INT(INDEX(MINVALUES,$Q190,$K$1))*60)+(MOD(INDEX(MINVALUES,$Q190,$K$1),1)*100)</f>
        <v>180</v>
      </c>
      <c r="T190">
        <f t="array" ref="T190">(INDEX(INCVALUES,$Q190,$K$1)*100)</f>
        <v>1</v>
      </c>
      <c r="V190">
        <f t="array" ref="V190">+J190+(4*(INDEX(MatchScoreTable,$Q190,20)-1))</f>
        <v>4</v>
      </c>
      <c r="W190">
        <f t="array" ref="W190">INDEX(INC_MINVALUES,$V190,$K$1)</f>
        <v>480</v>
      </c>
      <c r="X190" s="212">
        <f t="array" ref="X190">INDEX(INC_INCVALUES,$V190,$K$1)</f>
        <v>4</v>
      </c>
    </row>
    <row r="191" ht="15.75" customHeight="1">
      <c r="A191" s="435"/>
      <c r="B191" s="436"/>
      <c r="C191" s="95" t="str">
        <f t="array" ref="C191">IF(I191&gt;0,INDEX(DB,I191,8),"")</f>
        <v/>
      </c>
      <c r="D191" s="437">
        <f t="shared" si="1"/>
        <v>0</v>
      </c>
      <c r="F191" s="438">
        <f t="shared" si="2"/>
        <v>0</v>
      </c>
      <c r="G191" t="str">
        <f t="shared" si="3"/>
        <v/>
      </c>
      <c r="H191" t="b">
        <f t="shared" si="4"/>
        <v>0</v>
      </c>
      <c r="I191" s="439">
        <f>IF(OR(ISBLANK(A191),ISNA(MATCH(A191&amp;"",AthleteNumbers,0))),0,MATCH(A191&amp;"",AthleteNumbers,0))</f>
        <v>0</v>
      </c>
      <c r="J191" s="209">
        <f t="array" ref="J191">IF(I191&gt;0,INDEX(DB,$I191,6),0)</f>
        <v>0</v>
      </c>
      <c r="K191" s="446">
        <f t="shared" si="5"/>
        <v>0</v>
      </c>
      <c r="L191" s="440">
        <f t="shared" si="6"/>
        <v>0</v>
      </c>
      <c r="M191" s="441">
        <f>IF(AND(L191&gt;O191,O191&gt;0),MinPoints,IF(AND(L191&lt;N191,O191&gt;0),100,+INT((O191-$L191)/P191)+MinPoints))</f>
        <v>100</v>
      </c>
      <c r="N191" s="440">
        <f t="shared" si="7"/>
        <v>90</v>
      </c>
      <c r="O191" s="440">
        <f t="shared" si="8"/>
        <v>180</v>
      </c>
      <c r="P191" s="440">
        <f t="shared" si="9"/>
        <v>1</v>
      </c>
      <c r="Q191">
        <f t="array" ref="Q191">IF(I191&gt;0,INDEX(DB,I191,9),EventIndex)</f>
        <v>6</v>
      </c>
      <c r="S191">
        <f t="array" ref="S191">(INT(INDEX(MINVALUES,$Q191,$K$1))*60)+(MOD(INDEX(MINVALUES,$Q191,$K$1),1)*100)</f>
        <v>180</v>
      </c>
      <c r="T191">
        <f t="array" ref="T191">(INDEX(INCVALUES,$Q191,$K$1)*100)</f>
        <v>1</v>
      </c>
      <c r="V191">
        <f t="array" ref="V191">+J191+(4*(INDEX(MatchScoreTable,$Q191,20)-1))</f>
        <v>4</v>
      </c>
      <c r="W191">
        <f t="array" ref="W191">INDEX(INC_MINVALUES,$V191,$K$1)</f>
        <v>480</v>
      </c>
      <c r="X191" s="212">
        <f t="array" ref="X191">INDEX(INC_INCVALUES,$V191,$K$1)</f>
        <v>4</v>
      </c>
    </row>
    <row r="192" ht="15.75" customHeight="1">
      <c r="A192" s="435"/>
      <c r="B192" s="436"/>
      <c r="C192" s="95" t="str">
        <f t="array" ref="C192">IF(I192&gt;0,INDEX(DB,I192,8),"")</f>
        <v/>
      </c>
      <c r="D192" s="437">
        <f t="shared" si="1"/>
        <v>0</v>
      </c>
      <c r="F192" s="438">
        <f t="shared" si="2"/>
        <v>0</v>
      </c>
      <c r="G192" t="str">
        <f t="shared" si="3"/>
        <v/>
      </c>
      <c r="H192" t="b">
        <f t="shared" si="4"/>
        <v>0</v>
      </c>
      <c r="I192" s="439">
        <f>IF(OR(ISBLANK(A192),ISNA(MATCH(A192&amp;"",AthleteNumbers,0))),0,MATCH(A192&amp;"",AthleteNumbers,0))</f>
        <v>0</v>
      </c>
      <c r="J192" s="209">
        <f t="array" ref="J192">IF(I192&gt;0,INDEX(DB,$I192,6),0)</f>
        <v>0</v>
      </c>
      <c r="K192" s="446">
        <f t="shared" si="5"/>
        <v>0</v>
      </c>
      <c r="L192" s="440">
        <f t="shared" si="6"/>
        <v>0</v>
      </c>
      <c r="M192" s="441">
        <f>IF(AND(L192&gt;O192,O192&gt;0),MinPoints,IF(AND(L192&lt;N192,O192&gt;0),100,+INT((O192-$L192)/P192)+MinPoints))</f>
        <v>100</v>
      </c>
      <c r="N192" s="440">
        <f t="shared" si="7"/>
        <v>90</v>
      </c>
      <c r="O192" s="440">
        <f t="shared" si="8"/>
        <v>180</v>
      </c>
      <c r="P192" s="440">
        <f t="shared" si="9"/>
        <v>1</v>
      </c>
      <c r="Q192">
        <f t="array" ref="Q192">IF(I192&gt;0,INDEX(DB,I192,9),EventIndex)</f>
        <v>6</v>
      </c>
      <c r="S192">
        <f t="array" ref="S192">(INT(INDEX(MINVALUES,$Q192,$K$1))*60)+(MOD(INDEX(MINVALUES,$Q192,$K$1),1)*100)</f>
        <v>180</v>
      </c>
      <c r="T192">
        <f t="array" ref="T192">(INDEX(INCVALUES,$Q192,$K$1)*100)</f>
        <v>1</v>
      </c>
      <c r="V192">
        <f t="array" ref="V192">+J192+(4*(INDEX(MatchScoreTable,$Q192,20)-1))</f>
        <v>4</v>
      </c>
      <c r="W192">
        <f t="array" ref="W192">INDEX(INC_MINVALUES,$V192,$K$1)</f>
        <v>480</v>
      </c>
      <c r="X192" s="212">
        <f t="array" ref="X192">INDEX(INC_INCVALUES,$V192,$K$1)</f>
        <v>4</v>
      </c>
    </row>
    <row r="193" ht="15.75" customHeight="1">
      <c r="A193" s="435"/>
      <c r="B193" s="436"/>
      <c r="C193" s="95" t="str">
        <f t="array" ref="C193">IF(I193&gt;0,INDEX(DB,I193,8),"")</f>
        <v/>
      </c>
      <c r="D193" s="437">
        <f t="shared" si="1"/>
        <v>0</v>
      </c>
      <c r="F193" s="438">
        <f t="shared" si="2"/>
        <v>0</v>
      </c>
      <c r="G193" t="str">
        <f t="shared" si="3"/>
        <v/>
      </c>
      <c r="H193" t="b">
        <f t="shared" si="4"/>
        <v>0</v>
      </c>
      <c r="I193" s="439">
        <f>IF(OR(ISBLANK(A193),ISNA(MATCH(A193&amp;"",AthleteNumbers,0))),0,MATCH(A193&amp;"",AthleteNumbers,0))</f>
        <v>0</v>
      </c>
      <c r="J193" s="209">
        <f t="array" ref="J193">IF(I193&gt;0,INDEX(DB,$I193,6),0)</f>
        <v>0</v>
      </c>
      <c r="K193" s="446">
        <f t="shared" si="5"/>
        <v>0</v>
      </c>
      <c r="L193" s="440">
        <f t="shared" si="6"/>
        <v>0</v>
      </c>
      <c r="M193" s="441">
        <f>IF(AND(L193&gt;O193,O193&gt;0),MinPoints,IF(AND(L193&lt;N193,O193&gt;0),100,+INT((O193-$L193)/P193)+MinPoints))</f>
        <v>100</v>
      </c>
      <c r="N193" s="440">
        <f t="shared" si="7"/>
        <v>90</v>
      </c>
      <c r="O193" s="440">
        <f t="shared" si="8"/>
        <v>180</v>
      </c>
      <c r="P193" s="440">
        <f t="shared" si="9"/>
        <v>1</v>
      </c>
      <c r="Q193">
        <f t="array" ref="Q193">IF(I193&gt;0,INDEX(DB,I193,9),EventIndex)</f>
        <v>6</v>
      </c>
      <c r="S193">
        <f t="array" ref="S193">(INT(INDEX(MINVALUES,$Q193,$K$1))*60)+(MOD(INDEX(MINVALUES,$Q193,$K$1),1)*100)</f>
        <v>180</v>
      </c>
      <c r="T193">
        <f t="array" ref="T193">(INDEX(INCVALUES,$Q193,$K$1)*100)</f>
        <v>1</v>
      </c>
      <c r="V193">
        <f t="array" ref="V193">+J193+(4*(INDEX(MatchScoreTable,$Q193,20)-1))</f>
        <v>4</v>
      </c>
      <c r="W193">
        <f t="array" ref="W193">INDEX(INC_MINVALUES,$V193,$K$1)</f>
        <v>480</v>
      </c>
      <c r="X193" s="212">
        <f t="array" ref="X193">INDEX(INC_INCVALUES,$V193,$K$1)</f>
        <v>4</v>
      </c>
    </row>
    <row r="194" ht="15.75" customHeight="1">
      <c r="A194" s="435"/>
      <c r="B194" s="436"/>
      <c r="C194" s="95" t="str">
        <f t="array" ref="C194">IF(I194&gt;0,INDEX(DB,I194,8),"")</f>
        <v/>
      </c>
      <c r="D194" s="437">
        <f t="shared" si="1"/>
        <v>0</v>
      </c>
      <c r="F194" s="438">
        <f t="shared" si="2"/>
        <v>0</v>
      </c>
      <c r="G194" t="str">
        <f t="shared" si="3"/>
        <v/>
      </c>
      <c r="H194" t="b">
        <f t="shared" si="4"/>
        <v>0</v>
      </c>
      <c r="I194" s="439">
        <f>IF(OR(ISBLANK(A194),ISNA(MATCH(A194&amp;"",AthleteNumbers,0))),0,MATCH(A194&amp;"",AthleteNumbers,0))</f>
        <v>0</v>
      </c>
      <c r="J194" s="209">
        <f t="array" ref="J194">IF(I194&gt;0,INDEX(DB,$I194,6),0)</f>
        <v>0</v>
      </c>
      <c r="K194" s="446">
        <f t="shared" si="5"/>
        <v>0</v>
      </c>
      <c r="L194" s="440">
        <f t="shared" si="6"/>
        <v>0</v>
      </c>
      <c r="M194" s="441">
        <f>IF(AND(L194&gt;O194,O194&gt;0),MinPoints,IF(AND(L194&lt;N194,O194&gt;0),100,+INT((O194-$L194)/P194)+MinPoints))</f>
        <v>100</v>
      </c>
      <c r="N194" s="440">
        <f t="shared" si="7"/>
        <v>90</v>
      </c>
      <c r="O194" s="440">
        <f t="shared" si="8"/>
        <v>180</v>
      </c>
      <c r="P194" s="440">
        <f t="shared" si="9"/>
        <v>1</v>
      </c>
      <c r="Q194">
        <f t="array" ref="Q194">IF(I194&gt;0,INDEX(DB,I194,9),EventIndex)</f>
        <v>6</v>
      </c>
      <c r="S194">
        <f t="array" ref="S194">(INT(INDEX(MINVALUES,$Q194,$K$1))*60)+(MOD(INDEX(MINVALUES,$Q194,$K$1),1)*100)</f>
        <v>180</v>
      </c>
      <c r="T194">
        <f t="array" ref="T194">(INDEX(INCVALUES,$Q194,$K$1)*100)</f>
        <v>1</v>
      </c>
      <c r="V194">
        <f t="array" ref="V194">+J194+(4*(INDEX(MatchScoreTable,$Q194,20)-1))</f>
        <v>4</v>
      </c>
      <c r="W194">
        <f t="array" ref="W194">INDEX(INC_MINVALUES,$V194,$K$1)</f>
        <v>480</v>
      </c>
      <c r="X194" s="212">
        <f t="array" ref="X194">INDEX(INC_INCVALUES,$V194,$K$1)</f>
        <v>4</v>
      </c>
    </row>
    <row r="195" ht="15.75" customHeight="1">
      <c r="A195" s="435"/>
      <c r="B195" s="436"/>
      <c r="C195" s="95" t="str">
        <f t="array" ref="C195">IF(I195&gt;0,INDEX(DB,I195,8),"")</f>
        <v/>
      </c>
      <c r="D195" s="437">
        <f t="shared" si="1"/>
        <v>0</v>
      </c>
      <c r="F195" s="438">
        <f t="shared" si="2"/>
        <v>0</v>
      </c>
      <c r="G195" t="str">
        <f t="shared" si="3"/>
        <v/>
      </c>
      <c r="H195" t="b">
        <f t="shared" si="4"/>
        <v>0</v>
      </c>
      <c r="I195" s="439">
        <f>IF(OR(ISBLANK(A195),ISNA(MATCH(A195&amp;"",AthleteNumbers,0))),0,MATCH(A195&amp;"",AthleteNumbers,0))</f>
        <v>0</v>
      </c>
      <c r="J195" s="209">
        <f t="array" ref="J195">IF(I195&gt;0,INDEX(DB,$I195,6),0)</f>
        <v>0</v>
      </c>
      <c r="K195" s="446">
        <f t="shared" si="5"/>
        <v>0</v>
      </c>
      <c r="L195" s="440">
        <f t="shared" si="6"/>
        <v>0</v>
      </c>
      <c r="M195" s="441">
        <f>IF(AND(L195&gt;O195,O195&gt;0),MinPoints,IF(AND(L195&lt;N195,O195&gt;0),100,+INT((O195-$L195)/P195)+MinPoints))</f>
        <v>100</v>
      </c>
      <c r="N195" s="440">
        <f t="shared" si="7"/>
        <v>90</v>
      </c>
      <c r="O195" s="440">
        <f t="shared" si="8"/>
        <v>180</v>
      </c>
      <c r="P195" s="440">
        <f t="shared" si="9"/>
        <v>1</v>
      </c>
      <c r="Q195">
        <f t="array" ref="Q195">IF(I195&gt;0,INDEX(DB,I195,9),EventIndex)</f>
        <v>6</v>
      </c>
      <c r="S195">
        <f t="array" ref="S195">(INT(INDEX(MINVALUES,$Q195,$K$1))*60)+(MOD(INDEX(MINVALUES,$Q195,$K$1),1)*100)</f>
        <v>180</v>
      </c>
      <c r="T195">
        <f t="array" ref="T195">(INDEX(INCVALUES,$Q195,$K$1)*100)</f>
        <v>1</v>
      </c>
      <c r="V195">
        <f t="array" ref="V195">+J195+(4*(INDEX(MatchScoreTable,$Q195,20)-1))</f>
        <v>4</v>
      </c>
      <c r="W195">
        <f t="array" ref="W195">INDEX(INC_MINVALUES,$V195,$K$1)</f>
        <v>480</v>
      </c>
      <c r="X195" s="212">
        <f t="array" ref="X195">INDEX(INC_INCVALUES,$V195,$K$1)</f>
        <v>4</v>
      </c>
    </row>
    <row r="196" ht="15.75" customHeight="1">
      <c r="A196" s="435"/>
      <c r="B196" s="436"/>
      <c r="C196" s="95" t="str">
        <f t="array" ref="C196">IF(I196&gt;0,INDEX(DB,I196,8),"")</f>
        <v/>
      </c>
      <c r="D196" s="437">
        <f t="shared" si="1"/>
        <v>0</v>
      </c>
      <c r="F196" s="438">
        <f t="shared" si="2"/>
        <v>0</v>
      </c>
      <c r="G196" t="str">
        <f t="shared" si="3"/>
        <v/>
      </c>
      <c r="H196" t="b">
        <f t="shared" si="4"/>
        <v>0</v>
      </c>
      <c r="I196" s="439">
        <f>IF(OR(ISBLANK(A196),ISNA(MATCH(A196&amp;"",AthleteNumbers,0))),0,MATCH(A196&amp;"",AthleteNumbers,0))</f>
        <v>0</v>
      </c>
      <c r="J196" s="209">
        <f t="array" ref="J196">IF(I196&gt;0,INDEX(DB,$I196,6),0)</f>
        <v>0</v>
      </c>
      <c r="K196" s="446">
        <f t="shared" si="5"/>
        <v>0</v>
      </c>
      <c r="L196" s="440">
        <f t="shared" si="6"/>
        <v>0</v>
      </c>
      <c r="M196" s="441">
        <f>IF(AND(L196&gt;O196,O196&gt;0),MinPoints,IF(AND(L196&lt;N196,O196&gt;0),100,+INT((O196-$L196)/P196)+MinPoints))</f>
        <v>100</v>
      </c>
      <c r="N196" s="440">
        <f t="shared" si="7"/>
        <v>90</v>
      </c>
      <c r="O196" s="440">
        <f t="shared" si="8"/>
        <v>180</v>
      </c>
      <c r="P196" s="440">
        <f t="shared" si="9"/>
        <v>1</v>
      </c>
      <c r="Q196">
        <f t="array" ref="Q196">IF(I196&gt;0,INDEX(DB,I196,9),EventIndex)</f>
        <v>6</v>
      </c>
      <c r="S196">
        <f t="array" ref="S196">(INT(INDEX(MINVALUES,$Q196,$K$1))*60)+(MOD(INDEX(MINVALUES,$Q196,$K$1),1)*100)</f>
        <v>180</v>
      </c>
      <c r="T196">
        <f t="array" ref="T196">(INDEX(INCVALUES,$Q196,$K$1)*100)</f>
        <v>1</v>
      </c>
      <c r="V196">
        <f t="array" ref="V196">+J196+(4*(INDEX(MatchScoreTable,$Q196,20)-1))</f>
        <v>4</v>
      </c>
      <c r="W196">
        <f t="array" ref="W196">INDEX(INC_MINVALUES,$V196,$K$1)</f>
        <v>480</v>
      </c>
      <c r="X196" s="212">
        <f t="array" ref="X196">INDEX(INC_INCVALUES,$V196,$K$1)</f>
        <v>4</v>
      </c>
    </row>
    <row r="197" ht="15.75" customHeight="1">
      <c r="A197" s="435"/>
      <c r="B197" s="436"/>
      <c r="C197" s="95" t="str">
        <f t="array" ref="C197">IF(I197&gt;0,INDEX(DB,I197,8),"")</f>
        <v/>
      </c>
      <c r="D197" s="437">
        <f t="shared" si="1"/>
        <v>0</v>
      </c>
      <c r="F197" s="438">
        <f t="shared" si="2"/>
        <v>0</v>
      </c>
      <c r="G197" t="str">
        <f t="shared" si="3"/>
        <v/>
      </c>
      <c r="H197" t="b">
        <f t="shared" si="4"/>
        <v>0</v>
      </c>
      <c r="I197" s="439">
        <f>IF(OR(ISBLANK(A197),ISNA(MATCH(A197&amp;"",AthleteNumbers,0))),0,MATCH(A197&amp;"",AthleteNumbers,0))</f>
        <v>0</v>
      </c>
      <c r="J197" s="209">
        <f t="array" ref="J197">IF(I197&gt;0,INDEX(DB,$I197,6),0)</f>
        <v>0</v>
      </c>
      <c r="K197" s="446">
        <f t="shared" si="5"/>
        <v>0</v>
      </c>
      <c r="L197" s="440">
        <f t="shared" si="6"/>
        <v>0</v>
      </c>
      <c r="M197" s="441">
        <f>IF(AND(L197&gt;O197,O197&gt;0),MinPoints,IF(AND(L197&lt;N197,O197&gt;0),100,+INT((O197-$L197)/P197)+MinPoints))</f>
        <v>100</v>
      </c>
      <c r="N197" s="440">
        <f t="shared" si="7"/>
        <v>90</v>
      </c>
      <c r="O197" s="440">
        <f t="shared" si="8"/>
        <v>180</v>
      </c>
      <c r="P197" s="440">
        <f t="shared" si="9"/>
        <v>1</v>
      </c>
      <c r="Q197">
        <f t="array" ref="Q197">IF(I197&gt;0,INDEX(DB,I197,9),EventIndex)</f>
        <v>6</v>
      </c>
      <c r="S197">
        <f t="array" ref="S197">(INT(INDEX(MINVALUES,$Q197,$K$1))*60)+(MOD(INDEX(MINVALUES,$Q197,$K$1),1)*100)</f>
        <v>180</v>
      </c>
      <c r="T197">
        <f t="array" ref="T197">(INDEX(INCVALUES,$Q197,$K$1)*100)</f>
        <v>1</v>
      </c>
      <c r="V197">
        <f t="array" ref="V197">+J197+(4*(INDEX(MatchScoreTable,$Q197,20)-1))</f>
        <v>4</v>
      </c>
      <c r="W197">
        <f t="array" ref="W197">INDEX(INC_MINVALUES,$V197,$K$1)</f>
        <v>480</v>
      </c>
      <c r="X197" s="212">
        <f t="array" ref="X197">INDEX(INC_INCVALUES,$V197,$K$1)</f>
        <v>4</v>
      </c>
    </row>
    <row r="198" ht="15.75" customHeight="1">
      <c r="A198" s="435"/>
      <c r="B198" s="436"/>
      <c r="C198" s="95" t="str">
        <f t="array" ref="C198">IF(I198&gt;0,INDEX(DB,I198,8),"")</f>
        <v/>
      </c>
      <c r="D198" s="437">
        <f t="shared" si="1"/>
        <v>0</v>
      </c>
      <c r="F198" s="438">
        <f t="shared" si="2"/>
        <v>0</v>
      </c>
      <c r="G198" t="str">
        <f t="shared" si="3"/>
        <v/>
      </c>
      <c r="H198" t="b">
        <f t="shared" si="4"/>
        <v>0</v>
      </c>
      <c r="I198" s="439">
        <f>IF(OR(ISBLANK(A198),ISNA(MATCH(A198&amp;"",AthleteNumbers,0))),0,MATCH(A198&amp;"",AthleteNumbers,0))</f>
        <v>0</v>
      </c>
      <c r="J198" s="209">
        <f t="array" ref="J198">IF(I198&gt;0,INDEX(DB,$I198,6),0)</f>
        <v>0</v>
      </c>
      <c r="K198" s="446">
        <f t="shared" si="5"/>
        <v>0</v>
      </c>
      <c r="L198" s="440">
        <f t="shared" si="6"/>
        <v>0</v>
      </c>
      <c r="M198" s="441">
        <f>IF(AND(L198&gt;O198,O198&gt;0),MinPoints,IF(AND(L198&lt;N198,O198&gt;0),100,+INT((O198-$L198)/P198)+MinPoints))</f>
        <v>100</v>
      </c>
      <c r="N198" s="440">
        <f t="shared" si="7"/>
        <v>90</v>
      </c>
      <c r="O198" s="440">
        <f t="shared" si="8"/>
        <v>180</v>
      </c>
      <c r="P198" s="440">
        <f t="shared" si="9"/>
        <v>1</v>
      </c>
      <c r="Q198">
        <f t="array" ref="Q198">IF(I198&gt;0,INDEX(DB,I198,9),EventIndex)</f>
        <v>6</v>
      </c>
      <c r="S198">
        <f t="array" ref="S198">(INT(INDEX(MINVALUES,$Q198,$K$1))*60)+(MOD(INDEX(MINVALUES,$Q198,$K$1),1)*100)</f>
        <v>180</v>
      </c>
      <c r="T198">
        <f t="array" ref="T198">(INDEX(INCVALUES,$Q198,$K$1)*100)</f>
        <v>1</v>
      </c>
      <c r="V198">
        <f t="array" ref="V198">+J198+(4*(INDEX(MatchScoreTable,$Q198,20)-1))</f>
        <v>4</v>
      </c>
      <c r="W198">
        <f t="array" ref="W198">INDEX(INC_MINVALUES,$V198,$K$1)</f>
        <v>480</v>
      </c>
      <c r="X198" s="212">
        <f t="array" ref="X198">INDEX(INC_INCVALUES,$V198,$K$1)</f>
        <v>4</v>
      </c>
    </row>
    <row r="199" ht="15.75" customHeight="1">
      <c r="A199" s="435"/>
      <c r="B199" s="436"/>
      <c r="C199" s="95" t="str">
        <f t="array" ref="C199">IF(I199&gt;0,INDEX(DB,I199,8),"")</f>
        <v/>
      </c>
      <c r="D199" s="437">
        <f t="shared" si="1"/>
        <v>0</v>
      </c>
      <c r="F199" s="438">
        <f t="shared" si="2"/>
        <v>0</v>
      </c>
      <c r="G199" t="str">
        <f t="shared" si="3"/>
        <v/>
      </c>
      <c r="H199" t="b">
        <f t="shared" si="4"/>
        <v>0</v>
      </c>
      <c r="I199" s="439">
        <f>IF(OR(ISBLANK(A199),ISNA(MATCH(A199&amp;"",AthleteNumbers,0))),0,MATCH(A199&amp;"",AthleteNumbers,0))</f>
        <v>0</v>
      </c>
      <c r="J199" s="209">
        <f t="array" ref="J199">IF(I199&gt;0,INDEX(DB,$I199,6),0)</f>
        <v>0</v>
      </c>
      <c r="K199" s="446">
        <f t="shared" si="5"/>
        <v>0</v>
      </c>
      <c r="L199" s="440">
        <f t="shared" si="6"/>
        <v>0</v>
      </c>
      <c r="M199" s="441">
        <f>IF(AND(L199&gt;O199,O199&gt;0),MinPoints,IF(AND(L199&lt;N199,O199&gt;0),100,+INT((O199-$L199)/P199)+MinPoints))</f>
        <v>100</v>
      </c>
      <c r="N199" s="440">
        <f t="shared" si="7"/>
        <v>90</v>
      </c>
      <c r="O199" s="440">
        <f t="shared" si="8"/>
        <v>180</v>
      </c>
      <c r="P199" s="440">
        <f t="shared" si="9"/>
        <v>1</v>
      </c>
      <c r="Q199">
        <f t="array" ref="Q199">IF(I199&gt;0,INDEX(DB,I199,9),EventIndex)</f>
        <v>6</v>
      </c>
      <c r="S199">
        <f t="array" ref="S199">(INT(INDEX(MINVALUES,$Q199,$K$1))*60)+(MOD(INDEX(MINVALUES,$Q199,$K$1),1)*100)</f>
        <v>180</v>
      </c>
      <c r="T199">
        <f t="array" ref="T199">(INDEX(INCVALUES,$Q199,$K$1)*100)</f>
        <v>1</v>
      </c>
      <c r="V199">
        <f t="array" ref="V199">+J199+(4*(INDEX(MatchScoreTable,$Q199,20)-1))</f>
        <v>4</v>
      </c>
      <c r="W199">
        <f t="array" ref="W199">INDEX(INC_MINVALUES,$V199,$K$1)</f>
        <v>480</v>
      </c>
      <c r="X199" s="212">
        <f t="array" ref="X199">INDEX(INC_INCVALUES,$V199,$K$1)</f>
        <v>4</v>
      </c>
    </row>
    <row r="200" ht="15.75" customHeight="1">
      <c r="A200" s="435"/>
      <c r="B200" s="436"/>
      <c r="C200" s="95" t="str">
        <f t="array" ref="C200">IF(I200&gt;0,INDEX(DB,I200,8),"")</f>
        <v/>
      </c>
      <c r="D200" s="437">
        <f t="shared" si="1"/>
        <v>0</v>
      </c>
      <c r="F200" s="438">
        <f t="shared" si="2"/>
        <v>0</v>
      </c>
      <c r="G200" t="str">
        <f t="shared" si="3"/>
        <v/>
      </c>
      <c r="H200" t="b">
        <f t="shared" si="4"/>
        <v>0</v>
      </c>
      <c r="I200" s="439">
        <f>IF(OR(ISBLANK(A200),ISNA(MATCH(A200&amp;"",AthleteNumbers,0))),0,MATCH(A200&amp;"",AthleteNumbers,0))</f>
        <v>0</v>
      </c>
      <c r="J200" s="209">
        <f t="array" ref="J200">IF(I200&gt;0,INDEX(DB,$I200,6),0)</f>
        <v>0</v>
      </c>
      <c r="K200" s="446">
        <f t="shared" si="5"/>
        <v>0</v>
      </c>
      <c r="L200" s="440">
        <f t="shared" si="6"/>
        <v>0</v>
      </c>
      <c r="M200" s="441">
        <f>IF(AND(L200&gt;O200,O200&gt;0),MinPoints,IF(AND(L200&lt;N200,O200&gt;0),100,+INT((O200-$L200)/P200)+MinPoints))</f>
        <v>100</v>
      </c>
      <c r="N200" s="440">
        <f t="shared" si="7"/>
        <v>90</v>
      </c>
      <c r="O200" s="440">
        <f t="shared" si="8"/>
        <v>180</v>
      </c>
      <c r="P200" s="440">
        <f t="shared" si="9"/>
        <v>1</v>
      </c>
      <c r="Q200">
        <f t="array" ref="Q200">IF(I200&gt;0,INDEX(DB,I200,9),EventIndex)</f>
        <v>6</v>
      </c>
      <c r="S200">
        <f t="array" ref="S200">(INT(INDEX(MINVALUES,$Q200,$K$1))*60)+(MOD(INDEX(MINVALUES,$Q200,$K$1),1)*100)</f>
        <v>180</v>
      </c>
      <c r="T200">
        <f t="array" ref="T200">(INDEX(INCVALUES,$Q200,$K$1)*100)</f>
        <v>1</v>
      </c>
      <c r="V200">
        <f t="array" ref="V200">+J200+(4*(INDEX(MatchScoreTable,$Q200,20)-1))</f>
        <v>4</v>
      </c>
      <c r="W200">
        <f t="array" ref="W200">INDEX(INC_MINVALUES,$V200,$K$1)</f>
        <v>480</v>
      </c>
      <c r="X200" s="212">
        <f t="array" ref="X200">INDEX(INC_INCVALUES,$V200,$K$1)</f>
        <v>4</v>
      </c>
    </row>
    <row r="201" ht="15.75" customHeight="1">
      <c r="A201" s="435"/>
      <c r="B201" s="436"/>
      <c r="C201" s="95" t="str">
        <f t="array" ref="C201">IF(I201&gt;0,INDEX(DB,I201,8),"")</f>
        <v/>
      </c>
      <c r="D201" s="437">
        <f t="shared" si="1"/>
        <v>0</v>
      </c>
      <c r="F201" s="438">
        <f t="shared" si="2"/>
        <v>0</v>
      </c>
      <c r="G201" t="str">
        <f t="shared" si="3"/>
        <v/>
      </c>
      <c r="H201" t="b">
        <f t="shared" si="4"/>
        <v>0</v>
      </c>
      <c r="I201" s="439">
        <f>IF(OR(ISBLANK(A201),ISNA(MATCH(A201&amp;"",AthleteNumbers,0))),0,MATCH(A201&amp;"",AthleteNumbers,0))</f>
        <v>0</v>
      </c>
      <c r="J201" s="209">
        <f t="array" ref="J201">IF(I201&gt;0,INDEX(DB,$I201,6),0)</f>
        <v>0</v>
      </c>
      <c r="K201" s="446">
        <f t="shared" si="5"/>
        <v>0</v>
      </c>
      <c r="L201" s="440">
        <f t="shared" si="6"/>
        <v>0</v>
      </c>
      <c r="M201" s="441">
        <f>IF(AND(L201&gt;O201,O201&gt;0),MinPoints,IF(AND(L201&lt;N201,O201&gt;0),100,+INT((O201-$L201)/P201)+MinPoints))</f>
        <v>100</v>
      </c>
      <c r="N201" s="440">
        <f t="shared" si="7"/>
        <v>90</v>
      </c>
      <c r="O201" s="440">
        <f t="shared" si="8"/>
        <v>180</v>
      </c>
      <c r="P201" s="440">
        <f t="shared" si="9"/>
        <v>1</v>
      </c>
      <c r="Q201">
        <f t="array" ref="Q201">IF(I201&gt;0,INDEX(DB,I201,9),EventIndex)</f>
        <v>6</v>
      </c>
      <c r="S201">
        <f t="array" ref="S201">(INT(INDEX(MINVALUES,$Q201,$K$1))*60)+(MOD(INDEX(MINVALUES,$Q201,$K$1),1)*100)</f>
        <v>180</v>
      </c>
      <c r="T201">
        <f t="array" ref="T201">(INDEX(INCVALUES,$Q201,$K$1)*100)</f>
        <v>1</v>
      </c>
      <c r="V201">
        <f t="array" ref="V201">+J201+(4*(INDEX(MatchScoreTable,$Q201,20)-1))</f>
        <v>4</v>
      </c>
      <c r="W201">
        <f t="array" ref="W201">INDEX(INC_MINVALUES,$V201,$K$1)</f>
        <v>480</v>
      </c>
      <c r="X201" s="212">
        <f t="array" ref="X201">INDEX(INC_INCVALUES,$V201,$K$1)</f>
        <v>4</v>
      </c>
    </row>
    <row r="202" ht="15.75" customHeight="1">
      <c r="A202" s="435"/>
      <c r="B202" s="436"/>
      <c r="C202" s="95" t="str">
        <f t="array" ref="C202">IF(I202&gt;0,INDEX(DB,I202,8),"")</f>
        <v/>
      </c>
      <c r="D202" s="437">
        <f t="shared" si="1"/>
        <v>0</v>
      </c>
      <c r="F202" s="438">
        <f t="shared" si="2"/>
        <v>0</v>
      </c>
      <c r="G202" t="str">
        <f t="shared" si="3"/>
        <v/>
      </c>
      <c r="H202" t="b">
        <f t="shared" si="4"/>
        <v>0</v>
      </c>
      <c r="I202" s="439">
        <f>IF(OR(ISBLANK(A202),ISNA(MATCH(A202&amp;"",AthleteNumbers,0))),0,MATCH(A202&amp;"",AthleteNumbers,0))</f>
        <v>0</v>
      </c>
      <c r="J202" s="209">
        <f t="array" ref="J202">IF(I202&gt;0,INDEX(DB,$I202,6),0)</f>
        <v>0</v>
      </c>
      <c r="K202" s="446">
        <f t="shared" si="5"/>
        <v>0</v>
      </c>
      <c r="L202" s="440">
        <f t="shared" si="6"/>
        <v>0</v>
      </c>
      <c r="M202" s="441">
        <f>IF(AND(L202&gt;O202,O202&gt;0),MinPoints,IF(AND(L202&lt;N202,O202&gt;0),100,+INT((O202-$L202)/P202)+MinPoints))</f>
        <v>100</v>
      </c>
      <c r="N202" s="440">
        <f t="shared" si="7"/>
        <v>90</v>
      </c>
      <c r="O202" s="440">
        <f t="shared" si="8"/>
        <v>180</v>
      </c>
      <c r="P202" s="440">
        <f t="shared" si="9"/>
        <v>1</v>
      </c>
      <c r="Q202">
        <f t="array" ref="Q202">IF(I202&gt;0,INDEX(DB,I202,9),EventIndex)</f>
        <v>6</v>
      </c>
      <c r="S202">
        <f t="array" ref="S202">(INT(INDEX(MINVALUES,$Q202,$K$1))*60)+(MOD(INDEX(MINVALUES,$Q202,$K$1),1)*100)</f>
        <v>180</v>
      </c>
      <c r="T202">
        <f t="array" ref="T202">(INDEX(INCVALUES,$Q202,$K$1)*100)</f>
        <v>1</v>
      </c>
      <c r="V202">
        <f t="array" ref="V202">+J202+(4*(INDEX(MatchScoreTable,$Q202,20)-1))</f>
        <v>4</v>
      </c>
      <c r="W202">
        <f t="array" ref="W202">INDEX(INC_MINVALUES,$V202,$K$1)</f>
        <v>480</v>
      </c>
      <c r="X202" s="212">
        <f t="array" ref="X202">INDEX(INC_INCVALUES,$V202,$K$1)</f>
        <v>4</v>
      </c>
    </row>
    <row r="203" ht="15.75" customHeight="1">
      <c r="A203" s="435"/>
      <c r="B203" s="436"/>
      <c r="C203" s="95" t="str">
        <f t="array" ref="C203">IF(I203&gt;0,INDEX(DB,I203,8),"")</f>
        <v/>
      </c>
      <c r="D203" s="437">
        <f t="shared" si="1"/>
        <v>0</v>
      </c>
      <c r="F203" s="438">
        <f t="shared" si="2"/>
        <v>0</v>
      </c>
      <c r="G203" t="str">
        <f t="shared" si="3"/>
        <v/>
      </c>
      <c r="H203" t="b">
        <f t="shared" si="4"/>
        <v>0</v>
      </c>
      <c r="I203" s="439">
        <f>IF(OR(ISBLANK(A203),ISNA(MATCH(A203&amp;"",AthleteNumbers,0))),0,MATCH(A203&amp;"",AthleteNumbers,0))</f>
        <v>0</v>
      </c>
      <c r="J203" s="209">
        <f t="array" ref="J203">IF(I203&gt;0,INDEX(DB,$I203,6),0)</f>
        <v>0</v>
      </c>
      <c r="K203" s="446">
        <f t="shared" si="5"/>
        <v>0</v>
      </c>
      <c r="L203" s="440">
        <f t="shared" si="6"/>
        <v>0</v>
      </c>
      <c r="M203" s="441">
        <f>IF(AND(L203&gt;O203,O203&gt;0),MinPoints,IF(AND(L203&lt;N203,O203&gt;0),100,+INT((O203-$L203)/P203)+MinPoints))</f>
        <v>100</v>
      </c>
      <c r="N203" s="440">
        <f t="shared" si="7"/>
        <v>90</v>
      </c>
      <c r="O203" s="440">
        <f t="shared" si="8"/>
        <v>180</v>
      </c>
      <c r="P203" s="440">
        <f t="shared" si="9"/>
        <v>1</v>
      </c>
      <c r="Q203">
        <f t="array" ref="Q203">IF(I203&gt;0,INDEX(DB,I203,9),EventIndex)</f>
        <v>6</v>
      </c>
      <c r="S203">
        <f t="array" ref="S203">(INT(INDEX(MINVALUES,$Q203,$K$1))*60)+(MOD(INDEX(MINVALUES,$Q203,$K$1),1)*100)</f>
        <v>180</v>
      </c>
      <c r="T203">
        <f t="array" ref="T203">(INDEX(INCVALUES,$Q203,$K$1)*100)</f>
        <v>1</v>
      </c>
      <c r="V203">
        <f t="array" ref="V203">+J203+(4*(INDEX(MatchScoreTable,$Q203,20)-1))</f>
        <v>4</v>
      </c>
      <c r="W203">
        <f t="array" ref="W203">INDEX(INC_MINVALUES,$V203,$K$1)</f>
        <v>480</v>
      </c>
      <c r="X203" s="212">
        <f t="array" ref="X203">INDEX(INC_INCVALUES,$V203,$K$1)</f>
        <v>4</v>
      </c>
    </row>
    <row r="204" ht="15.75" customHeight="1">
      <c r="A204" s="435"/>
      <c r="B204" s="436"/>
      <c r="C204" s="95" t="str">
        <f t="array" ref="C204">IF(I204&gt;0,INDEX(DB,I204,8),"")</f>
        <v/>
      </c>
      <c r="D204" s="437">
        <f t="shared" si="1"/>
        <v>0</v>
      </c>
      <c r="F204" s="438">
        <f t="shared" si="2"/>
        <v>0</v>
      </c>
      <c r="G204" t="str">
        <f t="shared" si="3"/>
        <v/>
      </c>
      <c r="H204" t="b">
        <f t="shared" si="4"/>
        <v>0</v>
      </c>
      <c r="I204" s="439">
        <f>IF(OR(ISBLANK(A204),ISNA(MATCH(A204&amp;"",AthleteNumbers,0))),0,MATCH(A204&amp;"",AthleteNumbers,0))</f>
        <v>0</v>
      </c>
      <c r="J204" s="209">
        <f t="array" ref="J204">IF(I204&gt;0,INDEX(DB,$I204,6),0)</f>
        <v>0</v>
      </c>
      <c r="K204" s="446">
        <f t="shared" si="5"/>
        <v>0</v>
      </c>
      <c r="L204" s="440">
        <f t="shared" si="6"/>
        <v>0</v>
      </c>
      <c r="M204" s="441">
        <f>IF(AND(L204&gt;O204,O204&gt;0),MinPoints,IF(AND(L204&lt;N204,O204&gt;0),100,+INT((O204-$L204)/P204)+MinPoints))</f>
        <v>100</v>
      </c>
      <c r="N204" s="440">
        <f t="shared" si="7"/>
        <v>90</v>
      </c>
      <c r="O204" s="440">
        <f t="shared" si="8"/>
        <v>180</v>
      </c>
      <c r="P204" s="440">
        <f t="shared" si="9"/>
        <v>1</v>
      </c>
      <c r="Q204">
        <f t="array" ref="Q204">IF(I204&gt;0,INDEX(DB,I204,9),EventIndex)</f>
        <v>6</v>
      </c>
      <c r="S204">
        <f t="array" ref="S204">(INT(INDEX(MINVALUES,$Q204,$K$1))*60)+(MOD(INDEX(MINVALUES,$Q204,$K$1),1)*100)</f>
        <v>180</v>
      </c>
      <c r="T204">
        <f t="array" ref="T204">(INDEX(INCVALUES,$Q204,$K$1)*100)</f>
        <v>1</v>
      </c>
      <c r="V204">
        <f t="array" ref="V204">+J204+(4*(INDEX(MatchScoreTable,$Q204,20)-1))</f>
        <v>4</v>
      </c>
      <c r="W204">
        <f t="array" ref="W204">INDEX(INC_MINVALUES,$V204,$K$1)</f>
        <v>480</v>
      </c>
      <c r="X204" s="212">
        <f t="array" ref="X204">INDEX(INC_INCVALUES,$V204,$K$1)</f>
        <v>4</v>
      </c>
    </row>
    <row r="205" ht="15.75" customHeight="1">
      <c r="A205" s="435"/>
      <c r="B205" s="436"/>
      <c r="C205" s="95" t="str">
        <f t="array" ref="C205">IF(I205&gt;0,INDEX(DB,I205,8),"")</f>
        <v/>
      </c>
      <c r="D205" s="437">
        <f t="shared" si="1"/>
        <v>0</v>
      </c>
      <c r="F205" s="438">
        <f t="shared" si="2"/>
        <v>0</v>
      </c>
      <c r="G205" t="str">
        <f t="shared" si="3"/>
        <v/>
      </c>
      <c r="H205" t="b">
        <f t="shared" si="4"/>
        <v>0</v>
      </c>
      <c r="I205" s="439">
        <f>IF(OR(ISBLANK(A205),ISNA(MATCH(A205&amp;"",AthleteNumbers,0))),0,MATCH(A205&amp;"",AthleteNumbers,0))</f>
        <v>0</v>
      </c>
      <c r="J205" s="209">
        <f t="array" ref="J205">IF(I205&gt;0,INDEX(DB,$I205,6),0)</f>
        <v>0</v>
      </c>
      <c r="K205" s="446">
        <f t="shared" si="5"/>
        <v>0</v>
      </c>
      <c r="L205" s="440">
        <f t="shared" si="6"/>
        <v>0</v>
      </c>
      <c r="M205" s="441">
        <f>IF(AND(L205&gt;O205,O205&gt;0),MinPoints,IF(AND(L205&lt;N205,O205&gt;0),100,+INT((O205-$L205)/P205)+MinPoints))</f>
        <v>100</v>
      </c>
      <c r="N205" s="440">
        <f t="shared" si="7"/>
        <v>90</v>
      </c>
      <c r="O205" s="440">
        <f t="shared" si="8"/>
        <v>180</v>
      </c>
      <c r="P205" s="440">
        <f t="shared" si="9"/>
        <v>1</v>
      </c>
      <c r="Q205">
        <f t="array" ref="Q205">IF(I205&gt;0,INDEX(DB,I205,9),EventIndex)</f>
        <v>6</v>
      </c>
      <c r="S205">
        <f t="array" ref="S205">(INT(INDEX(MINVALUES,$Q205,$K$1))*60)+(MOD(INDEX(MINVALUES,$Q205,$K$1),1)*100)</f>
        <v>180</v>
      </c>
      <c r="T205">
        <f t="array" ref="T205">(INDEX(INCVALUES,$Q205,$K$1)*100)</f>
        <v>1</v>
      </c>
      <c r="V205">
        <f t="array" ref="V205">+J205+(4*(INDEX(MatchScoreTable,$Q205,20)-1))</f>
        <v>4</v>
      </c>
      <c r="W205">
        <f t="array" ref="W205">INDEX(INC_MINVALUES,$V205,$K$1)</f>
        <v>480</v>
      </c>
      <c r="X205" s="212">
        <f t="array" ref="X205">INDEX(INC_INCVALUES,$V205,$K$1)</f>
        <v>4</v>
      </c>
    </row>
    <row r="206" ht="15.75" customHeight="1">
      <c r="A206" s="435"/>
      <c r="B206" s="436"/>
      <c r="C206" s="95" t="str">
        <f t="array" ref="C206">IF(I206&gt;0,INDEX(DB,I206,8),"")</f>
        <v/>
      </c>
      <c r="D206" s="437">
        <f t="shared" si="1"/>
        <v>0</v>
      </c>
      <c r="F206" s="438">
        <f t="shared" si="2"/>
        <v>0</v>
      </c>
      <c r="G206" t="str">
        <f t="shared" si="3"/>
        <v/>
      </c>
      <c r="H206" t="b">
        <f t="shared" si="4"/>
        <v>0</v>
      </c>
      <c r="I206" s="439">
        <f>IF(OR(ISBLANK(A206),ISNA(MATCH(A206&amp;"",AthleteNumbers,0))),0,MATCH(A206&amp;"",AthleteNumbers,0))</f>
        <v>0</v>
      </c>
      <c r="J206" s="209">
        <f t="array" ref="J206">IF(I206&gt;0,INDEX(DB,$I206,6),0)</f>
        <v>0</v>
      </c>
      <c r="K206" s="446">
        <f t="shared" si="5"/>
        <v>0</v>
      </c>
      <c r="L206" s="440">
        <f t="shared" si="6"/>
        <v>0</v>
      </c>
      <c r="M206" s="441">
        <f>IF(AND(L206&gt;O206,O206&gt;0),MinPoints,IF(AND(L206&lt;N206,O206&gt;0),100,+INT((O206-$L206)/P206)+MinPoints))</f>
        <v>100</v>
      </c>
      <c r="N206" s="440">
        <f t="shared" si="7"/>
        <v>90</v>
      </c>
      <c r="O206" s="440">
        <f t="shared" si="8"/>
        <v>180</v>
      </c>
      <c r="P206" s="440">
        <f t="shared" si="9"/>
        <v>1</v>
      </c>
      <c r="Q206">
        <f t="array" ref="Q206">IF(I206&gt;0,INDEX(DB,I206,9),EventIndex)</f>
        <v>6</v>
      </c>
      <c r="S206">
        <f t="array" ref="S206">(INT(INDEX(MINVALUES,$Q206,$K$1))*60)+(MOD(INDEX(MINVALUES,$Q206,$K$1),1)*100)</f>
        <v>180</v>
      </c>
      <c r="T206">
        <f t="array" ref="T206">(INDEX(INCVALUES,$Q206,$K$1)*100)</f>
        <v>1</v>
      </c>
      <c r="V206">
        <f t="array" ref="V206">+J206+(4*(INDEX(MatchScoreTable,$Q206,20)-1))</f>
        <v>4</v>
      </c>
      <c r="W206">
        <f t="array" ref="W206">INDEX(INC_MINVALUES,$V206,$K$1)</f>
        <v>480</v>
      </c>
      <c r="X206" s="212">
        <f t="array" ref="X206">INDEX(INC_INCVALUES,$V206,$K$1)</f>
        <v>4</v>
      </c>
    </row>
    <row r="207" ht="15.75" customHeight="1">
      <c r="A207" s="435"/>
      <c r="B207" s="436"/>
      <c r="C207" s="95" t="str">
        <f t="array" ref="C207">IF(I207&gt;0,INDEX(DB,I207,8),"")</f>
        <v/>
      </c>
      <c r="D207" s="437">
        <f t="shared" si="1"/>
        <v>0</v>
      </c>
      <c r="F207" s="438">
        <f t="shared" si="2"/>
        <v>0</v>
      </c>
      <c r="G207" t="str">
        <f t="shared" si="3"/>
        <v/>
      </c>
      <c r="H207" t="b">
        <f t="shared" si="4"/>
        <v>0</v>
      </c>
      <c r="I207" s="439">
        <f>IF(OR(ISBLANK(A207),ISNA(MATCH(A207&amp;"",AthleteNumbers,0))),0,MATCH(A207&amp;"",AthleteNumbers,0))</f>
        <v>0</v>
      </c>
      <c r="J207" s="209">
        <f t="array" ref="J207">IF(I207&gt;0,INDEX(DB,$I207,6),0)</f>
        <v>0</v>
      </c>
      <c r="K207" s="446">
        <f t="shared" si="5"/>
        <v>0</v>
      </c>
      <c r="L207" s="440">
        <f t="shared" si="6"/>
        <v>0</v>
      </c>
      <c r="M207" s="441">
        <f>IF(AND(L207&gt;O207,O207&gt;0),MinPoints,IF(AND(L207&lt;N207,O207&gt;0),100,+INT((O207-$L207)/P207)+MinPoints))</f>
        <v>100</v>
      </c>
      <c r="N207" s="440">
        <f t="shared" si="7"/>
        <v>90</v>
      </c>
      <c r="O207" s="440">
        <f t="shared" si="8"/>
        <v>180</v>
      </c>
      <c r="P207" s="440">
        <f t="shared" si="9"/>
        <v>1</v>
      </c>
      <c r="Q207">
        <f t="array" ref="Q207">IF(I207&gt;0,INDEX(DB,I207,9),EventIndex)</f>
        <v>6</v>
      </c>
      <c r="S207">
        <f t="array" ref="S207">(INT(INDEX(MINVALUES,$Q207,$K$1))*60)+(MOD(INDEX(MINVALUES,$Q207,$K$1),1)*100)</f>
        <v>180</v>
      </c>
      <c r="T207">
        <f t="array" ref="T207">(INDEX(INCVALUES,$Q207,$K$1)*100)</f>
        <v>1</v>
      </c>
      <c r="V207">
        <f t="array" ref="V207">+J207+(4*(INDEX(MatchScoreTable,$Q207,20)-1))</f>
        <v>4</v>
      </c>
      <c r="W207">
        <f t="array" ref="W207">INDEX(INC_MINVALUES,$V207,$K$1)</f>
        <v>480</v>
      </c>
      <c r="X207" s="212">
        <f t="array" ref="X207">INDEX(INC_INCVALUES,$V207,$K$1)</f>
        <v>4</v>
      </c>
    </row>
    <row r="208" ht="15.75" customHeight="1">
      <c r="A208" s="435"/>
      <c r="B208" s="436"/>
      <c r="C208" s="95" t="str">
        <f t="array" ref="C208">IF(I208&gt;0,INDEX(DB,I208,8),"")</f>
        <v/>
      </c>
      <c r="D208" s="437">
        <f t="shared" si="1"/>
        <v>0</v>
      </c>
      <c r="F208" s="438">
        <f t="shared" si="2"/>
        <v>0</v>
      </c>
      <c r="G208" t="str">
        <f t="shared" si="3"/>
        <v/>
      </c>
      <c r="H208" t="b">
        <f t="shared" si="4"/>
        <v>0</v>
      </c>
      <c r="I208" s="439">
        <f>IF(OR(ISBLANK(A208),ISNA(MATCH(A208&amp;"",AthleteNumbers,0))),0,MATCH(A208&amp;"",AthleteNumbers,0))</f>
        <v>0</v>
      </c>
      <c r="J208" s="209">
        <f t="array" ref="J208">IF(I208&gt;0,INDEX(DB,$I208,6),0)</f>
        <v>0</v>
      </c>
      <c r="K208" s="446">
        <f t="shared" si="5"/>
        <v>0</v>
      </c>
      <c r="L208" s="440">
        <f t="shared" si="6"/>
        <v>0</v>
      </c>
      <c r="M208" s="441">
        <f>IF(AND(L208&gt;O208,O208&gt;0),MinPoints,IF(AND(L208&lt;N208,O208&gt;0),100,+INT((O208-$L208)/P208)+MinPoints))</f>
        <v>100</v>
      </c>
      <c r="N208" s="440">
        <f t="shared" si="7"/>
        <v>90</v>
      </c>
      <c r="O208" s="440">
        <f t="shared" si="8"/>
        <v>180</v>
      </c>
      <c r="P208" s="440">
        <f t="shared" si="9"/>
        <v>1</v>
      </c>
      <c r="Q208">
        <f t="array" ref="Q208">IF(I208&gt;0,INDEX(DB,I208,9),EventIndex)</f>
        <v>6</v>
      </c>
      <c r="S208">
        <f t="array" ref="S208">(INT(INDEX(MINVALUES,$Q208,$K$1))*60)+(MOD(INDEX(MINVALUES,$Q208,$K$1),1)*100)</f>
        <v>180</v>
      </c>
      <c r="T208">
        <f t="array" ref="T208">(INDEX(INCVALUES,$Q208,$K$1)*100)</f>
        <v>1</v>
      </c>
      <c r="V208">
        <f t="array" ref="V208">+J208+(4*(INDEX(MatchScoreTable,$Q208,20)-1))</f>
        <v>4</v>
      </c>
      <c r="W208">
        <f t="array" ref="W208">INDEX(INC_MINVALUES,$V208,$K$1)</f>
        <v>480</v>
      </c>
      <c r="X208" s="212">
        <f t="array" ref="X208">INDEX(INC_INCVALUES,$V208,$K$1)</f>
        <v>4</v>
      </c>
    </row>
    <row r="209" ht="15.75" customHeight="1">
      <c r="A209" s="435"/>
      <c r="B209" s="436"/>
      <c r="C209" s="95" t="str">
        <f t="array" ref="C209">IF(I209&gt;0,INDEX(DB,I209,8),"")</f>
        <v/>
      </c>
      <c r="D209" s="437">
        <f t="shared" si="1"/>
        <v>0</v>
      </c>
      <c r="F209" s="438">
        <f t="shared" si="2"/>
        <v>0</v>
      </c>
      <c r="G209" t="str">
        <f t="shared" si="3"/>
        <v/>
      </c>
      <c r="H209" t="b">
        <f t="shared" si="4"/>
        <v>0</v>
      </c>
      <c r="I209" s="439">
        <f>IF(OR(ISBLANK(A209),ISNA(MATCH(A209&amp;"",AthleteNumbers,0))),0,MATCH(A209&amp;"",AthleteNumbers,0))</f>
        <v>0</v>
      </c>
      <c r="J209" s="209">
        <f t="array" ref="J209">IF(I209&gt;0,INDEX(DB,$I209,6),0)</f>
        <v>0</v>
      </c>
      <c r="K209" s="446">
        <f t="shared" si="5"/>
        <v>0</v>
      </c>
      <c r="L209" s="440">
        <f t="shared" si="6"/>
        <v>0</v>
      </c>
      <c r="M209" s="441">
        <f>IF(AND(L209&gt;O209,O209&gt;0),MinPoints,IF(AND(L209&lt;N209,O209&gt;0),100,+INT((O209-$L209)/P209)+MinPoints))</f>
        <v>100</v>
      </c>
      <c r="N209" s="440">
        <f t="shared" si="7"/>
        <v>90</v>
      </c>
      <c r="O209" s="440">
        <f t="shared" si="8"/>
        <v>180</v>
      </c>
      <c r="P209" s="440">
        <f t="shared" si="9"/>
        <v>1</v>
      </c>
      <c r="Q209">
        <f t="array" ref="Q209">IF(I209&gt;0,INDEX(DB,I209,9),EventIndex)</f>
        <v>6</v>
      </c>
      <c r="S209">
        <f t="array" ref="S209">(INT(INDEX(MINVALUES,$Q209,$K$1))*60)+(MOD(INDEX(MINVALUES,$Q209,$K$1),1)*100)</f>
        <v>180</v>
      </c>
      <c r="T209">
        <f t="array" ref="T209">(INDEX(INCVALUES,$Q209,$K$1)*100)</f>
        <v>1</v>
      </c>
      <c r="V209">
        <f t="array" ref="V209">+J209+(4*(INDEX(MatchScoreTable,$Q209,20)-1))</f>
        <v>4</v>
      </c>
      <c r="W209">
        <f t="array" ref="W209">INDEX(INC_MINVALUES,$V209,$K$1)</f>
        <v>480</v>
      </c>
      <c r="X209" s="212">
        <f t="array" ref="X209">INDEX(INC_INCVALUES,$V209,$K$1)</f>
        <v>4</v>
      </c>
    </row>
    <row r="210" ht="15.75" customHeight="1">
      <c r="A210" s="435"/>
      <c r="B210" s="436"/>
      <c r="C210" s="95" t="str">
        <f t="array" ref="C210">IF(I210&gt;0,INDEX(DB,I210,8),"")</f>
        <v/>
      </c>
      <c r="D210" s="437">
        <f t="shared" si="1"/>
        <v>0</v>
      </c>
      <c r="F210" s="438">
        <f t="shared" si="2"/>
        <v>0</v>
      </c>
      <c r="G210" t="str">
        <f t="shared" si="3"/>
        <v/>
      </c>
      <c r="H210" t="b">
        <f t="shared" si="4"/>
        <v>0</v>
      </c>
      <c r="I210" s="439">
        <f>IF(OR(ISBLANK(A210),ISNA(MATCH(A210&amp;"",AthleteNumbers,0))),0,MATCH(A210&amp;"",AthleteNumbers,0))</f>
        <v>0</v>
      </c>
      <c r="J210" s="209">
        <f t="array" ref="J210">IF(I210&gt;0,INDEX(DB,$I210,6),0)</f>
        <v>0</v>
      </c>
      <c r="K210" s="446">
        <f t="shared" si="5"/>
        <v>0</v>
      </c>
      <c r="L210" s="440">
        <f t="shared" si="6"/>
        <v>0</v>
      </c>
      <c r="M210" s="441">
        <f>IF(AND(L210&gt;O210,O210&gt;0),MinPoints,IF(AND(L210&lt;N210,O210&gt;0),100,+INT((O210-$L210)/P210)+MinPoints))</f>
        <v>100</v>
      </c>
      <c r="N210" s="440">
        <f t="shared" si="7"/>
        <v>90</v>
      </c>
      <c r="O210" s="440">
        <f t="shared" si="8"/>
        <v>180</v>
      </c>
      <c r="P210" s="440">
        <f t="shared" si="9"/>
        <v>1</v>
      </c>
      <c r="Q210">
        <f t="array" ref="Q210">IF(I210&gt;0,INDEX(DB,I210,9),EventIndex)</f>
        <v>6</v>
      </c>
      <c r="S210">
        <f t="array" ref="S210">(INT(INDEX(MINVALUES,$Q210,$K$1))*60)+(MOD(INDEX(MINVALUES,$Q210,$K$1),1)*100)</f>
        <v>180</v>
      </c>
      <c r="T210">
        <f t="array" ref="T210">(INDEX(INCVALUES,$Q210,$K$1)*100)</f>
        <v>1</v>
      </c>
      <c r="V210">
        <f t="array" ref="V210">+J210+(4*(INDEX(MatchScoreTable,$Q210,20)-1))</f>
        <v>4</v>
      </c>
      <c r="W210">
        <f t="array" ref="W210">INDEX(INC_MINVALUES,$V210,$K$1)</f>
        <v>480</v>
      </c>
      <c r="X210" s="212">
        <f t="array" ref="X210">INDEX(INC_INCVALUES,$V210,$K$1)</f>
        <v>4</v>
      </c>
    </row>
    <row r="211" ht="15.75" customHeight="1">
      <c r="A211" s="435"/>
      <c r="B211" s="436"/>
      <c r="C211" s="95" t="str">
        <f t="array" ref="C211">IF(I211&gt;0,INDEX(DB,I211,8),"")</f>
        <v/>
      </c>
      <c r="D211" s="437">
        <f t="shared" si="1"/>
        <v>0</v>
      </c>
      <c r="F211" s="438">
        <f t="shared" si="2"/>
        <v>0</v>
      </c>
      <c r="G211" t="str">
        <f t="shared" si="3"/>
        <v/>
      </c>
      <c r="H211" t="b">
        <f t="shared" si="4"/>
        <v>0</v>
      </c>
      <c r="I211" s="439">
        <f>IF(OR(ISBLANK(A211),ISNA(MATCH(A211&amp;"",AthleteNumbers,0))),0,MATCH(A211&amp;"",AthleteNumbers,0))</f>
        <v>0</v>
      </c>
      <c r="J211" s="209">
        <f t="array" ref="J211">IF(I211&gt;0,INDEX(DB,$I211,6),0)</f>
        <v>0</v>
      </c>
      <c r="K211" s="446">
        <f t="shared" si="5"/>
        <v>0</v>
      </c>
      <c r="L211" s="440">
        <f t="shared" si="6"/>
        <v>0</v>
      </c>
      <c r="M211" s="441">
        <f>IF(AND(L211&gt;O211,O211&gt;0),MinPoints,IF(AND(L211&lt;N211,O211&gt;0),100,+INT((O211-$L211)/P211)+MinPoints))</f>
        <v>100</v>
      </c>
      <c r="N211" s="440">
        <f t="shared" si="7"/>
        <v>90</v>
      </c>
      <c r="O211" s="440">
        <f t="shared" si="8"/>
        <v>180</v>
      </c>
      <c r="P211" s="440">
        <f t="shared" si="9"/>
        <v>1</v>
      </c>
      <c r="Q211">
        <f t="array" ref="Q211">IF(I211&gt;0,INDEX(DB,I211,9),EventIndex)</f>
        <v>6</v>
      </c>
      <c r="S211">
        <f t="array" ref="S211">(INT(INDEX(MINVALUES,$Q211,$K$1))*60)+(MOD(INDEX(MINVALUES,$Q211,$K$1),1)*100)</f>
        <v>180</v>
      </c>
      <c r="T211">
        <f t="array" ref="T211">(INDEX(INCVALUES,$Q211,$K$1)*100)</f>
        <v>1</v>
      </c>
      <c r="V211">
        <f t="array" ref="V211">+J211+(4*(INDEX(MatchScoreTable,$Q211,20)-1))</f>
        <v>4</v>
      </c>
      <c r="W211">
        <f t="array" ref="W211">INDEX(INC_MINVALUES,$V211,$K$1)</f>
        <v>480</v>
      </c>
      <c r="X211" s="212">
        <f t="array" ref="X211">INDEX(INC_INCVALUES,$V211,$K$1)</f>
        <v>4</v>
      </c>
    </row>
    <row r="212" ht="15.75" customHeight="1">
      <c r="A212" s="435"/>
      <c r="B212" s="436"/>
      <c r="C212" s="95" t="str">
        <f t="array" ref="C212">IF(I212&gt;0,INDEX(DB,I212,8),"")</f>
        <v/>
      </c>
      <c r="D212" s="437">
        <f t="shared" si="1"/>
        <v>0</v>
      </c>
      <c r="F212" s="438">
        <f t="shared" si="2"/>
        <v>0</v>
      </c>
      <c r="G212" t="str">
        <f t="shared" si="3"/>
        <v/>
      </c>
      <c r="H212" t="b">
        <f t="shared" si="4"/>
        <v>0</v>
      </c>
      <c r="I212" s="439">
        <f>IF(OR(ISBLANK(A212),ISNA(MATCH(A212&amp;"",AthleteNumbers,0))),0,MATCH(A212&amp;"",AthleteNumbers,0))</f>
        <v>0</v>
      </c>
      <c r="J212" s="209">
        <f t="array" ref="J212">IF(I212&gt;0,INDEX(DB,$I212,6),0)</f>
        <v>0</v>
      </c>
      <c r="K212" s="446">
        <f t="shared" si="5"/>
        <v>0</v>
      </c>
      <c r="L212" s="440">
        <f t="shared" si="6"/>
        <v>0</v>
      </c>
      <c r="M212" s="441">
        <f>IF(AND(L212&gt;O212,O212&gt;0),MinPoints,IF(AND(L212&lt;N212,O212&gt;0),100,+INT((O212-$L212)/P212)+MinPoints))</f>
        <v>100</v>
      </c>
      <c r="N212" s="440">
        <f t="shared" si="7"/>
        <v>90</v>
      </c>
      <c r="O212" s="440">
        <f t="shared" si="8"/>
        <v>180</v>
      </c>
      <c r="P212" s="440">
        <f t="shared" si="9"/>
        <v>1</v>
      </c>
      <c r="Q212">
        <f t="array" ref="Q212">IF(I212&gt;0,INDEX(DB,I212,9),EventIndex)</f>
        <v>6</v>
      </c>
      <c r="S212">
        <f t="array" ref="S212">(INT(INDEX(MINVALUES,$Q212,$K$1))*60)+(MOD(INDEX(MINVALUES,$Q212,$K$1),1)*100)</f>
        <v>180</v>
      </c>
      <c r="T212">
        <f t="array" ref="T212">(INDEX(INCVALUES,$Q212,$K$1)*100)</f>
        <v>1</v>
      </c>
      <c r="V212">
        <f t="array" ref="V212">+J212+(4*(INDEX(MatchScoreTable,$Q212,20)-1))</f>
        <v>4</v>
      </c>
      <c r="W212">
        <f t="array" ref="W212">INDEX(INC_MINVALUES,$V212,$K$1)</f>
        <v>480</v>
      </c>
      <c r="X212" s="212">
        <f t="array" ref="X212">INDEX(INC_INCVALUES,$V212,$K$1)</f>
        <v>4</v>
      </c>
    </row>
    <row r="213" ht="15.75" customHeight="1">
      <c r="A213" s="435"/>
      <c r="B213" s="436"/>
      <c r="C213" s="95" t="str">
        <f t="array" ref="C213">IF(I213&gt;0,INDEX(DB,I213,8),"")</f>
        <v/>
      </c>
      <c r="D213" s="437">
        <f t="shared" si="1"/>
        <v>0</v>
      </c>
      <c r="F213" s="438">
        <f t="shared" si="2"/>
        <v>0</v>
      </c>
      <c r="G213" t="str">
        <f t="shared" si="3"/>
        <v/>
      </c>
      <c r="H213" t="b">
        <f t="shared" si="4"/>
        <v>0</v>
      </c>
      <c r="I213" s="439">
        <f>IF(OR(ISBLANK(A213),ISNA(MATCH(A213&amp;"",AthleteNumbers,0))),0,MATCH(A213&amp;"",AthleteNumbers,0))</f>
        <v>0</v>
      </c>
      <c r="J213" s="209">
        <f t="array" ref="J213">IF(I213&gt;0,INDEX(DB,$I213,6),0)</f>
        <v>0</v>
      </c>
      <c r="K213" s="446">
        <f t="shared" si="5"/>
        <v>0</v>
      </c>
      <c r="L213" s="440">
        <f t="shared" si="6"/>
        <v>0</v>
      </c>
      <c r="M213" s="441">
        <f>IF(AND(L213&gt;O213,O213&gt;0),MinPoints,IF(AND(L213&lt;N213,O213&gt;0),100,+INT((O213-$L213)/P213)+MinPoints))</f>
        <v>100</v>
      </c>
      <c r="N213" s="440">
        <f t="shared" si="7"/>
        <v>90</v>
      </c>
      <c r="O213" s="440">
        <f t="shared" si="8"/>
        <v>180</v>
      </c>
      <c r="P213" s="440">
        <f t="shared" si="9"/>
        <v>1</v>
      </c>
      <c r="Q213">
        <f t="array" ref="Q213">IF(I213&gt;0,INDEX(DB,I213,9),EventIndex)</f>
        <v>6</v>
      </c>
      <c r="S213">
        <f t="array" ref="S213">(INT(INDEX(MINVALUES,$Q213,$K$1))*60)+(MOD(INDEX(MINVALUES,$Q213,$K$1),1)*100)</f>
        <v>180</v>
      </c>
      <c r="T213">
        <f t="array" ref="T213">(INDEX(INCVALUES,$Q213,$K$1)*100)</f>
        <v>1</v>
      </c>
      <c r="V213">
        <f t="array" ref="V213">+J213+(4*(INDEX(MatchScoreTable,$Q213,20)-1))</f>
        <v>4</v>
      </c>
      <c r="W213">
        <f t="array" ref="W213">INDEX(INC_MINVALUES,$V213,$K$1)</f>
        <v>480</v>
      </c>
      <c r="X213" s="212">
        <f t="array" ref="X213">INDEX(INC_INCVALUES,$V213,$K$1)</f>
        <v>4</v>
      </c>
    </row>
    <row r="214" ht="15.75" customHeight="1">
      <c r="A214" s="435"/>
      <c r="B214" s="436"/>
      <c r="C214" s="95" t="str">
        <f t="array" ref="C214">IF(I214&gt;0,INDEX(DB,I214,8),"")</f>
        <v/>
      </c>
      <c r="D214" s="437">
        <f t="shared" si="1"/>
        <v>0</v>
      </c>
      <c r="F214" s="438">
        <f t="shared" si="2"/>
        <v>0</v>
      </c>
      <c r="G214" t="str">
        <f t="shared" si="3"/>
        <v/>
      </c>
      <c r="H214" t="b">
        <f t="shared" si="4"/>
        <v>0</v>
      </c>
      <c r="I214" s="439">
        <f>IF(OR(ISBLANK(A214),ISNA(MATCH(A214&amp;"",AthleteNumbers,0))),0,MATCH(A214&amp;"",AthleteNumbers,0))</f>
        <v>0</v>
      </c>
      <c r="J214" s="209">
        <f t="array" ref="J214">IF(I214&gt;0,INDEX(DB,$I214,6),0)</f>
        <v>0</v>
      </c>
      <c r="K214" s="446">
        <f t="shared" si="5"/>
        <v>0</v>
      </c>
      <c r="L214" s="440">
        <f t="shared" si="6"/>
        <v>0</v>
      </c>
      <c r="M214" s="441">
        <f>IF(AND(L214&gt;O214,O214&gt;0),MinPoints,IF(AND(L214&lt;N214,O214&gt;0),100,+INT((O214-$L214)/P214)+MinPoints))</f>
        <v>100</v>
      </c>
      <c r="N214" s="440">
        <f t="shared" si="7"/>
        <v>90</v>
      </c>
      <c r="O214" s="440">
        <f t="shared" si="8"/>
        <v>180</v>
      </c>
      <c r="P214" s="440">
        <f t="shared" si="9"/>
        <v>1</v>
      </c>
      <c r="Q214">
        <f t="array" ref="Q214">IF(I214&gt;0,INDEX(DB,I214,9),EventIndex)</f>
        <v>6</v>
      </c>
      <c r="S214">
        <f t="array" ref="S214">(INT(INDEX(MINVALUES,$Q214,$K$1))*60)+(MOD(INDEX(MINVALUES,$Q214,$K$1),1)*100)</f>
        <v>180</v>
      </c>
      <c r="T214">
        <f t="array" ref="T214">(INDEX(INCVALUES,$Q214,$K$1)*100)</f>
        <v>1</v>
      </c>
      <c r="V214">
        <f t="array" ref="V214">+J214+(4*(INDEX(MatchScoreTable,$Q214,20)-1))</f>
        <v>4</v>
      </c>
      <c r="W214">
        <f t="array" ref="W214">INDEX(INC_MINVALUES,$V214,$K$1)</f>
        <v>480</v>
      </c>
      <c r="X214" s="212">
        <f t="array" ref="X214">INDEX(INC_INCVALUES,$V214,$K$1)</f>
        <v>4</v>
      </c>
    </row>
    <row r="215" ht="15.75" customHeight="1">
      <c r="A215" s="435"/>
      <c r="B215" s="436"/>
      <c r="C215" s="95" t="str">
        <f t="array" ref="C215">IF(I215&gt;0,INDEX(DB,I215,8),"")</f>
        <v/>
      </c>
      <c r="D215" s="437">
        <f t="shared" si="1"/>
        <v>0</v>
      </c>
      <c r="F215" s="438">
        <f t="shared" si="2"/>
        <v>0</v>
      </c>
      <c r="G215" t="str">
        <f t="shared" si="3"/>
        <v/>
      </c>
      <c r="H215" t="b">
        <f t="shared" si="4"/>
        <v>0</v>
      </c>
      <c r="I215" s="439">
        <f>IF(OR(ISBLANK(A215),ISNA(MATCH(A215&amp;"",AthleteNumbers,0))),0,MATCH(A215&amp;"",AthleteNumbers,0))</f>
        <v>0</v>
      </c>
      <c r="J215" s="209">
        <f t="array" ref="J215">IF(I215&gt;0,INDEX(DB,$I215,6),0)</f>
        <v>0</v>
      </c>
      <c r="K215" s="446">
        <f t="shared" si="5"/>
        <v>0</v>
      </c>
      <c r="L215" s="440">
        <f t="shared" si="6"/>
        <v>0</v>
      </c>
      <c r="M215" s="441">
        <f>IF(AND(L215&gt;O215,O215&gt;0),MinPoints,IF(AND(L215&lt;N215,O215&gt;0),100,+INT((O215-$L215)/P215)+MinPoints))</f>
        <v>100</v>
      </c>
      <c r="N215" s="440">
        <f t="shared" si="7"/>
        <v>90</v>
      </c>
      <c r="O215" s="440">
        <f t="shared" si="8"/>
        <v>180</v>
      </c>
      <c r="P215" s="440">
        <f t="shared" si="9"/>
        <v>1</v>
      </c>
      <c r="Q215">
        <f t="array" ref="Q215">IF(I215&gt;0,INDEX(DB,I215,9),EventIndex)</f>
        <v>6</v>
      </c>
      <c r="S215">
        <f t="array" ref="S215">(INT(INDEX(MINVALUES,$Q215,$K$1))*60)+(MOD(INDEX(MINVALUES,$Q215,$K$1),1)*100)</f>
        <v>180</v>
      </c>
      <c r="T215">
        <f t="array" ref="T215">(INDEX(INCVALUES,$Q215,$K$1)*100)</f>
        <v>1</v>
      </c>
      <c r="V215">
        <f t="array" ref="V215">+J215+(4*(INDEX(MatchScoreTable,$Q215,20)-1))</f>
        <v>4</v>
      </c>
      <c r="W215">
        <f t="array" ref="W215">INDEX(INC_MINVALUES,$V215,$K$1)</f>
        <v>480</v>
      </c>
      <c r="X215" s="212">
        <f t="array" ref="X215">INDEX(INC_INCVALUES,$V215,$K$1)</f>
        <v>4</v>
      </c>
    </row>
    <row r="216" ht="15.75" customHeight="1">
      <c r="A216" s="435"/>
      <c r="B216" s="436"/>
      <c r="C216" s="95" t="str">
        <f t="array" ref="C216">IF(I216&gt;0,INDEX(DB,I216,8),"")</f>
        <v/>
      </c>
      <c r="D216" s="437">
        <f t="shared" si="1"/>
        <v>0</v>
      </c>
      <c r="F216" s="438">
        <f t="shared" si="2"/>
        <v>0</v>
      </c>
      <c r="G216" t="str">
        <f t="shared" si="3"/>
        <v/>
      </c>
      <c r="H216" t="b">
        <f t="shared" si="4"/>
        <v>0</v>
      </c>
      <c r="I216" s="439">
        <f>IF(OR(ISBLANK(A216),ISNA(MATCH(A216&amp;"",AthleteNumbers,0))),0,MATCH(A216&amp;"",AthleteNumbers,0))</f>
        <v>0</v>
      </c>
      <c r="J216" s="209">
        <f t="array" ref="J216">IF(I216&gt;0,INDEX(DB,$I216,6),0)</f>
        <v>0</v>
      </c>
      <c r="K216" s="446">
        <f t="shared" si="5"/>
        <v>0</v>
      </c>
      <c r="L216" s="440">
        <f t="shared" si="6"/>
        <v>0</v>
      </c>
      <c r="M216" s="441">
        <f>IF(AND(L216&gt;O216,O216&gt;0),MinPoints,IF(AND(L216&lt;N216,O216&gt;0),100,+INT((O216-$L216)/P216)+MinPoints))</f>
        <v>100</v>
      </c>
      <c r="N216" s="440">
        <f t="shared" si="7"/>
        <v>90</v>
      </c>
      <c r="O216" s="440">
        <f t="shared" si="8"/>
        <v>180</v>
      </c>
      <c r="P216" s="440">
        <f t="shared" si="9"/>
        <v>1</v>
      </c>
      <c r="Q216">
        <f t="array" ref="Q216">IF(I216&gt;0,INDEX(DB,I216,9),EventIndex)</f>
        <v>6</v>
      </c>
      <c r="S216">
        <f t="array" ref="S216">(INT(INDEX(MINVALUES,$Q216,$K$1))*60)+(MOD(INDEX(MINVALUES,$Q216,$K$1),1)*100)</f>
        <v>180</v>
      </c>
      <c r="T216">
        <f t="array" ref="T216">(INDEX(INCVALUES,$Q216,$K$1)*100)</f>
        <v>1</v>
      </c>
      <c r="V216">
        <f t="array" ref="V216">+J216+(4*(INDEX(MatchScoreTable,$Q216,20)-1))</f>
        <v>4</v>
      </c>
      <c r="W216">
        <f t="array" ref="W216">INDEX(INC_MINVALUES,$V216,$K$1)</f>
        <v>480</v>
      </c>
      <c r="X216" s="212">
        <f t="array" ref="X216">INDEX(INC_INCVALUES,$V216,$K$1)</f>
        <v>4</v>
      </c>
    </row>
    <row r="217" ht="15.75" customHeight="1">
      <c r="A217" s="435"/>
      <c r="B217" s="436"/>
      <c r="C217" s="95" t="str">
        <f t="array" ref="C217">IF(I217&gt;0,INDEX(DB,I217,8),"")</f>
        <v/>
      </c>
      <c r="D217" s="437">
        <f t="shared" si="1"/>
        <v>0</v>
      </c>
      <c r="F217" s="438">
        <f t="shared" si="2"/>
        <v>0</v>
      </c>
      <c r="G217" t="str">
        <f t="shared" si="3"/>
        <v/>
      </c>
      <c r="H217" t="b">
        <f t="shared" si="4"/>
        <v>0</v>
      </c>
      <c r="I217" s="439">
        <f>IF(OR(ISBLANK(A217),ISNA(MATCH(A217&amp;"",AthleteNumbers,0))),0,MATCH(A217&amp;"",AthleteNumbers,0))</f>
        <v>0</v>
      </c>
      <c r="J217" s="209">
        <f t="array" ref="J217">IF(I217&gt;0,INDEX(DB,$I217,6),0)</f>
        <v>0</v>
      </c>
      <c r="K217" s="446">
        <f t="shared" si="5"/>
        <v>0</v>
      </c>
      <c r="L217" s="440">
        <f t="shared" si="6"/>
        <v>0</v>
      </c>
      <c r="M217" s="441">
        <f>IF(AND(L217&gt;O217,O217&gt;0),MinPoints,IF(AND(L217&lt;N217,O217&gt;0),100,+INT((O217-$L217)/P217)+MinPoints))</f>
        <v>100</v>
      </c>
      <c r="N217" s="440">
        <f t="shared" si="7"/>
        <v>90</v>
      </c>
      <c r="O217" s="440">
        <f t="shared" si="8"/>
        <v>180</v>
      </c>
      <c r="P217" s="440">
        <f t="shared" si="9"/>
        <v>1</v>
      </c>
      <c r="Q217">
        <f t="array" ref="Q217">IF(I217&gt;0,INDEX(DB,I217,9),EventIndex)</f>
        <v>6</v>
      </c>
      <c r="S217">
        <f t="array" ref="S217">(INT(INDEX(MINVALUES,$Q217,$K$1))*60)+(MOD(INDEX(MINVALUES,$Q217,$K$1),1)*100)</f>
        <v>180</v>
      </c>
      <c r="T217">
        <f t="array" ref="T217">(INDEX(INCVALUES,$Q217,$K$1)*100)</f>
        <v>1</v>
      </c>
      <c r="V217">
        <f t="array" ref="V217">+J217+(4*(INDEX(MatchScoreTable,$Q217,20)-1))</f>
        <v>4</v>
      </c>
      <c r="W217">
        <f t="array" ref="W217">INDEX(INC_MINVALUES,$V217,$K$1)</f>
        <v>480</v>
      </c>
      <c r="X217" s="212">
        <f t="array" ref="X217">INDEX(INC_INCVALUES,$V217,$K$1)</f>
        <v>4</v>
      </c>
    </row>
    <row r="218" ht="15.75" customHeight="1">
      <c r="A218" s="435"/>
      <c r="B218" s="436"/>
      <c r="C218" s="95" t="str">
        <f t="array" ref="C218">IF(I218&gt;0,INDEX(DB,I218,8),"")</f>
        <v/>
      </c>
      <c r="D218" s="437">
        <f t="shared" si="1"/>
        <v>0</v>
      </c>
      <c r="F218" s="438">
        <f t="shared" si="2"/>
        <v>0</v>
      </c>
      <c r="G218" t="str">
        <f t="shared" si="3"/>
        <v/>
      </c>
      <c r="H218" t="b">
        <f t="shared" si="4"/>
        <v>0</v>
      </c>
      <c r="I218" s="439">
        <f>IF(OR(ISBLANK(A218),ISNA(MATCH(A218&amp;"",AthleteNumbers,0))),0,MATCH(A218&amp;"",AthleteNumbers,0))</f>
        <v>0</v>
      </c>
      <c r="J218" s="209">
        <f t="array" ref="J218">IF(I218&gt;0,INDEX(DB,$I218,6),0)</f>
        <v>0</v>
      </c>
      <c r="K218" s="446">
        <f t="shared" si="5"/>
        <v>0</v>
      </c>
      <c r="L218" s="440">
        <f t="shared" si="6"/>
        <v>0</v>
      </c>
      <c r="M218" s="441">
        <f>IF(AND(L218&gt;O218,O218&gt;0),MinPoints,IF(AND(L218&lt;N218,O218&gt;0),100,+INT((O218-$L218)/P218)+MinPoints))</f>
        <v>100</v>
      </c>
      <c r="N218" s="440">
        <f t="shared" si="7"/>
        <v>90</v>
      </c>
      <c r="O218" s="440">
        <f t="shared" si="8"/>
        <v>180</v>
      </c>
      <c r="P218" s="440">
        <f t="shared" si="9"/>
        <v>1</v>
      </c>
      <c r="Q218">
        <f t="array" ref="Q218">IF(I218&gt;0,INDEX(DB,I218,9),EventIndex)</f>
        <v>6</v>
      </c>
      <c r="S218">
        <f t="array" ref="S218">(INT(INDEX(MINVALUES,$Q218,$K$1))*60)+(MOD(INDEX(MINVALUES,$Q218,$K$1),1)*100)</f>
        <v>180</v>
      </c>
      <c r="T218">
        <f t="array" ref="T218">(INDEX(INCVALUES,$Q218,$K$1)*100)</f>
        <v>1</v>
      </c>
      <c r="V218">
        <f t="array" ref="V218">+J218+(4*(INDEX(MatchScoreTable,$Q218,20)-1))</f>
        <v>4</v>
      </c>
      <c r="W218">
        <f t="array" ref="W218">INDEX(INC_MINVALUES,$V218,$K$1)</f>
        <v>480</v>
      </c>
      <c r="X218" s="212">
        <f t="array" ref="X218">INDEX(INC_INCVALUES,$V218,$K$1)</f>
        <v>4</v>
      </c>
    </row>
    <row r="219" ht="15.75" customHeight="1">
      <c r="A219" s="435"/>
      <c r="B219" s="436"/>
      <c r="C219" s="95" t="str">
        <f t="array" ref="C219">IF(I219&gt;0,INDEX(DB,I219,8),"")</f>
        <v/>
      </c>
      <c r="D219" s="437">
        <f t="shared" si="1"/>
        <v>0</v>
      </c>
      <c r="F219" s="438">
        <f t="shared" si="2"/>
        <v>0</v>
      </c>
      <c r="G219" t="str">
        <f t="shared" si="3"/>
        <v/>
      </c>
      <c r="H219" t="b">
        <f t="shared" si="4"/>
        <v>0</v>
      </c>
      <c r="I219" s="439">
        <f>IF(OR(ISBLANK(A219),ISNA(MATCH(A219&amp;"",AthleteNumbers,0))),0,MATCH(A219&amp;"",AthleteNumbers,0))</f>
        <v>0</v>
      </c>
      <c r="J219" s="209">
        <f t="array" ref="J219">IF(I219&gt;0,INDEX(DB,$I219,6),0)</f>
        <v>0</v>
      </c>
      <c r="K219" s="446">
        <f t="shared" si="5"/>
        <v>0</v>
      </c>
      <c r="L219" s="440">
        <f t="shared" si="6"/>
        <v>0</v>
      </c>
      <c r="M219" s="441">
        <f>IF(AND(L219&gt;O219,O219&gt;0),MinPoints,IF(AND(L219&lt;N219,O219&gt;0),100,+INT((O219-$L219)/P219)+MinPoints))</f>
        <v>100</v>
      </c>
      <c r="N219" s="440">
        <f t="shared" si="7"/>
        <v>90</v>
      </c>
      <c r="O219" s="440">
        <f t="shared" si="8"/>
        <v>180</v>
      </c>
      <c r="P219" s="440">
        <f t="shared" si="9"/>
        <v>1</v>
      </c>
      <c r="Q219">
        <f t="array" ref="Q219">IF(I219&gt;0,INDEX(DB,I219,9),EventIndex)</f>
        <v>6</v>
      </c>
      <c r="S219">
        <f t="array" ref="S219">(INT(INDEX(MINVALUES,$Q219,$K$1))*60)+(MOD(INDEX(MINVALUES,$Q219,$K$1),1)*100)</f>
        <v>180</v>
      </c>
      <c r="T219">
        <f t="array" ref="T219">(INDEX(INCVALUES,$Q219,$K$1)*100)</f>
        <v>1</v>
      </c>
      <c r="V219">
        <f t="array" ref="V219">+J219+(4*(INDEX(MatchScoreTable,$Q219,20)-1))</f>
        <v>4</v>
      </c>
      <c r="W219">
        <f t="array" ref="W219">INDEX(INC_MINVALUES,$V219,$K$1)</f>
        <v>480</v>
      </c>
      <c r="X219" s="212">
        <f t="array" ref="X219">INDEX(INC_INCVALUES,$V219,$K$1)</f>
        <v>4</v>
      </c>
    </row>
    <row r="220" ht="15.75" customHeight="1">
      <c r="A220" s="435"/>
      <c r="B220" s="436"/>
      <c r="C220" s="95" t="str">
        <f t="array" ref="C220">IF(I220&gt;0,INDEX(DB,I220,8),"")</f>
        <v/>
      </c>
      <c r="D220" s="437">
        <f t="shared" si="1"/>
        <v>0</v>
      </c>
      <c r="F220" s="438">
        <f t="shared" si="2"/>
        <v>0</v>
      </c>
      <c r="G220" t="str">
        <f t="shared" si="3"/>
        <v/>
      </c>
      <c r="H220" t="b">
        <f t="shared" si="4"/>
        <v>0</v>
      </c>
      <c r="I220" s="439">
        <f>IF(OR(ISBLANK(A220),ISNA(MATCH(A220&amp;"",AthleteNumbers,0))),0,MATCH(A220&amp;"",AthleteNumbers,0))</f>
        <v>0</v>
      </c>
      <c r="J220" s="209">
        <f t="array" ref="J220">IF(I220&gt;0,INDEX(DB,$I220,6),0)</f>
        <v>0</v>
      </c>
      <c r="K220" s="446">
        <f t="shared" si="5"/>
        <v>0</v>
      </c>
      <c r="L220" s="440">
        <f t="shared" si="6"/>
        <v>0</v>
      </c>
      <c r="M220" s="441">
        <f>IF(AND(L220&gt;O220,O220&gt;0),MinPoints,IF(AND(L220&lt;N220,O220&gt;0),100,+INT((O220-$L220)/P220)+MinPoints))</f>
        <v>100</v>
      </c>
      <c r="N220" s="440">
        <f t="shared" si="7"/>
        <v>90</v>
      </c>
      <c r="O220" s="440">
        <f t="shared" si="8"/>
        <v>180</v>
      </c>
      <c r="P220" s="440">
        <f t="shared" si="9"/>
        <v>1</v>
      </c>
      <c r="Q220">
        <f t="array" ref="Q220">IF(I220&gt;0,INDEX(DB,I220,9),EventIndex)</f>
        <v>6</v>
      </c>
      <c r="S220">
        <f t="array" ref="S220">(INT(INDEX(MINVALUES,$Q220,$K$1))*60)+(MOD(INDEX(MINVALUES,$Q220,$K$1),1)*100)</f>
        <v>180</v>
      </c>
      <c r="T220">
        <f t="array" ref="T220">(INDEX(INCVALUES,$Q220,$K$1)*100)</f>
        <v>1</v>
      </c>
      <c r="V220">
        <f t="array" ref="V220">+J220+(4*(INDEX(MatchScoreTable,$Q220,20)-1))</f>
        <v>4</v>
      </c>
      <c r="W220">
        <f t="array" ref="W220">INDEX(INC_MINVALUES,$V220,$K$1)</f>
        <v>480</v>
      </c>
      <c r="X220" s="212">
        <f t="array" ref="X220">INDEX(INC_INCVALUES,$V220,$K$1)</f>
        <v>4</v>
      </c>
    </row>
    <row r="221" ht="15.75" customHeight="1">
      <c r="A221" s="435"/>
      <c r="B221" s="436"/>
      <c r="C221" s="95" t="str">
        <f t="array" ref="C221">IF(I221&gt;0,INDEX(DB,I221,8),"")</f>
        <v/>
      </c>
      <c r="D221" s="437">
        <f t="shared" si="1"/>
        <v>0</v>
      </c>
      <c r="F221" s="438">
        <f t="shared" si="2"/>
        <v>0</v>
      </c>
      <c r="G221" t="str">
        <f t="shared" si="3"/>
        <v/>
      </c>
      <c r="H221" t="b">
        <f t="shared" si="4"/>
        <v>0</v>
      </c>
      <c r="I221" s="439">
        <f>IF(OR(ISBLANK(A221),ISNA(MATCH(A221&amp;"",AthleteNumbers,0))),0,MATCH(A221&amp;"",AthleteNumbers,0))</f>
        <v>0</v>
      </c>
      <c r="J221" s="209">
        <f t="array" ref="J221">IF(I221&gt;0,INDEX(DB,$I221,6),0)</f>
        <v>0</v>
      </c>
      <c r="K221" s="446">
        <f t="shared" si="5"/>
        <v>0</v>
      </c>
      <c r="L221" s="440">
        <f t="shared" si="6"/>
        <v>0</v>
      </c>
      <c r="M221" s="441">
        <f>IF(AND(L221&gt;O221,O221&gt;0),MinPoints,IF(AND(L221&lt;N221,O221&gt;0),100,+INT((O221-$L221)/P221)+MinPoints))</f>
        <v>100</v>
      </c>
      <c r="N221" s="440">
        <f t="shared" si="7"/>
        <v>90</v>
      </c>
      <c r="O221" s="440">
        <f t="shared" si="8"/>
        <v>180</v>
      </c>
      <c r="P221" s="440">
        <f t="shared" si="9"/>
        <v>1</v>
      </c>
      <c r="Q221">
        <f t="array" ref="Q221">IF(I221&gt;0,INDEX(DB,I221,9),EventIndex)</f>
        <v>6</v>
      </c>
      <c r="S221">
        <f t="array" ref="S221">(INT(INDEX(MINVALUES,$Q221,$K$1))*60)+(MOD(INDEX(MINVALUES,$Q221,$K$1),1)*100)</f>
        <v>180</v>
      </c>
      <c r="T221">
        <f t="array" ref="T221">(INDEX(INCVALUES,$Q221,$K$1)*100)</f>
        <v>1</v>
      </c>
      <c r="V221">
        <f t="array" ref="V221">+J221+(4*(INDEX(MatchScoreTable,$Q221,20)-1))</f>
        <v>4</v>
      </c>
      <c r="W221">
        <f t="array" ref="W221">INDEX(INC_MINVALUES,$V221,$K$1)</f>
        <v>480</v>
      </c>
      <c r="X221" s="212">
        <f t="array" ref="X221">INDEX(INC_INCVALUES,$V221,$K$1)</f>
        <v>4</v>
      </c>
    </row>
    <row r="222" ht="15.75" customHeight="1">
      <c r="A222" s="435"/>
      <c r="B222" s="436"/>
      <c r="C222" s="95" t="str">
        <f t="array" ref="C222">IF(I222&gt;0,INDEX(DB,I222,8),"")</f>
        <v/>
      </c>
      <c r="D222" s="437">
        <f t="shared" si="1"/>
        <v>0</v>
      </c>
      <c r="F222" s="438">
        <f t="shared" si="2"/>
        <v>0</v>
      </c>
      <c r="G222" t="str">
        <f t="shared" si="3"/>
        <v/>
      </c>
      <c r="H222" t="b">
        <f t="shared" si="4"/>
        <v>0</v>
      </c>
      <c r="I222" s="439">
        <f>IF(OR(ISBLANK(A222),ISNA(MATCH(A222&amp;"",AthleteNumbers,0))),0,MATCH(A222&amp;"",AthleteNumbers,0))</f>
        <v>0</v>
      </c>
      <c r="J222" s="209">
        <f t="array" ref="J222">IF(I222&gt;0,INDEX(DB,$I222,6),0)</f>
        <v>0</v>
      </c>
      <c r="K222" s="446">
        <f t="shared" si="5"/>
        <v>0</v>
      </c>
      <c r="L222" s="440">
        <f t="shared" si="6"/>
        <v>0</v>
      </c>
      <c r="M222" s="441">
        <f>IF(AND(L222&gt;O222,O222&gt;0),MinPoints,IF(AND(L222&lt;N222,O222&gt;0),100,+INT((O222-$L222)/P222)+MinPoints))</f>
        <v>100</v>
      </c>
      <c r="N222" s="440">
        <f t="shared" si="7"/>
        <v>90</v>
      </c>
      <c r="O222" s="440">
        <f t="shared" si="8"/>
        <v>180</v>
      </c>
      <c r="P222" s="440">
        <f t="shared" si="9"/>
        <v>1</v>
      </c>
      <c r="Q222">
        <f t="array" ref="Q222">IF(I222&gt;0,INDEX(DB,I222,9),EventIndex)</f>
        <v>6</v>
      </c>
      <c r="S222">
        <f t="array" ref="S222">(INT(INDEX(MINVALUES,$Q222,$K$1))*60)+(MOD(INDEX(MINVALUES,$Q222,$K$1),1)*100)</f>
        <v>180</v>
      </c>
      <c r="T222">
        <f t="array" ref="T222">(INDEX(INCVALUES,$Q222,$K$1)*100)</f>
        <v>1</v>
      </c>
      <c r="V222">
        <f t="array" ref="V222">+J222+(4*(INDEX(MatchScoreTable,$Q222,20)-1))</f>
        <v>4</v>
      </c>
      <c r="W222">
        <f t="array" ref="W222">INDEX(INC_MINVALUES,$V222,$K$1)</f>
        <v>480</v>
      </c>
      <c r="X222" s="212">
        <f t="array" ref="X222">INDEX(INC_INCVALUES,$V222,$K$1)</f>
        <v>4</v>
      </c>
    </row>
    <row r="223" ht="15.75" customHeight="1">
      <c r="A223" s="435"/>
      <c r="B223" s="436"/>
      <c r="C223" s="95" t="str">
        <f t="array" ref="C223">IF(I223&gt;0,INDEX(DB,I223,8),"")</f>
        <v/>
      </c>
      <c r="D223" s="437">
        <f t="shared" si="1"/>
        <v>0</v>
      </c>
      <c r="F223" s="438">
        <f t="shared" si="2"/>
        <v>0</v>
      </c>
      <c r="G223" t="str">
        <f t="shared" si="3"/>
        <v/>
      </c>
      <c r="H223" t="b">
        <f t="shared" si="4"/>
        <v>0</v>
      </c>
      <c r="I223" s="439">
        <f>IF(OR(ISBLANK(A223),ISNA(MATCH(A223&amp;"",AthleteNumbers,0))),0,MATCH(A223&amp;"",AthleteNumbers,0))</f>
        <v>0</v>
      </c>
      <c r="J223" s="209">
        <f t="array" ref="J223">IF(I223&gt;0,INDEX(DB,$I223,6),0)</f>
        <v>0</v>
      </c>
      <c r="K223" s="446">
        <f t="shared" si="5"/>
        <v>0</v>
      </c>
      <c r="L223" s="440">
        <f t="shared" si="6"/>
        <v>0</v>
      </c>
      <c r="M223" s="441">
        <f>IF(AND(L223&gt;O223,O223&gt;0),MinPoints,IF(AND(L223&lt;N223,O223&gt;0),100,+INT((O223-$L223)/P223)+MinPoints))</f>
        <v>100</v>
      </c>
      <c r="N223" s="440">
        <f t="shared" si="7"/>
        <v>90</v>
      </c>
      <c r="O223" s="440">
        <f t="shared" si="8"/>
        <v>180</v>
      </c>
      <c r="P223" s="440">
        <f t="shared" si="9"/>
        <v>1</v>
      </c>
      <c r="Q223">
        <f t="array" ref="Q223">IF(I223&gt;0,INDEX(DB,I223,9),EventIndex)</f>
        <v>6</v>
      </c>
      <c r="S223">
        <f t="array" ref="S223">(INT(INDEX(MINVALUES,$Q223,$K$1))*60)+(MOD(INDEX(MINVALUES,$Q223,$K$1),1)*100)</f>
        <v>180</v>
      </c>
      <c r="T223">
        <f t="array" ref="T223">(INDEX(INCVALUES,$Q223,$K$1)*100)</f>
        <v>1</v>
      </c>
      <c r="V223">
        <f t="array" ref="V223">+J223+(4*(INDEX(MatchScoreTable,$Q223,20)-1))</f>
        <v>4</v>
      </c>
      <c r="W223">
        <f t="array" ref="W223">INDEX(INC_MINVALUES,$V223,$K$1)</f>
        <v>480</v>
      </c>
      <c r="X223" s="212">
        <f t="array" ref="X223">INDEX(INC_INCVALUES,$V223,$K$1)</f>
        <v>4</v>
      </c>
    </row>
    <row r="224" ht="15.75" customHeight="1">
      <c r="A224" s="435"/>
      <c r="B224" s="436"/>
      <c r="C224" s="95" t="str">
        <f t="array" ref="C224">IF(I224&gt;0,INDEX(DB,I224,8),"")</f>
        <v/>
      </c>
      <c r="D224" s="437">
        <f t="shared" si="1"/>
        <v>0</v>
      </c>
      <c r="F224" s="438">
        <f t="shared" si="2"/>
        <v>0</v>
      </c>
      <c r="G224" t="str">
        <f t="shared" si="3"/>
        <v/>
      </c>
      <c r="H224" t="b">
        <f t="shared" si="4"/>
        <v>0</v>
      </c>
      <c r="I224" s="439">
        <f>IF(OR(ISBLANK(A224),ISNA(MATCH(A224&amp;"",AthleteNumbers,0))),0,MATCH(A224&amp;"",AthleteNumbers,0))</f>
        <v>0</v>
      </c>
      <c r="J224" s="209">
        <f t="array" ref="J224">IF(I224&gt;0,INDEX(DB,$I224,6),0)</f>
        <v>0</v>
      </c>
      <c r="K224" s="446">
        <f t="shared" si="5"/>
        <v>0</v>
      </c>
      <c r="L224" s="440">
        <f t="shared" si="6"/>
        <v>0</v>
      </c>
      <c r="M224" s="441">
        <f>IF(AND(L224&gt;O224,O224&gt;0),MinPoints,IF(AND(L224&lt;N224,O224&gt;0),100,+INT((O224-$L224)/P224)+MinPoints))</f>
        <v>100</v>
      </c>
      <c r="N224" s="440">
        <f t="shared" si="7"/>
        <v>90</v>
      </c>
      <c r="O224" s="440">
        <f t="shared" si="8"/>
        <v>180</v>
      </c>
      <c r="P224" s="440">
        <f t="shared" si="9"/>
        <v>1</v>
      </c>
      <c r="Q224">
        <f t="array" ref="Q224">IF(I224&gt;0,INDEX(DB,I224,9),EventIndex)</f>
        <v>6</v>
      </c>
      <c r="S224">
        <f t="array" ref="S224">(INT(INDEX(MINVALUES,$Q224,$K$1))*60)+(MOD(INDEX(MINVALUES,$Q224,$K$1),1)*100)</f>
        <v>180</v>
      </c>
      <c r="T224">
        <f t="array" ref="T224">(INDEX(INCVALUES,$Q224,$K$1)*100)</f>
        <v>1</v>
      </c>
      <c r="V224">
        <f t="array" ref="V224">+J224+(4*(INDEX(MatchScoreTable,$Q224,20)-1))</f>
        <v>4</v>
      </c>
      <c r="W224">
        <f t="array" ref="W224">INDEX(INC_MINVALUES,$V224,$K$1)</f>
        <v>480</v>
      </c>
      <c r="X224" s="212">
        <f t="array" ref="X224">INDEX(INC_INCVALUES,$V224,$K$1)</f>
        <v>4</v>
      </c>
    </row>
    <row r="225" ht="15.75" customHeight="1">
      <c r="A225" s="435"/>
      <c r="B225" s="436"/>
      <c r="C225" s="95" t="str">
        <f t="array" ref="C225">IF(I225&gt;0,INDEX(DB,I225,8),"")</f>
        <v/>
      </c>
      <c r="D225" s="437">
        <f t="shared" si="1"/>
        <v>0</v>
      </c>
      <c r="F225" s="438">
        <f t="shared" si="2"/>
        <v>0</v>
      </c>
      <c r="G225" t="str">
        <f t="shared" si="3"/>
        <v/>
      </c>
      <c r="H225" t="b">
        <f t="shared" si="4"/>
        <v>0</v>
      </c>
      <c r="I225" s="439">
        <f>IF(OR(ISBLANK(A225),ISNA(MATCH(A225&amp;"",AthleteNumbers,0))),0,MATCH(A225&amp;"",AthleteNumbers,0))</f>
        <v>0</v>
      </c>
      <c r="J225" s="209">
        <f t="array" ref="J225">IF(I225&gt;0,INDEX(DB,$I225,6),0)</f>
        <v>0</v>
      </c>
      <c r="K225" s="446">
        <f t="shared" si="5"/>
        <v>0</v>
      </c>
      <c r="L225" s="440">
        <f t="shared" si="6"/>
        <v>0</v>
      </c>
      <c r="M225" s="441">
        <f>IF(AND(L225&gt;O225,O225&gt;0),MinPoints,IF(AND(L225&lt;N225,O225&gt;0),100,+INT((O225-$L225)/P225)+MinPoints))</f>
        <v>100</v>
      </c>
      <c r="N225" s="440">
        <f t="shared" si="7"/>
        <v>90</v>
      </c>
      <c r="O225" s="440">
        <f t="shared" si="8"/>
        <v>180</v>
      </c>
      <c r="P225" s="440">
        <f t="shared" si="9"/>
        <v>1</v>
      </c>
      <c r="Q225">
        <f t="array" ref="Q225">IF(I225&gt;0,INDEX(DB,I225,9),EventIndex)</f>
        <v>6</v>
      </c>
      <c r="S225">
        <f t="array" ref="S225">(INT(INDEX(MINVALUES,$Q225,$K$1))*60)+(MOD(INDEX(MINVALUES,$Q225,$K$1),1)*100)</f>
        <v>180</v>
      </c>
      <c r="T225">
        <f t="array" ref="T225">(INDEX(INCVALUES,$Q225,$K$1)*100)</f>
        <v>1</v>
      </c>
      <c r="V225">
        <f t="array" ref="V225">+J225+(4*(INDEX(MatchScoreTable,$Q225,20)-1))</f>
        <v>4</v>
      </c>
      <c r="W225">
        <f t="array" ref="W225">INDEX(INC_MINVALUES,$V225,$K$1)</f>
        <v>480</v>
      </c>
      <c r="X225" s="212">
        <f t="array" ref="X225">INDEX(INC_INCVALUES,$V225,$K$1)</f>
        <v>4</v>
      </c>
    </row>
    <row r="226" ht="15.75" customHeight="1">
      <c r="A226" s="435"/>
      <c r="B226" s="436"/>
      <c r="C226" s="95" t="str">
        <f t="array" ref="C226">IF(I226&gt;0,INDEX(DB,I226,8),"")</f>
        <v/>
      </c>
      <c r="D226" s="437">
        <f t="shared" si="1"/>
        <v>0</v>
      </c>
      <c r="F226" s="438">
        <f t="shared" si="2"/>
        <v>0</v>
      </c>
      <c r="G226" t="str">
        <f t="shared" si="3"/>
        <v/>
      </c>
      <c r="H226" t="b">
        <f t="shared" si="4"/>
        <v>0</v>
      </c>
      <c r="I226" s="439">
        <f>IF(OR(ISBLANK(A226),ISNA(MATCH(A226&amp;"",AthleteNumbers,0))),0,MATCH(A226&amp;"",AthleteNumbers,0))</f>
        <v>0</v>
      </c>
      <c r="J226" s="209">
        <f t="array" ref="J226">IF(I226&gt;0,INDEX(DB,$I226,6),0)</f>
        <v>0</v>
      </c>
      <c r="K226" s="446">
        <f t="shared" si="5"/>
        <v>0</v>
      </c>
      <c r="L226" s="440">
        <f t="shared" si="6"/>
        <v>0</v>
      </c>
      <c r="M226" s="441">
        <f>IF(AND(L226&gt;O226,O226&gt;0),MinPoints,IF(AND(L226&lt;N226,O226&gt;0),100,+INT((O226-$L226)/P226)+MinPoints))</f>
        <v>100</v>
      </c>
      <c r="N226" s="440">
        <f t="shared" si="7"/>
        <v>90</v>
      </c>
      <c r="O226" s="440">
        <f t="shared" si="8"/>
        <v>180</v>
      </c>
      <c r="P226" s="440">
        <f t="shared" si="9"/>
        <v>1</v>
      </c>
      <c r="Q226">
        <f t="array" ref="Q226">IF(I226&gt;0,INDEX(DB,I226,9),EventIndex)</f>
        <v>6</v>
      </c>
      <c r="S226">
        <f t="array" ref="S226">(INT(INDEX(MINVALUES,$Q226,$K$1))*60)+(MOD(INDEX(MINVALUES,$Q226,$K$1),1)*100)</f>
        <v>180</v>
      </c>
      <c r="T226">
        <f t="array" ref="T226">(INDEX(INCVALUES,$Q226,$K$1)*100)</f>
        <v>1</v>
      </c>
      <c r="V226">
        <f t="array" ref="V226">+J226+(4*(INDEX(MatchScoreTable,$Q226,20)-1))</f>
        <v>4</v>
      </c>
      <c r="W226">
        <f t="array" ref="W226">INDEX(INC_MINVALUES,$V226,$K$1)</f>
        <v>480</v>
      </c>
      <c r="X226" s="212">
        <f t="array" ref="X226">INDEX(INC_INCVALUES,$V226,$K$1)</f>
        <v>4</v>
      </c>
    </row>
    <row r="227" ht="15.75" customHeight="1">
      <c r="A227" s="435"/>
      <c r="B227" s="436"/>
      <c r="C227" s="95" t="str">
        <f t="array" ref="C227">IF(I227&gt;0,INDEX(DB,I227,8),"")</f>
        <v/>
      </c>
      <c r="D227" s="437">
        <f t="shared" si="1"/>
        <v>0</v>
      </c>
      <c r="F227" s="438">
        <f t="shared" si="2"/>
        <v>0</v>
      </c>
      <c r="G227" t="str">
        <f t="shared" si="3"/>
        <v/>
      </c>
      <c r="H227" t="b">
        <f t="shared" si="4"/>
        <v>0</v>
      </c>
      <c r="I227" s="439">
        <f>IF(OR(ISBLANK(A227),ISNA(MATCH(A227&amp;"",AthleteNumbers,0))),0,MATCH(A227&amp;"",AthleteNumbers,0))</f>
        <v>0</v>
      </c>
      <c r="J227" s="209">
        <f t="array" ref="J227">IF(I227&gt;0,INDEX(DB,$I227,6),0)</f>
        <v>0</v>
      </c>
      <c r="K227" s="446">
        <f t="shared" si="5"/>
        <v>0</v>
      </c>
      <c r="L227" s="440">
        <f t="shared" si="6"/>
        <v>0</v>
      </c>
      <c r="M227" s="441">
        <f>IF(AND(L227&gt;O227,O227&gt;0),MinPoints,IF(AND(L227&lt;N227,O227&gt;0),100,+INT((O227-$L227)/P227)+MinPoints))</f>
        <v>100</v>
      </c>
      <c r="N227" s="440">
        <f t="shared" si="7"/>
        <v>90</v>
      </c>
      <c r="O227" s="440">
        <f t="shared" si="8"/>
        <v>180</v>
      </c>
      <c r="P227" s="440">
        <f t="shared" si="9"/>
        <v>1</v>
      </c>
      <c r="Q227">
        <f t="array" ref="Q227">IF(I227&gt;0,INDEX(DB,I227,9),EventIndex)</f>
        <v>6</v>
      </c>
      <c r="S227">
        <f t="array" ref="S227">(INT(INDEX(MINVALUES,$Q227,$K$1))*60)+(MOD(INDEX(MINVALUES,$Q227,$K$1),1)*100)</f>
        <v>180</v>
      </c>
      <c r="T227">
        <f t="array" ref="T227">(INDEX(INCVALUES,$Q227,$K$1)*100)</f>
        <v>1</v>
      </c>
      <c r="V227">
        <f t="array" ref="V227">+J227+(4*(INDEX(MatchScoreTable,$Q227,20)-1))</f>
        <v>4</v>
      </c>
      <c r="W227">
        <f t="array" ref="W227">INDEX(INC_MINVALUES,$V227,$K$1)</f>
        <v>480</v>
      </c>
      <c r="X227" s="212">
        <f t="array" ref="X227">INDEX(INC_INCVALUES,$V227,$K$1)</f>
        <v>4</v>
      </c>
    </row>
    <row r="228" ht="15.75" customHeight="1">
      <c r="A228" s="435"/>
      <c r="B228" s="436"/>
      <c r="C228" s="95" t="str">
        <f t="array" ref="C228">IF(I228&gt;0,INDEX(DB,I228,8),"")</f>
        <v/>
      </c>
      <c r="D228" s="437">
        <f t="shared" si="1"/>
        <v>0</v>
      </c>
      <c r="F228" s="438">
        <f t="shared" si="2"/>
        <v>0</v>
      </c>
      <c r="G228" t="str">
        <f t="shared" si="3"/>
        <v/>
      </c>
      <c r="H228" t="b">
        <f t="shared" si="4"/>
        <v>0</v>
      </c>
      <c r="I228" s="439">
        <f>IF(OR(ISBLANK(A228),ISNA(MATCH(A228&amp;"",AthleteNumbers,0))),0,MATCH(A228&amp;"",AthleteNumbers,0))</f>
        <v>0</v>
      </c>
      <c r="J228" s="209">
        <f t="array" ref="J228">IF(I228&gt;0,INDEX(DB,$I228,6),0)</f>
        <v>0</v>
      </c>
      <c r="K228" s="446">
        <f t="shared" si="5"/>
        <v>0</v>
      </c>
      <c r="L228" s="440">
        <f t="shared" si="6"/>
        <v>0</v>
      </c>
      <c r="M228" s="441">
        <f>IF(AND(L228&gt;O228,O228&gt;0),MinPoints,IF(AND(L228&lt;N228,O228&gt;0),100,+INT((O228-$L228)/P228)+MinPoints))</f>
        <v>100</v>
      </c>
      <c r="N228" s="440">
        <f t="shared" si="7"/>
        <v>90</v>
      </c>
      <c r="O228" s="440">
        <f t="shared" si="8"/>
        <v>180</v>
      </c>
      <c r="P228" s="440">
        <f t="shared" si="9"/>
        <v>1</v>
      </c>
      <c r="Q228">
        <f t="array" ref="Q228">IF(I228&gt;0,INDEX(DB,I228,9),EventIndex)</f>
        <v>6</v>
      </c>
      <c r="S228">
        <f t="array" ref="S228">(INT(INDEX(MINVALUES,$Q228,$K$1))*60)+(MOD(INDEX(MINVALUES,$Q228,$K$1),1)*100)</f>
        <v>180</v>
      </c>
      <c r="T228">
        <f t="array" ref="T228">(INDEX(INCVALUES,$Q228,$K$1)*100)</f>
        <v>1</v>
      </c>
      <c r="V228">
        <f t="array" ref="V228">+J228+(4*(INDEX(MatchScoreTable,$Q228,20)-1))</f>
        <v>4</v>
      </c>
      <c r="W228">
        <f t="array" ref="W228">INDEX(INC_MINVALUES,$V228,$K$1)</f>
        <v>480</v>
      </c>
      <c r="X228" s="212">
        <f t="array" ref="X228">INDEX(INC_INCVALUES,$V228,$K$1)</f>
        <v>4</v>
      </c>
    </row>
    <row r="229" ht="15.75" customHeight="1">
      <c r="A229" s="435"/>
      <c r="B229" s="436"/>
      <c r="C229" s="95" t="str">
        <f t="array" ref="C229">IF(I229&gt;0,INDEX(DB,I229,8),"")</f>
        <v/>
      </c>
      <c r="D229" s="437">
        <f t="shared" si="1"/>
        <v>0</v>
      </c>
      <c r="F229" s="438">
        <f t="shared" si="2"/>
        <v>0</v>
      </c>
      <c r="G229" t="str">
        <f t="shared" si="3"/>
        <v/>
      </c>
      <c r="H229" t="b">
        <f t="shared" si="4"/>
        <v>0</v>
      </c>
      <c r="I229" s="439">
        <f>IF(OR(ISBLANK(A229),ISNA(MATCH(A229&amp;"",AthleteNumbers,0))),0,MATCH(A229&amp;"",AthleteNumbers,0))</f>
        <v>0</v>
      </c>
      <c r="J229" s="209">
        <f t="array" ref="J229">IF(I229&gt;0,INDEX(DB,$I229,6),0)</f>
        <v>0</v>
      </c>
      <c r="K229" s="446">
        <f t="shared" si="5"/>
        <v>0</v>
      </c>
      <c r="L229" s="440">
        <f t="shared" si="6"/>
        <v>0</v>
      </c>
      <c r="M229" s="441">
        <f>IF(AND(L229&gt;O229,O229&gt;0),MinPoints,IF(AND(L229&lt;N229,O229&gt;0),100,+INT((O229-$L229)/P229)+MinPoints))</f>
        <v>100</v>
      </c>
      <c r="N229" s="440">
        <f t="shared" si="7"/>
        <v>90</v>
      </c>
      <c r="O229" s="440">
        <f t="shared" si="8"/>
        <v>180</v>
      </c>
      <c r="P229" s="440">
        <f t="shared" si="9"/>
        <v>1</v>
      </c>
      <c r="Q229">
        <f t="array" ref="Q229">IF(I229&gt;0,INDEX(DB,I229,9),EventIndex)</f>
        <v>6</v>
      </c>
      <c r="S229">
        <f t="array" ref="S229">(INT(INDEX(MINVALUES,$Q229,$K$1))*60)+(MOD(INDEX(MINVALUES,$Q229,$K$1),1)*100)</f>
        <v>180</v>
      </c>
      <c r="T229">
        <f t="array" ref="T229">(INDEX(INCVALUES,$Q229,$K$1)*100)</f>
        <v>1</v>
      </c>
      <c r="V229">
        <f t="array" ref="V229">+J229+(4*(INDEX(MatchScoreTable,$Q229,20)-1))</f>
        <v>4</v>
      </c>
      <c r="W229">
        <f t="array" ref="W229">INDEX(INC_MINVALUES,$V229,$K$1)</f>
        <v>480</v>
      </c>
      <c r="X229" s="212">
        <f t="array" ref="X229">INDEX(INC_INCVALUES,$V229,$K$1)</f>
        <v>4</v>
      </c>
    </row>
    <row r="230" ht="15.75" customHeight="1">
      <c r="A230" s="435"/>
      <c r="B230" s="436"/>
      <c r="C230" s="95" t="str">
        <f t="array" ref="C230">IF(I230&gt;0,INDEX(DB,I230,8),"")</f>
        <v/>
      </c>
      <c r="D230" s="437">
        <f t="shared" si="1"/>
        <v>0</v>
      </c>
      <c r="F230" s="438">
        <f t="shared" si="2"/>
        <v>0</v>
      </c>
      <c r="G230" t="str">
        <f t="shared" si="3"/>
        <v/>
      </c>
      <c r="H230" t="b">
        <f t="shared" si="4"/>
        <v>0</v>
      </c>
      <c r="I230" s="439">
        <f>IF(OR(ISBLANK(A230),ISNA(MATCH(A230&amp;"",AthleteNumbers,0))),0,MATCH(A230&amp;"",AthleteNumbers,0))</f>
        <v>0</v>
      </c>
      <c r="J230" s="209">
        <f t="array" ref="J230">IF(I230&gt;0,INDEX(DB,$I230,6),0)</f>
        <v>0</v>
      </c>
      <c r="K230" s="446">
        <f t="shared" si="5"/>
        <v>0</v>
      </c>
      <c r="L230" s="440">
        <f t="shared" si="6"/>
        <v>0</v>
      </c>
      <c r="M230" s="441">
        <f>IF(AND(L230&gt;O230,O230&gt;0),MinPoints,IF(AND(L230&lt;N230,O230&gt;0),100,+INT((O230-$L230)/P230)+MinPoints))</f>
        <v>100</v>
      </c>
      <c r="N230" s="440">
        <f t="shared" si="7"/>
        <v>90</v>
      </c>
      <c r="O230" s="440">
        <f t="shared" si="8"/>
        <v>180</v>
      </c>
      <c r="P230" s="440">
        <f t="shared" si="9"/>
        <v>1</v>
      </c>
      <c r="Q230">
        <f t="array" ref="Q230">IF(I230&gt;0,INDEX(DB,I230,9),EventIndex)</f>
        <v>6</v>
      </c>
      <c r="S230">
        <f t="array" ref="S230">(INT(INDEX(MINVALUES,$Q230,$K$1))*60)+(MOD(INDEX(MINVALUES,$Q230,$K$1),1)*100)</f>
        <v>180</v>
      </c>
      <c r="T230">
        <f t="array" ref="T230">(INDEX(INCVALUES,$Q230,$K$1)*100)</f>
        <v>1</v>
      </c>
      <c r="V230">
        <f t="array" ref="V230">+J230+(4*(INDEX(MatchScoreTable,$Q230,20)-1))</f>
        <v>4</v>
      </c>
      <c r="W230">
        <f t="array" ref="W230">INDEX(INC_MINVALUES,$V230,$K$1)</f>
        <v>480</v>
      </c>
      <c r="X230" s="212">
        <f t="array" ref="X230">INDEX(INC_INCVALUES,$V230,$K$1)</f>
        <v>4</v>
      </c>
    </row>
    <row r="231" ht="15.75" customHeight="1">
      <c r="A231" s="435"/>
      <c r="B231" s="436"/>
      <c r="C231" s="95" t="str">
        <f t="array" ref="C231">IF(I231&gt;0,INDEX(DB,I231,8),"")</f>
        <v/>
      </c>
      <c r="D231" s="437">
        <f t="shared" si="1"/>
        <v>0</v>
      </c>
      <c r="F231" s="438">
        <f t="shared" si="2"/>
        <v>0</v>
      </c>
      <c r="G231" t="str">
        <f t="shared" si="3"/>
        <v/>
      </c>
      <c r="H231" t="b">
        <f t="shared" si="4"/>
        <v>0</v>
      </c>
      <c r="I231" s="439">
        <f>IF(OR(ISBLANK(A231),ISNA(MATCH(A231&amp;"",AthleteNumbers,0))),0,MATCH(A231&amp;"",AthleteNumbers,0))</f>
        <v>0</v>
      </c>
      <c r="J231" s="209">
        <f t="array" ref="J231">IF(I231&gt;0,INDEX(DB,$I231,6),0)</f>
        <v>0</v>
      </c>
      <c r="K231" s="446">
        <f t="shared" si="5"/>
        <v>0</v>
      </c>
      <c r="L231" s="440">
        <f t="shared" si="6"/>
        <v>0</v>
      </c>
      <c r="M231" s="441">
        <f>IF(AND(L231&gt;O231,O231&gt;0),MinPoints,IF(AND(L231&lt;N231,O231&gt;0),100,+INT((O231-$L231)/P231)+MinPoints))</f>
        <v>100</v>
      </c>
      <c r="N231" s="440">
        <f t="shared" si="7"/>
        <v>90</v>
      </c>
      <c r="O231" s="440">
        <f t="shared" si="8"/>
        <v>180</v>
      </c>
      <c r="P231" s="440">
        <f t="shared" si="9"/>
        <v>1</v>
      </c>
      <c r="Q231">
        <f t="array" ref="Q231">IF(I231&gt;0,INDEX(DB,I231,9),EventIndex)</f>
        <v>6</v>
      </c>
      <c r="S231">
        <f t="array" ref="S231">(INT(INDEX(MINVALUES,$Q231,$K$1))*60)+(MOD(INDEX(MINVALUES,$Q231,$K$1),1)*100)</f>
        <v>180</v>
      </c>
      <c r="T231">
        <f t="array" ref="T231">(INDEX(INCVALUES,$Q231,$K$1)*100)</f>
        <v>1</v>
      </c>
      <c r="V231">
        <f t="array" ref="V231">+J231+(4*(INDEX(MatchScoreTable,$Q231,20)-1))</f>
        <v>4</v>
      </c>
      <c r="W231">
        <f t="array" ref="W231">INDEX(INC_MINVALUES,$V231,$K$1)</f>
        <v>480</v>
      </c>
      <c r="X231" s="212">
        <f t="array" ref="X231">INDEX(INC_INCVALUES,$V231,$K$1)</f>
        <v>4</v>
      </c>
    </row>
    <row r="232" ht="15.75" customHeight="1">
      <c r="A232" s="435"/>
      <c r="B232" s="436"/>
      <c r="C232" s="95" t="str">
        <f t="array" ref="C232">IF(I232&gt;0,INDEX(DB,I232,8),"")</f>
        <v/>
      </c>
      <c r="D232" s="437">
        <f t="shared" si="1"/>
        <v>0</v>
      </c>
      <c r="F232" s="438">
        <f t="shared" si="2"/>
        <v>0</v>
      </c>
      <c r="G232" t="str">
        <f t="shared" si="3"/>
        <v/>
      </c>
      <c r="H232" t="b">
        <f t="shared" si="4"/>
        <v>0</v>
      </c>
      <c r="I232" s="439">
        <f>IF(OR(ISBLANK(A232),ISNA(MATCH(A232&amp;"",AthleteNumbers,0))),0,MATCH(A232&amp;"",AthleteNumbers,0))</f>
        <v>0</v>
      </c>
      <c r="J232" s="209">
        <f t="array" ref="J232">IF(I232&gt;0,INDEX(DB,$I232,6),0)</f>
        <v>0</v>
      </c>
      <c r="K232" s="446">
        <f t="shared" si="5"/>
        <v>0</v>
      </c>
      <c r="L232" s="440">
        <f t="shared" si="6"/>
        <v>0</v>
      </c>
      <c r="M232" s="441">
        <f>IF(AND(L232&gt;O232,O232&gt;0),MinPoints,IF(AND(L232&lt;N232,O232&gt;0),100,+INT((O232-$L232)/P232)+MinPoints))</f>
        <v>100</v>
      </c>
      <c r="N232" s="440">
        <f t="shared" si="7"/>
        <v>90</v>
      </c>
      <c r="O232" s="440">
        <f t="shared" si="8"/>
        <v>180</v>
      </c>
      <c r="P232" s="440">
        <f t="shared" si="9"/>
        <v>1</v>
      </c>
      <c r="Q232">
        <f t="array" ref="Q232">IF(I232&gt;0,INDEX(DB,I232,9),EventIndex)</f>
        <v>6</v>
      </c>
      <c r="S232">
        <f t="array" ref="S232">(INT(INDEX(MINVALUES,$Q232,$K$1))*60)+(MOD(INDEX(MINVALUES,$Q232,$K$1),1)*100)</f>
        <v>180</v>
      </c>
      <c r="T232">
        <f t="array" ref="T232">(INDEX(INCVALUES,$Q232,$K$1)*100)</f>
        <v>1</v>
      </c>
      <c r="V232">
        <f t="array" ref="V232">+J232+(4*(INDEX(MatchScoreTable,$Q232,20)-1))</f>
        <v>4</v>
      </c>
      <c r="W232">
        <f t="array" ref="W232">INDEX(INC_MINVALUES,$V232,$K$1)</f>
        <v>480</v>
      </c>
      <c r="X232" s="212">
        <f t="array" ref="X232">INDEX(INC_INCVALUES,$V232,$K$1)</f>
        <v>4</v>
      </c>
    </row>
    <row r="233" ht="15.75" customHeight="1">
      <c r="A233" s="435"/>
      <c r="B233" s="436"/>
      <c r="C233" s="95" t="str">
        <f t="array" ref="C233">IF(I233&gt;0,INDEX(DB,I233,8),"")</f>
        <v/>
      </c>
      <c r="D233" s="437">
        <f t="shared" si="1"/>
        <v>0</v>
      </c>
      <c r="F233" s="438">
        <f t="shared" si="2"/>
        <v>0</v>
      </c>
      <c r="G233" t="str">
        <f t="shared" si="3"/>
        <v/>
      </c>
      <c r="H233" t="b">
        <f t="shared" si="4"/>
        <v>0</v>
      </c>
      <c r="I233" s="439">
        <f>IF(OR(ISBLANK(A233),ISNA(MATCH(A233&amp;"",AthleteNumbers,0))),0,MATCH(A233&amp;"",AthleteNumbers,0))</f>
        <v>0</v>
      </c>
      <c r="J233" s="209">
        <f t="array" ref="J233">IF(I233&gt;0,INDEX(DB,$I233,6),0)</f>
        <v>0</v>
      </c>
      <c r="K233" s="446">
        <f t="shared" si="5"/>
        <v>0</v>
      </c>
      <c r="L233" s="440">
        <f t="shared" si="6"/>
        <v>0</v>
      </c>
      <c r="M233" s="441">
        <f>IF(AND(L233&gt;O233,O233&gt;0),MinPoints,IF(AND(L233&lt;N233,O233&gt;0),100,+INT((O233-$L233)/P233)+MinPoints))</f>
        <v>100</v>
      </c>
      <c r="N233" s="440">
        <f t="shared" si="7"/>
        <v>90</v>
      </c>
      <c r="O233" s="440">
        <f t="shared" si="8"/>
        <v>180</v>
      </c>
      <c r="P233" s="440">
        <f t="shared" si="9"/>
        <v>1</v>
      </c>
      <c r="Q233">
        <f t="array" ref="Q233">IF(I233&gt;0,INDEX(DB,I233,9),EventIndex)</f>
        <v>6</v>
      </c>
      <c r="S233">
        <f t="array" ref="S233">(INT(INDEX(MINVALUES,$Q233,$K$1))*60)+(MOD(INDEX(MINVALUES,$Q233,$K$1),1)*100)</f>
        <v>180</v>
      </c>
      <c r="T233">
        <f t="array" ref="T233">(INDEX(INCVALUES,$Q233,$K$1)*100)</f>
        <v>1</v>
      </c>
      <c r="V233">
        <f t="array" ref="V233">+J233+(4*(INDEX(MatchScoreTable,$Q233,20)-1))</f>
        <v>4</v>
      </c>
      <c r="W233">
        <f t="array" ref="W233">INDEX(INC_MINVALUES,$V233,$K$1)</f>
        <v>480</v>
      </c>
      <c r="X233" s="212">
        <f t="array" ref="X233">INDEX(INC_INCVALUES,$V233,$K$1)</f>
        <v>4</v>
      </c>
    </row>
    <row r="234" ht="15.75" customHeight="1">
      <c r="A234" s="435"/>
      <c r="B234" s="436"/>
      <c r="C234" s="95" t="str">
        <f t="array" ref="C234">IF(I234&gt;0,INDEX(DB,I234,8),"")</f>
        <v/>
      </c>
      <c r="D234" s="437">
        <f t="shared" si="1"/>
        <v>0</v>
      </c>
      <c r="F234" s="438">
        <f t="shared" si="2"/>
        <v>0</v>
      </c>
      <c r="G234" t="str">
        <f t="shared" si="3"/>
        <v/>
      </c>
      <c r="H234" t="b">
        <f t="shared" si="4"/>
        <v>0</v>
      </c>
      <c r="I234" s="439">
        <f>IF(OR(ISBLANK(A234),ISNA(MATCH(A234&amp;"",AthleteNumbers,0))),0,MATCH(A234&amp;"",AthleteNumbers,0))</f>
        <v>0</v>
      </c>
      <c r="J234" s="209">
        <f t="array" ref="J234">IF(I234&gt;0,INDEX(DB,$I234,6),0)</f>
        <v>0</v>
      </c>
      <c r="K234" s="446">
        <f t="shared" si="5"/>
        <v>0</v>
      </c>
      <c r="L234" s="440">
        <f t="shared" si="6"/>
        <v>0</v>
      </c>
      <c r="M234" s="441">
        <f>IF(AND(L234&gt;O234,O234&gt;0),MinPoints,IF(AND(L234&lt;N234,O234&gt;0),100,+INT((O234-$L234)/P234)+MinPoints))</f>
        <v>100</v>
      </c>
      <c r="N234" s="440">
        <f t="shared" si="7"/>
        <v>90</v>
      </c>
      <c r="O234" s="440">
        <f t="shared" si="8"/>
        <v>180</v>
      </c>
      <c r="P234" s="440">
        <f t="shared" si="9"/>
        <v>1</v>
      </c>
      <c r="Q234">
        <f t="array" ref="Q234">IF(I234&gt;0,INDEX(DB,I234,9),EventIndex)</f>
        <v>6</v>
      </c>
      <c r="S234">
        <f t="array" ref="S234">(INT(INDEX(MINVALUES,$Q234,$K$1))*60)+(MOD(INDEX(MINVALUES,$Q234,$K$1),1)*100)</f>
        <v>180</v>
      </c>
      <c r="T234">
        <f t="array" ref="T234">(INDEX(INCVALUES,$Q234,$K$1)*100)</f>
        <v>1</v>
      </c>
      <c r="V234">
        <f t="array" ref="V234">+J234+(4*(INDEX(MatchScoreTable,$Q234,20)-1))</f>
        <v>4</v>
      </c>
      <c r="W234">
        <f t="array" ref="W234">INDEX(INC_MINVALUES,$V234,$K$1)</f>
        <v>480</v>
      </c>
      <c r="X234" s="212">
        <f t="array" ref="X234">INDEX(INC_INCVALUES,$V234,$K$1)</f>
        <v>4</v>
      </c>
    </row>
    <row r="235" ht="15.75" customHeight="1">
      <c r="A235" s="435"/>
      <c r="B235" s="436"/>
      <c r="C235" s="95" t="str">
        <f t="array" ref="C235">IF(I235&gt;0,INDEX(DB,I235,8),"")</f>
        <v/>
      </c>
      <c r="D235" s="437">
        <f t="shared" si="1"/>
        <v>0</v>
      </c>
      <c r="F235" s="438">
        <f t="shared" si="2"/>
        <v>0</v>
      </c>
      <c r="G235" t="str">
        <f t="shared" si="3"/>
        <v/>
      </c>
      <c r="H235" t="b">
        <f t="shared" si="4"/>
        <v>0</v>
      </c>
      <c r="I235" s="439">
        <f>IF(OR(ISBLANK(A235),ISNA(MATCH(A235&amp;"",AthleteNumbers,0))),0,MATCH(A235&amp;"",AthleteNumbers,0))</f>
        <v>0</v>
      </c>
      <c r="J235" s="209">
        <f t="array" ref="J235">IF(I235&gt;0,INDEX(DB,$I235,6),0)</f>
        <v>0</v>
      </c>
      <c r="K235" s="446">
        <f t="shared" si="5"/>
        <v>0</v>
      </c>
      <c r="L235" s="440">
        <f t="shared" si="6"/>
        <v>0</v>
      </c>
      <c r="M235" s="441">
        <f>IF(AND(L235&gt;O235,O235&gt;0),MinPoints,IF(AND(L235&lt;N235,O235&gt;0),100,+INT((O235-$L235)/P235)+MinPoints))</f>
        <v>100</v>
      </c>
      <c r="N235" s="440">
        <f t="shared" si="7"/>
        <v>90</v>
      </c>
      <c r="O235" s="440">
        <f t="shared" si="8"/>
        <v>180</v>
      </c>
      <c r="P235" s="440">
        <f t="shared" si="9"/>
        <v>1</v>
      </c>
      <c r="Q235">
        <f t="array" ref="Q235">IF(I235&gt;0,INDEX(DB,I235,9),EventIndex)</f>
        <v>6</v>
      </c>
      <c r="S235">
        <f t="array" ref="S235">(INT(INDEX(MINVALUES,$Q235,$K$1))*60)+(MOD(INDEX(MINVALUES,$Q235,$K$1),1)*100)</f>
        <v>180</v>
      </c>
      <c r="T235">
        <f t="array" ref="T235">(INDEX(INCVALUES,$Q235,$K$1)*100)</f>
        <v>1</v>
      </c>
      <c r="V235">
        <f t="array" ref="V235">+J235+(4*(INDEX(MatchScoreTable,$Q235,20)-1))</f>
        <v>4</v>
      </c>
      <c r="W235">
        <f t="array" ref="W235">INDEX(INC_MINVALUES,$V235,$K$1)</f>
        <v>480</v>
      </c>
      <c r="X235" s="212">
        <f t="array" ref="X235">INDEX(INC_INCVALUES,$V235,$K$1)</f>
        <v>4</v>
      </c>
    </row>
    <row r="236" ht="15.75" customHeight="1">
      <c r="A236" s="435"/>
      <c r="B236" s="436"/>
      <c r="C236" s="95" t="str">
        <f t="array" ref="C236">IF(I236&gt;0,INDEX(DB,I236,8),"")</f>
        <v/>
      </c>
      <c r="D236" s="437">
        <f t="shared" si="1"/>
        <v>0</v>
      </c>
      <c r="F236" s="438">
        <f t="shared" si="2"/>
        <v>0</v>
      </c>
      <c r="G236" t="str">
        <f t="shared" si="3"/>
        <v/>
      </c>
      <c r="H236" t="b">
        <f t="shared" si="4"/>
        <v>0</v>
      </c>
      <c r="I236" s="439">
        <f>IF(OR(ISBLANK(A236),ISNA(MATCH(A236&amp;"",AthleteNumbers,0))),0,MATCH(A236&amp;"",AthleteNumbers,0))</f>
        <v>0</v>
      </c>
      <c r="J236" s="209">
        <f t="array" ref="J236">IF(I236&gt;0,INDEX(DB,$I236,6),0)</f>
        <v>0</v>
      </c>
      <c r="K236" s="446">
        <f t="shared" si="5"/>
        <v>0</v>
      </c>
      <c r="L236" s="440">
        <f t="shared" si="6"/>
        <v>0</v>
      </c>
      <c r="M236" s="441">
        <f>IF(AND(L236&gt;O236,O236&gt;0),MinPoints,IF(AND(L236&lt;N236,O236&gt;0),100,+INT((O236-$L236)/P236)+MinPoints))</f>
        <v>100</v>
      </c>
      <c r="N236" s="440">
        <f t="shared" si="7"/>
        <v>90</v>
      </c>
      <c r="O236" s="440">
        <f t="shared" si="8"/>
        <v>180</v>
      </c>
      <c r="P236" s="440">
        <f t="shared" si="9"/>
        <v>1</v>
      </c>
      <c r="Q236">
        <f t="array" ref="Q236">IF(I236&gt;0,INDEX(DB,I236,9),EventIndex)</f>
        <v>6</v>
      </c>
      <c r="S236">
        <f t="array" ref="S236">(INT(INDEX(MINVALUES,$Q236,$K$1))*60)+(MOD(INDEX(MINVALUES,$Q236,$K$1),1)*100)</f>
        <v>180</v>
      </c>
      <c r="T236">
        <f t="array" ref="T236">(INDEX(INCVALUES,$Q236,$K$1)*100)</f>
        <v>1</v>
      </c>
      <c r="V236">
        <f t="array" ref="V236">+J236+(4*(INDEX(MatchScoreTable,$Q236,20)-1))</f>
        <v>4</v>
      </c>
      <c r="W236">
        <f t="array" ref="W236">INDEX(INC_MINVALUES,$V236,$K$1)</f>
        <v>480</v>
      </c>
      <c r="X236" s="212">
        <f t="array" ref="X236">INDEX(INC_INCVALUES,$V236,$K$1)</f>
        <v>4</v>
      </c>
    </row>
    <row r="237" ht="15.75" customHeight="1">
      <c r="A237" s="435"/>
      <c r="B237" s="436"/>
      <c r="C237" s="95" t="str">
        <f t="array" ref="C237">IF(I237&gt;0,INDEX(DB,I237,8),"")</f>
        <v/>
      </c>
      <c r="D237" s="437">
        <f t="shared" si="1"/>
        <v>0</v>
      </c>
      <c r="F237" s="438">
        <f t="shared" si="2"/>
        <v>0</v>
      </c>
      <c r="G237" t="str">
        <f t="shared" si="3"/>
        <v/>
      </c>
      <c r="H237" t="b">
        <f t="shared" si="4"/>
        <v>0</v>
      </c>
      <c r="I237" s="439">
        <f>IF(OR(ISBLANK(A237),ISNA(MATCH(A237&amp;"",AthleteNumbers,0))),0,MATCH(A237&amp;"",AthleteNumbers,0))</f>
        <v>0</v>
      </c>
      <c r="J237" s="209">
        <f t="array" ref="J237">IF(I237&gt;0,INDEX(DB,$I237,6),0)</f>
        <v>0</v>
      </c>
      <c r="K237" s="446">
        <f t="shared" si="5"/>
        <v>0</v>
      </c>
      <c r="L237" s="440">
        <f t="shared" si="6"/>
        <v>0</v>
      </c>
      <c r="M237" s="441">
        <f>IF(AND(L237&gt;O237,O237&gt;0),MinPoints,IF(AND(L237&lt;N237,O237&gt;0),100,+INT((O237-$L237)/P237)+MinPoints))</f>
        <v>100</v>
      </c>
      <c r="N237" s="440">
        <f t="shared" si="7"/>
        <v>90</v>
      </c>
      <c r="O237" s="440">
        <f t="shared" si="8"/>
        <v>180</v>
      </c>
      <c r="P237" s="440">
        <f t="shared" si="9"/>
        <v>1</v>
      </c>
      <c r="Q237">
        <f t="array" ref="Q237">IF(I237&gt;0,INDEX(DB,I237,9),EventIndex)</f>
        <v>6</v>
      </c>
      <c r="S237">
        <f t="array" ref="S237">(INT(INDEX(MINVALUES,$Q237,$K$1))*60)+(MOD(INDEX(MINVALUES,$Q237,$K$1),1)*100)</f>
        <v>180</v>
      </c>
      <c r="T237">
        <f t="array" ref="T237">(INDEX(INCVALUES,$Q237,$K$1)*100)</f>
        <v>1</v>
      </c>
      <c r="V237">
        <f t="array" ref="V237">+J237+(4*(INDEX(MatchScoreTable,$Q237,20)-1))</f>
        <v>4</v>
      </c>
      <c r="W237">
        <f t="array" ref="W237">INDEX(INC_MINVALUES,$V237,$K$1)</f>
        <v>480</v>
      </c>
      <c r="X237" s="212">
        <f t="array" ref="X237">INDEX(INC_INCVALUES,$V237,$K$1)</f>
        <v>4</v>
      </c>
    </row>
    <row r="238" ht="15.75" customHeight="1">
      <c r="A238" s="435"/>
      <c r="B238" s="436"/>
      <c r="C238" s="95" t="str">
        <f t="array" ref="C238">IF(I238&gt;0,INDEX(DB,I238,8),"")</f>
        <v/>
      </c>
      <c r="D238" s="437">
        <f t="shared" si="1"/>
        <v>0</v>
      </c>
      <c r="F238" s="438">
        <f t="shared" si="2"/>
        <v>0</v>
      </c>
      <c r="G238" t="str">
        <f t="shared" si="3"/>
        <v/>
      </c>
      <c r="H238" t="b">
        <f t="shared" si="4"/>
        <v>0</v>
      </c>
      <c r="I238" s="439">
        <f>IF(OR(ISBLANK(A238),ISNA(MATCH(A238&amp;"",AthleteNumbers,0))),0,MATCH(A238&amp;"",AthleteNumbers,0))</f>
        <v>0</v>
      </c>
      <c r="J238" s="209">
        <f t="array" ref="J238">IF(I238&gt;0,INDEX(DB,$I238,6),0)</f>
        <v>0</v>
      </c>
      <c r="K238" s="446">
        <f t="shared" si="5"/>
        <v>0</v>
      </c>
      <c r="L238" s="440">
        <f t="shared" si="6"/>
        <v>0</v>
      </c>
      <c r="M238" s="441">
        <f>IF(AND(L238&gt;O238,O238&gt;0),MinPoints,IF(AND(L238&lt;N238,O238&gt;0),100,+INT((O238-$L238)/P238)+MinPoints))</f>
        <v>100</v>
      </c>
      <c r="N238" s="440">
        <f t="shared" si="7"/>
        <v>90</v>
      </c>
      <c r="O238" s="440">
        <f t="shared" si="8"/>
        <v>180</v>
      </c>
      <c r="P238" s="440">
        <f t="shared" si="9"/>
        <v>1</v>
      </c>
      <c r="Q238">
        <f t="array" ref="Q238">IF(I238&gt;0,INDEX(DB,I238,9),EventIndex)</f>
        <v>6</v>
      </c>
      <c r="S238">
        <f t="array" ref="S238">(INT(INDEX(MINVALUES,$Q238,$K$1))*60)+(MOD(INDEX(MINVALUES,$Q238,$K$1),1)*100)</f>
        <v>180</v>
      </c>
      <c r="T238">
        <f t="array" ref="T238">(INDEX(INCVALUES,$Q238,$K$1)*100)</f>
        <v>1</v>
      </c>
      <c r="V238">
        <f t="array" ref="V238">+J238+(4*(INDEX(MatchScoreTable,$Q238,20)-1))</f>
        <v>4</v>
      </c>
      <c r="W238">
        <f t="array" ref="W238">INDEX(INC_MINVALUES,$V238,$K$1)</f>
        <v>480</v>
      </c>
      <c r="X238" s="212">
        <f t="array" ref="X238">INDEX(INC_INCVALUES,$V238,$K$1)</f>
        <v>4</v>
      </c>
    </row>
    <row r="239" ht="15.75" customHeight="1">
      <c r="A239" s="435"/>
      <c r="B239" s="436"/>
      <c r="C239" s="95" t="str">
        <f t="array" ref="C239">IF(I239&gt;0,INDEX(DB,I239,8),"")</f>
        <v/>
      </c>
      <c r="D239" s="437">
        <f t="shared" si="1"/>
        <v>0</v>
      </c>
      <c r="F239" s="438">
        <f t="shared" si="2"/>
        <v>0</v>
      </c>
      <c r="G239" t="str">
        <f t="shared" si="3"/>
        <v/>
      </c>
      <c r="H239" t="b">
        <f t="shared" si="4"/>
        <v>0</v>
      </c>
      <c r="I239" s="439">
        <f>IF(OR(ISBLANK(A239),ISNA(MATCH(A239&amp;"",AthleteNumbers,0))),0,MATCH(A239&amp;"",AthleteNumbers,0))</f>
        <v>0</v>
      </c>
      <c r="J239" s="209">
        <f t="array" ref="J239">IF(I239&gt;0,INDEX(DB,$I239,6),0)</f>
        <v>0</v>
      </c>
      <c r="K239" s="446">
        <f t="shared" si="5"/>
        <v>0</v>
      </c>
      <c r="L239" s="440">
        <f t="shared" si="6"/>
        <v>0</v>
      </c>
      <c r="M239" s="441">
        <f>IF(AND(L239&gt;O239,O239&gt;0),MinPoints,IF(AND(L239&lt;N239,O239&gt;0),100,+INT((O239-$L239)/P239)+MinPoints))</f>
        <v>100</v>
      </c>
      <c r="N239" s="440">
        <f t="shared" si="7"/>
        <v>90</v>
      </c>
      <c r="O239" s="440">
        <f t="shared" si="8"/>
        <v>180</v>
      </c>
      <c r="P239" s="440">
        <f t="shared" si="9"/>
        <v>1</v>
      </c>
      <c r="Q239">
        <f t="array" ref="Q239">IF(I239&gt;0,INDEX(DB,I239,9),EventIndex)</f>
        <v>6</v>
      </c>
      <c r="S239">
        <f t="array" ref="S239">(INT(INDEX(MINVALUES,$Q239,$K$1))*60)+(MOD(INDEX(MINVALUES,$Q239,$K$1),1)*100)</f>
        <v>180</v>
      </c>
      <c r="T239">
        <f t="array" ref="T239">(INDEX(INCVALUES,$Q239,$K$1)*100)</f>
        <v>1</v>
      </c>
      <c r="V239">
        <f t="array" ref="V239">+J239+(4*(INDEX(MatchScoreTable,$Q239,20)-1))</f>
        <v>4</v>
      </c>
      <c r="W239">
        <f t="array" ref="W239">INDEX(INC_MINVALUES,$V239,$K$1)</f>
        <v>480</v>
      </c>
      <c r="X239" s="212">
        <f t="array" ref="X239">INDEX(INC_INCVALUES,$V239,$K$1)</f>
        <v>4</v>
      </c>
    </row>
    <row r="240" ht="15.75" customHeight="1">
      <c r="A240" s="435"/>
      <c r="B240" s="436"/>
      <c r="C240" s="95" t="str">
        <f t="array" ref="C240">IF(I240&gt;0,INDEX(DB,I240,8),"")</f>
        <v/>
      </c>
      <c r="D240" s="437">
        <f t="shared" si="1"/>
        <v>0</v>
      </c>
      <c r="F240" s="438">
        <f t="shared" si="2"/>
        <v>0</v>
      </c>
      <c r="G240" t="str">
        <f t="shared" si="3"/>
        <v/>
      </c>
      <c r="H240" t="b">
        <f t="shared" si="4"/>
        <v>0</v>
      </c>
      <c r="I240" s="439">
        <f>IF(OR(ISBLANK(A240),ISNA(MATCH(A240&amp;"",AthleteNumbers,0))),0,MATCH(A240&amp;"",AthleteNumbers,0))</f>
        <v>0</v>
      </c>
      <c r="J240" s="209">
        <f t="array" ref="J240">IF(I240&gt;0,INDEX(DB,$I240,6),0)</f>
        <v>0</v>
      </c>
      <c r="K240" s="446">
        <f t="shared" si="5"/>
        <v>0</v>
      </c>
      <c r="L240" s="440">
        <f t="shared" si="6"/>
        <v>0</v>
      </c>
      <c r="M240" s="441">
        <f>IF(AND(L240&gt;O240,O240&gt;0),MinPoints,IF(AND(L240&lt;N240,O240&gt;0),100,+INT((O240-$L240)/P240)+MinPoints))</f>
        <v>100</v>
      </c>
      <c r="N240" s="440">
        <f t="shared" si="7"/>
        <v>90</v>
      </c>
      <c r="O240" s="440">
        <f t="shared" si="8"/>
        <v>180</v>
      </c>
      <c r="P240" s="440">
        <f t="shared" si="9"/>
        <v>1</v>
      </c>
      <c r="Q240">
        <f t="array" ref="Q240">IF(I240&gt;0,INDEX(DB,I240,9),EventIndex)</f>
        <v>6</v>
      </c>
      <c r="S240">
        <f t="array" ref="S240">(INT(INDEX(MINVALUES,$Q240,$K$1))*60)+(MOD(INDEX(MINVALUES,$Q240,$K$1),1)*100)</f>
        <v>180</v>
      </c>
      <c r="T240">
        <f t="array" ref="T240">(INDEX(INCVALUES,$Q240,$K$1)*100)</f>
        <v>1</v>
      </c>
      <c r="V240">
        <f t="array" ref="V240">+J240+(4*(INDEX(MatchScoreTable,$Q240,20)-1))</f>
        <v>4</v>
      </c>
      <c r="W240">
        <f t="array" ref="W240">INDEX(INC_MINVALUES,$V240,$K$1)</f>
        <v>480</v>
      </c>
      <c r="X240" s="212">
        <f t="array" ref="X240">INDEX(INC_INCVALUES,$V240,$K$1)</f>
        <v>4</v>
      </c>
    </row>
    <row r="241" ht="15.75" customHeight="1">
      <c r="A241" s="435"/>
      <c r="B241" s="436"/>
      <c r="C241" s="95" t="str">
        <f t="array" ref="C241">IF(I241&gt;0,INDEX(DB,I241,8),"")</f>
        <v/>
      </c>
      <c r="D241" s="437">
        <f t="shared" si="1"/>
        <v>0</v>
      </c>
      <c r="F241" s="438">
        <f t="shared" si="2"/>
        <v>0</v>
      </c>
      <c r="G241" t="str">
        <f t="shared" si="3"/>
        <v/>
      </c>
      <c r="H241" t="b">
        <f t="shared" si="4"/>
        <v>0</v>
      </c>
      <c r="I241" s="439">
        <f>IF(OR(ISBLANK(A241),ISNA(MATCH(A241&amp;"",AthleteNumbers,0))),0,MATCH(A241&amp;"",AthleteNumbers,0))</f>
        <v>0</v>
      </c>
      <c r="J241" s="209">
        <f t="array" ref="J241">IF(I241&gt;0,INDEX(DB,$I241,6),0)</f>
        <v>0</v>
      </c>
      <c r="K241" s="446">
        <f t="shared" si="5"/>
        <v>0</v>
      </c>
      <c r="L241" s="440">
        <f t="shared" si="6"/>
        <v>0</v>
      </c>
      <c r="M241" s="441">
        <f>IF(AND(L241&gt;O241,O241&gt;0),MinPoints,IF(AND(L241&lt;N241,O241&gt;0),100,+INT((O241-$L241)/P241)+MinPoints))</f>
        <v>100</v>
      </c>
      <c r="N241" s="440">
        <f t="shared" si="7"/>
        <v>90</v>
      </c>
      <c r="O241" s="440">
        <f t="shared" si="8"/>
        <v>180</v>
      </c>
      <c r="P241" s="440">
        <f t="shared" si="9"/>
        <v>1</v>
      </c>
      <c r="Q241">
        <f t="array" ref="Q241">IF(I241&gt;0,INDEX(DB,I241,9),EventIndex)</f>
        <v>6</v>
      </c>
      <c r="S241">
        <f t="array" ref="S241">(INT(INDEX(MINVALUES,$Q241,$K$1))*60)+(MOD(INDEX(MINVALUES,$Q241,$K$1),1)*100)</f>
        <v>180</v>
      </c>
      <c r="T241">
        <f t="array" ref="T241">(INDEX(INCVALUES,$Q241,$K$1)*100)</f>
        <v>1</v>
      </c>
      <c r="V241">
        <f t="array" ref="V241">+J241+(4*(INDEX(MatchScoreTable,$Q241,20)-1))</f>
        <v>4</v>
      </c>
      <c r="W241">
        <f t="array" ref="W241">INDEX(INC_MINVALUES,$V241,$K$1)</f>
        <v>480</v>
      </c>
      <c r="X241" s="212">
        <f t="array" ref="X241">INDEX(INC_INCVALUES,$V241,$K$1)</f>
        <v>4</v>
      </c>
    </row>
    <row r="242" ht="15.75" customHeight="1">
      <c r="A242" s="435"/>
      <c r="B242" s="436"/>
      <c r="C242" s="95" t="str">
        <f t="array" ref="C242">IF(I242&gt;0,INDEX(DB,I242,8),"")</f>
        <v/>
      </c>
      <c r="D242" s="437">
        <f t="shared" si="1"/>
        <v>0</v>
      </c>
      <c r="F242" s="438">
        <f t="shared" si="2"/>
        <v>0</v>
      </c>
      <c r="G242" t="str">
        <f t="shared" si="3"/>
        <v/>
      </c>
      <c r="H242" t="b">
        <f t="shared" si="4"/>
        <v>0</v>
      </c>
      <c r="I242" s="439">
        <f>IF(OR(ISBLANK(A242),ISNA(MATCH(A242&amp;"",AthleteNumbers,0))),0,MATCH(A242&amp;"",AthleteNumbers,0))</f>
        <v>0</v>
      </c>
      <c r="J242" s="209">
        <f t="array" ref="J242">IF(I242&gt;0,INDEX(DB,$I242,6),0)</f>
        <v>0</v>
      </c>
      <c r="K242" s="446">
        <f t="shared" si="5"/>
        <v>0</v>
      </c>
      <c r="L242" s="440">
        <f t="shared" si="6"/>
        <v>0</v>
      </c>
      <c r="M242" s="441">
        <f>IF(AND(L242&gt;O242,O242&gt;0),MinPoints,IF(AND(L242&lt;N242,O242&gt;0),100,+INT((O242-$L242)/P242)+MinPoints))</f>
        <v>100</v>
      </c>
      <c r="N242" s="440">
        <f t="shared" si="7"/>
        <v>90</v>
      </c>
      <c r="O242" s="440">
        <f t="shared" si="8"/>
        <v>180</v>
      </c>
      <c r="P242" s="440">
        <f t="shared" si="9"/>
        <v>1</v>
      </c>
      <c r="Q242">
        <f t="array" ref="Q242">IF(I242&gt;0,INDEX(DB,I242,9),EventIndex)</f>
        <v>6</v>
      </c>
      <c r="S242">
        <f t="array" ref="S242">(INT(INDEX(MINVALUES,$Q242,$K$1))*60)+(MOD(INDEX(MINVALUES,$Q242,$K$1),1)*100)</f>
        <v>180</v>
      </c>
      <c r="T242">
        <f t="array" ref="T242">(INDEX(INCVALUES,$Q242,$K$1)*100)</f>
        <v>1</v>
      </c>
      <c r="V242">
        <f t="array" ref="V242">+J242+(4*(INDEX(MatchScoreTable,$Q242,20)-1))</f>
        <v>4</v>
      </c>
      <c r="W242">
        <f t="array" ref="W242">INDEX(INC_MINVALUES,$V242,$K$1)</f>
        <v>480</v>
      </c>
      <c r="X242" s="212">
        <f t="array" ref="X242">INDEX(INC_INCVALUES,$V242,$K$1)</f>
        <v>4</v>
      </c>
    </row>
    <row r="243" ht="15.75" customHeight="1">
      <c r="A243" s="435"/>
      <c r="B243" s="436"/>
      <c r="C243" s="95" t="str">
        <f t="array" ref="C243">IF(I243&gt;0,INDEX(DB,I243,8),"")</f>
        <v/>
      </c>
      <c r="D243" s="437">
        <f t="shared" si="1"/>
        <v>0</v>
      </c>
      <c r="F243" s="438">
        <f t="shared" si="2"/>
        <v>0</v>
      </c>
      <c r="G243" t="str">
        <f t="shared" si="3"/>
        <v/>
      </c>
      <c r="H243" t="b">
        <f t="shared" si="4"/>
        <v>0</v>
      </c>
      <c r="I243" s="439">
        <f>IF(OR(ISBLANK(A243),ISNA(MATCH(A243&amp;"",AthleteNumbers,0))),0,MATCH(A243&amp;"",AthleteNumbers,0))</f>
        <v>0</v>
      </c>
      <c r="J243" s="209">
        <f t="array" ref="J243">IF(I243&gt;0,INDEX(DB,$I243,6),0)</f>
        <v>0</v>
      </c>
      <c r="K243" s="446">
        <f t="shared" si="5"/>
        <v>0</v>
      </c>
      <c r="L243" s="440">
        <f t="shared" si="6"/>
        <v>0</v>
      </c>
      <c r="M243" s="441">
        <f>IF(AND(L243&gt;O243,O243&gt;0),MinPoints,IF(AND(L243&lt;N243,O243&gt;0),100,+INT((O243-$L243)/P243)+MinPoints))</f>
        <v>100</v>
      </c>
      <c r="N243" s="440">
        <f t="shared" si="7"/>
        <v>90</v>
      </c>
      <c r="O243" s="440">
        <f t="shared" si="8"/>
        <v>180</v>
      </c>
      <c r="P243" s="440">
        <f t="shared" si="9"/>
        <v>1</v>
      </c>
      <c r="Q243">
        <f t="array" ref="Q243">IF(I243&gt;0,INDEX(DB,I243,9),EventIndex)</f>
        <v>6</v>
      </c>
      <c r="S243">
        <f t="array" ref="S243">(INT(INDEX(MINVALUES,$Q243,$K$1))*60)+(MOD(INDEX(MINVALUES,$Q243,$K$1),1)*100)</f>
        <v>180</v>
      </c>
      <c r="T243">
        <f t="array" ref="T243">(INDEX(INCVALUES,$Q243,$K$1)*100)</f>
        <v>1</v>
      </c>
      <c r="V243">
        <f t="array" ref="V243">+J243+(4*(INDEX(MatchScoreTable,$Q243,20)-1))</f>
        <v>4</v>
      </c>
      <c r="W243">
        <f t="array" ref="W243">INDEX(INC_MINVALUES,$V243,$K$1)</f>
        <v>480</v>
      </c>
      <c r="X243" s="212">
        <f t="array" ref="X243">INDEX(INC_INCVALUES,$V243,$K$1)</f>
        <v>4</v>
      </c>
    </row>
    <row r="244" ht="15.75" customHeight="1">
      <c r="A244" s="435"/>
      <c r="B244" s="436"/>
      <c r="C244" s="95" t="str">
        <f t="array" ref="C244">IF(I244&gt;0,INDEX(DB,I244,8),"")</f>
        <v/>
      </c>
      <c r="D244" s="437">
        <f t="shared" si="1"/>
        <v>0</v>
      </c>
      <c r="F244" s="438">
        <f t="shared" si="2"/>
        <v>0</v>
      </c>
      <c r="G244" t="str">
        <f t="shared" si="3"/>
        <v/>
      </c>
      <c r="H244" t="b">
        <f t="shared" si="4"/>
        <v>0</v>
      </c>
      <c r="I244" s="439">
        <f>IF(OR(ISBLANK(A244),ISNA(MATCH(A244&amp;"",AthleteNumbers,0))),0,MATCH(A244&amp;"",AthleteNumbers,0))</f>
        <v>0</v>
      </c>
      <c r="J244" s="209">
        <f t="array" ref="J244">IF(I244&gt;0,INDEX(DB,$I244,6),0)</f>
        <v>0</v>
      </c>
      <c r="K244" s="446">
        <f t="shared" si="5"/>
        <v>0</v>
      </c>
      <c r="L244" s="440">
        <f t="shared" si="6"/>
        <v>0</v>
      </c>
      <c r="M244" s="441">
        <f>IF(AND(L244&gt;O244,O244&gt;0),MinPoints,IF(AND(L244&lt;N244,O244&gt;0),100,+INT((O244-$L244)/P244)+MinPoints))</f>
        <v>100</v>
      </c>
      <c r="N244" s="440">
        <f t="shared" si="7"/>
        <v>90</v>
      </c>
      <c r="O244" s="440">
        <f t="shared" si="8"/>
        <v>180</v>
      </c>
      <c r="P244" s="440">
        <f t="shared" si="9"/>
        <v>1</v>
      </c>
      <c r="Q244">
        <f t="array" ref="Q244">IF(I244&gt;0,INDEX(DB,I244,9),EventIndex)</f>
        <v>6</v>
      </c>
      <c r="S244">
        <f t="array" ref="S244">(INT(INDEX(MINVALUES,$Q244,$K$1))*60)+(MOD(INDEX(MINVALUES,$Q244,$K$1),1)*100)</f>
        <v>180</v>
      </c>
      <c r="T244">
        <f t="array" ref="T244">(INDEX(INCVALUES,$Q244,$K$1)*100)</f>
        <v>1</v>
      </c>
      <c r="V244">
        <f t="array" ref="V244">+J244+(4*(INDEX(MatchScoreTable,$Q244,20)-1))</f>
        <v>4</v>
      </c>
      <c r="W244">
        <f t="array" ref="W244">INDEX(INC_MINVALUES,$V244,$K$1)</f>
        <v>480</v>
      </c>
      <c r="X244" s="212">
        <f t="array" ref="X244">INDEX(INC_INCVALUES,$V244,$K$1)</f>
        <v>4</v>
      </c>
    </row>
    <row r="245" ht="15.75" customHeight="1">
      <c r="A245" s="435"/>
      <c r="B245" s="436"/>
      <c r="C245" s="95" t="str">
        <f t="array" ref="C245">IF(I245&gt;0,INDEX(DB,I245,8),"")</f>
        <v/>
      </c>
      <c r="D245" s="437">
        <f t="shared" si="1"/>
        <v>0</v>
      </c>
      <c r="F245" s="438">
        <f t="shared" si="2"/>
        <v>0</v>
      </c>
      <c r="G245" t="str">
        <f t="shared" si="3"/>
        <v/>
      </c>
      <c r="H245" t="b">
        <f t="shared" si="4"/>
        <v>0</v>
      </c>
      <c r="I245" s="439">
        <f>IF(OR(ISBLANK(A245),ISNA(MATCH(A245&amp;"",AthleteNumbers,0))),0,MATCH(A245&amp;"",AthleteNumbers,0))</f>
        <v>0</v>
      </c>
      <c r="J245" s="209">
        <f t="array" ref="J245">IF(I245&gt;0,INDEX(DB,$I245,6),0)</f>
        <v>0</v>
      </c>
      <c r="K245" s="446">
        <f t="shared" si="5"/>
        <v>0</v>
      </c>
      <c r="L245" s="440">
        <f t="shared" si="6"/>
        <v>0</v>
      </c>
      <c r="M245" s="441">
        <f>IF(AND(L245&gt;O245,O245&gt;0),MinPoints,IF(AND(L245&lt;N245,O245&gt;0),100,+INT((O245-$L245)/P245)+MinPoints))</f>
        <v>100</v>
      </c>
      <c r="N245" s="440">
        <f t="shared" si="7"/>
        <v>90</v>
      </c>
      <c r="O245" s="440">
        <f t="shared" si="8"/>
        <v>180</v>
      </c>
      <c r="P245" s="440">
        <f t="shared" si="9"/>
        <v>1</v>
      </c>
      <c r="Q245">
        <f t="array" ref="Q245">IF(I245&gt;0,INDEX(DB,I245,9),EventIndex)</f>
        <v>6</v>
      </c>
      <c r="S245">
        <f t="array" ref="S245">(INT(INDEX(MINVALUES,$Q245,$K$1))*60)+(MOD(INDEX(MINVALUES,$Q245,$K$1),1)*100)</f>
        <v>180</v>
      </c>
      <c r="T245">
        <f t="array" ref="T245">(INDEX(INCVALUES,$Q245,$K$1)*100)</f>
        <v>1</v>
      </c>
      <c r="V245">
        <f t="array" ref="V245">+J245+(4*(INDEX(MatchScoreTable,$Q245,20)-1))</f>
        <v>4</v>
      </c>
      <c r="W245">
        <f t="array" ref="W245">INDEX(INC_MINVALUES,$V245,$K$1)</f>
        <v>480</v>
      </c>
      <c r="X245" s="212">
        <f t="array" ref="X245">INDEX(INC_INCVALUES,$V245,$K$1)</f>
        <v>4</v>
      </c>
    </row>
    <row r="246" ht="15.75" customHeight="1">
      <c r="A246" s="435"/>
      <c r="B246" s="436"/>
      <c r="C246" s="95" t="str">
        <f t="array" ref="C246">IF(I246&gt;0,INDEX(DB,I246,8),"")</f>
        <v/>
      </c>
      <c r="D246" s="437">
        <f t="shared" si="1"/>
        <v>0</v>
      </c>
      <c r="F246" s="438">
        <f t="shared" si="2"/>
        <v>0</v>
      </c>
      <c r="G246" t="str">
        <f t="shared" si="3"/>
        <v/>
      </c>
      <c r="H246" t="b">
        <f t="shared" si="4"/>
        <v>0</v>
      </c>
      <c r="I246" s="439">
        <f>IF(OR(ISBLANK(A246),ISNA(MATCH(A246&amp;"",AthleteNumbers,0))),0,MATCH(A246&amp;"",AthleteNumbers,0))</f>
        <v>0</v>
      </c>
      <c r="J246" s="209">
        <f t="array" ref="J246">IF(I246&gt;0,INDEX(DB,$I246,6),0)</f>
        <v>0</v>
      </c>
      <c r="K246" s="446">
        <f t="shared" si="5"/>
        <v>0</v>
      </c>
      <c r="L246" s="440">
        <f t="shared" si="6"/>
        <v>0</v>
      </c>
      <c r="M246" s="441">
        <f>IF(AND(L246&gt;O246,O246&gt;0),MinPoints,IF(AND(L246&lt;N246,O246&gt;0),100,+INT((O246-$L246)/P246)+MinPoints))</f>
        <v>100</v>
      </c>
      <c r="N246" s="440">
        <f t="shared" si="7"/>
        <v>90</v>
      </c>
      <c r="O246" s="440">
        <f t="shared" si="8"/>
        <v>180</v>
      </c>
      <c r="P246" s="440">
        <f t="shared" si="9"/>
        <v>1</v>
      </c>
      <c r="Q246">
        <f t="array" ref="Q246">IF(I246&gt;0,INDEX(DB,I246,9),EventIndex)</f>
        <v>6</v>
      </c>
      <c r="S246">
        <f t="array" ref="S246">(INT(INDEX(MINVALUES,$Q246,$K$1))*60)+(MOD(INDEX(MINVALUES,$Q246,$K$1),1)*100)</f>
        <v>180</v>
      </c>
      <c r="T246">
        <f t="array" ref="T246">(INDEX(INCVALUES,$Q246,$K$1)*100)</f>
        <v>1</v>
      </c>
      <c r="V246">
        <f t="array" ref="V246">+J246+(4*(INDEX(MatchScoreTable,$Q246,20)-1))</f>
        <v>4</v>
      </c>
      <c r="W246">
        <f t="array" ref="W246">INDEX(INC_MINVALUES,$V246,$K$1)</f>
        <v>480</v>
      </c>
      <c r="X246" s="212">
        <f t="array" ref="X246">INDEX(INC_INCVALUES,$V246,$K$1)</f>
        <v>4</v>
      </c>
    </row>
    <row r="247" ht="15.75" customHeight="1">
      <c r="A247" s="435"/>
      <c r="B247" s="436"/>
      <c r="C247" s="95" t="str">
        <f t="array" ref="C247">IF(I247&gt;0,INDEX(DB,I247,8),"")</f>
        <v/>
      </c>
      <c r="D247" s="437">
        <f t="shared" si="1"/>
        <v>0</v>
      </c>
      <c r="F247" s="438">
        <f t="shared" si="2"/>
        <v>0</v>
      </c>
      <c r="G247" t="str">
        <f t="shared" si="3"/>
        <v/>
      </c>
      <c r="H247" t="b">
        <f t="shared" si="4"/>
        <v>0</v>
      </c>
      <c r="I247" s="439">
        <f>IF(OR(ISBLANK(A247),ISNA(MATCH(A247&amp;"",AthleteNumbers,0))),0,MATCH(A247&amp;"",AthleteNumbers,0))</f>
        <v>0</v>
      </c>
      <c r="J247" s="209">
        <f t="array" ref="J247">IF(I247&gt;0,INDEX(DB,$I247,6),0)</f>
        <v>0</v>
      </c>
      <c r="K247" s="446">
        <f t="shared" si="5"/>
        <v>0</v>
      </c>
      <c r="L247" s="440">
        <f t="shared" si="6"/>
        <v>0</v>
      </c>
      <c r="M247" s="441">
        <f>IF(AND(L247&gt;O247,O247&gt;0),MinPoints,IF(AND(L247&lt;N247,O247&gt;0),100,+INT((O247-$L247)/P247)+MinPoints))</f>
        <v>100</v>
      </c>
      <c r="N247" s="440">
        <f t="shared" si="7"/>
        <v>90</v>
      </c>
      <c r="O247" s="440">
        <f t="shared" si="8"/>
        <v>180</v>
      </c>
      <c r="P247" s="440">
        <f t="shared" si="9"/>
        <v>1</v>
      </c>
      <c r="Q247">
        <f t="array" ref="Q247">IF(I247&gt;0,INDEX(DB,I247,9),EventIndex)</f>
        <v>6</v>
      </c>
      <c r="S247">
        <f t="array" ref="S247">(INT(INDEX(MINVALUES,$Q247,$K$1))*60)+(MOD(INDEX(MINVALUES,$Q247,$K$1),1)*100)</f>
        <v>180</v>
      </c>
      <c r="T247">
        <f t="array" ref="T247">(INDEX(INCVALUES,$Q247,$K$1)*100)</f>
        <v>1</v>
      </c>
      <c r="V247">
        <f t="array" ref="V247">+J247+(4*(INDEX(MatchScoreTable,$Q247,20)-1))</f>
        <v>4</v>
      </c>
      <c r="W247">
        <f t="array" ref="W247">INDEX(INC_MINVALUES,$V247,$K$1)</f>
        <v>480</v>
      </c>
      <c r="X247" s="212">
        <f t="array" ref="X247">INDEX(INC_INCVALUES,$V247,$K$1)</f>
        <v>4</v>
      </c>
    </row>
    <row r="248" ht="15.75" customHeight="1">
      <c r="A248" s="435"/>
      <c r="B248" s="436"/>
      <c r="C248" s="95" t="str">
        <f t="array" ref="C248">IF(I248&gt;0,INDEX(DB,I248,8),"")</f>
        <v/>
      </c>
      <c r="D248" s="437">
        <f t="shared" si="1"/>
        <v>0</v>
      </c>
      <c r="F248" s="438">
        <f t="shared" si="2"/>
        <v>0</v>
      </c>
      <c r="G248" t="str">
        <f t="shared" si="3"/>
        <v/>
      </c>
      <c r="H248" t="b">
        <f t="shared" si="4"/>
        <v>0</v>
      </c>
      <c r="I248" s="439">
        <f>IF(OR(ISBLANK(A248),ISNA(MATCH(A248&amp;"",AthleteNumbers,0))),0,MATCH(A248&amp;"",AthleteNumbers,0))</f>
        <v>0</v>
      </c>
      <c r="J248" s="209">
        <f t="array" ref="J248">IF(I248&gt;0,INDEX(DB,$I248,6),0)</f>
        <v>0</v>
      </c>
      <c r="K248" s="446">
        <f t="shared" si="5"/>
        <v>0</v>
      </c>
      <c r="L248" s="440">
        <f t="shared" si="6"/>
        <v>0</v>
      </c>
      <c r="M248" s="441">
        <f>IF(AND(L248&gt;O248,O248&gt;0),MinPoints,IF(AND(L248&lt;N248,O248&gt;0),100,+INT((O248-$L248)/P248)+MinPoints))</f>
        <v>100</v>
      </c>
      <c r="N248" s="440">
        <f t="shared" si="7"/>
        <v>90</v>
      </c>
      <c r="O248" s="440">
        <f t="shared" si="8"/>
        <v>180</v>
      </c>
      <c r="P248" s="440">
        <f t="shared" si="9"/>
        <v>1</v>
      </c>
      <c r="Q248">
        <f t="array" ref="Q248">IF(I248&gt;0,INDEX(DB,I248,9),EventIndex)</f>
        <v>6</v>
      </c>
      <c r="S248">
        <f t="array" ref="S248">(INT(INDEX(MINVALUES,$Q248,$K$1))*60)+(MOD(INDEX(MINVALUES,$Q248,$K$1),1)*100)</f>
        <v>180</v>
      </c>
      <c r="T248">
        <f t="array" ref="T248">(INDEX(INCVALUES,$Q248,$K$1)*100)</f>
        <v>1</v>
      </c>
      <c r="V248">
        <f t="array" ref="V248">+J248+(4*(INDEX(MatchScoreTable,$Q248,20)-1))</f>
        <v>4</v>
      </c>
      <c r="W248">
        <f t="array" ref="W248">INDEX(INC_MINVALUES,$V248,$K$1)</f>
        <v>480</v>
      </c>
      <c r="X248" s="212">
        <f t="array" ref="X248">INDEX(INC_INCVALUES,$V248,$K$1)</f>
        <v>4</v>
      </c>
    </row>
    <row r="249" ht="15.75" customHeight="1">
      <c r="A249" s="435"/>
      <c r="B249" s="436"/>
      <c r="C249" s="95" t="str">
        <f t="array" ref="C249">IF(I249&gt;0,INDEX(DB,I249,8),"")</f>
        <v/>
      </c>
      <c r="D249" s="437">
        <f t="shared" si="1"/>
        <v>0</v>
      </c>
      <c r="F249" s="438">
        <f t="shared" si="2"/>
        <v>0</v>
      </c>
      <c r="G249" t="str">
        <f t="shared" si="3"/>
        <v/>
      </c>
      <c r="H249" t="b">
        <f t="shared" si="4"/>
        <v>0</v>
      </c>
      <c r="I249" s="439">
        <f>IF(OR(ISBLANK(A249),ISNA(MATCH(A249&amp;"",AthleteNumbers,0))),0,MATCH(A249&amp;"",AthleteNumbers,0))</f>
        <v>0</v>
      </c>
      <c r="J249" s="209">
        <f t="array" ref="J249">IF(I249&gt;0,INDEX(DB,$I249,6),0)</f>
        <v>0</v>
      </c>
      <c r="K249" s="446">
        <f t="shared" si="5"/>
        <v>0</v>
      </c>
      <c r="L249" s="440">
        <f t="shared" si="6"/>
        <v>0</v>
      </c>
      <c r="M249" s="441">
        <f>IF(AND(L249&gt;O249,O249&gt;0),MinPoints,IF(AND(L249&lt;N249,O249&gt;0),100,+INT((O249-$L249)/P249)+MinPoints))</f>
        <v>100</v>
      </c>
      <c r="N249" s="440">
        <f t="shared" si="7"/>
        <v>90</v>
      </c>
      <c r="O249" s="440">
        <f t="shared" si="8"/>
        <v>180</v>
      </c>
      <c r="P249" s="440">
        <f t="shared" si="9"/>
        <v>1</v>
      </c>
      <c r="Q249">
        <f t="array" ref="Q249">IF(I249&gt;0,INDEX(DB,I249,9),EventIndex)</f>
        <v>6</v>
      </c>
      <c r="S249">
        <f t="array" ref="S249">(INT(INDEX(MINVALUES,$Q249,$K$1))*60)+(MOD(INDEX(MINVALUES,$Q249,$K$1),1)*100)</f>
        <v>180</v>
      </c>
      <c r="T249">
        <f t="array" ref="T249">(INDEX(INCVALUES,$Q249,$K$1)*100)</f>
        <v>1</v>
      </c>
      <c r="V249">
        <f t="array" ref="V249">+J249+(4*(INDEX(MatchScoreTable,$Q249,20)-1))</f>
        <v>4</v>
      </c>
      <c r="W249">
        <f t="array" ref="W249">INDEX(INC_MINVALUES,$V249,$K$1)</f>
        <v>480</v>
      </c>
      <c r="X249" s="212">
        <f t="array" ref="X249">INDEX(INC_INCVALUES,$V249,$K$1)</f>
        <v>4</v>
      </c>
    </row>
    <row r="250" ht="15.75" customHeight="1">
      <c r="A250" s="435"/>
      <c r="B250" s="436"/>
      <c r="C250" s="95" t="str">
        <f t="array" ref="C250">IF(I250&gt;0,INDEX(DB,I250,8),"")</f>
        <v/>
      </c>
      <c r="D250" s="437">
        <f t="shared" si="1"/>
        <v>0</v>
      </c>
      <c r="F250" s="438">
        <f t="shared" si="2"/>
        <v>0</v>
      </c>
      <c r="G250" t="str">
        <f t="shared" si="3"/>
        <v/>
      </c>
      <c r="H250" t="b">
        <f t="shared" si="4"/>
        <v>0</v>
      </c>
      <c r="I250" s="439">
        <f>IF(OR(ISBLANK(A250),ISNA(MATCH(A250&amp;"",AthleteNumbers,0))),0,MATCH(A250&amp;"",AthleteNumbers,0))</f>
        <v>0</v>
      </c>
      <c r="J250" s="209">
        <f t="array" ref="J250">IF(I250&gt;0,INDEX(DB,$I250,6),0)</f>
        <v>0</v>
      </c>
      <c r="K250" s="446">
        <f t="shared" si="5"/>
        <v>0</v>
      </c>
      <c r="L250" s="440">
        <f t="shared" si="6"/>
        <v>0</v>
      </c>
      <c r="M250" s="441">
        <f>IF(AND(L250&gt;O250,O250&gt;0),MinPoints,IF(AND(L250&lt;N250,O250&gt;0),100,+INT((O250-$L250)/P250)+MinPoints))</f>
        <v>100</v>
      </c>
      <c r="N250" s="440">
        <f t="shared" si="7"/>
        <v>90</v>
      </c>
      <c r="O250" s="440">
        <f t="shared" si="8"/>
        <v>180</v>
      </c>
      <c r="P250" s="440">
        <f t="shared" si="9"/>
        <v>1</v>
      </c>
      <c r="Q250">
        <f t="array" ref="Q250">IF(I250&gt;0,INDEX(DB,I250,9),EventIndex)</f>
        <v>6</v>
      </c>
      <c r="S250">
        <f t="array" ref="S250">(INT(INDEX(MINVALUES,$Q250,$K$1))*60)+(MOD(INDEX(MINVALUES,$Q250,$K$1),1)*100)</f>
        <v>180</v>
      </c>
      <c r="T250">
        <f t="array" ref="T250">(INDEX(INCVALUES,$Q250,$K$1)*100)</f>
        <v>1</v>
      </c>
      <c r="V250">
        <f t="array" ref="V250">+J250+(4*(INDEX(MatchScoreTable,$Q250,20)-1))</f>
        <v>4</v>
      </c>
      <c r="W250">
        <f t="array" ref="W250">INDEX(INC_MINVALUES,$V250,$K$1)</f>
        <v>480</v>
      </c>
      <c r="X250" s="212">
        <f t="array" ref="X250">INDEX(INC_INCVALUES,$V250,$K$1)</f>
        <v>4</v>
      </c>
    </row>
    <row r="251" ht="15.75" customHeight="1">
      <c r="A251" s="435"/>
      <c r="B251" s="436"/>
      <c r="C251" s="95" t="str">
        <f t="array" ref="C251">IF(I251&gt;0,INDEX(DB,I251,8),"")</f>
        <v/>
      </c>
      <c r="D251" s="437">
        <f t="shared" si="1"/>
        <v>0</v>
      </c>
      <c r="F251" s="438">
        <f t="shared" si="2"/>
        <v>0</v>
      </c>
      <c r="G251" t="str">
        <f t="shared" si="3"/>
        <v/>
      </c>
      <c r="H251" t="b">
        <f t="shared" si="4"/>
        <v>0</v>
      </c>
      <c r="I251" s="439">
        <f>IF(OR(ISBLANK(A251),ISNA(MATCH(A251&amp;"",AthleteNumbers,0))),0,MATCH(A251&amp;"",AthleteNumbers,0))</f>
        <v>0</v>
      </c>
      <c r="J251" s="209">
        <f t="array" ref="J251">IF(I251&gt;0,INDEX(DB,$I251,6),0)</f>
        <v>0</v>
      </c>
      <c r="K251" s="446">
        <f t="shared" si="5"/>
        <v>0</v>
      </c>
      <c r="L251" s="440">
        <f t="shared" si="6"/>
        <v>0</v>
      </c>
      <c r="M251" s="441">
        <f>IF(AND(L251&gt;O251,O251&gt;0),MinPoints,IF(AND(L251&lt;N251,O251&gt;0),100,+INT((O251-$L251)/P251)+MinPoints))</f>
        <v>100</v>
      </c>
      <c r="N251" s="440">
        <f t="shared" si="7"/>
        <v>90</v>
      </c>
      <c r="O251" s="440">
        <f t="shared" si="8"/>
        <v>180</v>
      </c>
      <c r="P251" s="440">
        <f t="shared" si="9"/>
        <v>1</v>
      </c>
      <c r="Q251">
        <f t="array" ref="Q251">IF(I251&gt;0,INDEX(DB,I251,9),EventIndex)</f>
        <v>6</v>
      </c>
      <c r="S251">
        <f t="array" ref="S251">(INT(INDEX(MINVALUES,$Q251,$K$1))*60)+(MOD(INDEX(MINVALUES,$Q251,$K$1),1)*100)</f>
        <v>180</v>
      </c>
      <c r="T251">
        <f t="array" ref="T251">(INDEX(INCVALUES,$Q251,$K$1)*100)</f>
        <v>1</v>
      </c>
      <c r="V251">
        <f t="array" ref="V251">+J251+(4*(INDEX(MatchScoreTable,$Q251,20)-1))</f>
        <v>4</v>
      </c>
      <c r="W251">
        <f t="array" ref="W251">INDEX(INC_MINVALUES,$V251,$K$1)</f>
        <v>480</v>
      </c>
      <c r="X251" s="212">
        <f t="array" ref="X251">INDEX(INC_INCVALUES,$V251,$K$1)</f>
        <v>4</v>
      </c>
    </row>
    <row r="252" ht="15.75" customHeight="1">
      <c r="A252" s="435"/>
      <c r="B252" s="436"/>
      <c r="C252" s="95" t="str">
        <f t="array" ref="C252">IF(I252&gt;0,INDEX(DB,I252,8),"")</f>
        <v/>
      </c>
      <c r="D252" s="437">
        <f t="shared" si="1"/>
        <v>0</v>
      </c>
      <c r="F252" s="438">
        <f t="shared" si="2"/>
        <v>0</v>
      </c>
      <c r="G252" t="str">
        <f t="shared" si="3"/>
        <v/>
      </c>
      <c r="H252" t="b">
        <f t="shared" si="4"/>
        <v>0</v>
      </c>
      <c r="I252" s="439">
        <f>IF(OR(ISBLANK(A252),ISNA(MATCH(A252&amp;"",AthleteNumbers,0))),0,MATCH(A252&amp;"",AthleteNumbers,0))</f>
        <v>0</v>
      </c>
      <c r="J252" s="209">
        <f t="array" ref="J252">IF(I252&gt;0,INDEX(DB,$I252,6),0)</f>
        <v>0</v>
      </c>
      <c r="K252" s="446">
        <f t="shared" si="5"/>
        <v>0</v>
      </c>
      <c r="L252" s="440">
        <f t="shared" si="6"/>
        <v>0</v>
      </c>
      <c r="M252" s="441">
        <f>IF(AND(L252&gt;O252,O252&gt;0),MinPoints,IF(AND(L252&lt;N252,O252&gt;0),100,+INT((O252-$L252)/P252)+MinPoints))</f>
        <v>100</v>
      </c>
      <c r="N252" s="440">
        <f t="shared" si="7"/>
        <v>90</v>
      </c>
      <c r="O252" s="440">
        <f t="shared" si="8"/>
        <v>180</v>
      </c>
      <c r="P252" s="440">
        <f t="shared" si="9"/>
        <v>1</v>
      </c>
      <c r="Q252">
        <f t="array" ref="Q252">IF(I252&gt;0,INDEX(DB,I252,9),EventIndex)</f>
        <v>6</v>
      </c>
      <c r="S252">
        <f t="array" ref="S252">(INT(INDEX(MINVALUES,$Q252,$K$1))*60)+(MOD(INDEX(MINVALUES,$Q252,$K$1),1)*100)</f>
        <v>180</v>
      </c>
      <c r="T252">
        <f t="array" ref="T252">(INDEX(INCVALUES,$Q252,$K$1)*100)</f>
        <v>1</v>
      </c>
      <c r="V252">
        <f t="array" ref="V252">+J252+(4*(INDEX(MatchScoreTable,$Q252,20)-1))</f>
        <v>4</v>
      </c>
      <c r="W252">
        <f t="array" ref="W252">INDEX(INC_MINVALUES,$V252,$K$1)</f>
        <v>480</v>
      </c>
      <c r="X252" s="212">
        <f t="array" ref="X252">INDEX(INC_INCVALUES,$V252,$K$1)</f>
        <v>4</v>
      </c>
    </row>
    <row r="253" ht="15.75" customHeight="1">
      <c r="A253" s="435"/>
      <c r="B253" s="436"/>
      <c r="C253" s="95" t="str">
        <f t="array" ref="C253">IF(I253&gt;0,INDEX(DB,I253,8),"")</f>
        <v/>
      </c>
      <c r="D253" s="437">
        <f t="shared" si="1"/>
        <v>0</v>
      </c>
      <c r="F253" s="438">
        <f t="shared" si="2"/>
        <v>0</v>
      </c>
      <c r="G253" t="str">
        <f t="shared" si="3"/>
        <v/>
      </c>
      <c r="H253" t="b">
        <f t="shared" si="4"/>
        <v>0</v>
      </c>
      <c r="I253" s="439">
        <f>IF(OR(ISBLANK(A253),ISNA(MATCH(A253&amp;"",AthleteNumbers,0))),0,MATCH(A253&amp;"",AthleteNumbers,0))</f>
        <v>0</v>
      </c>
      <c r="J253" s="209">
        <f t="array" ref="J253">IF(I253&gt;0,INDEX(DB,$I253,6),0)</f>
        <v>0</v>
      </c>
      <c r="K253" s="446">
        <f t="shared" si="5"/>
        <v>0</v>
      </c>
      <c r="L253" s="440">
        <f t="shared" si="6"/>
        <v>0</v>
      </c>
      <c r="M253" s="441">
        <f>IF(AND(L253&gt;O253,O253&gt;0),MinPoints,IF(AND(L253&lt;N253,O253&gt;0),100,+INT((O253-$L253)/P253)+MinPoints))</f>
        <v>100</v>
      </c>
      <c r="N253" s="440">
        <f t="shared" si="7"/>
        <v>90</v>
      </c>
      <c r="O253" s="440">
        <f t="shared" si="8"/>
        <v>180</v>
      </c>
      <c r="P253" s="440">
        <f t="shared" si="9"/>
        <v>1</v>
      </c>
      <c r="Q253">
        <f t="array" ref="Q253">IF(I253&gt;0,INDEX(DB,I253,9),EventIndex)</f>
        <v>6</v>
      </c>
      <c r="S253">
        <f t="array" ref="S253">(INT(INDEX(MINVALUES,$Q253,$K$1))*60)+(MOD(INDEX(MINVALUES,$Q253,$K$1),1)*100)</f>
        <v>180</v>
      </c>
      <c r="T253">
        <f t="array" ref="T253">(INDEX(INCVALUES,$Q253,$K$1)*100)</f>
        <v>1</v>
      </c>
      <c r="V253">
        <f t="array" ref="V253">+J253+(4*(INDEX(MatchScoreTable,$Q253,20)-1))</f>
        <v>4</v>
      </c>
      <c r="W253">
        <f t="array" ref="W253">INDEX(INC_MINVALUES,$V253,$K$1)</f>
        <v>480</v>
      </c>
      <c r="X253" s="212">
        <f t="array" ref="X253">INDEX(INC_INCVALUES,$V253,$K$1)</f>
        <v>4</v>
      </c>
    </row>
    <row r="254" ht="15.75" customHeight="1">
      <c r="A254" s="435"/>
      <c r="B254" s="436"/>
      <c r="C254" s="95" t="str">
        <f t="array" ref="C254">IF(I254&gt;0,INDEX(DB,I254,8),"")</f>
        <v/>
      </c>
      <c r="D254" s="437">
        <f t="shared" si="1"/>
        <v>0</v>
      </c>
      <c r="F254" s="438">
        <f t="shared" si="2"/>
        <v>0</v>
      </c>
      <c r="G254" t="str">
        <f t="shared" si="3"/>
        <v/>
      </c>
      <c r="H254" t="b">
        <f t="shared" si="4"/>
        <v>0</v>
      </c>
      <c r="I254" s="439">
        <f>IF(OR(ISBLANK(A254),ISNA(MATCH(A254&amp;"",AthleteNumbers,0))),0,MATCH(A254&amp;"",AthleteNumbers,0))</f>
        <v>0</v>
      </c>
      <c r="J254" s="209">
        <f t="array" ref="J254">IF(I254&gt;0,INDEX(DB,$I254,6),0)</f>
        <v>0</v>
      </c>
      <c r="K254" s="446">
        <f t="shared" si="5"/>
        <v>0</v>
      </c>
      <c r="L254" s="440">
        <f t="shared" si="6"/>
        <v>0</v>
      </c>
      <c r="M254" s="441">
        <f>IF(AND(L254&gt;O254,O254&gt;0),MinPoints,IF(AND(L254&lt;N254,O254&gt;0),100,+INT((O254-$L254)/P254)+MinPoints))</f>
        <v>100</v>
      </c>
      <c r="N254" s="440">
        <f t="shared" si="7"/>
        <v>90</v>
      </c>
      <c r="O254" s="440">
        <f t="shared" si="8"/>
        <v>180</v>
      </c>
      <c r="P254" s="440">
        <f t="shared" si="9"/>
        <v>1</v>
      </c>
      <c r="Q254">
        <f t="array" ref="Q254">IF(I254&gt;0,INDEX(DB,I254,9),EventIndex)</f>
        <v>6</v>
      </c>
      <c r="S254">
        <f t="array" ref="S254">(INT(INDEX(MINVALUES,$Q254,$K$1))*60)+(MOD(INDEX(MINVALUES,$Q254,$K$1),1)*100)</f>
        <v>180</v>
      </c>
      <c r="T254">
        <f t="array" ref="T254">(INDEX(INCVALUES,$Q254,$K$1)*100)</f>
        <v>1</v>
      </c>
      <c r="V254">
        <f t="array" ref="V254">+J254+(4*(INDEX(MatchScoreTable,$Q254,20)-1))</f>
        <v>4</v>
      </c>
      <c r="W254">
        <f t="array" ref="W254">INDEX(INC_MINVALUES,$V254,$K$1)</f>
        <v>480</v>
      </c>
      <c r="X254" s="212">
        <f t="array" ref="X254">INDEX(INC_INCVALUES,$V254,$K$1)</f>
        <v>4</v>
      </c>
    </row>
    <row r="255" ht="15.75" customHeight="1">
      <c r="A255" s="435"/>
      <c r="B255" s="436"/>
      <c r="C255" s="95" t="str">
        <f t="array" ref="C255">IF(I255&gt;0,INDEX(DB,I255,8),"")</f>
        <v/>
      </c>
      <c r="D255" s="437">
        <f t="shared" si="1"/>
        <v>0</v>
      </c>
      <c r="F255" s="438">
        <f t="shared" si="2"/>
        <v>0</v>
      </c>
      <c r="G255" t="str">
        <f t="shared" si="3"/>
        <v/>
      </c>
      <c r="H255" t="b">
        <f t="shared" si="4"/>
        <v>0</v>
      </c>
      <c r="I255" s="439">
        <f>IF(OR(ISBLANK(A255),ISNA(MATCH(A255&amp;"",AthleteNumbers,0))),0,MATCH(A255&amp;"",AthleteNumbers,0))</f>
        <v>0</v>
      </c>
      <c r="J255" s="209">
        <f t="array" ref="J255">IF(I255&gt;0,INDEX(DB,$I255,6),0)</f>
        <v>0</v>
      </c>
      <c r="K255" s="446">
        <f t="shared" si="5"/>
        <v>0</v>
      </c>
      <c r="L255" s="440">
        <f t="shared" si="6"/>
        <v>0</v>
      </c>
      <c r="M255" s="441">
        <f>IF(AND(L255&gt;O255,O255&gt;0),MinPoints,IF(AND(L255&lt;N255,O255&gt;0),100,+INT((O255-$L255)/P255)+MinPoints))</f>
        <v>100</v>
      </c>
      <c r="N255" s="440">
        <f t="shared" si="7"/>
        <v>90</v>
      </c>
      <c r="O255" s="440">
        <f t="shared" si="8"/>
        <v>180</v>
      </c>
      <c r="P255" s="440">
        <f t="shared" si="9"/>
        <v>1</v>
      </c>
      <c r="Q255">
        <f t="array" ref="Q255">IF(I255&gt;0,INDEX(DB,I255,9),EventIndex)</f>
        <v>6</v>
      </c>
      <c r="S255">
        <f t="array" ref="S255">(INT(INDEX(MINVALUES,$Q255,$K$1))*60)+(MOD(INDEX(MINVALUES,$Q255,$K$1),1)*100)</f>
        <v>180</v>
      </c>
      <c r="T255">
        <f t="array" ref="T255">(INDEX(INCVALUES,$Q255,$K$1)*100)</f>
        <v>1</v>
      </c>
      <c r="V255">
        <f t="array" ref="V255">+J255+(4*(INDEX(MatchScoreTable,$Q255,20)-1))</f>
        <v>4</v>
      </c>
      <c r="W255">
        <f t="array" ref="W255">INDEX(INC_MINVALUES,$V255,$K$1)</f>
        <v>480</v>
      </c>
      <c r="X255" s="212">
        <f t="array" ref="X255">INDEX(INC_INCVALUES,$V255,$K$1)</f>
        <v>4</v>
      </c>
    </row>
    <row r="256" ht="15.75" customHeight="1">
      <c r="A256" s="435"/>
      <c r="B256" s="436"/>
      <c r="C256" s="95" t="str">
        <f t="array" ref="C256">IF(I256&gt;0,INDEX(DB,I256,8),"")</f>
        <v/>
      </c>
      <c r="D256" s="437">
        <f t="shared" si="1"/>
        <v>0</v>
      </c>
      <c r="F256" s="438">
        <f t="shared" si="2"/>
        <v>0</v>
      </c>
      <c r="G256" t="str">
        <f t="shared" si="3"/>
        <v/>
      </c>
      <c r="H256" t="b">
        <f t="shared" si="4"/>
        <v>0</v>
      </c>
      <c r="I256" s="439">
        <f>IF(OR(ISBLANK(A256),ISNA(MATCH(A256&amp;"",AthleteNumbers,0))),0,MATCH(A256&amp;"",AthleteNumbers,0))</f>
        <v>0</v>
      </c>
      <c r="J256" s="209">
        <f t="array" ref="J256">IF(I256&gt;0,INDEX(DB,$I256,6),0)</f>
        <v>0</v>
      </c>
      <c r="K256" s="446">
        <f t="shared" si="5"/>
        <v>0</v>
      </c>
      <c r="L256" s="440">
        <f t="shared" si="6"/>
        <v>0</v>
      </c>
      <c r="M256" s="441">
        <f>IF(AND(L256&gt;O256,O256&gt;0),MinPoints,IF(AND(L256&lt;N256,O256&gt;0),100,+INT((O256-$L256)/P256)+MinPoints))</f>
        <v>100</v>
      </c>
      <c r="N256" s="440">
        <f t="shared" si="7"/>
        <v>90</v>
      </c>
      <c r="O256" s="440">
        <f t="shared" si="8"/>
        <v>180</v>
      </c>
      <c r="P256" s="440">
        <f t="shared" si="9"/>
        <v>1</v>
      </c>
      <c r="Q256">
        <f t="array" ref="Q256">IF(I256&gt;0,INDEX(DB,I256,9),EventIndex)</f>
        <v>6</v>
      </c>
      <c r="S256">
        <f t="array" ref="S256">(INT(INDEX(MINVALUES,$Q256,$K$1))*60)+(MOD(INDEX(MINVALUES,$Q256,$K$1),1)*100)</f>
        <v>180</v>
      </c>
      <c r="T256">
        <f t="array" ref="T256">(INDEX(INCVALUES,$Q256,$K$1)*100)</f>
        <v>1</v>
      </c>
      <c r="V256">
        <f t="array" ref="V256">+J256+(4*(INDEX(MatchScoreTable,$Q256,20)-1))</f>
        <v>4</v>
      </c>
      <c r="W256">
        <f t="array" ref="W256">INDEX(INC_MINVALUES,$V256,$K$1)</f>
        <v>480</v>
      </c>
      <c r="X256" s="212">
        <f t="array" ref="X256">INDEX(INC_INCVALUES,$V256,$K$1)</f>
        <v>4</v>
      </c>
    </row>
    <row r="257" ht="15.75" customHeight="1">
      <c r="A257" s="435"/>
      <c r="B257" s="436"/>
      <c r="C257" s="95" t="str">
        <f t="array" ref="C257">IF(I257&gt;0,INDEX(DB,I257,8),"")</f>
        <v/>
      </c>
      <c r="D257" s="437">
        <f t="shared" si="1"/>
        <v>0</v>
      </c>
      <c r="F257" s="438">
        <f t="shared" si="2"/>
        <v>0</v>
      </c>
      <c r="G257" t="str">
        <f t="shared" si="3"/>
        <v/>
      </c>
      <c r="H257" t="b">
        <f t="shared" si="4"/>
        <v>0</v>
      </c>
      <c r="I257" s="439">
        <f>IF(OR(ISBLANK(A257),ISNA(MATCH(A257&amp;"",AthleteNumbers,0))),0,MATCH(A257&amp;"",AthleteNumbers,0))</f>
        <v>0</v>
      </c>
      <c r="J257" s="209">
        <f t="array" ref="J257">IF(I257&gt;0,INDEX(DB,$I257,6),0)</f>
        <v>0</v>
      </c>
      <c r="K257" s="446">
        <f t="shared" si="5"/>
        <v>0</v>
      </c>
      <c r="L257" s="440">
        <f t="shared" si="6"/>
        <v>0</v>
      </c>
      <c r="M257" s="441">
        <f>IF(AND(L257&gt;O257,O257&gt;0),MinPoints,IF(AND(L257&lt;N257,O257&gt;0),100,+INT((O257-$L257)/P257)+MinPoints))</f>
        <v>100</v>
      </c>
      <c r="N257" s="440">
        <f t="shared" si="7"/>
        <v>90</v>
      </c>
      <c r="O257" s="440">
        <f t="shared" si="8"/>
        <v>180</v>
      </c>
      <c r="P257" s="440">
        <f t="shared" si="9"/>
        <v>1</v>
      </c>
      <c r="Q257">
        <f t="array" ref="Q257">IF(I257&gt;0,INDEX(DB,I257,9),EventIndex)</f>
        <v>6</v>
      </c>
      <c r="S257">
        <f t="array" ref="S257">(INT(INDEX(MINVALUES,$Q257,$K$1))*60)+(MOD(INDEX(MINVALUES,$Q257,$K$1),1)*100)</f>
        <v>180</v>
      </c>
      <c r="T257">
        <f t="array" ref="T257">(INDEX(INCVALUES,$Q257,$K$1)*100)</f>
        <v>1</v>
      </c>
      <c r="V257">
        <f t="array" ref="V257">+J257+(4*(INDEX(MatchScoreTable,$Q257,20)-1))</f>
        <v>4</v>
      </c>
      <c r="W257">
        <f t="array" ref="W257">INDEX(INC_MINVALUES,$V257,$K$1)</f>
        <v>480</v>
      </c>
      <c r="X257" s="212">
        <f t="array" ref="X257">INDEX(INC_INCVALUES,$V257,$K$1)</f>
        <v>4</v>
      </c>
    </row>
    <row r="258" ht="15.75" customHeight="1">
      <c r="A258" s="435"/>
      <c r="B258" s="436"/>
      <c r="C258" s="95" t="str">
        <f t="array" ref="C258">IF(I258&gt;0,INDEX(DB,I258,8),"")</f>
        <v/>
      </c>
      <c r="D258" s="437">
        <f t="shared" si="1"/>
        <v>0</v>
      </c>
      <c r="F258" s="438">
        <f t="shared" si="2"/>
        <v>0</v>
      </c>
      <c r="G258" t="str">
        <f t="shared" si="3"/>
        <v/>
      </c>
      <c r="H258" t="b">
        <f t="shared" si="4"/>
        <v>0</v>
      </c>
      <c r="I258" s="439">
        <f>IF(OR(ISBLANK(A258),ISNA(MATCH(A258&amp;"",AthleteNumbers,0))),0,MATCH(A258&amp;"",AthleteNumbers,0))</f>
        <v>0</v>
      </c>
      <c r="J258" s="209">
        <f t="array" ref="J258">IF(I258&gt;0,INDEX(DB,$I258,6),0)</f>
        <v>0</v>
      </c>
      <c r="K258" s="446">
        <f t="shared" si="5"/>
        <v>0</v>
      </c>
      <c r="L258" s="440">
        <f t="shared" si="6"/>
        <v>0</v>
      </c>
      <c r="M258" s="441">
        <f>IF(AND(L258&gt;O258,O258&gt;0),MinPoints,IF(AND(L258&lt;N258,O258&gt;0),100,+INT((O258-$L258)/P258)+MinPoints))</f>
        <v>100</v>
      </c>
      <c r="N258" s="440">
        <f t="shared" si="7"/>
        <v>90</v>
      </c>
      <c r="O258" s="440">
        <f t="shared" si="8"/>
        <v>180</v>
      </c>
      <c r="P258" s="440">
        <f t="shared" si="9"/>
        <v>1</v>
      </c>
      <c r="Q258">
        <f t="array" ref="Q258">IF(I258&gt;0,INDEX(DB,I258,9),EventIndex)</f>
        <v>6</v>
      </c>
      <c r="S258">
        <f t="array" ref="S258">(INT(INDEX(MINVALUES,$Q258,$K$1))*60)+(MOD(INDEX(MINVALUES,$Q258,$K$1),1)*100)</f>
        <v>180</v>
      </c>
      <c r="T258">
        <f t="array" ref="T258">(INDEX(INCVALUES,$Q258,$K$1)*100)</f>
        <v>1</v>
      </c>
      <c r="V258">
        <f t="array" ref="V258">+J258+(4*(INDEX(MatchScoreTable,$Q258,20)-1))</f>
        <v>4</v>
      </c>
      <c r="W258">
        <f t="array" ref="W258">INDEX(INC_MINVALUES,$V258,$K$1)</f>
        <v>480</v>
      </c>
      <c r="X258" s="212">
        <f t="array" ref="X258">INDEX(INC_INCVALUES,$V258,$K$1)</f>
        <v>4</v>
      </c>
    </row>
    <row r="259" ht="15.75" customHeight="1">
      <c r="A259" s="435"/>
      <c r="B259" s="436"/>
      <c r="C259" s="95" t="str">
        <f t="array" ref="C259">IF(I259&gt;0,INDEX(DB,I259,8),"")</f>
        <v/>
      </c>
      <c r="D259" s="437">
        <f t="shared" si="1"/>
        <v>0</v>
      </c>
      <c r="F259" s="438">
        <f t="shared" si="2"/>
        <v>0</v>
      </c>
      <c r="G259" t="str">
        <f t="shared" si="3"/>
        <v/>
      </c>
      <c r="H259" t="b">
        <f t="shared" si="4"/>
        <v>0</v>
      </c>
      <c r="I259" s="439">
        <f>IF(OR(ISBLANK(A259),ISNA(MATCH(A259&amp;"",AthleteNumbers,0))),0,MATCH(A259&amp;"",AthleteNumbers,0))</f>
        <v>0</v>
      </c>
      <c r="J259" s="209">
        <f t="array" ref="J259">IF(I259&gt;0,INDEX(DB,$I259,6),0)</f>
        <v>0</v>
      </c>
      <c r="K259" s="446">
        <f t="shared" si="5"/>
        <v>0</v>
      </c>
      <c r="L259" s="440">
        <f t="shared" si="6"/>
        <v>0</v>
      </c>
      <c r="M259" s="441">
        <f>IF(AND(L259&gt;O259,O259&gt;0),MinPoints,IF(AND(L259&lt;N259,O259&gt;0),100,+INT((O259-$L259)/P259)+MinPoints))</f>
        <v>100</v>
      </c>
      <c r="N259" s="440">
        <f t="shared" si="7"/>
        <v>90</v>
      </c>
      <c r="O259" s="440">
        <f t="shared" si="8"/>
        <v>180</v>
      </c>
      <c r="P259" s="440">
        <f t="shared" si="9"/>
        <v>1</v>
      </c>
      <c r="Q259">
        <f t="array" ref="Q259">IF(I259&gt;0,INDEX(DB,I259,9),EventIndex)</f>
        <v>6</v>
      </c>
      <c r="S259">
        <f t="array" ref="S259">(INT(INDEX(MINVALUES,$Q259,$K$1))*60)+(MOD(INDEX(MINVALUES,$Q259,$K$1),1)*100)</f>
        <v>180</v>
      </c>
      <c r="T259">
        <f t="array" ref="T259">(INDEX(INCVALUES,$Q259,$K$1)*100)</f>
        <v>1</v>
      </c>
      <c r="V259">
        <f t="array" ref="V259">+J259+(4*(INDEX(MatchScoreTable,$Q259,20)-1))</f>
        <v>4</v>
      </c>
      <c r="W259">
        <f t="array" ref="W259">INDEX(INC_MINVALUES,$V259,$K$1)</f>
        <v>480</v>
      </c>
      <c r="X259" s="212">
        <f t="array" ref="X259">INDEX(INC_INCVALUES,$V259,$K$1)</f>
        <v>4</v>
      </c>
    </row>
    <row r="260" ht="15.75" customHeight="1">
      <c r="A260" s="435"/>
      <c r="B260" s="436"/>
      <c r="C260" s="95" t="str">
        <f t="array" ref="C260">IF(I260&gt;0,INDEX(DB,I260,8),"")</f>
        <v/>
      </c>
      <c r="D260" s="437">
        <f t="shared" si="1"/>
        <v>0</v>
      </c>
      <c r="F260" s="438">
        <f t="shared" si="2"/>
        <v>0</v>
      </c>
      <c r="G260" t="str">
        <f t="shared" si="3"/>
        <v/>
      </c>
      <c r="H260" t="b">
        <f t="shared" si="4"/>
        <v>0</v>
      </c>
      <c r="I260" s="439">
        <f>IF(OR(ISBLANK(A260),ISNA(MATCH(A260&amp;"",AthleteNumbers,0))),0,MATCH(A260&amp;"",AthleteNumbers,0))</f>
        <v>0</v>
      </c>
      <c r="J260" s="209">
        <f t="array" ref="J260">IF(I260&gt;0,INDEX(DB,$I260,6),0)</f>
        <v>0</v>
      </c>
      <c r="K260" s="446">
        <f t="shared" si="5"/>
        <v>0</v>
      </c>
      <c r="L260" s="440">
        <f t="shared" si="6"/>
        <v>0</v>
      </c>
      <c r="M260" s="441">
        <f>IF(AND(L260&gt;O260,O260&gt;0),MinPoints,IF(AND(L260&lt;N260,O260&gt;0),100,+INT((O260-$L260)/P260)+MinPoints))</f>
        <v>100</v>
      </c>
      <c r="N260" s="440">
        <f t="shared" si="7"/>
        <v>90</v>
      </c>
      <c r="O260" s="440">
        <f t="shared" si="8"/>
        <v>180</v>
      </c>
      <c r="P260" s="440">
        <f t="shared" si="9"/>
        <v>1</v>
      </c>
      <c r="Q260">
        <f t="array" ref="Q260">IF(I260&gt;0,INDEX(DB,I260,9),EventIndex)</f>
        <v>6</v>
      </c>
      <c r="S260">
        <f t="array" ref="S260">(INT(INDEX(MINVALUES,$Q260,$K$1))*60)+(MOD(INDEX(MINVALUES,$Q260,$K$1),1)*100)</f>
        <v>180</v>
      </c>
      <c r="T260">
        <f t="array" ref="T260">(INDEX(INCVALUES,$Q260,$K$1)*100)</f>
        <v>1</v>
      </c>
      <c r="V260">
        <f t="array" ref="V260">+J260+(4*(INDEX(MatchScoreTable,$Q260,20)-1))</f>
        <v>4</v>
      </c>
      <c r="W260">
        <f t="array" ref="W260">INDEX(INC_MINVALUES,$V260,$K$1)</f>
        <v>480</v>
      </c>
      <c r="X260" s="212">
        <f t="array" ref="X260">INDEX(INC_INCVALUES,$V260,$K$1)</f>
        <v>4</v>
      </c>
    </row>
    <row r="261" ht="15.75" customHeight="1">
      <c r="A261" s="435"/>
      <c r="B261" s="436"/>
      <c r="C261" s="95" t="str">
        <f t="array" ref="C261">IF(I261&gt;0,INDEX(DB,I261,8),"")</f>
        <v/>
      </c>
      <c r="D261" s="437">
        <f t="shared" si="1"/>
        <v>0</v>
      </c>
      <c r="F261" s="438">
        <f t="shared" si="2"/>
        <v>0</v>
      </c>
      <c r="G261" t="str">
        <f t="shared" si="3"/>
        <v/>
      </c>
      <c r="H261" t="b">
        <f t="shared" si="4"/>
        <v>0</v>
      </c>
      <c r="I261" s="439">
        <f>IF(OR(ISBLANK(A261),ISNA(MATCH(A261&amp;"",AthleteNumbers,0))),0,MATCH(A261&amp;"",AthleteNumbers,0))</f>
        <v>0</v>
      </c>
      <c r="J261" s="209">
        <f t="array" ref="J261">IF(I261&gt;0,INDEX(DB,$I261,6),0)</f>
        <v>0</v>
      </c>
      <c r="K261" s="446">
        <f t="shared" si="5"/>
        <v>0</v>
      </c>
      <c r="L261" s="440">
        <f t="shared" si="6"/>
        <v>0</v>
      </c>
      <c r="M261" s="441">
        <f>IF(AND(L261&gt;O261,O261&gt;0),MinPoints,IF(AND(L261&lt;N261,O261&gt;0),100,+INT((O261-$L261)/P261)+MinPoints))</f>
        <v>100</v>
      </c>
      <c r="N261" s="440">
        <f t="shared" si="7"/>
        <v>90</v>
      </c>
      <c r="O261" s="440">
        <f t="shared" si="8"/>
        <v>180</v>
      </c>
      <c r="P261" s="440">
        <f t="shared" si="9"/>
        <v>1</v>
      </c>
      <c r="Q261">
        <f t="array" ref="Q261">IF(I261&gt;0,INDEX(DB,I261,9),EventIndex)</f>
        <v>6</v>
      </c>
      <c r="S261">
        <f t="array" ref="S261">(INT(INDEX(MINVALUES,$Q261,$K$1))*60)+(MOD(INDEX(MINVALUES,$Q261,$K$1),1)*100)</f>
        <v>180</v>
      </c>
      <c r="T261">
        <f t="array" ref="T261">(INDEX(INCVALUES,$Q261,$K$1)*100)</f>
        <v>1</v>
      </c>
      <c r="V261">
        <f t="array" ref="V261">+J261+(4*(INDEX(MatchScoreTable,$Q261,20)-1))</f>
        <v>4</v>
      </c>
      <c r="W261">
        <f t="array" ref="W261">INDEX(INC_MINVALUES,$V261,$K$1)</f>
        <v>480</v>
      </c>
      <c r="X261" s="212">
        <f t="array" ref="X261">INDEX(INC_INCVALUES,$V261,$K$1)</f>
        <v>4</v>
      </c>
    </row>
    <row r="262" ht="15.75" customHeight="1">
      <c r="A262" s="435"/>
      <c r="B262" s="436"/>
      <c r="C262" s="95" t="str">
        <f t="array" ref="C262">IF(I262&gt;0,INDEX(DB,I262,8),"")</f>
        <v/>
      </c>
      <c r="D262" s="437">
        <f t="shared" si="1"/>
        <v>0</v>
      </c>
      <c r="F262" s="438">
        <f t="shared" si="2"/>
        <v>0</v>
      </c>
      <c r="G262" t="str">
        <f t="shared" si="3"/>
        <v/>
      </c>
      <c r="H262" t="b">
        <f t="shared" si="4"/>
        <v>0</v>
      </c>
      <c r="I262" s="439">
        <f>IF(OR(ISBLANK(A262),ISNA(MATCH(A262&amp;"",AthleteNumbers,0))),0,MATCH(A262&amp;"",AthleteNumbers,0))</f>
        <v>0</v>
      </c>
      <c r="J262" s="209">
        <f t="array" ref="J262">IF(I262&gt;0,INDEX(DB,$I262,6),0)</f>
        <v>0</v>
      </c>
      <c r="K262" s="446">
        <f t="shared" si="5"/>
        <v>0</v>
      </c>
      <c r="L262" s="440">
        <f t="shared" si="6"/>
        <v>0</v>
      </c>
      <c r="M262" s="441">
        <f>IF(AND(L262&gt;O262,O262&gt;0),MinPoints,IF(AND(L262&lt;N262,O262&gt;0),100,+INT((O262-$L262)/P262)+MinPoints))</f>
        <v>100</v>
      </c>
      <c r="N262" s="440">
        <f t="shared" si="7"/>
        <v>90</v>
      </c>
      <c r="O262" s="440">
        <f t="shared" si="8"/>
        <v>180</v>
      </c>
      <c r="P262" s="440">
        <f t="shared" si="9"/>
        <v>1</v>
      </c>
      <c r="Q262">
        <f t="array" ref="Q262">IF(I262&gt;0,INDEX(DB,I262,9),EventIndex)</f>
        <v>6</v>
      </c>
      <c r="S262">
        <f t="array" ref="S262">(INT(INDEX(MINVALUES,$Q262,$K$1))*60)+(MOD(INDEX(MINVALUES,$Q262,$K$1),1)*100)</f>
        <v>180</v>
      </c>
      <c r="T262">
        <f t="array" ref="T262">(INDEX(INCVALUES,$Q262,$K$1)*100)</f>
        <v>1</v>
      </c>
      <c r="V262">
        <f t="array" ref="V262">+J262+(4*(INDEX(MatchScoreTable,$Q262,20)-1))</f>
        <v>4</v>
      </c>
      <c r="W262">
        <f t="array" ref="W262">INDEX(INC_MINVALUES,$V262,$K$1)</f>
        <v>480</v>
      </c>
      <c r="X262" s="212">
        <f t="array" ref="X262">INDEX(INC_INCVALUES,$V262,$K$1)</f>
        <v>4</v>
      </c>
    </row>
    <row r="263" ht="15.75" customHeight="1">
      <c r="A263" s="435"/>
      <c r="B263" s="436"/>
      <c r="C263" s="95" t="str">
        <f t="array" ref="C263">IF(I263&gt;0,INDEX(DB,I263,8),"")</f>
        <v/>
      </c>
      <c r="D263" s="437">
        <f t="shared" si="1"/>
        <v>0</v>
      </c>
      <c r="F263" s="438">
        <f t="shared" si="2"/>
        <v>0</v>
      </c>
      <c r="G263" t="str">
        <f t="shared" si="3"/>
        <v/>
      </c>
      <c r="H263" t="b">
        <f t="shared" si="4"/>
        <v>0</v>
      </c>
      <c r="I263" s="439">
        <f>IF(OR(ISBLANK(A263),ISNA(MATCH(A263&amp;"",AthleteNumbers,0))),0,MATCH(A263&amp;"",AthleteNumbers,0))</f>
        <v>0</v>
      </c>
      <c r="J263" s="209">
        <f t="array" ref="J263">IF(I263&gt;0,INDEX(DB,$I263,6),0)</f>
        <v>0</v>
      </c>
      <c r="K263" s="446">
        <f t="shared" si="5"/>
        <v>0</v>
      </c>
      <c r="L263" s="440">
        <f t="shared" si="6"/>
        <v>0</v>
      </c>
      <c r="M263" s="441">
        <f>IF(AND(L263&gt;O263,O263&gt;0),MinPoints,IF(AND(L263&lt;N263,O263&gt;0),100,+INT((O263-$L263)/P263)+MinPoints))</f>
        <v>100</v>
      </c>
      <c r="N263" s="440">
        <f t="shared" si="7"/>
        <v>90</v>
      </c>
      <c r="O263" s="440">
        <f t="shared" si="8"/>
        <v>180</v>
      </c>
      <c r="P263" s="440">
        <f t="shared" si="9"/>
        <v>1</v>
      </c>
      <c r="Q263">
        <f t="array" ref="Q263">IF(I263&gt;0,INDEX(DB,I263,9),EventIndex)</f>
        <v>6</v>
      </c>
      <c r="S263">
        <f t="array" ref="S263">(INT(INDEX(MINVALUES,$Q263,$K$1))*60)+(MOD(INDEX(MINVALUES,$Q263,$K$1),1)*100)</f>
        <v>180</v>
      </c>
      <c r="T263">
        <f t="array" ref="T263">(INDEX(INCVALUES,$Q263,$K$1)*100)</f>
        <v>1</v>
      </c>
      <c r="V263">
        <f t="array" ref="V263">+J263+(4*(INDEX(MatchScoreTable,$Q263,20)-1))</f>
        <v>4</v>
      </c>
      <c r="W263">
        <f t="array" ref="W263">INDEX(INC_MINVALUES,$V263,$K$1)</f>
        <v>480</v>
      </c>
      <c r="X263" s="212">
        <f t="array" ref="X263">INDEX(INC_INCVALUES,$V263,$K$1)</f>
        <v>4</v>
      </c>
    </row>
    <row r="264" ht="15.75" customHeight="1">
      <c r="A264" s="435"/>
      <c r="B264" s="436"/>
      <c r="C264" s="95" t="str">
        <f t="array" ref="C264">IF(I264&gt;0,INDEX(DB,I264,8),"")</f>
        <v/>
      </c>
      <c r="D264" s="437">
        <f t="shared" si="1"/>
        <v>0</v>
      </c>
      <c r="F264" s="438">
        <f t="shared" si="2"/>
        <v>0</v>
      </c>
      <c r="G264" t="str">
        <f t="shared" si="3"/>
        <v/>
      </c>
      <c r="H264" t="b">
        <f t="shared" si="4"/>
        <v>0</v>
      </c>
      <c r="I264" s="439">
        <f>IF(OR(ISBLANK(A264),ISNA(MATCH(A264&amp;"",AthleteNumbers,0))),0,MATCH(A264&amp;"",AthleteNumbers,0))</f>
        <v>0</v>
      </c>
      <c r="J264" s="209">
        <f t="array" ref="J264">IF(I264&gt;0,INDEX(DB,$I264,6),0)</f>
        <v>0</v>
      </c>
      <c r="K264" s="446">
        <f t="shared" si="5"/>
        <v>0</v>
      </c>
      <c r="L264" s="440">
        <f t="shared" si="6"/>
        <v>0</v>
      </c>
      <c r="M264" s="441">
        <f>IF(AND(L264&gt;O264,O264&gt;0),MinPoints,IF(AND(L264&lt;N264,O264&gt;0),100,+INT((O264-$L264)/P264)+MinPoints))</f>
        <v>100</v>
      </c>
      <c r="N264" s="440">
        <f t="shared" si="7"/>
        <v>90</v>
      </c>
      <c r="O264" s="440">
        <f t="shared" si="8"/>
        <v>180</v>
      </c>
      <c r="P264" s="440">
        <f t="shared" si="9"/>
        <v>1</v>
      </c>
      <c r="Q264">
        <f t="array" ref="Q264">IF(I264&gt;0,INDEX(DB,I264,9),EventIndex)</f>
        <v>6</v>
      </c>
      <c r="S264">
        <f t="array" ref="S264">(INT(INDEX(MINVALUES,$Q264,$K$1))*60)+(MOD(INDEX(MINVALUES,$Q264,$K$1),1)*100)</f>
        <v>180</v>
      </c>
      <c r="T264">
        <f t="array" ref="T264">(INDEX(INCVALUES,$Q264,$K$1)*100)</f>
        <v>1</v>
      </c>
      <c r="V264">
        <f t="array" ref="V264">+J264+(4*(INDEX(MatchScoreTable,$Q264,20)-1))</f>
        <v>4</v>
      </c>
      <c r="W264">
        <f t="array" ref="W264">INDEX(INC_MINVALUES,$V264,$K$1)</f>
        <v>480</v>
      </c>
      <c r="X264" s="212">
        <f t="array" ref="X264">INDEX(INC_INCVALUES,$V264,$K$1)</f>
        <v>4</v>
      </c>
    </row>
    <row r="265" ht="15.75" customHeight="1">
      <c r="A265" s="435"/>
      <c r="B265" s="436"/>
      <c r="C265" s="95" t="str">
        <f t="array" ref="C265">IF(I265&gt;0,INDEX(DB,I265,8),"")</f>
        <v/>
      </c>
      <c r="D265" s="437">
        <f t="shared" si="1"/>
        <v>0</v>
      </c>
      <c r="F265" s="438">
        <f t="shared" si="2"/>
        <v>0</v>
      </c>
      <c r="G265" t="str">
        <f t="shared" si="3"/>
        <v/>
      </c>
      <c r="H265" t="b">
        <f t="shared" si="4"/>
        <v>0</v>
      </c>
      <c r="I265" s="439">
        <f>IF(OR(ISBLANK(A265),ISNA(MATCH(A265&amp;"",AthleteNumbers,0))),0,MATCH(A265&amp;"",AthleteNumbers,0))</f>
        <v>0</v>
      </c>
      <c r="J265" s="209">
        <f t="array" ref="J265">IF(I265&gt;0,INDEX(DB,$I265,6),0)</f>
        <v>0</v>
      </c>
      <c r="K265" s="446">
        <f t="shared" si="5"/>
        <v>0</v>
      </c>
      <c r="L265" s="440">
        <f t="shared" si="6"/>
        <v>0</v>
      </c>
      <c r="M265" s="441">
        <f>IF(AND(L265&gt;O265,O265&gt;0),MinPoints,IF(AND(L265&lt;N265,O265&gt;0),100,+INT((O265-$L265)/P265)+MinPoints))</f>
        <v>100</v>
      </c>
      <c r="N265" s="440">
        <f t="shared" si="7"/>
        <v>90</v>
      </c>
      <c r="O265" s="440">
        <f t="shared" si="8"/>
        <v>180</v>
      </c>
      <c r="P265" s="440">
        <f t="shared" si="9"/>
        <v>1</v>
      </c>
      <c r="Q265">
        <f t="array" ref="Q265">IF(I265&gt;0,INDEX(DB,I265,9),EventIndex)</f>
        <v>6</v>
      </c>
      <c r="S265">
        <f t="array" ref="S265">(INT(INDEX(MINVALUES,$Q265,$K$1))*60)+(MOD(INDEX(MINVALUES,$Q265,$K$1),1)*100)</f>
        <v>180</v>
      </c>
      <c r="T265">
        <f t="array" ref="T265">(INDEX(INCVALUES,$Q265,$K$1)*100)</f>
        <v>1</v>
      </c>
      <c r="V265">
        <f t="array" ref="V265">+J265+(4*(INDEX(MatchScoreTable,$Q265,20)-1))</f>
        <v>4</v>
      </c>
      <c r="W265">
        <f t="array" ref="W265">INDEX(INC_MINVALUES,$V265,$K$1)</f>
        <v>480</v>
      </c>
      <c r="X265" s="212">
        <f t="array" ref="X265">INDEX(INC_INCVALUES,$V265,$K$1)</f>
        <v>4</v>
      </c>
    </row>
    <row r="266" ht="15.75" customHeight="1">
      <c r="A266" s="435"/>
      <c r="B266" s="436"/>
      <c r="C266" s="95" t="str">
        <f t="array" ref="C266">IF(I266&gt;0,INDEX(DB,I266,8),"")</f>
        <v/>
      </c>
      <c r="D266" s="437">
        <f t="shared" si="1"/>
        <v>0</v>
      </c>
      <c r="F266" s="438">
        <f t="shared" si="2"/>
        <v>0</v>
      </c>
      <c r="G266" t="str">
        <f t="shared" si="3"/>
        <v/>
      </c>
      <c r="H266" t="b">
        <f t="shared" si="4"/>
        <v>0</v>
      </c>
      <c r="I266" s="439">
        <f>IF(OR(ISBLANK(A266),ISNA(MATCH(A266&amp;"",AthleteNumbers,0))),0,MATCH(A266&amp;"",AthleteNumbers,0))</f>
        <v>0</v>
      </c>
      <c r="J266" s="209">
        <f t="array" ref="J266">IF(I266&gt;0,INDEX(DB,$I266,6),0)</f>
        <v>0</v>
      </c>
      <c r="K266" s="446">
        <f t="shared" si="5"/>
        <v>0</v>
      </c>
      <c r="L266" s="440">
        <f t="shared" si="6"/>
        <v>0</v>
      </c>
      <c r="M266" s="441">
        <f>IF(AND(L266&gt;O266,O266&gt;0),MinPoints,IF(AND(L266&lt;N266,O266&gt;0),100,+INT((O266-$L266)/P266)+MinPoints))</f>
        <v>100</v>
      </c>
      <c r="N266" s="440">
        <f t="shared" si="7"/>
        <v>90</v>
      </c>
      <c r="O266" s="440">
        <f t="shared" si="8"/>
        <v>180</v>
      </c>
      <c r="P266" s="440">
        <f t="shared" si="9"/>
        <v>1</v>
      </c>
      <c r="Q266">
        <f t="array" ref="Q266">IF(I266&gt;0,INDEX(DB,I266,9),EventIndex)</f>
        <v>6</v>
      </c>
      <c r="S266">
        <f t="array" ref="S266">(INT(INDEX(MINVALUES,$Q266,$K$1))*60)+(MOD(INDEX(MINVALUES,$Q266,$K$1),1)*100)</f>
        <v>180</v>
      </c>
      <c r="T266">
        <f t="array" ref="T266">(INDEX(INCVALUES,$Q266,$K$1)*100)</f>
        <v>1</v>
      </c>
      <c r="V266">
        <f t="array" ref="V266">+J266+(4*(INDEX(MatchScoreTable,$Q266,20)-1))</f>
        <v>4</v>
      </c>
      <c r="W266">
        <f t="array" ref="W266">INDEX(INC_MINVALUES,$V266,$K$1)</f>
        <v>480</v>
      </c>
      <c r="X266" s="212">
        <f t="array" ref="X266">INDEX(INC_INCVALUES,$V266,$K$1)</f>
        <v>4</v>
      </c>
    </row>
    <row r="267" ht="15.75" customHeight="1">
      <c r="A267" s="435"/>
      <c r="B267" s="436"/>
      <c r="C267" s="95" t="str">
        <f t="array" ref="C267">IF(I267&gt;0,INDEX(DB,I267,8),"")</f>
        <v/>
      </c>
      <c r="D267" s="437">
        <f t="shared" si="1"/>
        <v>0</v>
      </c>
      <c r="F267" s="438">
        <f t="shared" si="2"/>
        <v>0</v>
      </c>
      <c r="G267" t="str">
        <f t="shared" si="3"/>
        <v/>
      </c>
      <c r="H267" t="b">
        <f t="shared" si="4"/>
        <v>0</v>
      </c>
      <c r="I267" s="439">
        <f>IF(OR(ISBLANK(A267),ISNA(MATCH(A267&amp;"",AthleteNumbers,0))),0,MATCH(A267&amp;"",AthleteNumbers,0))</f>
        <v>0</v>
      </c>
      <c r="J267" s="209">
        <f t="array" ref="J267">IF(I267&gt;0,INDEX(DB,$I267,6),0)</f>
        <v>0</v>
      </c>
      <c r="K267" s="446">
        <f t="shared" si="5"/>
        <v>0</v>
      </c>
      <c r="L267" s="440">
        <f t="shared" si="6"/>
        <v>0</v>
      </c>
      <c r="M267" s="441">
        <f>IF(AND(L267&gt;O267,O267&gt;0),MinPoints,IF(AND(L267&lt;N267,O267&gt;0),100,+INT((O267-$L267)/P267)+MinPoints))</f>
        <v>100</v>
      </c>
      <c r="N267" s="440">
        <f t="shared" si="7"/>
        <v>90</v>
      </c>
      <c r="O267" s="440">
        <f t="shared" si="8"/>
        <v>180</v>
      </c>
      <c r="P267" s="440">
        <f t="shared" si="9"/>
        <v>1</v>
      </c>
      <c r="Q267">
        <f t="array" ref="Q267">IF(I267&gt;0,INDEX(DB,I267,9),EventIndex)</f>
        <v>6</v>
      </c>
      <c r="S267">
        <f t="array" ref="S267">(INT(INDEX(MINVALUES,$Q267,$K$1))*60)+(MOD(INDEX(MINVALUES,$Q267,$K$1),1)*100)</f>
        <v>180</v>
      </c>
      <c r="T267">
        <f t="array" ref="T267">(INDEX(INCVALUES,$Q267,$K$1)*100)</f>
        <v>1</v>
      </c>
      <c r="V267">
        <f t="array" ref="V267">+J267+(4*(INDEX(MatchScoreTable,$Q267,20)-1))</f>
        <v>4</v>
      </c>
      <c r="W267">
        <f t="array" ref="W267">INDEX(INC_MINVALUES,$V267,$K$1)</f>
        <v>480</v>
      </c>
      <c r="X267" s="212">
        <f t="array" ref="X267">INDEX(INC_INCVALUES,$V267,$K$1)</f>
        <v>4</v>
      </c>
    </row>
    <row r="268" ht="15.75" customHeight="1">
      <c r="A268" s="435"/>
      <c r="B268" s="436"/>
      <c r="C268" s="95" t="str">
        <f t="array" ref="C268">IF(I268&gt;0,INDEX(DB,I268,8),"")</f>
        <v/>
      </c>
      <c r="D268" s="437">
        <f t="shared" si="1"/>
        <v>0</v>
      </c>
      <c r="F268" s="438">
        <f t="shared" si="2"/>
        <v>0</v>
      </c>
      <c r="G268" t="str">
        <f t="shared" si="3"/>
        <v/>
      </c>
      <c r="H268" t="b">
        <f t="shared" si="4"/>
        <v>0</v>
      </c>
      <c r="I268" s="439">
        <f>IF(OR(ISBLANK(A268),ISNA(MATCH(A268&amp;"",AthleteNumbers,0))),0,MATCH(A268&amp;"",AthleteNumbers,0))</f>
        <v>0</v>
      </c>
      <c r="J268" s="209">
        <f t="array" ref="J268">IF(I268&gt;0,INDEX(DB,$I268,6),0)</f>
        <v>0</v>
      </c>
      <c r="K268" s="446">
        <f t="shared" si="5"/>
        <v>0</v>
      </c>
      <c r="L268" s="440">
        <f t="shared" si="6"/>
        <v>0</v>
      </c>
      <c r="M268" s="441">
        <f>IF(AND(L268&gt;O268,O268&gt;0),MinPoints,IF(AND(L268&lt;N268,O268&gt;0),100,+INT((O268-$L268)/P268)+MinPoints))</f>
        <v>100</v>
      </c>
      <c r="N268" s="440">
        <f t="shared" si="7"/>
        <v>90</v>
      </c>
      <c r="O268" s="440">
        <f t="shared" si="8"/>
        <v>180</v>
      </c>
      <c r="P268" s="440">
        <f t="shared" si="9"/>
        <v>1</v>
      </c>
      <c r="Q268">
        <f t="array" ref="Q268">IF(I268&gt;0,INDEX(DB,I268,9),EventIndex)</f>
        <v>6</v>
      </c>
      <c r="S268">
        <f t="array" ref="S268">(INT(INDEX(MINVALUES,$Q268,$K$1))*60)+(MOD(INDEX(MINVALUES,$Q268,$K$1),1)*100)</f>
        <v>180</v>
      </c>
      <c r="T268">
        <f t="array" ref="T268">(INDEX(INCVALUES,$Q268,$K$1)*100)</f>
        <v>1</v>
      </c>
      <c r="V268">
        <f t="array" ref="V268">+J268+(4*(INDEX(MatchScoreTable,$Q268,20)-1))</f>
        <v>4</v>
      </c>
      <c r="W268">
        <f t="array" ref="W268">INDEX(INC_MINVALUES,$V268,$K$1)</f>
        <v>480</v>
      </c>
      <c r="X268" s="212">
        <f t="array" ref="X268">INDEX(INC_INCVALUES,$V268,$K$1)</f>
        <v>4</v>
      </c>
    </row>
    <row r="269" ht="15.75" customHeight="1">
      <c r="A269" s="435"/>
      <c r="B269" s="436"/>
      <c r="C269" s="95" t="str">
        <f t="array" ref="C269">IF(I269&gt;0,INDEX(DB,I269,8),"")</f>
        <v/>
      </c>
      <c r="D269" s="437">
        <f t="shared" si="1"/>
        <v>0</v>
      </c>
      <c r="F269" s="438">
        <f t="shared" si="2"/>
        <v>0</v>
      </c>
      <c r="G269" t="str">
        <f t="shared" si="3"/>
        <v/>
      </c>
      <c r="H269" t="b">
        <f t="shared" si="4"/>
        <v>0</v>
      </c>
      <c r="I269" s="439">
        <f>IF(OR(ISBLANK(A269),ISNA(MATCH(A269&amp;"",AthleteNumbers,0))),0,MATCH(A269&amp;"",AthleteNumbers,0))</f>
        <v>0</v>
      </c>
      <c r="J269" s="209">
        <f t="array" ref="J269">IF(I269&gt;0,INDEX(DB,$I269,6),0)</f>
        <v>0</v>
      </c>
      <c r="K269" s="446">
        <f t="shared" si="5"/>
        <v>0</v>
      </c>
      <c r="L269" s="440">
        <f t="shared" si="6"/>
        <v>0</v>
      </c>
      <c r="M269" s="441">
        <f>IF(AND(L269&gt;O269,O269&gt;0),MinPoints,IF(AND(L269&lt;N269,O269&gt;0),100,+INT((O269-$L269)/P269)+MinPoints))</f>
        <v>100</v>
      </c>
      <c r="N269" s="440">
        <f t="shared" si="7"/>
        <v>90</v>
      </c>
      <c r="O269" s="440">
        <f t="shared" si="8"/>
        <v>180</v>
      </c>
      <c r="P269" s="440">
        <f t="shared" si="9"/>
        <v>1</v>
      </c>
      <c r="Q269">
        <f t="array" ref="Q269">IF(I269&gt;0,INDEX(DB,I269,9),EventIndex)</f>
        <v>6</v>
      </c>
      <c r="S269">
        <f t="array" ref="S269">(INT(INDEX(MINVALUES,$Q269,$K$1))*60)+(MOD(INDEX(MINVALUES,$Q269,$K$1),1)*100)</f>
        <v>180</v>
      </c>
      <c r="T269">
        <f t="array" ref="T269">(INDEX(INCVALUES,$Q269,$K$1)*100)</f>
        <v>1</v>
      </c>
      <c r="V269">
        <f t="array" ref="V269">+J269+(4*(INDEX(MatchScoreTable,$Q269,20)-1))</f>
        <v>4</v>
      </c>
      <c r="W269">
        <f t="array" ref="W269">INDEX(INC_MINVALUES,$V269,$K$1)</f>
        <v>480</v>
      </c>
      <c r="X269" s="212">
        <f t="array" ref="X269">INDEX(INC_INCVALUES,$V269,$K$1)</f>
        <v>4</v>
      </c>
    </row>
    <row r="270" ht="15.75" customHeight="1">
      <c r="A270" s="435"/>
      <c r="B270" s="436"/>
      <c r="C270" s="95" t="str">
        <f t="array" ref="C270">IF(I270&gt;0,INDEX(DB,I270,8),"")</f>
        <v/>
      </c>
      <c r="D270" s="437">
        <f t="shared" si="1"/>
        <v>0</v>
      </c>
      <c r="F270" s="438">
        <f t="shared" si="2"/>
        <v>0</v>
      </c>
      <c r="G270" t="str">
        <f t="shared" si="3"/>
        <v/>
      </c>
      <c r="H270" t="b">
        <f t="shared" si="4"/>
        <v>0</v>
      </c>
      <c r="I270" s="439">
        <f>IF(OR(ISBLANK(A270),ISNA(MATCH(A270&amp;"",AthleteNumbers,0))),0,MATCH(A270&amp;"",AthleteNumbers,0))</f>
        <v>0</v>
      </c>
      <c r="J270" s="209">
        <f t="array" ref="J270">IF(I270&gt;0,INDEX(DB,$I270,6),0)</f>
        <v>0</v>
      </c>
      <c r="K270" s="446">
        <f t="shared" si="5"/>
        <v>0</v>
      </c>
      <c r="L270" s="440">
        <f t="shared" si="6"/>
        <v>0</v>
      </c>
      <c r="M270" s="441">
        <f>IF(AND(L270&gt;O270,O270&gt;0),MinPoints,IF(AND(L270&lt;N270,O270&gt;0),100,+INT((O270-$L270)/P270)+MinPoints))</f>
        <v>100</v>
      </c>
      <c r="N270" s="440">
        <f t="shared" si="7"/>
        <v>90</v>
      </c>
      <c r="O270" s="440">
        <f t="shared" si="8"/>
        <v>180</v>
      </c>
      <c r="P270" s="440">
        <f t="shared" si="9"/>
        <v>1</v>
      </c>
      <c r="Q270">
        <f t="array" ref="Q270">IF(I270&gt;0,INDEX(DB,I270,9),EventIndex)</f>
        <v>6</v>
      </c>
      <c r="S270">
        <f t="array" ref="S270">(INT(INDEX(MINVALUES,$Q270,$K$1))*60)+(MOD(INDEX(MINVALUES,$Q270,$K$1),1)*100)</f>
        <v>180</v>
      </c>
      <c r="T270">
        <f t="array" ref="T270">(INDEX(INCVALUES,$Q270,$K$1)*100)</f>
        <v>1</v>
      </c>
      <c r="V270">
        <f t="array" ref="V270">+J270+(4*(INDEX(MatchScoreTable,$Q270,20)-1))</f>
        <v>4</v>
      </c>
      <c r="W270">
        <f t="array" ref="W270">INDEX(INC_MINVALUES,$V270,$K$1)</f>
        <v>480</v>
      </c>
      <c r="X270" s="212">
        <f t="array" ref="X270">INDEX(INC_INCVALUES,$V270,$K$1)</f>
        <v>4</v>
      </c>
    </row>
    <row r="271" ht="15.75" customHeight="1">
      <c r="A271" s="435"/>
      <c r="B271" s="436"/>
      <c r="C271" s="95" t="str">
        <f t="array" ref="C271">IF(I271&gt;0,INDEX(DB,I271,8),"")</f>
        <v/>
      </c>
      <c r="D271" s="437">
        <f t="shared" si="1"/>
        <v>0</v>
      </c>
      <c r="F271" s="438">
        <f t="shared" si="2"/>
        <v>0</v>
      </c>
      <c r="G271" t="str">
        <f t="shared" si="3"/>
        <v/>
      </c>
      <c r="H271" t="b">
        <f t="shared" si="4"/>
        <v>0</v>
      </c>
      <c r="I271" s="439">
        <f>IF(OR(ISBLANK(A271),ISNA(MATCH(A271&amp;"",AthleteNumbers,0))),0,MATCH(A271&amp;"",AthleteNumbers,0))</f>
        <v>0</v>
      </c>
      <c r="J271" s="209">
        <f t="array" ref="J271">IF(I271&gt;0,INDEX(DB,$I271,6),0)</f>
        <v>0</v>
      </c>
      <c r="K271" s="446">
        <f t="shared" si="5"/>
        <v>0</v>
      </c>
      <c r="L271" s="440">
        <f t="shared" si="6"/>
        <v>0</v>
      </c>
      <c r="M271" s="441">
        <f>IF(AND(L271&gt;O271,O271&gt;0),MinPoints,IF(AND(L271&lt;N271,O271&gt;0),100,+INT((O271-$L271)/P271)+MinPoints))</f>
        <v>100</v>
      </c>
      <c r="N271" s="440">
        <f t="shared" si="7"/>
        <v>90</v>
      </c>
      <c r="O271" s="440">
        <f t="shared" si="8"/>
        <v>180</v>
      </c>
      <c r="P271" s="440">
        <f t="shared" si="9"/>
        <v>1</v>
      </c>
      <c r="Q271">
        <f t="array" ref="Q271">IF(I271&gt;0,INDEX(DB,I271,9),EventIndex)</f>
        <v>6</v>
      </c>
      <c r="S271">
        <f t="array" ref="S271">(INT(INDEX(MINVALUES,$Q271,$K$1))*60)+(MOD(INDEX(MINVALUES,$Q271,$K$1),1)*100)</f>
        <v>180</v>
      </c>
      <c r="T271">
        <f t="array" ref="T271">(INDEX(INCVALUES,$Q271,$K$1)*100)</f>
        <v>1</v>
      </c>
      <c r="V271">
        <f t="array" ref="V271">+J271+(4*(INDEX(MatchScoreTable,$Q271,20)-1))</f>
        <v>4</v>
      </c>
      <c r="W271">
        <f t="array" ref="W271">INDEX(INC_MINVALUES,$V271,$K$1)</f>
        <v>480</v>
      </c>
      <c r="X271" s="212">
        <f t="array" ref="X271">INDEX(INC_INCVALUES,$V271,$K$1)</f>
        <v>4</v>
      </c>
    </row>
    <row r="272" ht="15.75" customHeight="1">
      <c r="A272" s="435"/>
      <c r="B272" s="436"/>
      <c r="C272" s="95" t="str">
        <f t="array" ref="C272">IF(I272&gt;0,INDEX(DB,I272,8),"")</f>
        <v/>
      </c>
      <c r="D272" s="437">
        <f t="shared" si="1"/>
        <v>0</v>
      </c>
      <c r="F272" s="438">
        <f t="shared" si="2"/>
        <v>0</v>
      </c>
      <c r="G272" t="str">
        <f t="shared" si="3"/>
        <v/>
      </c>
      <c r="H272" t="b">
        <f t="shared" si="4"/>
        <v>0</v>
      </c>
      <c r="I272" s="439">
        <f>IF(OR(ISBLANK(A272),ISNA(MATCH(A272&amp;"",AthleteNumbers,0))),0,MATCH(A272&amp;"",AthleteNumbers,0))</f>
        <v>0</v>
      </c>
      <c r="J272" s="209">
        <f t="array" ref="J272">IF(I272&gt;0,INDEX(DB,$I272,6),0)</f>
        <v>0</v>
      </c>
      <c r="K272" s="446">
        <f t="shared" si="5"/>
        <v>0</v>
      </c>
      <c r="L272" s="440">
        <f t="shared" si="6"/>
        <v>0</v>
      </c>
      <c r="M272" s="441">
        <f>IF(AND(L272&gt;O272,O272&gt;0),MinPoints,IF(AND(L272&lt;N272,O272&gt;0),100,+INT((O272-$L272)/P272)+MinPoints))</f>
        <v>100</v>
      </c>
      <c r="N272" s="440">
        <f t="shared" si="7"/>
        <v>90</v>
      </c>
      <c r="O272" s="440">
        <f t="shared" si="8"/>
        <v>180</v>
      </c>
      <c r="P272" s="440">
        <f t="shared" si="9"/>
        <v>1</v>
      </c>
      <c r="Q272">
        <f t="array" ref="Q272">IF(I272&gt;0,INDEX(DB,I272,9),EventIndex)</f>
        <v>6</v>
      </c>
      <c r="S272">
        <f t="array" ref="S272">(INT(INDEX(MINVALUES,$Q272,$K$1))*60)+(MOD(INDEX(MINVALUES,$Q272,$K$1),1)*100)</f>
        <v>180</v>
      </c>
      <c r="T272">
        <f t="array" ref="T272">(INDEX(INCVALUES,$Q272,$K$1)*100)</f>
        <v>1</v>
      </c>
      <c r="V272">
        <f t="array" ref="V272">+J272+(4*(INDEX(MatchScoreTable,$Q272,20)-1))</f>
        <v>4</v>
      </c>
      <c r="W272">
        <f t="array" ref="W272">INDEX(INC_MINVALUES,$V272,$K$1)</f>
        <v>480</v>
      </c>
      <c r="X272" s="212">
        <f t="array" ref="X272">INDEX(INC_INCVALUES,$V272,$K$1)</f>
        <v>4</v>
      </c>
    </row>
    <row r="273" ht="15.75" customHeight="1">
      <c r="A273" s="435"/>
      <c r="B273" s="436"/>
      <c r="C273" s="95" t="str">
        <f t="array" ref="C273">IF(I273&gt;0,INDEX(DB,I273,8),"")</f>
        <v/>
      </c>
      <c r="D273" s="437">
        <f t="shared" si="1"/>
        <v>0</v>
      </c>
      <c r="F273" s="438">
        <f t="shared" si="2"/>
        <v>0</v>
      </c>
      <c r="G273" t="str">
        <f t="shared" si="3"/>
        <v/>
      </c>
      <c r="H273" t="b">
        <f t="shared" si="4"/>
        <v>0</v>
      </c>
      <c r="I273" s="439">
        <f>IF(OR(ISBLANK(A273),ISNA(MATCH(A273&amp;"",AthleteNumbers,0))),0,MATCH(A273&amp;"",AthleteNumbers,0))</f>
        <v>0</v>
      </c>
      <c r="J273" s="209">
        <f t="array" ref="J273">IF(I273&gt;0,INDEX(DB,$I273,6),0)</f>
        <v>0</v>
      </c>
      <c r="K273" s="446">
        <f t="shared" si="5"/>
        <v>0</v>
      </c>
      <c r="L273" s="440">
        <f t="shared" si="6"/>
        <v>0</v>
      </c>
      <c r="M273" s="441">
        <f>IF(AND(L273&gt;O273,O273&gt;0),MinPoints,IF(AND(L273&lt;N273,O273&gt;0),100,+INT((O273-$L273)/P273)+MinPoints))</f>
        <v>100</v>
      </c>
      <c r="N273" s="440">
        <f t="shared" si="7"/>
        <v>90</v>
      </c>
      <c r="O273" s="440">
        <f t="shared" si="8"/>
        <v>180</v>
      </c>
      <c r="P273" s="440">
        <f t="shared" si="9"/>
        <v>1</v>
      </c>
      <c r="Q273">
        <f t="array" ref="Q273">IF(I273&gt;0,INDEX(DB,I273,9),EventIndex)</f>
        <v>6</v>
      </c>
      <c r="S273">
        <f t="array" ref="S273">(INT(INDEX(MINVALUES,$Q273,$K$1))*60)+(MOD(INDEX(MINVALUES,$Q273,$K$1),1)*100)</f>
        <v>180</v>
      </c>
      <c r="T273">
        <f t="array" ref="T273">(INDEX(INCVALUES,$Q273,$K$1)*100)</f>
        <v>1</v>
      </c>
      <c r="V273">
        <f t="array" ref="V273">+J273+(4*(INDEX(MatchScoreTable,$Q273,20)-1))</f>
        <v>4</v>
      </c>
      <c r="W273">
        <f t="array" ref="W273">INDEX(INC_MINVALUES,$V273,$K$1)</f>
        <v>480</v>
      </c>
      <c r="X273" s="212">
        <f t="array" ref="X273">INDEX(INC_INCVALUES,$V273,$K$1)</f>
        <v>4</v>
      </c>
    </row>
    <row r="274" ht="15.75" customHeight="1">
      <c r="A274" s="435"/>
      <c r="B274" s="436"/>
      <c r="C274" s="95" t="str">
        <f t="array" ref="C274">IF(I274&gt;0,INDEX(DB,I274,8),"")</f>
        <v/>
      </c>
      <c r="D274" s="437">
        <f t="shared" si="1"/>
        <v>0</v>
      </c>
      <c r="F274" s="438">
        <f t="shared" si="2"/>
        <v>0</v>
      </c>
      <c r="G274" t="str">
        <f t="shared" si="3"/>
        <v/>
      </c>
      <c r="H274" t="b">
        <f t="shared" si="4"/>
        <v>0</v>
      </c>
      <c r="I274" s="439">
        <f>IF(OR(ISBLANK(A274),ISNA(MATCH(A274&amp;"",AthleteNumbers,0))),0,MATCH(A274&amp;"",AthleteNumbers,0))</f>
        <v>0</v>
      </c>
      <c r="J274" s="209">
        <f t="array" ref="J274">IF(I274&gt;0,INDEX(DB,$I274,6),0)</f>
        <v>0</v>
      </c>
      <c r="K274" s="446">
        <f t="shared" si="5"/>
        <v>0</v>
      </c>
      <c r="L274" s="440">
        <f t="shared" si="6"/>
        <v>0</v>
      </c>
      <c r="M274" s="441">
        <f>IF(AND(L274&gt;O274,O274&gt;0),MinPoints,IF(AND(L274&lt;N274,O274&gt;0),100,+INT((O274-$L274)/P274)+MinPoints))</f>
        <v>100</v>
      </c>
      <c r="N274" s="440">
        <f t="shared" si="7"/>
        <v>90</v>
      </c>
      <c r="O274" s="440">
        <f t="shared" si="8"/>
        <v>180</v>
      </c>
      <c r="P274" s="440">
        <f t="shared" si="9"/>
        <v>1</v>
      </c>
      <c r="Q274">
        <f t="array" ref="Q274">IF(I274&gt;0,INDEX(DB,I274,9),EventIndex)</f>
        <v>6</v>
      </c>
      <c r="S274">
        <f t="array" ref="S274">(INT(INDEX(MINVALUES,$Q274,$K$1))*60)+(MOD(INDEX(MINVALUES,$Q274,$K$1),1)*100)</f>
        <v>180</v>
      </c>
      <c r="T274">
        <f t="array" ref="T274">(INDEX(INCVALUES,$Q274,$K$1)*100)</f>
        <v>1</v>
      </c>
      <c r="V274">
        <f t="array" ref="V274">+J274+(4*(INDEX(MatchScoreTable,$Q274,20)-1))</f>
        <v>4</v>
      </c>
      <c r="W274">
        <f t="array" ref="W274">INDEX(INC_MINVALUES,$V274,$K$1)</f>
        <v>480</v>
      </c>
      <c r="X274" s="212">
        <f t="array" ref="X274">INDEX(INC_INCVALUES,$V274,$K$1)</f>
        <v>4</v>
      </c>
    </row>
    <row r="275" ht="15.75" customHeight="1">
      <c r="A275" s="435"/>
      <c r="B275" s="436"/>
      <c r="C275" s="95" t="str">
        <f t="array" ref="C275">IF(I275&gt;0,INDEX(DB,I275,8),"")</f>
        <v/>
      </c>
      <c r="D275" s="437">
        <f t="shared" si="1"/>
        <v>0</v>
      </c>
      <c r="F275" s="438">
        <f t="shared" si="2"/>
        <v>0</v>
      </c>
      <c r="G275" t="str">
        <f t="shared" si="3"/>
        <v/>
      </c>
      <c r="H275" t="b">
        <f t="shared" si="4"/>
        <v>0</v>
      </c>
      <c r="I275" s="439">
        <f>IF(OR(ISBLANK(A275),ISNA(MATCH(A275&amp;"",AthleteNumbers,0))),0,MATCH(A275&amp;"",AthleteNumbers,0))</f>
        <v>0</v>
      </c>
      <c r="J275" s="209">
        <f t="array" ref="J275">IF(I275&gt;0,INDEX(DB,$I275,6),0)</f>
        <v>0</v>
      </c>
      <c r="K275" s="446">
        <f t="shared" si="5"/>
        <v>0</v>
      </c>
      <c r="L275" s="440">
        <f t="shared" si="6"/>
        <v>0</v>
      </c>
      <c r="M275" s="441">
        <f>IF(AND(L275&gt;O275,O275&gt;0),MinPoints,IF(AND(L275&lt;N275,O275&gt;0),100,+INT((O275-$L275)/P275)+MinPoints))</f>
        <v>100</v>
      </c>
      <c r="N275" s="440">
        <f t="shared" si="7"/>
        <v>90</v>
      </c>
      <c r="O275" s="440">
        <f t="shared" si="8"/>
        <v>180</v>
      </c>
      <c r="P275" s="440">
        <f t="shared" si="9"/>
        <v>1</v>
      </c>
      <c r="Q275">
        <f t="array" ref="Q275">IF(I275&gt;0,INDEX(DB,I275,9),EventIndex)</f>
        <v>6</v>
      </c>
      <c r="S275">
        <f t="array" ref="S275">(INT(INDEX(MINVALUES,$Q275,$K$1))*60)+(MOD(INDEX(MINVALUES,$Q275,$K$1),1)*100)</f>
        <v>180</v>
      </c>
      <c r="T275">
        <f t="array" ref="T275">(INDEX(INCVALUES,$Q275,$K$1)*100)</f>
        <v>1</v>
      </c>
      <c r="V275">
        <f t="array" ref="V275">+J275+(4*(INDEX(MatchScoreTable,$Q275,20)-1))</f>
        <v>4</v>
      </c>
      <c r="W275">
        <f t="array" ref="W275">INDEX(INC_MINVALUES,$V275,$K$1)</f>
        <v>480</v>
      </c>
      <c r="X275" s="212">
        <f t="array" ref="X275">INDEX(INC_INCVALUES,$V275,$K$1)</f>
        <v>4</v>
      </c>
    </row>
    <row r="276" ht="15.75" customHeight="1">
      <c r="A276" s="435"/>
      <c r="B276" s="436"/>
      <c r="C276" s="95" t="str">
        <f t="array" ref="C276">IF(I276&gt;0,INDEX(DB,I276,8),"")</f>
        <v/>
      </c>
      <c r="D276" s="437">
        <f t="shared" si="1"/>
        <v>0</v>
      </c>
      <c r="F276" s="438">
        <f t="shared" si="2"/>
        <v>0</v>
      </c>
      <c r="G276" t="str">
        <f t="shared" si="3"/>
        <v/>
      </c>
      <c r="H276" t="b">
        <f t="shared" si="4"/>
        <v>0</v>
      </c>
      <c r="I276" s="439">
        <f>IF(OR(ISBLANK(A276),ISNA(MATCH(A276&amp;"",AthleteNumbers,0))),0,MATCH(A276&amp;"",AthleteNumbers,0))</f>
        <v>0</v>
      </c>
      <c r="J276" s="209">
        <f t="array" ref="J276">IF(I276&gt;0,INDEX(DB,$I276,6),0)</f>
        <v>0</v>
      </c>
      <c r="K276" s="446">
        <f t="shared" si="5"/>
        <v>0</v>
      </c>
      <c r="L276" s="440">
        <f t="shared" si="6"/>
        <v>0</v>
      </c>
      <c r="M276" s="441">
        <f>IF(AND(L276&gt;O276,O276&gt;0),MinPoints,IF(AND(L276&lt;N276,O276&gt;0),100,+INT((O276-$L276)/P276)+MinPoints))</f>
        <v>100</v>
      </c>
      <c r="N276" s="440">
        <f t="shared" si="7"/>
        <v>90</v>
      </c>
      <c r="O276" s="440">
        <f t="shared" si="8"/>
        <v>180</v>
      </c>
      <c r="P276" s="440">
        <f t="shared" si="9"/>
        <v>1</v>
      </c>
      <c r="Q276">
        <f t="array" ref="Q276">IF(I276&gt;0,INDEX(DB,I276,9),EventIndex)</f>
        <v>6</v>
      </c>
      <c r="S276">
        <f t="array" ref="S276">(INT(INDEX(MINVALUES,$Q276,$K$1))*60)+(MOD(INDEX(MINVALUES,$Q276,$K$1),1)*100)</f>
        <v>180</v>
      </c>
      <c r="T276">
        <f t="array" ref="T276">(INDEX(INCVALUES,$Q276,$K$1)*100)</f>
        <v>1</v>
      </c>
      <c r="V276">
        <f t="array" ref="V276">+J276+(4*(INDEX(MatchScoreTable,$Q276,20)-1))</f>
        <v>4</v>
      </c>
      <c r="W276">
        <f t="array" ref="W276">INDEX(INC_MINVALUES,$V276,$K$1)</f>
        <v>480</v>
      </c>
      <c r="X276" s="212">
        <f t="array" ref="X276">INDEX(INC_INCVALUES,$V276,$K$1)</f>
        <v>4</v>
      </c>
    </row>
    <row r="277" ht="15.75" customHeight="1">
      <c r="A277" s="435"/>
      <c r="B277" s="436"/>
      <c r="C277" s="95" t="str">
        <f t="array" ref="C277">IF(I277&gt;0,INDEX(DB,I277,8),"")</f>
        <v/>
      </c>
      <c r="D277" s="437">
        <f t="shared" si="1"/>
        <v>0</v>
      </c>
      <c r="F277" s="438">
        <f t="shared" si="2"/>
        <v>0</v>
      </c>
      <c r="G277" t="str">
        <f t="shared" si="3"/>
        <v/>
      </c>
      <c r="H277" t="b">
        <f t="shared" si="4"/>
        <v>0</v>
      </c>
      <c r="I277" s="439">
        <f>IF(OR(ISBLANK(A277),ISNA(MATCH(A277&amp;"",AthleteNumbers,0))),0,MATCH(A277&amp;"",AthleteNumbers,0))</f>
        <v>0</v>
      </c>
      <c r="J277" s="209">
        <f t="array" ref="J277">IF(I277&gt;0,INDEX(DB,$I277,6),0)</f>
        <v>0</v>
      </c>
      <c r="K277" s="446">
        <f t="shared" si="5"/>
        <v>0</v>
      </c>
      <c r="L277" s="440">
        <f t="shared" si="6"/>
        <v>0</v>
      </c>
      <c r="M277" s="441">
        <f>IF(AND(L277&gt;O277,O277&gt;0),MinPoints,IF(AND(L277&lt;N277,O277&gt;0),100,+INT((O277-$L277)/P277)+MinPoints))</f>
        <v>100</v>
      </c>
      <c r="N277" s="440">
        <f t="shared" si="7"/>
        <v>90</v>
      </c>
      <c r="O277" s="440">
        <f t="shared" si="8"/>
        <v>180</v>
      </c>
      <c r="P277" s="440">
        <f t="shared" si="9"/>
        <v>1</v>
      </c>
      <c r="Q277">
        <f t="array" ref="Q277">IF(I277&gt;0,INDEX(DB,I277,9),EventIndex)</f>
        <v>6</v>
      </c>
      <c r="S277">
        <f t="array" ref="S277">(INT(INDEX(MINVALUES,$Q277,$K$1))*60)+(MOD(INDEX(MINVALUES,$Q277,$K$1),1)*100)</f>
        <v>180</v>
      </c>
      <c r="T277">
        <f t="array" ref="T277">(INDEX(INCVALUES,$Q277,$K$1)*100)</f>
        <v>1</v>
      </c>
      <c r="V277">
        <f t="array" ref="V277">+J277+(4*(INDEX(MatchScoreTable,$Q277,20)-1))</f>
        <v>4</v>
      </c>
      <c r="W277">
        <f t="array" ref="W277">INDEX(INC_MINVALUES,$V277,$K$1)</f>
        <v>480</v>
      </c>
      <c r="X277" s="212">
        <f t="array" ref="X277">INDEX(INC_INCVALUES,$V277,$K$1)</f>
        <v>4</v>
      </c>
    </row>
    <row r="278" ht="15.75" customHeight="1">
      <c r="A278" s="435"/>
      <c r="B278" s="436"/>
      <c r="C278" s="95" t="str">
        <f t="array" ref="C278">IF(I278&gt;0,INDEX(DB,I278,8),"")</f>
        <v/>
      </c>
      <c r="D278" s="437">
        <f t="shared" si="1"/>
        <v>0</v>
      </c>
      <c r="F278" s="438">
        <f t="shared" si="2"/>
        <v>0</v>
      </c>
      <c r="G278" t="str">
        <f t="shared" si="3"/>
        <v/>
      </c>
      <c r="H278" t="b">
        <f t="shared" si="4"/>
        <v>0</v>
      </c>
      <c r="I278" s="439">
        <f>IF(OR(ISBLANK(A278),ISNA(MATCH(A278&amp;"",AthleteNumbers,0))),0,MATCH(A278&amp;"",AthleteNumbers,0))</f>
        <v>0</v>
      </c>
      <c r="J278" s="209">
        <f t="array" ref="J278">IF(I278&gt;0,INDEX(DB,$I278,6),0)</f>
        <v>0</v>
      </c>
      <c r="K278" s="446">
        <f t="shared" si="5"/>
        <v>0</v>
      </c>
      <c r="L278" s="440">
        <f t="shared" si="6"/>
        <v>0</v>
      </c>
      <c r="M278" s="441">
        <f>IF(AND(L278&gt;O278,O278&gt;0),MinPoints,IF(AND(L278&lt;N278,O278&gt;0),100,+INT((O278-$L278)/P278)+MinPoints))</f>
        <v>100</v>
      </c>
      <c r="N278" s="440">
        <f t="shared" si="7"/>
        <v>90</v>
      </c>
      <c r="O278" s="440">
        <f t="shared" si="8"/>
        <v>180</v>
      </c>
      <c r="P278" s="440">
        <f t="shared" si="9"/>
        <v>1</v>
      </c>
      <c r="Q278">
        <f t="array" ref="Q278">IF(I278&gt;0,INDEX(DB,I278,9),EventIndex)</f>
        <v>6</v>
      </c>
      <c r="S278">
        <f t="array" ref="S278">(INT(INDEX(MINVALUES,$Q278,$K$1))*60)+(MOD(INDEX(MINVALUES,$Q278,$K$1),1)*100)</f>
        <v>180</v>
      </c>
      <c r="T278">
        <f t="array" ref="T278">(INDEX(INCVALUES,$Q278,$K$1)*100)</f>
        <v>1</v>
      </c>
      <c r="V278">
        <f t="array" ref="V278">+J278+(4*(INDEX(MatchScoreTable,$Q278,20)-1))</f>
        <v>4</v>
      </c>
      <c r="W278">
        <f t="array" ref="W278">INDEX(INC_MINVALUES,$V278,$K$1)</f>
        <v>480</v>
      </c>
      <c r="X278" s="212">
        <f t="array" ref="X278">INDEX(INC_INCVALUES,$V278,$K$1)</f>
        <v>4</v>
      </c>
    </row>
    <row r="279" ht="15.75" customHeight="1">
      <c r="A279" s="435"/>
      <c r="B279" s="436"/>
      <c r="C279" s="95" t="str">
        <f t="array" ref="C279">IF(I279&gt;0,INDEX(DB,I279,8),"")</f>
        <v/>
      </c>
      <c r="D279" s="437">
        <f t="shared" si="1"/>
        <v>0</v>
      </c>
      <c r="F279" s="438">
        <f t="shared" si="2"/>
        <v>0</v>
      </c>
      <c r="G279" t="str">
        <f t="shared" si="3"/>
        <v/>
      </c>
      <c r="H279" t="b">
        <f t="shared" si="4"/>
        <v>0</v>
      </c>
      <c r="I279" s="439">
        <f>IF(OR(ISBLANK(A279),ISNA(MATCH(A279&amp;"",AthleteNumbers,0))),0,MATCH(A279&amp;"",AthleteNumbers,0))</f>
        <v>0</v>
      </c>
      <c r="J279" s="209">
        <f t="array" ref="J279">IF(I279&gt;0,INDEX(DB,$I279,6),0)</f>
        <v>0</v>
      </c>
      <c r="K279" s="446">
        <f t="shared" si="5"/>
        <v>0</v>
      </c>
      <c r="L279" s="440">
        <f t="shared" si="6"/>
        <v>0</v>
      </c>
      <c r="M279" s="441">
        <f>IF(AND(L279&gt;O279,O279&gt;0),MinPoints,IF(AND(L279&lt;N279,O279&gt;0),100,+INT((O279-$L279)/P279)+MinPoints))</f>
        <v>100</v>
      </c>
      <c r="N279" s="440">
        <f t="shared" si="7"/>
        <v>90</v>
      </c>
      <c r="O279" s="440">
        <f t="shared" si="8"/>
        <v>180</v>
      </c>
      <c r="P279" s="440">
        <f t="shared" si="9"/>
        <v>1</v>
      </c>
      <c r="Q279">
        <f t="array" ref="Q279">IF(I279&gt;0,INDEX(DB,I279,9),EventIndex)</f>
        <v>6</v>
      </c>
      <c r="S279">
        <f t="array" ref="S279">(INT(INDEX(MINVALUES,$Q279,$K$1))*60)+(MOD(INDEX(MINVALUES,$Q279,$K$1),1)*100)</f>
        <v>180</v>
      </c>
      <c r="T279">
        <f t="array" ref="T279">(INDEX(INCVALUES,$Q279,$K$1)*100)</f>
        <v>1</v>
      </c>
      <c r="V279">
        <f t="array" ref="V279">+J279+(4*(INDEX(MatchScoreTable,$Q279,20)-1))</f>
        <v>4</v>
      </c>
      <c r="W279">
        <f t="array" ref="W279">INDEX(INC_MINVALUES,$V279,$K$1)</f>
        <v>480</v>
      </c>
      <c r="X279" s="212">
        <f t="array" ref="X279">INDEX(INC_INCVALUES,$V279,$K$1)</f>
        <v>4</v>
      </c>
    </row>
    <row r="280" ht="15.75" customHeight="1">
      <c r="A280" s="435"/>
      <c r="B280" s="436"/>
      <c r="C280" s="95" t="str">
        <f t="array" ref="C280">IF(I280&gt;0,INDEX(DB,I280,8),"")</f>
        <v/>
      </c>
      <c r="D280" s="437">
        <f t="shared" si="1"/>
        <v>0</v>
      </c>
      <c r="F280" s="438">
        <f t="shared" si="2"/>
        <v>0</v>
      </c>
      <c r="G280" t="str">
        <f t="shared" si="3"/>
        <v/>
      </c>
      <c r="H280" t="b">
        <f t="shared" si="4"/>
        <v>0</v>
      </c>
      <c r="I280" s="439">
        <f>IF(OR(ISBLANK(A280),ISNA(MATCH(A280&amp;"",AthleteNumbers,0))),0,MATCH(A280&amp;"",AthleteNumbers,0))</f>
        <v>0</v>
      </c>
      <c r="J280" s="209">
        <f t="array" ref="J280">IF(I280&gt;0,INDEX(DB,$I280,6),0)</f>
        <v>0</v>
      </c>
      <c r="K280" s="446">
        <f t="shared" si="5"/>
        <v>0</v>
      </c>
      <c r="L280" s="440">
        <f t="shared" si="6"/>
        <v>0</v>
      </c>
      <c r="M280" s="441">
        <f>IF(AND(L280&gt;O280,O280&gt;0),MinPoints,IF(AND(L280&lt;N280,O280&gt;0),100,+INT((O280-$L280)/P280)+MinPoints))</f>
        <v>100</v>
      </c>
      <c r="N280" s="440">
        <f t="shared" si="7"/>
        <v>90</v>
      </c>
      <c r="O280" s="440">
        <f t="shared" si="8"/>
        <v>180</v>
      </c>
      <c r="P280" s="440">
        <f t="shared" si="9"/>
        <v>1</v>
      </c>
      <c r="Q280">
        <f t="array" ref="Q280">IF(I280&gt;0,INDEX(DB,I280,9),EventIndex)</f>
        <v>6</v>
      </c>
      <c r="S280">
        <f t="array" ref="S280">(INT(INDEX(MINVALUES,$Q280,$K$1))*60)+(MOD(INDEX(MINVALUES,$Q280,$K$1),1)*100)</f>
        <v>180</v>
      </c>
      <c r="T280">
        <f t="array" ref="T280">(INDEX(INCVALUES,$Q280,$K$1)*100)</f>
        <v>1</v>
      </c>
      <c r="V280">
        <f t="array" ref="V280">+J280+(4*(INDEX(MatchScoreTable,$Q280,20)-1))</f>
        <v>4</v>
      </c>
      <c r="W280">
        <f t="array" ref="W280">INDEX(INC_MINVALUES,$V280,$K$1)</f>
        <v>480</v>
      </c>
      <c r="X280" s="212">
        <f t="array" ref="X280">INDEX(INC_INCVALUES,$V280,$K$1)</f>
        <v>4</v>
      </c>
    </row>
    <row r="281" ht="15.75" customHeight="1">
      <c r="A281" s="435"/>
      <c r="B281" s="436"/>
      <c r="C281" s="95" t="str">
        <f t="array" ref="C281">IF(I281&gt;0,INDEX(DB,I281,8),"")</f>
        <v/>
      </c>
      <c r="D281" s="437">
        <f t="shared" si="1"/>
        <v>0</v>
      </c>
      <c r="F281" s="438">
        <f t="shared" si="2"/>
        <v>0</v>
      </c>
      <c r="G281" t="str">
        <f t="shared" si="3"/>
        <v/>
      </c>
      <c r="H281" t="b">
        <f t="shared" si="4"/>
        <v>0</v>
      </c>
      <c r="I281" s="439">
        <f>IF(OR(ISBLANK(A281),ISNA(MATCH(A281&amp;"",AthleteNumbers,0))),0,MATCH(A281&amp;"",AthleteNumbers,0))</f>
        <v>0</v>
      </c>
      <c r="J281" s="209">
        <f t="array" ref="J281">IF(I281&gt;0,INDEX(DB,$I281,6),0)</f>
        <v>0</v>
      </c>
      <c r="K281" s="446">
        <f t="shared" si="5"/>
        <v>0</v>
      </c>
      <c r="L281" s="440">
        <f t="shared" si="6"/>
        <v>0</v>
      </c>
      <c r="M281" s="441">
        <f>IF(AND(L281&gt;O281,O281&gt;0),MinPoints,IF(AND(L281&lt;N281,O281&gt;0),100,+INT((O281-$L281)/P281)+MinPoints))</f>
        <v>100</v>
      </c>
      <c r="N281" s="440">
        <f t="shared" si="7"/>
        <v>90</v>
      </c>
      <c r="O281" s="440">
        <f t="shared" si="8"/>
        <v>180</v>
      </c>
      <c r="P281" s="440">
        <f t="shared" si="9"/>
        <v>1</v>
      </c>
      <c r="Q281">
        <f t="array" ref="Q281">IF(I281&gt;0,INDEX(DB,I281,9),EventIndex)</f>
        <v>6</v>
      </c>
      <c r="S281">
        <f t="array" ref="S281">(INT(INDEX(MINVALUES,$Q281,$K$1))*60)+(MOD(INDEX(MINVALUES,$Q281,$K$1),1)*100)</f>
        <v>180</v>
      </c>
      <c r="T281">
        <f t="array" ref="T281">(INDEX(INCVALUES,$Q281,$K$1)*100)</f>
        <v>1</v>
      </c>
      <c r="V281">
        <f t="array" ref="V281">+J281+(4*(INDEX(MatchScoreTable,$Q281,20)-1))</f>
        <v>4</v>
      </c>
      <c r="W281">
        <f t="array" ref="W281">INDEX(INC_MINVALUES,$V281,$K$1)</f>
        <v>480</v>
      </c>
      <c r="X281" s="212">
        <f t="array" ref="X281">INDEX(INC_INCVALUES,$V281,$K$1)</f>
        <v>4</v>
      </c>
    </row>
    <row r="282" ht="15.75" customHeight="1">
      <c r="A282" s="435"/>
      <c r="B282" s="436"/>
      <c r="C282" s="95" t="str">
        <f t="array" ref="C282">IF(I282&gt;0,INDEX(DB,I282,8),"")</f>
        <v/>
      </c>
      <c r="D282" s="437">
        <f t="shared" si="1"/>
        <v>0</v>
      </c>
      <c r="F282" s="438">
        <f t="shared" si="2"/>
        <v>0</v>
      </c>
      <c r="G282" t="str">
        <f t="shared" si="3"/>
        <v/>
      </c>
      <c r="H282" t="b">
        <f t="shared" si="4"/>
        <v>0</v>
      </c>
      <c r="I282" s="439">
        <f>IF(OR(ISBLANK(A282),ISNA(MATCH(A282&amp;"",AthleteNumbers,0))),0,MATCH(A282&amp;"",AthleteNumbers,0))</f>
        <v>0</v>
      </c>
      <c r="J282" s="209">
        <f t="array" ref="J282">IF(I282&gt;0,INDEX(DB,$I282,6),0)</f>
        <v>0</v>
      </c>
      <c r="K282" s="446">
        <f t="shared" si="5"/>
        <v>0</v>
      </c>
      <c r="L282" s="440">
        <f t="shared" si="6"/>
        <v>0</v>
      </c>
      <c r="M282" s="441">
        <f>IF(AND(L282&gt;O282,O282&gt;0),MinPoints,IF(AND(L282&lt;N282,O282&gt;0),100,+INT((O282-$L282)/P282)+MinPoints))</f>
        <v>100</v>
      </c>
      <c r="N282" s="440">
        <f t="shared" si="7"/>
        <v>90</v>
      </c>
      <c r="O282" s="440">
        <f t="shared" si="8"/>
        <v>180</v>
      </c>
      <c r="P282" s="440">
        <f t="shared" si="9"/>
        <v>1</v>
      </c>
      <c r="Q282">
        <f t="array" ref="Q282">IF(I282&gt;0,INDEX(DB,I282,9),EventIndex)</f>
        <v>6</v>
      </c>
      <c r="S282">
        <f t="array" ref="S282">(INT(INDEX(MINVALUES,$Q282,$K$1))*60)+(MOD(INDEX(MINVALUES,$Q282,$K$1),1)*100)</f>
        <v>180</v>
      </c>
      <c r="T282">
        <f t="array" ref="T282">(INDEX(INCVALUES,$Q282,$K$1)*100)</f>
        <v>1</v>
      </c>
      <c r="V282">
        <f t="array" ref="V282">+J282+(4*(INDEX(MatchScoreTable,$Q282,20)-1))</f>
        <v>4</v>
      </c>
      <c r="W282">
        <f t="array" ref="W282">INDEX(INC_MINVALUES,$V282,$K$1)</f>
        <v>480</v>
      </c>
      <c r="X282" s="212">
        <f t="array" ref="X282">INDEX(INC_INCVALUES,$V282,$K$1)</f>
        <v>4</v>
      </c>
    </row>
    <row r="283" ht="15.75" customHeight="1">
      <c r="A283" s="435"/>
      <c r="B283" s="436"/>
      <c r="C283" s="95" t="str">
        <f t="array" ref="C283">IF(I283&gt;0,INDEX(DB,I283,8),"")</f>
        <v/>
      </c>
      <c r="D283" s="437">
        <f t="shared" si="1"/>
        <v>0</v>
      </c>
      <c r="F283" s="438">
        <f t="shared" si="2"/>
        <v>0</v>
      </c>
      <c r="G283" t="str">
        <f t="shared" si="3"/>
        <v/>
      </c>
      <c r="H283" t="b">
        <f t="shared" si="4"/>
        <v>0</v>
      </c>
      <c r="I283" s="439">
        <f>IF(OR(ISBLANK(A283),ISNA(MATCH(A283&amp;"",AthleteNumbers,0))),0,MATCH(A283&amp;"",AthleteNumbers,0))</f>
        <v>0</v>
      </c>
      <c r="J283" s="209">
        <f t="array" ref="J283">IF(I283&gt;0,INDEX(DB,$I283,6),0)</f>
        <v>0</v>
      </c>
      <c r="K283" s="446">
        <f t="shared" si="5"/>
        <v>0</v>
      </c>
      <c r="L283" s="440">
        <f t="shared" si="6"/>
        <v>0</v>
      </c>
      <c r="M283" s="441">
        <f>IF(AND(L283&gt;O283,O283&gt;0),MinPoints,IF(AND(L283&lt;N283,O283&gt;0),100,+INT((O283-$L283)/P283)+MinPoints))</f>
        <v>100</v>
      </c>
      <c r="N283" s="440">
        <f t="shared" si="7"/>
        <v>90</v>
      </c>
      <c r="O283" s="440">
        <f t="shared" si="8"/>
        <v>180</v>
      </c>
      <c r="P283" s="440">
        <f t="shared" si="9"/>
        <v>1</v>
      </c>
      <c r="Q283">
        <f t="array" ref="Q283">IF(I283&gt;0,INDEX(DB,I283,9),EventIndex)</f>
        <v>6</v>
      </c>
      <c r="S283">
        <f t="array" ref="S283">(INT(INDEX(MINVALUES,$Q283,$K$1))*60)+(MOD(INDEX(MINVALUES,$Q283,$K$1),1)*100)</f>
        <v>180</v>
      </c>
      <c r="T283">
        <f t="array" ref="T283">(INDEX(INCVALUES,$Q283,$K$1)*100)</f>
        <v>1</v>
      </c>
      <c r="V283">
        <f t="array" ref="V283">+J283+(4*(INDEX(MatchScoreTable,$Q283,20)-1))</f>
        <v>4</v>
      </c>
      <c r="W283">
        <f t="array" ref="W283">INDEX(INC_MINVALUES,$V283,$K$1)</f>
        <v>480</v>
      </c>
      <c r="X283" s="212">
        <f t="array" ref="X283">INDEX(INC_INCVALUES,$V283,$K$1)</f>
        <v>4</v>
      </c>
    </row>
    <row r="284" ht="15.75" customHeight="1">
      <c r="A284" s="435"/>
      <c r="B284" s="436"/>
      <c r="C284" s="95" t="str">
        <f t="array" ref="C284">IF(I284&gt;0,INDEX(DB,I284,8),"")</f>
        <v/>
      </c>
      <c r="D284" s="437">
        <f t="shared" si="1"/>
        <v>0</v>
      </c>
      <c r="F284" s="438">
        <f t="shared" si="2"/>
        <v>0</v>
      </c>
      <c r="G284" t="str">
        <f t="shared" si="3"/>
        <v/>
      </c>
      <c r="H284" t="b">
        <f t="shared" si="4"/>
        <v>0</v>
      </c>
      <c r="I284" s="439">
        <f>IF(OR(ISBLANK(A284),ISNA(MATCH(A284&amp;"",AthleteNumbers,0))),0,MATCH(A284&amp;"",AthleteNumbers,0))</f>
        <v>0</v>
      </c>
      <c r="J284" s="209">
        <f t="array" ref="J284">IF(I284&gt;0,INDEX(DB,$I284,6),0)</f>
        <v>0</v>
      </c>
      <c r="K284" s="446">
        <f t="shared" si="5"/>
        <v>0</v>
      </c>
      <c r="L284" s="440">
        <f t="shared" si="6"/>
        <v>0</v>
      </c>
      <c r="M284" s="441">
        <f>IF(AND(L284&gt;O284,O284&gt;0),MinPoints,IF(AND(L284&lt;N284,O284&gt;0),100,+INT((O284-$L284)/P284)+MinPoints))</f>
        <v>100</v>
      </c>
      <c r="N284" s="440">
        <f t="shared" si="7"/>
        <v>90</v>
      </c>
      <c r="O284" s="440">
        <f t="shared" si="8"/>
        <v>180</v>
      </c>
      <c r="P284" s="440">
        <f t="shared" si="9"/>
        <v>1</v>
      </c>
      <c r="Q284">
        <f t="array" ref="Q284">IF(I284&gt;0,INDEX(DB,I284,9),EventIndex)</f>
        <v>6</v>
      </c>
      <c r="S284">
        <f t="array" ref="S284">(INT(INDEX(MINVALUES,$Q284,$K$1))*60)+(MOD(INDEX(MINVALUES,$Q284,$K$1),1)*100)</f>
        <v>180</v>
      </c>
      <c r="T284">
        <f t="array" ref="T284">(INDEX(INCVALUES,$Q284,$K$1)*100)</f>
        <v>1</v>
      </c>
      <c r="V284">
        <f t="array" ref="V284">+J284+(4*(INDEX(MatchScoreTable,$Q284,20)-1))</f>
        <v>4</v>
      </c>
      <c r="W284">
        <f t="array" ref="W284">INDEX(INC_MINVALUES,$V284,$K$1)</f>
        <v>480</v>
      </c>
      <c r="X284" s="212">
        <f t="array" ref="X284">INDEX(INC_INCVALUES,$V284,$K$1)</f>
        <v>4</v>
      </c>
    </row>
    <row r="285" ht="15.75" customHeight="1">
      <c r="A285" s="435"/>
      <c r="B285" s="436"/>
      <c r="C285" s="95" t="str">
        <f t="array" ref="C285">IF(I285&gt;0,INDEX(DB,I285,8),"")</f>
        <v/>
      </c>
      <c r="D285" s="437">
        <f t="shared" si="1"/>
        <v>0</v>
      </c>
      <c r="F285" s="438">
        <f t="shared" si="2"/>
        <v>0</v>
      </c>
      <c r="G285" t="str">
        <f t="shared" si="3"/>
        <v/>
      </c>
      <c r="H285" t="b">
        <f t="shared" si="4"/>
        <v>0</v>
      </c>
      <c r="I285" s="439">
        <f>IF(OR(ISBLANK(A285),ISNA(MATCH(A285&amp;"",AthleteNumbers,0))),0,MATCH(A285&amp;"",AthleteNumbers,0))</f>
        <v>0</v>
      </c>
      <c r="J285" s="209">
        <f t="array" ref="J285">IF(I285&gt;0,INDEX(DB,$I285,6),0)</f>
        <v>0</v>
      </c>
      <c r="K285" s="446">
        <f t="shared" si="5"/>
        <v>0</v>
      </c>
      <c r="L285" s="440">
        <f t="shared" si="6"/>
        <v>0</v>
      </c>
      <c r="M285" s="441">
        <f>IF(AND(L285&gt;O285,O285&gt;0),MinPoints,IF(AND(L285&lt;N285,O285&gt;0),100,+INT((O285-$L285)/P285)+MinPoints))</f>
        <v>100</v>
      </c>
      <c r="N285" s="440">
        <f t="shared" si="7"/>
        <v>90</v>
      </c>
      <c r="O285" s="440">
        <f t="shared" si="8"/>
        <v>180</v>
      </c>
      <c r="P285" s="440">
        <f t="shared" si="9"/>
        <v>1</v>
      </c>
      <c r="Q285">
        <f t="array" ref="Q285">IF(I285&gt;0,INDEX(DB,I285,9),EventIndex)</f>
        <v>6</v>
      </c>
      <c r="S285">
        <f t="array" ref="S285">(INT(INDEX(MINVALUES,$Q285,$K$1))*60)+(MOD(INDEX(MINVALUES,$Q285,$K$1),1)*100)</f>
        <v>180</v>
      </c>
      <c r="T285">
        <f t="array" ref="T285">(INDEX(INCVALUES,$Q285,$K$1)*100)</f>
        <v>1</v>
      </c>
      <c r="V285">
        <f t="array" ref="V285">+J285+(4*(INDEX(MatchScoreTable,$Q285,20)-1))</f>
        <v>4</v>
      </c>
      <c r="W285">
        <f t="array" ref="W285">INDEX(INC_MINVALUES,$V285,$K$1)</f>
        <v>480</v>
      </c>
      <c r="X285" s="212">
        <f t="array" ref="X285">INDEX(INC_INCVALUES,$V285,$K$1)</f>
        <v>4</v>
      </c>
    </row>
    <row r="286" ht="15.75" customHeight="1">
      <c r="A286" s="435"/>
      <c r="B286" s="436"/>
      <c r="C286" s="95" t="str">
        <f t="array" ref="C286">IF(I286&gt;0,INDEX(DB,I286,8),"")</f>
        <v/>
      </c>
      <c r="D286" s="437">
        <f t="shared" si="1"/>
        <v>0</v>
      </c>
      <c r="F286" s="438">
        <f t="shared" si="2"/>
        <v>0</v>
      </c>
      <c r="G286" t="str">
        <f t="shared" si="3"/>
        <v/>
      </c>
      <c r="H286" t="b">
        <f t="shared" si="4"/>
        <v>0</v>
      </c>
      <c r="I286" s="439">
        <f>IF(OR(ISBLANK(A286),ISNA(MATCH(A286&amp;"",AthleteNumbers,0))),0,MATCH(A286&amp;"",AthleteNumbers,0))</f>
        <v>0</v>
      </c>
      <c r="J286" s="209">
        <f t="array" ref="J286">IF(I286&gt;0,INDEX(DB,$I286,6),0)</f>
        <v>0</v>
      </c>
      <c r="K286" s="446">
        <f t="shared" si="5"/>
        <v>0</v>
      </c>
      <c r="L286" s="440">
        <f t="shared" si="6"/>
        <v>0</v>
      </c>
      <c r="M286" s="441">
        <f>IF(AND(L286&gt;O286,O286&gt;0),MinPoints,IF(AND(L286&lt;N286,O286&gt;0),100,+INT((O286-$L286)/P286)+MinPoints))</f>
        <v>100</v>
      </c>
      <c r="N286" s="440">
        <f t="shared" si="7"/>
        <v>90</v>
      </c>
      <c r="O286" s="440">
        <f t="shared" si="8"/>
        <v>180</v>
      </c>
      <c r="P286" s="440">
        <f t="shared" si="9"/>
        <v>1</v>
      </c>
      <c r="Q286">
        <f t="array" ref="Q286">IF(I286&gt;0,INDEX(DB,I286,9),EventIndex)</f>
        <v>6</v>
      </c>
      <c r="S286">
        <f t="array" ref="S286">(INT(INDEX(MINVALUES,$Q286,$K$1))*60)+(MOD(INDEX(MINVALUES,$Q286,$K$1),1)*100)</f>
        <v>180</v>
      </c>
      <c r="T286">
        <f t="array" ref="T286">(INDEX(INCVALUES,$Q286,$K$1)*100)</f>
        <v>1</v>
      </c>
      <c r="V286">
        <f t="array" ref="V286">+J286+(4*(INDEX(MatchScoreTable,$Q286,20)-1))</f>
        <v>4</v>
      </c>
      <c r="W286">
        <f t="array" ref="W286">INDEX(INC_MINVALUES,$V286,$K$1)</f>
        <v>480</v>
      </c>
      <c r="X286" s="212">
        <f t="array" ref="X286">INDEX(INC_INCVALUES,$V286,$K$1)</f>
        <v>4</v>
      </c>
    </row>
    <row r="287" ht="15.75" customHeight="1">
      <c r="A287" s="435"/>
      <c r="B287" s="436"/>
      <c r="C287" s="95" t="str">
        <f t="array" ref="C287">IF(I287&gt;0,INDEX(DB,I287,8),"")</f>
        <v/>
      </c>
      <c r="D287" s="437">
        <f t="shared" si="1"/>
        <v>0</v>
      </c>
      <c r="F287" s="438">
        <f t="shared" si="2"/>
        <v>0</v>
      </c>
      <c r="G287" t="str">
        <f t="shared" si="3"/>
        <v/>
      </c>
      <c r="H287" t="b">
        <f t="shared" si="4"/>
        <v>0</v>
      </c>
      <c r="I287" s="439">
        <f>IF(OR(ISBLANK(A287),ISNA(MATCH(A287&amp;"",AthleteNumbers,0))),0,MATCH(A287&amp;"",AthleteNumbers,0))</f>
        <v>0</v>
      </c>
      <c r="J287" s="209">
        <f t="array" ref="J287">IF(I287&gt;0,INDEX(DB,$I287,6),0)</f>
        <v>0</v>
      </c>
      <c r="K287" s="446">
        <f t="shared" si="5"/>
        <v>0</v>
      </c>
      <c r="L287" s="440">
        <f t="shared" si="6"/>
        <v>0</v>
      </c>
      <c r="M287" s="441">
        <f>IF(AND(L287&gt;O287,O287&gt;0),MinPoints,IF(AND(L287&lt;N287,O287&gt;0),100,+INT((O287-$L287)/P287)+MinPoints))</f>
        <v>100</v>
      </c>
      <c r="N287" s="440">
        <f t="shared" si="7"/>
        <v>90</v>
      </c>
      <c r="O287" s="440">
        <f t="shared" si="8"/>
        <v>180</v>
      </c>
      <c r="P287" s="440">
        <f t="shared" si="9"/>
        <v>1</v>
      </c>
      <c r="Q287">
        <f t="array" ref="Q287">IF(I287&gt;0,INDEX(DB,I287,9),EventIndex)</f>
        <v>6</v>
      </c>
      <c r="S287">
        <f t="array" ref="S287">(INT(INDEX(MINVALUES,$Q287,$K$1))*60)+(MOD(INDEX(MINVALUES,$Q287,$K$1),1)*100)</f>
        <v>180</v>
      </c>
      <c r="T287">
        <f t="array" ref="T287">(INDEX(INCVALUES,$Q287,$K$1)*100)</f>
        <v>1</v>
      </c>
      <c r="V287">
        <f t="array" ref="V287">+J287+(4*(INDEX(MatchScoreTable,$Q287,20)-1))</f>
        <v>4</v>
      </c>
      <c r="W287">
        <f t="array" ref="W287">INDEX(INC_MINVALUES,$V287,$K$1)</f>
        <v>480</v>
      </c>
      <c r="X287" s="212">
        <f t="array" ref="X287">INDEX(INC_INCVALUES,$V287,$K$1)</f>
        <v>4</v>
      </c>
    </row>
    <row r="288" ht="15.75" customHeight="1">
      <c r="A288" s="435"/>
      <c r="B288" s="436"/>
      <c r="C288" s="95" t="str">
        <f t="array" ref="C288">IF(I288&gt;0,INDEX(DB,I288,8),"")</f>
        <v/>
      </c>
      <c r="D288" s="437">
        <f t="shared" si="1"/>
        <v>0</v>
      </c>
      <c r="F288" s="438">
        <f t="shared" si="2"/>
        <v>0</v>
      </c>
      <c r="G288" t="str">
        <f t="shared" si="3"/>
        <v/>
      </c>
      <c r="H288" t="b">
        <f t="shared" si="4"/>
        <v>0</v>
      </c>
      <c r="I288" s="439">
        <f>IF(OR(ISBLANK(A288),ISNA(MATCH(A288&amp;"",AthleteNumbers,0))),0,MATCH(A288&amp;"",AthleteNumbers,0))</f>
        <v>0</v>
      </c>
      <c r="J288" s="209">
        <f t="array" ref="J288">IF(I288&gt;0,INDEX(DB,$I288,6),0)</f>
        <v>0</v>
      </c>
      <c r="K288" s="446">
        <f t="shared" si="5"/>
        <v>0</v>
      </c>
      <c r="L288" s="440">
        <f t="shared" si="6"/>
        <v>0</v>
      </c>
      <c r="M288" s="441">
        <f>IF(AND(L288&gt;O288,O288&gt;0),MinPoints,IF(AND(L288&lt;N288,O288&gt;0),100,+INT((O288-$L288)/P288)+MinPoints))</f>
        <v>100</v>
      </c>
      <c r="N288" s="440">
        <f t="shared" si="7"/>
        <v>90</v>
      </c>
      <c r="O288" s="440">
        <f t="shared" si="8"/>
        <v>180</v>
      </c>
      <c r="P288" s="440">
        <f t="shared" si="9"/>
        <v>1</v>
      </c>
      <c r="Q288">
        <f t="array" ref="Q288">IF(I288&gt;0,INDEX(DB,I288,9),EventIndex)</f>
        <v>6</v>
      </c>
      <c r="S288">
        <f t="array" ref="S288">(INT(INDEX(MINVALUES,$Q288,$K$1))*60)+(MOD(INDEX(MINVALUES,$Q288,$K$1),1)*100)</f>
        <v>180</v>
      </c>
      <c r="T288">
        <f t="array" ref="T288">(INDEX(INCVALUES,$Q288,$K$1)*100)</f>
        <v>1</v>
      </c>
      <c r="V288">
        <f t="array" ref="V288">+J288+(4*(INDEX(MatchScoreTable,$Q288,20)-1))</f>
        <v>4</v>
      </c>
      <c r="W288">
        <f t="array" ref="W288">INDEX(INC_MINVALUES,$V288,$K$1)</f>
        <v>480</v>
      </c>
      <c r="X288" s="212">
        <f t="array" ref="X288">INDEX(INC_INCVALUES,$V288,$K$1)</f>
        <v>4</v>
      </c>
    </row>
    <row r="289" ht="15.75" customHeight="1">
      <c r="A289" s="435"/>
      <c r="B289" s="436"/>
      <c r="C289" s="95" t="str">
        <f t="array" ref="C289">IF(I289&gt;0,INDEX(DB,I289,8),"")</f>
        <v/>
      </c>
      <c r="D289" s="437">
        <f t="shared" si="1"/>
        <v>0</v>
      </c>
      <c r="F289" s="438">
        <f t="shared" si="2"/>
        <v>0</v>
      </c>
      <c r="G289" t="str">
        <f t="shared" si="3"/>
        <v/>
      </c>
      <c r="H289" t="b">
        <f t="shared" si="4"/>
        <v>0</v>
      </c>
      <c r="I289" s="439">
        <f>IF(OR(ISBLANK(A289),ISNA(MATCH(A289&amp;"",AthleteNumbers,0))),0,MATCH(A289&amp;"",AthleteNumbers,0))</f>
        <v>0</v>
      </c>
      <c r="J289" s="209">
        <f t="array" ref="J289">IF(I289&gt;0,INDEX(DB,$I289,6),0)</f>
        <v>0</v>
      </c>
      <c r="K289" s="446">
        <f t="shared" si="5"/>
        <v>0</v>
      </c>
      <c r="L289" s="440">
        <f t="shared" si="6"/>
        <v>0</v>
      </c>
      <c r="M289" s="441">
        <f>IF(AND(L289&gt;O289,O289&gt;0),MinPoints,IF(AND(L289&lt;N289,O289&gt;0),100,+INT((O289-$L289)/P289)+MinPoints))</f>
        <v>100</v>
      </c>
      <c r="N289" s="440">
        <f t="shared" si="7"/>
        <v>90</v>
      </c>
      <c r="O289" s="440">
        <f t="shared" si="8"/>
        <v>180</v>
      </c>
      <c r="P289" s="440">
        <f t="shared" si="9"/>
        <v>1</v>
      </c>
      <c r="Q289">
        <f t="array" ref="Q289">IF(I289&gt;0,INDEX(DB,I289,9),EventIndex)</f>
        <v>6</v>
      </c>
      <c r="S289">
        <f t="array" ref="S289">(INT(INDEX(MINVALUES,$Q289,$K$1))*60)+(MOD(INDEX(MINVALUES,$Q289,$K$1),1)*100)</f>
        <v>180</v>
      </c>
      <c r="T289">
        <f t="array" ref="T289">(INDEX(INCVALUES,$Q289,$K$1)*100)</f>
        <v>1</v>
      </c>
      <c r="V289">
        <f t="array" ref="V289">+J289+(4*(INDEX(MatchScoreTable,$Q289,20)-1))</f>
        <v>4</v>
      </c>
      <c r="W289">
        <f t="array" ref="W289">INDEX(INC_MINVALUES,$V289,$K$1)</f>
        <v>480</v>
      </c>
      <c r="X289" s="212">
        <f t="array" ref="X289">INDEX(INC_INCVALUES,$V289,$K$1)</f>
        <v>4</v>
      </c>
    </row>
    <row r="290" ht="15.75" customHeight="1">
      <c r="A290" s="435"/>
      <c r="B290" s="436"/>
      <c r="C290" s="95" t="str">
        <f t="array" ref="C290">IF(I290&gt;0,INDEX(DB,I290,8),"")</f>
        <v/>
      </c>
      <c r="D290" s="437">
        <f t="shared" si="1"/>
        <v>0</v>
      </c>
      <c r="F290" s="438">
        <f t="shared" si="2"/>
        <v>0</v>
      </c>
      <c r="G290" t="str">
        <f t="shared" si="3"/>
        <v/>
      </c>
      <c r="H290" t="b">
        <f t="shared" si="4"/>
        <v>0</v>
      </c>
      <c r="I290" s="439">
        <f>IF(OR(ISBLANK(A290),ISNA(MATCH(A290&amp;"",AthleteNumbers,0))),0,MATCH(A290&amp;"",AthleteNumbers,0))</f>
        <v>0</v>
      </c>
      <c r="J290" s="209">
        <f t="array" ref="J290">IF(I290&gt;0,INDEX(DB,$I290,6),0)</f>
        <v>0</v>
      </c>
      <c r="K290" s="446">
        <f t="shared" si="5"/>
        <v>0</v>
      </c>
      <c r="L290" s="440">
        <f t="shared" si="6"/>
        <v>0</v>
      </c>
      <c r="M290" s="441">
        <f>IF(AND(L290&gt;O290,O290&gt;0),MinPoints,IF(AND(L290&lt;N290,O290&gt;0),100,+INT((O290-$L290)/P290)+MinPoints))</f>
        <v>100</v>
      </c>
      <c r="N290" s="440">
        <f t="shared" si="7"/>
        <v>90</v>
      </c>
      <c r="O290" s="440">
        <f t="shared" si="8"/>
        <v>180</v>
      </c>
      <c r="P290" s="440">
        <f t="shared" si="9"/>
        <v>1</v>
      </c>
      <c r="Q290">
        <f t="array" ref="Q290">IF(I290&gt;0,INDEX(DB,I290,9),EventIndex)</f>
        <v>6</v>
      </c>
      <c r="S290">
        <f t="array" ref="S290">(INT(INDEX(MINVALUES,$Q290,$K$1))*60)+(MOD(INDEX(MINVALUES,$Q290,$K$1),1)*100)</f>
        <v>180</v>
      </c>
      <c r="T290">
        <f t="array" ref="T290">(INDEX(INCVALUES,$Q290,$K$1)*100)</f>
        <v>1</v>
      </c>
      <c r="V290">
        <f t="array" ref="V290">+J290+(4*(INDEX(MatchScoreTable,$Q290,20)-1))</f>
        <v>4</v>
      </c>
      <c r="W290">
        <f t="array" ref="W290">INDEX(INC_MINVALUES,$V290,$K$1)</f>
        <v>480</v>
      </c>
      <c r="X290" s="212">
        <f t="array" ref="X290">INDEX(INC_INCVALUES,$V290,$K$1)</f>
        <v>4</v>
      </c>
    </row>
    <row r="291" ht="15.75" customHeight="1">
      <c r="A291" s="435"/>
      <c r="B291" s="436"/>
      <c r="C291" s="95" t="str">
        <f t="array" ref="C291">IF(I291&gt;0,INDEX(DB,I291,8),"")</f>
        <v/>
      </c>
      <c r="D291" s="437">
        <f t="shared" si="1"/>
        <v>0</v>
      </c>
      <c r="F291" s="438">
        <f t="shared" si="2"/>
        <v>0</v>
      </c>
      <c r="G291" t="str">
        <f t="shared" si="3"/>
        <v/>
      </c>
      <c r="H291" t="b">
        <f t="shared" si="4"/>
        <v>0</v>
      </c>
      <c r="I291" s="439">
        <f>IF(OR(ISBLANK(A291),ISNA(MATCH(A291&amp;"",AthleteNumbers,0))),0,MATCH(A291&amp;"",AthleteNumbers,0))</f>
        <v>0</v>
      </c>
      <c r="J291" s="209">
        <f t="array" ref="J291">IF(I291&gt;0,INDEX(DB,$I291,6),0)</f>
        <v>0</v>
      </c>
      <c r="K291" s="446">
        <f t="shared" si="5"/>
        <v>0</v>
      </c>
      <c r="L291" s="440">
        <f t="shared" si="6"/>
        <v>0</v>
      </c>
      <c r="M291" s="441">
        <f>IF(AND(L291&gt;O291,O291&gt;0),MinPoints,IF(AND(L291&lt;N291,O291&gt;0),100,+INT((O291-$L291)/P291)+MinPoints))</f>
        <v>100</v>
      </c>
      <c r="N291" s="440">
        <f t="shared" si="7"/>
        <v>90</v>
      </c>
      <c r="O291" s="440">
        <f t="shared" si="8"/>
        <v>180</v>
      </c>
      <c r="P291" s="440">
        <f t="shared" si="9"/>
        <v>1</v>
      </c>
      <c r="Q291">
        <f t="array" ref="Q291">IF(I291&gt;0,INDEX(DB,I291,9),EventIndex)</f>
        <v>6</v>
      </c>
      <c r="S291">
        <f t="array" ref="S291">(INT(INDEX(MINVALUES,$Q291,$K$1))*60)+(MOD(INDEX(MINVALUES,$Q291,$K$1),1)*100)</f>
        <v>180</v>
      </c>
      <c r="T291">
        <f t="array" ref="T291">(INDEX(INCVALUES,$Q291,$K$1)*100)</f>
        <v>1</v>
      </c>
      <c r="V291">
        <f t="array" ref="V291">+J291+(4*(INDEX(MatchScoreTable,$Q291,20)-1))</f>
        <v>4</v>
      </c>
      <c r="W291">
        <f t="array" ref="W291">INDEX(INC_MINVALUES,$V291,$K$1)</f>
        <v>480</v>
      </c>
      <c r="X291" s="212">
        <f t="array" ref="X291">INDEX(INC_INCVALUES,$V291,$K$1)</f>
        <v>4</v>
      </c>
    </row>
    <row r="292" ht="15.75" customHeight="1">
      <c r="A292" s="435"/>
      <c r="B292" s="436"/>
      <c r="C292" s="95" t="str">
        <f t="array" ref="C292">IF(I292&gt;0,INDEX(DB,I292,8),"")</f>
        <v/>
      </c>
      <c r="D292" s="437">
        <f t="shared" si="1"/>
        <v>0</v>
      </c>
      <c r="F292" s="438">
        <f t="shared" si="2"/>
        <v>0</v>
      </c>
      <c r="G292" t="str">
        <f t="shared" si="3"/>
        <v/>
      </c>
      <c r="H292" t="b">
        <f t="shared" si="4"/>
        <v>0</v>
      </c>
      <c r="I292" s="439">
        <f>IF(OR(ISBLANK(A292),ISNA(MATCH(A292&amp;"",AthleteNumbers,0))),0,MATCH(A292&amp;"",AthleteNumbers,0))</f>
        <v>0</v>
      </c>
      <c r="J292" s="209">
        <f t="array" ref="J292">IF(I292&gt;0,INDEX(DB,$I292,6),0)</f>
        <v>0</v>
      </c>
      <c r="K292" s="446">
        <f t="shared" si="5"/>
        <v>0</v>
      </c>
      <c r="L292" s="440">
        <f t="shared" si="6"/>
        <v>0</v>
      </c>
      <c r="M292" s="441">
        <f>IF(AND(L292&gt;O292,O292&gt;0),MinPoints,IF(AND(L292&lt;N292,O292&gt;0),100,+INT((O292-$L292)/P292)+MinPoints))</f>
        <v>100</v>
      </c>
      <c r="N292" s="440">
        <f t="shared" si="7"/>
        <v>90</v>
      </c>
      <c r="O292" s="440">
        <f t="shared" si="8"/>
        <v>180</v>
      </c>
      <c r="P292" s="440">
        <f t="shared" si="9"/>
        <v>1</v>
      </c>
      <c r="Q292">
        <f t="array" ref="Q292">IF(I292&gt;0,INDEX(DB,I292,9),EventIndex)</f>
        <v>6</v>
      </c>
      <c r="S292">
        <f t="array" ref="S292">(INT(INDEX(MINVALUES,$Q292,$K$1))*60)+(MOD(INDEX(MINVALUES,$Q292,$K$1),1)*100)</f>
        <v>180</v>
      </c>
      <c r="T292">
        <f t="array" ref="T292">(INDEX(INCVALUES,$Q292,$K$1)*100)</f>
        <v>1</v>
      </c>
      <c r="V292">
        <f t="array" ref="V292">+J292+(4*(INDEX(MatchScoreTable,$Q292,20)-1))</f>
        <v>4</v>
      </c>
      <c r="W292">
        <f t="array" ref="W292">INDEX(INC_MINVALUES,$V292,$K$1)</f>
        <v>480</v>
      </c>
      <c r="X292" s="212">
        <f t="array" ref="X292">INDEX(INC_INCVALUES,$V292,$K$1)</f>
        <v>4</v>
      </c>
    </row>
    <row r="293" ht="15.75" customHeight="1">
      <c r="A293" s="435"/>
      <c r="B293" s="436"/>
      <c r="C293" s="95" t="str">
        <f t="array" ref="C293">IF(I293&gt;0,INDEX(DB,I293,8),"")</f>
        <v/>
      </c>
      <c r="D293" s="437">
        <f t="shared" si="1"/>
        <v>0</v>
      </c>
      <c r="F293" s="438">
        <f t="shared" si="2"/>
        <v>0</v>
      </c>
      <c r="G293" t="str">
        <f t="shared" si="3"/>
        <v/>
      </c>
      <c r="H293" t="b">
        <f t="shared" si="4"/>
        <v>0</v>
      </c>
      <c r="I293" s="439">
        <f>IF(OR(ISBLANK(A293),ISNA(MATCH(A293&amp;"",AthleteNumbers,0))),0,MATCH(A293&amp;"",AthleteNumbers,0))</f>
        <v>0</v>
      </c>
      <c r="J293" s="209">
        <f t="array" ref="J293">IF(I293&gt;0,INDEX(DB,$I293,6),0)</f>
        <v>0</v>
      </c>
      <c r="K293" s="446">
        <f t="shared" si="5"/>
        <v>0</v>
      </c>
      <c r="L293" s="440">
        <f t="shared" si="6"/>
        <v>0</v>
      </c>
      <c r="M293" s="441">
        <f>IF(AND(L293&gt;O293,O293&gt;0),MinPoints,IF(AND(L293&lt;N293,O293&gt;0),100,+INT((O293-$L293)/P293)+MinPoints))</f>
        <v>100</v>
      </c>
      <c r="N293" s="440">
        <f t="shared" si="7"/>
        <v>90</v>
      </c>
      <c r="O293" s="440">
        <f t="shared" si="8"/>
        <v>180</v>
      </c>
      <c r="P293" s="440">
        <f t="shared" si="9"/>
        <v>1</v>
      </c>
      <c r="Q293">
        <f t="array" ref="Q293">IF(I293&gt;0,INDEX(DB,I293,9),EventIndex)</f>
        <v>6</v>
      </c>
      <c r="S293">
        <f t="array" ref="S293">(INT(INDEX(MINVALUES,$Q293,$K$1))*60)+(MOD(INDEX(MINVALUES,$Q293,$K$1),1)*100)</f>
        <v>180</v>
      </c>
      <c r="T293">
        <f t="array" ref="T293">(INDEX(INCVALUES,$Q293,$K$1)*100)</f>
        <v>1</v>
      </c>
      <c r="V293">
        <f t="array" ref="V293">+J293+(4*(INDEX(MatchScoreTable,$Q293,20)-1))</f>
        <v>4</v>
      </c>
      <c r="W293">
        <f t="array" ref="W293">INDEX(INC_MINVALUES,$V293,$K$1)</f>
        <v>480</v>
      </c>
      <c r="X293" s="212">
        <f t="array" ref="X293">INDEX(INC_INCVALUES,$V293,$K$1)</f>
        <v>4</v>
      </c>
    </row>
    <row r="294" ht="15.75" customHeight="1">
      <c r="A294" s="435"/>
      <c r="B294" s="436"/>
      <c r="C294" s="95" t="str">
        <f t="array" ref="C294">IF(I294&gt;0,INDEX(DB,I294,8),"")</f>
        <v/>
      </c>
      <c r="D294" s="437">
        <f t="shared" si="1"/>
        <v>0</v>
      </c>
      <c r="F294" s="438">
        <f t="shared" si="2"/>
        <v>0</v>
      </c>
      <c r="G294" t="str">
        <f t="shared" si="3"/>
        <v/>
      </c>
      <c r="H294" t="b">
        <f t="shared" si="4"/>
        <v>0</v>
      </c>
      <c r="I294" s="439">
        <f>IF(OR(ISBLANK(A294),ISNA(MATCH(A294&amp;"",AthleteNumbers,0))),0,MATCH(A294&amp;"",AthleteNumbers,0))</f>
        <v>0</v>
      </c>
      <c r="J294" s="209">
        <f t="array" ref="J294">IF(I294&gt;0,INDEX(DB,$I294,6),0)</f>
        <v>0</v>
      </c>
      <c r="K294" s="446">
        <f t="shared" si="5"/>
        <v>0</v>
      </c>
      <c r="L294" s="440">
        <f t="shared" si="6"/>
        <v>0</v>
      </c>
      <c r="M294" s="441">
        <f>IF(AND(L294&gt;O294,O294&gt;0),MinPoints,IF(AND(L294&lt;N294,O294&gt;0),100,+INT((O294-$L294)/P294)+MinPoints))</f>
        <v>100</v>
      </c>
      <c r="N294" s="440">
        <f t="shared" si="7"/>
        <v>90</v>
      </c>
      <c r="O294" s="440">
        <f t="shared" si="8"/>
        <v>180</v>
      </c>
      <c r="P294" s="440">
        <f t="shared" si="9"/>
        <v>1</v>
      </c>
      <c r="Q294">
        <f t="array" ref="Q294">IF(I294&gt;0,INDEX(DB,I294,9),EventIndex)</f>
        <v>6</v>
      </c>
      <c r="S294">
        <f t="array" ref="S294">(INT(INDEX(MINVALUES,$Q294,$K$1))*60)+(MOD(INDEX(MINVALUES,$Q294,$K$1),1)*100)</f>
        <v>180</v>
      </c>
      <c r="T294">
        <f t="array" ref="T294">(INDEX(INCVALUES,$Q294,$K$1)*100)</f>
        <v>1</v>
      </c>
      <c r="V294">
        <f t="array" ref="V294">+J294+(4*(INDEX(MatchScoreTable,$Q294,20)-1))</f>
        <v>4</v>
      </c>
      <c r="W294">
        <f t="array" ref="W294">INDEX(INC_MINVALUES,$V294,$K$1)</f>
        <v>480</v>
      </c>
      <c r="X294" s="212">
        <f t="array" ref="X294">INDEX(INC_INCVALUES,$V294,$K$1)</f>
        <v>4</v>
      </c>
    </row>
    <row r="295" ht="15.75" customHeight="1">
      <c r="A295" s="435"/>
      <c r="B295" s="436"/>
      <c r="C295" s="95" t="str">
        <f t="array" ref="C295">IF(I295&gt;0,INDEX(DB,I295,8),"")</f>
        <v/>
      </c>
      <c r="D295" s="437">
        <f t="shared" si="1"/>
        <v>0</v>
      </c>
      <c r="F295" s="438">
        <f t="shared" si="2"/>
        <v>0</v>
      </c>
      <c r="G295" t="str">
        <f t="shared" si="3"/>
        <v/>
      </c>
      <c r="H295" t="b">
        <f t="shared" si="4"/>
        <v>0</v>
      </c>
      <c r="I295" s="439">
        <f>IF(OR(ISBLANK(A295),ISNA(MATCH(A295&amp;"",AthleteNumbers,0))),0,MATCH(A295&amp;"",AthleteNumbers,0))</f>
        <v>0</v>
      </c>
      <c r="J295" s="209">
        <f t="array" ref="J295">IF(I295&gt;0,INDEX(DB,$I295,6),0)</f>
        <v>0</v>
      </c>
      <c r="K295" s="446">
        <f t="shared" si="5"/>
        <v>0</v>
      </c>
      <c r="L295" s="440">
        <f t="shared" si="6"/>
        <v>0</v>
      </c>
      <c r="M295" s="441">
        <f>IF(AND(L295&gt;O295,O295&gt;0),MinPoints,IF(AND(L295&lt;N295,O295&gt;0),100,+INT((O295-$L295)/P295)+MinPoints))</f>
        <v>100</v>
      </c>
      <c r="N295" s="440">
        <f t="shared" si="7"/>
        <v>90</v>
      </c>
      <c r="O295" s="440">
        <f t="shared" si="8"/>
        <v>180</v>
      </c>
      <c r="P295" s="440">
        <f t="shared" si="9"/>
        <v>1</v>
      </c>
      <c r="Q295">
        <f t="array" ref="Q295">IF(I295&gt;0,INDEX(DB,I295,9),EventIndex)</f>
        <v>6</v>
      </c>
      <c r="S295">
        <f t="array" ref="S295">(INT(INDEX(MINVALUES,$Q295,$K$1))*60)+(MOD(INDEX(MINVALUES,$Q295,$K$1),1)*100)</f>
        <v>180</v>
      </c>
      <c r="T295">
        <f t="array" ref="T295">(INDEX(INCVALUES,$Q295,$K$1)*100)</f>
        <v>1</v>
      </c>
      <c r="V295">
        <f t="array" ref="V295">+J295+(4*(INDEX(MatchScoreTable,$Q295,20)-1))</f>
        <v>4</v>
      </c>
      <c r="W295">
        <f t="array" ref="W295">INDEX(INC_MINVALUES,$V295,$K$1)</f>
        <v>480</v>
      </c>
      <c r="X295" s="212">
        <f t="array" ref="X295">INDEX(INC_INCVALUES,$V295,$K$1)</f>
        <v>4</v>
      </c>
    </row>
    <row r="296" ht="15.75" customHeight="1">
      <c r="A296" s="435"/>
      <c r="B296" s="436"/>
      <c r="C296" s="95" t="str">
        <f t="array" ref="C296">IF(I296&gt;0,INDEX(DB,I296,8),"")</f>
        <v/>
      </c>
      <c r="D296" s="437">
        <f t="shared" si="1"/>
        <v>0</v>
      </c>
      <c r="F296" s="438">
        <f t="shared" si="2"/>
        <v>0</v>
      </c>
      <c r="G296" t="str">
        <f t="shared" si="3"/>
        <v/>
      </c>
      <c r="H296" t="b">
        <f t="shared" si="4"/>
        <v>0</v>
      </c>
      <c r="I296" s="439">
        <f>IF(OR(ISBLANK(A296),ISNA(MATCH(A296&amp;"",AthleteNumbers,0))),0,MATCH(A296&amp;"",AthleteNumbers,0))</f>
        <v>0</v>
      </c>
      <c r="J296" s="209">
        <f t="array" ref="J296">IF(I296&gt;0,INDEX(DB,$I296,6),0)</f>
        <v>0</v>
      </c>
      <c r="K296" s="446">
        <f t="shared" si="5"/>
        <v>0</v>
      </c>
      <c r="L296" s="440">
        <f t="shared" si="6"/>
        <v>0</v>
      </c>
      <c r="M296" s="441">
        <f>IF(AND(L296&gt;O296,O296&gt;0),MinPoints,IF(AND(L296&lt;N296,O296&gt;0),100,+INT((O296-$L296)/P296)+MinPoints))</f>
        <v>100</v>
      </c>
      <c r="N296" s="440">
        <f t="shared" si="7"/>
        <v>90</v>
      </c>
      <c r="O296" s="440">
        <f t="shared" si="8"/>
        <v>180</v>
      </c>
      <c r="P296" s="440">
        <f t="shared" si="9"/>
        <v>1</v>
      </c>
      <c r="Q296">
        <f t="array" ref="Q296">IF(I296&gt;0,INDEX(DB,I296,9),EventIndex)</f>
        <v>6</v>
      </c>
      <c r="S296">
        <f t="array" ref="S296">(INT(INDEX(MINVALUES,$Q296,$K$1))*60)+(MOD(INDEX(MINVALUES,$Q296,$K$1),1)*100)</f>
        <v>180</v>
      </c>
      <c r="T296">
        <f t="array" ref="T296">(INDEX(INCVALUES,$Q296,$K$1)*100)</f>
        <v>1</v>
      </c>
      <c r="V296">
        <f t="array" ref="V296">+J296+(4*(INDEX(MatchScoreTable,$Q296,20)-1))</f>
        <v>4</v>
      </c>
      <c r="W296">
        <f t="array" ref="W296">INDEX(INC_MINVALUES,$V296,$K$1)</f>
        <v>480</v>
      </c>
      <c r="X296" s="212">
        <f t="array" ref="X296">INDEX(INC_INCVALUES,$V296,$K$1)</f>
        <v>4</v>
      </c>
    </row>
    <row r="297" ht="15.75" customHeight="1">
      <c r="A297" s="435"/>
      <c r="B297" s="436"/>
      <c r="C297" s="95" t="str">
        <f t="array" ref="C297">IF(I297&gt;0,INDEX(DB,I297,8),"")</f>
        <v/>
      </c>
      <c r="D297" s="437">
        <f t="shared" si="1"/>
        <v>0</v>
      </c>
      <c r="F297" s="438">
        <f t="shared" si="2"/>
        <v>0</v>
      </c>
      <c r="G297" t="str">
        <f t="shared" si="3"/>
        <v/>
      </c>
      <c r="H297" t="b">
        <f t="shared" si="4"/>
        <v>0</v>
      </c>
      <c r="I297" s="439">
        <f>IF(OR(ISBLANK(A297),ISNA(MATCH(A297&amp;"",AthleteNumbers,0))),0,MATCH(A297&amp;"",AthleteNumbers,0))</f>
        <v>0</v>
      </c>
      <c r="J297" s="209">
        <f t="array" ref="J297">IF(I297&gt;0,INDEX(DB,$I297,6),0)</f>
        <v>0</v>
      </c>
      <c r="K297" s="446">
        <f t="shared" si="5"/>
        <v>0</v>
      </c>
      <c r="L297" s="440">
        <f t="shared" si="6"/>
        <v>0</v>
      </c>
      <c r="M297" s="441">
        <f>IF(AND(L297&gt;O297,O297&gt;0),MinPoints,IF(AND(L297&lt;N297,O297&gt;0),100,+INT((O297-$L297)/P297)+MinPoints))</f>
        <v>100</v>
      </c>
      <c r="N297" s="440">
        <f t="shared" si="7"/>
        <v>90</v>
      </c>
      <c r="O297" s="440">
        <f t="shared" si="8"/>
        <v>180</v>
      </c>
      <c r="P297" s="440">
        <f t="shared" si="9"/>
        <v>1</v>
      </c>
      <c r="Q297">
        <f t="array" ref="Q297">IF(I297&gt;0,INDEX(DB,I297,9),EventIndex)</f>
        <v>6</v>
      </c>
      <c r="S297">
        <f t="array" ref="S297">(INT(INDEX(MINVALUES,$Q297,$K$1))*60)+(MOD(INDEX(MINVALUES,$Q297,$K$1),1)*100)</f>
        <v>180</v>
      </c>
      <c r="T297">
        <f t="array" ref="T297">(INDEX(INCVALUES,$Q297,$K$1)*100)</f>
        <v>1</v>
      </c>
      <c r="V297">
        <f t="array" ref="V297">+J297+(4*(INDEX(MatchScoreTable,$Q297,20)-1))</f>
        <v>4</v>
      </c>
      <c r="W297">
        <f t="array" ref="W297">INDEX(INC_MINVALUES,$V297,$K$1)</f>
        <v>480</v>
      </c>
      <c r="X297" s="212">
        <f t="array" ref="X297">INDEX(INC_INCVALUES,$V297,$K$1)</f>
        <v>4</v>
      </c>
    </row>
    <row r="298" ht="15.75" customHeight="1">
      <c r="A298" s="435"/>
      <c r="B298" s="436"/>
      <c r="C298" s="95" t="str">
        <f t="array" ref="C298">IF(I298&gt;0,INDEX(DB,I298,8),"")</f>
        <v/>
      </c>
      <c r="D298" s="437">
        <f t="shared" si="1"/>
        <v>0</v>
      </c>
      <c r="F298" s="438">
        <f t="shared" si="2"/>
        <v>0</v>
      </c>
      <c r="G298" t="str">
        <f t="shared" si="3"/>
        <v/>
      </c>
      <c r="H298" t="b">
        <f t="shared" si="4"/>
        <v>0</v>
      </c>
      <c r="I298" s="439">
        <f>IF(OR(ISBLANK(A298),ISNA(MATCH(A298&amp;"",AthleteNumbers,0))),0,MATCH(A298&amp;"",AthleteNumbers,0))</f>
        <v>0</v>
      </c>
      <c r="J298" s="209">
        <f t="array" ref="J298">IF(I298&gt;0,INDEX(DB,$I298,6),0)</f>
        <v>0</v>
      </c>
      <c r="K298" s="446">
        <f t="shared" si="5"/>
        <v>0</v>
      </c>
      <c r="L298" s="440">
        <f t="shared" si="6"/>
        <v>0</v>
      </c>
      <c r="M298" s="441">
        <f>IF(AND(L298&gt;O298,O298&gt;0),MinPoints,IF(AND(L298&lt;N298,O298&gt;0),100,+INT((O298-$L298)/P298)+MinPoints))</f>
        <v>100</v>
      </c>
      <c r="N298" s="440">
        <f t="shared" si="7"/>
        <v>90</v>
      </c>
      <c r="O298" s="440">
        <f t="shared" si="8"/>
        <v>180</v>
      </c>
      <c r="P298" s="440">
        <f t="shared" si="9"/>
        <v>1</v>
      </c>
      <c r="Q298">
        <f t="array" ref="Q298">IF(I298&gt;0,INDEX(DB,I298,9),EventIndex)</f>
        <v>6</v>
      </c>
      <c r="S298">
        <f t="array" ref="S298">(INT(INDEX(MINVALUES,$Q298,$K$1))*60)+(MOD(INDEX(MINVALUES,$Q298,$K$1),1)*100)</f>
        <v>180</v>
      </c>
      <c r="T298">
        <f t="array" ref="T298">(INDEX(INCVALUES,$Q298,$K$1)*100)</f>
        <v>1</v>
      </c>
      <c r="V298">
        <f t="array" ref="V298">+J298+(4*(INDEX(MatchScoreTable,$Q298,20)-1))</f>
        <v>4</v>
      </c>
      <c r="W298">
        <f t="array" ref="W298">INDEX(INC_MINVALUES,$V298,$K$1)</f>
        <v>480</v>
      </c>
      <c r="X298" s="212">
        <f t="array" ref="X298">INDEX(INC_INCVALUES,$V298,$K$1)</f>
        <v>4</v>
      </c>
    </row>
    <row r="299" ht="15.75" customHeight="1">
      <c r="A299" s="435"/>
      <c r="B299" s="436"/>
      <c r="C299" s="95" t="str">
        <f t="array" ref="C299">IF(I299&gt;0,INDEX(DB,I299,8),"")</f>
        <v/>
      </c>
      <c r="D299" s="437">
        <f t="shared" si="1"/>
        <v>0</v>
      </c>
      <c r="F299" s="438">
        <f t="shared" si="2"/>
        <v>0</v>
      </c>
      <c r="G299" t="str">
        <f t="shared" si="3"/>
        <v/>
      </c>
      <c r="H299" t="b">
        <f t="shared" si="4"/>
        <v>0</v>
      </c>
      <c r="I299" s="439">
        <f>IF(OR(ISBLANK(A299),ISNA(MATCH(A299&amp;"",AthleteNumbers,0))),0,MATCH(A299&amp;"",AthleteNumbers,0))</f>
        <v>0</v>
      </c>
      <c r="J299" s="209">
        <f t="array" ref="J299">IF(I299&gt;0,INDEX(DB,$I299,6),0)</f>
        <v>0</v>
      </c>
      <c r="K299" s="446">
        <f t="shared" si="5"/>
        <v>0</v>
      </c>
      <c r="L299" s="440">
        <f t="shared" si="6"/>
        <v>0</v>
      </c>
      <c r="M299" s="441">
        <f>IF(AND(L299&gt;O299,O299&gt;0),MinPoints,IF(AND(L299&lt;N299,O299&gt;0),100,+INT((O299-$L299)/P299)+MinPoints))</f>
        <v>100</v>
      </c>
      <c r="N299" s="440">
        <f t="shared" si="7"/>
        <v>90</v>
      </c>
      <c r="O299" s="440">
        <f t="shared" si="8"/>
        <v>180</v>
      </c>
      <c r="P299" s="440">
        <f t="shared" si="9"/>
        <v>1</v>
      </c>
      <c r="Q299">
        <f t="array" ref="Q299">IF(I299&gt;0,INDEX(DB,I299,9),EventIndex)</f>
        <v>6</v>
      </c>
      <c r="S299">
        <f t="array" ref="S299">(INT(INDEX(MINVALUES,$Q299,$K$1))*60)+(MOD(INDEX(MINVALUES,$Q299,$K$1),1)*100)</f>
        <v>180</v>
      </c>
      <c r="T299">
        <f t="array" ref="T299">(INDEX(INCVALUES,$Q299,$K$1)*100)</f>
        <v>1</v>
      </c>
      <c r="V299">
        <f t="array" ref="V299">+J299+(4*(INDEX(MatchScoreTable,$Q299,20)-1))</f>
        <v>4</v>
      </c>
      <c r="W299">
        <f t="array" ref="W299">INDEX(INC_MINVALUES,$V299,$K$1)</f>
        <v>480</v>
      </c>
      <c r="X299" s="212">
        <f t="array" ref="X299">INDEX(INC_INCVALUES,$V299,$K$1)</f>
        <v>4</v>
      </c>
    </row>
    <row r="300" ht="15.75" customHeight="1">
      <c r="A300" s="435"/>
      <c r="B300" s="436"/>
      <c r="C300" s="95" t="str">
        <f t="array" ref="C300">IF(I300&gt;0,INDEX(DB,I300,8),"")</f>
        <v/>
      </c>
      <c r="D300" s="437">
        <f t="shared" si="1"/>
        <v>0</v>
      </c>
      <c r="F300" s="438">
        <f t="shared" si="2"/>
        <v>0</v>
      </c>
      <c r="G300" t="str">
        <f t="shared" si="3"/>
        <v/>
      </c>
      <c r="H300" t="b">
        <f t="shared" si="4"/>
        <v>0</v>
      </c>
      <c r="I300" s="439">
        <f>IF(OR(ISBLANK(A300),ISNA(MATCH(A300&amp;"",AthleteNumbers,0))),0,MATCH(A300&amp;"",AthleteNumbers,0))</f>
        <v>0</v>
      </c>
      <c r="J300" s="209">
        <f t="array" ref="J300">IF(I300&gt;0,INDEX(DB,$I300,6),0)</f>
        <v>0</v>
      </c>
      <c r="K300" s="446">
        <f t="shared" si="5"/>
        <v>0</v>
      </c>
      <c r="L300" s="440">
        <f t="shared" si="6"/>
        <v>0</v>
      </c>
      <c r="M300" s="441">
        <f>IF(AND(L300&gt;O300,O300&gt;0),MinPoints,IF(AND(L300&lt;N300,O300&gt;0),100,+INT((O300-$L300)/P300)+MinPoints))</f>
        <v>100</v>
      </c>
      <c r="N300" s="440">
        <f t="shared" si="7"/>
        <v>90</v>
      </c>
      <c r="O300" s="440">
        <f t="shared" si="8"/>
        <v>180</v>
      </c>
      <c r="P300" s="440">
        <f t="shared" si="9"/>
        <v>1</v>
      </c>
      <c r="Q300">
        <f t="array" ref="Q300">IF(I300&gt;0,INDEX(DB,I300,9),EventIndex)</f>
        <v>6</v>
      </c>
      <c r="S300">
        <f t="array" ref="S300">(INT(INDEX(MINVALUES,$Q300,$K$1))*60)+(MOD(INDEX(MINVALUES,$Q300,$K$1),1)*100)</f>
        <v>180</v>
      </c>
      <c r="T300">
        <f t="array" ref="T300">(INDEX(INCVALUES,$Q300,$K$1)*100)</f>
        <v>1</v>
      </c>
      <c r="V300">
        <f t="array" ref="V300">+J300+(4*(INDEX(MatchScoreTable,$Q300,20)-1))</f>
        <v>4</v>
      </c>
      <c r="W300">
        <f t="array" ref="W300">INDEX(INC_MINVALUES,$V300,$K$1)</f>
        <v>480</v>
      </c>
      <c r="X300" s="212">
        <f t="array" ref="X300">INDEX(INC_INCVALUES,$V300,$K$1)</f>
        <v>4</v>
      </c>
    </row>
    <row r="301" ht="15.75" customHeight="1">
      <c r="A301" s="435"/>
      <c r="B301" s="436"/>
      <c r="C301" s="95" t="str">
        <f t="array" ref="C301">IF(I301&gt;0,INDEX(DB,I301,8),"")</f>
        <v/>
      </c>
      <c r="D301" s="437">
        <f t="shared" si="1"/>
        <v>0</v>
      </c>
      <c r="F301" s="438">
        <f t="shared" si="2"/>
        <v>0</v>
      </c>
      <c r="G301" t="str">
        <f t="shared" si="3"/>
        <v/>
      </c>
      <c r="H301" t="b">
        <f t="shared" si="4"/>
        <v>0</v>
      </c>
      <c r="I301" s="439">
        <f>IF(OR(ISBLANK(A301),ISNA(MATCH(A301&amp;"",AthleteNumbers,0))),0,MATCH(A301&amp;"",AthleteNumbers,0))</f>
        <v>0</v>
      </c>
      <c r="J301" s="209">
        <f t="array" ref="J301">IF(I301&gt;0,INDEX(DB,$I301,6),0)</f>
        <v>0</v>
      </c>
      <c r="K301" s="446">
        <f t="shared" si="5"/>
        <v>0</v>
      </c>
      <c r="L301" s="440">
        <f t="shared" si="6"/>
        <v>0</v>
      </c>
      <c r="M301" s="441">
        <f>IF(AND(L301&gt;O301,O301&gt;0),MinPoints,IF(AND(L301&lt;N301,O301&gt;0),100,+INT((O301-$L301)/P301)+MinPoints))</f>
        <v>100</v>
      </c>
      <c r="N301" s="440">
        <f t="shared" si="7"/>
        <v>90</v>
      </c>
      <c r="O301" s="440">
        <f t="shared" si="8"/>
        <v>180</v>
      </c>
      <c r="P301" s="440">
        <f t="shared" si="9"/>
        <v>1</v>
      </c>
      <c r="Q301">
        <f t="array" ref="Q301">IF(I301&gt;0,INDEX(DB,I301,9),EventIndex)</f>
        <v>6</v>
      </c>
      <c r="S301">
        <f t="array" ref="S301">(INT(INDEX(MINVALUES,$Q301,$K$1))*60)+(MOD(INDEX(MINVALUES,$Q301,$K$1),1)*100)</f>
        <v>180</v>
      </c>
      <c r="T301">
        <f t="array" ref="T301">(INDEX(INCVALUES,$Q301,$K$1)*100)</f>
        <v>1</v>
      </c>
      <c r="V301">
        <f t="array" ref="V301">+J301+(4*(INDEX(MatchScoreTable,$Q301,20)-1))</f>
        <v>4</v>
      </c>
      <c r="W301">
        <f t="array" ref="W301">INDEX(INC_MINVALUES,$V301,$K$1)</f>
        <v>480</v>
      </c>
      <c r="X301" s="212">
        <f t="array" ref="X301">INDEX(INC_INCVALUES,$V301,$K$1)</f>
        <v>4</v>
      </c>
    </row>
    <row r="302" ht="15.75" customHeight="1">
      <c r="A302" s="435"/>
      <c r="B302" s="436"/>
      <c r="C302" s="95" t="str">
        <f t="array" ref="C302">IF(I302&gt;0,INDEX(DB,I302,8),"")</f>
        <v/>
      </c>
      <c r="D302" s="437">
        <f t="shared" si="1"/>
        <v>0</v>
      </c>
      <c r="F302" s="438">
        <f t="shared" si="2"/>
        <v>0</v>
      </c>
      <c r="G302" t="str">
        <f t="shared" si="3"/>
        <v/>
      </c>
      <c r="H302" t="b">
        <f t="shared" si="4"/>
        <v>0</v>
      </c>
      <c r="I302" s="439">
        <f>IF(OR(ISBLANK(A302),ISNA(MATCH(A302&amp;"",AthleteNumbers,0))),0,MATCH(A302&amp;"",AthleteNumbers,0))</f>
        <v>0</v>
      </c>
      <c r="J302" s="209">
        <f t="array" ref="J302">IF(I302&gt;0,INDEX(DB,$I302,6),0)</f>
        <v>0</v>
      </c>
      <c r="K302" s="446">
        <f t="shared" si="5"/>
        <v>0</v>
      </c>
      <c r="L302" s="440">
        <f t="shared" si="6"/>
        <v>0</v>
      </c>
      <c r="M302" s="441">
        <f>IF(AND(L302&gt;O302,O302&gt;0),MinPoints,IF(AND(L302&lt;N302,O302&gt;0),100,+INT((O302-$L302)/P302)+MinPoints))</f>
        <v>100</v>
      </c>
      <c r="N302" s="440">
        <f t="shared" si="7"/>
        <v>90</v>
      </c>
      <c r="O302" s="440">
        <f t="shared" si="8"/>
        <v>180</v>
      </c>
      <c r="P302" s="440">
        <f t="shared" si="9"/>
        <v>1</v>
      </c>
      <c r="Q302">
        <f t="array" ref="Q302">IF(I302&gt;0,INDEX(DB,I302,9),EventIndex)</f>
        <v>6</v>
      </c>
      <c r="S302">
        <f t="array" ref="S302">(INT(INDEX(MINVALUES,$Q302,$K$1))*60)+(MOD(INDEX(MINVALUES,$Q302,$K$1),1)*100)</f>
        <v>180</v>
      </c>
      <c r="T302">
        <f t="array" ref="T302">(INDEX(INCVALUES,$Q302,$K$1)*100)</f>
        <v>1</v>
      </c>
      <c r="V302">
        <f t="array" ref="V302">+J302+(4*(INDEX(MatchScoreTable,$Q302,20)-1))</f>
        <v>4</v>
      </c>
      <c r="W302">
        <f t="array" ref="W302">INDEX(INC_MINVALUES,$V302,$K$1)</f>
        <v>480</v>
      </c>
      <c r="X302" s="212">
        <f t="array" ref="X302">INDEX(INC_INCVALUES,$V302,$K$1)</f>
        <v>4</v>
      </c>
    </row>
    <row r="303" ht="15.75" customHeight="1">
      <c r="A303" s="435"/>
      <c r="B303" s="436"/>
      <c r="C303" s="95" t="str">
        <f t="array" ref="C303">IF(I303&gt;0,INDEX(DB,I303,8),"")</f>
        <v/>
      </c>
      <c r="D303" s="437">
        <f t="shared" si="1"/>
        <v>0</v>
      </c>
      <c r="F303" s="438">
        <f t="shared" si="2"/>
        <v>0</v>
      </c>
      <c r="G303" t="str">
        <f t="shared" si="3"/>
        <v/>
      </c>
      <c r="H303" t="b">
        <f t="shared" si="4"/>
        <v>0</v>
      </c>
      <c r="I303" s="439">
        <f>IF(OR(ISBLANK(A303),ISNA(MATCH(A303&amp;"",AthleteNumbers,0))),0,MATCH(A303&amp;"",AthleteNumbers,0))</f>
        <v>0</v>
      </c>
      <c r="J303" s="209">
        <f t="array" ref="J303">IF(I303&gt;0,INDEX(DB,$I303,6),0)</f>
        <v>0</v>
      </c>
      <c r="K303" s="446">
        <f t="shared" si="5"/>
        <v>0</v>
      </c>
      <c r="L303" s="440">
        <f t="shared" si="6"/>
        <v>0</v>
      </c>
      <c r="M303" s="441">
        <f>IF(AND(L303&gt;O303,O303&gt;0),MinPoints,IF(AND(L303&lt;N303,O303&gt;0),100,+INT((O303-$L303)/P303)+MinPoints))</f>
        <v>100</v>
      </c>
      <c r="N303" s="440">
        <f t="shared" si="7"/>
        <v>90</v>
      </c>
      <c r="O303" s="440">
        <f t="shared" si="8"/>
        <v>180</v>
      </c>
      <c r="P303" s="440">
        <f t="shared" si="9"/>
        <v>1</v>
      </c>
      <c r="Q303">
        <f t="array" ref="Q303">IF(I303&gt;0,INDEX(DB,I303,9),EventIndex)</f>
        <v>6</v>
      </c>
      <c r="S303">
        <f t="array" ref="S303">(INT(INDEX(MINVALUES,$Q303,$K$1))*60)+(MOD(INDEX(MINVALUES,$Q303,$K$1),1)*100)</f>
        <v>180</v>
      </c>
      <c r="T303">
        <f t="array" ref="T303">(INDEX(INCVALUES,$Q303,$K$1)*100)</f>
        <v>1</v>
      </c>
      <c r="V303">
        <f t="array" ref="V303">+J303+(4*(INDEX(MatchScoreTable,$Q303,20)-1))</f>
        <v>4</v>
      </c>
      <c r="W303">
        <f t="array" ref="W303">INDEX(INC_MINVALUES,$V303,$K$1)</f>
        <v>480</v>
      </c>
      <c r="X303" s="212">
        <f t="array" ref="X303">INDEX(INC_INCVALUES,$V303,$K$1)</f>
        <v>4</v>
      </c>
    </row>
    <row r="304" ht="15.75" customHeight="1">
      <c r="A304" s="435"/>
      <c r="B304" s="436"/>
      <c r="C304" s="95" t="str">
        <f t="array" ref="C304">IF(I304&gt;0,INDEX(DB,I304,8),"")</f>
        <v/>
      </c>
      <c r="D304" s="437">
        <f t="shared" si="1"/>
        <v>0</v>
      </c>
      <c r="F304" s="438">
        <f t="shared" si="2"/>
        <v>0</v>
      </c>
      <c r="G304" t="str">
        <f t="shared" si="3"/>
        <v/>
      </c>
      <c r="H304" t="b">
        <f t="shared" si="4"/>
        <v>0</v>
      </c>
      <c r="I304" s="439">
        <f>IF(OR(ISBLANK(A304),ISNA(MATCH(A304&amp;"",AthleteNumbers,0))),0,MATCH(A304&amp;"",AthleteNumbers,0))</f>
        <v>0</v>
      </c>
      <c r="J304" s="209">
        <f t="array" ref="J304">IF(I304&gt;0,INDEX(DB,$I304,6),0)</f>
        <v>0</v>
      </c>
      <c r="K304" s="446">
        <f t="shared" si="5"/>
        <v>0</v>
      </c>
      <c r="L304" s="440">
        <f t="shared" si="6"/>
        <v>0</v>
      </c>
      <c r="M304" s="441">
        <f>IF(AND(L304&gt;O304,O304&gt;0),MinPoints,IF(AND(L304&lt;N304,O304&gt;0),100,+INT((O304-$L304)/P304)+MinPoints))</f>
        <v>100</v>
      </c>
      <c r="N304" s="440">
        <f t="shared" si="7"/>
        <v>90</v>
      </c>
      <c r="O304" s="440">
        <f t="shared" si="8"/>
        <v>180</v>
      </c>
      <c r="P304" s="440">
        <f t="shared" si="9"/>
        <v>1</v>
      </c>
      <c r="Q304">
        <f t="array" ref="Q304">IF(I304&gt;0,INDEX(DB,I304,9),EventIndex)</f>
        <v>6</v>
      </c>
      <c r="S304">
        <f t="array" ref="S304">(INT(INDEX(MINVALUES,$Q304,$K$1))*60)+(MOD(INDEX(MINVALUES,$Q304,$K$1),1)*100)</f>
        <v>180</v>
      </c>
      <c r="T304">
        <f t="array" ref="T304">(INDEX(INCVALUES,$Q304,$K$1)*100)</f>
        <v>1</v>
      </c>
      <c r="V304">
        <f t="array" ref="V304">+J304+(4*(INDEX(MatchScoreTable,$Q304,20)-1))</f>
        <v>4</v>
      </c>
      <c r="W304">
        <f t="array" ref="W304">INDEX(INC_MINVALUES,$V304,$K$1)</f>
        <v>480</v>
      </c>
      <c r="X304" s="212">
        <f t="array" ref="X304">INDEX(INC_INCVALUES,$V304,$K$1)</f>
        <v>4</v>
      </c>
    </row>
    <row r="305" ht="15.75" customHeight="1">
      <c r="A305" s="435"/>
      <c r="B305" s="436"/>
      <c r="C305" s="95" t="str">
        <f t="array" ref="C305">IF(I305&gt;0,INDEX(DB,I305,8),"")</f>
        <v/>
      </c>
      <c r="D305" s="437">
        <f t="shared" si="1"/>
        <v>0</v>
      </c>
      <c r="F305" s="438">
        <f t="shared" si="2"/>
        <v>0</v>
      </c>
      <c r="G305" t="str">
        <f t="shared" si="3"/>
        <v/>
      </c>
      <c r="H305" t="b">
        <f t="shared" si="4"/>
        <v>0</v>
      </c>
      <c r="I305" s="439">
        <f>IF(OR(ISBLANK(A305),ISNA(MATCH(A305&amp;"",AthleteNumbers,0))),0,MATCH(A305&amp;"",AthleteNumbers,0))</f>
        <v>0</v>
      </c>
      <c r="J305" s="209">
        <f t="array" ref="J305">IF(I305&gt;0,INDEX(DB,$I305,6),0)</f>
        <v>0</v>
      </c>
      <c r="K305" s="446">
        <f t="shared" si="5"/>
        <v>0</v>
      </c>
      <c r="L305" s="440">
        <f t="shared" si="6"/>
        <v>0</v>
      </c>
      <c r="M305" s="441">
        <f>IF(AND(L305&gt;O305,O305&gt;0),MinPoints,IF(AND(L305&lt;N305,O305&gt;0),100,+INT((O305-$L305)/P305)+MinPoints))</f>
        <v>100</v>
      </c>
      <c r="N305" s="440">
        <f t="shared" si="7"/>
        <v>90</v>
      </c>
      <c r="O305" s="440">
        <f t="shared" si="8"/>
        <v>180</v>
      </c>
      <c r="P305" s="440">
        <f t="shared" si="9"/>
        <v>1</v>
      </c>
      <c r="Q305">
        <f t="array" ref="Q305">IF(I305&gt;0,INDEX(DB,I305,9),EventIndex)</f>
        <v>6</v>
      </c>
      <c r="S305">
        <f t="array" ref="S305">(INT(INDEX(MINVALUES,$Q305,$K$1))*60)+(MOD(INDEX(MINVALUES,$Q305,$K$1),1)*100)</f>
        <v>180</v>
      </c>
      <c r="T305">
        <f t="array" ref="T305">(INDEX(INCVALUES,$Q305,$K$1)*100)</f>
        <v>1</v>
      </c>
      <c r="V305">
        <f t="array" ref="V305">+J305+(4*(INDEX(MatchScoreTable,$Q305,20)-1))</f>
        <v>4</v>
      </c>
      <c r="W305">
        <f t="array" ref="W305">INDEX(INC_MINVALUES,$V305,$K$1)</f>
        <v>480</v>
      </c>
      <c r="X305" s="212">
        <f t="array" ref="X305">INDEX(INC_INCVALUES,$V305,$K$1)</f>
        <v>4</v>
      </c>
    </row>
    <row r="306" ht="15.75" customHeight="1">
      <c r="A306" s="435"/>
      <c r="B306" s="436"/>
      <c r="C306" s="95" t="str">
        <f t="array" ref="C306">IF(I306&gt;0,INDEX(DB,I306,8),"")</f>
        <v/>
      </c>
      <c r="D306" s="437">
        <f t="shared" si="1"/>
        <v>0</v>
      </c>
      <c r="F306" s="438">
        <f t="shared" si="2"/>
        <v>0</v>
      </c>
      <c r="G306" t="str">
        <f t="shared" si="3"/>
        <v/>
      </c>
      <c r="H306" t="b">
        <f t="shared" si="4"/>
        <v>0</v>
      </c>
      <c r="I306" s="439">
        <f>IF(OR(ISBLANK(A306),ISNA(MATCH(A306&amp;"",AthleteNumbers,0))),0,MATCH(A306&amp;"",AthleteNumbers,0))</f>
        <v>0</v>
      </c>
      <c r="J306" s="209">
        <f t="array" ref="J306">IF(I306&gt;0,INDEX(DB,$I306,6),0)</f>
        <v>0</v>
      </c>
      <c r="K306" s="446">
        <f t="shared" si="5"/>
        <v>0</v>
      </c>
      <c r="L306" s="440">
        <f t="shared" si="6"/>
        <v>0</v>
      </c>
      <c r="M306" s="441">
        <f>IF(AND(L306&gt;O306,O306&gt;0),MinPoints,IF(AND(L306&lt;N306,O306&gt;0),100,+INT((O306-$L306)/P306)+MinPoints))</f>
        <v>100</v>
      </c>
      <c r="N306" s="440">
        <f t="shared" si="7"/>
        <v>90</v>
      </c>
      <c r="O306" s="440">
        <f t="shared" si="8"/>
        <v>180</v>
      </c>
      <c r="P306" s="440">
        <f t="shared" si="9"/>
        <v>1</v>
      </c>
      <c r="Q306">
        <f t="array" ref="Q306">IF(I306&gt;0,INDEX(DB,I306,9),EventIndex)</f>
        <v>6</v>
      </c>
      <c r="S306">
        <f t="array" ref="S306">(INT(INDEX(MINVALUES,$Q306,$K$1))*60)+(MOD(INDEX(MINVALUES,$Q306,$K$1),1)*100)</f>
        <v>180</v>
      </c>
      <c r="T306">
        <f t="array" ref="T306">(INDEX(INCVALUES,$Q306,$K$1)*100)</f>
        <v>1</v>
      </c>
      <c r="V306">
        <f t="array" ref="V306">+J306+(4*(INDEX(MatchScoreTable,$Q306,20)-1))</f>
        <v>4</v>
      </c>
      <c r="W306">
        <f t="array" ref="W306">INDEX(INC_MINVALUES,$V306,$K$1)</f>
        <v>480</v>
      </c>
      <c r="X306" s="212">
        <f t="array" ref="X306">INDEX(INC_INCVALUES,$V306,$K$1)</f>
        <v>4</v>
      </c>
    </row>
    <row r="307" ht="15.75" customHeight="1">
      <c r="A307" s="435"/>
      <c r="B307" s="436"/>
      <c r="C307" s="95" t="str">
        <f t="array" ref="C307">IF(I307&gt;0,INDEX(DB,I307,8),"")</f>
        <v/>
      </c>
      <c r="D307" s="437">
        <f t="shared" si="1"/>
        <v>0</v>
      </c>
      <c r="F307" s="438">
        <f t="shared" si="2"/>
        <v>0</v>
      </c>
      <c r="G307" t="str">
        <f t="shared" si="3"/>
        <v/>
      </c>
      <c r="H307" t="b">
        <f t="shared" si="4"/>
        <v>0</v>
      </c>
      <c r="I307" s="439">
        <f>IF(OR(ISBLANK(A307),ISNA(MATCH(A307&amp;"",AthleteNumbers,0))),0,MATCH(A307&amp;"",AthleteNumbers,0))</f>
        <v>0</v>
      </c>
      <c r="J307" s="209">
        <f t="array" ref="J307">IF(I307&gt;0,INDEX(DB,$I307,6),0)</f>
        <v>0</v>
      </c>
      <c r="K307" s="446">
        <f t="shared" si="5"/>
        <v>0</v>
      </c>
      <c r="L307" s="440">
        <f t="shared" si="6"/>
        <v>0</v>
      </c>
      <c r="M307" s="441">
        <f>IF(AND(L307&gt;O307,O307&gt;0),MinPoints,IF(AND(L307&lt;N307,O307&gt;0),100,+INT((O307-$L307)/P307)+MinPoints))</f>
        <v>100</v>
      </c>
      <c r="N307" s="440">
        <f t="shared" si="7"/>
        <v>90</v>
      </c>
      <c r="O307" s="440">
        <f t="shared" si="8"/>
        <v>180</v>
      </c>
      <c r="P307" s="440">
        <f t="shared" si="9"/>
        <v>1</v>
      </c>
      <c r="Q307">
        <f t="array" ref="Q307">IF(I307&gt;0,INDEX(DB,I307,9),EventIndex)</f>
        <v>6</v>
      </c>
      <c r="S307">
        <f t="array" ref="S307">(INT(INDEX(MINVALUES,$Q307,$K$1))*60)+(MOD(INDEX(MINVALUES,$Q307,$K$1),1)*100)</f>
        <v>180</v>
      </c>
      <c r="T307">
        <f t="array" ref="T307">(INDEX(INCVALUES,$Q307,$K$1)*100)</f>
        <v>1</v>
      </c>
      <c r="V307">
        <f t="array" ref="V307">+J307+(4*(INDEX(MatchScoreTable,$Q307,20)-1))</f>
        <v>4</v>
      </c>
      <c r="W307">
        <f t="array" ref="W307">INDEX(INC_MINVALUES,$V307,$K$1)</f>
        <v>480</v>
      </c>
      <c r="X307" s="212">
        <f t="array" ref="X307">INDEX(INC_INCVALUES,$V307,$K$1)</f>
        <v>4</v>
      </c>
    </row>
    <row r="308" ht="15.75" customHeight="1">
      <c r="A308" s="435"/>
      <c r="B308" s="436"/>
      <c r="C308" s="95" t="str">
        <f t="array" ref="C308">IF(I308&gt;0,INDEX(DB,I308,8),"")</f>
        <v/>
      </c>
      <c r="D308" s="437">
        <f t="shared" si="1"/>
        <v>0</v>
      </c>
      <c r="F308" s="438">
        <f t="shared" si="2"/>
        <v>0</v>
      </c>
      <c r="G308" t="str">
        <f t="shared" si="3"/>
        <v/>
      </c>
      <c r="H308" t="b">
        <f t="shared" si="4"/>
        <v>0</v>
      </c>
      <c r="I308" s="439">
        <f>IF(OR(ISBLANK(A308),ISNA(MATCH(A308&amp;"",AthleteNumbers,0))),0,MATCH(A308&amp;"",AthleteNumbers,0))</f>
        <v>0</v>
      </c>
      <c r="J308" s="209">
        <f t="array" ref="J308">IF(I308&gt;0,INDEX(DB,$I308,6),0)</f>
        <v>0</v>
      </c>
      <c r="K308" s="446">
        <f t="shared" si="5"/>
        <v>0</v>
      </c>
      <c r="L308" s="440">
        <f t="shared" si="6"/>
        <v>0</v>
      </c>
      <c r="M308" s="441">
        <f>IF(AND(L308&gt;O308,O308&gt;0),MinPoints,IF(AND(L308&lt;N308,O308&gt;0),100,+INT((O308-$L308)/P308)+MinPoints))</f>
        <v>100</v>
      </c>
      <c r="N308" s="440">
        <f t="shared" si="7"/>
        <v>90</v>
      </c>
      <c r="O308" s="440">
        <f t="shared" si="8"/>
        <v>180</v>
      </c>
      <c r="P308" s="440">
        <f t="shared" si="9"/>
        <v>1</v>
      </c>
      <c r="Q308">
        <f t="array" ref="Q308">IF(I308&gt;0,INDEX(DB,I308,9),EventIndex)</f>
        <v>6</v>
      </c>
      <c r="S308">
        <f t="array" ref="S308">(INT(INDEX(MINVALUES,$Q308,$K$1))*60)+(MOD(INDEX(MINVALUES,$Q308,$K$1),1)*100)</f>
        <v>180</v>
      </c>
      <c r="T308">
        <f t="array" ref="T308">(INDEX(INCVALUES,$Q308,$K$1)*100)</f>
        <v>1</v>
      </c>
      <c r="V308">
        <f t="array" ref="V308">+J308+(4*(INDEX(MatchScoreTable,$Q308,20)-1))</f>
        <v>4</v>
      </c>
      <c r="W308">
        <f t="array" ref="W308">INDEX(INC_MINVALUES,$V308,$K$1)</f>
        <v>480</v>
      </c>
      <c r="X308" s="212">
        <f t="array" ref="X308">INDEX(INC_INCVALUES,$V308,$K$1)</f>
        <v>4</v>
      </c>
    </row>
    <row r="309" ht="15.75" customHeight="1">
      <c r="A309" s="435"/>
      <c r="B309" s="436"/>
      <c r="C309" s="95" t="str">
        <f t="array" ref="C309">IF(I309&gt;0,INDEX(DB,I309,8),"")</f>
        <v/>
      </c>
      <c r="D309" s="437">
        <f t="shared" si="1"/>
        <v>0</v>
      </c>
      <c r="F309" s="438">
        <f t="shared" si="2"/>
        <v>0</v>
      </c>
      <c r="G309" t="str">
        <f t="shared" si="3"/>
        <v/>
      </c>
      <c r="H309" t="b">
        <f t="shared" si="4"/>
        <v>0</v>
      </c>
      <c r="I309" s="439">
        <f>IF(OR(ISBLANK(A309),ISNA(MATCH(A309&amp;"",AthleteNumbers,0))),0,MATCH(A309&amp;"",AthleteNumbers,0))</f>
        <v>0</v>
      </c>
      <c r="J309" s="209">
        <f t="array" ref="J309">IF(I309&gt;0,INDEX(DB,$I309,6),0)</f>
        <v>0</v>
      </c>
      <c r="K309" s="446">
        <f t="shared" si="5"/>
        <v>0</v>
      </c>
      <c r="L309" s="440">
        <f t="shared" si="6"/>
        <v>0</v>
      </c>
      <c r="M309" s="441">
        <f>IF(AND(L309&gt;O309,O309&gt;0),MinPoints,IF(AND(L309&lt;N309,O309&gt;0),100,+INT((O309-$L309)/P309)+MinPoints))</f>
        <v>100</v>
      </c>
      <c r="N309" s="440">
        <f t="shared" si="7"/>
        <v>90</v>
      </c>
      <c r="O309" s="440">
        <f t="shared" si="8"/>
        <v>180</v>
      </c>
      <c r="P309" s="440">
        <f t="shared" si="9"/>
        <v>1</v>
      </c>
      <c r="Q309">
        <f t="array" ref="Q309">IF(I309&gt;0,INDEX(DB,I309,9),EventIndex)</f>
        <v>6</v>
      </c>
      <c r="S309">
        <f t="array" ref="S309">(INT(INDEX(MINVALUES,$Q309,$K$1))*60)+(MOD(INDEX(MINVALUES,$Q309,$K$1),1)*100)</f>
        <v>180</v>
      </c>
      <c r="T309">
        <f t="array" ref="T309">(INDEX(INCVALUES,$Q309,$K$1)*100)</f>
        <v>1</v>
      </c>
      <c r="V309">
        <f t="array" ref="V309">+J309+(4*(INDEX(MatchScoreTable,$Q309,20)-1))</f>
        <v>4</v>
      </c>
      <c r="W309">
        <f t="array" ref="W309">INDEX(INC_MINVALUES,$V309,$K$1)</f>
        <v>480</v>
      </c>
      <c r="X309" s="212">
        <f t="array" ref="X309">INDEX(INC_INCVALUES,$V309,$K$1)</f>
        <v>4</v>
      </c>
    </row>
    <row r="310" ht="15.75" customHeight="1">
      <c r="A310" s="435"/>
      <c r="B310" s="436"/>
      <c r="C310" s="95" t="str">
        <f t="array" ref="C310">IF(I310&gt;0,INDEX(DB,I310,8),"")</f>
        <v/>
      </c>
      <c r="D310" s="437">
        <f t="shared" si="1"/>
        <v>0</v>
      </c>
      <c r="F310" s="438">
        <f t="shared" si="2"/>
        <v>0</v>
      </c>
      <c r="G310" t="str">
        <f t="shared" si="3"/>
        <v/>
      </c>
      <c r="H310" t="b">
        <f t="shared" si="4"/>
        <v>0</v>
      </c>
      <c r="I310" s="439">
        <f>IF(OR(ISBLANK(A310),ISNA(MATCH(A310&amp;"",AthleteNumbers,0))),0,MATCH(A310&amp;"",AthleteNumbers,0))</f>
        <v>0</v>
      </c>
      <c r="J310" s="209">
        <f t="array" ref="J310">IF(I310&gt;0,INDEX(DB,$I310,6),0)</f>
        <v>0</v>
      </c>
      <c r="K310" s="446">
        <f t="shared" si="5"/>
        <v>0</v>
      </c>
      <c r="L310" s="440">
        <f t="shared" si="6"/>
        <v>0</v>
      </c>
      <c r="M310" s="441">
        <f>IF(AND(L310&gt;O310,O310&gt;0),MinPoints,IF(AND(L310&lt;N310,O310&gt;0),100,+INT((O310-$L310)/P310)+MinPoints))</f>
        <v>100</v>
      </c>
      <c r="N310" s="440">
        <f t="shared" si="7"/>
        <v>90</v>
      </c>
      <c r="O310" s="440">
        <f t="shared" si="8"/>
        <v>180</v>
      </c>
      <c r="P310" s="440">
        <f t="shared" si="9"/>
        <v>1</v>
      </c>
      <c r="Q310">
        <f t="array" ref="Q310">IF(I310&gt;0,INDEX(DB,I310,9),EventIndex)</f>
        <v>6</v>
      </c>
      <c r="S310">
        <f t="array" ref="S310">(INT(INDEX(MINVALUES,$Q310,$K$1))*60)+(MOD(INDEX(MINVALUES,$Q310,$K$1),1)*100)</f>
        <v>180</v>
      </c>
      <c r="T310">
        <f t="array" ref="T310">(INDEX(INCVALUES,$Q310,$K$1)*100)</f>
        <v>1</v>
      </c>
      <c r="V310">
        <f t="array" ref="V310">+J310+(4*(INDEX(MatchScoreTable,$Q310,20)-1))</f>
        <v>4</v>
      </c>
      <c r="W310">
        <f t="array" ref="W310">INDEX(INC_MINVALUES,$V310,$K$1)</f>
        <v>480</v>
      </c>
      <c r="X310" s="212">
        <f t="array" ref="X310">INDEX(INC_INCVALUES,$V310,$K$1)</f>
        <v>4</v>
      </c>
    </row>
    <row r="311" ht="15.75" customHeight="1">
      <c r="A311" s="435"/>
      <c r="B311" s="436"/>
      <c r="C311" s="95" t="str">
        <f t="array" ref="C311">IF(I311&gt;0,INDEX(DB,I311,8),"")</f>
        <v/>
      </c>
      <c r="D311" s="437">
        <f t="shared" si="1"/>
        <v>0</v>
      </c>
      <c r="F311" s="438">
        <f t="shared" si="2"/>
        <v>0</v>
      </c>
      <c r="G311" t="str">
        <f t="shared" si="3"/>
        <v/>
      </c>
      <c r="H311" t="b">
        <f t="shared" si="4"/>
        <v>0</v>
      </c>
      <c r="I311" s="439">
        <f>IF(OR(ISBLANK(A311),ISNA(MATCH(A311&amp;"",AthleteNumbers,0))),0,MATCH(A311&amp;"",AthleteNumbers,0))</f>
        <v>0</v>
      </c>
      <c r="J311" s="209">
        <f t="array" ref="J311">IF(I311&gt;0,INDEX(DB,$I311,6),0)</f>
        <v>0</v>
      </c>
      <c r="K311" s="446">
        <f t="shared" si="5"/>
        <v>0</v>
      </c>
      <c r="L311" s="440">
        <f t="shared" si="6"/>
        <v>0</v>
      </c>
      <c r="M311" s="441">
        <f>IF(AND(L311&gt;O311,O311&gt;0),MinPoints,IF(AND(L311&lt;N311,O311&gt;0),100,+INT((O311-$L311)/P311)+MinPoints))</f>
        <v>100</v>
      </c>
      <c r="N311" s="440">
        <f t="shared" si="7"/>
        <v>90</v>
      </c>
      <c r="O311" s="440">
        <f t="shared" si="8"/>
        <v>180</v>
      </c>
      <c r="P311" s="440">
        <f t="shared" si="9"/>
        <v>1</v>
      </c>
      <c r="Q311">
        <f t="array" ref="Q311">IF(I311&gt;0,INDEX(DB,I311,9),EventIndex)</f>
        <v>6</v>
      </c>
      <c r="S311">
        <f t="array" ref="S311">(INT(INDEX(MINVALUES,$Q311,$K$1))*60)+(MOD(INDEX(MINVALUES,$Q311,$K$1),1)*100)</f>
        <v>180</v>
      </c>
      <c r="T311">
        <f t="array" ref="T311">(INDEX(INCVALUES,$Q311,$K$1)*100)</f>
        <v>1</v>
      </c>
      <c r="V311">
        <f t="array" ref="V311">+J311+(4*(INDEX(MatchScoreTable,$Q311,20)-1))</f>
        <v>4</v>
      </c>
      <c r="W311">
        <f t="array" ref="W311">INDEX(INC_MINVALUES,$V311,$K$1)</f>
        <v>480</v>
      </c>
      <c r="X311" s="212">
        <f t="array" ref="X311">INDEX(INC_INCVALUES,$V311,$K$1)</f>
        <v>4</v>
      </c>
    </row>
    <row r="312" ht="15.75" customHeight="1">
      <c r="A312" s="435"/>
      <c r="B312" s="436"/>
      <c r="C312" s="95" t="str">
        <f t="array" ref="C312">IF(I312&gt;0,INDEX(DB,I312,8),"")</f>
        <v/>
      </c>
      <c r="D312" s="437">
        <f t="shared" si="1"/>
        <v>0</v>
      </c>
      <c r="F312" s="438">
        <f t="shared" si="2"/>
        <v>0</v>
      </c>
      <c r="G312" t="str">
        <f t="shared" si="3"/>
        <v/>
      </c>
      <c r="H312" t="b">
        <f t="shared" si="4"/>
        <v>0</v>
      </c>
      <c r="I312" s="439">
        <f>IF(OR(ISBLANK(A312),ISNA(MATCH(A312&amp;"",AthleteNumbers,0))),0,MATCH(A312&amp;"",AthleteNumbers,0))</f>
        <v>0</v>
      </c>
      <c r="J312" s="209">
        <f t="array" ref="J312">IF(I312&gt;0,INDEX(DB,$I312,6),0)</f>
        <v>0</v>
      </c>
      <c r="K312" s="446">
        <f t="shared" si="5"/>
        <v>0</v>
      </c>
      <c r="L312" s="440">
        <f t="shared" si="6"/>
        <v>0</v>
      </c>
      <c r="M312" s="441">
        <f>IF(AND(L312&gt;O312,O312&gt;0),MinPoints,IF(AND(L312&lt;N312,O312&gt;0),100,+INT((O312-$L312)/P312)+MinPoints))</f>
        <v>100</v>
      </c>
      <c r="N312" s="440">
        <f t="shared" si="7"/>
        <v>90</v>
      </c>
      <c r="O312" s="440">
        <f t="shared" si="8"/>
        <v>180</v>
      </c>
      <c r="P312" s="440">
        <f t="shared" si="9"/>
        <v>1</v>
      </c>
      <c r="Q312">
        <f t="array" ref="Q312">IF(I312&gt;0,INDEX(DB,I312,9),EventIndex)</f>
        <v>6</v>
      </c>
      <c r="S312">
        <f t="array" ref="S312">(INT(INDEX(MINVALUES,$Q312,$K$1))*60)+(MOD(INDEX(MINVALUES,$Q312,$K$1),1)*100)</f>
        <v>180</v>
      </c>
      <c r="T312">
        <f t="array" ref="T312">(INDEX(INCVALUES,$Q312,$K$1)*100)</f>
        <v>1</v>
      </c>
      <c r="V312">
        <f t="array" ref="V312">+J312+(4*(INDEX(MatchScoreTable,$Q312,20)-1))</f>
        <v>4</v>
      </c>
      <c r="W312">
        <f t="array" ref="W312">INDEX(INC_MINVALUES,$V312,$K$1)</f>
        <v>480</v>
      </c>
      <c r="X312" s="212">
        <f t="array" ref="X312">INDEX(INC_INCVALUES,$V312,$K$1)</f>
        <v>4</v>
      </c>
    </row>
    <row r="313" ht="15.75" customHeight="1">
      <c r="A313" s="435"/>
      <c r="B313" s="436"/>
      <c r="C313" s="95" t="str">
        <f t="array" ref="C313">IF(I313&gt;0,INDEX(DB,I313,8),"")</f>
        <v/>
      </c>
      <c r="D313" s="437">
        <f t="shared" si="1"/>
        <v>0</v>
      </c>
      <c r="F313" s="438">
        <f t="shared" si="2"/>
        <v>0</v>
      </c>
      <c r="G313" t="str">
        <f t="shared" si="3"/>
        <v/>
      </c>
      <c r="H313" t="b">
        <f t="shared" si="4"/>
        <v>0</v>
      </c>
      <c r="I313" s="439">
        <f>IF(OR(ISBLANK(A313),ISNA(MATCH(A313&amp;"",AthleteNumbers,0))),0,MATCH(A313&amp;"",AthleteNumbers,0))</f>
        <v>0</v>
      </c>
      <c r="J313" s="209">
        <f t="array" ref="J313">IF(I313&gt;0,INDEX(DB,$I313,6),0)</f>
        <v>0</v>
      </c>
      <c r="K313" s="446">
        <f t="shared" si="5"/>
        <v>0</v>
      </c>
      <c r="L313" s="440">
        <f t="shared" si="6"/>
        <v>0</v>
      </c>
      <c r="M313" s="441">
        <f>IF(AND(L313&gt;O313,O313&gt;0),MinPoints,IF(AND(L313&lt;N313,O313&gt;0),100,+INT((O313-$L313)/P313)+MinPoints))</f>
        <v>100</v>
      </c>
      <c r="N313" s="440">
        <f t="shared" si="7"/>
        <v>90</v>
      </c>
      <c r="O313" s="440">
        <f t="shared" si="8"/>
        <v>180</v>
      </c>
      <c r="P313" s="440">
        <f t="shared" si="9"/>
        <v>1</v>
      </c>
      <c r="Q313">
        <f t="array" ref="Q313">IF(I313&gt;0,INDEX(DB,I313,9),EventIndex)</f>
        <v>6</v>
      </c>
      <c r="S313">
        <f t="array" ref="S313">(INT(INDEX(MINVALUES,$Q313,$K$1))*60)+(MOD(INDEX(MINVALUES,$Q313,$K$1),1)*100)</f>
        <v>180</v>
      </c>
      <c r="T313">
        <f t="array" ref="T313">(INDEX(INCVALUES,$Q313,$K$1)*100)</f>
        <v>1</v>
      </c>
      <c r="V313">
        <f t="array" ref="V313">+J313+(4*(INDEX(MatchScoreTable,$Q313,20)-1))</f>
        <v>4</v>
      </c>
      <c r="W313">
        <f t="array" ref="W313">INDEX(INC_MINVALUES,$V313,$K$1)</f>
        <v>480</v>
      </c>
      <c r="X313" s="212">
        <f t="array" ref="X313">INDEX(INC_INCVALUES,$V313,$K$1)</f>
        <v>4</v>
      </c>
    </row>
    <row r="314" ht="15.75" customHeight="1">
      <c r="A314" s="435"/>
      <c r="B314" s="436"/>
      <c r="C314" s="95" t="str">
        <f t="array" ref="C314">IF(I314&gt;0,INDEX(DB,I314,8),"")</f>
        <v/>
      </c>
      <c r="D314" s="437">
        <f t="shared" si="1"/>
        <v>0</v>
      </c>
      <c r="F314" s="438">
        <f t="shared" si="2"/>
        <v>0</v>
      </c>
      <c r="G314" t="str">
        <f t="shared" si="3"/>
        <v/>
      </c>
      <c r="H314" t="b">
        <f t="shared" si="4"/>
        <v>0</v>
      </c>
      <c r="I314" s="439">
        <f>IF(OR(ISBLANK(A314),ISNA(MATCH(A314&amp;"",AthleteNumbers,0))),0,MATCH(A314&amp;"",AthleteNumbers,0))</f>
        <v>0</v>
      </c>
      <c r="J314" s="209">
        <f t="array" ref="J314">IF(I314&gt;0,INDEX(DB,$I314,6),0)</f>
        <v>0</v>
      </c>
      <c r="K314" s="446">
        <f t="shared" si="5"/>
        <v>0</v>
      </c>
      <c r="L314" s="440">
        <f t="shared" si="6"/>
        <v>0</v>
      </c>
      <c r="M314" s="441">
        <f>IF(AND(L314&gt;O314,O314&gt;0),MinPoints,IF(AND(L314&lt;N314,O314&gt;0),100,+INT((O314-$L314)/P314)+MinPoints))</f>
        <v>100</v>
      </c>
      <c r="N314" s="440">
        <f t="shared" si="7"/>
        <v>90</v>
      </c>
      <c r="O314" s="440">
        <f t="shared" si="8"/>
        <v>180</v>
      </c>
      <c r="P314" s="440">
        <f t="shared" si="9"/>
        <v>1</v>
      </c>
      <c r="Q314">
        <f t="array" ref="Q314">IF(I314&gt;0,INDEX(DB,I314,9),EventIndex)</f>
        <v>6</v>
      </c>
      <c r="S314">
        <f t="array" ref="S314">(INT(INDEX(MINVALUES,$Q314,$K$1))*60)+(MOD(INDEX(MINVALUES,$Q314,$K$1),1)*100)</f>
        <v>180</v>
      </c>
      <c r="T314">
        <f t="array" ref="T314">(INDEX(INCVALUES,$Q314,$K$1)*100)</f>
        <v>1</v>
      </c>
      <c r="V314">
        <f t="array" ref="V314">+J314+(4*(INDEX(MatchScoreTable,$Q314,20)-1))</f>
        <v>4</v>
      </c>
      <c r="W314">
        <f t="array" ref="W314">INDEX(INC_MINVALUES,$V314,$K$1)</f>
        <v>480</v>
      </c>
      <c r="X314" s="212">
        <f t="array" ref="X314">INDEX(INC_INCVALUES,$V314,$K$1)</f>
        <v>4</v>
      </c>
    </row>
    <row r="315" ht="15.75" customHeight="1">
      <c r="A315" s="435"/>
      <c r="B315" s="436"/>
      <c r="C315" s="95" t="str">
        <f t="array" ref="C315">IF(I315&gt;0,INDEX(DB,I315,8),"")</f>
        <v/>
      </c>
      <c r="D315" s="437">
        <f t="shared" si="1"/>
        <v>0</v>
      </c>
      <c r="F315" s="438">
        <f t="shared" si="2"/>
        <v>0</v>
      </c>
      <c r="G315" t="str">
        <f t="shared" si="3"/>
        <v/>
      </c>
      <c r="H315" t="b">
        <f t="shared" si="4"/>
        <v>0</v>
      </c>
      <c r="I315" s="439">
        <f>IF(OR(ISBLANK(A315),ISNA(MATCH(A315&amp;"",AthleteNumbers,0))),0,MATCH(A315&amp;"",AthleteNumbers,0))</f>
        <v>0</v>
      </c>
      <c r="J315" s="209">
        <f t="array" ref="J315">IF(I315&gt;0,INDEX(DB,$I315,6),0)</f>
        <v>0</v>
      </c>
      <c r="K315" s="446">
        <f t="shared" si="5"/>
        <v>0</v>
      </c>
      <c r="L315" s="440">
        <f t="shared" si="6"/>
        <v>0</v>
      </c>
      <c r="M315" s="441">
        <f>IF(AND(L315&gt;O315,O315&gt;0),MinPoints,IF(AND(L315&lt;N315,O315&gt;0),100,+INT((O315-$L315)/P315)+MinPoints))</f>
        <v>100</v>
      </c>
      <c r="N315" s="440">
        <f t="shared" si="7"/>
        <v>90</v>
      </c>
      <c r="O315" s="440">
        <f t="shared" si="8"/>
        <v>180</v>
      </c>
      <c r="P315" s="440">
        <f t="shared" si="9"/>
        <v>1</v>
      </c>
      <c r="Q315">
        <f t="array" ref="Q315">IF(I315&gt;0,INDEX(DB,I315,9),EventIndex)</f>
        <v>6</v>
      </c>
      <c r="S315">
        <f t="array" ref="S315">(INT(INDEX(MINVALUES,$Q315,$K$1))*60)+(MOD(INDEX(MINVALUES,$Q315,$K$1),1)*100)</f>
        <v>180</v>
      </c>
      <c r="T315">
        <f t="array" ref="T315">(INDEX(INCVALUES,$Q315,$K$1)*100)</f>
        <v>1</v>
      </c>
      <c r="V315">
        <f t="array" ref="V315">+J315+(4*(INDEX(MatchScoreTable,$Q315,20)-1))</f>
        <v>4</v>
      </c>
      <c r="W315">
        <f t="array" ref="W315">INDEX(INC_MINVALUES,$V315,$K$1)</f>
        <v>480</v>
      </c>
      <c r="X315" s="212">
        <f t="array" ref="X315">INDEX(INC_INCVALUES,$V315,$K$1)</f>
        <v>4</v>
      </c>
    </row>
    <row r="316" ht="15.75" customHeight="1">
      <c r="A316" s="435"/>
      <c r="B316" s="436"/>
      <c r="C316" s="95" t="str">
        <f t="array" ref="C316">IF(I316&gt;0,INDEX(DB,I316,8),"")</f>
        <v/>
      </c>
      <c r="D316" s="437">
        <f t="shared" si="1"/>
        <v>0</v>
      </c>
      <c r="F316" s="438">
        <f t="shared" si="2"/>
        <v>0</v>
      </c>
      <c r="G316" t="str">
        <f t="shared" si="3"/>
        <v/>
      </c>
      <c r="H316" t="b">
        <f t="shared" si="4"/>
        <v>0</v>
      </c>
      <c r="I316" s="439">
        <f>IF(OR(ISBLANK(A316),ISNA(MATCH(A316&amp;"",AthleteNumbers,0))),0,MATCH(A316&amp;"",AthleteNumbers,0))</f>
        <v>0</v>
      </c>
      <c r="J316" s="209">
        <f t="array" ref="J316">IF(I316&gt;0,INDEX(DB,$I316,6),0)</f>
        <v>0</v>
      </c>
      <c r="K316" s="446">
        <f t="shared" si="5"/>
        <v>0</v>
      </c>
      <c r="L316" s="440">
        <f t="shared" si="6"/>
        <v>0</v>
      </c>
      <c r="M316" s="441">
        <f>IF(AND(L316&gt;O316,O316&gt;0),MinPoints,IF(AND(L316&lt;N316,O316&gt;0),100,+INT((O316-$L316)/P316)+MinPoints))</f>
        <v>100</v>
      </c>
      <c r="N316" s="440">
        <f t="shared" si="7"/>
        <v>90</v>
      </c>
      <c r="O316" s="440">
        <f t="shared" si="8"/>
        <v>180</v>
      </c>
      <c r="P316" s="440">
        <f t="shared" si="9"/>
        <v>1</v>
      </c>
      <c r="Q316">
        <f t="array" ref="Q316">IF(I316&gt;0,INDEX(DB,I316,9),EventIndex)</f>
        <v>6</v>
      </c>
      <c r="S316">
        <f t="array" ref="S316">(INT(INDEX(MINVALUES,$Q316,$K$1))*60)+(MOD(INDEX(MINVALUES,$Q316,$K$1),1)*100)</f>
        <v>180</v>
      </c>
      <c r="T316">
        <f t="array" ref="T316">(INDEX(INCVALUES,$Q316,$K$1)*100)</f>
        <v>1</v>
      </c>
      <c r="V316">
        <f t="array" ref="V316">+J316+(4*(INDEX(MatchScoreTable,$Q316,20)-1))</f>
        <v>4</v>
      </c>
      <c r="W316">
        <f t="array" ref="W316">INDEX(INC_MINVALUES,$V316,$K$1)</f>
        <v>480</v>
      </c>
      <c r="X316" s="212">
        <f t="array" ref="X316">INDEX(INC_INCVALUES,$V316,$K$1)</f>
        <v>4</v>
      </c>
    </row>
    <row r="317" ht="15.75" customHeight="1">
      <c r="A317" s="435"/>
      <c r="B317" s="436"/>
      <c r="C317" s="95" t="str">
        <f t="array" ref="C317">IF(I317&gt;0,INDEX(DB,I317,8),"")</f>
        <v/>
      </c>
      <c r="D317" s="437">
        <f t="shared" si="1"/>
        <v>0</v>
      </c>
      <c r="F317" s="438">
        <f t="shared" si="2"/>
        <v>0</v>
      </c>
      <c r="G317" t="str">
        <f t="shared" si="3"/>
        <v/>
      </c>
      <c r="H317" t="b">
        <f t="shared" si="4"/>
        <v>0</v>
      </c>
      <c r="I317" s="439">
        <f>IF(OR(ISBLANK(A317),ISNA(MATCH(A317&amp;"",AthleteNumbers,0))),0,MATCH(A317&amp;"",AthleteNumbers,0))</f>
        <v>0</v>
      </c>
      <c r="J317" s="209">
        <f t="array" ref="J317">IF(I317&gt;0,INDEX(DB,$I317,6),0)</f>
        <v>0</v>
      </c>
      <c r="K317" s="446">
        <f t="shared" si="5"/>
        <v>0</v>
      </c>
      <c r="L317" s="440">
        <f t="shared" si="6"/>
        <v>0</v>
      </c>
      <c r="M317" s="441">
        <f>IF(AND(L317&gt;O317,O317&gt;0),MinPoints,IF(AND(L317&lt;N317,O317&gt;0),100,+INT((O317-$L317)/P317)+MinPoints))</f>
        <v>100</v>
      </c>
      <c r="N317" s="440">
        <f t="shared" si="7"/>
        <v>90</v>
      </c>
      <c r="O317" s="440">
        <f t="shared" si="8"/>
        <v>180</v>
      </c>
      <c r="P317" s="440">
        <f t="shared" si="9"/>
        <v>1</v>
      </c>
      <c r="Q317">
        <f t="array" ref="Q317">IF(I317&gt;0,INDEX(DB,I317,9),EventIndex)</f>
        <v>6</v>
      </c>
      <c r="S317">
        <f t="array" ref="S317">(INT(INDEX(MINVALUES,$Q317,$K$1))*60)+(MOD(INDEX(MINVALUES,$Q317,$K$1),1)*100)</f>
        <v>180</v>
      </c>
      <c r="T317">
        <f t="array" ref="T317">(INDEX(INCVALUES,$Q317,$K$1)*100)</f>
        <v>1</v>
      </c>
      <c r="V317">
        <f t="array" ref="V317">+J317+(4*(INDEX(MatchScoreTable,$Q317,20)-1))</f>
        <v>4</v>
      </c>
      <c r="W317">
        <f t="array" ref="W317">INDEX(INC_MINVALUES,$V317,$K$1)</f>
        <v>480</v>
      </c>
      <c r="X317" s="212">
        <f t="array" ref="X317">INDEX(INC_INCVALUES,$V317,$K$1)</f>
        <v>4</v>
      </c>
    </row>
    <row r="318" ht="15.75" customHeight="1">
      <c r="A318" s="435"/>
      <c r="B318" s="436"/>
      <c r="C318" s="95" t="str">
        <f t="array" ref="C318">IF(I318&gt;0,INDEX(DB,I318,8),"")</f>
        <v/>
      </c>
      <c r="D318" s="437">
        <f t="shared" si="1"/>
        <v>0</v>
      </c>
      <c r="F318" s="438">
        <f t="shared" si="2"/>
        <v>0</v>
      </c>
      <c r="G318" t="str">
        <f t="shared" si="3"/>
        <v/>
      </c>
      <c r="H318" t="b">
        <f t="shared" si="4"/>
        <v>0</v>
      </c>
      <c r="I318" s="439">
        <f>IF(OR(ISBLANK(A318),ISNA(MATCH(A318&amp;"",AthleteNumbers,0))),0,MATCH(A318&amp;"",AthleteNumbers,0))</f>
        <v>0</v>
      </c>
      <c r="J318" s="209">
        <f t="array" ref="J318">IF(I318&gt;0,INDEX(DB,$I318,6),0)</f>
        <v>0</v>
      </c>
      <c r="K318" s="446">
        <f t="shared" si="5"/>
        <v>0</v>
      </c>
      <c r="L318" s="440">
        <f t="shared" si="6"/>
        <v>0</v>
      </c>
      <c r="M318" s="441">
        <f>IF(AND(L318&gt;O318,O318&gt;0),MinPoints,IF(AND(L318&lt;N318,O318&gt;0),100,+INT((O318-$L318)/P318)+MinPoints))</f>
        <v>100</v>
      </c>
      <c r="N318" s="440">
        <f t="shared" si="7"/>
        <v>90</v>
      </c>
      <c r="O318" s="440">
        <f t="shared" si="8"/>
        <v>180</v>
      </c>
      <c r="P318" s="440">
        <f t="shared" si="9"/>
        <v>1</v>
      </c>
      <c r="Q318">
        <f t="array" ref="Q318">IF(I318&gt;0,INDEX(DB,I318,9),EventIndex)</f>
        <v>6</v>
      </c>
      <c r="S318">
        <f t="array" ref="S318">(INT(INDEX(MINVALUES,$Q318,$K$1))*60)+(MOD(INDEX(MINVALUES,$Q318,$K$1),1)*100)</f>
        <v>180</v>
      </c>
      <c r="T318">
        <f t="array" ref="T318">(INDEX(INCVALUES,$Q318,$K$1)*100)</f>
        <v>1</v>
      </c>
      <c r="V318">
        <f t="array" ref="V318">+J318+(4*(INDEX(MatchScoreTable,$Q318,20)-1))</f>
        <v>4</v>
      </c>
      <c r="W318">
        <f t="array" ref="W318">INDEX(INC_MINVALUES,$V318,$K$1)</f>
        <v>480</v>
      </c>
      <c r="X318" s="212">
        <f t="array" ref="X318">INDEX(INC_INCVALUES,$V318,$K$1)</f>
        <v>4</v>
      </c>
    </row>
    <row r="319" ht="15.75" customHeight="1">
      <c r="A319" s="435"/>
      <c r="B319" s="436"/>
      <c r="C319" s="95" t="str">
        <f t="array" ref="C319">IF(I319&gt;0,INDEX(DB,I319,8),"")</f>
        <v/>
      </c>
      <c r="D319" s="437">
        <f t="shared" si="1"/>
        <v>0</v>
      </c>
      <c r="F319" s="438">
        <f t="shared" si="2"/>
        <v>0</v>
      </c>
      <c r="G319" t="str">
        <f t="shared" si="3"/>
        <v/>
      </c>
      <c r="H319" t="b">
        <f t="shared" si="4"/>
        <v>0</v>
      </c>
      <c r="I319" s="439">
        <f>IF(OR(ISBLANK(A319),ISNA(MATCH(A319&amp;"",AthleteNumbers,0))),0,MATCH(A319&amp;"",AthleteNumbers,0))</f>
        <v>0</v>
      </c>
      <c r="J319" s="209">
        <f t="array" ref="J319">IF(I319&gt;0,INDEX(DB,$I319,6),0)</f>
        <v>0</v>
      </c>
      <c r="K319" s="446">
        <f t="shared" si="5"/>
        <v>0</v>
      </c>
      <c r="L319" s="440">
        <f t="shared" si="6"/>
        <v>0</v>
      </c>
      <c r="M319" s="441">
        <f>IF(AND(L319&gt;O319,O319&gt;0),MinPoints,IF(AND(L319&lt;N319,O319&gt;0),100,+INT((O319-$L319)/P319)+MinPoints))</f>
        <v>100</v>
      </c>
      <c r="N319" s="440">
        <f t="shared" si="7"/>
        <v>90</v>
      </c>
      <c r="O319" s="440">
        <f t="shared" si="8"/>
        <v>180</v>
      </c>
      <c r="P319" s="440">
        <f t="shared" si="9"/>
        <v>1</v>
      </c>
      <c r="Q319">
        <f t="array" ref="Q319">IF(I319&gt;0,INDEX(DB,I319,9),EventIndex)</f>
        <v>6</v>
      </c>
      <c r="S319">
        <f t="array" ref="S319">(INT(INDEX(MINVALUES,$Q319,$K$1))*60)+(MOD(INDEX(MINVALUES,$Q319,$K$1),1)*100)</f>
        <v>180</v>
      </c>
      <c r="T319">
        <f t="array" ref="T319">(INDEX(INCVALUES,$Q319,$K$1)*100)</f>
        <v>1</v>
      </c>
      <c r="V319">
        <f t="array" ref="V319">+J319+(4*(INDEX(MatchScoreTable,$Q319,20)-1))</f>
        <v>4</v>
      </c>
      <c r="W319">
        <f t="array" ref="W319">INDEX(INC_MINVALUES,$V319,$K$1)</f>
        <v>480</v>
      </c>
      <c r="X319" s="212">
        <f t="array" ref="X319">INDEX(INC_INCVALUES,$V319,$K$1)</f>
        <v>4</v>
      </c>
    </row>
    <row r="320" ht="15.75" customHeight="1">
      <c r="A320" s="435"/>
      <c r="B320" s="436"/>
      <c r="C320" s="95" t="str">
        <f t="array" ref="C320">IF(I320&gt;0,INDEX(DB,I320,8),"")</f>
        <v/>
      </c>
      <c r="D320" s="437">
        <f t="shared" si="1"/>
        <v>0</v>
      </c>
      <c r="F320" s="438">
        <f t="shared" si="2"/>
        <v>0</v>
      </c>
      <c r="G320" t="str">
        <f t="shared" si="3"/>
        <v/>
      </c>
      <c r="H320" t="b">
        <f t="shared" si="4"/>
        <v>0</v>
      </c>
      <c r="I320" s="439">
        <f>IF(OR(ISBLANK(A320),ISNA(MATCH(A320&amp;"",AthleteNumbers,0))),0,MATCH(A320&amp;"",AthleteNumbers,0))</f>
        <v>0</v>
      </c>
      <c r="J320" s="209">
        <f t="array" ref="J320">IF(I320&gt;0,INDEX(DB,$I320,6),0)</f>
        <v>0</v>
      </c>
      <c r="K320" s="446">
        <f t="shared" si="5"/>
        <v>0</v>
      </c>
      <c r="L320" s="440">
        <f t="shared" si="6"/>
        <v>0</v>
      </c>
      <c r="M320" s="441">
        <f>IF(AND(L320&gt;O320,O320&gt;0),MinPoints,IF(AND(L320&lt;N320,O320&gt;0),100,+INT((O320-$L320)/P320)+MinPoints))</f>
        <v>100</v>
      </c>
      <c r="N320" s="440">
        <f t="shared" si="7"/>
        <v>90</v>
      </c>
      <c r="O320" s="440">
        <f t="shared" si="8"/>
        <v>180</v>
      </c>
      <c r="P320" s="440">
        <f t="shared" si="9"/>
        <v>1</v>
      </c>
      <c r="Q320">
        <f t="array" ref="Q320">IF(I320&gt;0,INDEX(DB,I320,9),EventIndex)</f>
        <v>6</v>
      </c>
      <c r="S320">
        <f t="array" ref="S320">(INT(INDEX(MINVALUES,$Q320,$K$1))*60)+(MOD(INDEX(MINVALUES,$Q320,$K$1),1)*100)</f>
        <v>180</v>
      </c>
      <c r="T320">
        <f t="array" ref="T320">(INDEX(INCVALUES,$Q320,$K$1)*100)</f>
        <v>1</v>
      </c>
      <c r="V320">
        <f t="array" ref="V320">+J320+(4*(INDEX(MatchScoreTable,$Q320,20)-1))</f>
        <v>4</v>
      </c>
      <c r="W320">
        <f t="array" ref="W320">INDEX(INC_MINVALUES,$V320,$K$1)</f>
        <v>480</v>
      </c>
      <c r="X320" s="212">
        <f t="array" ref="X320">INDEX(INC_INCVALUES,$V320,$K$1)</f>
        <v>4</v>
      </c>
    </row>
    <row r="321" ht="15.75" customHeight="1">
      <c r="A321" s="435"/>
      <c r="B321" s="436"/>
      <c r="C321" s="95" t="str">
        <f t="array" ref="C321">IF(I321&gt;0,INDEX(DB,I321,8),"")</f>
        <v/>
      </c>
      <c r="D321" s="437">
        <f t="shared" si="1"/>
        <v>0</v>
      </c>
      <c r="F321" s="438">
        <f t="shared" si="2"/>
        <v>0</v>
      </c>
      <c r="G321" t="str">
        <f t="shared" si="3"/>
        <v/>
      </c>
      <c r="H321" t="b">
        <f t="shared" si="4"/>
        <v>0</v>
      </c>
      <c r="I321" s="439">
        <f>IF(OR(ISBLANK(A321),ISNA(MATCH(A321&amp;"",AthleteNumbers,0))),0,MATCH(A321&amp;"",AthleteNumbers,0))</f>
        <v>0</v>
      </c>
      <c r="J321" s="209">
        <f t="array" ref="J321">IF(I321&gt;0,INDEX(DB,$I321,6),0)</f>
        <v>0</v>
      </c>
      <c r="K321" s="446">
        <f t="shared" si="5"/>
        <v>0</v>
      </c>
      <c r="L321" s="440">
        <f t="shared" si="6"/>
        <v>0</v>
      </c>
      <c r="M321" s="441">
        <f>IF(AND(L321&gt;O321,O321&gt;0),MinPoints,IF(AND(L321&lt;N321,O321&gt;0),100,+INT((O321-$L321)/P321)+MinPoints))</f>
        <v>100</v>
      </c>
      <c r="N321" s="440">
        <f t="shared" si="7"/>
        <v>90</v>
      </c>
      <c r="O321" s="440">
        <f t="shared" si="8"/>
        <v>180</v>
      </c>
      <c r="P321" s="440">
        <f t="shared" si="9"/>
        <v>1</v>
      </c>
      <c r="Q321">
        <f t="array" ref="Q321">IF(I321&gt;0,INDEX(DB,I321,9),EventIndex)</f>
        <v>6</v>
      </c>
      <c r="S321">
        <f t="array" ref="S321">(INT(INDEX(MINVALUES,$Q321,$K$1))*60)+(MOD(INDEX(MINVALUES,$Q321,$K$1),1)*100)</f>
        <v>180</v>
      </c>
      <c r="T321">
        <f t="array" ref="T321">(INDEX(INCVALUES,$Q321,$K$1)*100)</f>
        <v>1</v>
      </c>
      <c r="V321">
        <f t="array" ref="V321">+J321+(4*(INDEX(MatchScoreTable,$Q321,20)-1))</f>
        <v>4</v>
      </c>
      <c r="W321">
        <f t="array" ref="W321">INDEX(INC_MINVALUES,$V321,$K$1)</f>
        <v>480</v>
      </c>
      <c r="X321" s="212">
        <f t="array" ref="X321">INDEX(INC_INCVALUES,$V321,$K$1)</f>
        <v>4</v>
      </c>
    </row>
    <row r="322" ht="15.75" customHeight="1">
      <c r="A322" s="435"/>
      <c r="B322" s="436"/>
      <c r="C322" s="95" t="str">
        <f t="array" ref="C322">IF(I322&gt;0,INDEX(DB,I322,8),"")</f>
        <v/>
      </c>
      <c r="D322" s="437">
        <f t="shared" si="1"/>
        <v>0</v>
      </c>
      <c r="F322" s="438">
        <f t="shared" si="2"/>
        <v>0</v>
      </c>
      <c r="G322" t="str">
        <f t="shared" si="3"/>
        <v/>
      </c>
      <c r="H322" t="b">
        <f t="shared" si="4"/>
        <v>0</v>
      </c>
      <c r="I322" s="439">
        <f>IF(OR(ISBLANK(A322),ISNA(MATCH(A322&amp;"",AthleteNumbers,0))),0,MATCH(A322&amp;"",AthleteNumbers,0))</f>
        <v>0</v>
      </c>
      <c r="J322" s="209">
        <f t="array" ref="J322">IF(I322&gt;0,INDEX(DB,$I322,6),0)</f>
        <v>0</v>
      </c>
      <c r="K322" s="446">
        <f t="shared" si="5"/>
        <v>0</v>
      </c>
      <c r="L322" s="440">
        <f t="shared" si="6"/>
        <v>0</v>
      </c>
      <c r="M322" s="441">
        <f>IF(AND(L322&gt;O322,O322&gt;0),MinPoints,IF(AND(L322&lt;N322,O322&gt;0),100,+INT((O322-$L322)/P322)+MinPoints))</f>
        <v>100</v>
      </c>
      <c r="N322" s="440">
        <f t="shared" si="7"/>
        <v>90</v>
      </c>
      <c r="O322" s="440">
        <f t="shared" si="8"/>
        <v>180</v>
      </c>
      <c r="P322" s="440">
        <f t="shared" si="9"/>
        <v>1</v>
      </c>
      <c r="Q322">
        <f t="array" ref="Q322">IF(I322&gt;0,INDEX(DB,I322,9),EventIndex)</f>
        <v>6</v>
      </c>
      <c r="S322">
        <f t="array" ref="S322">(INT(INDEX(MINVALUES,$Q322,$K$1))*60)+(MOD(INDEX(MINVALUES,$Q322,$K$1),1)*100)</f>
        <v>180</v>
      </c>
      <c r="T322">
        <f t="array" ref="T322">(INDEX(INCVALUES,$Q322,$K$1)*100)</f>
        <v>1</v>
      </c>
      <c r="V322">
        <f t="array" ref="V322">+J322+(4*(INDEX(MatchScoreTable,$Q322,20)-1))</f>
        <v>4</v>
      </c>
      <c r="W322">
        <f t="array" ref="W322">INDEX(INC_MINVALUES,$V322,$K$1)</f>
        <v>480</v>
      </c>
      <c r="X322" s="212">
        <f t="array" ref="X322">INDEX(INC_INCVALUES,$V322,$K$1)</f>
        <v>4</v>
      </c>
    </row>
    <row r="323" ht="15.75" customHeight="1">
      <c r="A323" s="435"/>
      <c r="B323" s="436"/>
      <c r="C323" s="95" t="str">
        <f t="array" ref="C323">IF(I323&gt;0,INDEX(DB,I323,8),"")</f>
        <v/>
      </c>
      <c r="D323" s="437">
        <f t="shared" si="1"/>
        <v>0</v>
      </c>
      <c r="F323" s="438">
        <f t="shared" si="2"/>
        <v>0</v>
      </c>
      <c r="G323" t="str">
        <f t="shared" si="3"/>
        <v/>
      </c>
      <c r="H323" t="b">
        <f t="shared" si="4"/>
        <v>0</v>
      </c>
      <c r="I323" s="439">
        <f>IF(OR(ISBLANK(A323),ISNA(MATCH(A323&amp;"",AthleteNumbers,0))),0,MATCH(A323&amp;"",AthleteNumbers,0))</f>
        <v>0</v>
      </c>
      <c r="J323" s="209">
        <f t="array" ref="J323">IF(I323&gt;0,INDEX(DB,$I323,6),0)</f>
        <v>0</v>
      </c>
      <c r="K323" s="446">
        <f t="shared" si="5"/>
        <v>0</v>
      </c>
      <c r="L323" s="440">
        <f t="shared" si="6"/>
        <v>0</v>
      </c>
      <c r="M323" s="441">
        <f>IF(AND(L323&gt;O323,O323&gt;0),MinPoints,IF(AND(L323&lt;N323,O323&gt;0),100,+INT((O323-$L323)/P323)+MinPoints))</f>
        <v>100</v>
      </c>
      <c r="N323" s="440">
        <f t="shared" si="7"/>
        <v>90</v>
      </c>
      <c r="O323" s="440">
        <f t="shared" si="8"/>
        <v>180</v>
      </c>
      <c r="P323" s="440">
        <f t="shared" si="9"/>
        <v>1</v>
      </c>
      <c r="Q323">
        <f t="array" ref="Q323">IF(I323&gt;0,INDEX(DB,I323,9),EventIndex)</f>
        <v>6</v>
      </c>
      <c r="S323">
        <f t="array" ref="S323">(INT(INDEX(MINVALUES,$Q323,$K$1))*60)+(MOD(INDEX(MINVALUES,$Q323,$K$1),1)*100)</f>
        <v>180</v>
      </c>
      <c r="T323">
        <f t="array" ref="T323">(INDEX(INCVALUES,$Q323,$K$1)*100)</f>
        <v>1</v>
      </c>
      <c r="V323">
        <f t="array" ref="V323">+J323+(4*(INDEX(MatchScoreTable,$Q323,20)-1))</f>
        <v>4</v>
      </c>
      <c r="W323">
        <f t="array" ref="W323">INDEX(INC_MINVALUES,$V323,$K$1)</f>
        <v>480</v>
      </c>
      <c r="X323" s="212">
        <f t="array" ref="X323">INDEX(INC_INCVALUES,$V323,$K$1)</f>
        <v>4</v>
      </c>
    </row>
    <row r="324" ht="15.75" customHeight="1">
      <c r="A324" s="435"/>
      <c r="B324" s="436"/>
      <c r="C324" s="95" t="str">
        <f t="array" ref="C324">IF(I324&gt;0,INDEX(DB,I324,8),"")</f>
        <v/>
      </c>
      <c r="D324" s="437">
        <f t="shared" si="1"/>
        <v>0</v>
      </c>
      <c r="F324" s="438">
        <f t="shared" si="2"/>
        <v>0</v>
      </c>
      <c r="G324" t="str">
        <f t="shared" si="3"/>
        <v/>
      </c>
      <c r="H324" t="b">
        <f t="shared" si="4"/>
        <v>0</v>
      </c>
      <c r="I324" s="439">
        <f>IF(OR(ISBLANK(A324),ISNA(MATCH(A324&amp;"",AthleteNumbers,0))),0,MATCH(A324&amp;"",AthleteNumbers,0))</f>
        <v>0</v>
      </c>
      <c r="J324" s="209">
        <f t="array" ref="J324">IF(I324&gt;0,INDEX(DB,$I324,6),0)</f>
        <v>0</v>
      </c>
      <c r="K324" s="446">
        <f t="shared" si="5"/>
        <v>0</v>
      </c>
      <c r="L324" s="440">
        <f t="shared" si="6"/>
        <v>0</v>
      </c>
      <c r="M324" s="441">
        <f>IF(AND(L324&gt;O324,O324&gt;0),MinPoints,IF(AND(L324&lt;N324,O324&gt;0),100,+INT((O324-$L324)/P324)+MinPoints))</f>
        <v>100</v>
      </c>
      <c r="N324" s="440">
        <f t="shared" si="7"/>
        <v>90</v>
      </c>
      <c r="O324" s="440">
        <f t="shared" si="8"/>
        <v>180</v>
      </c>
      <c r="P324" s="440">
        <f t="shared" si="9"/>
        <v>1</v>
      </c>
      <c r="Q324">
        <f t="array" ref="Q324">IF(I324&gt;0,INDEX(DB,I324,9),EventIndex)</f>
        <v>6</v>
      </c>
      <c r="S324">
        <f t="array" ref="S324">(INT(INDEX(MINVALUES,$Q324,$K$1))*60)+(MOD(INDEX(MINVALUES,$Q324,$K$1),1)*100)</f>
        <v>180</v>
      </c>
      <c r="T324">
        <f t="array" ref="T324">(INDEX(INCVALUES,$Q324,$K$1)*100)</f>
        <v>1</v>
      </c>
      <c r="V324">
        <f t="array" ref="V324">+J324+(4*(INDEX(MatchScoreTable,$Q324,20)-1))</f>
        <v>4</v>
      </c>
      <c r="W324">
        <f t="array" ref="W324">INDEX(INC_MINVALUES,$V324,$K$1)</f>
        <v>480</v>
      </c>
      <c r="X324" s="212">
        <f t="array" ref="X324">INDEX(INC_INCVALUES,$V324,$K$1)</f>
        <v>4</v>
      </c>
    </row>
    <row r="325" ht="15.75" customHeight="1">
      <c r="A325" s="435"/>
      <c r="B325" s="436"/>
      <c r="C325" s="95" t="str">
        <f t="array" ref="C325">IF(I325&gt;0,INDEX(DB,I325,8),"")</f>
        <v/>
      </c>
      <c r="D325" s="437">
        <f t="shared" si="1"/>
        <v>0</v>
      </c>
      <c r="F325" s="438">
        <f t="shared" si="2"/>
        <v>0</v>
      </c>
      <c r="G325" t="str">
        <f t="shared" si="3"/>
        <v/>
      </c>
      <c r="H325" t="b">
        <f t="shared" si="4"/>
        <v>0</v>
      </c>
      <c r="I325" s="439">
        <f>IF(OR(ISBLANK(A325),ISNA(MATCH(A325&amp;"",AthleteNumbers,0))),0,MATCH(A325&amp;"",AthleteNumbers,0))</f>
        <v>0</v>
      </c>
      <c r="J325" s="209">
        <f t="array" ref="J325">IF(I325&gt;0,INDEX(DB,$I325,6),0)</f>
        <v>0</v>
      </c>
      <c r="K325" s="446">
        <f t="shared" si="5"/>
        <v>0</v>
      </c>
      <c r="L325" s="440">
        <f t="shared" si="6"/>
        <v>0</v>
      </c>
      <c r="M325" s="441">
        <f>IF(AND(L325&gt;O325,O325&gt;0),MinPoints,IF(AND(L325&lt;N325,O325&gt;0),100,+INT((O325-$L325)/P325)+MinPoints))</f>
        <v>100</v>
      </c>
      <c r="N325" s="440">
        <f t="shared" si="7"/>
        <v>90</v>
      </c>
      <c r="O325" s="440">
        <f t="shared" si="8"/>
        <v>180</v>
      </c>
      <c r="P325" s="440">
        <f t="shared" si="9"/>
        <v>1</v>
      </c>
      <c r="Q325">
        <f t="array" ref="Q325">IF(I325&gt;0,INDEX(DB,I325,9),EventIndex)</f>
        <v>6</v>
      </c>
      <c r="S325">
        <f t="array" ref="S325">(INT(INDEX(MINVALUES,$Q325,$K$1))*60)+(MOD(INDEX(MINVALUES,$Q325,$K$1),1)*100)</f>
        <v>180</v>
      </c>
      <c r="T325">
        <f t="array" ref="T325">(INDEX(INCVALUES,$Q325,$K$1)*100)</f>
        <v>1</v>
      </c>
      <c r="V325">
        <f t="array" ref="V325">+J325+(4*(INDEX(MatchScoreTable,$Q325,20)-1))</f>
        <v>4</v>
      </c>
      <c r="W325">
        <f t="array" ref="W325">INDEX(INC_MINVALUES,$V325,$K$1)</f>
        <v>480</v>
      </c>
      <c r="X325" s="212">
        <f t="array" ref="X325">INDEX(INC_INCVALUES,$V325,$K$1)</f>
        <v>4</v>
      </c>
    </row>
    <row r="326" ht="15.75" customHeight="1">
      <c r="A326" s="435"/>
      <c r="B326" s="436"/>
      <c r="C326" s="95" t="str">
        <f t="array" ref="C326">IF(I326&gt;0,INDEX(DB,I326,8),"")</f>
        <v/>
      </c>
      <c r="D326" s="437">
        <f t="shared" si="1"/>
        <v>0</v>
      </c>
      <c r="F326" s="438">
        <f t="shared" si="2"/>
        <v>0</v>
      </c>
      <c r="G326" t="str">
        <f t="shared" si="3"/>
        <v/>
      </c>
      <c r="H326" t="b">
        <f t="shared" si="4"/>
        <v>0</v>
      </c>
      <c r="I326" s="439">
        <f>IF(OR(ISBLANK(A326),ISNA(MATCH(A326&amp;"",AthleteNumbers,0))),0,MATCH(A326&amp;"",AthleteNumbers,0))</f>
        <v>0</v>
      </c>
      <c r="J326" s="209">
        <f t="array" ref="J326">IF(I326&gt;0,INDEX(DB,$I326,6),0)</f>
        <v>0</v>
      </c>
      <c r="K326" s="446">
        <f t="shared" si="5"/>
        <v>0</v>
      </c>
      <c r="L326" s="440">
        <f t="shared" si="6"/>
        <v>0</v>
      </c>
      <c r="M326" s="441">
        <f>IF(AND(L326&gt;O326,O326&gt;0),MinPoints,IF(AND(L326&lt;N326,O326&gt;0),100,+INT((O326-$L326)/P326)+MinPoints))</f>
        <v>100</v>
      </c>
      <c r="N326" s="440">
        <f t="shared" si="7"/>
        <v>90</v>
      </c>
      <c r="O326" s="440">
        <f t="shared" si="8"/>
        <v>180</v>
      </c>
      <c r="P326" s="440">
        <f t="shared" si="9"/>
        <v>1</v>
      </c>
      <c r="Q326">
        <f t="array" ref="Q326">IF(I326&gt;0,INDEX(DB,I326,9),EventIndex)</f>
        <v>6</v>
      </c>
      <c r="S326">
        <f t="array" ref="S326">(INT(INDEX(MINVALUES,$Q326,$K$1))*60)+(MOD(INDEX(MINVALUES,$Q326,$K$1),1)*100)</f>
        <v>180</v>
      </c>
      <c r="T326">
        <f t="array" ref="T326">(INDEX(INCVALUES,$Q326,$K$1)*100)</f>
        <v>1</v>
      </c>
      <c r="V326">
        <f t="array" ref="V326">+J326+(4*(INDEX(MatchScoreTable,$Q326,20)-1))</f>
        <v>4</v>
      </c>
      <c r="W326">
        <f t="array" ref="W326">INDEX(INC_MINVALUES,$V326,$K$1)</f>
        <v>480</v>
      </c>
      <c r="X326" s="212">
        <f t="array" ref="X326">INDEX(INC_INCVALUES,$V326,$K$1)</f>
        <v>4</v>
      </c>
    </row>
    <row r="327" ht="15.75" customHeight="1">
      <c r="A327" s="435"/>
      <c r="B327" s="436"/>
      <c r="C327" s="95" t="str">
        <f t="array" ref="C327">IF(I327&gt;0,INDEX(DB,I327,8),"")</f>
        <v/>
      </c>
      <c r="D327" s="437">
        <f t="shared" si="1"/>
        <v>0</v>
      </c>
      <c r="F327" s="438">
        <f t="shared" si="2"/>
        <v>0</v>
      </c>
      <c r="G327" t="str">
        <f t="shared" si="3"/>
        <v/>
      </c>
      <c r="H327" t="b">
        <f t="shared" si="4"/>
        <v>0</v>
      </c>
      <c r="I327" s="439">
        <f>IF(OR(ISBLANK(A327),ISNA(MATCH(A327&amp;"",AthleteNumbers,0))),0,MATCH(A327&amp;"",AthleteNumbers,0))</f>
        <v>0</v>
      </c>
      <c r="J327" s="209">
        <f t="array" ref="J327">IF(I327&gt;0,INDEX(DB,$I327,6),0)</f>
        <v>0</v>
      </c>
      <c r="K327" s="446">
        <f t="shared" si="5"/>
        <v>0</v>
      </c>
      <c r="L327" s="440">
        <f t="shared" si="6"/>
        <v>0</v>
      </c>
      <c r="M327" s="441">
        <f>IF(AND(L327&gt;O327,O327&gt;0),MinPoints,IF(AND(L327&lt;N327,O327&gt;0),100,+INT((O327-$L327)/P327)+MinPoints))</f>
        <v>100</v>
      </c>
      <c r="N327" s="440">
        <f t="shared" si="7"/>
        <v>90</v>
      </c>
      <c r="O327" s="440">
        <f t="shared" si="8"/>
        <v>180</v>
      </c>
      <c r="P327" s="440">
        <f t="shared" si="9"/>
        <v>1</v>
      </c>
      <c r="Q327">
        <f t="array" ref="Q327">IF(I327&gt;0,INDEX(DB,I327,9),EventIndex)</f>
        <v>6</v>
      </c>
      <c r="S327">
        <f t="array" ref="S327">(INT(INDEX(MINVALUES,$Q327,$K$1))*60)+(MOD(INDEX(MINVALUES,$Q327,$K$1),1)*100)</f>
        <v>180</v>
      </c>
      <c r="T327">
        <f t="array" ref="T327">(INDEX(INCVALUES,$Q327,$K$1)*100)</f>
        <v>1</v>
      </c>
      <c r="V327">
        <f t="array" ref="V327">+J327+(4*(INDEX(MatchScoreTable,$Q327,20)-1))</f>
        <v>4</v>
      </c>
      <c r="W327">
        <f t="array" ref="W327">INDEX(INC_MINVALUES,$V327,$K$1)</f>
        <v>480</v>
      </c>
      <c r="X327" s="212">
        <f t="array" ref="X327">INDEX(INC_INCVALUES,$V327,$K$1)</f>
        <v>4</v>
      </c>
    </row>
    <row r="328" ht="15.75" customHeight="1">
      <c r="A328" s="435"/>
      <c r="B328" s="436"/>
      <c r="C328" s="95" t="str">
        <f t="array" ref="C328">IF(I328&gt;0,INDEX(DB,I328,8),"")</f>
        <v/>
      </c>
      <c r="D328" s="437">
        <f t="shared" si="1"/>
        <v>0</v>
      </c>
      <c r="F328" s="438">
        <f t="shared" si="2"/>
        <v>0</v>
      </c>
      <c r="G328" t="str">
        <f t="shared" si="3"/>
        <v/>
      </c>
      <c r="H328" t="b">
        <f t="shared" si="4"/>
        <v>0</v>
      </c>
      <c r="I328" s="439">
        <f>IF(OR(ISBLANK(A328),ISNA(MATCH(A328&amp;"",AthleteNumbers,0))),0,MATCH(A328&amp;"",AthleteNumbers,0))</f>
        <v>0</v>
      </c>
      <c r="J328" s="209">
        <f t="array" ref="J328">IF(I328&gt;0,INDEX(DB,$I328,6),0)</f>
        <v>0</v>
      </c>
      <c r="K328" s="446">
        <f t="shared" si="5"/>
        <v>0</v>
      </c>
      <c r="L328" s="440">
        <f t="shared" si="6"/>
        <v>0</v>
      </c>
      <c r="M328" s="441">
        <f>IF(AND(L328&gt;O328,O328&gt;0),MinPoints,IF(AND(L328&lt;N328,O328&gt;0),100,+INT((O328-$L328)/P328)+MinPoints))</f>
        <v>100</v>
      </c>
      <c r="N328" s="440">
        <f t="shared" si="7"/>
        <v>90</v>
      </c>
      <c r="O328" s="440">
        <f t="shared" si="8"/>
        <v>180</v>
      </c>
      <c r="P328" s="440">
        <f t="shared" si="9"/>
        <v>1</v>
      </c>
      <c r="Q328">
        <f t="array" ref="Q328">IF(I328&gt;0,INDEX(DB,I328,9),EventIndex)</f>
        <v>6</v>
      </c>
      <c r="S328">
        <f t="array" ref="S328">(INT(INDEX(MINVALUES,$Q328,$K$1))*60)+(MOD(INDEX(MINVALUES,$Q328,$K$1),1)*100)</f>
        <v>180</v>
      </c>
      <c r="T328">
        <f t="array" ref="T328">(INDEX(INCVALUES,$Q328,$K$1)*100)</f>
        <v>1</v>
      </c>
      <c r="V328">
        <f t="array" ref="V328">+J328+(4*(INDEX(MatchScoreTable,$Q328,20)-1))</f>
        <v>4</v>
      </c>
      <c r="W328">
        <f t="array" ref="W328">INDEX(INC_MINVALUES,$V328,$K$1)</f>
        <v>480</v>
      </c>
      <c r="X328" s="212">
        <f t="array" ref="X328">INDEX(INC_INCVALUES,$V328,$K$1)</f>
        <v>4</v>
      </c>
    </row>
    <row r="329" ht="15.75" customHeight="1">
      <c r="A329" s="435"/>
      <c r="B329" s="436"/>
      <c r="C329" s="95" t="str">
        <f t="array" ref="C329">IF(I329&gt;0,INDEX(DB,I329,8),"")</f>
        <v/>
      </c>
      <c r="D329" s="437">
        <f t="shared" si="1"/>
        <v>0</v>
      </c>
      <c r="F329" s="438">
        <f t="shared" si="2"/>
        <v>0</v>
      </c>
      <c r="G329" t="str">
        <f t="shared" si="3"/>
        <v/>
      </c>
      <c r="H329" t="b">
        <f t="shared" si="4"/>
        <v>0</v>
      </c>
      <c r="I329" s="439">
        <f>IF(OR(ISBLANK(A329),ISNA(MATCH(A329&amp;"",AthleteNumbers,0))),0,MATCH(A329&amp;"",AthleteNumbers,0))</f>
        <v>0</v>
      </c>
      <c r="J329" s="209">
        <f t="array" ref="J329">IF(I329&gt;0,INDEX(DB,$I329,6),0)</f>
        <v>0</v>
      </c>
      <c r="K329" s="446">
        <f t="shared" si="5"/>
        <v>0</v>
      </c>
      <c r="L329" s="440">
        <f t="shared" si="6"/>
        <v>0</v>
      </c>
      <c r="M329" s="441">
        <f>IF(AND(L329&gt;O329,O329&gt;0),MinPoints,IF(AND(L329&lt;N329,O329&gt;0),100,+INT((O329-$L329)/P329)+MinPoints))</f>
        <v>100</v>
      </c>
      <c r="N329" s="440">
        <f t="shared" si="7"/>
        <v>90</v>
      </c>
      <c r="O329" s="440">
        <f t="shared" si="8"/>
        <v>180</v>
      </c>
      <c r="P329" s="440">
        <f t="shared" si="9"/>
        <v>1</v>
      </c>
      <c r="Q329">
        <f t="array" ref="Q329">IF(I329&gt;0,INDEX(DB,I329,9),EventIndex)</f>
        <v>6</v>
      </c>
      <c r="S329">
        <f t="array" ref="S329">(INT(INDEX(MINVALUES,$Q329,$K$1))*60)+(MOD(INDEX(MINVALUES,$Q329,$K$1),1)*100)</f>
        <v>180</v>
      </c>
      <c r="T329">
        <f t="array" ref="T329">(INDEX(INCVALUES,$Q329,$K$1)*100)</f>
        <v>1</v>
      </c>
      <c r="V329">
        <f t="array" ref="V329">+J329+(4*(INDEX(MatchScoreTable,$Q329,20)-1))</f>
        <v>4</v>
      </c>
      <c r="W329">
        <f t="array" ref="W329">INDEX(INC_MINVALUES,$V329,$K$1)</f>
        <v>480</v>
      </c>
      <c r="X329" s="212">
        <f t="array" ref="X329">INDEX(INC_INCVALUES,$V329,$K$1)</f>
        <v>4</v>
      </c>
    </row>
    <row r="330" ht="15.75" customHeight="1">
      <c r="A330" s="435"/>
      <c r="B330" s="436"/>
      <c r="C330" s="95" t="str">
        <f t="array" ref="C330">IF(I330&gt;0,INDEX(DB,I330,8),"")</f>
        <v/>
      </c>
      <c r="D330" s="437">
        <f t="shared" si="1"/>
        <v>0</v>
      </c>
      <c r="F330" s="438">
        <f t="shared" si="2"/>
        <v>0</v>
      </c>
      <c r="G330" t="str">
        <f t="shared" si="3"/>
        <v/>
      </c>
      <c r="H330" t="b">
        <f t="shared" si="4"/>
        <v>0</v>
      </c>
      <c r="I330" s="439">
        <f>IF(OR(ISBLANK(A330),ISNA(MATCH(A330&amp;"",AthleteNumbers,0))),0,MATCH(A330&amp;"",AthleteNumbers,0))</f>
        <v>0</v>
      </c>
      <c r="J330" s="209">
        <f t="array" ref="J330">IF(I330&gt;0,INDEX(DB,$I330,6),0)</f>
        <v>0</v>
      </c>
      <c r="K330" s="446">
        <f t="shared" si="5"/>
        <v>0</v>
      </c>
      <c r="L330" s="440">
        <f t="shared" si="6"/>
        <v>0</v>
      </c>
      <c r="M330" s="441">
        <f>IF(AND(L330&gt;O330,O330&gt;0),MinPoints,IF(AND(L330&lt;N330,O330&gt;0),100,+INT((O330-$L330)/P330)+MinPoints))</f>
        <v>100</v>
      </c>
      <c r="N330" s="440">
        <f t="shared" si="7"/>
        <v>90</v>
      </c>
      <c r="O330" s="440">
        <f t="shared" si="8"/>
        <v>180</v>
      </c>
      <c r="P330" s="440">
        <f t="shared" si="9"/>
        <v>1</v>
      </c>
      <c r="Q330">
        <f t="array" ref="Q330">IF(I330&gt;0,INDEX(DB,I330,9),EventIndex)</f>
        <v>6</v>
      </c>
      <c r="S330">
        <f t="array" ref="S330">(INT(INDEX(MINVALUES,$Q330,$K$1))*60)+(MOD(INDEX(MINVALUES,$Q330,$K$1),1)*100)</f>
        <v>180</v>
      </c>
      <c r="T330">
        <f t="array" ref="T330">(INDEX(INCVALUES,$Q330,$K$1)*100)</f>
        <v>1</v>
      </c>
      <c r="V330">
        <f t="array" ref="V330">+J330+(4*(INDEX(MatchScoreTable,$Q330,20)-1))</f>
        <v>4</v>
      </c>
      <c r="W330">
        <f t="array" ref="W330">INDEX(INC_MINVALUES,$V330,$K$1)</f>
        <v>480</v>
      </c>
      <c r="X330" s="212">
        <f t="array" ref="X330">INDEX(INC_INCVALUES,$V330,$K$1)</f>
        <v>4</v>
      </c>
    </row>
    <row r="331" ht="15.75" customHeight="1">
      <c r="A331" s="435"/>
      <c r="B331" s="436"/>
      <c r="C331" s="95" t="str">
        <f t="array" ref="C331">IF(I331&gt;0,INDEX(DB,I331,8),"")</f>
        <v/>
      </c>
      <c r="D331" s="437">
        <f t="shared" si="1"/>
        <v>0</v>
      </c>
      <c r="F331" s="438">
        <f t="shared" si="2"/>
        <v>0</v>
      </c>
      <c r="G331" t="str">
        <f t="shared" si="3"/>
        <v/>
      </c>
      <c r="H331" t="b">
        <f t="shared" si="4"/>
        <v>0</v>
      </c>
      <c r="I331" s="439">
        <f>IF(OR(ISBLANK(A331),ISNA(MATCH(A331&amp;"",AthleteNumbers,0))),0,MATCH(A331&amp;"",AthleteNumbers,0))</f>
        <v>0</v>
      </c>
      <c r="J331" s="209">
        <f t="array" ref="J331">IF(I331&gt;0,INDEX(DB,$I331,6),0)</f>
        <v>0</v>
      </c>
      <c r="K331" s="446">
        <f t="shared" si="5"/>
        <v>0</v>
      </c>
      <c r="L331" s="440">
        <f t="shared" si="6"/>
        <v>0</v>
      </c>
      <c r="M331" s="441">
        <f>IF(AND(L331&gt;O331,O331&gt;0),MinPoints,IF(AND(L331&lt;N331,O331&gt;0),100,+INT((O331-$L331)/P331)+MinPoints))</f>
        <v>100</v>
      </c>
      <c r="N331" s="440">
        <f t="shared" si="7"/>
        <v>90</v>
      </c>
      <c r="O331" s="440">
        <f t="shared" si="8"/>
        <v>180</v>
      </c>
      <c r="P331" s="440">
        <f t="shared" si="9"/>
        <v>1</v>
      </c>
      <c r="Q331">
        <f t="array" ref="Q331">IF(I331&gt;0,INDEX(DB,I331,9),EventIndex)</f>
        <v>6</v>
      </c>
      <c r="S331">
        <f t="array" ref="S331">(INT(INDEX(MINVALUES,$Q331,$K$1))*60)+(MOD(INDEX(MINVALUES,$Q331,$K$1),1)*100)</f>
        <v>180</v>
      </c>
      <c r="T331">
        <f t="array" ref="T331">(INDEX(INCVALUES,$Q331,$K$1)*100)</f>
        <v>1</v>
      </c>
      <c r="V331">
        <f t="array" ref="V331">+J331+(4*(INDEX(MatchScoreTable,$Q331,20)-1))</f>
        <v>4</v>
      </c>
      <c r="W331">
        <f t="array" ref="W331">INDEX(INC_MINVALUES,$V331,$K$1)</f>
        <v>480</v>
      </c>
      <c r="X331" s="212">
        <f t="array" ref="X331">INDEX(INC_INCVALUES,$V331,$K$1)</f>
        <v>4</v>
      </c>
    </row>
    <row r="332" ht="15.75" customHeight="1">
      <c r="A332" s="435"/>
      <c r="B332" s="436"/>
      <c r="C332" s="95" t="str">
        <f t="array" ref="C332">IF(I332&gt;0,INDEX(DB,I332,8),"")</f>
        <v/>
      </c>
      <c r="D332" s="437">
        <f t="shared" si="1"/>
        <v>0</v>
      </c>
      <c r="F332" s="438">
        <f t="shared" si="2"/>
        <v>0</v>
      </c>
      <c r="G332" t="str">
        <f t="shared" si="3"/>
        <v/>
      </c>
      <c r="H332" t="b">
        <f t="shared" si="4"/>
        <v>0</v>
      </c>
      <c r="I332" s="439">
        <f>IF(OR(ISBLANK(A332),ISNA(MATCH(A332&amp;"",AthleteNumbers,0))),0,MATCH(A332&amp;"",AthleteNumbers,0))</f>
        <v>0</v>
      </c>
      <c r="J332" s="209">
        <f t="array" ref="J332">IF(I332&gt;0,INDEX(DB,$I332,6),0)</f>
        <v>0</v>
      </c>
      <c r="K332" s="446">
        <f t="shared" si="5"/>
        <v>0</v>
      </c>
      <c r="L332" s="440">
        <f t="shared" si="6"/>
        <v>0</v>
      </c>
      <c r="M332" s="441">
        <f>IF(AND(L332&gt;O332,O332&gt;0),MinPoints,IF(AND(L332&lt;N332,O332&gt;0),100,+INT((O332-$L332)/P332)+MinPoints))</f>
        <v>100</v>
      </c>
      <c r="N332" s="440">
        <f t="shared" si="7"/>
        <v>90</v>
      </c>
      <c r="O332" s="440">
        <f t="shared" si="8"/>
        <v>180</v>
      </c>
      <c r="P332" s="440">
        <f t="shared" si="9"/>
        <v>1</v>
      </c>
      <c r="Q332">
        <f t="array" ref="Q332">IF(I332&gt;0,INDEX(DB,I332,9),EventIndex)</f>
        <v>6</v>
      </c>
      <c r="S332">
        <f t="array" ref="S332">(INT(INDEX(MINVALUES,$Q332,$K$1))*60)+(MOD(INDEX(MINVALUES,$Q332,$K$1),1)*100)</f>
        <v>180</v>
      </c>
      <c r="T332">
        <f t="array" ref="T332">(INDEX(INCVALUES,$Q332,$K$1)*100)</f>
        <v>1</v>
      </c>
      <c r="V332">
        <f t="array" ref="V332">+J332+(4*(INDEX(MatchScoreTable,$Q332,20)-1))</f>
        <v>4</v>
      </c>
      <c r="W332">
        <f t="array" ref="W332">INDEX(INC_MINVALUES,$V332,$K$1)</f>
        <v>480</v>
      </c>
      <c r="X332" s="212">
        <f t="array" ref="X332">INDEX(INC_INCVALUES,$V332,$K$1)</f>
        <v>4</v>
      </c>
    </row>
    <row r="333" ht="15.75" customHeight="1">
      <c r="A333" s="435"/>
      <c r="B333" s="436"/>
      <c r="C333" s="95" t="str">
        <f t="array" ref="C333">IF(I333&gt;0,INDEX(DB,I333,8),"")</f>
        <v/>
      </c>
      <c r="D333" s="437">
        <f t="shared" si="1"/>
        <v>0</v>
      </c>
      <c r="F333" s="438">
        <f t="shared" si="2"/>
        <v>0</v>
      </c>
      <c r="G333" t="str">
        <f t="shared" si="3"/>
        <v/>
      </c>
      <c r="H333" t="b">
        <f t="shared" si="4"/>
        <v>0</v>
      </c>
      <c r="I333" s="439">
        <f>IF(OR(ISBLANK(A333),ISNA(MATCH(A333&amp;"",AthleteNumbers,0))),0,MATCH(A333&amp;"",AthleteNumbers,0))</f>
        <v>0</v>
      </c>
      <c r="J333" s="209">
        <f t="array" ref="J333">IF(I333&gt;0,INDEX(DB,$I333,6),0)</f>
        <v>0</v>
      </c>
      <c r="K333" s="446">
        <f t="shared" si="5"/>
        <v>0</v>
      </c>
      <c r="L333" s="440">
        <f t="shared" si="6"/>
        <v>0</v>
      </c>
      <c r="M333" s="441">
        <f>IF(AND(L333&gt;O333,O333&gt;0),MinPoints,IF(AND(L333&lt;N333,O333&gt;0),100,+INT((O333-$L333)/P333)+MinPoints))</f>
        <v>100</v>
      </c>
      <c r="N333" s="440">
        <f t="shared" si="7"/>
        <v>90</v>
      </c>
      <c r="O333" s="440">
        <f t="shared" si="8"/>
        <v>180</v>
      </c>
      <c r="P333" s="440">
        <f t="shared" si="9"/>
        <v>1</v>
      </c>
      <c r="Q333">
        <f t="array" ref="Q333">IF(I333&gt;0,INDEX(DB,I333,9),EventIndex)</f>
        <v>6</v>
      </c>
      <c r="S333">
        <f t="array" ref="S333">(INT(INDEX(MINVALUES,$Q333,$K$1))*60)+(MOD(INDEX(MINVALUES,$Q333,$K$1),1)*100)</f>
        <v>180</v>
      </c>
      <c r="T333">
        <f t="array" ref="T333">(INDEX(INCVALUES,$Q333,$K$1)*100)</f>
        <v>1</v>
      </c>
      <c r="V333">
        <f t="array" ref="V333">+J333+(4*(INDEX(MatchScoreTable,$Q333,20)-1))</f>
        <v>4</v>
      </c>
      <c r="W333">
        <f t="array" ref="W333">INDEX(INC_MINVALUES,$V333,$K$1)</f>
        <v>480</v>
      </c>
      <c r="X333" s="212">
        <f t="array" ref="X333">INDEX(INC_INCVALUES,$V333,$K$1)</f>
        <v>4</v>
      </c>
    </row>
    <row r="334" ht="15.75" customHeight="1">
      <c r="A334" s="435"/>
      <c r="B334" s="436"/>
      <c r="C334" s="95" t="str">
        <f t="array" ref="C334">IF(I334&gt;0,INDEX(DB,I334,8),"")</f>
        <v/>
      </c>
      <c r="D334" s="437">
        <f t="shared" si="1"/>
        <v>0</v>
      </c>
      <c r="F334" s="438">
        <f t="shared" si="2"/>
        <v>0</v>
      </c>
      <c r="G334" t="str">
        <f t="shared" si="3"/>
        <v/>
      </c>
      <c r="H334" t="b">
        <f t="shared" si="4"/>
        <v>0</v>
      </c>
      <c r="I334" s="439">
        <f>IF(OR(ISBLANK(A334),ISNA(MATCH(A334&amp;"",AthleteNumbers,0))),0,MATCH(A334&amp;"",AthleteNumbers,0))</f>
        <v>0</v>
      </c>
      <c r="J334" s="209">
        <f t="array" ref="J334">IF(I334&gt;0,INDEX(DB,$I334,6),0)</f>
        <v>0</v>
      </c>
      <c r="K334" s="446">
        <f t="shared" si="5"/>
        <v>0</v>
      </c>
      <c r="L334" s="440">
        <f t="shared" si="6"/>
        <v>0</v>
      </c>
      <c r="M334" s="441">
        <f>IF(AND(L334&gt;O334,O334&gt;0),MinPoints,IF(AND(L334&lt;N334,O334&gt;0),100,+INT((O334-$L334)/P334)+MinPoints))</f>
        <v>100</v>
      </c>
      <c r="N334" s="440">
        <f t="shared" si="7"/>
        <v>90</v>
      </c>
      <c r="O334" s="440">
        <f t="shared" si="8"/>
        <v>180</v>
      </c>
      <c r="P334" s="440">
        <f t="shared" si="9"/>
        <v>1</v>
      </c>
      <c r="Q334">
        <f t="array" ref="Q334">IF(I334&gt;0,INDEX(DB,I334,9),EventIndex)</f>
        <v>6</v>
      </c>
      <c r="S334">
        <f t="array" ref="S334">(INT(INDEX(MINVALUES,$Q334,$K$1))*60)+(MOD(INDEX(MINVALUES,$Q334,$K$1),1)*100)</f>
        <v>180</v>
      </c>
      <c r="T334">
        <f t="array" ref="T334">(INDEX(INCVALUES,$Q334,$K$1)*100)</f>
        <v>1</v>
      </c>
      <c r="V334">
        <f t="array" ref="V334">+J334+(4*(INDEX(MatchScoreTable,$Q334,20)-1))</f>
        <v>4</v>
      </c>
      <c r="W334">
        <f t="array" ref="W334">INDEX(INC_MINVALUES,$V334,$K$1)</f>
        <v>480</v>
      </c>
      <c r="X334" s="212">
        <f t="array" ref="X334">INDEX(INC_INCVALUES,$V334,$K$1)</f>
        <v>4</v>
      </c>
    </row>
    <row r="335" ht="15.75" customHeight="1">
      <c r="A335" s="435"/>
      <c r="B335" s="436"/>
      <c r="C335" s="95" t="str">
        <f t="array" ref="C335">IF(I335&gt;0,INDEX(DB,I335,8),"")</f>
        <v/>
      </c>
      <c r="D335" s="437">
        <f t="shared" si="1"/>
        <v>0</v>
      </c>
      <c r="F335" s="438">
        <f t="shared" si="2"/>
        <v>0</v>
      </c>
      <c r="G335" t="str">
        <f t="shared" si="3"/>
        <v/>
      </c>
      <c r="H335" t="b">
        <f t="shared" si="4"/>
        <v>0</v>
      </c>
      <c r="I335" s="439">
        <f>IF(OR(ISBLANK(A335),ISNA(MATCH(A335&amp;"",AthleteNumbers,0))),0,MATCH(A335&amp;"",AthleteNumbers,0))</f>
        <v>0</v>
      </c>
      <c r="J335" s="209">
        <f t="array" ref="J335">IF(I335&gt;0,INDEX(DB,$I335,6),0)</f>
        <v>0</v>
      </c>
      <c r="K335" s="446">
        <f t="shared" si="5"/>
        <v>0</v>
      </c>
      <c r="L335" s="440">
        <f t="shared" si="6"/>
        <v>0</v>
      </c>
      <c r="M335" s="441">
        <f>IF(AND(L335&gt;O335,O335&gt;0),MinPoints,IF(AND(L335&lt;N335,O335&gt;0),100,+INT((O335-$L335)/P335)+MinPoints))</f>
        <v>100</v>
      </c>
      <c r="N335" s="440">
        <f t="shared" si="7"/>
        <v>90</v>
      </c>
      <c r="O335" s="440">
        <f t="shared" si="8"/>
        <v>180</v>
      </c>
      <c r="P335" s="440">
        <f t="shared" si="9"/>
        <v>1</v>
      </c>
      <c r="Q335">
        <f t="array" ref="Q335">IF(I335&gt;0,INDEX(DB,I335,9),EventIndex)</f>
        <v>6</v>
      </c>
      <c r="S335">
        <f t="array" ref="S335">(INT(INDEX(MINVALUES,$Q335,$K$1))*60)+(MOD(INDEX(MINVALUES,$Q335,$K$1),1)*100)</f>
        <v>180</v>
      </c>
      <c r="T335">
        <f t="array" ref="T335">(INDEX(INCVALUES,$Q335,$K$1)*100)</f>
        <v>1</v>
      </c>
      <c r="V335">
        <f t="array" ref="V335">+J335+(4*(INDEX(MatchScoreTable,$Q335,20)-1))</f>
        <v>4</v>
      </c>
      <c r="W335">
        <f t="array" ref="W335">INDEX(INC_MINVALUES,$V335,$K$1)</f>
        <v>480</v>
      </c>
      <c r="X335" s="212">
        <f t="array" ref="X335">INDEX(INC_INCVALUES,$V335,$K$1)</f>
        <v>4</v>
      </c>
    </row>
    <row r="336" ht="15.75" customHeight="1">
      <c r="A336" s="435"/>
      <c r="B336" s="436"/>
      <c r="C336" s="95" t="str">
        <f t="array" ref="C336">IF(I336&gt;0,INDEX(DB,I336,8),"")</f>
        <v/>
      </c>
      <c r="D336" s="437">
        <f t="shared" si="1"/>
        <v>0</v>
      </c>
      <c r="F336" s="438">
        <f t="shared" si="2"/>
        <v>0</v>
      </c>
      <c r="G336" t="str">
        <f t="shared" si="3"/>
        <v/>
      </c>
      <c r="H336" t="b">
        <f t="shared" si="4"/>
        <v>0</v>
      </c>
      <c r="I336" s="439">
        <f>IF(OR(ISBLANK(A336),ISNA(MATCH(A336&amp;"",AthleteNumbers,0))),0,MATCH(A336&amp;"",AthleteNumbers,0))</f>
        <v>0</v>
      </c>
      <c r="J336" s="209">
        <f t="array" ref="J336">IF(I336&gt;0,INDEX(DB,$I336,6),0)</f>
        <v>0</v>
      </c>
      <c r="K336" s="446">
        <f t="shared" si="5"/>
        <v>0</v>
      </c>
      <c r="L336" s="440">
        <f t="shared" si="6"/>
        <v>0</v>
      </c>
      <c r="M336" s="441">
        <f>IF(AND(L336&gt;O336,O336&gt;0),MinPoints,IF(AND(L336&lt;N336,O336&gt;0),100,+INT((O336-$L336)/P336)+MinPoints))</f>
        <v>100</v>
      </c>
      <c r="N336" s="440">
        <f t="shared" si="7"/>
        <v>90</v>
      </c>
      <c r="O336" s="440">
        <f t="shared" si="8"/>
        <v>180</v>
      </c>
      <c r="P336" s="440">
        <f t="shared" si="9"/>
        <v>1</v>
      </c>
      <c r="Q336">
        <f t="array" ref="Q336">IF(I336&gt;0,INDEX(DB,I336,9),EventIndex)</f>
        <v>6</v>
      </c>
      <c r="S336">
        <f t="array" ref="S336">(INT(INDEX(MINVALUES,$Q336,$K$1))*60)+(MOD(INDEX(MINVALUES,$Q336,$K$1),1)*100)</f>
        <v>180</v>
      </c>
      <c r="T336">
        <f t="array" ref="T336">(INDEX(INCVALUES,$Q336,$K$1)*100)</f>
        <v>1</v>
      </c>
      <c r="V336">
        <f t="array" ref="V336">+J336+(4*(INDEX(MatchScoreTable,$Q336,20)-1))</f>
        <v>4</v>
      </c>
      <c r="W336">
        <f t="array" ref="W336">INDEX(INC_MINVALUES,$V336,$K$1)</f>
        <v>480</v>
      </c>
      <c r="X336" s="212">
        <f t="array" ref="X336">INDEX(INC_INCVALUES,$V336,$K$1)</f>
        <v>4</v>
      </c>
    </row>
    <row r="337" ht="15.75" customHeight="1">
      <c r="A337" s="435"/>
      <c r="B337" s="436"/>
      <c r="C337" s="95" t="str">
        <f t="array" ref="C337">IF(I337&gt;0,INDEX(DB,I337,8),"")</f>
        <v/>
      </c>
      <c r="D337" s="437">
        <f t="shared" si="1"/>
        <v>0</v>
      </c>
      <c r="F337" s="438">
        <f t="shared" si="2"/>
        <v>0</v>
      </c>
      <c r="G337" t="str">
        <f t="shared" si="3"/>
        <v/>
      </c>
      <c r="H337" t="b">
        <f t="shared" si="4"/>
        <v>0</v>
      </c>
      <c r="I337" s="439">
        <f>IF(OR(ISBLANK(A337),ISNA(MATCH(A337&amp;"",AthleteNumbers,0))),0,MATCH(A337&amp;"",AthleteNumbers,0))</f>
        <v>0</v>
      </c>
      <c r="J337" s="209">
        <f t="array" ref="J337">IF(I337&gt;0,INDEX(DB,$I337,6),0)</f>
        <v>0</v>
      </c>
      <c r="K337" s="446">
        <f t="shared" si="5"/>
        <v>0</v>
      </c>
      <c r="L337" s="440">
        <f t="shared" si="6"/>
        <v>0</v>
      </c>
      <c r="M337" s="441">
        <f>IF(AND(L337&gt;O337,O337&gt;0),MinPoints,IF(AND(L337&lt;N337,O337&gt;0),100,+INT((O337-$L337)/P337)+MinPoints))</f>
        <v>100</v>
      </c>
      <c r="N337" s="440">
        <f t="shared" si="7"/>
        <v>90</v>
      </c>
      <c r="O337" s="440">
        <f t="shared" si="8"/>
        <v>180</v>
      </c>
      <c r="P337" s="440">
        <f t="shared" si="9"/>
        <v>1</v>
      </c>
      <c r="Q337">
        <f t="array" ref="Q337">IF(I337&gt;0,INDEX(DB,I337,9),EventIndex)</f>
        <v>6</v>
      </c>
      <c r="S337">
        <f t="array" ref="S337">(INT(INDEX(MINVALUES,$Q337,$K$1))*60)+(MOD(INDEX(MINVALUES,$Q337,$K$1),1)*100)</f>
        <v>180</v>
      </c>
      <c r="T337">
        <f t="array" ref="T337">(INDEX(INCVALUES,$Q337,$K$1)*100)</f>
        <v>1</v>
      </c>
      <c r="V337">
        <f t="array" ref="V337">+J337+(4*(INDEX(MatchScoreTable,$Q337,20)-1))</f>
        <v>4</v>
      </c>
      <c r="W337">
        <f t="array" ref="W337">INDEX(INC_MINVALUES,$V337,$K$1)</f>
        <v>480</v>
      </c>
      <c r="X337" s="212">
        <f t="array" ref="X337">INDEX(INC_INCVALUES,$V337,$K$1)</f>
        <v>4</v>
      </c>
    </row>
    <row r="338" ht="15.75" customHeight="1">
      <c r="A338" s="435"/>
      <c r="B338" s="436"/>
      <c r="C338" s="95" t="str">
        <f t="array" ref="C338">IF(I338&gt;0,INDEX(DB,I338,8),"")</f>
        <v/>
      </c>
      <c r="D338" s="437">
        <f t="shared" si="1"/>
        <v>0</v>
      </c>
      <c r="F338" s="438">
        <f t="shared" si="2"/>
        <v>0</v>
      </c>
      <c r="G338" t="str">
        <f t="shared" si="3"/>
        <v/>
      </c>
      <c r="H338" t="b">
        <f t="shared" si="4"/>
        <v>0</v>
      </c>
      <c r="I338" s="439">
        <f>IF(OR(ISBLANK(A338),ISNA(MATCH(A338&amp;"",AthleteNumbers,0))),0,MATCH(A338&amp;"",AthleteNumbers,0))</f>
        <v>0</v>
      </c>
      <c r="J338" s="209">
        <f t="array" ref="J338">IF(I338&gt;0,INDEX(DB,$I338,6),0)</f>
        <v>0</v>
      </c>
      <c r="K338" s="446">
        <f t="shared" si="5"/>
        <v>0</v>
      </c>
      <c r="L338" s="440">
        <f t="shared" si="6"/>
        <v>0</v>
      </c>
      <c r="M338" s="441">
        <f>IF(AND(L338&gt;O338,O338&gt;0),MinPoints,IF(AND(L338&lt;N338,O338&gt;0),100,+INT((O338-$L338)/P338)+MinPoints))</f>
        <v>100</v>
      </c>
      <c r="N338" s="440">
        <f t="shared" si="7"/>
        <v>90</v>
      </c>
      <c r="O338" s="440">
        <f t="shared" si="8"/>
        <v>180</v>
      </c>
      <c r="P338" s="440">
        <f t="shared" si="9"/>
        <v>1</v>
      </c>
      <c r="Q338">
        <f t="array" ref="Q338">IF(I338&gt;0,INDEX(DB,I338,9),EventIndex)</f>
        <v>6</v>
      </c>
      <c r="S338">
        <f t="array" ref="S338">(INT(INDEX(MINVALUES,$Q338,$K$1))*60)+(MOD(INDEX(MINVALUES,$Q338,$K$1),1)*100)</f>
        <v>180</v>
      </c>
      <c r="T338">
        <f t="array" ref="T338">(INDEX(INCVALUES,$Q338,$K$1)*100)</f>
        <v>1</v>
      </c>
      <c r="V338">
        <f t="array" ref="V338">+J338+(4*(INDEX(MatchScoreTable,$Q338,20)-1))</f>
        <v>4</v>
      </c>
      <c r="W338">
        <f t="array" ref="W338">INDEX(INC_MINVALUES,$V338,$K$1)</f>
        <v>480</v>
      </c>
      <c r="X338" s="212">
        <f t="array" ref="X338">INDEX(INC_INCVALUES,$V338,$K$1)</f>
        <v>4</v>
      </c>
    </row>
    <row r="339" ht="15.75" customHeight="1">
      <c r="A339" s="435"/>
      <c r="B339" s="436"/>
      <c r="C339" s="95" t="str">
        <f t="array" ref="C339">IF(I339&gt;0,INDEX(DB,I339,8),"")</f>
        <v/>
      </c>
      <c r="D339" s="437">
        <f t="shared" si="1"/>
        <v>0</v>
      </c>
      <c r="F339" s="438">
        <f t="shared" si="2"/>
        <v>0</v>
      </c>
      <c r="G339" t="str">
        <f t="shared" si="3"/>
        <v/>
      </c>
      <c r="H339" t="b">
        <f t="shared" si="4"/>
        <v>0</v>
      </c>
      <c r="I339" s="439">
        <f>IF(OR(ISBLANK(A339),ISNA(MATCH(A339&amp;"",AthleteNumbers,0))),0,MATCH(A339&amp;"",AthleteNumbers,0))</f>
        <v>0</v>
      </c>
      <c r="J339" s="209">
        <f t="array" ref="J339">IF(I339&gt;0,INDEX(DB,$I339,6),0)</f>
        <v>0</v>
      </c>
      <c r="K339" s="446">
        <f t="shared" si="5"/>
        <v>0</v>
      </c>
      <c r="L339" s="440">
        <f t="shared" si="6"/>
        <v>0</v>
      </c>
      <c r="M339" s="441">
        <f>IF(AND(L339&gt;O339,O339&gt;0),MinPoints,IF(AND(L339&lt;N339,O339&gt;0),100,+INT((O339-$L339)/P339)+MinPoints))</f>
        <v>100</v>
      </c>
      <c r="N339" s="440">
        <f t="shared" si="7"/>
        <v>90</v>
      </c>
      <c r="O339" s="440">
        <f t="shared" si="8"/>
        <v>180</v>
      </c>
      <c r="P339" s="440">
        <f t="shared" si="9"/>
        <v>1</v>
      </c>
      <c r="Q339">
        <f t="array" ref="Q339">IF(I339&gt;0,INDEX(DB,I339,9),EventIndex)</f>
        <v>6</v>
      </c>
      <c r="S339">
        <f t="array" ref="S339">(INT(INDEX(MINVALUES,$Q339,$K$1))*60)+(MOD(INDEX(MINVALUES,$Q339,$K$1),1)*100)</f>
        <v>180</v>
      </c>
      <c r="T339">
        <f t="array" ref="T339">(INDEX(INCVALUES,$Q339,$K$1)*100)</f>
        <v>1</v>
      </c>
      <c r="V339">
        <f t="array" ref="V339">+J339+(4*(INDEX(MatchScoreTable,$Q339,20)-1))</f>
        <v>4</v>
      </c>
      <c r="W339">
        <f t="array" ref="W339">INDEX(INC_MINVALUES,$V339,$K$1)</f>
        <v>480</v>
      </c>
      <c r="X339" s="212">
        <f t="array" ref="X339">INDEX(INC_INCVALUES,$V339,$K$1)</f>
        <v>4</v>
      </c>
    </row>
    <row r="340" ht="15.75" customHeight="1">
      <c r="A340" s="435"/>
      <c r="B340" s="436"/>
      <c r="C340" s="95" t="str">
        <f t="array" ref="C340">IF(I340&gt;0,INDEX(DB,I340,8),"")</f>
        <v/>
      </c>
      <c r="D340" s="437">
        <f t="shared" si="1"/>
        <v>0</v>
      </c>
      <c r="F340" s="438">
        <f t="shared" si="2"/>
        <v>0</v>
      </c>
      <c r="G340" t="str">
        <f t="shared" si="3"/>
        <v/>
      </c>
      <c r="H340" t="b">
        <f t="shared" si="4"/>
        <v>0</v>
      </c>
      <c r="I340" s="439">
        <f>IF(OR(ISBLANK(A340),ISNA(MATCH(A340&amp;"",AthleteNumbers,0))),0,MATCH(A340&amp;"",AthleteNumbers,0))</f>
        <v>0</v>
      </c>
      <c r="J340" s="209">
        <f t="array" ref="J340">IF(I340&gt;0,INDEX(DB,$I340,6),0)</f>
        <v>0</v>
      </c>
      <c r="K340" s="446">
        <f t="shared" si="5"/>
        <v>0</v>
      </c>
      <c r="L340" s="440">
        <f t="shared" si="6"/>
        <v>0</v>
      </c>
      <c r="M340" s="441">
        <f>IF(AND(L340&gt;O340,O340&gt;0),MinPoints,IF(AND(L340&lt;N340,O340&gt;0),100,+INT((O340-$L340)/P340)+MinPoints))</f>
        <v>100</v>
      </c>
      <c r="N340" s="440">
        <f t="shared" si="7"/>
        <v>90</v>
      </c>
      <c r="O340" s="440">
        <f t="shared" si="8"/>
        <v>180</v>
      </c>
      <c r="P340" s="440">
        <f t="shared" si="9"/>
        <v>1</v>
      </c>
      <c r="Q340">
        <f t="array" ref="Q340">IF(I340&gt;0,INDEX(DB,I340,9),EventIndex)</f>
        <v>6</v>
      </c>
      <c r="S340">
        <f t="array" ref="S340">(INT(INDEX(MINVALUES,$Q340,$K$1))*60)+(MOD(INDEX(MINVALUES,$Q340,$K$1),1)*100)</f>
        <v>180</v>
      </c>
      <c r="T340">
        <f t="array" ref="T340">(INDEX(INCVALUES,$Q340,$K$1)*100)</f>
        <v>1</v>
      </c>
      <c r="V340">
        <f t="array" ref="V340">+J340+(4*(INDEX(MatchScoreTable,$Q340,20)-1))</f>
        <v>4</v>
      </c>
      <c r="W340">
        <f t="array" ref="W340">INDEX(INC_MINVALUES,$V340,$K$1)</f>
        <v>480</v>
      </c>
      <c r="X340" s="212">
        <f t="array" ref="X340">INDEX(INC_INCVALUES,$V340,$K$1)</f>
        <v>4</v>
      </c>
    </row>
    <row r="341" ht="15.75" customHeight="1">
      <c r="A341" s="435"/>
      <c r="B341" s="436"/>
      <c r="C341" s="95" t="str">
        <f t="array" ref="C341">IF(I341&gt;0,INDEX(DB,I341,8),"")</f>
        <v/>
      </c>
      <c r="D341" s="437">
        <f t="shared" si="1"/>
        <v>0</v>
      </c>
      <c r="F341" s="438">
        <f t="shared" si="2"/>
        <v>0</v>
      </c>
      <c r="G341" t="str">
        <f t="shared" si="3"/>
        <v/>
      </c>
      <c r="H341" t="b">
        <f t="shared" si="4"/>
        <v>0</v>
      </c>
      <c r="I341" s="439">
        <f>IF(OR(ISBLANK(A341),ISNA(MATCH(A341&amp;"",AthleteNumbers,0))),0,MATCH(A341&amp;"",AthleteNumbers,0))</f>
        <v>0</v>
      </c>
      <c r="J341" s="209">
        <f t="array" ref="J341">IF(I341&gt;0,INDEX(DB,$I341,6),0)</f>
        <v>0</v>
      </c>
      <c r="K341" s="446">
        <f t="shared" si="5"/>
        <v>0</v>
      </c>
      <c r="L341" s="440">
        <f t="shared" si="6"/>
        <v>0</v>
      </c>
      <c r="M341" s="441">
        <f>IF(AND(L341&gt;O341,O341&gt;0),MinPoints,IF(AND(L341&lt;N341,O341&gt;0),100,+INT((O341-$L341)/P341)+MinPoints))</f>
        <v>100</v>
      </c>
      <c r="N341" s="440">
        <f t="shared" si="7"/>
        <v>90</v>
      </c>
      <c r="O341" s="440">
        <f t="shared" si="8"/>
        <v>180</v>
      </c>
      <c r="P341" s="440">
        <f t="shared" si="9"/>
        <v>1</v>
      </c>
      <c r="Q341">
        <f t="array" ref="Q341">IF(I341&gt;0,INDEX(DB,I341,9),EventIndex)</f>
        <v>6</v>
      </c>
      <c r="S341">
        <f t="array" ref="S341">(INT(INDEX(MINVALUES,$Q341,$K$1))*60)+(MOD(INDEX(MINVALUES,$Q341,$K$1),1)*100)</f>
        <v>180</v>
      </c>
      <c r="T341">
        <f t="array" ref="T341">(INDEX(INCVALUES,$Q341,$K$1)*100)</f>
        <v>1</v>
      </c>
      <c r="V341">
        <f t="array" ref="V341">+J341+(4*(INDEX(MatchScoreTable,$Q341,20)-1))</f>
        <v>4</v>
      </c>
      <c r="W341">
        <f t="array" ref="W341">INDEX(INC_MINVALUES,$V341,$K$1)</f>
        <v>480</v>
      </c>
      <c r="X341" s="212">
        <f t="array" ref="X341">INDEX(INC_INCVALUES,$V341,$K$1)</f>
        <v>4</v>
      </c>
    </row>
    <row r="342" ht="15.75" customHeight="1">
      <c r="A342" s="435"/>
      <c r="B342" s="436"/>
      <c r="C342" s="95" t="str">
        <f t="array" ref="C342">IF(I342&gt;0,INDEX(DB,I342,8),"")</f>
        <v/>
      </c>
      <c r="D342" s="437">
        <f t="shared" si="1"/>
        <v>0</v>
      </c>
      <c r="F342" s="438">
        <f t="shared" si="2"/>
        <v>0</v>
      </c>
      <c r="G342" t="str">
        <f t="shared" si="3"/>
        <v/>
      </c>
      <c r="H342" t="b">
        <f t="shared" si="4"/>
        <v>0</v>
      </c>
      <c r="I342" s="439">
        <f>IF(OR(ISBLANK(A342),ISNA(MATCH(A342&amp;"",AthleteNumbers,0))),0,MATCH(A342&amp;"",AthleteNumbers,0))</f>
        <v>0</v>
      </c>
      <c r="J342" s="209">
        <f t="array" ref="J342">IF(I342&gt;0,INDEX(DB,$I342,6),0)</f>
        <v>0</v>
      </c>
      <c r="K342" s="446">
        <f t="shared" si="5"/>
        <v>0</v>
      </c>
      <c r="L342" s="440">
        <f t="shared" si="6"/>
        <v>0</v>
      </c>
      <c r="M342" s="441">
        <f>IF(AND(L342&gt;O342,O342&gt;0),MinPoints,IF(AND(L342&lt;N342,O342&gt;0),100,+INT((O342-$L342)/P342)+MinPoints))</f>
        <v>100</v>
      </c>
      <c r="N342" s="440">
        <f t="shared" si="7"/>
        <v>90</v>
      </c>
      <c r="O342" s="440">
        <f t="shared" si="8"/>
        <v>180</v>
      </c>
      <c r="P342" s="440">
        <f t="shared" si="9"/>
        <v>1</v>
      </c>
      <c r="Q342">
        <f t="array" ref="Q342">IF(I342&gt;0,INDEX(DB,I342,9),EventIndex)</f>
        <v>6</v>
      </c>
      <c r="S342">
        <f t="array" ref="S342">(INT(INDEX(MINVALUES,$Q342,$K$1))*60)+(MOD(INDEX(MINVALUES,$Q342,$K$1),1)*100)</f>
        <v>180</v>
      </c>
      <c r="T342">
        <f t="array" ref="T342">(INDEX(INCVALUES,$Q342,$K$1)*100)</f>
        <v>1</v>
      </c>
      <c r="V342">
        <f t="array" ref="V342">+J342+(4*(INDEX(MatchScoreTable,$Q342,20)-1))</f>
        <v>4</v>
      </c>
      <c r="W342">
        <f t="array" ref="W342">INDEX(INC_MINVALUES,$V342,$K$1)</f>
        <v>480</v>
      </c>
      <c r="X342" s="212">
        <f t="array" ref="X342">INDEX(INC_INCVALUES,$V342,$K$1)</f>
        <v>4</v>
      </c>
    </row>
    <row r="343" ht="15.75" customHeight="1">
      <c r="A343" s="435"/>
      <c r="B343" s="436"/>
      <c r="C343" s="95" t="str">
        <f t="array" ref="C343">IF(I343&gt;0,INDEX(DB,I343,8),"")</f>
        <v/>
      </c>
      <c r="D343" s="437">
        <f t="shared" si="1"/>
        <v>0</v>
      </c>
      <c r="F343" s="438">
        <f t="shared" si="2"/>
        <v>0</v>
      </c>
      <c r="G343" t="str">
        <f t="shared" si="3"/>
        <v/>
      </c>
      <c r="H343" t="b">
        <f t="shared" si="4"/>
        <v>0</v>
      </c>
      <c r="I343" s="439">
        <f>IF(OR(ISBLANK(A343),ISNA(MATCH(A343&amp;"",AthleteNumbers,0))),0,MATCH(A343&amp;"",AthleteNumbers,0))</f>
        <v>0</v>
      </c>
      <c r="J343" s="209">
        <f t="array" ref="J343">IF(I343&gt;0,INDEX(DB,$I343,6),0)</f>
        <v>0</v>
      </c>
      <c r="K343" s="446">
        <f t="shared" si="5"/>
        <v>0</v>
      </c>
      <c r="L343" s="440">
        <f t="shared" si="6"/>
        <v>0</v>
      </c>
      <c r="M343" s="441">
        <f>IF(AND(L343&gt;O343,O343&gt;0),MinPoints,IF(AND(L343&lt;N343,O343&gt;0),100,+INT((O343-$L343)/P343)+MinPoints))</f>
        <v>100</v>
      </c>
      <c r="N343" s="440">
        <f t="shared" si="7"/>
        <v>90</v>
      </c>
      <c r="O343" s="440">
        <f t="shared" si="8"/>
        <v>180</v>
      </c>
      <c r="P343" s="440">
        <f t="shared" si="9"/>
        <v>1</v>
      </c>
      <c r="Q343">
        <f t="array" ref="Q343">IF(I343&gt;0,INDEX(DB,I343,9),EventIndex)</f>
        <v>6</v>
      </c>
      <c r="S343">
        <f t="array" ref="S343">(INT(INDEX(MINVALUES,$Q343,$K$1))*60)+(MOD(INDEX(MINVALUES,$Q343,$K$1),1)*100)</f>
        <v>180</v>
      </c>
      <c r="T343">
        <f t="array" ref="T343">(INDEX(INCVALUES,$Q343,$K$1)*100)</f>
        <v>1</v>
      </c>
      <c r="V343">
        <f t="array" ref="V343">+J343+(4*(INDEX(MatchScoreTable,$Q343,20)-1))</f>
        <v>4</v>
      </c>
      <c r="W343">
        <f t="array" ref="W343">INDEX(INC_MINVALUES,$V343,$K$1)</f>
        <v>480</v>
      </c>
      <c r="X343" s="212">
        <f t="array" ref="X343">INDEX(INC_INCVALUES,$V343,$K$1)</f>
        <v>4</v>
      </c>
    </row>
    <row r="344" ht="15.75" customHeight="1">
      <c r="A344" s="435"/>
      <c r="B344" s="436"/>
      <c r="C344" s="95" t="str">
        <f t="array" ref="C344">IF(I344&gt;0,INDEX(DB,I344,8),"")</f>
        <v/>
      </c>
      <c r="D344" s="437">
        <f t="shared" si="1"/>
        <v>0</v>
      </c>
      <c r="F344" s="438">
        <f t="shared" si="2"/>
        <v>0</v>
      </c>
      <c r="G344" t="str">
        <f t="shared" si="3"/>
        <v/>
      </c>
      <c r="H344" t="b">
        <f t="shared" si="4"/>
        <v>0</v>
      </c>
      <c r="I344" s="439">
        <f>IF(OR(ISBLANK(A344),ISNA(MATCH(A344&amp;"",AthleteNumbers,0))),0,MATCH(A344&amp;"",AthleteNumbers,0))</f>
        <v>0</v>
      </c>
      <c r="J344" s="209">
        <f t="array" ref="J344">IF(I344&gt;0,INDEX(DB,$I344,6),0)</f>
        <v>0</v>
      </c>
      <c r="K344" s="446">
        <f t="shared" si="5"/>
        <v>0</v>
      </c>
      <c r="L344" s="440">
        <f t="shared" si="6"/>
        <v>0</v>
      </c>
      <c r="M344" s="441">
        <f>IF(AND(L344&gt;O344,O344&gt;0),MinPoints,IF(AND(L344&lt;N344,O344&gt;0),100,+INT((O344-$L344)/P344)+MinPoints))</f>
        <v>100</v>
      </c>
      <c r="N344" s="440">
        <f t="shared" si="7"/>
        <v>90</v>
      </c>
      <c r="O344" s="440">
        <f t="shared" si="8"/>
        <v>180</v>
      </c>
      <c r="P344" s="440">
        <f t="shared" si="9"/>
        <v>1</v>
      </c>
      <c r="Q344">
        <f t="array" ref="Q344">IF(I344&gt;0,INDEX(DB,I344,9),EventIndex)</f>
        <v>6</v>
      </c>
      <c r="S344">
        <f t="array" ref="S344">(INT(INDEX(MINVALUES,$Q344,$K$1))*60)+(MOD(INDEX(MINVALUES,$Q344,$K$1),1)*100)</f>
        <v>180</v>
      </c>
      <c r="T344">
        <f t="array" ref="T344">(INDEX(INCVALUES,$Q344,$K$1)*100)</f>
        <v>1</v>
      </c>
      <c r="V344">
        <f t="array" ref="V344">+J344+(4*(INDEX(MatchScoreTable,$Q344,20)-1))</f>
        <v>4</v>
      </c>
      <c r="W344">
        <f t="array" ref="W344">INDEX(INC_MINVALUES,$V344,$K$1)</f>
        <v>480</v>
      </c>
      <c r="X344" s="212">
        <f t="array" ref="X344">INDEX(INC_INCVALUES,$V344,$K$1)</f>
        <v>4</v>
      </c>
    </row>
    <row r="345" ht="15.75" customHeight="1">
      <c r="A345" s="435"/>
      <c r="B345" s="436"/>
      <c r="C345" s="95" t="str">
        <f t="array" ref="C345">IF(I345&gt;0,INDEX(DB,I345,8),"")</f>
        <v/>
      </c>
      <c r="D345" s="437">
        <f t="shared" si="1"/>
        <v>0</v>
      </c>
      <c r="F345" s="438">
        <f t="shared" si="2"/>
        <v>0</v>
      </c>
      <c r="G345" t="str">
        <f t="shared" si="3"/>
        <v/>
      </c>
      <c r="H345" t="b">
        <f t="shared" si="4"/>
        <v>0</v>
      </c>
      <c r="I345" s="439">
        <f>IF(OR(ISBLANK(A345),ISNA(MATCH(A345&amp;"",AthleteNumbers,0))),0,MATCH(A345&amp;"",AthleteNumbers,0))</f>
        <v>0</v>
      </c>
      <c r="J345" s="209">
        <f t="array" ref="J345">IF(I345&gt;0,INDEX(DB,$I345,6),0)</f>
        <v>0</v>
      </c>
      <c r="K345" s="446">
        <f t="shared" si="5"/>
        <v>0</v>
      </c>
      <c r="L345" s="440">
        <f t="shared" si="6"/>
        <v>0</v>
      </c>
      <c r="M345" s="441">
        <f>IF(AND(L345&gt;O345,O345&gt;0),MinPoints,IF(AND(L345&lt;N345,O345&gt;0),100,+INT((O345-$L345)/P345)+MinPoints))</f>
        <v>100</v>
      </c>
      <c r="N345" s="440">
        <f t="shared" si="7"/>
        <v>90</v>
      </c>
      <c r="O345" s="440">
        <f t="shared" si="8"/>
        <v>180</v>
      </c>
      <c r="P345" s="440">
        <f t="shared" si="9"/>
        <v>1</v>
      </c>
      <c r="Q345">
        <f t="array" ref="Q345">IF(I345&gt;0,INDEX(DB,I345,9),EventIndex)</f>
        <v>6</v>
      </c>
      <c r="S345">
        <f t="array" ref="S345">(INT(INDEX(MINVALUES,$Q345,$K$1))*60)+(MOD(INDEX(MINVALUES,$Q345,$K$1),1)*100)</f>
        <v>180</v>
      </c>
      <c r="T345">
        <f t="array" ref="T345">(INDEX(INCVALUES,$Q345,$K$1)*100)</f>
        <v>1</v>
      </c>
      <c r="V345">
        <f t="array" ref="V345">+J345+(4*(INDEX(MatchScoreTable,$Q345,20)-1))</f>
        <v>4</v>
      </c>
      <c r="W345">
        <f t="array" ref="W345">INDEX(INC_MINVALUES,$V345,$K$1)</f>
        <v>480</v>
      </c>
      <c r="X345" s="212">
        <f t="array" ref="X345">INDEX(INC_INCVALUES,$V345,$K$1)</f>
        <v>4</v>
      </c>
    </row>
    <row r="346" ht="15.75" customHeight="1">
      <c r="A346" s="435"/>
      <c r="B346" s="436"/>
      <c r="C346" s="95" t="str">
        <f t="array" ref="C346">IF(I346&gt;0,INDEX(DB,I346,8),"")</f>
        <v/>
      </c>
      <c r="D346" s="437">
        <f t="shared" si="1"/>
        <v>0</v>
      </c>
      <c r="F346" s="438">
        <f t="shared" si="2"/>
        <v>0</v>
      </c>
      <c r="G346" t="str">
        <f t="shared" si="3"/>
        <v/>
      </c>
      <c r="H346" t="b">
        <f t="shared" si="4"/>
        <v>0</v>
      </c>
      <c r="I346" s="439">
        <f>IF(OR(ISBLANK(A346),ISNA(MATCH(A346&amp;"",AthleteNumbers,0))),0,MATCH(A346&amp;"",AthleteNumbers,0))</f>
        <v>0</v>
      </c>
      <c r="J346" s="209">
        <f t="array" ref="J346">IF(I346&gt;0,INDEX(DB,$I346,6),0)</f>
        <v>0</v>
      </c>
      <c r="K346" s="446">
        <f t="shared" si="5"/>
        <v>0</v>
      </c>
      <c r="L346" s="440">
        <f t="shared" si="6"/>
        <v>0</v>
      </c>
      <c r="M346" s="441">
        <f>IF(AND(L346&gt;O346,O346&gt;0),MinPoints,IF(AND(L346&lt;N346,O346&gt;0),100,+INT((O346-$L346)/P346)+MinPoints))</f>
        <v>100</v>
      </c>
      <c r="N346" s="440">
        <f t="shared" si="7"/>
        <v>90</v>
      </c>
      <c r="O346" s="440">
        <f t="shared" si="8"/>
        <v>180</v>
      </c>
      <c r="P346" s="440">
        <f t="shared" si="9"/>
        <v>1</v>
      </c>
      <c r="Q346">
        <f t="array" ref="Q346">IF(I346&gt;0,INDEX(DB,I346,9),EventIndex)</f>
        <v>6</v>
      </c>
      <c r="S346">
        <f t="array" ref="S346">(INT(INDEX(MINVALUES,$Q346,$K$1))*60)+(MOD(INDEX(MINVALUES,$Q346,$K$1),1)*100)</f>
        <v>180</v>
      </c>
      <c r="T346">
        <f t="array" ref="T346">(INDEX(INCVALUES,$Q346,$K$1)*100)</f>
        <v>1</v>
      </c>
      <c r="V346">
        <f t="array" ref="V346">+J346+(4*(INDEX(MatchScoreTable,$Q346,20)-1))</f>
        <v>4</v>
      </c>
      <c r="W346">
        <f t="array" ref="W346">INDEX(INC_MINVALUES,$V346,$K$1)</f>
        <v>480</v>
      </c>
      <c r="X346" s="212">
        <f t="array" ref="X346">INDEX(INC_INCVALUES,$V346,$K$1)</f>
        <v>4</v>
      </c>
    </row>
    <row r="347" ht="15.75" customHeight="1">
      <c r="A347" s="435"/>
      <c r="B347" s="436"/>
      <c r="C347" s="95" t="str">
        <f t="array" ref="C347">IF(I347&gt;0,INDEX(DB,I347,8),"")</f>
        <v/>
      </c>
      <c r="D347" s="437">
        <f t="shared" si="1"/>
        <v>0</v>
      </c>
      <c r="F347" s="438">
        <f t="shared" si="2"/>
        <v>0</v>
      </c>
      <c r="G347" t="str">
        <f t="shared" si="3"/>
        <v/>
      </c>
      <c r="H347" t="b">
        <f t="shared" si="4"/>
        <v>0</v>
      </c>
      <c r="I347" s="439">
        <f>IF(OR(ISBLANK(A347),ISNA(MATCH(A347&amp;"",AthleteNumbers,0))),0,MATCH(A347&amp;"",AthleteNumbers,0))</f>
        <v>0</v>
      </c>
      <c r="J347" s="209">
        <f t="array" ref="J347">IF(I347&gt;0,INDEX(DB,$I347,6),0)</f>
        <v>0</v>
      </c>
      <c r="K347" s="446">
        <f t="shared" si="5"/>
        <v>0</v>
      </c>
      <c r="L347" s="440">
        <f t="shared" si="6"/>
        <v>0</v>
      </c>
      <c r="M347" s="441">
        <f>IF(AND(L347&gt;O347,O347&gt;0),MinPoints,IF(AND(L347&lt;N347,O347&gt;0),100,+INT((O347-$L347)/P347)+MinPoints))</f>
        <v>100</v>
      </c>
      <c r="N347" s="440">
        <f t="shared" si="7"/>
        <v>90</v>
      </c>
      <c r="O347" s="440">
        <f t="shared" si="8"/>
        <v>180</v>
      </c>
      <c r="P347" s="440">
        <f t="shared" si="9"/>
        <v>1</v>
      </c>
      <c r="Q347">
        <f t="array" ref="Q347">IF(I347&gt;0,INDEX(DB,I347,9),EventIndex)</f>
        <v>6</v>
      </c>
      <c r="S347">
        <f t="array" ref="S347">(INT(INDEX(MINVALUES,$Q347,$K$1))*60)+(MOD(INDEX(MINVALUES,$Q347,$K$1),1)*100)</f>
        <v>180</v>
      </c>
      <c r="T347">
        <f t="array" ref="T347">(INDEX(INCVALUES,$Q347,$K$1)*100)</f>
        <v>1</v>
      </c>
      <c r="V347">
        <f t="array" ref="V347">+J347+(4*(INDEX(MatchScoreTable,$Q347,20)-1))</f>
        <v>4</v>
      </c>
      <c r="W347">
        <f t="array" ref="W347">INDEX(INC_MINVALUES,$V347,$K$1)</f>
        <v>480</v>
      </c>
      <c r="X347" s="212">
        <f t="array" ref="X347">INDEX(INC_INCVALUES,$V347,$K$1)</f>
        <v>4</v>
      </c>
    </row>
    <row r="348" ht="15.75" customHeight="1">
      <c r="A348" s="435"/>
      <c r="B348" s="436"/>
      <c r="C348" s="95" t="str">
        <f t="array" ref="C348">IF(I348&gt;0,INDEX(DB,I348,8),"")</f>
        <v/>
      </c>
      <c r="D348" s="437">
        <f t="shared" si="1"/>
        <v>0</v>
      </c>
      <c r="F348" s="438">
        <f t="shared" si="2"/>
        <v>0</v>
      </c>
      <c r="G348" t="str">
        <f t="shared" si="3"/>
        <v/>
      </c>
      <c r="H348" t="b">
        <f t="shared" si="4"/>
        <v>0</v>
      </c>
      <c r="I348" s="439">
        <f>IF(OR(ISBLANK(A348),ISNA(MATCH(A348&amp;"",AthleteNumbers,0))),0,MATCH(A348&amp;"",AthleteNumbers,0))</f>
        <v>0</v>
      </c>
      <c r="J348" s="209">
        <f t="array" ref="J348">IF(I348&gt;0,INDEX(DB,$I348,6),0)</f>
        <v>0</v>
      </c>
      <c r="K348" s="446">
        <f t="shared" si="5"/>
        <v>0</v>
      </c>
      <c r="L348" s="440">
        <f t="shared" si="6"/>
        <v>0</v>
      </c>
      <c r="M348" s="441">
        <f>IF(AND(L348&gt;O348,O348&gt;0),MinPoints,IF(AND(L348&lt;N348,O348&gt;0),100,+INT((O348-$L348)/P348)+MinPoints))</f>
        <v>100</v>
      </c>
      <c r="N348" s="440">
        <f t="shared" si="7"/>
        <v>90</v>
      </c>
      <c r="O348" s="440">
        <f t="shared" si="8"/>
        <v>180</v>
      </c>
      <c r="P348" s="440">
        <f t="shared" si="9"/>
        <v>1</v>
      </c>
      <c r="Q348">
        <f t="array" ref="Q348">IF(I348&gt;0,INDEX(DB,I348,9),EventIndex)</f>
        <v>6</v>
      </c>
      <c r="S348">
        <f t="array" ref="S348">(INT(INDEX(MINVALUES,$Q348,$K$1))*60)+(MOD(INDEX(MINVALUES,$Q348,$K$1),1)*100)</f>
        <v>180</v>
      </c>
      <c r="T348">
        <f t="array" ref="T348">(INDEX(INCVALUES,$Q348,$K$1)*100)</f>
        <v>1</v>
      </c>
      <c r="V348">
        <f t="array" ref="V348">+J348+(4*(INDEX(MatchScoreTable,$Q348,20)-1))</f>
        <v>4</v>
      </c>
      <c r="W348">
        <f t="array" ref="W348">INDEX(INC_MINVALUES,$V348,$K$1)</f>
        <v>480</v>
      </c>
      <c r="X348" s="212">
        <f t="array" ref="X348">INDEX(INC_INCVALUES,$V348,$K$1)</f>
        <v>4</v>
      </c>
    </row>
    <row r="349" ht="15.75" customHeight="1">
      <c r="A349" s="435"/>
      <c r="B349" s="436"/>
      <c r="C349" s="95" t="str">
        <f t="array" ref="C349">IF(I349&gt;0,INDEX(DB,I349,8),"")</f>
        <v/>
      </c>
      <c r="D349" s="437">
        <f t="shared" si="1"/>
        <v>0</v>
      </c>
      <c r="F349" s="438">
        <f t="shared" si="2"/>
        <v>0</v>
      </c>
      <c r="G349" t="str">
        <f t="shared" si="3"/>
        <v/>
      </c>
      <c r="H349" t="b">
        <f t="shared" si="4"/>
        <v>0</v>
      </c>
      <c r="I349" s="439">
        <f>IF(OR(ISBLANK(A349),ISNA(MATCH(A349&amp;"",AthleteNumbers,0))),0,MATCH(A349&amp;"",AthleteNumbers,0))</f>
        <v>0</v>
      </c>
      <c r="J349" s="209">
        <f t="array" ref="J349">IF(I349&gt;0,INDEX(DB,$I349,6),0)</f>
        <v>0</v>
      </c>
      <c r="K349" s="446">
        <f t="shared" si="5"/>
        <v>0</v>
      </c>
      <c r="L349" s="440">
        <f t="shared" si="6"/>
        <v>0</v>
      </c>
      <c r="M349" s="441">
        <f>IF(AND(L349&gt;O349,O349&gt;0),MinPoints,IF(AND(L349&lt;N349,O349&gt;0),100,+INT((O349-$L349)/P349)+MinPoints))</f>
        <v>100</v>
      </c>
      <c r="N349" s="440">
        <f t="shared" si="7"/>
        <v>90</v>
      </c>
      <c r="O349" s="440">
        <f t="shared" si="8"/>
        <v>180</v>
      </c>
      <c r="P349" s="440">
        <f t="shared" si="9"/>
        <v>1</v>
      </c>
      <c r="Q349">
        <f t="array" ref="Q349">IF(I349&gt;0,INDEX(DB,I349,9),EventIndex)</f>
        <v>6</v>
      </c>
      <c r="S349">
        <f t="array" ref="S349">(INT(INDEX(MINVALUES,$Q349,$K$1))*60)+(MOD(INDEX(MINVALUES,$Q349,$K$1),1)*100)</f>
        <v>180</v>
      </c>
      <c r="T349">
        <f t="array" ref="T349">(INDEX(INCVALUES,$Q349,$K$1)*100)</f>
        <v>1</v>
      </c>
      <c r="V349">
        <f t="array" ref="V349">+J349+(4*(INDEX(MatchScoreTable,$Q349,20)-1))</f>
        <v>4</v>
      </c>
      <c r="W349">
        <f t="array" ref="W349">INDEX(INC_MINVALUES,$V349,$K$1)</f>
        <v>480</v>
      </c>
      <c r="X349" s="212">
        <f t="array" ref="X349">INDEX(INC_INCVALUES,$V349,$K$1)</f>
        <v>4</v>
      </c>
    </row>
    <row r="350" ht="15.75" customHeight="1">
      <c r="A350" s="435"/>
      <c r="B350" s="436"/>
      <c r="C350" s="95" t="str">
        <f t="array" ref="C350">IF(I350&gt;0,INDEX(DB,I350,8),"")</f>
        <v/>
      </c>
      <c r="D350" s="437">
        <f t="shared" si="1"/>
        <v>0</v>
      </c>
      <c r="F350" s="438">
        <f t="shared" si="2"/>
        <v>0</v>
      </c>
      <c r="G350" t="str">
        <f t="shared" si="3"/>
        <v/>
      </c>
      <c r="H350" t="b">
        <f t="shared" si="4"/>
        <v>0</v>
      </c>
      <c r="I350" s="439">
        <f>IF(OR(ISBLANK(A350),ISNA(MATCH(A350&amp;"",AthleteNumbers,0))),0,MATCH(A350&amp;"",AthleteNumbers,0))</f>
        <v>0</v>
      </c>
      <c r="J350" s="209">
        <f t="array" ref="J350">IF(I350&gt;0,INDEX(DB,$I350,6),0)</f>
        <v>0</v>
      </c>
      <c r="K350" s="446">
        <f t="shared" si="5"/>
        <v>0</v>
      </c>
      <c r="L350" s="440">
        <f t="shared" si="6"/>
        <v>0</v>
      </c>
      <c r="M350" s="441">
        <f>IF(AND(L350&gt;O350,O350&gt;0),MinPoints,IF(AND(L350&lt;N350,O350&gt;0),100,+INT((O350-$L350)/P350)+MinPoints))</f>
        <v>100</v>
      </c>
      <c r="N350" s="440">
        <f t="shared" si="7"/>
        <v>90</v>
      </c>
      <c r="O350" s="440">
        <f t="shared" si="8"/>
        <v>180</v>
      </c>
      <c r="P350" s="440">
        <f t="shared" si="9"/>
        <v>1</v>
      </c>
      <c r="Q350">
        <f t="array" ref="Q350">IF(I350&gt;0,INDEX(DB,I350,9),EventIndex)</f>
        <v>6</v>
      </c>
      <c r="S350">
        <f t="array" ref="S350">(INT(INDEX(MINVALUES,$Q350,$K$1))*60)+(MOD(INDEX(MINVALUES,$Q350,$K$1),1)*100)</f>
        <v>180</v>
      </c>
      <c r="T350">
        <f t="array" ref="T350">(INDEX(INCVALUES,$Q350,$K$1)*100)</f>
        <v>1</v>
      </c>
      <c r="V350">
        <f t="array" ref="V350">+J350+(4*(INDEX(MatchScoreTable,$Q350,20)-1))</f>
        <v>4</v>
      </c>
      <c r="W350">
        <f t="array" ref="W350">INDEX(INC_MINVALUES,$V350,$K$1)</f>
        <v>480</v>
      </c>
      <c r="X350" s="212">
        <f t="array" ref="X350">INDEX(INC_INCVALUES,$V350,$K$1)</f>
        <v>4</v>
      </c>
    </row>
    <row r="351" ht="15.75" customHeight="1">
      <c r="A351" s="435"/>
      <c r="B351" s="436"/>
      <c r="C351" s="95" t="str">
        <f t="array" ref="C351">IF(I351&gt;0,INDEX(DB,I351,8),"")</f>
        <v/>
      </c>
      <c r="D351" s="437">
        <f t="shared" si="1"/>
        <v>0</v>
      </c>
      <c r="F351" s="438">
        <f t="shared" si="2"/>
        <v>0</v>
      </c>
      <c r="G351" t="str">
        <f t="shared" si="3"/>
        <v/>
      </c>
      <c r="H351" t="b">
        <f t="shared" si="4"/>
        <v>0</v>
      </c>
      <c r="I351" s="439">
        <f>IF(OR(ISBLANK(A351),ISNA(MATCH(A351&amp;"",AthleteNumbers,0))),0,MATCH(A351&amp;"",AthleteNumbers,0))</f>
        <v>0</v>
      </c>
      <c r="J351" s="209">
        <f t="array" ref="J351">IF(I351&gt;0,INDEX(DB,$I351,6),0)</f>
        <v>0</v>
      </c>
      <c r="K351" s="446">
        <f t="shared" si="5"/>
        <v>0</v>
      </c>
      <c r="L351" s="440">
        <f t="shared" si="6"/>
        <v>0</v>
      </c>
      <c r="M351" s="441">
        <f>IF(AND(L351&gt;O351,O351&gt;0),MinPoints,IF(AND(L351&lt;N351,O351&gt;0),100,+INT((O351-$L351)/P351)+MinPoints))</f>
        <v>100</v>
      </c>
      <c r="N351" s="440">
        <f t="shared" si="7"/>
        <v>90</v>
      </c>
      <c r="O351" s="440">
        <f t="shared" si="8"/>
        <v>180</v>
      </c>
      <c r="P351" s="440">
        <f t="shared" si="9"/>
        <v>1</v>
      </c>
      <c r="Q351">
        <f t="array" ref="Q351">IF(I351&gt;0,INDEX(DB,I351,9),EventIndex)</f>
        <v>6</v>
      </c>
      <c r="S351">
        <f t="array" ref="S351">(INT(INDEX(MINVALUES,$Q351,$K$1))*60)+(MOD(INDEX(MINVALUES,$Q351,$K$1),1)*100)</f>
        <v>180</v>
      </c>
      <c r="T351">
        <f t="array" ref="T351">(INDEX(INCVALUES,$Q351,$K$1)*100)</f>
        <v>1</v>
      </c>
      <c r="V351">
        <f t="array" ref="V351">+J351+(4*(INDEX(MatchScoreTable,$Q351,20)-1))</f>
        <v>4</v>
      </c>
      <c r="W351">
        <f t="array" ref="W351">INDEX(INC_MINVALUES,$V351,$K$1)</f>
        <v>480</v>
      </c>
      <c r="X351" s="212">
        <f t="array" ref="X351">INDEX(INC_INCVALUES,$V351,$K$1)</f>
        <v>4</v>
      </c>
    </row>
    <row r="352" ht="15.75" customHeight="1">
      <c r="A352" s="435"/>
      <c r="B352" s="436"/>
      <c r="C352" s="95" t="str">
        <f t="array" ref="C352">IF(I352&gt;0,INDEX(DB,I352,8),"")</f>
        <v/>
      </c>
      <c r="D352" s="437">
        <f t="shared" si="1"/>
        <v>0</v>
      </c>
      <c r="F352" s="438">
        <f t="shared" si="2"/>
        <v>0</v>
      </c>
      <c r="G352" t="str">
        <f t="shared" si="3"/>
        <v/>
      </c>
      <c r="H352" t="b">
        <f t="shared" si="4"/>
        <v>0</v>
      </c>
      <c r="I352" s="439">
        <f>IF(OR(ISBLANK(A352),ISNA(MATCH(A352&amp;"",AthleteNumbers,0))),0,MATCH(A352&amp;"",AthleteNumbers,0))</f>
        <v>0</v>
      </c>
      <c r="J352" s="209">
        <f t="array" ref="J352">IF(I352&gt;0,INDEX(DB,$I352,6),0)</f>
        <v>0</v>
      </c>
      <c r="K352" s="446">
        <f t="shared" si="5"/>
        <v>0</v>
      </c>
      <c r="L352" s="440">
        <f t="shared" si="6"/>
        <v>0</v>
      </c>
      <c r="M352" s="441">
        <f>IF(AND(L352&gt;O352,O352&gt;0),MinPoints,IF(AND(L352&lt;N352,O352&gt;0),100,+INT((O352-$L352)/P352)+MinPoints))</f>
        <v>100</v>
      </c>
      <c r="N352" s="440">
        <f t="shared" si="7"/>
        <v>90</v>
      </c>
      <c r="O352" s="440">
        <f t="shared" si="8"/>
        <v>180</v>
      </c>
      <c r="P352" s="440">
        <f t="shared" si="9"/>
        <v>1</v>
      </c>
      <c r="Q352">
        <f t="array" ref="Q352">IF(I352&gt;0,INDEX(DB,I352,9),EventIndex)</f>
        <v>6</v>
      </c>
      <c r="S352">
        <f t="array" ref="S352">(INT(INDEX(MINVALUES,$Q352,$K$1))*60)+(MOD(INDEX(MINVALUES,$Q352,$K$1),1)*100)</f>
        <v>180</v>
      </c>
      <c r="T352">
        <f t="array" ref="T352">(INDEX(INCVALUES,$Q352,$K$1)*100)</f>
        <v>1</v>
      </c>
      <c r="V352">
        <f t="array" ref="V352">+J352+(4*(INDEX(MatchScoreTable,$Q352,20)-1))</f>
        <v>4</v>
      </c>
      <c r="W352">
        <f t="array" ref="W352">INDEX(INC_MINVALUES,$V352,$K$1)</f>
        <v>480</v>
      </c>
      <c r="X352" s="212">
        <f t="array" ref="X352">INDEX(INC_INCVALUES,$V352,$K$1)</f>
        <v>4</v>
      </c>
    </row>
    <row r="353" ht="15.75" customHeight="1">
      <c r="A353" s="435"/>
      <c r="B353" s="436"/>
      <c r="C353" s="95" t="str">
        <f t="array" ref="C353">IF(I353&gt;0,INDEX(DB,I353,8),"")</f>
        <v/>
      </c>
      <c r="D353" s="437">
        <f t="shared" si="1"/>
        <v>0</v>
      </c>
      <c r="F353" s="438">
        <f t="shared" si="2"/>
        <v>0</v>
      </c>
      <c r="G353" t="str">
        <f t="shared" si="3"/>
        <v/>
      </c>
      <c r="H353" t="b">
        <f t="shared" si="4"/>
        <v>0</v>
      </c>
      <c r="I353" s="439">
        <f>IF(OR(ISBLANK(A353),ISNA(MATCH(A353&amp;"",AthleteNumbers,0))),0,MATCH(A353&amp;"",AthleteNumbers,0))</f>
        <v>0</v>
      </c>
      <c r="J353" s="209">
        <f t="array" ref="J353">IF(I353&gt;0,INDEX(DB,$I353,6),0)</f>
        <v>0</v>
      </c>
      <c r="K353" s="446">
        <f t="shared" si="5"/>
        <v>0</v>
      </c>
      <c r="L353" s="440">
        <f t="shared" si="6"/>
        <v>0</v>
      </c>
      <c r="M353" s="441">
        <f>IF(AND(L353&gt;O353,O353&gt;0),MinPoints,IF(AND(L353&lt;N353,O353&gt;0),100,+INT((O353-$L353)/P353)+MinPoints))</f>
        <v>100</v>
      </c>
      <c r="N353" s="440">
        <f t="shared" si="7"/>
        <v>90</v>
      </c>
      <c r="O353" s="440">
        <f t="shared" si="8"/>
        <v>180</v>
      </c>
      <c r="P353" s="440">
        <f t="shared" si="9"/>
        <v>1</v>
      </c>
      <c r="Q353">
        <f t="array" ref="Q353">IF(I353&gt;0,INDEX(DB,I353,9),EventIndex)</f>
        <v>6</v>
      </c>
      <c r="S353">
        <f t="array" ref="S353">(INT(INDEX(MINVALUES,$Q353,$K$1))*60)+(MOD(INDEX(MINVALUES,$Q353,$K$1),1)*100)</f>
        <v>180</v>
      </c>
      <c r="T353">
        <f t="array" ref="T353">(INDEX(INCVALUES,$Q353,$K$1)*100)</f>
        <v>1</v>
      </c>
      <c r="V353">
        <f t="array" ref="V353">+J353+(4*(INDEX(MatchScoreTable,$Q353,20)-1))</f>
        <v>4</v>
      </c>
      <c r="W353">
        <f t="array" ref="W353">INDEX(INC_MINVALUES,$V353,$K$1)</f>
        <v>480</v>
      </c>
      <c r="X353" s="212">
        <f t="array" ref="X353">INDEX(INC_INCVALUES,$V353,$K$1)</f>
        <v>4</v>
      </c>
    </row>
    <row r="354" ht="15.75" customHeight="1">
      <c r="A354" s="435"/>
      <c r="B354" s="436"/>
      <c r="C354" s="95" t="str">
        <f t="array" ref="C354">IF(I354&gt;0,INDEX(DB,I354,8),"")</f>
        <v/>
      </c>
      <c r="D354" s="437">
        <f t="shared" si="1"/>
        <v>0</v>
      </c>
      <c r="F354" s="438">
        <f t="shared" si="2"/>
        <v>0</v>
      </c>
      <c r="G354" t="str">
        <f t="shared" si="3"/>
        <v/>
      </c>
      <c r="H354" t="b">
        <f t="shared" si="4"/>
        <v>0</v>
      </c>
      <c r="I354" s="439">
        <f>IF(OR(ISBLANK(A354),ISNA(MATCH(A354&amp;"",AthleteNumbers,0))),0,MATCH(A354&amp;"",AthleteNumbers,0))</f>
        <v>0</v>
      </c>
      <c r="J354" s="209">
        <f t="array" ref="J354">IF(I354&gt;0,INDEX(DB,$I354,6),0)</f>
        <v>0</v>
      </c>
      <c r="K354" s="446">
        <f t="shared" si="5"/>
        <v>0</v>
      </c>
      <c r="L354" s="440">
        <f t="shared" si="6"/>
        <v>0</v>
      </c>
      <c r="M354" s="441">
        <f>IF(AND(L354&gt;O354,O354&gt;0),MinPoints,IF(AND(L354&lt;N354,O354&gt;0),100,+INT((O354-$L354)/P354)+MinPoints))</f>
        <v>100</v>
      </c>
      <c r="N354" s="440">
        <f t="shared" si="7"/>
        <v>90</v>
      </c>
      <c r="O354" s="440">
        <f t="shared" si="8"/>
        <v>180</v>
      </c>
      <c r="P354" s="440">
        <f t="shared" si="9"/>
        <v>1</v>
      </c>
      <c r="Q354">
        <f t="array" ref="Q354">IF(I354&gt;0,INDEX(DB,I354,9),EventIndex)</f>
        <v>6</v>
      </c>
      <c r="S354">
        <f t="array" ref="S354">(INT(INDEX(MINVALUES,$Q354,$K$1))*60)+(MOD(INDEX(MINVALUES,$Q354,$K$1),1)*100)</f>
        <v>180</v>
      </c>
      <c r="T354">
        <f t="array" ref="T354">(INDEX(INCVALUES,$Q354,$K$1)*100)</f>
        <v>1</v>
      </c>
      <c r="V354">
        <f t="array" ref="V354">+J354+(4*(INDEX(MatchScoreTable,$Q354,20)-1))</f>
        <v>4</v>
      </c>
      <c r="W354">
        <f t="array" ref="W354">INDEX(INC_MINVALUES,$V354,$K$1)</f>
        <v>480</v>
      </c>
      <c r="X354" s="212">
        <f t="array" ref="X354">INDEX(INC_INCVALUES,$V354,$K$1)</f>
        <v>4</v>
      </c>
    </row>
    <row r="355" ht="15.75" customHeight="1">
      <c r="A355" s="435"/>
      <c r="B355" s="436"/>
      <c r="C355" s="95" t="str">
        <f t="array" ref="C355">IF(I355&gt;0,INDEX(DB,I355,8),"")</f>
        <v/>
      </c>
      <c r="D355" s="437">
        <f t="shared" si="1"/>
        <v>0</v>
      </c>
      <c r="F355" s="438">
        <f t="shared" si="2"/>
        <v>0</v>
      </c>
      <c r="G355" t="str">
        <f t="shared" si="3"/>
        <v/>
      </c>
      <c r="H355" t="b">
        <f t="shared" si="4"/>
        <v>0</v>
      </c>
      <c r="I355" s="439">
        <f>IF(OR(ISBLANK(A355),ISNA(MATCH(A355&amp;"",AthleteNumbers,0))),0,MATCH(A355&amp;"",AthleteNumbers,0))</f>
        <v>0</v>
      </c>
      <c r="J355" s="209">
        <f t="array" ref="J355">IF(I355&gt;0,INDEX(DB,$I355,6),0)</f>
        <v>0</v>
      </c>
      <c r="K355" s="446">
        <f t="shared" si="5"/>
        <v>0</v>
      </c>
      <c r="L355" s="440">
        <f t="shared" si="6"/>
        <v>0</v>
      </c>
      <c r="M355" s="441">
        <f>IF(AND(L355&gt;O355,O355&gt;0),MinPoints,IF(AND(L355&lt;N355,O355&gt;0),100,+INT((O355-$L355)/P355)+MinPoints))</f>
        <v>100</v>
      </c>
      <c r="N355" s="440">
        <f t="shared" si="7"/>
        <v>90</v>
      </c>
      <c r="O355" s="440">
        <f t="shared" si="8"/>
        <v>180</v>
      </c>
      <c r="P355" s="440">
        <f t="shared" si="9"/>
        <v>1</v>
      </c>
      <c r="Q355">
        <f t="array" ref="Q355">IF(I355&gt;0,INDEX(DB,I355,9),EventIndex)</f>
        <v>6</v>
      </c>
      <c r="S355">
        <f t="array" ref="S355">(INT(INDEX(MINVALUES,$Q355,$K$1))*60)+(MOD(INDEX(MINVALUES,$Q355,$K$1),1)*100)</f>
        <v>180</v>
      </c>
      <c r="T355">
        <f t="array" ref="T355">(INDEX(INCVALUES,$Q355,$K$1)*100)</f>
        <v>1</v>
      </c>
      <c r="V355">
        <f t="array" ref="V355">+J355+(4*(INDEX(MatchScoreTable,$Q355,20)-1))</f>
        <v>4</v>
      </c>
      <c r="W355">
        <f t="array" ref="W355">INDEX(INC_MINVALUES,$V355,$K$1)</f>
        <v>480</v>
      </c>
      <c r="X355" s="212">
        <f t="array" ref="X355">INDEX(INC_INCVALUES,$V355,$K$1)</f>
        <v>4</v>
      </c>
    </row>
    <row r="356" ht="15.75" customHeight="1">
      <c r="A356" s="435"/>
      <c r="B356" s="436"/>
      <c r="C356" s="95" t="str">
        <f t="array" ref="C356">IF(I356&gt;0,INDEX(DB,I356,8),"")</f>
        <v/>
      </c>
      <c r="D356" s="437">
        <f t="shared" si="1"/>
        <v>0</v>
      </c>
      <c r="F356" s="438">
        <f t="shared" si="2"/>
        <v>0</v>
      </c>
      <c r="G356" t="str">
        <f t="shared" si="3"/>
        <v/>
      </c>
      <c r="H356" t="b">
        <f t="shared" si="4"/>
        <v>0</v>
      </c>
      <c r="I356" s="439">
        <f>IF(OR(ISBLANK(A356),ISNA(MATCH(A356&amp;"",AthleteNumbers,0))),0,MATCH(A356&amp;"",AthleteNumbers,0))</f>
        <v>0</v>
      </c>
      <c r="J356" s="209">
        <f t="array" ref="J356">IF(I356&gt;0,INDEX(DB,$I356,6),0)</f>
        <v>0</v>
      </c>
      <c r="K356" s="446">
        <f t="shared" si="5"/>
        <v>0</v>
      </c>
      <c r="L356" s="440">
        <f t="shared" si="6"/>
        <v>0</v>
      </c>
      <c r="M356" s="441">
        <f>IF(AND(L356&gt;O356,O356&gt;0),MinPoints,IF(AND(L356&lt;N356,O356&gt;0),100,+INT((O356-$L356)/P356)+MinPoints))</f>
        <v>100</v>
      </c>
      <c r="N356" s="440">
        <f t="shared" si="7"/>
        <v>90</v>
      </c>
      <c r="O356" s="440">
        <f t="shared" si="8"/>
        <v>180</v>
      </c>
      <c r="P356" s="440">
        <f t="shared" si="9"/>
        <v>1</v>
      </c>
      <c r="Q356">
        <f t="array" ref="Q356">IF(I356&gt;0,INDEX(DB,I356,9),EventIndex)</f>
        <v>6</v>
      </c>
      <c r="S356">
        <f t="array" ref="S356">(INT(INDEX(MINVALUES,$Q356,$K$1))*60)+(MOD(INDEX(MINVALUES,$Q356,$K$1),1)*100)</f>
        <v>180</v>
      </c>
      <c r="T356">
        <f t="array" ref="T356">(INDEX(INCVALUES,$Q356,$K$1)*100)</f>
        <v>1</v>
      </c>
      <c r="V356">
        <f t="array" ref="V356">+J356+(4*(INDEX(MatchScoreTable,$Q356,20)-1))</f>
        <v>4</v>
      </c>
      <c r="W356">
        <f t="array" ref="W356">INDEX(INC_MINVALUES,$V356,$K$1)</f>
        <v>480</v>
      </c>
      <c r="X356" s="212">
        <f t="array" ref="X356">INDEX(INC_INCVALUES,$V356,$K$1)</f>
        <v>4</v>
      </c>
    </row>
    <row r="357" ht="15.75" customHeight="1">
      <c r="A357" s="435"/>
      <c r="B357" s="436"/>
      <c r="C357" s="95" t="str">
        <f t="array" ref="C357">IF(I357&gt;0,INDEX(DB,I357,8),"")</f>
        <v/>
      </c>
      <c r="D357" s="437">
        <f t="shared" si="1"/>
        <v>0</v>
      </c>
      <c r="F357" s="438">
        <f t="shared" si="2"/>
        <v>0</v>
      </c>
      <c r="G357" t="str">
        <f t="shared" si="3"/>
        <v/>
      </c>
      <c r="H357" t="b">
        <f t="shared" si="4"/>
        <v>0</v>
      </c>
      <c r="I357" s="439">
        <f>IF(OR(ISBLANK(A357),ISNA(MATCH(A357&amp;"",AthleteNumbers,0))),0,MATCH(A357&amp;"",AthleteNumbers,0))</f>
        <v>0</v>
      </c>
      <c r="J357" s="209">
        <f t="array" ref="J357">IF(I357&gt;0,INDEX(DB,$I357,6),0)</f>
        <v>0</v>
      </c>
      <c r="K357" s="446">
        <f t="shared" si="5"/>
        <v>0</v>
      </c>
      <c r="L357" s="440">
        <f t="shared" si="6"/>
        <v>0</v>
      </c>
      <c r="M357" s="441">
        <f>IF(AND(L357&gt;O357,O357&gt;0),MinPoints,IF(AND(L357&lt;N357,O357&gt;0),100,+INT((O357-$L357)/P357)+MinPoints))</f>
        <v>100</v>
      </c>
      <c r="N357" s="440">
        <f t="shared" si="7"/>
        <v>90</v>
      </c>
      <c r="O357" s="440">
        <f t="shared" si="8"/>
        <v>180</v>
      </c>
      <c r="P357" s="440">
        <f t="shared" si="9"/>
        <v>1</v>
      </c>
      <c r="Q357">
        <f t="array" ref="Q357">IF(I357&gt;0,INDEX(DB,I357,9),EventIndex)</f>
        <v>6</v>
      </c>
      <c r="S357">
        <f t="array" ref="S357">(INT(INDEX(MINVALUES,$Q357,$K$1))*60)+(MOD(INDEX(MINVALUES,$Q357,$K$1),1)*100)</f>
        <v>180</v>
      </c>
      <c r="T357">
        <f t="array" ref="T357">(INDEX(INCVALUES,$Q357,$K$1)*100)</f>
        <v>1</v>
      </c>
      <c r="V357">
        <f t="array" ref="V357">+J357+(4*(INDEX(MatchScoreTable,$Q357,20)-1))</f>
        <v>4</v>
      </c>
      <c r="W357">
        <f t="array" ref="W357">INDEX(INC_MINVALUES,$V357,$K$1)</f>
        <v>480</v>
      </c>
      <c r="X357" s="212">
        <f t="array" ref="X357">INDEX(INC_INCVALUES,$V357,$K$1)</f>
        <v>4</v>
      </c>
    </row>
    <row r="358" ht="15.75" customHeight="1">
      <c r="A358" s="435"/>
      <c r="B358" s="436"/>
      <c r="C358" s="95" t="str">
        <f t="array" ref="C358">IF(I358&gt;0,INDEX(DB,I358,8),"")</f>
        <v/>
      </c>
      <c r="D358" s="437">
        <f t="shared" si="1"/>
        <v>0</v>
      </c>
      <c r="F358" s="438">
        <f t="shared" si="2"/>
        <v>0</v>
      </c>
      <c r="G358" t="str">
        <f t="shared" si="3"/>
        <v/>
      </c>
      <c r="H358" t="b">
        <f t="shared" si="4"/>
        <v>0</v>
      </c>
      <c r="I358" s="439">
        <f>IF(OR(ISBLANK(A358),ISNA(MATCH(A358&amp;"",AthleteNumbers,0))),0,MATCH(A358&amp;"",AthleteNumbers,0))</f>
        <v>0</v>
      </c>
      <c r="J358" s="209">
        <f t="array" ref="J358">IF(I358&gt;0,INDEX(DB,$I358,6),0)</f>
        <v>0</v>
      </c>
      <c r="K358" s="446">
        <f t="shared" si="5"/>
        <v>0</v>
      </c>
      <c r="L358" s="440">
        <f t="shared" si="6"/>
        <v>0</v>
      </c>
      <c r="M358" s="441">
        <f>IF(AND(L358&gt;O358,O358&gt;0),MinPoints,IF(AND(L358&lt;N358,O358&gt;0),100,+INT((O358-$L358)/P358)+MinPoints))</f>
        <v>100</v>
      </c>
      <c r="N358" s="440">
        <f t="shared" si="7"/>
        <v>90</v>
      </c>
      <c r="O358" s="440">
        <f t="shared" si="8"/>
        <v>180</v>
      </c>
      <c r="P358" s="440">
        <f t="shared" si="9"/>
        <v>1</v>
      </c>
      <c r="Q358">
        <f t="array" ref="Q358">IF(I358&gt;0,INDEX(DB,I358,9),EventIndex)</f>
        <v>6</v>
      </c>
      <c r="S358">
        <f t="array" ref="S358">(INT(INDEX(MINVALUES,$Q358,$K$1))*60)+(MOD(INDEX(MINVALUES,$Q358,$K$1),1)*100)</f>
        <v>180</v>
      </c>
      <c r="T358">
        <f t="array" ref="T358">(INDEX(INCVALUES,$Q358,$K$1)*100)</f>
        <v>1</v>
      </c>
      <c r="V358">
        <f t="array" ref="V358">+J358+(4*(INDEX(MatchScoreTable,$Q358,20)-1))</f>
        <v>4</v>
      </c>
      <c r="W358">
        <f t="array" ref="W358">INDEX(INC_MINVALUES,$V358,$K$1)</f>
        <v>480</v>
      </c>
      <c r="X358" s="212">
        <f t="array" ref="X358">INDEX(INC_INCVALUES,$V358,$K$1)</f>
        <v>4</v>
      </c>
    </row>
    <row r="359" ht="15.75" customHeight="1">
      <c r="A359" s="435"/>
      <c r="B359" s="436"/>
      <c r="C359" s="95" t="str">
        <f t="array" ref="C359">IF(I359&gt;0,INDEX(DB,I359,8),"")</f>
        <v/>
      </c>
      <c r="D359" s="437">
        <f t="shared" si="1"/>
        <v>0</v>
      </c>
      <c r="F359" s="438">
        <f t="shared" si="2"/>
        <v>0</v>
      </c>
      <c r="G359" t="str">
        <f t="shared" si="3"/>
        <v/>
      </c>
      <c r="H359" t="b">
        <f t="shared" si="4"/>
        <v>0</v>
      </c>
      <c r="I359" s="439">
        <f>IF(OR(ISBLANK(A359),ISNA(MATCH(A359&amp;"",AthleteNumbers,0))),0,MATCH(A359&amp;"",AthleteNumbers,0))</f>
        <v>0</v>
      </c>
      <c r="J359" s="209">
        <f t="array" ref="J359">IF(I359&gt;0,INDEX(DB,$I359,6),0)</f>
        <v>0</v>
      </c>
      <c r="K359" s="446">
        <f t="shared" si="5"/>
        <v>0</v>
      </c>
      <c r="L359" s="440">
        <f t="shared" si="6"/>
        <v>0</v>
      </c>
      <c r="M359" s="441">
        <f>IF(AND(L359&gt;O359,O359&gt;0),MinPoints,IF(AND(L359&lt;N359,O359&gt;0),100,+INT((O359-$L359)/P359)+MinPoints))</f>
        <v>100</v>
      </c>
      <c r="N359" s="440">
        <f t="shared" si="7"/>
        <v>90</v>
      </c>
      <c r="O359" s="440">
        <f t="shared" si="8"/>
        <v>180</v>
      </c>
      <c r="P359" s="440">
        <f t="shared" si="9"/>
        <v>1</v>
      </c>
      <c r="Q359">
        <f t="array" ref="Q359">IF(I359&gt;0,INDEX(DB,I359,9),EventIndex)</f>
        <v>6</v>
      </c>
      <c r="S359">
        <f t="array" ref="S359">(INT(INDEX(MINVALUES,$Q359,$K$1))*60)+(MOD(INDEX(MINVALUES,$Q359,$K$1),1)*100)</f>
        <v>180</v>
      </c>
      <c r="T359">
        <f t="array" ref="T359">(INDEX(INCVALUES,$Q359,$K$1)*100)</f>
        <v>1</v>
      </c>
      <c r="V359">
        <f t="array" ref="V359">+J359+(4*(INDEX(MatchScoreTable,$Q359,20)-1))</f>
        <v>4</v>
      </c>
      <c r="W359">
        <f t="array" ref="W359">INDEX(INC_MINVALUES,$V359,$K$1)</f>
        <v>480</v>
      </c>
      <c r="X359" s="212">
        <f t="array" ref="X359">INDEX(INC_INCVALUES,$V359,$K$1)</f>
        <v>4</v>
      </c>
    </row>
    <row r="360" ht="15.75" customHeight="1">
      <c r="A360" s="435"/>
      <c r="B360" s="436"/>
      <c r="C360" s="95" t="str">
        <f t="array" ref="C360">IF(I360&gt;0,INDEX(DB,I360,8),"")</f>
        <v/>
      </c>
      <c r="D360" s="437">
        <f t="shared" si="1"/>
        <v>0</v>
      </c>
      <c r="F360" s="438">
        <f t="shared" si="2"/>
        <v>0</v>
      </c>
      <c r="G360" t="str">
        <f t="shared" si="3"/>
        <v/>
      </c>
      <c r="H360" t="b">
        <f t="shared" si="4"/>
        <v>0</v>
      </c>
      <c r="I360" s="439">
        <f>IF(OR(ISBLANK(A360),ISNA(MATCH(A360&amp;"",AthleteNumbers,0))),0,MATCH(A360&amp;"",AthleteNumbers,0))</f>
        <v>0</v>
      </c>
      <c r="J360" s="209">
        <f t="array" ref="J360">IF(I360&gt;0,INDEX(DB,$I360,6),0)</f>
        <v>0</v>
      </c>
      <c r="K360" s="446">
        <f t="shared" si="5"/>
        <v>0</v>
      </c>
      <c r="L360" s="440">
        <f t="shared" si="6"/>
        <v>0</v>
      </c>
      <c r="M360" s="441">
        <f>IF(AND(L360&gt;O360,O360&gt;0),MinPoints,IF(AND(L360&lt;N360,O360&gt;0),100,+INT((O360-$L360)/P360)+MinPoints))</f>
        <v>100</v>
      </c>
      <c r="N360" s="440">
        <f t="shared" si="7"/>
        <v>90</v>
      </c>
      <c r="O360" s="440">
        <f t="shared" si="8"/>
        <v>180</v>
      </c>
      <c r="P360" s="440">
        <f t="shared" si="9"/>
        <v>1</v>
      </c>
      <c r="Q360">
        <f t="array" ref="Q360">IF(I360&gt;0,INDEX(DB,I360,9),EventIndex)</f>
        <v>6</v>
      </c>
      <c r="S360">
        <f t="array" ref="S360">(INT(INDEX(MINVALUES,$Q360,$K$1))*60)+(MOD(INDEX(MINVALUES,$Q360,$K$1),1)*100)</f>
        <v>180</v>
      </c>
      <c r="T360">
        <f t="array" ref="T360">(INDEX(INCVALUES,$Q360,$K$1)*100)</f>
        <v>1</v>
      </c>
      <c r="V360">
        <f t="array" ref="V360">+J360+(4*(INDEX(MatchScoreTable,$Q360,20)-1))</f>
        <v>4</v>
      </c>
      <c r="W360">
        <f t="array" ref="W360">INDEX(INC_MINVALUES,$V360,$K$1)</f>
        <v>480</v>
      </c>
      <c r="X360" s="212">
        <f t="array" ref="X360">INDEX(INC_INCVALUES,$V360,$K$1)</f>
        <v>4</v>
      </c>
    </row>
    <row r="361" ht="15.75" customHeight="1">
      <c r="A361" s="435"/>
      <c r="B361" s="436"/>
      <c r="C361" s="95" t="str">
        <f t="array" ref="C361">IF(I361&gt;0,INDEX(DB,I361,8),"")</f>
        <v/>
      </c>
      <c r="D361" s="437">
        <f t="shared" si="1"/>
        <v>0</v>
      </c>
      <c r="F361" s="438">
        <f t="shared" si="2"/>
        <v>0</v>
      </c>
      <c r="G361" t="str">
        <f t="shared" si="3"/>
        <v/>
      </c>
      <c r="H361" t="b">
        <f t="shared" si="4"/>
        <v>0</v>
      </c>
      <c r="I361" s="439">
        <f>IF(OR(ISBLANK(A361),ISNA(MATCH(A361&amp;"",AthleteNumbers,0))),0,MATCH(A361&amp;"",AthleteNumbers,0))</f>
        <v>0</v>
      </c>
      <c r="J361" s="209">
        <f t="array" ref="J361">IF(I361&gt;0,INDEX(DB,$I361,6),0)</f>
        <v>0</v>
      </c>
      <c r="K361" s="446">
        <f t="shared" si="5"/>
        <v>0</v>
      </c>
      <c r="L361" s="440">
        <f t="shared" si="6"/>
        <v>0</v>
      </c>
      <c r="M361" s="441">
        <f>IF(AND(L361&gt;O361,O361&gt;0),MinPoints,IF(AND(L361&lt;N361,O361&gt;0),100,+INT((O361-$L361)/P361)+MinPoints))</f>
        <v>100</v>
      </c>
      <c r="N361" s="440">
        <f t="shared" si="7"/>
        <v>90</v>
      </c>
      <c r="O361" s="440">
        <f t="shared" si="8"/>
        <v>180</v>
      </c>
      <c r="P361" s="440">
        <f t="shared" si="9"/>
        <v>1</v>
      </c>
      <c r="Q361">
        <f t="array" ref="Q361">IF(I361&gt;0,INDEX(DB,I361,9),EventIndex)</f>
        <v>6</v>
      </c>
      <c r="S361">
        <f t="array" ref="S361">(INT(INDEX(MINVALUES,$Q361,$K$1))*60)+(MOD(INDEX(MINVALUES,$Q361,$K$1),1)*100)</f>
        <v>180</v>
      </c>
      <c r="T361">
        <f t="array" ref="T361">(INDEX(INCVALUES,$Q361,$K$1)*100)</f>
        <v>1</v>
      </c>
      <c r="V361">
        <f t="array" ref="V361">+J361+(4*(INDEX(MatchScoreTable,$Q361,20)-1))</f>
        <v>4</v>
      </c>
      <c r="W361">
        <f t="array" ref="W361">INDEX(INC_MINVALUES,$V361,$K$1)</f>
        <v>480</v>
      </c>
      <c r="X361" s="212">
        <f t="array" ref="X361">INDEX(INC_INCVALUES,$V361,$K$1)</f>
        <v>4</v>
      </c>
    </row>
    <row r="362" ht="15.75" customHeight="1">
      <c r="A362" s="435"/>
      <c r="B362" s="436"/>
      <c r="C362" s="95" t="str">
        <f t="array" ref="C362">IF(I362&gt;0,INDEX(DB,I362,8),"")</f>
        <v/>
      </c>
      <c r="D362" s="437">
        <f t="shared" si="1"/>
        <v>0</v>
      </c>
      <c r="F362" s="438">
        <f t="shared" si="2"/>
        <v>0</v>
      </c>
      <c r="G362" t="str">
        <f t="shared" si="3"/>
        <v/>
      </c>
      <c r="H362" t="b">
        <f t="shared" si="4"/>
        <v>0</v>
      </c>
      <c r="I362" s="439">
        <f>IF(OR(ISBLANK(A362),ISNA(MATCH(A362&amp;"",AthleteNumbers,0))),0,MATCH(A362&amp;"",AthleteNumbers,0))</f>
        <v>0</v>
      </c>
      <c r="J362" s="209">
        <f t="array" ref="J362">IF(I362&gt;0,INDEX(DB,$I362,6),0)</f>
        <v>0</v>
      </c>
      <c r="K362" s="446">
        <f t="shared" si="5"/>
        <v>0</v>
      </c>
      <c r="L362" s="440">
        <f t="shared" si="6"/>
        <v>0</v>
      </c>
      <c r="M362" s="441">
        <f>IF(AND(L362&gt;O362,O362&gt;0),MinPoints,IF(AND(L362&lt;N362,O362&gt;0),100,+INT((O362-$L362)/P362)+MinPoints))</f>
        <v>100</v>
      </c>
      <c r="N362" s="440">
        <f t="shared" si="7"/>
        <v>90</v>
      </c>
      <c r="O362" s="440">
        <f t="shared" si="8"/>
        <v>180</v>
      </c>
      <c r="P362" s="440">
        <f t="shared" si="9"/>
        <v>1</v>
      </c>
      <c r="Q362">
        <f t="array" ref="Q362">IF(I362&gt;0,INDEX(DB,I362,9),EventIndex)</f>
        <v>6</v>
      </c>
      <c r="S362">
        <f t="array" ref="S362">(INT(INDEX(MINVALUES,$Q362,$K$1))*60)+(MOD(INDEX(MINVALUES,$Q362,$K$1),1)*100)</f>
        <v>180</v>
      </c>
      <c r="T362">
        <f t="array" ref="T362">(INDEX(INCVALUES,$Q362,$K$1)*100)</f>
        <v>1</v>
      </c>
      <c r="V362">
        <f t="array" ref="V362">+J362+(4*(INDEX(MatchScoreTable,$Q362,20)-1))</f>
        <v>4</v>
      </c>
      <c r="W362">
        <f t="array" ref="W362">INDEX(INC_MINVALUES,$V362,$K$1)</f>
        <v>480</v>
      </c>
      <c r="X362" s="212">
        <f t="array" ref="X362">INDEX(INC_INCVALUES,$V362,$K$1)</f>
        <v>4</v>
      </c>
    </row>
    <row r="363" ht="15.75" customHeight="1">
      <c r="A363" s="435"/>
      <c r="B363" s="436"/>
      <c r="C363" s="95" t="str">
        <f t="array" ref="C363">IF(I363&gt;0,INDEX(DB,I363,8),"")</f>
        <v/>
      </c>
      <c r="D363" s="437">
        <f t="shared" si="1"/>
        <v>0</v>
      </c>
      <c r="F363" s="438">
        <f t="shared" si="2"/>
        <v>0</v>
      </c>
      <c r="G363" t="str">
        <f t="shared" si="3"/>
        <v/>
      </c>
      <c r="H363" t="b">
        <f t="shared" si="4"/>
        <v>0</v>
      </c>
      <c r="I363" s="439">
        <f>IF(OR(ISBLANK(A363),ISNA(MATCH(A363&amp;"",AthleteNumbers,0))),0,MATCH(A363&amp;"",AthleteNumbers,0))</f>
        <v>0</v>
      </c>
      <c r="J363" s="209">
        <f t="array" ref="J363">IF(I363&gt;0,INDEX(DB,$I363,6),0)</f>
        <v>0</v>
      </c>
      <c r="K363" s="446">
        <f t="shared" si="5"/>
        <v>0</v>
      </c>
      <c r="L363" s="440">
        <f t="shared" si="6"/>
        <v>0</v>
      </c>
      <c r="M363" s="441">
        <f>IF(AND(L363&gt;O363,O363&gt;0),MinPoints,IF(AND(L363&lt;N363,O363&gt;0),100,+INT((O363-$L363)/P363)+MinPoints))</f>
        <v>100</v>
      </c>
      <c r="N363" s="440">
        <f t="shared" si="7"/>
        <v>90</v>
      </c>
      <c r="O363" s="440">
        <f t="shared" si="8"/>
        <v>180</v>
      </c>
      <c r="P363" s="440">
        <f t="shared" si="9"/>
        <v>1</v>
      </c>
      <c r="Q363">
        <f t="array" ref="Q363">IF(I363&gt;0,INDEX(DB,I363,9),EventIndex)</f>
        <v>6</v>
      </c>
      <c r="S363">
        <f t="array" ref="S363">(INT(INDEX(MINVALUES,$Q363,$K$1))*60)+(MOD(INDEX(MINVALUES,$Q363,$K$1),1)*100)</f>
        <v>180</v>
      </c>
      <c r="T363">
        <f t="array" ref="T363">(INDEX(INCVALUES,$Q363,$K$1)*100)</f>
        <v>1</v>
      </c>
      <c r="V363">
        <f t="array" ref="V363">+J363+(4*(INDEX(MatchScoreTable,$Q363,20)-1))</f>
        <v>4</v>
      </c>
      <c r="W363">
        <f t="array" ref="W363">INDEX(INC_MINVALUES,$V363,$K$1)</f>
        <v>480</v>
      </c>
      <c r="X363" s="212">
        <f t="array" ref="X363">INDEX(INC_INCVALUES,$V363,$K$1)</f>
        <v>4</v>
      </c>
    </row>
    <row r="364" ht="15.75" customHeight="1">
      <c r="A364" s="435"/>
      <c r="B364" s="436"/>
      <c r="C364" s="95" t="str">
        <f t="array" ref="C364">IF(I364&gt;0,INDEX(DB,I364,8),"")</f>
        <v/>
      </c>
      <c r="D364" s="437">
        <f t="shared" si="1"/>
        <v>0</v>
      </c>
      <c r="F364" s="438">
        <f t="shared" si="2"/>
        <v>0</v>
      </c>
      <c r="G364" t="str">
        <f t="shared" si="3"/>
        <v/>
      </c>
      <c r="H364" t="b">
        <f t="shared" si="4"/>
        <v>0</v>
      </c>
      <c r="I364" s="439">
        <f>IF(OR(ISBLANK(A364),ISNA(MATCH(A364&amp;"",AthleteNumbers,0))),0,MATCH(A364&amp;"",AthleteNumbers,0))</f>
        <v>0</v>
      </c>
      <c r="J364" s="209">
        <f t="array" ref="J364">IF(I364&gt;0,INDEX(DB,$I364,6),0)</f>
        <v>0</v>
      </c>
      <c r="K364" s="446">
        <f t="shared" si="5"/>
        <v>0</v>
      </c>
      <c r="L364" s="440">
        <f t="shared" si="6"/>
        <v>0</v>
      </c>
      <c r="M364" s="441">
        <f>IF(AND(L364&gt;O364,O364&gt;0),MinPoints,IF(AND(L364&lt;N364,O364&gt;0),100,+INT((O364-$L364)/P364)+MinPoints))</f>
        <v>100</v>
      </c>
      <c r="N364" s="440">
        <f t="shared" si="7"/>
        <v>90</v>
      </c>
      <c r="O364" s="440">
        <f t="shared" si="8"/>
        <v>180</v>
      </c>
      <c r="P364" s="440">
        <f t="shared" si="9"/>
        <v>1</v>
      </c>
      <c r="Q364">
        <f t="array" ref="Q364">IF(I364&gt;0,INDEX(DB,I364,9),EventIndex)</f>
        <v>6</v>
      </c>
      <c r="S364">
        <f t="array" ref="S364">(INT(INDEX(MINVALUES,$Q364,$K$1))*60)+(MOD(INDEX(MINVALUES,$Q364,$K$1),1)*100)</f>
        <v>180</v>
      </c>
      <c r="T364">
        <f t="array" ref="T364">(INDEX(INCVALUES,$Q364,$K$1)*100)</f>
        <v>1</v>
      </c>
      <c r="V364">
        <f t="array" ref="V364">+J364+(4*(INDEX(MatchScoreTable,$Q364,20)-1))</f>
        <v>4</v>
      </c>
      <c r="W364">
        <f t="array" ref="W364">INDEX(INC_MINVALUES,$V364,$K$1)</f>
        <v>480</v>
      </c>
      <c r="X364" s="212">
        <f t="array" ref="X364">INDEX(INC_INCVALUES,$V364,$K$1)</f>
        <v>4</v>
      </c>
    </row>
    <row r="365" ht="15.75" customHeight="1">
      <c r="A365" s="435"/>
      <c r="B365" s="436"/>
      <c r="C365" s="95" t="str">
        <f t="array" ref="C365">IF(I365&gt;0,INDEX(DB,I365,8),"")</f>
        <v/>
      </c>
      <c r="D365" s="437">
        <f t="shared" si="1"/>
        <v>0</v>
      </c>
      <c r="F365" s="438">
        <f t="shared" si="2"/>
        <v>0</v>
      </c>
      <c r="G365" t="str">
        <f t="shared" si="3"/>
        <v/>
      </c>
      <c r="H365" t="b">
        <f t="shared" si="4"/>
        <v>0</v>
      </c>
      <c r="I365" s="439">
        <f>IF(OR(ISBLANK(A365),ISNA(MATCH(A365&amp;"",AthleteNumbers,0))),0,MATCH(A365&amp;"",AthleteNumbers,0))</f>
        <v>0</v>
      </c>
      <c r="J365" s="209">
        <f t="array" ref="J365">IF(I365&gt;0,INDEX(DB,$I365,6),0)</f>
        <v>0</v>
      </c>
      <c r="K365" s="446">
        <f t="shared" si="5"/>
        <v>0</v>
      </c>
      <c r="L365" s="440">
        <f t="shared" si="6"/>
        <v>0</v>
      </c>
      <c r="M365" s="441">
        <f>IF(AND(L365&gt;O365,O365&gt;0),MinPoints,IF(AND(L365&lt;N365,O365&gt;0),100,+INT((O365-$L365)/P365)+MinPoints))</f>
        <v>100</v>
      </c>
      <c r="N365" s="440">
        <f t="shared" si="7"/>
        <v>90</v>
      </c>
      <c r="O365" s="440">
        <f t="shared" si="8"/>
        <v>180</v>
      </c>
      <c r="P365" s="440">
        <f t="shared" si="9"/>
        <v>1</v>
      </c>
      <c r="Q365">
        <f t="array" ref="Q365">IF(I365&gt;0,INDEX(DB,I365,9),EventIndex)</f>
        <v>6</v>
      </c>
      <c r="S365">
        <f t="array" ref="S365">(INT(INDEX(MINVALUES,$Q365,$K$1))*60)+(MOD(INDEX(MINVALUES,$Q365,$K$1),1)*100)</f>
        <v>180</v>
      </c>
      <c r="T365">
        <f t="array" ref="T365">(INDEX(INCVALUES,$Q365,$K$1)*100)</f>
        <v>1</v>
      </c>
      <c r="V365">
        <f t="array" ref="V365">+J365+(4*(INDEX(MatchScoreTable,$Q365,20)-1))</f>
        <v>4</v>
      </c>
      <c r="W365">
        <f t="array" ref="W365">INDEX(INC_MINVALUES,$V365,$K$1)</f>
        <v>480</v>
      </c>
      <c r="X365" s="212">
        <f t="array" ref="X365">INDEX(INC_INCVALUES,$V365,$K$1)</f>
        <v>4</v>
      </c>
    </row>
    <row r="366" ht="15.75" customHeight="1">
      <c r="A366" s="435"/>
      <c r="B366" s="436"/>
      <c r="C366" s="95" t="str">
        <f t="array" ref="C366">IF(I366&gt;0,INDEX(DB,I366,8),"")</f>
        <v/>
      </c>
      <c r="D366" s="437">
        <f t="shared" si="1"/>
        <v>0</v>
      </c>
      <c r="F366" s="438">
        <f t="shared" si="2"/>
        <v>0</v>
      </c>
      <c r="G366" t="str">
        <f t="shared" si="3"/>
        <v/>
      </c>
      <c r="H366" t="b">
        <f t="shared" si="4"/>
        <v>0</v>
      </c>
      <c r="I366" s="439">
        <f>IF(OR(ISBLANK(A366),ISNA(MATCH(A366&amp;"",AthleteNumbers,0))),0,MATCH(A366&amp;"",AthleteNumbers,0))</f>
        <v>0</v>
      </c>
      <c r="J366" s="209">
        <f t="array" ref="J366">IF(I366&gt;0,INDEX(DB,$I366,6),0)</f>
        <v>0</v>
      </c>
      <c r="K366" s="446">
        <f t="shared" si="5"/>
        <v>0</v>
      </c>
      <c r="L366" s="440">
        <f t="shared" si="6"/>
        <v>0</v>
      </c>
      <c r="M366" s="441">
        <f>IF(AND(L366&gt;O366,O366&gt;0),MinPoints,IF(AND(L366&lt;N366,O366&gt;0),100,+INT((O366-$L366)/P366)+MinPoints))</f>
        <v>100</v>
      </c>
      <c r="N366" s="440">
        <f t="shared" si="7"/>
        <v>90</v>
      </c>
      <c r="O366" s="440">
        <f t="shared" si="8"/>
        <v>180</v>
      </c>
      <c r="P366" s="440">
        <f t="shared" si="9"/>
        <v>1</v>
      </c>
      <c r="Q366">
        <f t="array" ref="Q366">IF(I366&gt;0,INDEX(DB,I366,9),EventIndex)</f>
        <v>6</v>
      </c>
      <c r="S366">
        <f t="array" ref="S366">(INT(INDEX(MINVALUES,$Q366,$K$1))*60)+(MOD(INDEX(MINVALUES,$Q366,$K$1),1)*100)</f>
        <v>180</v>
      </c>
      <c r="T366">
        <f t="array" ref="T366">(INDEX(INCVALUES,$Q366,$K$1)*100)</f>
        <v>1</v>
      </c>
      <c r="V366">
        <f t="array" ref="V366">+J366+(4*(INDEX(MatchScoreTable,$Q366,20)-1))</f>
        <v>4</v>
      </c>
      <c r="W366">
        <f t="array" ref="W366">INDEX(INC_MINVALUES,$V366,$K$1)</f>
        <v>480</v>
      </c>
      <c r="X366" s="212">
        <f t="array" ref="X366">INDEX(INC_INCVALUES,$V366,$K$1)</f>
        <v>4</v>
      </c>
    </row>
    <row r="367" ht="15.75" customHeight="1">
      <c r="A367" s="435"/>
      <c r="B367" s="436"/>
      <c r="C367" s="95" t="str">
        <f t="array" ref="C367">IF(I367&gt;0,INDEX(DB,I367,8),"")</f>
        <v/>
      </c>
      <c r="D367" s="437">
        <f t="shared" si="1"/>
        <v>0</v>
      </c>
      <c r="F367" s="438">
        <f t="shared" si="2"/>
        <v>0</v>
      </c>
      <c r="G367" t="str">
        <f t="shared" si="3"/>
        <v/>
      </c>
      <c r="H367" t="b">
        <f t="shared" si="4"/>
        <v>0</v>
      </c>
      <c r="I367" s="439">
        <f>IF(OR(ISBLANK(A367),ISNA(MATCH(A367&amp;"",AthleteNumbers,0))),0,MATCH(A367&amp;"",AthleteNumbers,0))</f>
        <v>0</v>
      </c>
      <c r="J367" s="209">
        <f t="array" ref="J367">IF(I367&gt;0,INDEX(DB,$I367,6),0)</f>
        <v>0</v>
      </c>
      <c r="K367" s="446">
        <f t="shared" si="5"/>
        <v>0</v>
      </c>
      <c r="L367" s="440">
        <f t="shared" si="6"/>
        <v>0</v>
      </c>
      <c r="M367" s="441">
        <f>IF(AND(L367&gt;O367,O367&gt;0),MinPoints,IF(AND(L367&lt;N367,O367&gt;0),100,+INT((O367-$L367)/P367)+MinPoints))</f>
        <v>100</v>
      </c>
      <c r="N367" s="440">
        <f t="shared" si="7"/>
        <v>90</v>
      </c>
      <c r="O367" s="440">
        <f t="shared" si="8"/>
        <v>180</v>
      </c>
      <c r="P367" s="440">
        <f t="shared" si="9"/>
        <v>1</v>
      </c>
      <c r="Q367">
        <f t="array" ref="Q367">IF(I367&gt;0,INDEX(DB,I367,9),EventIndex)</f>
        <v>6</v>
      </c>
      <c r="S367">
        <f t="array" ref="S367">(INT(INDEX(MINVALUES,$Q367,$K$1))*60)+(MOD(INDEX(MINVALUES,$Q367,$K$1),1)*100)</f>
        <v>180</v>
      </c>
      <c r="T367">
        <f t="array" ref="T367">(INDEX(INCVALUES,$Q367,$K$1)*100)</f>
        <v>1</v>
      </c>
      <c r="V367">
        <f t="array" ref="V367">+J367+(4*(INDEX(MatchScoreTable,$Q367,20)-1))</f>
        <v>4</v>
      </c>
      <c r="W367">
        <f t="array" ref="W367">INDEX(INC_MINVALUES,$V367,$K$1)</f>
        <v>480</v>
      </c>
      <c r="X367" s="212">
        <f t="array" ref="X367">INDEX(INC_INCVALUES,$V367,$K$1)</f>
        <v>4</v>
      </c>
    </row>
    <row r="368" ht="15.75" customHeight="1">
      <c r="A368" s="435"/>
      <c r="B368" s="436"/>
      <c r="C368" s="95" t="str">
        <f t="array" ref="C368">IF(I368&gt;0,INDEX(DB,I368,8),"")</f>
        <v/>
      </c>
      <c r="D368" s="437">
        <f t="shared" si="1"/>
        <v>0</v>
      </c>
      <c r="F368" s="438">
        <f t="shared" si="2"/>
        <v>0</v>
      </c>
      <c r="G368" t="str">
        <f t="shared" si="3"/>
        <v/>
      </c>
      <c r="H368" t="b">
        <f t="shared" si="4"/>
        <v>0</v>
      </c>
      <c r="I368" s="439">
        <f>IF(OR(ISBLANK(A368),ISNA(MATCH(A368&amp;"",AthleteNumbers,0))),0,MATCH(A368&amp;"",AthleteNumbers,0))</f>
        <v>0</v>
      </c>
      <c r="J368" s="209">
        <f t="array" ref="J368">IF(I368&gt;0,INDEX(DB,$I368,6),0)</f>
        <v>0</v>
      </c>
      <c r="K368" s="446">
        <f t="shared" si="5"/>
        <v>0</v>
      </c>
      <c r="L368" s="440">
        <f t="shared" si="6"/>
        <v>0</v>
      </c>
      <c r="M368" s="441">
        <f>IF(AND(L368&gt;O368,O368&gt;0),MinPoints,IF(AND(L368&lt;N368,O368&gt;0),100,+INT((O368-$L368)/P368)+MinPoints))</f>
        <v>100</v>
      </c>
      <c r="N368" s="440">
        <f t="shared" si="7"/>
        <v>90</v>
      </c>
      <c r="O368" s="440">
        <f t="shared" si="8"/>
        <v>180</v>
      </c>
      <c r="P368" s="440">
        <f t="shared" si="9"/>
        <v>1</v>
      </c>
      <c r="Q368">
        <f t="array" ref="Q368">IF(I368&gt;0,INDEX(DB,I368,9),EventIndex)</f>
        <v>6</v>
      </c>
      <c r="S368">
        <f t="array" ref="S368">(INT(INDEX(MINVALUES,$Q368,$K$1))*60)+(MOD(INDEX(MINVALUES,$Q368,$K$1),1)*100)</f>
        <v>180</v>
      </c>
      <c r="T368">
        <f t="array" ref="T368">(INDEX(INCVALUES,$Q368,$K$1)*100)</f>
        <v>1</v>
      </c>
      <c r="V368">
        <f t="array" ref="V368">+J368+(4*(INDEX(MatchScoreTable,$Q368,20)-1))</f>
        <v>4</v>
      </c>
      <c r="W368">
        <f t="array" ref="W368">INDEX(INC_MINVALUES,$V368,$K$1)</f>
        <v>480</v>
      </c>
      <c r="X368" s="212">
        <f t="array" ref="X368">INDEX(INC_INCVALUES,$V368,$K$1)</f>
        <v>4</v>
      </c>
    </row>
    <row r="369" ht="15.75" customHeight="1">
      <c r="A369" s="435"/>
      <c r="B369" s="436"/>
      <c r="C369" s="95" t="str">
        <f t="array" ref="C369">IF(I369&gt;0,INDEX(DB,I369,8),"")</f>
        <v/>
      </c>
      <c r="D369" s="437">
        <f t="shared" si="1"/>
        <v>0</v>
      </c>
      <c r="F369" s="438">
        <f t="shared" si="2"/>
        <v>0</v>
      </c>
      <c r="G369" t="str">
        <f t="shared" si="3"/>
        <v/>
      </c>
      <c r="H369" t="b">
        <f t="shared" si="4"/>
        <v>0</v>
      </c>
      <c r="I369" s="439">
        <f>IF(OR(ISBLANK(A369),ISNA(MATCH(A369&amp;"",AthleteNumbers,0))),0,MATCH(A369&amp;"",AthleteNumbers,0))</f>
        <v>0</v>
      </c>
      <c r="J369" s="209">
        <f t="array" ref="J369">IF(I369&gt;0,INDEX(DB,$I369,6),0)</f>
        <v>0</v>
      </c>
      <c r="K369" s="446">
        <f t="shared" si="5"/>
        <v>0</v>
      </c>
      <c r="L369" s="440">
        <f t="shared" si="6"/>
        <v>0</v>
      </c>
      <c r="M369" s="441">
        <f>IF(AND(L369&gt;O369,O369&gt;0),MinPoints,IF(AND(L369&lt;N369,O369&gt;0),100,+INT((O369-$L369)/P369)+MinPoints))</f>
        <v>100</v>
      </c>
      <c r="N369" s="440">
        <f t="shared" si="7"/>
        <v>90</v>
      </c>
      <c r="O369" s="440">
        <f t="shared" si="8"/>
        <v>180</v>
      </c>
      <c r="P369" s="440">
        <f t="shared" si="9"/>
        <v>1</v>
      </c>
      <c r="Q369">
        <f t="array" ref="Q369">IF(I369&gt;0,INDEX(DB,I369,9),EventIndex)</f>
        <v>6</v>
      </c>
      <c r="S369">
        <f t="array" ref="S369">(INT(INDEX(MINVALUES,$Q369,$K$1))*60)+(MOD(INDEX(MINVALUES,$Q369,$K$1),1)*100)</f>
        <v>180</v>
      </c>
      <c r="T369">
        <f t="array" ref="T369">(INDEX(INCVALUES,$Q369,$K$1)*100)</f>
        <v>1</v>
      </c>
      <c r="V369">
        <f t="array" ref="V369">+J369+(4*(INDEX(MatchScoreTable,$Q369,20)-1))</f>
        <v>4</v>
      </c>
      <c r="W369">
        <f t="array" ref="W369">INDEX(INC_MINVALUES,$V369,$K$1)</f>
        <v>480</v>
      </c>
      <c r="X369" s="212">
        <f t="array" ref="X369">INDEX(INC_INCVALUES,$V369,$K$1)</f>
        <v>4</v>
      </c>
    </row>
    <row r="370" ht="15.75" customHeight="1">
      <c r="A370" s="435"/>
      <c r="B370" s="436"/>
      <c r="C370" s="95" t="str">
        <f t="array" ref="C370">IF(I370&gt;0,INDEX(DB,I370,8),"")</f>
        <v/>
      </c>
      <c r="D370" s="437">
        <f t="shared" si="1"/>
        <v>0</v>
      </c>
      <c r="F370" s="438">
        <f t="shared" si="2"/>
        <v>0</v>
      </c>
      <c r="G370" t="str">
        <f t="shared" si="3"/>
        <v/>
      </c>
      <c r="H370" t="b">
        <f t="shared" si="4"/>
        <v>0</v>
      </c>
      <c r="I370" s="439">
        <f>IF(OR(ISBLANK(A370),ISNA(MATCH(A370&amp;"",AthleteNumbers,0))),0,MATCH(A370&amp;"",AthleteNumbers,0))</f>
        <v>0</v>
      </c>
      <c r="J370" s="209">
        <f t="array" ref="J370">IF(I370&gt;0,INDEX(DB,$I370,6),0)</f>
        <v>0</v>
      </c>
      <c r="K370" s="446">
        <f t="shared" si="5"/>
        <v>0</v>
      </c>
      <c r="L370" s="440">
        <f t="shared" si="6"/>
        <v>0</v>
      </c>
      <c r="M370" s="441">
        <f>IF(AND(L370&gt;O370,O370&gt;0),MinPoints,IF(AND(L370&lt;N370,O370&gt;0),100,+INT((O370-$L370)/P370)+MinPoints))</f>
        <v>100</v>
      </c>
      <c r="N370" s="440">
        <f t="shared" si="7"/>
        <v>90</v>
      </c>
      <c r="O370" s="440">
        <f t="shared" si="8"/>
        <v>180</v>
      </c>
      <c r="P370" s="440">
        <f t="shared" si="9"/>
        <v>1</v>
      </c>
      <c r="Q370">
        <f t="array" ref="Q370">IF(I370&gt;0,INDEX(DB,I370,9),EventIndex)</f>
        <v>6</v>
      </c>
      <c r="S370">
        <f t="array" ref="S370">(INT(INDEX(MINVALUES,$Q370,$K$1))*60)+(MOD(INDEX(MINVALUES,$Q370,$K$1),1)*100)</f>
        <v>180</v>
      </c>
      <c r="T370">
        <f t="array" ref="T370">(INDEX(INCVALUES,$Q370,$K$1)*100)</f>
        <v>1</v>
      </c>
      <c r="V370">
        <f t="array" ref="V370">+J370+(4*(INDEX(MatchScoreTable,$Q370,20)-1))</f>
        <v>4</v>
      </c>
      <c r="W370">
        <f t="array" ref="W370">INDEX(INC_MINVALUES,$V370,$K$1)</f>
        <v>480</v>
      </c>
      <c r="X370" s="212">
        <f t="array" ref="X370">INDEX(INC_INCVALUES,$V370,$K$1)</f>
        <v>4</v>
      </c>
    </row>
    <row r="371" ht="15.75" customHeight="1">
      <c r="A371" s="435"/>
      <c r="B371" s="436"/>
      <c r="C371" s="95" t="str">
        <f t="array" ref="C371">IF(I371&gt;0,INDEX(DB,I371,8),"")</f>
        <v/>
      </c>
      <c r="D371" s="437">
        <f t="shared" si="1"/>
        <v>0</v>
      </c>
      <c r="F371" s="438">
        <f t="shared" si="2"/>
        <v>0</v>
      </c>
      <c r="G371" t="str">
        <f t="shared" si="3"/>
        <v/>
      </c>
      <c r="H371" t="b">
        <f t="shared" si="4"/>
        <v>0</v>
      </c>
      <c r="I371" s="439">
        <f>IF(OR(ISBLANK(A371),ISNA(MATCH(A371&amp;"",AthleteNumbers,0))),0,MATCH(A371&amp;"",AthleteNumbers,0))</f>
        <v>0</v>
      </c>
      <c r="J371" s="209">
        <f t="array" ref="J371">IF(I371&gt;0,INDEX(DB,$I371,6),0)</f>
        <v>0</v>
      </c>
      <c r="K371" s="446">
        <f t="shared" si="5"/>
        <v>0</v>
      </c>
      <c r="L371" s="440">
        <f t="shared" si="6"/>
        <v>0</v>
      </c>
      <c r="M371" s="441">
        <f>IF(AND(L371&gt;O371,O371&gt;0),MinPoints,IF(AND(L371&lt;N371,O371&gt;0),100,+INT((O371-$L371)/P371)+MinPoints))</f>
        <v>100</v>
      </c>
      <c r="N371" s="440">
        <f t="shared" si="7"/>
        <v>90</v>
      </c>
      <c r="O371" s="440">
        <f t="shared" si="8"/>
        <v>180</v>
      </c>
      <c r="P371" s="440">
        <f t="shared" si="9"/>
        <v>1</v>
      </c>
      <c r="Q371">
        <f t="array" ref="Q371">IF(I371&gt;0,INDEX(DB,I371,9),EventIndex)</f>
        <v>6</v>
      </c>
      <c r="S371">
        <f t="array" ref="S371">(INT(INDEX(MINVALUES,$Q371,$K$1))*60)+(MOD(INDEX(MINVALUES,$Q371,$K$1),1)*100)</f>
        <v>180</v>
      </c>
      <c r="T371">
        <f t="array" ref="T371">(INDEX(INCVALUES,$Q371,$K$1)*100)</f>
        <v>1</v>
      </c>
      <c r="V371">
        <f t="array" ref="V371">+J371+(4*(INDEX(MatchScoreTable,$Q371,20)-1))</f>
        <v>4</v>
      </c>
      <c r="W371">
        <f t="array" ref="W371">INDEX(INC_MINVALUES,$V371,$K$1)</f>
        <v>480</v>
      </c>
      <c r="X371" s="212">
        <f t="array" ref="X371">INDEX(INC_INCVALUES,$V371,$K$1)</f>
        <v>4</v>
      </c>
    </row>
    <row r="372" ht="15.75" customHeight="1">
      <c r="A372" s="435"/>
      <c r="B372" s="436"/>
      <c r="C372" s="95" t="str">
        <f t="array" ref="C372">IF(I372&gt;0,INDEX(DB,I372,8),"")</f>
        <v/>
      </c>
      <c r="D372" s="437">
        <f t="shared" si="1"/>
        <v>0</v>
      </c>
      <c r="F372" s="438">
        <f t="shared" si="2"/>
        <v>0</v>
      </c>
      <c r="G372" t="str">
        <f t="shared" si="3"/>
        <v/>
      </c>
      <c r="H372" t="b">
        <f t="shared" si="4"/>
        <v>0</v>
      </c>
      <c r="I372" s="439">
        <f>IF(OR(ISBLANK(A372),ISNA(MATCH(A372&amp;"",AthleteNumbers,0))),0,MATCH(A372&amp;"",AthleteNumbers,0))</f>
        <v>0</v>
      </c>
      <c r="J372" s="209">
        <f t="array" ref="J372">IF(I372&gt;0,INDEX(DB,$I372,6),0)</f>
        <v>0</v>
      </c>
      <c r="K372" s="446">
        <f t="shared" si="5"/>
        <v>0</v>
      </c>
      <c r="L372" s="440">
        <f t="shared" si="6"/>
        <v>0</v>
      </c>
      <c r="M372" s="441">
        <f>IF(AND(L372&gt;O372,O372&gt;0),MinPoints,IF(AND(L372&lt;N372,O372&gt;0),100,+INT((O372-$L372)/P372)+MinPoints))</f>
        <v>100</v>
      </c>
      <c r="N372" s="440">
        <f t="shared" si="7"/>
        <v>90</v>
      </c>
      <c r="O372" s="440">
        <f t="shared" si="8"/>
        <v>180</v>
      </c>
      <c r="P372" s="440">
        <f t="shared" si="9"/>
        <v>1</v>
      </c>
      <c r="Q372">
        <f t="array" ref="Q372">IF(I372&gt;0,INDEX(DB,I372,9),EventIndex)</f>
        <v>6</v>
      </c>
      <c r="S372">
        <f t="array" ref="S372">(INT(INDEX(MINVALUES,$Q372,$K$1))*60)+(MOD(INDEX(MINVALUES,$Q372,$K$1),1)*100)</f>
        <v>180</v>
      </c>
      <c r="T372">
        <f t="array" ref="T372">(INDEX(INCVALUES,$Q372,$K$1)*100)</f>
        <v>1</v>
      </c>
      <c r="V372">
        <f t="array" ref="V372">+J372+(4*(INDEX(MatchScoreTable,$Q372,20)-1))</f>
        <v>4</v>
      </c>
      <c r="W372">
        <f t="array" ref="W372">INDEX(INC_MINVALUES,$V372,$K$1)</f>
        <v>480</v>
      </c>
      <c r="X372" s="212">
        <f t="array" ref="X372">INDEX(INC_INCVALUES,$V372,$K$1)</f>
        <v>4</v>
      </c>
    </row>
    <row r="373" ht="15.75" customHeight="1">
      <c r="A373" s="435"/>
      <c r="B373" s="436"/>
      <c r="C373" s="95" t="str">
        <f t="array" ref="C373">IF(I373&gt;0,INDEX(DB,I373,8),"")</f>
        <v/>
      </c>
      <c r="D373" s="437">
        <f t="shared" si="1"/>
        <v>0</v>
      </c>
      <c r="F373" s="438">
        <f t="shared" si="2"/>
        <v>0</v>
      </c>
      <c r="G373" t="str">
        <f t="shared" si="3"/>
        <v/>
      </c>
      <c r="H373" t="b">
        <f t="shared" si="4"/>
        <v>0</v>
      </c>
      <c r="I373" s="439">
        <f>IF(OR(ISBLANK(A373),ISNA(MATCH(A373&amp;"",AthleteNumbers,0))),0,MATCH(A373&amp;"",AthleteNumbers,0))</f>
        <v>0</v>
      </c>
      <c r="J373" s="209">
        <f t="array" ref="J373">IF(I373&gt;0,INDEX(DB,$I373,6),0)</f>
        <v>0</v>
      </c>
      <c r="K373" s="446">
        <f t="shared" si="5"/>
        <v>0</v>
      </c>
      <c r="L373" s="440">
        <f t="shared" si="6"/>
        <v>0</v>
      </c>
      <c r="M373" s="441">
        <f>IF(AND(L373&gt;O373,O373&gt;0),MinPoints,IF(AND(L373&lt;N373,O373&gt;0),100,+INT((O373-$L373)/P373)+MinPoints))</f>
        <v>100</v>
      </c>
      <c r="N373" s="440">
        <f t="shared" si="7"/>
        <v>90</v>
      </c>
      <c r="O373" s="440">
        <f t="shared" si="8"/>
        <v>180</v>
      </c>
      <c r="P373" s="440">
        <f t="shared" si="9"/>
        <v>1</v>
      </c>
      <c r="Q373">
        <f t="array" ref="Q373">IF(I373&gt;0,INDEX(DB,I373,9),EventIndex)</f>
        <v>6</v>
      </c>
      <c r="S373">
        <f t="array" ref="S373">(INT(INDEX(MINVALUES,$Q373,$K$1))*60)+(MOD(INDEX(MINVALUES,$Q373,$K$1),1)*100)</f>
        <v>180</v>
      </c>
      <c r="T373">
        <f t="array" ref="T373">(INDEX(INCVALUES,$Q373,$K$1)*100)</f>
        <v>1</v>
      </c>
      <c r="V373">
        <f t="array" ref="V373">+J373+(4*(INDEX(MatchScoreTable,$Q373,20)-1))</f>
        <v>4</v>
      </c>
      <c r="W373">
        <f t="array" ref="W373">INDEX(INC_MINVALUES,$V373,$K$1)</f>
        <v>480</v>
      </c>
      <c r="X373" s="212">
        <f t="array" ref="X373">INDEX(INC_INCVALUES,$V373,$K$1)</f>
        <v>4</v>
      </c>
    </row>
    <row r="374" ht="15.75" customHeight="1">
      <c r="A374" s="435"/>
      <c r="B374" s="436"/>
      <c r="C374" s="95" t="str">
        <f t="array" ref="C374">IF(I374&gt;0,INDEX(DB,I374,8),"")</f>
        <v/>
      </c>
      <c r="D374" s="437">
        <f t="shared" si="1"/>
        <v>0</v>
      </c>
      <c r="F374" s="438">
        <f t="shared" si="2"/>
        <v>0</v>
      </c>
      <c r="G374" t="str">
        <f t="shared" si="3"/>
        <v/>
      </c>
      <c r="H374" t="b">
        <f t="shared" si="4"/>
        <v>0</v>
      </c>
      <c r="I374" s="439">
        <f>IF(OR(ISBLANK(A374),ISNA(MATCH(A374&amp;"",AthleteNumbers,0))),0,MATCH(A374&amp;"",AthleteNumbers,0))</f>
        <v>0</v>
      </c>
      <c r="J374" s="209">
        <f t="array" ref="J374">IF(I374&gt;0,INDEX(DB,$I374,6),0)</f>
        <v>0</v>
      </c>
      <c r="K374" s="446">
        <f t="shared" si="5"/>
        <v>0</v>
      </c>
      <c r="L374" s="440">
        <f t="shared" si="6"/>
        <v>0</v>
      </c>
      <c r="M374" s="441">
        <f>IF(AND(L374&gt;O374,O374&gt;0),MinPoints,IF(AND(L374&lt;N374,O374&gt;0),100,+INT((O374-$L374)/P374)+MinPoints))</f>
        <v>100</v>
      </c>
      <c r="N374" s="440">
        <f t="shared" si="7"/>
        <v>90</v>
      </c>
      <c r="O374" s="440">
        <f t="shared" si="8"/>
        <v>180</v>
      </c>
      <c r="P374" s="440">
        <f t="shared" si="9"/>
        <v>1</v>
      </c>
      <c r="Q374">
        <f t="array" ref="Q374">IF(I374&gt;0,INDEX(DB,I374,9),EventIndex)</f>
        <v>6</v>
      </c>
      <c r="S374">
        <f t="array" ref="S374">(INT(INDEX(MINVALUES,$Q374,$K$1))*60)+(MOD(INDEX(MINVALUES,$Q374,$K$1),1)*100)</f>
        <v>180</v>
      </c>
      <c r="T374">
        <f t="array" ref="T374">(INDEX(INCVALUES,$Q374,$K$1)*100)</f>
        <v>1</v>
      </c>
      <c r="V374">
        <f t="array" ref="V374">+J374+(4*(INDEX(MatchScoreTable,$Q374,20)-1))</f>
        <v>4</v>
      </c>
      <c r="W374">
        <f t="array" ref="W374">INDEX(INC_MINVALUES,$V374,$K$1)</f>
        <v>480</v>
      </c>
      <c r="X374" s="212">
        <f t="array" ref="X374">INDEX(INC_INCVALUES,$V374,$K$1)</f>
        <v>4</v>
      </c>
    </row>
    <row r="375" ht="15.75" customHeight="1">
      <c r="A375" s="435"/>
      <c r="B375" s="436"/>
      <c r="C375" s="95" t="str">
        <f t="array" ref="C375">IF(I375&gt;0,INDEX(DB,I375,8),"")</f>
        <v/>
      </c>
      <c r="D375" s="437">
        <f t="shared" si="1"/>
        <v>0</v>
      </c>
      <c r="F375" s="438">
        <f t="shared" si="2"/>
        <v>0</v>
      </c>
      <c r="G375" t="str">
        <f t="shared" si="3"/>
        <v/>
      </c>
      <c r="H375" t="b">
        <f t="shared" si="4"/>
        <v>0</v>
      </c>
      <c r="I375" s="439">
        <f>IF(OR(ISBLANK(A375),ISNA(MATCH(A375&amp;"",AthleteNumbers,0))),0,MATCH(A375&amp;"",AthleteNumbers,0))</f>
        <v>0</v>
      </c>
      <c r="J375" s="209">
        <f t="array" ref="J375">IF(I375&gt;0,INDEX(DB,$I375,6),0)</f>
        <v>0</v>
      </c>
      <c r="K375" s="446">
        <f t="shared" si="5"/>
        <v>0</v>
      </c>
      <c r="L375" s="440">
        <f t="shared" si="6"/>
        <v>0</v>
      </c>
      <c r="M375" s="441">
        <f>IF(AND(L375&gt;O375,O375&gt;0),MinPoints,IF(AND(L375&lt;N375,O375&gt;0),100,+INT((O375-$L375)/P375)+MinPoints))</f>
        <v>100</v>
      </c>
      <c r="N375" s="440">
        <f t="shared" si="7"/>
        <v>90</v>
      </c>
      <c r="O375" s="440">
        <f t="shared" si="8"/>
        <v>180</v>
      </c>
      <c r="P375" s="440">
        <f t="shared" si="9"/>
        <v>1</v>
      </c>
      <c r="Q375">
        <f t="array" ref="Q375">IF(I375&gt;0,INDEX(DB,I375,9),EventIndex)</f>
        <v>6</v>
      </c>
      <c r="S375">
        <f t="array" ref="S375">(INT(INDEX(MINVALUES,$Q375,$K$1))*60)+(MOD(INDEX(MINVALUES,$Q375,$K$1),1)*100)</f>
        <v>180</v>
      </c>
      <c r="T375">
        <f t="array" ref="T375">(INDEX(INCVALUES,$Q375,$K$1)*100)</f>
        <v>1</v>
      </c>
      <c r="V375">
        <f t="array" ref="V375">+J375+(4*(INDEX(MatchScoreTable,$Q375,20)-1))</f>
        <v>4</v>
      </c>
      <c r="W375">
        <f t="array" ref="W375">INDEX(INC_MINVALUES,$V375,$K$1)</f>
        <v>480</v>
      </c>
      <c r="X375" s="212">
        <f t="array" ref="X375">INDEX(INC_INCVALUES,$V375,$K$1)</f>
        <v>4</v>
      </c>
    </row>
    <row r="376" ht="15.75" customHeight="1">
      <c r="A376" s="435"/>
      <c r="B376" s="436"/>
      <c r="C376" s="95" t="str">
        <f t="array" ref="C376">IF(I376&gt;0,INDEX(DB,I376,8),"")</f>
        <v/>
      </c>
      <c r="D376" s="437">
        <f t="shared" si="1"/>
        <v>0</v>
      </c>
      <c r="F376" s="438">
        <f t="shared" si="2"/>
        <v>0</v>
      </c>
      <c r="G376" t="str">
        <f t="shared" si="3"/>
        <v/>
      </c>
      <c r="H376" t="b">
        <f t="shared" si="4"/>
        <v>0</v>
      </c>
      <c r="I376" s="439">
        <f>IF(OR(ISBLANK(A376),ISNA(MATCH(A376&amp;"",AthleteNumbers,0))),0,MATCH(A376&amp;"",AthleteNumbers,0))</f>
        <v>0</v>
      </c>
      <c r="J376" s="209">
        <f t="array" ref="J376">IF(I376&gt;0,INDEX(DB,$I376,6),0)</f>
        <v>0</v>
      </c>
      <c r="K376" s="446">
        <f t="shared" si="5"/>
        <v>0</v>
      </c>
      <c r="L376" s="440">
        <f t="shared" si="6"/>
        <v>0</v>
      </c>
      <c r="M376" s="441">
        <f>IF(AND(L376&gt;O376,O376&gt;0),MinPoints,IF(AND(L376&lt;N376,O376&gt;0),100,+INT((O376-$L376)/P376)+MinPoints))</f>
        <v>100</v>
      </c>
      <c r="N376" s="440">
        <f t="shared" si="7"/>
        <v>90</v>
      </c>
      <c r="O376" s="440">
        <f t="shared" si="8"/>
        <v>180</v>
      </c>
      <c r="P376" s="440">
        <f t="shared" si="9"/>
        <v>1</v>
      </c>
      <c r="Q376">
        <f t="array" ref="Q376">IF(I376&gt;0,INDEX(DB,I376,9),EventIndex)</f>
        <v>6</v>
      </c>
      <c r="S376">
        <f t="array" ref="S376">(INT(INDEX(MINVALUES,$Q376,$K$1))*60)+(MOD(INDEX(MINVALUES,$Q376,$K$1),1)*100)</f>
        <v>180</v>
      </c>
      <c r="T376">
        <f t="array" ref="T376">(INDEX(INCVALUES,$Q376,$K$1)*100)</f>
        <v>1</v>
      </c>
      <c r="V376">
        <f t="array" ref="V376">+J376+(4*(INDEX(MatchScoreTable,$Q376,20)-1))</f>
        <v>4</v>
      </c>
      <c r="W376">
        <f t="array" ref="W376">INDEX(INC_MINVALUES,$V376,$K$1)</f>
        <v>480</v>
      </c>
      <c r="X376" s="212">
        <f t="array" ref="X376">INDEX(INC_INCVALUES,$V376,$K$1)</f>
        <v>4</v>
      </c>
    </row>
    <row r="377" ht="15.75" customHeight="1">
      <c r="A377" s="435"/>
      <c r="B377" s="436"/>
      <c r="C377" s="95" t="str">
        <f t="array" ref="C377">IF(I377&gt;0,INDEX(DB,I377,8),"")</f>
        <v/>
      </c>
      <c r="D377" s="437">
        <f t="shared" si="1"/>
        <v>0</v>
      </c>
      <c r="F377" s="438">
        <f t="shared" si="2"/>
        <v>0</v>
      </c>
      <c r="G377" t="str">
        <f t="shared" si="3"/>
        <v/>
      </c>
      <c r="H377" t="b">
        <f t="shared" si="4"/>
        <v>0</v>
      </c>
      <c r="I377" s="439">
        <f>IF(OR(ISBLANK(A377),ISNA(MATCH(A377&amp;"",AthleteNumbers,0))),0,MATCH(A377&amp;"",AthleteNumbers,0))</f>
        <v>0</v>
      </c>
      <c r="J377" s="209">
        <f t="array" ref="J377">IF(I377&gt;0,INDEX(DB,$I377,6),0)</f>
        <v>0</v>
      </c>
      <c r="K377" s="446">
        <f t="shared" si="5"/>
        <v>0</v>
      </c>
      <c r="L377" s="440">
        <f t="shared" si="6"/>
        <v>0</v>
      </c>
      <c r="M377" s="441">
        <f>IF(AND(L377&gt;O377,O377&gt;0),MinPoints,IF(AND(L377&lt;N377,O377&gt;0),100,+INT((O377-$L377)/P377)+MinPoints))</f>
        <v>100</v>
      </c>
      <c r="N377" s="440">
        <f t="shared" si="7"/>
        <v>90</v>
      </c>
      <c r="O377" s="440">
        <f t="shared" si="8"/>
        <v>180</v>
      </c>
      <c r="P377" s="440">
        <f t="shared" si="9"/>
        <v>1</v>
      </c>
      <c r="Q377">
        <f t="array" ref="Q377">IF(I377&gt;0,INDEX(DB,I377,9),EventIndex)</f>
        <v>6</v>
      </c>
      <c r="S377">
        <f t="array" ref="S377">(INT(INDEX(MINVALUES,$Q377,$K$1))*60)+(MOD(INDEX(MINVALUES,$Q377,$K$1),1)*100)</f>
        <v>180</v>
      </c>
      <c r="T377">
        <f t="array" ref="T377">(INDEX(INCVALUES,$Q377,$K$1)*100)</f>
        <v>1</v>
      </c>
      <c r="V377">
        <f t="array" ref="V377">+J377+(4*(INDEX(MatchScoreTable,$Q377,20)-1))</f>
        <v>4</v>
      </c>
      <c r="W377">
        <f t="array" ref="W377">INDEX(INC_MINVALUES,$V377,$K$1)</f>
        <v>480</v>
      </c>
      <c r="X377" s="212">
        <f t="array" ref="X377">INDEX(INC_INCVALUES,$V377,$K$1)</f>
        <v>4</v>
      </c>
    </row>
    <row r="378" ht="15.75" customHeight="1">
      <c r="A378" s="435"/>
      <c r="B378" s="436"/>
      <c r="C378" s="95" t="str">
        <f t="array" ref="C378">IF(I378&gt;0,INDEX(DB,I378,8),"")</f>
        <v/>
      </c>
      <c r="D378" s="437">
        <f t="shared" si="1"/>
        <v>0</v>
      </c>
      <c r="F378" s="438">
        <f t="shared" si="2"/>
        <v>0</v>
      </c>
      <c r="G378" t="str">
        <f t="shared" si="3"/>
        <v/>
      </c>
      <c r="H378" t="b">
        <f t="shared" si="4"/>
        <v>0</v>
      </c>
      <c r="I378" s="439">
        <f>IF(OR(ISBLANK(A378),ISNA(MATCH(A378&amp;"",AthleteNumbers,0))),0,MATCH(A378&amp;"",AthleteNumbers,0))</f>
        <v>0</v>
      </c>
      <c r="J378" s="209">
        <f t="array" ref="J378">IF(I378&gt;0,INDEX(DB,$I378,6),0)</f>
        <v>0</v>
      </c>
      <c r="K378" s="446">
        <f t="shared" si="5"/>
        <v>0</v>
      </c>
      <c r="L378" s="440">
        <f t="shared" si="6"/>
        <v>0</v>
      </c>
      <c r="M378" s="441">
        <f>IF(AND(L378&gt;O378,O378&gt;0),MinPoints,IF(AND(L378&lt;N378,O378&gt;0),100,+INT((O378-$L378)/P378)+MinPoints))</f>
        <v>100</v>
      </c>
      <c r="N378" s="440">
        <f t="shared" si="7"/>
        <v>90</v>
      </c>
      <c r="O378" s="440">
        <f t="shared" si="8"/>
        <v>180</v>
      </c>
      <c r="P378" s="440">
        <f t="shared" si="9"/>
        <v>1</v>
      </c>
      <c r="Q378">
        <f t="array" ref="Q378">IF(I378&gt;0,INDEX(DB,I378,9),EventIndex)</f>
        <v>6</v>
      </c>
      <c r="S378">
        <f t="array" ref="S378">(INT(INDEX(MINVALUES,$Q378,$K$1))*60)+(MOD(INDEX(MINVALUES,$Q378,$K$1),1)*100)</f>
        <v>180</v>
      </c>
      <c r="T378">
        <f t="array" ref="T378">(INDEX(INCVALUES,$Q378,$K$1)*100)</f>
        <v>1</v>
      </c>
      <c r="V378">
        <f t="array" ref="V378">+J378+(4*(INDEX(MatchScoreTable,$Q378,20)-1))</f>
        <v>4</v>
      </c>
      <c r="W378">
        <f t="array" ref="W378">INDEX(INC_MINVALUES,$V378,$K$1)</f>
        <v>480</v>
      </c>
      <c r="X378" s="212">
        <f t="array" ref="X378">INDEX(INC_INCVALUES,$V378,$K$1)</f>
        <v>4</v>
      </c>
    </row>
    <row r="379" ht="15.75" customHeight="1">
      <c r="A379" s="435"/>
      <c r="B379" s="436"/>
      <c r="C379" s="95" t="str">
        <f t="array" ref="C379">IF(I379&gt;0,INDEX(DB,I379,8),"")</f>
        <v/>
      </c>
      <c r="D379" s="437">
        <f t="shared" si="1"/>
        <v>0</v>
      </c>
      <c r="F379" s="438">
        <f t="shared" si="2"/>
        <v>0</v>
      </c>
      <c r="G379" t="str">
        <f t="shared" si="3"/>
        <v/>
      </c>
      <c r="H379" t="b">
        <f t="shared" si="4"/>
        <v>0</v>
      </c>
      <c r="I379" s="439">
        <f>IF(OR(ISBLANK(A379),ISNA(MATCH(A379&amp;"",AthleteNumbers,0))),0,MATCH(A379&amp;"",AthleteNumbers,0))</f>
        <v>0</v>
      </c>
      <c r="J379" s="209">
        <f t="array" ref="J379">IF(I379&gt;0,INDEX(DB,$I379,6),0)</f>
        <v>0</v>
      </c>
      <c r="K379" s="446">
        <f t="shared" si="5"/>
        <v>0</v>
      </c>
      <c r="L379" s="440">
        <f t="shared" si="6"/>
        <v>0</v>
      </c>
      <c r="M379" s="441">
        <f>IF(AND(L379&gt;O379,O379&gt;0),MinPoints,IF(AND(L379&lt;N379,O379&gt;0),100,+INT((O379-$L379)/P379)+MinPoints))</f>
        <v>100</v>
      </c>
      <c r="N379" s="440">
        <f t="shared" si="7"/>
        <v>90</v>
      </c>
      <c r="O379" s="440">
        <f t="shared" si="8"/>
        <v>180</v>
      </c>
      <c r="P379" s="440">
        <f t="shared" si="9"/>
        <v>1</v>
      </c>
      <c r="Q379">
        <f t="array" ref="Q379">IF(I379&gt;0,INDEX(DB,I379,9),EventIndex)</f>
        <v>6</v>
      </c>
      <c r="S379">
        <f t="array" ref="S379">(INT(INDEX(MINVALUES,$Q379,$K$1))*60)+(MOD(INDEX(MINVALUES,$Q379,$K$1),1)*100)</f>
        <v>180</v>
      </c>
      <c r="T379">
        <f t="array" ref="T379">(INDEX(INCVALUES,$Q379,$K$1)*100)</f>
        <v>1</v>
      </c>
      <c r="V379">
        <f t="array" ref="V379">+J379+(4*(INDEX(MatchScoreTable,$Q379,20)-1))</f>
        <v>4</v>
      </c>
      <c r="W379">
        <f t="array" ref="W379">INDEX(INC_MINVALUES,$V379,$K$1)</f>
        <v>480</v>
      </c>
      <c r="X379" s="212">
        <f t="array" ref="X379">INDEX(INC_INCVALUES,$V379,$K$1)</f>
        <v>4</v>
      </c>
    </row>
    <row r="380" ht="15.75" customHeight="1">
      <c r="A380" s="435"/>
      <c r="B380" s="436"/>
      <c r="C380" s="95" t="str">
        <f t="array" ref="C380">IF(I380&gt;0,INDEX(DB,I380,8),"")</f>
        <v/>
      </c>
      <c r="D380" s="437">
        <f t="shared" si="1"/>
        <v>0</v>
      </c>
      <c r="F380" s="438">
        <f t="shared" si="2"/>
        <v>0</v>
      </c>
      <c r="G380" t="str">
        <f t="shared" si="3"/>
        <v/>
      </c>
      <c r="H380" t="b">
        <f t="shared" si="4"/>
        <v>0</v>
      </c>
      <c r="I380" s="439">
        <f>IF(OR(ISBLANK(A380),ISNA(MATCH(A380&amp;"",AthleteNumbers,0))),0,MATCH(A380&amp;"",AthleteNumbers,0))</f>
        <v>0</v>
      </c>
      <c r="J380" s="209">
        <f t="array" ref="J380">IF(I380&gt;0,INDEX(DB,$I380,6),0)</f>
        <v>0</v>
      </c>
      <c r="K380" s="446">
        <f t="shared" si="5"/>
        <v>0</v>
      </c>
      <c r="L380" s="440">
        <f t="shared" si="6"/>
        <v>0</v>
      </c>
      <c r="M380" s="441">
        <f>IF(AND(L380&gt;O380,O380&gt;0),MinPoints,IF(AND(L380&lt;N380,O380&gt;0),100,+INT((O380-$L380)/P380)+MinPoints))</f>
        <v>100</v>
      </c>
      <c r="N380" s="440">
        <f t="shared" si="7"/>
        <v>90</v>
      </c>
      <c r="O380" s="440">
        <f t="shared" si="8"/>
        <v>180</v>
      </c>
      <c r="P380" s="440">
        <f t="shared" si="9"/>
        <v>1</v>
      </c>
      <c r="Q380">
        <f t="array" ref="Q380">IF(I380&gt;0,INDEX(DB,I380,9),EventIndex)</f>
        <v>6</v>
      </c>
      <c r="S380">
        <f t="array" ref="S380">(INT(INDEX(MINVALUES,$Q380,$K$1))*60)+(MOD(INDEX(MINVALUES,$Q380,$K$1),1)*100)</f>
        <v>180</v>
      </c>
      <c r="T380">
        <f t="array" ref="T380">(INDEX(INCVALUES,$Q380,$K$1)*100)</f>
        <v>1</v>
      </c>
      <c r="V380">
        <f t="array" ref="V380">+J380+(4*(INDEX(MatchScoreTable,$Q380,20)-1))</f>
        <v>4</v>
      </c>
      <c r="W380">
        <f t="array" ref="W380">INDEX(INC_MINVALUES,$V380,$K$1)</f>
        <v>480</v>
      </c>
      <c r="X380" s="212">
        <f t="array" ref="X380">INDEX(INC_INCVALUES,$V380,$K$1)</f>
        <v>4</v>
      </c>
    </row>
    <row r="381" ht="15.75" customHeight="1">
      <c r="A381" s="435"/>
      <c r="B381" s="436"/>
      <c r="C381" s="95" t="str">
        <f t="array" ref="C381">IF(I381&gt;0,INDEX(DB,I381,8),"")</f>
        <v/>
      </c>
      <c r="D381" s="437">
        <f t="shared" si="1"/>
        <v>0</v>
      </c>
      <c r="F381" s="438">
        <f t="shared" si="2"/>
        <v>0</v>
      </c>
      <c r="G381" t="str">
        <f t="shared" si="3"/>
        <v/>
      </c>
      <c r="H381" t="b">
        <f t="shared" si="4"/>
        <v>0</v>
      </c>
      <c r="I381" s="439">
        <f>IF(OR(ISBLANK(A381),ISNA(MATCH(A381&amp;"",AthleteNumbers,0))),0,MATCH(A381&amp;"",AthleteNumbers,0))</f>
        <v>0</v>
      </c>
      <c r="J381" s="209">
        <f t="array" ref="J381">IF(I381&gt;0,INDEX(DB,$I381,6),0)</f>
        <v>0</v>
      </c>
      <c r="K381" s="446">
        <f t="shared" si="5"/>
        <v>0</v>
      </c>
      <c r="L381" s="440">
        <f t="shared" si="6"/>
        <v>0</v>
      </c>
      <c r="M381" s="441">
        <f>IF(AND(L381&gt;O381,O381&gt;0),MinPoints,IF(AND(L381&lt;N381,O381&gt;0),100,+INT((O381-$L381)/P381)+MinPoints))</f>
        <v>100</v>
      </c>
      <c r="N381" s="440">
        <f t="shared" si="7"/>
        <v>90</v>
      </c>
      <c r="O381" s="440">
        <f t="shared" si="8"/>
        <v>180</v>
      </c>
      <c r="P381" s="440">
        <f t="shared" si="9"/>
        <v>1</v>
      </c>
      <c r="Q381">
        <f t="array" ref="Q381">IF(I381&gt;0,INDEX(DB,I381,9),EventIndex)</f>
        <v>6</v>
      </c>
      <c r="S381">
        <f t="array" ref="S381">(INT(INDEX(MINVALUES,$Q381,$K$1))*60)+(MOD(INDEX(MINVALUES,$Q381,$K$1),1)*100)</f>
        <v>180</v>
      </c>
      <c r="T381">
        <f t="array" ref="T381">(INDEX(INCVALUES,$Q381,$K$1)*100)</f>
        <v>1</v>
      </c>
      <c r="V381">
        <f t="array" ref="V381">+J381+(4*(INDEX(MatchScoreTable,$Q381,20)-1))</f>
        <v>4</v>
      </c>
      <c r="W381">
        <f t="array" ref="W381">INDEX(INC_MINVALUES,$V381,$K$1)</f>
        <v>480</v>
      </c>
      <c r="X381" s="212">
        <f t="array" ref="X381">INDEX(INC_INCVALUES,$V381,$K$1)</f>
        <v>4</v>
      </c>
    </row>
    <row r="382" ht="15.75" customHeight="1">
      <c r="A382" s="435"/>
      <c r="B382" s="436"/>
      <c r="C382" s="95" t="str">
        <f t="array" ref="C382">IF(I382&gt;0,INDEX(DB,I382,8),"")</f>
        <v/>
      </c>
      <c r="D382" s="437">
        <f t="shared" si="1"/>
        <v>0</v>
      </c>
      <c r="F382" s="438">
        <f t="shared" si="2"/>
        <v>0</v>
      </c>
      <c r="G382" t="str">
        <f t="shared" si="3"/>
        <v/>
      </c>
      <c r="H382" t="b">
        <f t="shared" si="4"/>
        <v>0</v>
      </c>
      <c r="I382" s="439">
        <f>IF(OR(ISBLANK(A382),ISNA(MATCH(A382&amp;"",AthleteNumbers,0))),0,MATCH(A382&amp;"",AthleteNumbers,0))</f>
        <v>0</v>
      </c>
      <c r="J382" s="209">
        <f t="array" ref="J382">IF(I382&gt;0,INDEX(DB,$I382,6),0)</f>
        <v>0</v>
      </c>
      <c r="K382" s="446">
        <f t="shared" si="5"/>
        <v>0</v>
      </c>
      <c r="L382" s="440">
        <f t="shared" si="6"/>
        <v>0</v>
      </c>
      <c r="M382" s="441">
        <f>IF(AND(L382&gt;O382,O382&gt;0),MinPoints,IF(AND(L382&lt;N382,O382&gt;0),100,+INT((O382-$L382)/P382)+MinPoints))</f>
        <v>100</v>
      </c>
      <c r="N382" s="440">
        <f t="shared" si="7"/>
        <v>90</v>
      </c>
      <c r="O382" s="440">
        <f t="shared" si="8"/>
        <v>180</v>
      </c>
      <c r="P382" s="440">
        <f t="shared" si="9"/>
        <v>1</v>
      </c>
      <c r="Q382">
        <f t="array" ref="Q382">IF(I382&gt;0,INDEX(DB,I382,9),EventIndex)</f>
        <v>6</v>
      </c>
      <c r="S382">
        <f t="array" ref="S382">(INT(INDEX(MINVALUES,$Q382,$K$1))*60)+(MOD(INDEX(MINVALUES,$Q382,$K$1),1)*100)</f>
        <v>180</v>
      </c>
      <c r="T382">
        <f t="array" ref="T382">(INDEX(INCVALUES,$Q382,$K$1)*100)</f>
        <v>1</v>
      </c>
      <c r="V382">
        <f t="array" ref="V382">+J382+(4*(INDEX(MatchScoreTable,$Q382,20)-1))</f>
        <v>4</v>
      </c>
      <c r="W382">
        <f t="array" ref="W382">INDEX(INC_MINVALUES,$V382,$K$1)</f>
        <v>480</v>
      </c>
      <c r="X382" s="212">
        <f t="array" ref="X382">INDEX(INC_INCVALUES,$V382,$K$1)</f>
        <v>4</v>
      </c>
    </row>
    <row r="383" ht="15.75" customHeight="1">
      <c r="A383" s="435"/>
      <c r="B383" s="436"/>
      <c r="C383" s="95" t="str">
        <f t="array" ref="C383">IF(I383&gt;0,INDEX(DB,I383,8),"")</f>
        <v/>
      </c>
      <c r="D383" s="437">
        <f t="shared" si="1"/>
        <v>0</v>
      </c>
      <c r="F383" s="438">
        <f t="shared" si="2"/>
        <v>0</v>
      </c>
      <c r="G383" t="str">
        <f t="shared" si="3"/>
        <v/>
      </c>
      <c r="H383" t="b">
        <f t="shared" si="4"/>
        <v>0</v>
      </c>
      <c r="I383" s="439">
        <f>IF(OR(ISBLANK(A383),ISNA(MATCH(A383&amp;"",AthleteNumbers,0))),0,MATCH(A383&amp;"",AthleteNumbers,0))</f>
        <v>0</v>
      </c>
      <c r="J383" s="209">
        <f t="array" ref="J383">IF(I383&gt;0,INDEX(DB,$I383,6),0)</f>
        <v>0</v>
      </c>
      <c r="K383" s="446">
        <f t="shared" si="5"/>
        <v>0</v>
      </c>
      <c r="L383" s="440">
        <f t="shared" si="6"/>
        <v>0</v>
      </c>
      <c r="M383" s="441">
        <f>IF(AND(L383&gt;O383,O383&gt;0),MinPoints,IF(AND(L383&lt;N383,O383&gt;0),100,+INT((O383-$L383)/P383)+MinPoints))</f>
        <v>100</v>
      </c>
      <c r="N383" s="440">
        <f t="shared" si="7"/>
        <v>90</v>
      </c>
      <c r="O383" s="440">
        <f t="shared" si="8"/>
        <v>180</v>
      </c>
      <c r="P383" s="440">
        <f t="shared" si="9"/>
        <v>1</v>
      </c>
      <c r="Q383">
        <f t="array" ref="Q383">IF(I383&gt;0,INDEX(DB,I383,9),EventIndex)</f>
        <v>6</v>
      </c>
      <c r="S383">
        <f t="array" ref="S383">(INT(INDEX(MINVALUES,$Q383,$K$1))*60)+(MOD(INDEX(MINVALUES,$Q383,$K$1),1)*100)</f>
        <v>180</v>
      </c>
      <c r="T383">
        <f t="array" ref="T383">(INDEX(INCVALUES,$Q383,$K$1)*100)</f>
        <v>1</v>
      </c>
      <c r="V383">
        <f t="array" ref="V383">+J383+(4*(INDEX(MatchScoreTable,$Q383,20)-1))</f>
        <v>4</v>
      </c>
      <c r="W383">
        <f t="array" ref="W383">INDEX(INC_MINVALUES,$V383,$K$1)</f>
        <v>480</v>
      </c>
      <c r="X383" s="212">
        <f t="array" ref="X383">INDEX(INC_INCVALUES,$V383,$K$1)</f>
        <v>4</v>
      </c>
    </row>
    <row r="384" ht="15.75" customHeight="1">
      <c r="A384" s="435"/>
      <c r="B384" s="436"/>
      <c r="C384" s="95" t="str">
        <f t="array" ref="C384">IF(I384&gt;0,INDEX(DB,I384,8),"")</f>
        <v/>
      </c>
      <c r="D384" s="437">
        <f t="shared" si="1"/>
        <v>0</v>
      </c>
      <c r="F384" s="438">
        <f t="shared" si="2"/>
        <v>0</v>
      </c>
      <c r="G384" t="str">
        <f t="shared" si="3"/>
        <v/>
      </c>
      <c r="H384" t="b">
        <f t="shared" si="4"/>
        <v>0</v>
      </c>
      <c r="I384" s="439">
        <f>IF(OR(ISBLANK(A384),ISNA(MATCH(A384&amp;"",AthleteNumbers,0))),0,MATCH(A384&amp;"",AthleteNumbers,0))</f>
        <v>0</v>
      </c>
      <c r="J384" s="209">
        <f t="array" ref="J384">IF(I384&gt;0,INDEX(DB,$I384,6),0)</f>
        <v>0</v>
      </c>
      <c r="K384" s="446">
        <f t="shared" si="5"/>
        <v>0</v>
      </c>
      <c r="L384" s="440">
        <f t="shared" si="6"/>
        <v>0</v>
      </c>
      <c r="M384" s="441">
        <f>IF(AND(L384&gt;O384,O384&gt;0),MinPoints,IF(AND(L384&lt;N384,O384&gt;0),100,+INT((O384-$L384)/P384)+MinPoints))</f>
        <v>100</v>
      </c>
      <c r="N384" s="440">
        <f t="shared" si="7"/>
        <v>90</v>
      </c>
      <c r="O384" s="440">
        <f t="shared" si="8"/>
        <v>180</v>
      </c>
      <c r="P384" s="440">
        <f t="shared" si="9"/>
        <v>1</v>
      </c>
      <c r="Q384">
        <f t="array" ref="Q384">IF(I384&gt;0,INDEX(DB,I384,9),EventIndex)</f>
        <v>6</v>
      </c>
      <c r="S384">
        <f t="array" ref="S384">(INT(INDEX(MINVALUES,$Q384,$K$1))*60)+(MOD(INDEX(MINVALUES,$Q384,$K$1),1)*100)</f>
        <v>180</v>
      </c>
      <c r="T384">
        <f t="array" ref="T384">(INDEX(INCVALUES,$Q384,$K$1)*100)</f>
        <v>1</v>
      </c>
      <c r="V384">
        <f t="array" ref="V384">+J384+(4*(INDEX(MatchScoreTable,$Q384,20)-1))</f>
        <v>4</v>
      </c>
      <c r="W384">
        <f t="array" ref="W384">INDEX(INC_MINVALUES,$V384,$K$1)</f>
        <v>480</v>
      </c>
      <c r="X384" s="212">
        <f t="array" ref="X384">INDEX(INC_INCVALUES,$V384,$K$1)</f>
        <v>4</v>
      </c>
    </row>
    <row r="385" ht="15.75" customHeight="1">
      <c r="A385" s="435"/>
      <c r="B385" s="436"/>
      <c r="C385" s="95" t="str">
        <f t="array" ref="C385">IF(I385&gt;0,INDEX(DB,I385,8),"")</f>
        <v/>
      </c>
      <c r="D385" s="437">
        <f t="shared" si="1"/>
        <v>0</v>
      </c>
      <c r="F385" s="438">
        <f t="shared" si="2"/>
        <v>0</v>
      </c>
      <c r="G385" t="str">
        <f t="shared" si="3"/>
        <v/>
      </c>
      <c r="H385" t="b">
        <f t="shared" si="4"/>
        <v>0</v>
      </c>
      <c r="I385" s="439">
        <f>IF(OR(ISBLANK(A385),ISNA(MATCH(A385&amp;"",AthleteNumbers,0))),0,MATCH(A385&amp;"",AthleteNumbers,0))</f>
        <v>0</v>
      </c>
      <c r="J385" s="209">
        <f t="array" ref="J385">IF(I385&gt;0,INDEX(DB,$I385,6),0)</f>
        <v>0</v>
      </c>
      <c r="K385" s="446">
        <f t="shared" si="5"/>
        <v>0</v>
      </c>
      <c r="L385" s="440">
        <f t="shared" si="6"/>
        <v>0</v>
      </c>
      <c r="M385" s="441">
        <f>IF(AND(L385&gt;O385,O385&gt;0),MinPoints,IF(AND(L385&lt;N385,O385&gt;0),100,+INT((O385-$L385)/P385)+MinPoints))</f>
        <v>100</v>
      </c>
      <c r="N385" s="440">
        <f t="shared" si="7"/>
        <v>90</v>
      </c>
      <c r="O385" s="440">
        <f t="shared" si="8"/>
        <v>180</v>
      </c>
      <c r="P385" s="440">
        <f t="shared" si="9"/>
        <v>1</v>
      </c>
      <c r="Q385">
        <f t="array" ref="Q385">IF(I385&gt;0,INDEX(DB,I385,9),EventIndex)</f>
        <v>6</v>
      </c>
      <c r="S385">
        <f t="array" ref="S385">(INT(INDEX(MINVALUES,$Q385,$K$1))*60)+(MOD(INDEX(MINVALUES,$Q385,$K$1),1)*100)</f>
        <v>180</v>
      </c>
      <c r="T385">
        <f t="array" ref="T385">(INDEX(INCVALUES,$Q385,$K$1)*100)</f>
        <v>1</v>
      </c>
      <c r="V385">
        <f t="array" ref="V385">+J385+(4*(INDEX(MatchScoreTable,$Q385,20)-1))</f>
        <v>4</v>
      </c>
      <c r="W385">
        <f t="array" ref="W385">INDEX(INC_MINVALUES,$V385,$K$1)</f>
        <v>480</v>
      </c>
      <c r="X385" s="212">
        <f t="array" ref="X385">INDEX(INC_INCVALUES,$V385,$K$1)</f>
        <v>4</v>
      </c>
    </row>
    <row r="386" ht="15.75" customHeight="1">
      <c r="A386" s="435"/>
      <c r="B386" s="436"/>
      <c r="C386" s="95" t="str">
        <f t="array" ref="C386">IF(I386&gt;0,INDEX(DB,I386,8),"")</f>
        <v/>
      </c>
      <c r="D386" s="437">
        <f t="shared" si="1"/>
        <v>0</v>
      </c>
      <c r="F386" s="438">
        <f t="shared" si="2"/>
        <v>0</v>
      </c>
      <c r="G386" t="str">
        <f t="shared" si="3"/>
        <v/>
      </c>
      <c r="H386" t="b">
        <f t="shared" si="4"/>
        <v>0</v>
      </c>
      <c r="I386" s="439">
        <f>IF(OR(ISBLANK(A386),ISNA(MATCH(A386&amp;"",AthleteNumbers,0))),0,MATCH(A386&amp;"",AthleteNumbers,0))</f>
        <v>0</v>
      </c>
      <c r="J386" s="209">
        <f t="array" ref="J386">IF(I386&gt;0,INDEX(DB,$I386,6),0)</f>
        <v>0</v>
      </c>
      <c r="K386" s="446">
        <f t="shared" si="5"/>
        <v>0</v>
      </c>
      <c r="L386" s="440">
        <f t="shared" si="6"/>
        <v>0</v>
      </c>
      <c r="M386" s="441">
        <f>IF(AND(L386&gt;O386,O386&gt;0),MinPoints,IF(AND(L386&lt;N386,O386&gt;0),100,+INT((O386-$L386)/P386)+MinPoints))</f>
        <v>100</v>
      </c>
      <c r="N386" s="440">
        <f t="shared" si="7"/>
        <v>90</v>
      </c>
      <c r="O386" s="440">
        <f t="shared" si="8"/>
        <v>180</v>
      </c>
      <c r="P386" s="440">
        <f t="shared" si="9"/>
        <v>1</v>
      </c>
      <c r="Q386">
        <f t="array" ref="Q386">IF(I386&gt;0,INDEX(DB,I386,9),EventIndex)</f>
        <v>6</v>
      </c>
      <c r="S386">
        <f t="array" ref="S386">(INT(INDEX(MINVALUES,$Q386,$K$1))*60)+(MOD(INDEX(MINVALUES,$Q386,$K$1),1)*100)</f>
        <v>180</v>
      </c>
      <c r="T386">
        <f t="array" ref="T386">(INDEX(INCVALUES,$Q386,$K$1)*100)</f>
        <v>1</v>
      </c>
      <c r="V386">
        <f t="array" ref="V386">+J386+(4*(INDEX(MatchScoreTable,$Q386,20)-1))</f>
        <v>4</v>
      </c>
      <c r="W386">
        <f t="array" ref="W386">INDEX(INC_MINVALUES,$V386,$K$1)</f>
        <v>480</v>
      </c>
      <c r="X386" s="212">
        <f t="array" ref="X386">INDEX(INC_INCVALUES,$V386,$K$1)</f>
        <v>4</v>
      </c>
    </row>
    <row r="387" ht="15.75" customHeight="1">
      <c r="A387" s="435"/>
      <c r="B387" s="436"/>
      <c r="C387" s="95" t="str">
        <f t="array" ref="C387">IF(I387&gt;0,INDEX(DB,I387,8),"")</f>
        <v/>
      </c>
      <c r="D387" s="437">
        <f t="shared" si="1"/>
        <v>0</v>
      </c>
      <c r="F387" s="438">
        <f t="shared" si="2"/>
        <v>0</v>
      </c>
      <c r="G387" t="str">
        <f t="shared" si="3"/>
        <v/>
      </c>
      <c r="H387" t="b">
        <f t="shared" si="4"/>
        <v>0</v>
      </c>
      <c r="I387" s="439">
        <f>IF(OR(ISBLANK(A387),ISNA(MATCH(A387&amp;"",AthleteNumbers,0))),0,MATCH(A387&amp;"",AthleteNumbers,0))</f>
        <v>0</v>
      </c>
      <c r="J387" s="209">
        <f t="array" ref="J387">IF(I387&gt;0,INDEX(DB,$I387,6),0)</f>
        <v>0</v>
      </c>
      <c r="K387" s="446">
        <f t="shared" si="5"/>
        <v>0</v>
      </c>
      <c r="L387" s="440">
        <f t="shared" si="6"/>
        <v>0</v>
      </c>
      <c r="M387" s="441">
        <f>IF(AND(L387&gt;O387,O387&gt;0),MinPoints,IF(AND(L387&lt;N387,O387&gt;0),100,+INT((O387-$L387)/P387)+MinPoints))</f>
        <v>100</v>
      </c>
      <c r="N387" s="440">
        <f t="shared" si="7"/>
        <v>90</v>
      </c>
      <c r="O387" s="440">
        <f t="shared" si="8"/>
        <v>180</v>
      </c>
      <c r="P387" s="440">
        <f t="shared" si="9"/>
        <v>1</v>
      </c>
      <c r="Q387">
        <f t="array" ref="Q387">IF(I387&gt;0,INDEX(DB,I387,9),EventIndex)</f>
        <v>6</v>
      </c>
      <c r="S387">
        <f t="array" ref="S387">(INT(INDEX(MINVALUES,$Q387,$K$1))*60)+(MOD(INDEX(MINVALUES,$Q387,$K$1),1)*100)</f>
        <v>180</v>
      </c>
      <c r="T387">
        <f t="array" ref="T387">(INDEX(INCVALUES,$Q387,$K$1)*100)</f>
        <v>1</v>
      </c>
      <c r="V387">
        <f t="array" ref="V387">+J387+(4*(INDEX(MatchScoreTable,$Q387,20)-1))</f>
        <v>4</v>
      </c>
      <c r="W387">
        <f t="array" ref="W387">INDEX(INC_MINVALUES,$V387,$K$1)</f>
        <v>480</v>
      </c>
      <c r="X387" s="212">
        <f t="array" ref="X387">INDEX(INC_INCVALUES,$V387,$K$1)</f>
        <v>4</v>
      </c>
    </row>
    <row r="388" ht="15.75" customHeight="1">
      <c r="A388" s="435"/>
      <c r="B388" s="436"/>
      <c r="C388" s="95" t="str">
        <f t="array" ref="C388">IF(I388&gt;0,INDEX(DB,I388,8),"")</f>
        <v/>
      </c>
      <c r="D388" s="437">
        <f t="shared" si="1"/>
        <v>0</v>
      </c>
      <c r="F388" s="438">
        <f t="shared" si="2"/>
        <v>0</v>
      </c>
      <c r="G388" t="str">
        <f t="shared" si="3"/>
        <v/>
      </c>
      <c r="H388" t="b">
        <f t="shared" si="4"/>
        <v>0</v>
      </c>
      <c r="I388" s="439">
        <f>IF(OR(ISBLANK(A388),ISNA(MATCH(A388&amp;"",AthleteNumbers,0))),0,MATCH(A388&amp;"",AthleteNumbers,0))</f>
        <v>0</v>
      </c>
      <c r="J388" s="209">
        <f t="array" ref="J388">IF(I388&gt;0,INDEX(DB,$I388,6),0)</f>
        <v>0</v>
      </c>
      <c r="K388" s="446">
        <f t="shared" si="5"/>
        <v>0</v>
      </c>
      <c r="L388" s="440">
        <f t="shared" si="6"/>
        <v>0</v>
      </c>
      <c r="M388" s="441">
        <f>IF(AND(L388&gt;O388,O388&gt;0),MinPoints,IF(AND(L388&lt;N388,O388&gt;0),100,+INT((O388-$L388)/P388)+MinPoints))</f>
        <v>100</v>
      </c>
      <c r="N388" s="440">
        <f t="shared" si="7"/>
        <v>90</v>
      </c>
      <c r="O388" s="440">
        <f t="shared" si="8"/>
        <v>180</v>
      </c>
      <c r="P388" s="440">
        <f t="shared" si="9"/>
        <v>1</v>
      </c>
      <c r="Q388">
        <f t="array" ref="Q388">IF(I388&gt;0,INDEX(DB,I388,9),EventIndex)</f>
        <v>6</v>
      </c>
      <c r="S388">
        <f t="array" ref="S388">(INT(INDEX(MINVALUES,$Q388,$K$1))*60)+(MOD(INDEX(MINVALUES,$Q388,$K$1),1)*100)</f>
        <v>180</v>
      </c>
      <c r="T388">
        <f t="array" ref="T388">(INDEX(INCVALUES,$Q388,$K$1)*100)</f>
        <v>1</v>
      </c>
      <c r="V388">
        <f t="array" ref="V388">+J388+(4*(INDEX(MatchScoreTable,$Q388,20)-1))</f>
        <v>4</v>
      </c>
      <c r="W388">
        <f t="array" ref="W388">INDEX(INC_MINVALUES,$V388,$K$1)</f>
        <v>480</v>
      </c>
      <c r="X388" s="212">
        <f t="array" ref="X388">INDEX(INC_INCVALUES,$V388,$K$1)</f>
        <v>4</v>
      </c>
    </row>
    <row r="389" ht="15.75" customHeight="1">
      <c r="A389" s="435"/>
      <c r="B389" s="436"/>
      <c r="C389" s="95" t="str">
        <f t="array" ref="C389">IF(I389&gt;0,INDEX(DB,I389,8),"")</f>
        <v/>
      </c>
      <c r="D389" s="437">
        <f t="shared" si="1"/>
        <v>0</v>
      </c>
      <c r="F389" s="438">
        <f t="shared" si="2"/>
        <v>0</v>
      </c>
      <c r="G389" t="str">
        <f t="shared" si="3"/>
        <v/>
      </c>
      <c r="H389" t="b">
        <f t="shared" si="4"/>
        <v>0</v>
      </c>
      <c r="I389" s="439">
        <f>IF(OR(ISBLANK(A389),ISNA(MATCH(A389&amp;"",AthleteNumbers,0))),0,MATCH(A389&amp;"",AthleteNumbers,0))</f>
        <v>0</v>
      </c>
      <c r="J389" s="209">
        <f t="array" ref="J389">IF(I389&gt;0,INDEX(DB,$I389,6),0)</f>
        <v>0</v>
      </c>
      <c r="K389" s="446">
        <f t="shared" si="5"/>
        <v>0</v>
      </c>
      <c r="L389" s="440">
        <f t="shared" si="6"/>
        <v>0</v>
      </c>
      <c r="M389" s="441">
        <f>IF(AND(L389&gt;O389,O389&gt;0),MinPoints,IF(AND(L389&lt;N389,O389&gt;0),100,+INT((O389-$L389)/P389)+MinPoints))</f>
        <v>100</v>
      </c>
      <c r="N389" s="440">
        <f t="shared" si="7"/>
        <v>90</v>
      </c>
      <c r="O389" s="440">
        <f t="shared" si="8"/>
        <v>180</v>
      </c>
      <c r="P389" s="440">
        <f t="shared" si="9"/>
        <v>1</v>
      </c>
      <c r="Q389">
        <f t="array" ref="Q389">IF(I389&gt;0,INDEX(DB,I389,9),EventIndex)</f>
        <v>6</v>
      </c>
      <c r="S389">
        <f t="array" ref="S389">(INT(INDEX(MINVALUES,$Q389,$K$1))*60)+(MOD(INDEX(MINVALUES,$Q389,$K$1),1)*100)</f>
        <v>180</v>
      </c>
      <c r="T389">
        <f t="array" ref="T389">(INDEX(INCVALUES,$Q389,$K$1)*100)</f>
        <v>1</v>
      </c>
      <c r="V389">
        <f t="array" ref="V389">+J389+(4*(INDEX(MatchScoreTable,$Q389,20)-1))</f>
        <v>4</v>
      </c>
      <c r="W389">
        <f t="array" ref="W389">INDEX(INC_MINVALUES,$V389,$K$1)</f>
        <v>480</v>
      </c>
      <c r="X389" s="212">
        <f t="array" ref="X389">INDEX(INC_INCVALUES,$V389,$K$1)</f>
        <v>4</v>
      </c>
    </row>
    <row r="390" ht="15.75" customHeight="1">
      <c r="A390" s="435"/>
      <c r="B390" s="436"/>
      <c r="C390" s="95" t="str">
        <f t="array" ref="C390">IF(I390&gt;0,INDEX(DB,I390,8),"")</f>
        <v/>
      </c>
      <c r="D390" s="437">
        <f t="shared" si="1"/>
        <v>0</v>
      </c>
      <c r="F390" s="438">
        <f t="shared" si="2"/>
        <v>0</v>
      </c>
      <c r="G390" t="str">
        <f t="shared" si="3"/>
        <v/>
      </c>
      <c r="H390" t="b">
        <f t="shared" si="4"/>
        <v>0</v>
      </c>
      <c r="I390" s="439">
        <f>IF(OR(ISBLANK(A390),ISNA(MATCH(A390&amp;"",AthleteNumbers,0))),0,MATCH(A390&amp;"",AthleteNumbers,0))</f>
        <v>0</v>
      </c>
      <c r="J390" s="209">
        <f t="array" ref="J390">IF(I390&gt;0,INDEX(DB,$I390,6),0)</f>
        <v>0</v>
      </c>
      <c r="K390" s="446">
        <f t="shared" si="5"/>
        <v>0</v>
      </c>
      <c r="L390" s="440">
        <f t="shared" si="6"/>
        <v>0</v>
      </c>
      <c r="M390" s="441">
        <f>IF(AND(L390&gt;O390,O390&gt;0),MinPoints,IF(AND(L390&lt;N390,O390&gt;0),100,+INT((O390-$L390)/P390)+MinPoints))</f>
        <v>100</v>
      </c>
      <c r="N390" s="440">
        <f t="shared" si="7"/>
        <v>90</v>
      </c>
      <c r="O390" s="440">
        <f t="shared" si="8"/>
        <v>180</v>
      </c>
      <c r="P390" s="440">
        <f t="shared" si="9"/>
        <v>1</v>
      </c>
      <c r="Q390">
        <f t="array" ref="Q390">IF(I390&gt;0,INDEX(DB,I390,9),EventIndex)</f>
        <v>6</v>
      </c>
      <c r="S390">
        <f t="array" ref="S390">(INT(INDEX(MINVALUES,$Q390,$K$1))*60)+(MOD(INDEX(MINVALUES,$Q390,$K$1),1)*100)</f>
        <v>180</v>
      </c>
      <c r="T390">
        <f t="array" ref="T390">(INDEX(INCVALUES,$Q390,$K$1)*100)</f>
        <v>1</v>
      </c>
      <c r="V390">
        <f t="array" ref="V390">+J390+(4*(INDEX(MatchScoreTable,$Q390,20)-1))</f>
        <v>4</v>
      </c>
      <c r="W390">
        <f t="array" ref="W390">INDEX(INC_MINVALUES,$V390,$K$1)</f>
        <v>480</v>
      </c>
      <c r="X390" s="212">
        <f t="array" ref="X390">INDEX(INC_INCVALUES,$V390,$K$1)</f>
        <v>4</v>
      </c>
    </row>
    <row r="391" ht="15.75" customHeight="1">
      <c r="A391" s="435"/>
      <c r="B391" s="436"/>
      <c r="C391" s="95" t="str">
        <f t="array" ref="C391">IF(I391&gt;0,INDEX(DB,I391,8),"")</f>
        <v/>
      </c>
      <c r="D391" s="437">
        <f t="shared" si="1"/>
        <v>0</v>
      </c>
      <c r="F391" s="438">
        <f t="shared" si="2"/>
        <v>0</v>
      </c>
      <c r="G391" t="str">
        <f t="shared" si="3"/>
        <v/>
      </c>
      <c r="H391" t="b">
        <f t="shared" si="4"/>
        <v>0</v>
      </c>
      <c r="I391" s="439">
        <f>IF(OR(ISBLANK(A391),ISNA(MATCH(A391&amp;"",AthleteNumbers,0))),0,MATCH(A391&amp;"",AthleteNumbers,0))</f>
        <v>0</v>
      </c>
      <c r="J391" s="209">
        <f t="array" ref="J391">IF(I391&gt;0,INDEX(DB,$I391,6),0)</f>
        <v>0</v>
      </c>
      <c r="K391" s="446">
        <f t="shared" si="5"/>
        <v>0</v>
      </c>
      <c r="L391" s="440">
        <f t="shared" si="6"/>
        <v>0</v>
      </c>
      <c r="M391" s="441">
        <f>IF(AND(L391&gt;O391,O391&gt;0),MinPoints,IF(AND(L391&lt;N391,O391&gt;0),100,+INT((O391-$L391)/P391)+MinPoints))</f>
        <v>100</v>
      </c>
      <c r="N391" s="440">
        <f t="shared" si="7"/>
        <v>90</v>
      </c>
      <c r="O391" s="440">
        <f t="shared" si="8"/>
        <v>180</v>
      </c>
      <c r="P391" s="440">
        <f t="shared" si="9"/>
        <v>1</v>
      </c>
      <c r="Q391">
        <f t="array" ref="Q391">IF(I391&gt;0,INDEX(DB,I391,9),EventIndex)</f>
        <v>6</v>
      </c>
      <c r="S391">
        <f t="array" ref="S391">(INT(INDEX(MINVALUES,$Q391,$K$1))*60)+(MOD(INDEX(MINVALUES,$Q391,$K$1),1)*100)</f>
        <v>180</v>
      </c>
      <c r="T391">
        <f t="array" ref="T391">(INDEX(INCVALUES,$Q391,$K$1)*100)</f>
        <v>1</v>
      </c>
      <c r="V391">
        <f t="array" ref="V391">+J391+(4*(INDEX(MatchScoreTable,$Q391,20)-1))</f>
        <v>4</v>
      </c>
      <c r="W391">
        <f t="array" ref="W391">INDEX(INC_MINVALUES,$V391,$K$1)</f>
        <v>480</v>
      </c>
      <c r="X391" s="212">
        <f t="array" ref="X391">INDEX(INC_INCVALUES,$V391,$K$1)</f>
        <v>4</v>
      </c>
    </row>
    <row r="392" ht="15.75" customHeight="1">
      <c r="A392" s="435"/>
      <c r="B392" s="436"/>
      <c r="C392" s="95" t="str">
        <f t="array" ref="C392">IF(I392&gt;0,INDEX(DB,I392,8),"")</f>
        <v/>
      </c>
      <c r="D392" s="437">
        <f t="shared" si="1"/>
        <v>0</v>
      </c>
      <c r="F392" s="438">
        <f t="shared" si="2"/>
        <v>0</v>
      </c>
      <c r="G392" t="str">
        <f t="shared" si="3"/>
        <v/>
      </c>
      <c r="H392" t="b">
        <f t="shared" si="4"/>
        <v>0</v>
      </c>
      <c r="I392" s="439">
        <f>IF(OR(ISBLANK(A392),ISNA(MATCH(A392&amp;"",AthleteNumbers,0))),0,MATCH(A392&amp;"",AthleteNumbers,0))</f>
        <v>0</v>
      </c>
      <c r="J392" s="209">
        <f t="array" ref="J392">IF(I392&gt;0,INDEX(DB,$I392,6),0)</f>
        <v>0</v>
      </c>
      <c r="K392" s="446">
        <f t="shared" si="5"/>
        <v>0</v>
      </c>
      <c r="L392" s="440">
        <f t="shared" si="6"/>
        <v>0</v>
      </c>
      <c r="M392" s="441">
        <f>IF(AND(L392&gt;O392,O392&gt;0),MinPoints,IF(AND(L392&lt;N392,O392&gt;0),100,+INT((O392-$L392)/P392)+MinPoints))</f>
        <v>100</v>
      </c>
      <c r="N392" s="440">
        <f t="shared" si="7"/>
        <v>90</v>
      </c>
      <c r="O392" s="440">
        <f t="shared" si="8"/>
        <v>180</v>
      </c>
      <c r="P392" s="440">
        <f t="shared" si="9"/>
        <v>1</v>
      </c>
      <c r="Q392">
        <f t="array" ref="Q392">IF(I392&gt;0,INDEX(DB,I392,9),EventIndex)</f>
        <v>6</v>
      </c>
      <c r="S392">
        <f t="array" ref="S392">(INT(INDEX(MINVALUES,$Q392,$K$1))*60)+(MOD(INDEX(MINVALUES,$Q392,$K$1),1)*100)</f>
        <v>180</v>
      </c>
      <c r="T392">
        <f t="array" ref="T392">(INDEX(INCVALUES,$Q392,$K$1)*100)</f>
        <v>1</v>
      </c>
      <c r="V392">
        <f t="array" ref="V392">+J392+(4*(INDEX(MatchScoreTable,$Q392,20)-1))</f>
        <v>4</v>
      </c>
      <c r="W392">
        <f t="array" ref="W392">INDEX(INC_MINVALUES,$V392,$K$1)</f>
        <v>480</v>
      </c>
      <c r="X392" s="212">
        <f t="array" ref="X392">INDEX(INC_INCVALUES,$V392,$K$1)</f>
        <v>4</v>
      </c>
    </row>
    <row r="393" ht="15.75" customHeight="1">
      <c r="A393" s="435"/>
      <c r="B393" s="436"/>
      <c r="C393" s="95" t="str">
        <f t="array" ref="C393">IF(I393&gt;0,INDEX(DB,I393,8),"")</f>
        <v/>
      </c>
      <c r="D393" s="437">
        <f t="shared" si="1"/>
        <v>0</v>
      </c>
      <c r="F393" s="438">
        <f t="shared" si="2"/>
        <v>0</v>
      </c>
      <c r="G393" t="str">
        <f t="shared" si="3"/>
        <v/>
      </c>
      <c r="H393" t="b">
        <f t="shared" si="4"/>
        <v>0</v>
      </c>
      <c r="I393" s="439">
        <f>IF(OR(ISBLANK(A393),ISNA(MATCH(A393&amp;"",AthleteNumbers,0))),0,MATCH(A393&amp;"",AthleteNumbers,0))</f>
        <v>0</v>
      </c>
      <c r="J393" s="209">
        <f t="array" ref="J393">IF(I393&gt;0,INDEX(DB,$I393,6),0)</f>
        <v>0</v>
      </c>
      <c r="K393" s="446">
        <f t="shared" si="5"/>
        <v>0</v>
      </c>
      <c r="L393" s="440">
        <f t="shared" si="6"/>
        <v>0</v>
      </c>
      <c r="M393" s="441">
        <f>IF(AND(L393&gt;O393,O393&gt;0),MinPoints,IF(AND(L393&lt;N393,O393&gt;0),100,+INT((O393-$L393)/P393)+MinPoints))</f>
        <v>100</v>
      </c>
      <c r="N393" s="440">
        <f t="shared" si="7"/>
        <v>90</v>
      </c>
      <c r="O393" s="440">
        <f t="shared" si="8"/>
        <v>180</v>
      </c>
      <c r="P393" s="440">
        <f t="shared" si="9"/>
        <v>1</v>
      </c>
      <c r="Q393">
        <f t="array" ref="Q393">IF(I393&gt;0,INDEX(DB,I393,9),EventIndex)</f>
        <v>6</v>
      </c>
      <c r="S393">
        <f t="array" ref="S393">(INT(INDEX(MINVALUES,$Q393,$K$1))*60)+(MOD(INDEX(MINVALUES,$Q393,$K$1),1)*100)</f>
        <v>180</v>
      </c>
      <c r="T393">
        <f t="array" ref="T393">(INDEX(INCVALUES,$Q393,$K$1)*100)</f>
        <v>1</v>
      </c>
      <c r="V393">
        <f t="array" ref="V393">+J393+(4*(INDEX(MatchScoreTable,$Q393,20)-1))</f>
        <v>4</v>
      </c>
      <c r="W393">
        <f t="array" ref="W393">INDEX(INC_MINVALUES,$V393,$K$1)</f>
        <v>480</v>
      </c>
      <c r="X393" s="212">
        <f t="array" ref="X393">INDEX(INC_INCVALUES,$V393,$K$1)</f>
        <v>4</v>
      </c>
    </row>
    <row r="394" ht="15.75" customHeight="1">
      <c r="A394" s="435"/>
      <c r="B394" s="436"/>
      <c r="C394" s="95" t="str">
        <f t="array" ref="C394">IF(I394&gt;0,INDEX(DB,I394,8),"")</f>
        <v/>
      </c>
      <c r="D394" s="437">
        <f t="shared" si="1"/>
        <v>0</v>
      </c>
      <c r="F394" s="438">
        <f t="shared" si="2"/>
        <v>0</v>
      </c>
      <c r="G394" t="str">
        <f t="shared" si="3"/>
        <v/>
      </c>
      <c r="H394" t="b">
        <f t="shared" si="4"/>
        <v>0</v>
      </c>
      <c r="I394" s="439">
        <f>IF(OR(ISBLANK(A394),ISNA(MATCH(A394&amp;"",AthleteNumbers,0))),0,MATCH(A394&amp;"",AthleteNumbers,0))</f>
        <v>0</v>
      </c>
      <c r="J394" s="209">
        <f t="array" ref="J394">IF(I394&gt;0,INDEX(DB,$I394,6),0)</f>
        <v>0</v>
      </c>
      <c r="K394" s="446">
        <f t="shared" si="5"/>
        <v>0</v>
      </c>
      <c r="L394" s="440">
        <f t="shared" si="6"/>
        <v>0</v>
      </c>
      <c r="M394" s="441">
        <f>IF(AND(L394&gt;O394,O394&gt;0),MinPoints,IF(AND(L394&lt;N394,O394&gt;0),100,+INT((O394-$L394)/P394)+MinPoints))</f>
        <v>100</v>
      </c>
      <c r="N394" s="440">
        <f t="shared" si="7"/>
        <v>90</v>
      </c>
      <c r="O394" s="440">
        <f t="shared" si="8"/>
        <v>180</v>
      </c>
      <c r="P394" s="440">
        <f t="shared" si="9"/>
        <v>1</v>
      </c>
      <c r="Q394">
        <f t="array" ref="Q394">IF(I394&gt;0,INDEX(DB,I394,9),EventIndex)</f>
        <v>6</v>
      </c>
      <c r="S394">
        <f t="array" ref="S394">(INT(INDEX(MINVALUES,$Q394,$K$1))*60)+(MOD(INDEX(MINVALUES,$Q394,$K$1),1)*100)</f>
        <v>180</v>
      </c>
      <c r="T394">
        <f t="array" ref="T394">(INDEX(INCVALUES,$Q394,$K$1)*100)</f>
        <v>1</v>
      </c>
      <c r="V394">
        <f t="array" ref="V394">+J394+(4*(INDEX(MatchScoreTable,$Q394,20)-1))</f>
        <v>4</v>
      </c>
      <c r="W394">
        <f t="array" ref="W394">INDEX(INC_MINVALUES,$V394,$K$1)</f>
        <v>480</v>
      </c>
      <c r="X394" s="212">
        <f t="array" ref="X394">INDEX(INC_INCVALUES,$V394,$K$1)</f>
        <v>4</v>
      </c>
    </row>
    <row r="395" ht="15.75" customHeight="1">
      <c r="A395" s="435"/>
      <c r="B395" s="436"/>
      <c r="C395" s="95" t="str">
        <f t="array" ref="C395">IF(I395&gt;0,INDEX(DB,I395,8),"")</f>
        <v/>
      </c>
      <c r="D395" s="437">
        <f t="shared" si="1"/>
        <v>0</v>
      </c>
      <c r="F395" s="438">
        <f t="shared" si="2"/>
        <v>0</v>
      </c>
      <c r="G395" t="str">
        <f t="shared" si="3"/>
        <v/>
      </c>
      <c r="H395" t="b">
        <f t="shared" si="4"/>
        <v>0</v>
      </c>
      <c r="I395" s="439">
        <f>IF(OR(ISBLANK(A395),ISNA(MATCH(A395&amp;"",AthleteNumbers,0))),0,MATCH(A395&amp;"",AthleteNumbers,0))</f>
        <v>0</v>
      </c>
      <c r="J395" s="209">
        <f t="array" ref="J395">IF(I395&gt;0,INDEX(DB,$I395,6),0)</f>
        <v>0</v>
      </c>
      <c r="K395" s="446">
        <f t="shared" si="5"/>
        <v>0</v>
      </c>
      <c r="L395" s="440">
        <f t="shared" si="6"/>
        <v>0</v>
      </c>
      <c r="M395" s="441">
        <f>IF(AND(L395&gt;O395,O395&gt;0),MinPoints,IF(AND(L395&lt;N395,O395&gt;0),100,+INT((O395-$L395)/P395)+MinPoints))</f>
        <v>100</v>
      </c>
      <c r="N395" s="440">
        <f t="shared" si="7"/>
        <v>90</v>
      </c>
      <c r="O395" s="440">
        <f t="shared" si="8"/>
        <v>180</v>
      </c>
      <c r="P395" s="440">
        <f t="shared" si="9"/>
        <v>1</v>
      </c>
      <c r="Q395">
        <f t="array" ref="Q395">IF(I395&gt;0,INDEX(DB,I395,9),EventIndex)</f>
        <v>6</v>
      </c>
      <c r="S395">
        <f t="array" ref="S395">(INT(INDEX(MINVALUES,$Q395,$K$1))*60)+(MOD(INDEX(MINVALUES,$Q395,$K$1),1)*100)</f>
        <v>180</v>
      </c>
      <c r="T395">
        <f t="array" ref="T395">(INDEX(INCVALUES,$Q395,$K$1)*100)</f>
        <v>1</v>
      </c>
      <c r="V395">
        <f t="array" ref="V395">+J395+(4*(INDEX(MatchScoreTable,$Q395,20)-1))</f>
        <v>4</v>
      </c>
      <c r="W395">
        <f t="array" ref="W395">INDEX(INC_MINVALUES,$V395,$K$1)</f>
        <v>480</v>
      </c>
      <c r="X395" s="212">
        <f t="array" ref="X395">INDEX(INC_INCVALUES,$V395,$K$1)</f>
        <v>4</v>
      </c>
    </row>
    <row r="396" ht="15.75" customHeight="1">
      <c r="A396" s="435"/>
      <c r="B396" s="436"/>
      <c r="C396" s="95" t="str">
        <f t="array" ref="C396">IF(I396&gt;0,INDEX(DB,I396,8),"")</f>
        <v/>
      </c>
      <c r="D396" s="437">
        <f t="shared" si="1"/>
        <v>0</v>
      </c>
      <c r="F396" s="438">
        <f t="shared" si="2"/>
        <v>0</v>
      </c>
      <c r="G396" t="str">
        <f t="shared" si="3"/>
        <v/>
      </c>
      <c r="H396" t="b">
        <f t="shared" si="4"/>
        <v>0</v>
      </c>
      <c r="I396" s="439">
        <f>IF(OR(ISBLANK(A396),ISNA(MATCH(A396&amp;"",AthleteNumbers,0))),0,MATCH(A396&amp;"",AthleteNumbers,0))</f>
        <v>0</v>
      </c>
      <c r="J396" s="209">
        <f t="array" ref="J396">IF(I396&gt;0,INDEX(DB,$I396,6),0)</f>
        <v>0</v>
      </c>
      <c r="K396" s="446">
        <f t="shared" si="5"/>
        <v>0</v>
      </c>
      <c r="L396" s="440">
        <f t="shared" si="6"/>
        <v>0</v>
      </c>
      <c r="M396" s="441">
        <f>IF(AND(L396&gt;O396,O396&gt;0),MinPoints,IF(AND(L396&lt;N396,O396&gt;0),100,+INT((O396-$L396)/P396)+MinPoints))</f>
        <v>100</v>
      </c>
      <c r="N396" s="440">
        <f t="shared" si="7"/>
        <v>90</v>
      </c>
      <c r="O396" s="440">
        <f t="shared" si="8"/>
        <v>180</v>
      </c>
      <c r="P396" s="440">
        <f t="shared" si="9"/>
        <v>1</v>
      </c>
      <c r="Q396">
        <f t="array" ref="Q396">IF(I396&gt;0,INDEX(DB,I396,9),EventIndex)</f>
        <v>6</v>
      </c>
      <c r="S396">
        <f t="array" ref="S396">(INT(INDEX(MINVALUES,$Q396,$K$1))*60)+(MOD(INDEX(MINVALUES,$Q396,$K$1),1)*100)</f>
        <v>180</v>
      </c>
      <c r="T396">
        <f t="array" ref="T396">(INDEX(INCVALUES,$Q396,$K$1)*100)</f>
        <v>1</v>
      </c>
      <c r="V396">
        <f t="array" ref="V396">+J396+(4*(INDEX(MatchScoreTable,$Q396,20)-1))</f>
        <v>4</v>
      </c>
      <c r="W396">
        <f t="array" ref="W396">INDEX(INC_MINVALUES,$V396,$K$1)</f>
        <v>480</v>
      </c>
      <c r="X396" s="212">
        <f t="array" ref="X396">INDEX(INC_INCVALUES,$V396,$K$1)</f>
        <v>4</v>
      </c>
    </row>
    <row r="397" ht="15.75" customHeight="1">
      <c r="A397" s="435"/>
      <c r="B397" s="436"/>
      <c r="C397" s="95" t="str">
        <f t="array" ref="C397">IF(I397&gt;0,INDEX(DB,I397,8),"")</f>
        <v/>
      </c>
      <c r="D397" s="437">
        <f t="shared" si="1"/>
        <v>0</v>
      </c>
      <c r="F397" s="438">
        <f t="shared" si="2"/>
        <v>0</v>
      </c>
      <c r="G397" t="str">
        <f t="shared" si="3"/>
        <v/>
      </c>
      <c r="H397" t="b">
        <f t="shared" si="4"/>
        <v>0</v>
      </c>
      <c r="I397" s="439">
        <f>IF(OR(ISBLANK(A397),ISNA(MATCH(A397&amp;"",AthleteNumbers,0))),0,MATCH(A397&amp;"",AthleteNumbers,0))</f>
        <v>0</v>
      </c>
      <c r="J397" s="209">
        <f t="array" ref="J397">IF(I397&gt;0,INDEX(DB,$I397,6),0)</f>
        <v>0</v>
      </c>
      <c r="K397" s="446">
        <f t="shared" si="5"/>
        <v>0</v>
      </c>
      <c r="L397" s="440">
        <f t="shared" si="6"/>
        <v>0</v>
      </c>
      <c r="M397" s="441">
        <f>IF(AND(L397&gt;O397,O397&gt;0),MinPoints,IF(AND(L397&lt;N397,O397&gt;0),100,+INT((O397-$L397)/P397)+MinPoints))</f>
        <v>100</v>
      </c>
      <c r="N397" s="440">
        <f t="shared" si="7"/>
        <v>90</v>
      </c>
      <c r="O397" s="440">
        <f t="shared" si="8"/>
        <v>180</v>
      </c>
      <c r="P397" s="440">
        <f t="shared" si="9"/>
        <v>1</v>
      </c>
      <c r="Q397">
        <f t="array" ref="Q397">IF(I397&gt;0,INDEX(DB,I397,9),EventIndex)</f>
        <v>6</v>
      </c>
      <c r="S397">
        <f t="array" ref="S397">(INT(INDEX(MINVALUES,$Q397,$K$1))*60)+(MOD(INDEX(MINVALUES,$Q397,$K$1),1)*100)</f>
        <v>180</v>
      </c>
      <c r="T397">
        <f t="array" ref="T397">(INDEX(INCVALUES,$Q397,$K$1)*100)</f>
        <v>1</v>
      </c>
      <c r="V397">
        <f t="array" ref="V397">+J397+(4*(INDEX(MatchScoreTable,$Q397,20)-1))</f>
        <v>4</v>
      </c>
      <c r="W397">
        <f t="array" ref="W397">INDEX(INC_MINVALUES,$V397,$K$1)</f>
        <v>480</v>
      </c>
      <c r="X397" s="212">
        <f t="array" ref="X397">INDEX(INC_INCVALUES,$V397,$K$1)</f>
        <v>4</v>
      </c>
    </row>
    <row r="398" ht="15.75" customHeight="1">
      <c r="A398" s="435"/>
      <c r="B398" s="436"/>
      <c r="C398" s="95" t="str">
        <f t="array" ref="C398">IF(I398&gt;0,INDEX(DB,I398,8),"")</f>
        <v/>
      </c>
      <c r="D398" s="437">
        <f t="shared" si="1"/>
        <v>0</v>
      </c>
      <c r="F398" s="438">
        <f t="shared" si="2"/>
        <v>0</v>
      </c>
      <c r="G398" t="str">
        <f t="shared" si="3"/>
        <v/>
      </c>
      <c r="H398" t="b">
        <f t="shared" si="4"/>
        <v>0</v>
      </c>
      <c r="I398" s="439">
        <f>IF(OR(ISBLANK(A398),ISNA(MATCH(A398&amp;"",AthleteNumbers,0))),0,MATCH(A398&amp;"",AthleteNumbers,0))</f>
        <v>0</v>
      </c>
      <c r="J398" s="209">
        <f t="array" ref="J398">IF(I398&gt;0,INDEX(DB,$I398,6),0)</f>
        <v>0</v>
      </c>
      <c r="K398" s="446">
        <f t="shared" si="5"/>
        <v>0</v>
      </c>
      <c r="L398" s="440">
        <f t="shared" si="6"/>
        <v>0</v>
      </c>
      <c r="M398" s="441">
        <f>IF(AND(L398&gt;O398,O398&gt;0),MinPoints,IF(AND(L398&lt;N398,O398&gt;0),100,+INT((O398-$L398)/P398)+MinPoints))</f>
        <v>100</v>
      </c>
      <c r="N398" s="440">
        <f t="shared" si="7"/>
        <v>90</v>
      </c>
      <c r="O398" s="440">
        <f t="shared" si="8"/>
        <v>180</v>
      </c>
      <c r="P398" s="440">
        <f t="shared" si="9"/>
        <v>1</v>
      </c>
      <c r="Q398">
        <f t="array" ref="Q398">IF(I398&gt;0,INDEX(DB,I398,9),EventIndex)</f>
        <v>6</v>
      </c>
      <c r="S398">
        <f t="array" ref="S398">(INT(INDEX(MINVALUES,$Q398,$K$1))*60)+(MOD(INDEX(MINVALUES,$Q398,$K$1),1)*100)</f>
        <v>180</v>
      </c>
      <c r="T398">
        <f t="array" ref="T398">(INDEX(INCVALUES,$Q398,$K$1)*100)</f>
        <v>1</v>
      </c>
      <c r="V398">
        <f t="array" ref="V398">+J398+(4*(INDEX(MatchScoreTable,$Q398,20)-1))</f>
        <v>4</v>
      </c>
      <c r="W398">
        <f t="array" ref="W398">INDEX(INC_MINVALUES,$V398,$K$1)</f>
        <v>480</v>
      </c>
      <c r="X398" s="212">
        <f t="array" ref="X398">INDEX(INC_INCVALUES,$V398,$K$1)</f>
        <v>4</v>
      </c>
    </row>
    <row r="399" ht="15.75" customHeight="1">
      <c r="A399" s="435"/>
      <c r="B399" s="436"/>
      <c r="C399" s="95" t="str">
        <f t="array" ref="C399">IF(I399&gt;0,INDEX(DB,I399,8),"")</f>
        <v/>
      </c>
      <c r="D399" s="437">
        <f t="shared" si="1"/>
        <v>0</v>
      </c>
      <c r="F399" s="438">
        <f t="shared" si="2"/>
        <v>0</v>
      </c>
      <c r="G399" t="str">
        <f t="shared" si="3"/>
        <v/>
      </c>
      <c r="H399" t="b">
        <f t="shared" si="4"/>
        <v>0</v>
      </c>
      <c r="I399" s="439">
        <f>IF(OR(ISBLANK(A399),ISNA(MATCH(A399&amp;"",AthleteNumbers,0))),0,MATCH(A399&amp;"",AthleteNumbers,0))</f>
        <v>0</v>
      </c>
      <c r="J399" s="209">
        <f t="array" ref="J399">IF(I399&gt;0,INDEX(DB,$I399,6),0)</f>
        <v>0</v>
      </c>
      <c r="K399" s="446">
        <f t="shared" si="5"/>
        <v>0</v>
      </c>
      <c r="L399" s="440">
        <f t="shared" si="6"/>
        <v>0</v>
      </c>
      <c r="M399" s="441">
        <f>IF(AND(L399&gt;O399,O399&gt;0),MinPoints,IF(AND(L399&lt;N399,O399&gt;0),100,+INT((O399-$L399)/P399)+MinPoints))</f>
        <v>100</v>
      </c>
      <c r="N399" s="440">
        <f t="shared" si="7"/>
        <v>90</v>
      </c>
      <c r="O399" s="440">
        <f t="shared" si="8"/>
        <v>180</v>
      </c>
      <c r="P399" s="440">
        <f t="shared" si="9"/>
        <v>1</v>
      </c>
      <c r="Q399">
        <f t="array" ref="Q399">IF(I399&gt;0,INDEX(DB,I399,9),EventIndex)</f>
        <v>6</v>
      </c>
      <c r="S399">
        <f t="array" ref="S399">(INT(INDEX(MINVALUES,$Q399,$K$1))*60)+(MOD(INDEX(MINVALUES,$Q399,$K$1),1)*100)</f>
        <v>180</v>
      </c>
      <c r="T399">
        <f t="array" ref="T399">(INDEX(INCVALUES,$Q399,$K$1)*100)</f>
        <v>1</v>
      </c>
      <c r="V399">
        <f t="array" ref="V399">+J399+(4*(INDEX(MatchScoreTable,$Q399,20)-1))</f>
        <v>4</v>
      </c>
      <c r="W399">
        <f t="array" ref="W399">INDEX(INC_MINVALUES,$V399,$K$1)</f>
        <v>480</v>
      </c>
      <c r="X399" s="212">
        <f t="array" ref="X399">INDEX(INC_INCVALUES,$V399,$K$1)</f>
        <v>4</v>
      </c>
    </row>
    <row r="400" ht="15.75" customHeight="1">
      <c r="A400" s="435"/>
      <c r="B400" s="436"/>
      <c r="C400" s="95" t="str">
        <f t="array" ref="C400">IF(I400&gt;0,INDEX(DB,I400,8),"")</f>
        <v/>
      </c>
      <c r="D400" s="437">
        <f t="shared" si="1"/>
        <v>0</v>
      </c>
      <c r="F400" s="438">
        <f t="shared" si="2"/>
        <v>0</v>
      </c>
      <c r="G400" t="str">
        <f t="shared" si="3"/>
        <v/>
      </c>
      <c r="H400" t="b">
        <f t="shared" si="4"/>
        <v>0</v>
      </c>
      <c r="I400" s="439">
        <f>IF(OR(ISBLANK(A400),ISNA(MATCH(A400&amp;"",AthleteNumbers,0))),0,MATCH(A400&amp;"",AthleteNumbers,0))</f>
        <v>0</v>
      </c>
      <c r="J400" s="209">
        <f t="array" ref="J400">IF(I400&gt;0,INDEX(DB,$I400,6),0)</f>
        <v>0</v>
      </c>
      <c r="K400" s="446">
        <f t="shared" si="5"/>
        <v>0</v>
      </c>
      <c r="L400" s="440">
        <f t="shared" si="6"/>
        <v>0</v>
      </c>
      <c r="M400" s="441">
        <f>IF(AND(L400&gt;O400,O400&gt;0),MinPoints,IF(AND(L400&lt;N400,O400&gt;0),100,+INT((O400-$L400)/P400)+MinPoints))</f>
        <v>100</v>
      </c>
      <c r="N400" s="440">
        <f t="shared" si="7"/>
        <v>90</v>
      </c>
      <c r="O400" s="440">
        <f t="shared" si="8"/>
        <v>180</v>
      </c>
      <c r="P400" s="440">
        <f t="shared" si="9"/>
        <v>1</v>
      </c>
      <c r="Q400">
        <f t="array" ref="Q400">IF(I400&gt;0,INDEX(DB,I400,9),EventIndex)</f>
        <v>6</v>
      </c>
      <c r="S400">
        <f t="array" ref="S400">(INT(INDEX(MINVALUES,$Q400,$K$1))*60)+(MOD(INDEX(MINVALUES,$Q400,$K$1),1)*100)</f>
        <v>180</v>
      </c>
      <c r="T400">
        <f t="array" ref="T400">(INDEX(INCVALUES,$Q400,$K$1)*100)</f>
        <v>1</v>
      </c>
      <c r="V400">
        <f t="array" ref="V400">+J400+(4*(INDEX(MatchScoreTable,$Q400,20)-1))</f>
        <v>4</v>
      </c>
      <c r="W400">
        <f t="array" ref="W400">INDEX(INC_MINVALUES,$V400,$K$1)</f>
        <v>480</v>
      </c>
      <c r="X400" s="212">
        <f t="array" ref="X400">INDEX(INC_INCVALUES,$V400,$K$1)</f>
        <v>4</v>
      </c>
    </row>
    <row r="401" ht="15.75" customHeight="1">
      <c r="A401" s="435"/>
      <c r="B401" s="436"/>
      <c r="C401" s="95" t="str">
        <f t="array" ref="C401">IF(I401&gt;0,INDEX(DB,I401,8),"")</f>
        <v/>
      </c>
      <c r="D401" s="437">
        <f t="shared" si="1"/>
        <v>0</v>
      </c>
      <c r="F401" s="438">
        <f t="shared" si="2"/>
        <v>0</v>
      </c>
      <c r="G401" t="str">
        <f t="shared" si="3"/>
        <v/>
      </c>
      <c r="H401" t="b">
        <f t="shared" si="4"/>
        <v>0</v>
      </c>
      <c r="I401" s="439">
        <f>IF(OR(ISBLANK(A401),ISNA(MATCH(A401&amp;"",AthleteNumbers,0))),0,MATCH(A401&amp;"",AthleteNumbers,0))</f>
        <v>0</v>
      </c>
      <c r="J401" s="209">
        <f t="array" ref="J401">IF(I401&gt;0,INDEX(DB,$I401,6),0)</f>
        <v>0</v>
      </c>
      <c r="K401" s="446">
        <f t="shared" si="5"/>
        <v>0</v>
      </c>
      <c r="L401" s="440">
        <f t="shared" si="6"/>
        <v>0</v>
      </c>
      <c r="M401" s="441">
        <f>IF(AND(L401&gt;O401,O401&gt;0),MinPoints,IF(AND(L401&lt;N401,O401&gt;0),100,+INT((O401-$L401)/P401)+MinPoints))</f>
        <v>100</v>
      </c>
      <c r="N401" s="440">
        <f t="shared" si="7"/>
        <v>90</v>
      </c>
      <c r="O401" s="440">
        <f t="shared" si="8"/>
        <v>180</v>
      </c>
      <c r="P401" s="440">
        <f t="shared" si="9"/>
        <v>1</v>
      </c>
      <c r="Q401">
        <f t="array" ref="Q401">IF(I401&gt;0,INDEX(DB,I401,9),EventIndex)</f>
        <v>6</v>
      </c>
      <c r="S401">
        <f t="array" ref="S401">(INT(INDEX(MINVALUES,$Q401,$K$1))*60)+(MOD(INDEX(MINVALUES,$Q401,$K$1),1)*100)</f>
        <v>180</v>
      </c>
      <c r="T401">
        <f t="array" ref="T401">(INDEX(INCVALUES,$Q401,$K$1)*100)</f>
        <v>1</v>
      </c>
      <c r="V401">
        <f t="array" ref="V401">+J401+(4*(INDEX(MatchScoreTable,$Q401,20)-1))</f>
        <v>4</v>
      </c>
      <c r="W401">
        <f t="array" ref="W401">INDEX(INC_MINVALUES,$V401,$K$1)</f>
        <v>480</v>
      </c>
      <c r="X401" s="212">
        <f t="array" ref="X401">INDEX(INC_INCVALUES,$V401,$K$1)</f>
        <v>4</v>
      </c>
    </row>
    <row r="402" ht="15.75" customHeight="1">
      <c r="A402" s="435"/>
      <c r="B402" s="436"/>
      <c r="C402" s="95" t="str">
        <f t="array" ref="C402">IF(I402&gt;0,INDEX(DB,I402,8),"")</f>
        <v/>
      </c>
      <c r="D402" s="437">
        <f t="shared" si="1"/>
        <v>0</v>
      </c>
      <c r="F402" s="438">
        <f t="shared" si="2"/>
        <v>0</v>
      </c>
      <c r="G402" t="str">
        <f t="shared" si="3"/>
        <v/>
      </c>
      <c r="H402" t="b">
        <f t="shared" si="4"/>
        <v>0</v>
      </c>
      <c r="I402" s="439">
        <f>IF(OR(ISBLANK(A402),ISNA(MATCH(A402&amp;"",AthleteNumbers,0))),0,MATCH(A402&amp;"",AthleteNumbers,0))</f>
        <v>0</v>
      </c>
      <c r="J402" s="209">
        <f t="array" ref="J402">IF(I402&gt;0,INDEX(DB,$I402,6),0)</f>
        <v>0</v>
      </c>
      <c r="K402" s="446">
        <f t="shared" si="5"/>
        <v>0</v>
      </c>
      <c r="L402" s="440">
        <f t="shared" si="6"/>
        <v>0</v>
      </c>
      <c r="M402" s="441">
        <f>IF(AND(L402&gt;O402,O402&gt;0),MinPoints,IF(AND(L402&lt;N402,O402&gt;0),100,+INT((O402-$L402)/P402)+MinPoints))</f>
        <v>100</v>
      </c>
      <c r="N402" s="440">
        <f t="shared" si="7"/>
        <v>90</v>
      </c>
      <c r="O402" s="440">
        <f t="shared" si="8"/>
        <v>180</v>
      </c>
      <c r="P402" s="440">
        <f t="shared" si="9"/>
        <v>1</v>
      </c>
      <c r="Q402">
        <f t="array" ref="Q402">IF(I402&gt;0,INDEX(DB,I402,9),EventIndex)</f>
        <v>6</v>
      </c>
      <c r="S402">
        <f t="array" ref="S402">(INT(INDEX(MINVALUES,$Q402,$K$1))*60)+(MOD(INDEX(MINVALUES,$Q402,$K$1),1)*100)</f>
        <v>180</v>
      </c>
      <c r="T402">
        <f t="array" ref="T402">(INDEX(INCVALUES,$Q402,$K$1)*100)</f>
        <v>1</v>
      </c>
      <c r="V402">
        <f t="array" ref="V402">+J402+(4*(INDEX(MatchScoreTable,$Q402,20)-1))</f>
        <v>4</v>
      </c>
      <c r="W402">
        <f t="array" ref="W402">INDEX(INC_MINVALUES,$V402,$K$1)</f>
        <v>480</v>
      </c>
      <c r="X402" s="212">
        <f t="array" ref="X402">INDEX(INC_INCVALUES,$V402,$K$1)</f>
        <v>4</v>
      </c>
    </row>
    <row r="403" ht="15.75" customHeight="1">
      <c r="A403" s="435"/>
      <c r="B403" s="436"/>
      <c r="C403" s="95" t="str">
        <f t="array" ref="C403">IF(I403&gt;0,INDEX(DB,I403,8),"")</f>
        <v/>
      </c>
      <c r="D403" s="437">
        <f t="shared" si="1"/>
        <v>0</v>
      </c>
      <c r="F403" s="438">
        <f t="shared" si="2"/>
        <v>0</v>
      </c>
      <c r="G403" t="str">
        <f t="shared" si="3"/>
        <v/>
      </c>
      <c r="H403" t="b">
        <f t="shared" si="4"/>
        <v>0</v>
      </c>
      <c r="I403" s="439">
        <f>IF(OR(ISBLANK(A403),ISNA(MATCH(A403&amp;"",AthleteNumbers,0))),0,MATCH(A403&amp;"",AthleteNumbers,0))</f>
        <v>0</v>
      </c>
      <c r="J403" s="209">
        <f t="array" ref="J403">IF(I403&gt;0,INDEX(DB,$I403,6),0)</f>
        <v>0</v>
      </c>
      <c r="K403" s="446">
        <f t="shared" si="5"/>
        <v>0</v>
      </c>
      <c r="L403" s="440">
        <f t="shared" si="6"/>
        <v>0</v>
      </c>
      <c r="M403" s="441">
        <f>IF(AND(L403&gt;O403,O403&gt;0),MinPoints,IF(AND(L403&lt;N403,O403&gt;0),100,+INT((O403-$L403)/P403)+MinPoints))</f>
        <v>100</v>
      </c>
      <c r="N403" s="440">
        <f t="shared" si="7"/>
        <v>90</v>
      </c>
      <c r="O403" s="440">
        <f t="shared" si="8"/>
        <v>180</v>
      </c>
      <c r="P403" s="440">
        <f t="shared" si="9"/>
        <v>1</v>
      </c>
      <c r="Q403">
        <f t="array" ref="Q403">IF(I403&gt;0,INDEX(DB,I403,9),EventIndex)</f>
        <v>6</v>
      </c>
      <c r="S403">
        <f t="array" ref="S403">(INT(INDEX(MINVALUES,$Q403,$K$1))*60)+(MOD(INDEX(MINVALUES,$Q403,$K$1),1)*100)</f>
        <v>180</v>
      </c>
      <c r="T403">
        <f t="array" ref="T403">(INDEX(INCVALUES,$Q403,$K$1)*100)</f>
        <v>1</v>
      </c>
      <c r="V403">
        <f t="array" ref="V403">+J403+(4*(INDEX(MatchScoreTable,$Q403,20)-1))</f>
        <v>4</v>
      </c>
      <c r="W403">
        <f t="array" ref="W403">INDEX(INC_MINVALUES,$V403,$K$1)</f>
        <v>480</v>
      </c>
      <c r="X403" s="212">
        <f t="array" ref="X403">INDEX(INC_INCVALUES,$V403,$K$1)</f>
        <v>4</v>
      </c>
    </row>
    <row r="404" ht="15.75" customHeight="1">
      <c r="A404" s="435"/>
      <c r="B404" s="436"/>
      <c r="C404" s="95" t="str">
        <f t="array" ref="C404">IF(I404&gt;0,INDEX(DB,I404,8),"")</f>
        <v/>
      </c>
      <c r="D404" s="437">
        <f t="shared" si="1"/>
        <v>0</v>
      </c>
      <c r="F404" s="438">
        <f t="shared" si="2"/>
        <v>0</v>
      </c>
      <c r="G404" t="str">
        <f t="shared" si="3"/>
        <v/>
      </c>
      <c r="H404" t="b">
        <f t="shared" si="4"/>
        <v>0</v>
      </c>
      <c r="I404" s="439">
        <f>IF(OR(ISBLANK(A404),ISNA(MATCH(A404&amp;"",AthleteNumbers,0))),0,MATCH(A404&amp;"",AthleteNumbers,0))</f>
        <v>0</v>
      </c>
      <c r="J404" s="209">
        <f t="array" ref="J404">IF(I404&gt;0,INDEX(DB,$I404,6),0)</f>
        <v>0</v>
      </c>
      <c r="K404" s="446">
        <f t="shared" si="5"/>
        <v>0</v>
      </c>
      <c r="L404" s="440">
        <f t="shared" si="6"/>
        <v>0</v>
      </c>
      <c r="M404" s="441">
        <f>IF(AND(L404&gt;O404,O404&gt;0),MinPoints,IF(AND(L404&lt;N404,O404&gt;0),100,+INT((O404-$L404)/P404)+MinPoints))</f>
        <v>100</v>
      </c>
      <c r="N404" s="440">
        <f t="shared" si="7"/>
        <v>90</v>
      </c>
      <c r="O404" s="440">
        <f t="shared" si="8"/>
        <v>180</v>
      </c>
      <c r="P404" s="440">
        <f t="shared" si="9"/>
        <v>1</v>
      </c>
      <c r="Q404">
        <f t="array" ref="Q404">IF(I404&gt;0,INDEX(DB,I404,9),EventIndex)</f>
        <v>6</v>
      </c>
      <c r="S404">
        <f t="array" ref="S404">(INT(INDEX(MINVALUES,$Q404,$K$1))*60)+(MOD(INDEX(MINVALUES,$Q404,$K$1),1)*100)</f>
        <v>180</v>
      </c>
      <c r="T404">
        <f t="array" ref="T404">(INDEX(INCVALUES,$Q404,$K$1)*100)</f>
        <v>1</v>
      </c>
      <c r="V404">
        <f t="array" ref="V404">+J404+(4*(INDEX(MatchScoreTable,$Q404,20)-1))</f>
        <v>4</v>
      </c>
      <c r="W404">
        <f t="array" ref="W404">INDEX(INC_MINVALUES,$V404,$K$1)</f>
        <v>480</v>
      </c>
      <c r="X404" s="212">
        <f t="array" ref="X404">INDEX(INC_INCVALUES,$V404,$K$1)</f>
        <v>4</v>
      </c>
    </row>
    <row r="405" ht="15.75" customHeight="1">
      <c r="A405" s="435"/>
      <c r="B405" s="436"/>
      <c r="C405" s="95" t="str">
        <f t="array" ref="C405">IF(I405&gt;0,INDEX(DB,I405,8),"")</f>
        <v/>
      </c>
      <c r="D405" s="437">
        <f t="shared" si="1"/>
        <v>0</v>
      </c>
      <c r="F405" s="438">
        <f t="shared" si="2"/>
        <v>0</v>
      </c>
      <c r="G405" t="str">
        <f t="shared" si="3"/>
        <v/>
      </c>
      <c r="H405" t="b">
        <f t="shared" si="4"/>
        <v>0</v>
      </c>
      <c r="I405" s="439">
        <f>IF(OR(ISBLANK(A405),ISNA(MATCH(A405&amp;"",AthleteNumbers,0))),0,MATCH(A405&amp;"",AthleteNumbers,0))</f>
        <v>0</v>
      </c>
      <c r="J405" s="209">
        <f t="array" ref="J405">IF(I405&gt;0,INDEX(DB,$I405,6),0)</f>
        <v>0</v>
      </c>
      <c r="K405" s="446">
        <f t="shared" si="5"/>
        <v>0</v>
      </c>
      <c r="L405" s="440">
        <f t="shared" si="6"/>
        <v>0</v>
      </c>
      <c r="M405" s="441">
        <f>IF(AND(L405&gt;O405,O405&gt;0),MinPoints,IF(AND(L405&lt;N405,O405&gt;0),100,+INT((O405-$L405)/P405)+MinPoints))</f>
        <v>100</v>
      </c>
      <c r="N405" s="440">
        <f t="shared" si="7"/>
        <v>90</v>
      </c>
      <c r="O405" s="440">
        <f t="shared" si="8"/>
        <v>180</v>
      </c>
      <c r="P405" s="440">
        <f t="shared" si="9"/>
        <v>1</v>
      </c>
      <c r="Q405">
        <f t="array" ref="Q405">IF(I405&gt;0,INDEX(DB,I405,9),EventIndex)</f>
        <v>6</v>
      </c>
      <c r="S405">
        <f t="array" ref="S405">(INT(INDEX(MINVALUES,$Q405,$K$1))*60)+(MOD(INDEX(MINVALUES,$Q405,$K$1),1)*100)</f>
        <v>180</v>
      </c>
      <c r="T405">
        <f t="array" ref="T405">(INDEX(INCVALUES,$Q405,$K$1)*100)</f>
        <v>1</v>
      </c>
      <c r="V405">
        <f t="array" ref="V405">+J405+(4*(INDEX(MatchScoreTable,$Q405,20)-1))</f>
        <v>4</v>
      </c>
      <c r="W405">
        <f t="array" ref="W405">INDEX(INC_MINVALUES,$V405,$K$1)</f>
        <v>480</v>
      </c>
      <c r="X405" s="212">
        <f t="array" ref="X405">INDEX(INC_INCVALUES,$V405,$K$1)</f>
        <v>4</v>
      </c>
    </row>
    <row r="406" ht="15.75" customHeight="1">
      <c r="A406" s="435"/>
      <c r="B406" s="436"/>
      <c r="C406" s="95" t="str">
        <f t="array" ref="C406">IF(I406&gt;0,INDEX(DB,I406,8),"")</f>
        <v/>
      </c>
      <c r="D406" s="437">
        <f t="shared" si="1"/>
        <v>0</v>
      </c>
      <c r="F406" s="438">
        <f t="shared" si="2"/>
        <v>0</v>
      </c>
      <c r="G406" t="str">
        <f t="shared" si="3"/>
        <v/>
      </c>
      <c r="H406" t="b">
        <f t="shared" si="4"/>
        <v>0</v>
      </c>
      <c r="I406" s="439">
        <f>IF(OR(ISBLANK(A406),ISNA(MATCH(A406&amp;"",AthleteNumbers,0))),0,MATCH(A406&amp;"",AthleteNumbers,0))</f>
        <v>0</v>
      </c>
      <c r="J406" s="209">
        <f t="array" ref="J406">IF(I406&gt;0,INDEX(DB,$I406,6),0)</f>
        <v>0</v>
      </c>
      <c r="K406" s="446">
        <f t="shared" si="5"/>
        <v>0</v>
      </c>
      <c r="L406" s="440">
        <f t="shared" si="6"/>
        <v>0</v>
      </c>
      <c r="M406" s="441">
        <f>IF(AND(L406&gt;O406,O406&gt;0),MinPoints,IF(AND(L406&lt;N406,O406&gt;0),100,+INT((O406-$L406)/P406)+MinPoints))</f>
        <v>100</v>
      </c>
      <c r="N406" s="440">
        <f t="shared" si="7"/>
        <v>90</v>
      </c>
      <c r="O406" s="440">
        <f t="shared" si="8"/>
        <v>180</v>
      </c>
      <c r="P406" s="440">
        <f t="shared" si="9"/>
        <v>1</v>
      </c>
      <c r="Q406">
        <f t="array" ref="Q406">IF(I406&gt;0,INDEX(DB,I406,9),EventIndex)</f>
        <v>6</v>
      </c>
      <c r="S406">
        <f t="array" ref="S406">(INT(INDEX(MINVALUES,$Q406,$K$1))*60)+(MOD(INDEX(MINVALUES,$Q406,$K$1),1)*100)</f>
        <v>180</v>
      </c>
      <c r="T406">
        <f t="array" ref="T406">(INDEX(INCVALUES,$Q406,$K$1)*100)</f>
        <v>1</v>
      </c>
      <c r="V406">
        <f t="array" ref="V406">+J406+(4*(INDEX(MatchScoreTable,$Q406,20)-1))</f>
        <v>4</v>
      </c>
      <c r="W406">
        <f t="array" ref="W406">INDEX(INC_MINVALUES,$V406,$K$1)</f>
        <v>480</v>
      </c>
      <c r="X406" s="212">
        <f t="array" ref="X406">INDEX(INC_INCVALUES,$V406,$K$1)</f>
        <v>4</v>
      </c>
    </row>
    <row r="407" ht="15.75" customHeight="1">
      <c r="A407" s="435"/>
      <c r="B407" s="436"/>
      <c r="C407" s="95" t="str">
        <f t="array" ref="C407">IF(I407&gt;0,INDEX(DB,I407,8),"")</f>
        <v/>
      </c>
      <c r="D407" s="437">
        <f t="shared" si="1"/>
        <v>0</v>
      </c>
      <c r="F407" s="438">
        <f t="shared" si="2"/>
        <v>0</v>
      </c>
      <c r="G407" t="str">
        <f t="shared" si="3"/>
        <v/>
      </c>
      <c r="H407" t="b">
        <f t="shared" si="4"/>
        <v>0</v>
      </c>
      <c r="I407" s="439">
        <f>IF(OR(ISBLANK(A407),ISNA(MATCH(A407&amp;"",AthleteNumbers,0))),0,MATCH(A407&amp;"",AthleteNumbers,0))</f>
        <v>0</v>
      </c>
      <c r="J407" s="209">
        <f t="array" ref="J407">IF(I407&gt;0,INDEX(DB,$I407,6),0)</f>
        <v>0</v>
      </c>
      <c r="K407" s="446">
        <f t="shared" si="5"/>
        <v>0</v>
      </c>
      <c r="L407" s="440">
        <f t="shared" si="6"/>
        <v>0</v>
      </c>
      <c r="M407" s="441">
        <f>IF(AND(L407&gt;O407,O407&gt;0),MinPoints,IF(AND(L407&lt;N407,O407&gt;0),100,+INT((O407-$L407)/P407)+MinPoints))</f>
        <v>100</v>
      </c>
      <c r="N407" s="440">
        <f t="shared" si="7"/>
        <v>90</v>
      </c>
      <c r="O407" s="440">
        <f t="shared" si="8"/>
        <v>180</v>
      </c>
      <c r="P407" s="440">
        <f t="shared" si="9"/>
        <v>1</v>
      </c>
      <c r="Q407">
        <f t="array" ref="Q407">IF(I407&gt;0,INDEX(DB,I407,9),EventIndex)</f>
        <v>6</v>
      </c>
      <c r="S407">
        <f t="array" ref="S407">(INT(INDEX(MINVALUES,$Q407,$K$1))*60)+(MOD(INDEX(MINVALUES,$Q407,$K$1),1)*100)</f>
        <v>180</v>
      </c>
      <c r="T407">
        <f t="array" ref="T407">(INDEX(INCVALUES,$Q407,$K$1)*100)</f>
        <v>1</v>
      </c>
      <c r="V407">
        <f t="array" ref="V407">+J407+(4*(INDEX(MatchScoreTable,$Q407,20)-1))</f>
        <v>4</v>
      </c>
      <c r="W407">
        <f t="array" ref="W407">INDEX(INC_MINVALUES,$V407,$K$1)</f>
        <v>480</v>
      </c>
      <c r="X407" s="212">
        <f t="array" ref="X407">INDEX(INC_INCVALUES,$V407,$K$1)</f>
        <v>4</v>
      </c>
    </row>
    <row r="408" ht="15.75" customHeight="1">
      <c r="A408" s="435"/>
      <c r="B408" s="436"/>
      <c r="C408" s="95" t="str">
        <f t="array" ref="C408">IF(I408&gt;0,INDEX(DB,I408,8),"")</f>
        <v/>
      </c>
      <c r="D408" s="437">
        <f t="shared" si="1"/>
        <v>0</v>
      </c>
      <c r="F408" s="438">
        <f t="shared" si="2"/>
        <v>0</v>
      </c>
      <c r="G408" t="str">
        <f t="shared" si="3"/>
        <v/>
      </c>
      <c r="H408" t="b">
        <f t="shared" si="4"/>
        <v>0</v>
      </c>
      <c r="I408" s="439">
        <f>IF(OR(ISBLANK(A408),ISNA(MATCH(A408&amp;"",AthleteNumbers,0))),0,MATCH(A408&amp;"",AthleteNumbers,0))</f>
        <v>0</v>
      </c>
      <c r="J408" s="209">
        <f t="array" ref="J408">IF(I408&gt;0,INDEX(DB,$I408,6),0)</f>
        <v>0</v>
      </c>
      <c r="K408" s="446">
        <f t="shared" si="5"/>
        <v>0</v>
      </c>
      <c r="L408" s="440">
        <f t="shared" si="6"/>
        <v>0</v>
      </c>
      <c r="M408" s="441">
        <f>IF(AND(L408&gt;O408,O408&gt;0),MinPoints,IF(AND(L408&lt;N408,O408&gt;0),100,+INT((O408-$L408)/P408)+MinPoints))</f>
        <v>100</v>
      </c>
      <c r="N408" s="440">
        <f t="shared" si="7"/>
        <v>90</v>
      </c>
      <c r="O408" s="440">
        <f t="shared" si="8"/>
        <v>180</v>
      </c>
      <c r="P408" s="440">
        <f t="shared" si="9"/>
        <v>1</v>
      </c>
      <c r="Q408">
        <f t="array" ref="Q408">IF(I408&gt;0,INDEX(DB,I408,9),EventIndex)</f>
        <v>6</v>
      </c>
      <c r="S408">
        <f t="array" ref="S408">(INT(INDEX(MINVALUES,$Q408,$K$1))*60)+(MOD(INDEX(MINVALUES,$Q408,$K$1),1)*100)</f>
        <v>180</v>
      </c>
      <c r="T408">
        <f t="array" ref="T408">(INDEX(INCVALUES,$Q408,$K$1)*100)</f>
        <v>1</v>
      </c>
      <c r="V408">
        <f t="array" ref="V408">+J408+(4*(INDEX(MatchScoreTable,$Q408,20)-1))</f>
        <v>4</v>
      </c>
      <c r="W408">
        <f t="array" ref="W408">INDEX(INC_MINVALUES,$V408,$K$1)</f>
        <v>480</v>
      </c>
      <c r="X408" s="212">
        <f t="array" ref="X408">INDEX(INC_INCVALUES,$V408,$K$1)</f>
        <v>4</v>
      </c>
    </row>
    <row r="409" ht="15.75" customHeight="1">
      <c r="A409" s="435"/>
      <c r="B409" s="436"/>
      <c r="C409" s="95" t="str">
        <f t="array" ref="C409">IF(I409&gt;0,INDEX(DB,I409,8),"")</f>
        <v/>
      </c>
      <c r="D409" s="437">
        <f t="shared" si="1"/>
        <v>0</v>
      </c>
      <c r="F409" s="438">
        <f t="shared" si="2"/>
        <v>0</v>
      </c>
      <c r="G409" t="str">
        <f t="shared" si="3"/>
        <v/>
      </c>
      <c r="H409" t="b">
        <f t="shared" si="4"/>
        <v>0</v>
      </c>
      <c r="I409" s="439">
        <f>IF(OR(ISBLANK(A409),ISNA(MATCH(A409&amp;"",AthleteNumbers,0))),0,MATCH(A409&amp;"",AthleteNumbers,0))</f>
        <v>0</v>
      </c>
      <c r="J409" s="209">
        <f t="array" ref="J409">IF(I409&gt;0,INDEX(DB,$I409,6),0)</f>
        <v>0</v>
      </c>
      <c r="K409" s="446">
        <f t="shared" si="5"/>
        <v>0</v>
      </c>
      <c r="L409" s="440">
        <f t="shared" si="6"/>
        <v>0</v>
      </c>
      <c r="M409" s="441">
        <f>IF(AND(L409&gt;O409,O409&gt;0),MinPoints,IF(AND(L409&lt;N409,O409&gt;0),100,+INT((O409-$L409)/P409)+MinPoints))</f>
        <v>100</v>
      </c>
      <c r="N409" s="440">
        <f t="shared" si="7"/>
        <v>90</v>
      </c>
      <c r="O409" s="440">
        <f t="shared" si="8"/>
        <v>180</v>
      </c>
      <c r="P409" s="440">
        <f t="shared" si="9"/>
        <v>1</v>
      </c>
      <c r="Q409">
        <f t="array" ref="Q409">IF(I409&gt;0,INDEX(DB,I409,9),EventIndex)</f>
        <v>6</v>
      </c>
      <c r="S409">
        <f t="array" ref="S409">(INT(INDEX(MINVALUES,$Q409,$K$1))*60)+(MOD(INDEX(MINVALUES,$Q409,$K$1),1)*100)</f>
        <v>180</v>
      </c>
      <c r="T409">
        <f t="array" ref="T409">(INDEX(INCVALUES,$Q409,$K$1)*100)</f>
        <v>1</v>
      </c>
      <c r="V409">
        <f t="array" ref="V409">+J409+(4*(INDEX(MatchScoreTable,$Q409,20)-1))</f>
        <v>4</v>
      </c>
      <c r="W409">
        <f t="array" ref="W409">INDEX(INC_MINVALUES,$V409,$K$1)</f>
        <v>480</v>
      </c>
      <c r="X409" s="212">
        <f t="array" ref="X409">INDEX(INC_INCVALUES,$V409,$K$1)</f>
        <v>4</v>
      </c>
    </row>
    <row r="410" ht="15.75" customHeight="1">
      <c r="A410" s="435"/>
      <c r="B410" s="436"/>
      <c r="C410" s="95" t="str">
        <f t="array" ref="C410">IF(I410&gt;0,INDEX(DB,I410,8),"")</f>
        <v/>
      </c>
      <c r="D410" s="437">
        <f t="shared" si="1"/>
        <v>0</v>
      </c>
      <c r="F410" s="438">
        <f t="shared" si="2"/>
        <v>0</v>
      </c>
      <c r="G410" t="str">
        <f t="shared" si="3"/>
        <v/>
      </c>
      <c r="H410" t="b">
        <f t="shared" si="4"/>
        <v>0</v>
      </c>
      <c r="I410" s="439">
        <f>IF(OR(ISBLANK(A410),ISNA(MATCH(A410&amp;"",AthleteNumbers,0))),0,MATCH(A410&amp;"",AthleteNumbers,0))</f>
        <v>0</v>
      </c>
      <c r="J410" s="209">
        <f t="array" ref="J410">IF(I410&gt;0,INDEX(DB,$I410,6),0)</f>
        <v>0</v>
      </c>
      <c r="K410" s="446">
        <f t="shared" si="5"/>
        <v>0</v>
      </c>
      <c r="L410" s="440">
        <f t="shared" si="6"/>
        <v>0</v>
      </c>
      <c r="M410" s="441">
        <f>IF(AND(L410&gt;O410,O410&gt;0),MinPoints,IF(AND(L410&lt;N410,O410&gt;0),100,+INT((O410-$L410)/P410)+MinPoints))</f>
        <v>100</v>
      </c>
      <c r="N410" s="440">
        <f t="shared" si="7"/>
        <v>90</v>
      </c>
      <c r="O410" s="440">
        <f t="shared" si="8"/>
        <v>180</v>
      </c>
      <c r="P410" s="440">
        <f t="shared" si="9"/>
        <v>1</v>
      </c>
      <c r="Q410">
        <f t="array" ref="Q410">IF(I410&gt;0,INDEX(DB,I410,9),EventIndex)</f>
        <v>6</v>
      </c>
      <c r="S410">
        <f t="array" ref="S410">(INT(INDEX(MINVALUES,$Q410,$K$1))*60)+(MOD(INDEX(MINVALUES,$Q410,$K$1),1)*100)</f>
        <v>180</v>
      </c>
      <c r="T410">
        <f t="array" ref="T410">(INDEX(INCVALUES,$Q410,$K$1)*100)</f>
        <v>1</v>
      </c>
      <c r="V410">
        <f t="array" ref="V410">+J410+(4*(INDEX(MatchScoreTable,$Q410,20)-1))</f>
        <v>4</v>
      </c>
      <c r="W410">
        <f t="array" ref="W410">INDEX(INC_MINVALUES,$V410,$K$1)</f>
        <v>480</v>
      </c>
      <c r="X410" s="212">
        <f t="array" ref="X410">INDEX(INC_INCVALUES,$V410,$K$1)</f>
        <v>4</v>
      </c>
    </row>
    <row r="411" ht="15.75" customHeight="1">
      <c r="A411" s="435"/>
      <c r="B411" s="436"/>
      <c r="C411" s="95" t="str">
        <f t="array" ref="C411">IF(I411&gt;0,INDEX(DB,I411,8),"")</f>
        <v/>
      </c>
      <c r="D411" s="437">
        <f t="shared" si="1"/>
        <v>0</v>
      </c>
      <c r="F411" s="438">
        <f t="shared" si="2"/>
        <v>0</v>
      </c>
      <c r="G411" t="str">
        <f t="shared" si="3"/>
        <v/>
      </c>
      <c r="H411" t="b">
        <f t="shared" si="4"/>
        <v>0</v>
      </c>
      <c r="I411" s="439">
        <f>IF(OR(ISBLANK(A411),ISNA(MATCH(A411&amp;"",AthleteNumbers,0))),0,MATCH(A411&amp;"",AthleteNumbers,0))</f>
        <v>0</v>
      </c>
      <c r="J411" s="209">
        <f t="array" ref="J411">IF(I411&gt;0,INDEX(DB,$I411,6),0)</f>
        <v>0</v>
      </c>
      <c r="K411" s="446">
        <f t="shared" si="5"/>
        <v>0</v>
      </c>
      <c r="L411" s="440">
        <f t="shared" si="6"/>
        <v>0</v>
      </c>
      <c r="M411" s="441">
        <f>IF(AND(L411&gt;O411,O411&gt;0),MinPoints,IF(AND(L411&lt;N411,O411&gt;0),100,+INT((O411-$L411)/P411)+MinPoints))</f>
        <v>100</v>
      </c>
      <c r="N411" s="440">
        <f t="shared" si="7"/>
        <v>90</v>
      </c>
      <c r="O411" s="440">
        <f t="shared" si="8"/>
        <v>180</v>
      </c>
      <c r="P411" s="440">
        <f t="shared" si="9"/>
        <v>1</v>
      </c>
      <c r="Q411">
        <f t="array" ref="Q411">IF(I411&gt;0,INDEX(DB,I411,9),EventIndex)</f>
        <v>6</v>
      </c>
      <c r="S411">
        <f t="array" ref="S411">(INT(INDEX(MINVALUES,$Q411,$K$1))*60)+(MOD(INDEX(MINVALUES,$Q411,$K$1),1)*100)</f>
        <v>180</v>
      </c>
      <c r="T411">
        <f t="array" ref="T411">(INDEX(INCVALUES,$Q411,$K$1)*100)</f>
        <v>1</v>
      </c>
      <c r="V411">
        <f t="array" ref="V411">+J411+(4*(INDEX(MatchScoreTable,$Q411,20)-1))</f>
        <v>4</v>
      </c>
      <c r="W411">
        <f t="array" ref="W411">INDEX(INC_MINVALUES,$V411,$K$1)</f>
        <v>480</v>
      </c>
      <c r="X411" s="212">
        <f t="array" ref="X411">INDEX(INC_INCVALUES,$V411,$K$1)</f>
        <v>4</v>
      </c>
    </row>
    <row r="412" ht="15.75" customHeight="1">
      <c r="A412" s="435"/>
      <c r="B412" s="436"/>
      <c r="C412" s="95" t="str">
        <f t="array" ref="C412">IF(I412&gt;0,INDEX(DB,I412,8),"")</f>
        <v/>
      </c>
      <c r="D412" s="437">
        <f t="shared" si="1"/>
        <v>0</v>
      </c>
      <c r="F412" s="438">
        <f t="shared" si="2"/>
        <v>0</v>
      </c>
      <c r="G412" t="str">
        <f t="shared" si="3"/>
        <v/>
      </c>
      <c r="H412" t="b">
        <f t="shared" si="4"/>
        <v>0</v>
      </c>
      <c r="I412" s="439">
        <f>IF(OR(ISBLANK(A412),ISNA(MATCH(A412&amp;"",AthleteNumbers,0))),0,MATCH(A412&amp;"",AthleteNumbers,0))</f>
        <v>0</v>
      </c>
      <c r="J412" s="209">
        <f t="array" ref="J412">IF(I412&gt;0,INDEX(DB,$I412,6),0)</f>
        <v>0</v>
      </c>
      <c r="K412" s="446">
        <f t="shared" si="5"/>
        <v>0</v>
      </c>
      <c r="L412" s="440">
        <f t="shared" si="6"/>
        <v>0</v>
      </c>
      <c r="M412" s="441">
        <f>IF(AND(L412&gt;O412,O412&gt;0),MinPoints,IF(AND(L412&lt;N412,O412&gt;0),100,+INT((O412-$L412)/P412)+MinPoints))</f>
        <v>100</v>
      </c>
      <c r="N412" s="440">
        <f t="shared" si="7"/>
        <v>90</v>
      </c>
      <c r="O412" s="440">
        <f t="shared" si="8"/>
        <v>180</v>
      </c>
      <c r="P412" s="440">
        <f t="shared" si="9"/>
        <v>1</v>
      </c>
      <c r="Q412">
        <f t="array" ref="Q412">IF(I412&gt;0,INDEX(DB,I412,9),EventIndex)</f>
        <v>6</v>
      </c>
      <c r="S412">
        <f t="array" ref="S412">(INT(INDEX(MINVALUES,$Q412,$K$1))*60)+(MOD(INDEX(MINVALUES,$Q412,$K$1),1)*100)</f>
        <v>180</v>
      </c>
      <c r="T412">
        <f t="array" ref="T412">(INDEX(INCVALUES,$Q412,$K$1)*100)</f>
        <v>1</v>
      </c>
      <c r="V412">
        <f t="array" ref="V412">+J412+(4*(INDEX(MatchScoreTable,$Q412,20)-1))</f>
        <v>4</v>
      </c>
      <c r="W412">
        <f t="array" ref="W412">INDEX(INC_MINVALUES,$V412,$K$1)</f>
        <v>480</v>
      </c>
      <c r="X412" s="212">
        <f t="array" ref="X412">INDEX(INC_INCVALUES,$V412,$K$1)</f>
        <v>4</v>
      </c>
    </row>
    <row r="413" ht="15.75" customHeight="1">
      <c r="A413" s="435"/>
      <c r="B413" s="436"/>
      <c r="C413" s="95" t="str">
        <f t="array" ref="C413">IF(I413&gt;0,INDEX(DB,I413,8),"")</f>
        <v/>
      </c>
      <c r="D413" s="437">
        <f t="shared" si="1"/>
        <v>0</v>
      </c>
      <c r="F413" s="438">
        <f t="shared" si="2"/>
        <v>0</v>
      </c>
      <c r="G413" t="str">
        <f t="shared" si="3"/>
        <v/>
      </c>
      <c r="H413" t="b">
        <f t="shared" si="4"/>
        <v>0</v>
      </c>
      <c r="I413" s="439">
        <f>IF(OR(ISBLANK(A413),ISNA(MATCH(A413&amp;"",AthleteNumbers,0))),0,MATCH(A413&amp;"",AthleteNumbers,0))</f>
        <v>0</v>
      </c>
      <c r="J413" s="209">
        <f t="array" ref="J413">IF(I413&gt;0,INDEX(DB,$I413,6),0)</f>
        <v>0</v>
      </c>
      <c r="K413" s="446">
        <f t="shared" si="5"/>
        <v>0</v>
      </c>
      <c r="L413" s="440">
        <f t="shared" si="6"/>
        <v>0</v>
      </c>
      <c r="M413" s="441">
        <f>IF(AND(L413&gt;O413,O413&gt;0),MinPoints,IF(AND(L413&lt;N413,O413&gt;0),100,+INT((O413-$L413)/P413)+MinPoints))</f>
        <v>100</v>
      </c>
      <c r="N413" s="440">
        <f t="shared" si="7"/>
        <v>90</v>
      </c>
      <c r="O413" s="440">
        <f t="shared" si="8"/>
        <v>180</v>
      </c>
      <c r="P413" s="440">
        <f t="shared" si="9"/>
        <v>1</v>
      </c>
      <c r="Q413">
        <f t="array" ref="Q413">IF(I413&gt;0,INDEX(DB,I413,9),EventIndex)</f>
        <v>6</v>
      </c>
      <c r="S413">
        <f t="array" ref="S413">(INT(INDEX(MINVALUES,$Q413,$K$1))*60)+(MOD(INDEX(MINVALUES,$Q413,$K$1),1)*100)</f>
        <v>180</v>
      </c>
      <c r="T413">
        <f t="array" ref="T413">(INDEX(INCVALUES,$Q413,$K$1)*100)</f>
        <v>1</v>
      </c>
      <c r="V413">
        <f t="array" ref="V413">+J413+(4*(INDEX(MatchScoreTable,$Q413,20)-1))</f>
        <v>4</v>
      </c>
      <c r="W413">
        <f t="array" ref="W413">INDEX(INC_MINVALUES,$V413,$K$1)</f>
        <v>480</v>
      </c>
      <c r="X413" s="212">
        <f t="array" ref="X413">INDEX(INC_INCVALUES,$V413,$K$1)</f>
        <v>4</v>
      </c>
    </row>
    <row r="414" ht="15.75" customHeight="1">
      <c r="A414" s="435"/>
      <c r="B414" s="436"/>
      <c r="C414" s="95" t="str">
        <f t="array" ref="C414">IF(I414&gt;0,INDEX(DB,I414,8),"")</f>
        <v/>
      </c>
      <c r="D414" s="437">
        <f t="shared" si="1"/>
        <v>0</v>
      </c>
      <c r="F414" s="438">
        <f t="shared" si="2"/>
        <v>0</v>
      </c>
      <c r="G414" t="str">
        <f t="shared" si="3"/>
        <v/>
      </c>
      <c r="H414" t="b">
        <f t="shared" si="4"/>
        <v>0</v>
      </c>
      <c r="I414" s="439">
        <f>IF(OR(ISBLANK(A414),ISNA(MATCH(A414&amp;"",AthleteNumbers,0))),0,MATCH(A414&amp;"",AthleteNumbers,0))</f>
        <v>0</v>
      </c>
      <c r="J414" s="209">
        <f t="array" ref="J414">IF(I414&gt;0,INDEX(DB,$I414,6),0)</f>
        <v>0</v>
      </c>
      <c r="K414" s="446">
        <f t="shared" si="5"/>
        <v>0</v>
      </c>
      <c r="L414" s="440">
        <f t="shared" si="6"/>
        <v>0</v>
      </c>
      <c r="M414" s="441">
        <f>IF(AND(L414&gt;O414,O414&gt;0),MinPoints,IF(AND(L414&lt;N414,O414&gt;0),100,+INT((O414-$L414)/P414)+MinPoints))</f>
        <v>100</v>
      </c>
      <c r="N414" s="440">
        <f t="shared" si="7"/>
        <v>90</v>
      </c>
      <c r="O414" s="440">
        <f t="shared" si="8"/>
        <v>180</v>
      </c>
      <c r="P414" s="440">
        <f t="shared" si="9"/>
        <v>1</v>
      </c>
      <c r="Q414">
        <f t="array" ref="Q414">IF(I414&gt;0,INDEX(DB,I414,9),EventIndex)</f>
        <v>6</v>
      </c>
      <c r="S414">
        <f t="array" ref="S414">(INT(INDEX(MINVALUES,$Q414,$K$1))*60)+(MOD(INDEX(MINVALUES,$Q414,$K$1),1)*100)</f>
        <v>180</v>
      </c>
      <c r="T414">
        <f t="array" ref="T414">(INDEX(INCVALUES,$Q414,$K$1)*100)</f>
        <v>1</v>
      </c>
      <c r="V414">
        <f t="array" ref="V414">+J414+(4*(INDEX(MatchScoreTable,$Q414,20)-1))</f>
        <v>4</v>
      </c>
      <c r="W414">
        <f t="array" ref="W414">INDEX(INC_MINVALUES,$V414,$K$1)</f>
        <v>480</v>
      </c>
      <c r="X414" s="212">
        <f t="array" ref="X414">INDEX(INC_INCVALUES,$V414,$K$1)</f>
        <v>4</v>
      </c>
    </row>
    <row r="415" ht="15.75" customHeight="1">
      <c r="A415" s="435"/>
      <c r="B415" s="436"/>
      <c r="C415" s="95" t="str">
        <f t="array" ref="C415">IF(I415&gt;0,INDEX(DB,I415,8),"")</f>
        <v/>
      </c>
      <c r="D415" s="437">
        <f t="shared" si="1"/>
        <v>0</v>
      </c>
      <c r="F415" s="438">
        <f t="shared" si="2"/>
        <v>0</v>
      </c>
      <c r="G415" t="str">
        <f t="shared" si="3"/>
        <v/>
      </c>
      <c r="H415" t="b">
        <f t="shared" si="4"/>
        <v>0</v>
      </c>
      <c r="I415" s="439">
        <f>IF(OR(ISBLANK(A415),ISNA(MATCH(A415&amp;"",AthleteNumbers,0))),0,MATCH(A415&amp;"",AthleteNumbers,0))</f>
        <v>0</v>
      </c>
      <c r="J415" s="209">
        <f t="array" ref="J415">IF(I415&gt;0,INDEX(DB,$I415,6),0)</f>
        <v>0</v>
      </c>
      <c r="K415" s="446">
        <f t="shared" si="5"/>
        <v>0</v>
      </c>
      <c r="L415" s="440">
        <f t="shared" si="6"/>
        <v>0</v>
      </c>
      <c r="M415" s="441">
        <f>IF(AND(L415&gt;O415,O415&gt;0),MinPoints,IF(AND(L415&lt;N415,O415&gt;0),100,+INT((O415-$L415)/P415)+MinPoints))</f>
        <v>100</v>
      </c>
      <c r="N415" s="440">
        <f t="shared" si="7"/>
        <v>90</v>
      </c>
      <c r="O415" s="440">
        <f t="shared" si="8"/>
        <v>180</v>
      </c>
      <c r="P415" s="440">
        <f t="shared" si="9"/>
        <v>1</v>
      </c>
      <c r="Q415">
        <f t="array" ref="Q415">IF(I415&gt;0,INDEX(DB,I415,9),EventIndex)</f>
        <v>6</v>
      </c>
      <c r="S415">
        <f t="array" ref="S415">(INT(INDEX(MINVALUES,$Q415,$K$1))*60)+(MOD(INDEX(MINVALUES,$Q415,$K$1),1)*100)</f>
        <v>180</v>
      </c>
      <c r="T415">
        <f t="array" ref="T415">(INDEX(INCVALUES,$Q415,$K$1)*100)</f>
        <v>1</v>
      </c>
      <c r="V415">
        <f t="array" ref="V415">+J415+(4*(INDEX(MatchScoreTable,$Q415,20)-1))</f>
        <v>4</v>
      </c>
      <c r="W415">
        <f t="array" ref="W415">INDEX(INC_MINVALUES,$V415,$K$1)</f>
        <v>480</v>
      </c>
      <c r="X415" s="212">
        <f t="array" ref="X415">INDEX(INC_INCVALUES,$V415,$K$1)</f>
        <v>4</v>
      </c>
    </row>
    <row r="416" ht="15.75" customHeight="1">
      <c r="A416" s="435"/>
      <c r="B416" s="436"/>
      <c r="C416" s="95" t="str">
        <f t="array" ref="C416">IF(I416&gt;0,INDEX(DB,I416,8),"")</f>
        <v/>
      </c>
      <c r="D416" s="437">
        <f t="shared" si="1"/>
        <v>0</v>
      </c>
      <c r="F416" s="438">
        <f t="shared" si="2"/>
        <v>0</v>
      </c>
      <c r="G416" t="str">
        <f t="shared" si="3"/>
        <v/>
      </c>
      <c r="H416" t="b">
        <f t="shared" si="4"/>
        <v>0</v>
      </c>
      <c r="I416" s="439">
        <f>IF(OR(ISBLANK(A416),ISNA(MATCH(A416&amp;"",AthleteNumbers,0))),0,MATCH(A416&amp;"",AthleteNumbers,0))</f>
        <v>0</v>
      </c>
      <c r="J416" s="209">
        <f t="array" ref="J416">IF(I416&gt;0,INDEX(DB,$I416,6),0)</f>
        <v>0</v>
      </c>
      <c r="K416" s="446">
        <f t="shared" si="5"/>
        <v>0</v>
      </c>
      <c r="L416" s="440">
        <f t="shared" si="6"/>
        <v>0</v>
      </c>
      <c r="M416" s="441">
        <f>IF(AND(L416&gt;O416,O416&gt;0),MinPoints,IF(AND(L416&lt;N416,O416&gt;0),100,+INT((O416-$L416)/P416)+MinPoints))</f>
        <v>100</v>
      </c>
      <c r="N416" s="440">
        <f t="shared" si="7"/>
        <v>90</v>
      </c>
      <c r="O416" s="440">
        <f t="shared" si="8"/>
        <v>180</v>
      </c>
      <c r="P416" s="440">
        <f t="shared" si="9"/>
        <v>1</v>
      </c>
      <c r="Q416">
        <f t="array" ref="Q416">IF(I416&gt;0,INDEX(DB,I416,9),EventIndex)</f>
        <v>6</v>
      </c>
      <c r="S416">
        <f t="array" ref="S416">(INT(INDEX(MINVALUES,$Q416,$K$1))*60)+(MOD(INDEX(MINVALUES,$Q416,$K$1),1)*100)</f>
        <v>180</v>
      </c>
      <c r="T416">
        <f t="array" ref="T416">(INDEX(INCVALUES,$Q416,$K$1)*100)</f>
        <v>1</v>
      </c>
      <c r="V416">
        <f t="array" ref="V416">+J416+(4*(INDEX(MatchScoreTable,$Q416,20)-1))</f>
        <v>4</v>
      </c>
      <c r="W416">
        <f t="array" ref="W416">INDEX(INC_MINVALUES,$V416,$K$1)</f>
        <v>480</v>
      </c>
      <c r="X416" s="212">
        <f t="array" ref="X416">INDEX(INC_INCVALUES,$V416,$K$1)</f>
        <v>4</v>
      </c>
    </row>
    <row r="417" ht="15.75" customHeight="1">
      <c r="A417" s="435"/>
      <c r="B417" s="436"/>
      <c r="C417" s="95" t="str">
        <f t="array" ref="C417">IF(I417&gt;0,INDEX(DB,I417,8),"")</f>
        <v/>
      </c>
      <c r="D417" s="437">
        <f t="shared" si="1"/>
        <v>0</v>
      </c>
      <c r="F417" s="438">
        <f t="shared" si="2"/>
        <v>0</v>
      </c>
      <c r="G417" t="str">
        <f t="shared" si="3"/>
        <v/>
      </c>
      <c r="H417" t="b">
        <f t="shared" si="4"/>
        <v>0</v>
      </c>
      <c r="I417" s="439">
        <f>IF(OR(ISBLANK(A417),ISNA(MATCH(A417&amp;"",AthleteNumbers,0))),0,MATCH(A417&amp;"",AthleteNumbers,0))</f>
        <v>0</v>
      </c>
      <c r="J417" s="209">
        <f t="array" ref="J417">IF(I417&gt;0,INDEX(DB,$I417,6),0)</f>
        <v>0</v>
      </c>
      <c r="K417" s="446">
        <f t="shared" si="5"/>
        <v>0</v>
      </c>
      <c r="L417" s="440">
        <f t="shared" si="6"/>
        <v>0</v>
      </c>
      <c r="M417" s="441">
        <f>IF(AND(L417&gt;O417,O417&gt;0),MinPoints,IF(AND(L417&lt;N417,O417&gt;0),100,+INT((O417-$L417)/P417)+MinPoints))</f>
        <v>100</v>
      </c>
      <c r="N417" s="440">
        <f t="shared" si="7"/>
        <v>90</v>
      </c>
      <c r="O417" s="440">
        <f t="shared" si="8"/>
        <v>180</v>
      </c>
      <c r="P417" s="440">
        <f t="shared" si="9"/>
        <v>1</v>
      </c>
      <c r="Q417">
        <f t="array" ref="Q417">IF(I417&gt;0,INDEX(DB,I417,9),EventIndex)</f>
        <v>6</v>
      </c>
      <c r="S417">
        <f t="array" ref="S417">(INT(INDEX(MINVALUES,$Q417,$K$1))*60)+(MOD(INDEX(MINVALUES,$Q417,$K$1),1)*100)</f>
        <v>180</v>
      </c>
      <c r="T417">
        <f t="array" ref="T417">(INDEX(INCVALUES,$Q417,$K$1)*100)</f>
        <v>1</v>
      </c>
      <c r="V417">
        <f t="array" ref="V417">+J417+(4*(INDEX(MatchScoreTable,$Q417,20)-1))</f>
        <v>4</v>
      </c>
      <c r="W417">
        <f t="array" ref="W417">INDEX(INC_MINVALUES,$V417,$K$1)</f>
        <v>480</v>
      </c>
      <c r="X417" s="212">
        <f t="array" ref="X417">INDEX(INC_INCVALUES,$V417,$K$1)</f>
        <v>4</v>
      </c>
    </row>
    <row r="418" ht="15.75" customHeight="1">
      <c r="A418" s="435"/>
      <c r="B418" s="436"/>
      <c r="C418" s="95" t="str">
        <f t="array" ref="C418">IF(I418&gt;0,INDEX(DB,I418,8),"")</f>
        <v/>
      </c>
      <c r="D418" s="437">
        <f t="shared" si="1"/>
        <v>0</v>
      </c>
      <c r="F418" s="438">
        <f t="shared" si="2"/>
        <v>0</v>
      </c>
      <c r="G418" t="str">
        <f t="shared" si="3"/>
        <v/>
      </c>
      <c r="H418" t="b">
        <f t="shared" si="4"/>
        <v>0</v>
      </c>
      <c r="I418" s="439">
        <f>IF(OR(ISBLANK(A418),ISNA(MATCH(A418&amp;"",AthleteNumbers,0))),0,MATCH(A418&amp;"",AthleteNumbers,0))</f>
        <v>0</v>
      </c>
      <c r="J418" s="209">
        <f t="array" ref="J418">IF(I418&gt;0,INDEX(DB,$I418,6),0)</f>
        <v>0</v>
      </c>
      <c r="K418" s="446">
        <f t="shared" si="5"/>
        <v>0</v>
      </c>
      <c r="L418" s="440">
        <f t="shared" si="6"/>
        <v>0</v>
      </c>
      <c r="M418" s="441">
        <f>IF(AND(L418&gt;O418,O418&gt;0),MinPoints,IF(AND(L418&lt;N418,O418&gt;0),100,+INT((O418-$L418)/P418)+MinPoints))</f>
        <v>100</v>
      </c>
      <c r="N418" s="440">
        <f t="shared" si="7"/>
        <v>90</v>
      </c>
      <c r="O418" s="440">
        <f t="shared" si="8"/>
        <v>180</v>
      </c>
      <c r="P418" s="440">
        <f t="shared" si="9"/>
        <v>1</v>
      </c>
      <c r="Q418">
        <f t="array" ref="Q418">IF(I418&gt;0,INDEX(DB,I418,9),EventIndex)</f>
        <v>6</v>
      </c>
      <c r="S418">
        <f t="array" ref="S418">(INT(INDEX(MINVALUES,$Q418,$K$1))*60)+(MOD(INDEX(MINVALUES,$Q418,$K$1),1)*100)</f>
        <v>180</v>
      </c>
      <c r="T418">
        <f t="array" ref="T418">(INDEX(INCVALUES,$Q418,$K$1)*100)</f>
        <v>1</v>
      </c>
      <c r="V418">
        <f t="array" ref="V418">+J418+(4*(INDEX(MatchScoreTable,$Q418,20)-1))</f>
        <v>4</v>
      </c>
      <c r="W418">
        <f t="array" ref="W418">INDEX(INC_MINVALUES,$V418,$K$1)</f>
        <v>480</v>
      </c>
      <c r="X418" s="212">
        <f t="array" ref="X418">INDEX(INC_INCVALUES,$V418,$K$1)</f>
        <v>4</v>
      </c>
    </row>
    <row r="419" ht="15.75" customHeight="1">
      <c r="A419" s="435"/>
      <c r="B419" s="436"/>
      <c r="C419" s="95" t="str">
        <f t="array" ref="C419">IF(I419&gt;0,INDEX(DB,I419,8),"")</f>
        <v/>
      </c>
      <c r="D419" s="437">
        <f t="shared" si="1"/>
        <v>0</v>
      </c>
      <c r="F419" s="438">
        <f t="shared" si="2"/>
        <v>0</v>
      </c>
      <c r="G419" t="str">
        <f t="shared" si="3"/>
        <v/>
      </c>
      <c r="H419" t="b">
        <f t="shared" si="4"/>
        <v>0</v>
      </c>
      <c r="I419" s="439">
        <f>IF(OR(ISBLANK(A419),ISNA(MATCH(A419&amp;"",AthleteNumbers,0))),0,MATCH(A419&amp;"",AthleteNumbers,0))</f>
        <v>0</v>
      </c>
      <c r="J419" s="209">
        <f t="array" ref="J419">IF(I419&gt;0,INDEX(DB,$I419,6),0)</f>
        <v>0</v>
      </c>
      <c r="K419" s="446">
        <f t="shared" si="5"/>
        <v>0</v>
      </c>
      <c r="L419" s="440">
        <f t="shared" si="6"/>
        <v>0</v>
      </c>
      <c r="M419" s="441">
        <f>IF(AND(L419&gt;O419,O419&gt;0),MinPoints,IF(AND(L419&lt;N419,O419&gt;0),100,+INT((O419-$L419)/P419)+MinPoints))</f>
        <v>100</v>
      </c>
      <c r="N419" s="440">
        <f t="shared" si="7"/>
        <v>90</v>
      </c>
      <c r="O419" s="440">
        <f t="shared" si="8"/>
        <v>180</v>
      </c>
      <c r="P419" s="440">
        <f t="shared" si="9"/>
        <v>1</v>
      </c>
      <c r="Q419">
        <f t="array" ref="Q419">IF(I419&gt;0,INDEX(DB,I419,9),EventIndex)</f>
        <v>6</v>
      </c>
      <c r="S419">
        <f t="array" ref="S419">(INT(INDEX(MINVALUES,$Q419,$K$1))*60)+(MOD(INDEX(MINVALUES,$Q419,$K$1),1)*100)</f>
        <v>180</v>
      </c>
      <c r="T419">
        <f t="array" ref="T419">(INDEX(INCVALUES,$Q419,$K$1)*100)</f>
        <v>1</v>
      </c>
      <c r="V419">
        <f t="array" ref="V419">+J419+(4*(INDEX(MatchScoreTable,$Q419,20)-1))</f>
        <v>4</v>
      </c>
      <c r="W419">
        <f t="array" ref="W419">INDEX(INC_MINVALUES,$V419,$K$1)</f>
        <v>480</v>
      </c>
      <c r="X419" s="212">
        <f t="array" ref="X419">INDEX(INC_INCVALUES,$V419,$K$1)</f>
        <v>4</v>
      </c>
    </row>
    <row r="420" ht="15.75" customHeight="1">
      <c r="A420" s="435"/>
      <c r="B420" s="436"/>
      <c r="C420" s="95" t="str">
        <f t="array" ref="C420">IF(I420&gt;0,INDEX(DB,I420,8),"")</f>
        <v/>
      </c>
      <c r="D420" s="437">
        <f t="shared" si="1"/>
        <v>0</v>
      </c>
      <c r="F420" s="438">
        <f t="shared" si="2"/>
        <v>0</v>
      </c>
      <c r="G420" t="str">
        <f t="shared" si="3"/>
        <v/>
      </c>
      <c r="H420" t="b">
        <f t="shared" si="4"/>
        <v>0</v>
      </c>
      <c r="I420" s="439">
        <f>IF(OR(ISBLANK(A420),ISNA(MATCH(A420&amp;"",AthleteNumbers,0))),0,MATCH(A420&amp;"",AthleteNumbers,0))</f>
        <v>0</v>
      </c>
      <c r="J420" s="209">
        <f t="array" ref="J420">IF(I420&gt;0,INDEX(DB,$I420,6),0)</f>
        <v>0</v>
      </c>
      <c r="K420" s="446">
        <f t="shared" si="5"/>
        <v>0</v>
      </c>
      <c r="L420" s="440">
        <f t="shared" si="6"/>
        <v>0</v>
      </c>
      <c r="M420" s="441">
        <f>IF(AND(L420&gt;O420,O420&gt;0),MinPoints,IF(AND(L420&lt;N420,O420&gt;0),100,+INT((O420-$L420)/P420)+MinPoints))</f>
        <v>100</v>
      </c>
      <c r="N420" s="440">
        <f t="shared" si="7"/>
        <v>90</v>
      </c>
      <c r="O420" s="440">
        <f t="shared" si="8"/>
        <v>180</v>
      </c>
      <c r="P420" s="440">
        <f t="shared" si="9"/>
        <v>1</v>
      </c>
      <c r="Q420">
        <f t="array" ref="Q420">IF(I420&gt;0,INDEX(DB,I420,9),EventIndex)</f>
        <v>6</v>
      </c>
      <c r="S420">
        <f t="array" ref="S420">(INT(INDEX(MINVALUES,$Q420,$K$1))*60)+(MOD(INDEX(MINVALUES,$Q420,$K$1),1)*100)</f>
        <v>180</v>
      </c>
      <c r="T420">
        <f t="array" ref="T420">(INDEX(INCVALUES,$Q420,$K$1)*100)</f>
        <v>1</v>
      </c>
      <c r="V420">
        <f t="array" ref="V420">+J420+(4*(INDEX(MatchScoreTable,$Q420,20)-1))</f>
        <v>4</v>
      </c>
      <c r="W420">
        <f t="array" ref="W420">INDEX(INC_MINVALUES,$V420,$K$1)</f>
        <v>480</v>
      </c>
      <c r="X420" s="212">
        <f t="array" ref="X420">INDEX(INC_INCVALUES,$V420,$K$1)</f>
        <v>4</v>
      </c>
    </row>
    <row r="421" ht="15.75" customHeight="1">
      <c r="A421" s="435"/>
      <c r="B421" s="436"/>
      <c r="C421" s="95" t="str">
        <f t="array" ref="C421">IF(I421&gt;0,INDEX(DB,I421,8),"")</f>
        <v/>
      </c>
      <c r="D421" s="437">
        <f t="shared" si="1"/>
        <v>0</v>
      </c>
      <c r="F421" s="438">
        <f t="shared" si="2"/>
        <v>0</v>
      </c>
      <c r="G421" t="str">
        <f t="shared" si="3"/>
        <v/>
      </c>
      <c r="H421" t="b">
        <f t="shared" si="4"/>
        <v>0</v>
      </c>
      <c r="I421" s="439">
        <f>IF(OR(ISBLANK(A421),ISNA(MATCH(A421&amp;"",AthleteNumbers,0))),0,MATCH(A421&amp;"",AthleteNumbers,0))</f>
        <v>0</v>
      </c>
      <c r="J421" s="209">
        <f t="array" ref="J421">IF(I421&gt;0,INDEX(DB,$I421,6),0)</f>
        <v>0</v>
      </c>
      <c r="K421" s="446">
        <f t="shared" si="5"/>
        <v>0</v>
      </c>
      <c r="L421" s="440">
        <f t="shared" si="6"/>
        <v>0</v>
      </c>
      <c r="M421" s="441">
        <f>IF(AND(L421&gt;O421,O421&gt;0),MinPoints,IF(AND(L421&lt;N421,O421&gt;0),100,+INT((O421-$L421)/P421)+MinPoints))</f>
        <v>100</v>
      </c>
      <c r="N421" s="440">
        <f t="shared" si="7"/>
        <v>90</v>
      </c>
      <c r="O421" s="440">
        <f t="shared" si="8"/>
        <v>180</v>
      </c>
      <c r="P421" s="440">
        <f t="shared" si="9"/>
        <v>1</v>
      </c>
      <c r="Q421">
        <f t="array" ref="Q421">IF(I421&gt;0,INDEX(DB,I421,9),EventIndex)</f>
        <v>6</v>
      </c>
      <c r="S421">
        <f t="array" ref="S421">(INT(INDEX(MINVALUES,$Q421,$K$1))*60)+(MOD(INDEX(MINVALUES,$Q421,$K$1),1)*100)</f>
        <v>180</v>
      </c>
      <c r="T421">
        <f t="array" ref="T421">(INDEX(INCVALUES,$Q421,$K$1)*100)</f>
        <v>1</v>
      </c>
      <c r="V421">
        <f t="array" ref="V421">+J421+(4*(INDEX(MatchScoreTable,$Q421,20)-1))</f>
        <v>4</v>
      </c>
      <c r="W421">
        <f t="array" ref="W421">INDEX(INC_MINVALUES,$V421,$K$1)</f>
        <v>480</v>
      </c>
      <c r="X421" s="212">
        <f t="array" ref="X421">INDEX(INC_INCVALUES,$V421,$K$1)</f>
        <v>4</v>
      </c>
    </row>
    <row r="422" ht="15.75" customHeight="1">
      <c r="A422" s="435"/>
      <c r="B422" s="436"/>
      <c r="C422" s="95" t="str">
        <f t="array" ref="C422">IF(I422&gt;0,INDEX(DB,I422,8),"")</f>
        <v/>
      </c>
      <c r="D422" s="437">
        <f t="shared" si="1"/>
        <v>0</v>
      </c>
      <c r="F422" s="438">
        <f t="shared" si="2"/>
        <v>0</v>
      </c>
      <c r="G422" t="str">
        <f t="shared" si="3"/>
        <v/>
      </c>
      <c r="H422" t="b">
        <f t="shared" si="4"/>
        <v>0</v>
      </c>
      <c r="I422" s="439">
        <f>IF(OR(ISBLANK(A422),ISNA(MATCH(A422&amp;"",AthleteNumbers,0))),0,MATCH(A422&amp;"",AthleteNumbers,0))</f>
        <v>0</v>
      </c>
      <c r="J422" s="209">
        <f t="array" ref="J422">IF(I422&gt;0,INDEX(DB,$I422,6),0)</f>
        <v>0</v>
      </c>
      <c r="K422" s="446">
        <f t="shared" si="5"/>
        <v>0</v>
      </c>
      <c r="L422" s="440">
        <f t="shared" si="6"/>
        <v>0</v>
      </c>
      <c r="M422" s="441">
        <f>IF(AND(L422&gt;O422,O422&gt;0),MinPoints,IF(AND(L422&lt;N422,O422&gt;0),100,+INT((O422-$L422)/P422)+MinPoints))</f>
        <v>100</v>
      </c>
      <c r="N422" s="440">
        <f t="shared" si="7"/>
        <v>90</v>
      </c>
      <c r="O422" s="440">
        <f t="shared" si="8"/>
        <v>180</v>
      </c>
      <c r="P422" s="440">
        <f t="shared" si="9"/>
        <v>1</v>
      </c>
      <c r="Q422">
        <f t="array" ref="Q422">IF(I422&gt;0,INDEX(DB,I422,9),EventIndex)</f>
        <v>6</v>
      </c>
      <c r="S422">
        <f t="array" ref="S422">(INT(INDEX(MINVALUES,$Q422,$K$1))*60)+(MOD(INDEX(MINVALUES,$Q422,$K$1),1)*100)</f>
        <v>180</v>
      </c>
      <c r="T422">
        <f t="array" ref="T422">(INDEX(INCVALUES,$Q422,$K$1)*100)</f>
        <v>1</v>
      </c>
      <c r="V422">
        <f t="array" ref="V422">+J422+(4*(INDEX(MatchScoreTable,$Q422,20)-1))</f>
        <v>4</v>
      </c>
      <c r="W422">
        <f t="array" ref="W422">INDEX(INC_MINVALUES,$V422,$K$1)</f>
        <v>480</v>
      </c>
      <c r="X422" s="212">
        <f t="array" ref="X422">INDEX(INC_INCVALUES,$V422,$K$1)</f>
        <v>4</v>
      </c>
    </row>
    <row r="423" ht="15.75" customHeight="1">
      <c r="A423" s="435"/>
      <c r="B423" s="436"/>
      <c r="C423" s="95" t="str">
        <f t="array" ref="C423">IF(I423&gt;0,INDEX(DB,I423,8),"")</f>
        <v/>
      </c>
      <c r="D423" s="437">
        <f t="shared" si="1"/>
        <v>0</v>
      </c>
      <c r="F423" s="438">
        <f t="shared" si="2"/>
        <v>0</v>
      </c>
      <c r="G423" t="str">
        <f t="shared" si="3"/>
        <v/>
      </c>
      <c r="H423" t="b">
        <f t="shared" si="4"/>
        <v>0</v>
      </c>
      <c r="I423" s="439">
        <f>IF(OR(ISBLANK(A423),ISNA(MATCH(A423&amp;"",AthleteNumbers,0))),0,MATCH(A423&amp;"",AthleteNumbers,0))</f>
        <v>0</v>
      </c>
      <c r="J423" s="209">
        <f t="array" ref="J423">IF(I423&gt;0,INDEX(DB,$I423,6),0)</f>
        <v>0</v>
      </c>
      <c r="K423" s="446">
        <f t="shared" si="5"/>
        <v>0</v>
      </c>
      <c r="L423" s="440">
        <f t="shared" si="6"/>
        <v>0</v>
      </c>
      <c r="M423" s="441">
        <f>IF(AND(L423&gt;O423,O423&gt;0),MinPoints,IF(AND(L423&lt;N423,O423&gt;0),100,+INT((O423-$L423)/P423)+MinPoints))</f>
        <v>100</v>
      </c>
      <c r="N423" s="440">
        <f t="shared" si="7"/>
        <v>90</v>
      </c>
      <c r="O423" s="440">
        <f t="shared" si="8"/>
        <v>180</v>
      </c>
      <c r="P423" s="440">
        <f t="shared" si="9"/>
        <v>1</v>
      </c>
      <c r="Q423">
        <f t="array" ref="Q423">IF(I423&gt;0,INDEX(DB,I423,9),EventIndex)</f>
        <v>6</v>
      </c>
      <c r="S423">
        <f t="array" ref="S423">(INT(INDEX(MINVALUES,$Q423,$K$1))*60)+(MOD(INDEX(MINVALUES,$Q423,$K$1),1)*100)</f>
        <v>180</v>
      </c>
      <c r="T423">
        <f t="array" ref="T423">(INDEX(INCVALUES,$Q423,$K$1)*100)</f>
        <v>1</v>
      </c>
      <c r="V423">
        <f t="array" ref="V423">+J423+(4*(INDEX(MatchScoreTable,$Q423,20)-1))</f>
        <v>4</v>
      </c>
      <c r="W423">
        <f t="array" ref="W423">INDEX(INC_MINVALUES,$V423,$K$1)</f>
        <v>480</v>
      </c>
      <c r="X423" s="212">
        <f t="array" ref="X423">INDEX(INC_INCVALUES,$V423,$K$1)</f>
        <v>4</v>
      </c>
    </row>
    <row r="424" ht="15.75" customHeight="1">
      <c r="A424" s="435"/>
      <c r="B424" s="436"/>
      <c r="C424" s="95" t="str">
        <f t="array" ref="C424">IF(I424&gt;0,INDEX(DB,I424,8),"")</f>
        <v/>
      </c>
      <c r="D424" s="437">
        <f t="shared" si="1"/>
        <v>0</v>
      </c>
      <c r="F424" s="438">
        <f t="shared" si="2"/>
        <v>0</v>
      </c>
      <c r="G424" t="str">
        <f t="shared" si="3"/>
        <v/>
      </c>
      <c r="H424" t="b">
        <f t="shared" si="4"/>
        <v>0</v>
      </c>
      <c r="I424" s="439">
        <f>IF(OR(ISBLANK(A424),ISNA(MATCH(A424&amp;"",AthleteNumbers,0))),0,MATCH(A424&amp;"",AthleteNumbers,0))</f>
        <v>0</v>
      </c>
      <c r="J424" s="209">
        <f t="array" ref="J424">IF(I424&gt;0,INDEX(DB,$I424,6),0)</f>
        <v>0</v>
      </c>
      <c r="K424" s="446">
        <f t="shared" si="5"/>
        <v>0</v>
      </c>
      <c r="L424" s="440">
        <f t="shared" si="6"/>
        <v>0</v>
      </c>
      <c r="M424" s="441">
        <f>IF(AND(L424&gt;O424,O424&gt;0),MinPoints,IF(AND(L424&lt;N424,O424&gt;0),100,+INT((O424-$L424)/P424)+MinPoints))</f>
        <v>100</v>
      </c>
      <c r="N424" s="440">
        <f t="shared" si="7"/>
        <v>90</v>
      </c>
      <c r="O424" s="440">
        <f t="shared" si="8"/>
        <v>180</v>
      </c>
      <c r="P424" s="440">
        <f t="shared" si="9"/>
        <v>1</v>
      </c>
      <c r="Q424">
        <f t="array" ref="Q424">IF(I424&gt;0,INDEX(DB,I424,9),EventIndex)</f>
        <v>6</v>
      </c>
      <c r="S424">
        <f t="array" ref="S424">(INT(INDEX(MINVALUES,$Q424,$K$1))*60)+(MOD(INDEX(MINVALUES,$Q424,$K$1),1)*100)</f>
        <v>180</v>
      </c>
      <c r="T424">
        <f t="array" ref="T424">(INDEX(INCVALUES,$Q424,$K$1)*100)</f>
        <v>1</v>
      </c>
      <c r="V424">
        <f t="array" ref="V424">+J424+(4*(INDEX(MatchScoreTable,$Q424,20)-1))</f>
        <v>4</v>
      </c>
      <c r="W424">
        <f t="array" ref="W424">INDEX(INC_MINVALUES,$V424,$K$1)</f>
        <v>480</v>
      </c>
      <c r="X424" s="212">
        <f t="array" ref="X424">INDEX(INC_INCVALUES,$V424,$K$1)</f>
        <v>4</v>
      </c>
    </row>
    <row r="425" ht="15.75" customHeight="1">
      <c r="A425" s="435"/>
      <c r="B425" s="436"/>
      <c r="C425" s="95" t="str">
        <f t="array" ref="C425">IF(I425&gt;0,INDEX(DB,I425,8),"")</f>
        <v/>
      </c>
      <c r="D425" s="437">
        <f t="shared" si="1"/>
        <v>0</v>
      </c>
      <c r="F425" s="438">
        <f t="shared" si="2"/>
        <v>0</v>
      </c>
      <c r="G425" t="str">
        <f t="shared" si="3"/>
        <v/>
      </c>
      <c r="H425" t="b">
        <f t="shared" si="4"/>
        <v>0</v>
      </c>
      <c r="I425" s="439">
        <f>IF(OR(ISBLANK(A425),ISNA(MATCH(A425&amp;"",AthleteNumbers,0))),0,MATCH(A425&amp;"",AthleteNumbers,0))</f>
        <v>0</v>
      </c>
      <c r="J425" s="209">
        <f t="array" ref="J425">IF(I425&gt;0,INDEX(DB,$I425,6),0)</f>
        <v>0</v>
      </c>
      <c r="K425" s="446">
        <f t="shared" si="5"/>
        <v>0</v>
      </c>
      <c r="L425" s="440">
        <f t="shared" si="6"/>
        <v>0</v>
      </c>
      <c r="M425" s="441">
        <f>IF(AND(L425&gt;O425,O425&gt;0),MinPoints,IF(AND(L425&lt;N425,O425&gt;0),100,+INT((O425-$L425)/P425)+MinPoints))</f>
        <v>100</v>
      </c>
      <c r="N425" s="440">
        <f t="shared" si="7"/>
        <v>90</v>
      </c>
      <c r="O425" s="440">
        <f t="shared" si="8"/>
        <v>180</v>
      </c>
      <c r="P425" s="440">
        <f t="shared" si="9"/>
        <v>1</v>
      </c>
      <c r="Q425">
        <f t="array" ref="Q425">IF(I425&gt;0,INDEX(DB,I425,9),EventIndex)</f>
        <v>6</v>
      </c>
      <c r="S425">
        <f t="array" ref="S425">(INT(INDEX(MINVALUES,$Q425,$K$1))*60)+(MOD(INDEX(MINVALUES,$Q425,$K$1),1)*100)</f>
        <v>180</v>
      </c>
      <c r="T425">
        <f t="array" ref="T425">(INDEX(INCVALUES,$Q425,$K$1)*100)</f>
        <v>1</v>
      </c>
      <c r="V425">
        <f t="array" ref="V425">+J425+(4*(INDEX(MatchScoreTable,$Q425,20)-1))</f>
        <v>4</v>
      </c>
      <c r="W425">
        <f t="array" ref="W425">INDEX(INC_MINVALUES,$V425,$K$1)</f>
        <v>480</v>
      </c>
      <c r="X425" s="212">
        <f t="array" ref="X425">INDEX(INC_INCVALUES,$V425,$K$1)</f>
        <v>4</v>
      </c>
    </row>
    <row r="426" ht="15.75" customHeight="1">
      <c r="A426" s="435"/>
      <c r="B426" s="436"/>
      <c r="C426" s="95" t="str">
        <f t="array" ref="C426">IF(I426&gt;0,INDEX(DB,I426,8),"")</f>
        <v/>
      </c>
      <c r="D426" s="437">
        <f t="shared" si="1"/>
        <v>0</v>
      </c>
      <c r="F426" s="438">
        <f t="shared" si="2"/>
        <v>0</v>
      </c>
      <c r="G426" t="str">
        <f t="shared" si="3"/>
        <v/>
      </c>
      <c r="H426" t="b">
        <f t="shared" si="4"/>
        <v>0</v>
      </c>
      <c r="I426" s="439">
        <f>IF(OR(ISBLANK(A426),ISNA(MATCH(A426&amp;"",AthleteNumbers,0))),0,MATCH(A426&amp;"",AthleteNumbers,0))</f>
        <v>0</v>
      </c>
      <c r="J426" s="209">
        <f t="array" ref="J426">IF(I426&gt;0,INDEX(DB,$I426,6),0)</f>
        <v>0</v>
      </c>
      <c r="K426" s="446">
        <f t="shared" si="5"/>
        <v>0</v>
      </c>
      <c r="L426" s="440">
        <f t="shared" si="6"/>
        <v>0</v>
      </c>
      <c r="M426" s="441">
        <f>IF(AND(L426&gt;O426,O426&gt;0),MinPoints,IF(AND(L426&lt;N426,O426&gt;0),100,+INT((O426-$L426)/P426)+MinPoints))</f>
        <v>100</v>
      </c>
      <c r="N426" s="440">
        <f t="shared" si="7"/>
        <v>90</v>
      </c>
      <c r="O426" s="440">
        <f t="shared" si="8"/>
        <v>180</v>
      </c>
      <c r="P426" s="440">
        <f t="shared" si="9"/>
        <v>1</v>
      </c>
      <c r="Q426">
        <f t="array" ref="Q426">IF(I426&gt;0,INDEX(DB,I426,9),EventIndex)</f>
        <v>6</v>
      </c>
      <c r="S426">
        <f t="array" ref="S426">(INT(INDEX(MINVALUES,$Q426,$K$1))*60)+(MOD(INDEX(MINVALUES,$Q426,$K$1),1)*100)</f>
        <v>180</v>
      </c>
      <c r="T426">
        <f t="array" ref="T426">(INDEX(INCVALUES,$Q426,$K$1)*100)</f>
        <v>1</v>
      </c>
      <c r="V426">
        <f t="array" ref="V426">+J426+(4*(INDEX(MatchScoreTable,$Q426,20)-1))</f>
        <v>4</v>
      </c>
      <c r="W426">
        <f t="array" ref="W426">INDEX(INC_MINVALUES,$V426,$K$1)</f>
        <v>480</v>
      </c>
      <c r="X426" s="212">
        <f t="array" ref="X426">INDEX(INC_INCVALUES,$V426,$K$1)</f>
        <v>4</v>
      </c>
    </row>
    <row r="427" ht="15.75" customHeight="1">
      <c r="A427" s="435"/>
      <c r="B427" s="436"/>
      <c r="C427" s="95" t="str">
        <f t="array" ref="C427">IF(I427&gt;0,INDEX(DB,I427,8),"")</f>
        <v/>
      </c>
      <c r="D427" s="437">
        <f t="shared" si="1"/>
        <v>0</v>
      </c>
      <c r="F427" s="438">
        <f t="shared" si="2"/>
        <v>0</v>
      </c>
      <c r="G427" t="str">
        <f t="shared" si="3"/>
        <v/>
      </c>
      <c r="H427" t="b">
        <f t="shared" si="4"/>
        <v>0</v>
      </c>
      <c r="I427" s="439">
        <f>IF(OR(ISBLANK(A427),ISNA(MATCH(A427&amp;"",AthleteNumbers,0))),0,MATCH(A427&amp;"",AthleteNumbers,0))</f>
        <v>0</v>
      </c>
      <c r="J427" s="209">
        <f t="array" ref="J427">IF(I427&gt;0,INDEX(DB,$I427,6),0)</f>
        <v>0</v>
      </c>
      <c r="K427" s="446">
        <f t="shared" si="5"/>
        <v>0</v>
      </c>
      <c r="L427" s="440">
        <f t="shared" si="6"/>
        <v>0</v>
      </c>
      <c r="M427" s="441">
        <f>IF(AND(L427&gt;O427,O427&gt;0),MinPoints,IF(AND(L427&lt;N427,O427&gt;0),100,+INT((O427-$L427)/P427)+MinPoints))</f>
        <v>100</v>
      </c>
      <c r="N427" s="440">
        <f t="shared" si="7"/>
        <v>90</v>
      </c>
      <c r="O427" s="440">
        <f t="shared" si="8"/>
        <v>180</v>
      </c>
      <c r="P427" s="440">
        <f t="shared" si="9"/>
        <v>1</v>
      </c>
      <c r="Q427">
        <f t="array" ref="Q427">IF(I427&gt;0,INDEX(DB,I427,9),EventIndex)</f>
        <v>6</v>
      </c>
      <c r="S427">
        <f t="array" ref="S427">(INT(INDEX(MINVALUES,$Q427,$K$1))*60)+(MOD(INDEX(MINVALUES,$Q427,$K$1),1)*100)</f>
        <v>180</v>
      </c>
      <c r="T427">
        <f t="array" ref="T427">(INDEX(INCVALUES,$Q427,$K$1)*100)</f>
        <v>1</v>
      </c>
      <c r="V427">
        <f t="array" ref="V427">+J427+(4*(INDEX(MatchScoreTable,$Q427,20)-1))</f>
        <v>4</v>
      </c>
      <c r="W427">
        <f t="array" ref="W427">INDEX(INC_MINVALUES,$V427,$K$1)</f>
        <v>480</v>
      </c>
      <c r="X427" s="212">
        <f t="array" ref="X427">INDEX(INC_INCVALUES,$V427,$K$1)</f>
        <v>4</v>
      </c>
    </row>
    <row r="428" ht="15.75" customHeight="1">
      <c r="A428" s="435"/>
      <c r="B428" s="436"/>
      <c r="C428" s="95" t="str">
        <f t="array" ref="C428">IF(I428&gt;0,INDEX(DB,I428,8),"")</f>
        <v/>
      </c>
      <c r="D428" s="437">
        <f t="shared" si="1"/>
        <v>0</v>
      </c>
      <c r="F428" s="438">
        <f t="shared" si="2"/>
        <v>0</v>
      </c>
      <c r="G428" t="str">
        <f t="shared" si="3"/>
        <v/>
      </c>
      <c r="H428" t="b">
        <f t="shared" si="4"/>
        <v>0</v>
      </c>
      <c r="I428" s="439">
        <f>IF(OR(ISBLANK(A428),ISNA(MATCH(A428&amp;"",AthleteNumbers,0))),0,MATCH(A428&amp;"",AthleteNumbers,0))</f>
        <v>0</v>
      </c>
      <c r="J428" s="209">
        <f t="array" ref="J428">IF(I428&gt;0,INDEX(DB,$I428,6),0)</f>
        <v>0</v>
      </c>
      <c r="K428" s="446">
        <f t="shared" si="5"/>
        <v>0</v>
      </c>
      <c r="L428" s="440">
        <f t="shared" si="6"/>
        <v>0</v>
      </c>
      <c r="M428" s="441">
        <f>IF(AND(L428&gt;O428,O428&gt;0),MinPoints,IF(AND(L428&lt;N428,O428&gt;0),100,+INT((O428-$L428)/P428)+MinPoints))</f>
        <v>100</v>
      </c>
      <c r="N428" s="440">
        <f t="shared" si="7"/>
        <v>90</v>
      </c>
      <c r="O428" s="440">
        <f t="shared" si="8"/>
        <v>180</v>
      </c>
      <c r="P428" s="440">
        <f t="shared" si="9"/>
        <v>1</v>
      </c>
      <c r="Q428">
        <f t="array" ref="Q428">IF(I428&gt;0,INDEX(DB,I428,9),EventIndex)</f>
        <v>6</v>
      </c>
      <c r="S428">
        <f t="array" ref="S428">(INT(INDEX(MINVALUES,$Q428,$K$1))*60)+(MOD(INDEX(MINVALUES,$Q428,$K$1),1)*100)</f>
        <v>180</v>
      </c>
      <c r="T428">
        <f t="array" ref="T428">(INDEX(INCVALUES,$Q428,$K$1)*100)</f>
        <v>1</v>
      </c>
      <c r="V428">
        <f t="array" ref="V428">+J428+(4*(INDEX(MatchScoreTable,$Q428,20)-1))</f>
        <v>4</v>
      </c>
      <c r="W428">
        <f t="array" ref="W428">INDEX(INC_MINVALUES,$V428,$K$1)</f>
        <v>480</v>
      </c>
      <c r="X428" s="212">
        <f t="array" ref="X428">INDEX(INC_INCVALUES,$V428,$K$1)</f>
        <v>4</v>
      </c>
    </row>
    <row r="429" ht="15.75" customHeight="1">
      <c r="A429" s="435"/>
      <c r="B429" s="436"/>
      <c r="C429" s="95" t="str">
        <f t="array" ref="C429">IF(I429&gt;0,INDEX(DB,I429,8),"")</f>
        <v/>
      </c>
      <c r="D429" s="437">
        <f t="shared" si="1"/>
        <v>0</v>
      </c>
      <c r="F429" s="438">
        <f t="shared" si="2"/>
        <v>0</v>
      </c>
      <c r="G429" t="str">
        <f t="shared" si="3"/>
        <v/>
      </c>
      <c r="H429" t="b">
        <f t="shared" si="4"/>
        <v>0</v>
      </c>
      <c r="I429" s="439">
        <f>IF(OR(ISBLANK(A429),ISNA(MATCH(A429&amp;"",AthleteNumbers,0))),0,MATCH(A429&amp;"",AthleteNumbers,0))</f>
        <v>0</v>
      </c>
      <c r="J429" s="209">
        <f t="array" ref="J429">IF(I429&gt;0,INDEX(DB,$I429,6),0)</f>
        <v>0</v>
      </c>
      <c r="K429" s="446">
        <f t="shared" si="5"/>
        <v>0</v>
      </c>
      <c r="L429" s="440">
        <f t="shared" si="6"/>
        <v>0</v>
      </c>
      <c r="M429" s="441">
        <f>IF(AND(L429&gt;O429,O429&gt;0),MinPoints,IF(AND(L429&lt;N429,O429&gt;0),100,+INT((O429-$L429)/P429)+MinPoints))</f>
        <v>100</v>
      </c>
      <c r="N429" s="440">
        <f t="shared" si="7"/>
        <v>90</v>
      </c>
      <c r="O429" s="440">
        <f t="shared" si="8"/>
        <v>180</v>
      </c>
      <c r="P429" s="440">
        <f t="shared" si="9"/>
        <v>1</v>
      </c>
      <c r="Q429">
        <f t="array" ref="Q429">IF(I429&gt;0,INDEX(DB,I429,9),EventIndex)</f>
        <v>6</v>
      </c>
      <c r="S429">
        <f t="array" ref="S429">(INT(INDEX(MINVALUES,$Q429,$K$1))*60)+(MOD(INDEX(MINVALUES,$Q429,$K$1),1)*100)</f>
        <v>180</v>
      </c>
      <c r="T429">
        <f t="array" ref="T429">(INDEX(INCVALUES,$Q429,$K$1)*100)</f>
        <v>1</v>
      </c>
      <c r="V429">
        <f t="array" ref="V429">+J429+(4*(INDEX(MatchScoreTable,$Q429,20)-1))</f>
        <v>4</v>
      </c>
      <c r="W429">
        <f t="array" ref="W429">INDEX(INC_MINVALUES,$V429,$K$1)</f>
        <v>480</v>
      </c>
      <c r="X429" s="212">
        <f t="array" ref="X429">INDEX(INC_INCVALUES,$V429,$K$1)</f>
        <v>4</v>
      </c>
    </row>
    <row r="430" ht="15.75" customHeight="1">
      <c r="A430" s="435"/>
      <c r="B430" s="436"/>
      <c r="C430" s="95" t="str">
        <f t="array" ref="C430">IF(I430&gt;0,INDEX(DB,I430,8),"")</f>
        <v/>
      </c>
      <c r="D430" s="437">
        <f t="shared" si="1"/>
        <v>0</v>
      </c>
      <c r="F430" s="438">
        <f t="shared" si="2"/>
        <v>0</v>
      </c>
      <c r="G430" t="str">
        <f t="shared" si="3"/>
        <v/>
      </c>
      <c r="H430" t="b">
        <f t="shared" si="4"/>
        <v>0</v>
      </c>
      <c r="I430" s="439">
        <f>IF(OR(ISBLANK(A430),ISNA(MATCH(A430&amp;"",AthleteNumbers,0))),0,MATCH(A430&amp;"",AthleteNumbers,0))</f>
        <v>0</v>
      </c>
      <c r="J430" s="209">
        <f t="array" ref="J430">IF(I430&gt;0,INDEX(DB,$I430,6),0)</f>
        <v>0</v>
      </c>
      <c r="K430" s="446">
        <f t="shared" si="5"/>
        <v>0</v>
      </c>
      <c r="L430" s="440">
        <f t="shared" si="6"/>
        <v>0</v>
      </c>
      <c r="M430" s="441">
        <f>IF(AND(L430&gt;O430,O430&gt;0),MinPoints,IF(AND(L430&lt;N430,O430&gt;0),100,+INT((O430-$L430)/P430)+MinPoints))</f>
        <v>100</v>
      </c>
      <c r="N430" s="440">
        <f t="shared" si="7"/>
        <v>90</v>
      </c>
      <c r="O430" s="440">
        <f t="shared" si="8"/>
        <v>180</v>
      </c>
      <c r="P430" s="440">
        <f t="shared" si="9"/>
        <v>1</v>
      </c>
      <c r="Q430">
        <f t="array" ref="Q430">IF(I430&gt;0,INDEX(DB,I430,9),EventIndex)</f>
        <v>6</v>
      </c>
      <c r="S430">
        <f t="array" ref="S430">(INT(INDEX(MINVALUES,$Q430,$K$1))*60)+(MOD(INDEX(MINVALUES,$Q430,$K$1),1)*100)</f>
        <v>180</v>
      </c>
      <c r="T430">
        <f t="array" ref="T430">(INDEX(INCVALUES,$Q430,$K$1)*100)</f>
        <v>1</v>
      </c>
      <c r="V430">
        <f t="array" ref="V430">+J430+(4*(INDEX(MatchScoreTable,$Q430,20)-1))</f>
        <v>4</v>
      </c>
      <c r="W430">
        <f t="array" ref="W430">INDEX(INC_MINVALUES,$V430,$K$1)</f>
        <v>480</v>
      </c>
      <c r="X430" s="212">
        <f t="array" ref="X430">INDEX(INC_INCVALUES,$V430,$K$1)</f>
        <v>4</v>
      </c>
    </row>
    <row r="431" ht="15.75" customHeight="1">
      <c r="A431" s="435"/>
      <c r="B431" s="436"/>
      <c r="C431" s="95" t="str">
        <f t="array" ref="C431">IF(I431&gt;0,INDEX(DB,I431,8),"")</f>
        <v/>
      </c>
      <c r="D431" s="437">
        <f t="shared" si="1"/>
        <v>0</v>
      </c>
      <c r="F431" s="438">
        <f t="shared" si="2"/>
        <v>0</v>
      </c>
      <c r="G431" t="str">
        <f t="shared" si="3"/>
        <v/>
      </c>
      <c r="H431" t="b">
        <f t="shared" si="4"/>
        <v>0</v>
      </c>
      <c r="I431" s="439">
        <f>IF(OR(ISBLANK(A431),ISNA(MATCH(A431&amp;"",AthleteNumbers,0))),0,MATCH(A431&amp;"",AthleteNumbers,0))</f>
        <v>0</v>
      </c>
      <c r="J431" s="209">
        <f t="array" ref="J431">IF(I431&gt;0,INDEX(DB,$I431,6),0)</f>
        <v>0</v>
      </c>
      <c r="K431" s="446">
        <f t="shared" si="5"/>
        <v>0</v>
      </c>
      <c r="L431" s="440">
        <f t="shared" si="6"/>
        <v>0</v>
      </c>
      <c r="M431" s="441">
        <f>IF(AND(L431&gt;O431,O431&gt;0),MinPoints,IF(AND(L431&lt;N431,O431&gt;0),100,+INT((O431-$L431)/P431)+MinPoints))</f>
        <v>100</v>
      </c>
      <c r="N431" s="440">
        <f t="shared" si="7"/>
        <v>90</v>
      </c>
      <c r="O431" s="440">
        <f t="shared" si="8"/>
        <v>180</v>
      </c>
      <c r="P431" s="440">
        <f t="shared" si="9"/>
        <v>1</v>
      </c>
      <c r="Q431">
        <f t="array" ref="Q431">IF(I431&gt;0,INDEX(DB,I431,9),EventIndex)</f>
        <v>6</v>
      </c>
      <c r="S431">
        <f t="array" ref="S431">(INT(INDEX(MINVALUES,$Q431,$K$1))*60)+(MOD(INDEX(MINVALUES,$Q431,$K$1),1)*100)</f>
        <v>180</v>
      </c>
      <c r="T431">
        <f t="array" ref="T431">(INDEX(INCVALUES,$Q431,$K$1)*100)</f>
        <v>1</v>
      </c>
      <c r="V431">
        <f t="array" ref="V431">+J431+(4*(INDEX(MatchScoreTable,$Q431,20)-1))</f>
        <v>4</v>
      </c>
      <c r="W431">
        <f t="array" ref="W431">INDEX(INC_MINVALUES,$V431,$K$1)</f>
        <v>480</v>
      </c>
      <c r="X431" s="212">
        <f t="array" ref="X431">INDEX(INC_INCVALUES,$V431,$K$1)</f>
        <v>4</v>
      </c>
    </row>
    <row r="432" ht="15.75" customHeight="1">
      <c r="A432" s="435"/>
      <c r="B432" s="436"/>
      <c r="C432" s="95" t="str">
        <f t="array" ref="C432">IF(I432&gt;0,INDEX(DB,I432,8),"")</f>
        <v/>
      </c>
      <c r="D432" s="437">
        <f t="shared" si="1"/>
        <v>0</v>
      </c>
      <c r="F432" s="438">
        <f t="shared" si="2"/>
        <v>0</v>
      </c>
      <c r="G432" t="str">
        <f t="shared" si="3"/>
        <v/>
      </c>
      <c r="H432" t="b">
        <f t="shared" si="4"/>
        <v>0</v>
      </c>
      <c r="I432" s="439">
        <f>IF(OR(ISBLANK(A432),ISNA(MATCH(A432&amp;"",AthleteNumbers,0))),0,MATCH(A432&amp;"",AthleteNumbers,0))</f>
        <v>0</v>
      </c>
      <c r="J432" s="209">
        <f t="array" ref="J432">IF(I432&gt;0,INDEX(DB,$I432,6),0)</f>
        <v>0</v>
      </c>
      <c r="K432" s="446">
        <f t="shared" si="5"/>
        <v>0</v>
      </c>
      <c r="L432" s="440">
        <f t="shared" si="6"/>
        <v>0</v>
      </c>
      <c r="M432" s="441">
        <f>IF(AND(L432&gt;O432,O432&gt;0),MinPoints,IF(AND(L432&lt;N432,O432&gt;0),100,+INT((O432-$L432)/P432)+MinPoints))</f>
        <v>100</v>
      </c>
      <c r="N432" s="440">
        <f t="shared" si="7"/>
        <v>90</v>
      </c>
      <c r="O432" s="440">
        <f t="shared" si="8"/>
        <v>180</v>
      </c>
      <c r="P432" s="440">
        <f t="shared" si="9"/>
        <v>1</v>
      </c>
      <c r="Q432">
        <f t="array" ref="Q432">IF(I432&gt;0,INDEX(DB,I432,9),EventIndex)</f>
        <v>6</v>
      </c>
      <c r="S432">
        <f t="array" ref="S432">(INT(INDEX(MINVALUES,$Q432,$K$1))*60)+(MOD(INDEX(MINVALUES,$Q432,$K$1),1)*100)</f>
        <v>180</v>
      </c>
      <c r="T432">
        <f t="array" ref="T432">(INDEX(INCVALUES,$Q432,$K$1)*100)</f>
        <v>1</v>
      </c>
      <c r="V432">
        <f t="array" ref="V432">+J432+(4*(INDEX(MatchScoreTable,$Q432,20)-1))</f>
        <v>4</v>
      </c>
      <c r="W432">
        <f t="array" ref="W432">INDEX(INC_MINVALUES,$V432,$K$1)</f>
        <v>480</v>
      </c>
      <c r="X432" s="212">
        <f t="array" ref="X432">INDEX(INC_INCVALUES,$V432,$K$1)</f>
        <v>4</v>
      </c>
    </row>
    <row r="433" ht="15.75" customHeight="1">
      <c r="A433" s="435"/>
      <c r="B433" s="436"/>
      <c r="C433" s="95" t="str">
        <f t="array" ref="C433">IF(I433&gt;0,INDEX(DB,I433,8),"")</f>
        <v/>
      </c>
      <c r="D433" s="437">
        <f t="shared" si="1"/>
        <v>0</v>
      </c>
      <c r="F433" s="438">
        <f t="shared" si="2"/>
        <v>0</v>
      </c>
      <c r="G433" t="str">
        <f t="shared" si="3"/>
        <v/>
      </c>
      <c r="H433" t="b">
        <f t="shared" si="4"/>
        <v>0</v>
      </c>
      <c r="I433" s="439">
        <f>IF(OR(ISBLANK(A433),ISNA(MATCH(A433&amp;"",AthleteNumbers,0))),0,MATCH(A433&amp;"",AthleteNumbers,0))</f>
        <v>0</v>
      </c>
      <c r="J433" s="209">
        <f t="array" ref="J433">IF(I433&gt;0,INDEX(DB,$I433,6),0)</f>
        <v>0</v>
      </c>
      <c r="K433" s="446">
        <f t="shared" si="5"/>
        <v>0</v>
      </c>
      <c r="L433" s="440">
        <f t="shared" si="6"/>
        <v>0</v>
      </c>
      <c r="M433" s="441">
        <f>IF(AND(L433&gt;O433,O433&gt;0),MinPoints,IF(AND(L433&lt;N433,O433&gt;0),100,+INT((O433-$L433)/P433)+MinPoints))</f>
        <v>100</v>
      </c>
      <c r="N433" s="440">
        <f t="shared" si="7"/>
        <v>90</v>
      </c>
      <c r="O433" s="440">
        <f t="shared" si="8"/>
        <v>180</v>
      </c>
      <c r="P433" s="440">
        <f t="shared" si="9"/>
        <v>1</v>
      </c>
      <c r="Q433">
        <f t="array" ref="Q433">IF(I433&gt;0,INDEX(DB,I433,9),EventIndex)</f>
        <v>6</v>
      </c>
      <c r="S433">
        <f t="array" ref="S433">(INT(INDEX(MINVALUES,$Q433,$K$1))*60)+(MOD(INDEX(MINVALUES,$Q433,$K$1),1)*100)</f>
        <v>180</v>
      </c>
      <c r="T433">
        <f t="array" ref="T433">(INDEX(INCVALUES,$Q433,$K$1)*100)</f>
        <v>1</v>
      </c>
      <c r="V433">
        <f t="array" ref="V433">+J433+(4*(INDEX(MatchScoreTable,$Q433,20)-1))</f>
        <v>4</v>
      </c>
      <c r="W433">
        <f t="array" ref="W433">INDEX(INC_MINVALUES,$V433,$K$1)</f>
        <v>480</v>
      </c>
      <c r="X433" s="212">
        <f t="array" ref="X433">INDEX(INC_INCVALUES,$V433,$K$1)</f>
        <v>4</v>
      </c>
    </row>
    <row r="434" ht="15.75" customHeight="1">
      <c r="A434" s="435"/>
      <c r="B434" s="436"/>
      <c r="C434" s="95" t="str">
        <f t="array" ref="C434">IF(I434&gt;0,INDEX(DB,I434,8),"")</f>
        <v/>
      </c>
      <c r="D434" s="437">
        <f t="shared" si="1"/>
        <v>0</v>
      </c>
      <c r="F434" s="438">
        <f t="shared" si="2"/>
        <v>0</v>
      </c>
      <c r="G434" t="str">
        <f t="shared" si="3"/>
        <v/>
      </c>
      <c r="H434" t="b">
        <f t="shared" si="4"/>
        <v>0</v>
      </c>
      <c r="I434" s="439">
        <f>IF(OR(ISBLANK(A434),ISNA(MATCH(A434&amp;"",AthleteNumbers,0))),0,MATCH(A434&amp;"",AthleteNumbers,0))</f>
        <v>0</v>
      </c>
      <c r="J434" s="209">
        <f t="array" ref="J434">IF(I434&gt;0,INDEX(DB,$I434,6),0)</f>
        <v>0</v>
      </c>
      <c r="K434" s="446">
        <f t="shared" si="5"/>
        <v>0</v>
      </c>
      <c r="L434" s="440">
        <f t="shared" si="6"/>
        <v>0</v>
      </c>
      <c r="M434" s="441">
        <f>IF(AND(L434&gt;O434,O434&gt;0),MinPoints,IF(AND(L434&lt;N434,O434&gt;0),100,+INT((O434-$L434)/P434)+MinPoints))</f>
        <v>100</v>
      </c>
      <c r="N434" s="440">
        <f t="shared" si="7"/>
        <v>90</v>
      </c>
      <c r="O434" s="440">
        <f t="shared" si="8"/>
        <v>180</v>
      </c>
      <c r="P434" s="440">
        <f t="shared" si="9"/>
        <v>1</v>
      </c>
      <c r="Q434">
        <f t="array" ref="Q434">IF(I434&gt;0,INDEX(DB,I434,9),EventIndex)</f>
        <v>6</v>
      </c>
      <c r="S434">
        <f t="array" ref="S434">(INT(INDEX(MINVALUES,$Q434,$K$1))*60)+(MOD(INDEX(MINVALUES,$Q434,$K$1),1)*100)</f>
        <v>180</v>
      </c>
      <c r="T434">
        <f t="array" ref="T434">(INDEX(INCVALUES,$Q434,$K$1)*100)</f>
        <v>1</v>
      </c>
      <c r="V434">
        <f t="array" ref="V434">+J434+(4*(INDEX(MatchScoreTable,$Q434,20)-1))</f>
        <v>4</v>
      </c>
      <c r="W434">
        <f t="array" ref="W434">INDEX(INC_MINVALUES,$V434,$K$1)</f>
        <v>480</v>
      </c>
      <c r="X434" s="212">
        <f t="array" ref="X434">INDEX(INC_INCVALUES,$V434,$K$1)</f>
        <v>4</v>
      </c>
    </row>
    <row r="435" ht="15.75" customHeight="1">
      <c r="A435" s="435"/>
      <c r="B435" s="436"/>
      <c r="C435" s="95" t="str">
        <f t="array" ref="C435">IF(I435&gt;0,INDEX(DB,I435,8),"")</f>
        <v/>
      </c>
      <c r="D435" s="437">
        <f t="shared" si="1"/>
        <v>0</v>
      </c>
      <c r="F435" s="438">
        <f t="shared" si="2"/>
        <v>0</v>
      </c>
      <c r="G435" t="str">
        <f t="shared" si="3"/>
        <v/>
      </c>
      <c r="H435" t="b">
        <f t="shared" si="4"/>
        <v>0</v>
      </c>
      <c r="I435" s="439">
        <f>IF(OR(ISBLANK(A435),ISNA(MATCH(A435&amp;"",AthleteNumbers,0))),0,MATCH(A435&amp;"",AthleteNumbers,0))</f>
        <v>0</v>
      </c>
      <c r="J435" s="209">
        <f t="array" ref="J435">IF(I435&gt;0,INDEX(DB,$I435,6),0)</f>
        <v>0</v>
      </c>
      <c r="K435" s="446">
        <f t="shared" si="5"/>
        <v>0</v>
      </c>
      <c r="L435" s="440">
        <f t="shared" si="6"/>
        <v>0</v>
      </c>
      <c r="M435" s="441">
        <f>IF(AND(L435&gt;O435,O435&gt;0),MinPoints,IF(AND(L435&lt;N435,O435&gt;0),100,+INT((O435-$L435)/P435)+MinPoints))</f>
        <v>100</v>
      </c>
      <c r="N435" s="440">
        <f t="shared" si="7"/>
        <v>90</v>
      </c>
      <c r="O435" s="440">
        <f t="shared" si="8"/>
        <v>180</v>
      </c>
      <c r="P435" s="440">
        <f t="shared" si="9"/>
        <v>1</v>
      </c>
      <c r="Q435">
        <f t="array" ref="Q435">IF(I435&gt;0,INDEX(DB,I435,9),EventIndex)</f>
        <v>6</v>
      </c>
      <c r="S435">
        <f t="array" ref="S435">(INT(INDEX(MINVALUES,$Q435,$K$1))*60)+(MOD(INDEX(MINVALUES,$Q435,$K$1),1)*100)</f>
        <v>180</v>
      </c>
      <c r="T435">
        <f t="array" ref="T435">(INDEX(INCVALUES,$Q435,$K$1)*100)</f>
        <v>1</v>
      </c>
      <c r="V435">
        <f t="array" ref="V435">+J435+(4*(INDEX(MatchScoreTable,$Q435,20)-1))</f>
        <v>4</v>
      </c>
      <c r="W435">
        <f t="array" ref="W435">INDEX(INC_MINVALUES,$V435,$K$1)</f>
        <v>480</v>
      </c>
      <c r="X435" s="212">
        <f t="array" ref="X435">INDEX(INC_INCVALUES,$V435,$K$1)</f>
        <v>4</v>
      </c>
    </row>
    <row r="436" ht="15.75" customHeight="1">
      <c r="A436" s="435"/>
      <c r="B436" s="436"/>
      <c r="C436" s="95" t="str">
        <f t="array" ref="C436">IF(I436&gt;0,INDEX(DB,I436,8),"")</f>
        <v/>
      </c>
      <c r="D436" s="437">
        <f t="shared" si="1"/>
        <v>0</v>
      </c>
      <c r="F436" s="438">
        <f t="shared" si="2"/>
        <v>0</v>
      </c>
      <c r="G436" t="str">
        <f t="shared" si="3"/>
        <v/>
      </c>
      <c r="H436" t="b">
        <f t="shared" si="4"/>
        <v>0</v>
      </c>
      <c r="I436" s="439">
        <f>IF(OR(ISBLANK(A436),ISNA(MATCH(A436&amp;"",AthleteNumbers,0))),0,MATCH(A436&amp;"",AthleteNumbers,0))</f>
        <v>0</v>
      </c>
      <c r="J436" s="209">
        <f t="array" ref="J436">IF(I436&gt;0,INDEX(DB,$I436,6),0)</f>
        <v>0</v>
      </c>
      <c r="K436" s="446">
        <f t="shared" si="5"/>
        <v>0</v>
      </c>
      <c r="L436" s="440">
        <f t="shared" si="6"/>
        <v>0</v>
      </c>
      <c r="M436" s="441">
        <f>IF(AND(L436&gt;O436,O436&gt;0),MinPoints,IF(AND(L436&lt;N436,O436&gt;0),100,+INT((O436-$L436)/P436)+MinPoints))</f>
        <v>100</v>
      </c>
      <c r="N436" s="440">
        <f t="shared" si="7"/>
        <v>90</v>
      </c>
      <c r="O436" s="440">
        <f t="shared" si="8"/>
        <v>180</v>
      </c>
      <c r="P436" s="440">
        <f t="shared" si="9"/>
        <v>1</v>
      </c>
      <c r="Q436">
        <f t="array" ref="Q436">IF(I436&gt;0,INDEX(DB,I436,9),EventIndex)</f>
        <v>6</v>
      </c>
      <c r="S436">
        <f t="array" ref="S436">(INT(INDEX(MINVALUES,$Q436,$K$1))*60)+(MOD(INDEX(MINVALUES,$Q436,$K$1),1)*100)</f>
        <v>180</v>
      </c>
      <c r="T436">
        <f t="array" ref="T436">(INDEX(INCVALUES,$Q436,$K$1)*100)</f>
        <v>1</v>
      </c>
      <c r="V436">
        <f t="array" ref="V436">+J436+(4*(INDEX(MatchScoreTable,$Q436,20)-1))</f>
        <v>4</v>
      </c>
      <c r="W436">
        <f t="array" ref="W436">INDEX(INC_MINVALUES,$V436,$K$1)</f>
        <v>480</v>
      </c>
      <c r="X436" s="212">
        <f t="array" ref="X436">INDEX(INC_INCVALUES,$V436,$K$1)</f>
        <v>4</v>
      </c>
    </row>
    <row r="437" ht="15.75" customHeight="1">
      <c r="A437" s="435"/>
      <c r="B437" s="436"/>
      <c r="C437" s="95" t="str">
        <f t="array" ref="C437">IF(I437&gt;0,INDEX(DB,I437,8),"")</f>
        <v/>
      </c>
      <c r="D437" s="437">
        <f t="shared" si="1"/>
        <v>0</v>
      </c>
      <c r="F437" s="438">
        <f t="shared" si="2"/>
        <v>0</v>
      </c>
      <c r="G437" t="str">
        <f t="shared" si="3"/>
        <v/>
      </c>
      <c r="H437" t="b">
        <f t="shared" si="4"/>
        <v>0</v>
      </c>
      <c r="I437" s="439">
        <f>IF(OR(ISBLANK(A437),ISNA(MATCH(A437&amp;"",AthleteNumbers,0))),0,MATCH(A437&amp;"",AthleteNumbers,0))</f>
        <v>0</v>
      </c>
      <c r="J437" s="209">
        <f t="array" ref="J437">IF(I437&gt;0,INDEX(DB,$I437,6),0)</f>
        <v>0</v>
      </c>
      <c r="K437" s="446">
        <f t="shared" si="5"/>
        <v>0</v>
      </c>
      <c r="L437" s="440">
        <f t="shared" si="6"/>
        <v>0</v>
      </c>
      <c r="M437" s="441">
        <f>IF(AND(L437&gt;O437,O437&gt;0),MinPoints,IF(AND(L437&lt;N437,O437&gt;0),100,+INT((O437-$L437)/P437)+MinPoints))</f>
        <v>100</v>
      </c>
      <c r="N437" s="440">
        <f t="shared" si="7"/>
        <v>90</v>
      </c>
      <c r="O437" s="440">
        <f t="shared" si="8"/>
        <v>180</v>
      </c>
      <c r="P437" s="440">
        <f t="shared" si="9"/>
        <v>1</v>
      </c>
      <c r="Q437">
        <f t="array" ref="Q437">IF(I437&gt;0,INDEX(DB,I437,9),EventIndex)</f>
        <v>6</v>
      </c>
      <c r="S437">
        <f t="array" ref="S437">(INT(INDEX(MINVALUES,$Q437,$K$1))*60)+(MOD(INDEX(MINVALUES,$Q437,$K$1),1)*100)</f>
        <v>180</v>
      </c>
      <c r="T437">
        <f t="array" ref="T437">(INDEX(INCVALUES,$Q437,$K$1)*100)</f>
        <v>1</v>
      </c>
      <c r="V437">
        <f t="array" ref="V437">+J437+(4*(INDEX(MatchScoreTable,$Q437,20)-1))</f>
        <v>4</v>
      </c>
      <c r="W437">
        <f t="array" ref="W437">INDEX(INC_MINVALUES,$V437,$K$1)</f>
        <v>480</v>
      </c>
      <c r="X437" s="212">
        <f t="array" ref="X437">INDEX(INC_INCVALUES,$V437,$K$1)</f>
        <v>4</v>
      </c>
    </row>
    <row r="438" ht="15.75" customHeight="1">
      <c r="A438" s="435"/>
      <c r="B438" s="436"/>
      <c r="C438" s="95" t="str">
        <f t="array" ref="C438">IF(I438&gt;0,INDEX(DB,I438,8),"")</f>
        <v/>
      </c>
      <c r="D438" s="437">
        <f t="shared" si="1"/>
        <v>0</v>
      </c>
      <c r="F438" s="438">
        <f t="shared" si="2"/>
        <v>0</v>
      </c>
      <c r="G438" t="str">
        <f t="shared" si="3"/>
        <v/>
      </c>
      <c r="H438" t="b">
        <f t="shared" si="4"/>
        <v>0</v>
      </c>
      <c r="I438" s="439">
        <f>IF(OR(ISBLANK(A438),ISNA(MATCH(A438&amp;"",AthleteNumbers,0))),0,MATCH(A438&amp;"",AthleteNumbers,0))</f>
        <v>0</v>
      </c>
      <c r="J438" s="209">
        <f t="array" ref="J438">IF(I438&gt;0,INDEX(DB,$I438,6),0)</f>
        <v>0</v>
      </c>
      <c r="K438" s="446">
        <f t="shared" si="5"/>
        <v>0</v>
      </c>
      <c r="L438" s="440">
        <f t="shared" si="6"/>
        <v>0</v>
      </c>
      <c r="M438" s="441">
        <f>IF(AND(L438&gt;O438,O438&gt;0),MinPoints,IF(AND(L438&lt;N438,O438&gt;0),100,+INT((O438-$L438)/P438)+MinPoints))</f>
        <v>100</v>
      </c>
      <c r="N438" s="440">
        <f t="shared" si="7"/>
        <v>90</v>
      </c>
      <c r="O438" s="440">
        <f t="shared" si="8"/>
        <v>180</v>
      </c>
      <c r="P438" s="440">
        <f t="shared" si="9"/>
        <v>1</v>
      </c>
      <c r="Q438">
        <f t="array" ref="Q438">IF(I438&gt;0,INDEX(DB,I438,9),EventIndex)</f>
        <v>6</v>
      </c>
      <c r="S438">
        <f t="array" ref="S438">(INT(INDEX(MINVALUES,$Q438,$K$1))*60)+(MOD(INDEX(MINVALUES,$Q438,$K$1),1)*100)</f>
        <v>180</v>
      </c>
      <c r="T438">
        <f t="array" ref="T438">(INDEX(INCVALUES,$Q438,$K$1)*100)</f>
        <v>1</v>
      </c>
      <c r="V438">
        <f t="array" ref="V438">+J438+(4*(INDEX(MatchScoreTable,$Q438,20)-1))</f>
        <v>4</v>
      </c>
      <c r="W438">
        <f t="array" ref="W438">INDEX(INC_MINVALUES,$V438,$K$1)</f>
        <v>480</v>
      </c>
      <c r="X438" s="212">
        <f t="array" ref="X438">INDEX(INC_INCVALUES,$V438,$K$1)</f>
        <v>4</v>
      </c>
    </row>
    <row r="439" ht="15.75" customHeight="1">
      <c r="A439" s="435"/>
      <c r="B439" s="436"/>
      <c r="C439" s="95" t="str">
        <f t="array" ref="C439">IF(I439&gt;0,INDEX(DB,I439,8),"")</f>
        <v/>
      </c>
      <c r="D439" s="437">
        <f t="shared" si="1"/>
        <v>0</v>
      </c>
      <c r="F439" s="438">
        <f t="shared" si="2"/>
        <v>0</v>
      </c>
      <c r="G439" t="str">
        <f t="shared" si="3"/>
        <v/>
      </c>
      <c r="H439" t="b">
        <f t="shared" si="4"/>
        <v>0</v>
      </c>
      <c r="I439" s="439">
        <f>IF(OR(ISBLANK(A439),ISNA(MATCH(A439&amp;"",AthleteNumbers,0))),0,MATCH(A439&amp;"",AthleteNumbers,0))</f>
        <v>0</v>
      </c>
      <c r="J439" s="209">
        <f t="array" ref="J439">IF(I439&gt;0,INDEX(DB,$I439,6),0)</f>
        <v>0</v>
      </c>
      <c r="K439" s="446">
        <f t="shared" si="5"/>
        <v>0</v>
      </c>
      <c r="L439" s="440">
        <f t="shared" si="6"/>
        <v>0</v>
      </c>
      <c r="M439" s="441">
        <f>IF(AND(L439&gt;O439,O439&gt;0),MinPoints,IF(AND(L439&lt;N439,O439&gt;0),100,+INT((O439-$L439)/P439)+MinPoints))</f>
        <v>100</v>
      </c>
      <c r="N439" s="440">
        <f t="shared" si="7"/>
        <v>90</v>
      </c>
      <c r="O439" s="440">
        <f t="shared" si="8"/>
        <v>180</v>
      </c>
      <c r="P439" s="440">
        <f t="shared" si="9"/>
        <v>1</v>
      </c>
      <c r="Q439">
        <f t="array" ref="Q439">IF(I439&gt;0,INDEX(DB,I439,9),EventIndex)</f>
        <v>6</v>
      </c>
      <c r="S439">
        <f t="array" ref="S439">(INT(INDEX(MINVALUES,$Q439,$K$1))*60)+(MOD(INDEX(MINVALUES,$Q439,$K$1),1)*100)</f>
        <v>180</v>
      </c>
      <c r="T439">
        <f t="array" ref="T439">(INDEX(INCVALUES,$Q439,$K$1)*100)</f>
        <v>1</v>
      </c>
      <c r="V439">
        <f t="array" ref="V439">+J439+(4*(INDEX(MatchScoreTable,$Q439,20)-1))</f>
        <v>4</v>
      </c>
      <c r="W439">
        <f t="array" ref="W439">INDEX(INC_MINVALUES,$V439,$K$1)</f>
        <v>480</v>
      </c>
      <c r="X439" s="212">
        <f t="array" ref="X439">INDEX(INC_INCVALUES,$V439,$K$1)</f>
        <v>4</v>
      </c>
    </row>
    <row r="440" ht="15.75" customHeight="1">
      <c r="A440" s="435"/>
      <c r="B440" s="436"/>
      <c r="C440" s="95" t="str">
        <f t="array" ref="C440">IF(I440&gt;0,INDEX(DB,I440,8),"")</f>
        <v/>
      </c>
      <c r="D440" s="437">
        <f t="shared" si="1"/>
        <v>0</v>
      </c>
      <c r="F440" s="438">
        <f t="shared" si="2"/>
        <v>0</v>
      </c>
      <c r="G440" t="str">
        <f t="shared" si="3"/>
        <v/>
      </c>
      <c r="H440" t="b">
        <f t="shared" si="4"/>
        <v>0</v>
      </c>
      <c r="I440" s="439">
        <f>IF(OR(ISBLANK(A440),ISNA(MATCH(A440&amp;"",AthleteNumbers,0))),0,MATCH(A440&amp;"",AthleteNumbers,0))</f>
        <v>0</v>
      </c>
      <c r="J440" s="209">
        <f t="array" ref="J440">IF(I440&gt;0,INDEX(DB,$I440,6),0)</f>
        <v>0</v>
      </c>
      <c r="K440" s="446">
        <f t="shared" si="5"/>
        <v>0</v>
      </c>
      <c r="L440" s="440">
        <f t="shared" si="6"/>
        <v>0</v>
      </c>
      <c r="M440" s="441">
        <f>IF(AND(L440&gt;O440,O440&gt;0),MinPoints,IF(AND(L440&lt;N440,O440&gt;0),100,+INT((O440-$L440)/P440)+MinPoints))</f>
        <v>100</v>
      </c>
      <c r="N440" s="440">
        <f t="shared" si="7"/>
        <v>90</v>
      </c>
      <c r="O440" s="440">
        <f t="shared" si="8"/>
        <v>180</v>
      </c>
      <c r="P440" s="440">
        <f t="shared" si="9"/>
        <v>1</v>
      </c>
      <c r="Q440">
        <f t="array" ref="Q440">IF(I440&gt;0,INDEX(DB,I440,9),EventIndex)</f>
        <v>6</v>
      </c>
      <c r="S440">
        <f t="array" ref="S440">(INT(INDEX(MINVALUES,$Q440,$K$1))*60)+(MOD(INDEX(MINVALUES,$Q440,$K$1),1)*100)</f>
        <v>180</v>
      </c>
      <c r="T440">
        <f t="array" ref="T440">(INDEX(INCVALUES,$Q440,$K$1)*100)</f>
        <v>1</v>
      </c>
      <c r="V440">
        <f t="array" ref="V440">+J440+(4*(INDEX(MatchScoreTable,$Q440,20)-1))</f>
        <v>4</v>
      </c>
      <c r="W440">
        <f t="array" ref="W440">INDEX(INC_MINVALUES,$V440,$K$1)</f>
        <v>480</v>
      </c>
      <c r="X440" s="212">
        <f t="array" ref="X440">INDEX(INC_INCVALUES,$V440,$K$1)</f>
        <v>4</v>
      </c>
    </row>
    <row r="441" ht="15.75" customHeight="1">
      <c r="A441" s="435"/>
      <c r="B441" s="436"/>
      <c r="C441" s="95" t="str">
        <f t="array" ref="C441">IF(I441&gt;0,INDEX(DB,I441,8),"")</f>
        <v/>
      </c>
      <c r="D441" s="437">
        <f t="shared" si="1"/>
        <v>0</v>
      </c>
      <c r="F441" s="438">
        <f t="shared" si="2"/>
        <v>0</v>
      </c>
      <c r="G441" t="str">
        <f t="shared" si="3"/>
        <v/>
      </c>
      <c r="H441" t="b">
        <f t="shared" si="4"/>
        <v>0</v>
      </c>
      <c r="I441" s="439">
        <f>IF(OR(ISBLANK(A441),ISNA(MATCH(A441&amp;"",AthleteNumbers,0))),0,MATCH(A441&amp;"",AthleteNumbers,0))</f>
        <v>0</v>
      </c>
      <c r="J441" s="209">
        <f t="array" ref="J441">IF(I441&gt;0,INDEX(DB,$I441,6),0)</f>
        <v>0</v>
      </c>
      <c r="K441" s="446">
        <f t="shared" si="5"/>
        <v>0</v>
      </c>
      <c r="L441" s="440">
        <f t="shared" si="6"/>
        <v>0</v>
      </c>
      <c r="M441" s="441">
        <f>IF(AND(L441&gt;O441,O441&gt;0),MinPoints,IF(AND(L441&lt;N441,O441&gt;0),100,+INT((O441-$L441)/P441)+MinPoints))</f>
        <v>100</v>
      </c>
      <c r="N441" s="440">
        <f t="shared" si="7"/>
        <v>90</v>
      </c>
      <c r="O441" s="440">
        <f t="shared" si="8"/>
        <v>180</v>
      </c>
      <c r="P441" s="440">
        <f t="shared" si="9"/>
        <v>1</v>
      </c>
      <c r="Q441">
        <f t="array" ref="Q441">IF(I441&gt;0,INDEX(DB,I441,9),EventIndex)</f>
        <v>6</v>
      </c>
      <c r="S441">
        <f t="array" ref="S441">(INT(INDEX(MINVALUES,$Q441,$K$1))*60)+(MOD(INDEX(MINVALUES,$Q441,$K$1),1)*100)</f>
        <v>180</v>
      </c>
      <c r="T441">
        <f t="array" ref="T441">(INDEX(INCVALUES,$Q441,$K$1)*100)</f>
        <v>1</v>
      </c>
      <c r="V441">
        <f t="array" ref="V441">+J441+(4*(INDEX(MatchScoreTable,$Q441,20)-1))</f>
        <v>4</v>
      </c>
      <c r="W441">
        <f t="array" ref="W441">INDEX(INC_MINVALUES,$V441,$K$1)</f>
        <v>480</v>
      </c>
      <c r="X441" s="212">
        <f t="array" ref="X441">INDEX(INC_INCVALUES,$V441,$K$1)</f>
        <v>4</v>
      </c>
    </row>
    <row r="442" ht="15.75" customHeight="1">
      <c r="A442" s="435"/>
      <c r="B442" s="436"/>
      <c r="C442" s="95" t="str">
        <f t="array" ref="C442">IF(I442&gt;0,INDEX(DB,I442,8),"")</f>
        <v/>
      </c>
      <c r="D442" s="437">
        <f t="shared" si="1"/>
        <v>0</v>
      </c>
      <c r="F442" s="438">
        <f t="shared" si="2"/>
        <v>0</v>
      </c>
      <c r="G442" t="str">
        <f t="shared" si="3"/>
        <v/>
      </c>
      <c r="H442" t="b">
        <f t="shared" si="4"/>
        <v>0</v>
      </c>
      <c r="I442" s="439">
        <f>IF(OR(ISBLANK(A442),ISNA(MATCH(A442&amp;"",AthleteNumbers,0))),0,MATCH(A442&amp;"",AthleteNumbers,0))</f>
        <v>0</v>
      </c>
      <c r="J442" s="209">
        <f t="array" ref="J442">IF(I442&gt;0,INDEX(DB,$I442,6),0)</f>
        <v>0</v>
      </c>
      <c r="K442" s="446">
        <f t="shared" si="5"/>
        <v>0</v>
      </c>
      <c r="L442" s="440">
        <f t="shared" si="6"/>
        <v>0</v>
      </c>
      <c r="M442" s="441">
        <f>IF(AND(L442&gt;O442,O442&gt;0),MinPoints,IF(AND(L442&lt;N442,O442&gt;0),100,+INT((O442-$L442)/P442)+MinPoints))</f>
        <v>100</v>
      </c>
      <c r="N442" s="440">
        <f t="shared" si="7"/>
        <v>90</v>
      </c>
      <c r="O442" s="440">
        <f t="shared" si="8"/>
        <v>180</v>
      </c>
      <c r="P442" s="440">
        <f t="shared" si="9"/>
        <v>1</v>
      </c>
      <c r="Q442">
        <f t="array" ref="Q442">IF(I442&gt;0,INDEX(DB,I442,9),EventIndex)</f>
        <v>6</v>
      </c>
      <c r="S442">
        <f t="array" ref="S442">(INT(INDEX(MINVALUES,$Q442,$K$1))*60)+(MOD(INDEX(MINVALUES,$Q442,$K$1),1)*100)</f>
        <v>180</v>
      </c>
      <c r="T442">
        <f t="array" ref="T442">(INDEX(INCVALUES,$Q442,$K$1)*100)</f>
        <v>1</v>
      </c>
      <c r="V442">
        <f t="array" ref="V442">+J442+(4*(INDEX(MatchScoreTable,$Q442,20)-1))</f>
        <v>4</v>
      </c>
      <c r="W442">
        <f t="array" ref="W442">INDEX(INC_MINVALUES,$V442,$K$1)</f>
        <v>480</v>
      </c>
      <c r="X442" s="212">
        <f t="array" ref="X442">INDEX(INC_INCVALUES,$V442,$K$1)</f>
        <v>4</v>
      </c>
    </row>
    <row r="443" ht="15.75" customHeight="1">
      <c r="A443" s="435"/>
      <c r="B443" s="436"/>
      <c r="C443" s="95" t="str">
        <f t="array" ref="C443">IF(I443&gt;0,INDEX(DB,I443,8),"")</f>
        <v/>
      </c>
      <c r="D443" s="437">
        <f t="shared" si="1"/>
        <v>0</v>
      </c>
      <c r="F443" s="438">
        <f t="shared" si="2"/>
        <v>0</v>
      </c>
      <c r="G443" t="str">
        <f t="shared" si="3"/>
        <v/>
      </c>
      <c r="H443" t="b">
        <f t="shared" si="4"/>
        <v>0</v>
      </c>
      <c r="I443" s="439">
        <f>IF(OR(ISBLANK(A443),ISNA(MATCH(A443&amp;"",AthleteNumbers,0))),0,MATCH(A443&amp;"",AthleteNumbers,0))</f>
        <v>0</v>
      </c>
      <c r="J443" s="209">
        <f t="array" ref="J443">IF(I443&gt;0,INDEX(DB,$I443,6),0)</f>
        <v>0</v>
      </c>
      <c r="K443" s="446">
        <f t="shared" si="5"/>
        <v>0</v>
      </c>
      <c r="L443" s="440">
        <f t="shared" si="6"/>
        <v>0</v>
      </c>
      <c r="M443" s="441">
        <f>IF(AND(L443&gt;O443,O443&gt;0),MinPoints,IF(AND(L443&lt;N443,O443&gt;0),100,+INT((O443-$L443)/P443)+MinPoints))</f>
        <v>100</v>
      </c>
      <c r="N443" s="440">
        <f t="shared" si="7"/>
        <v>90</v>
      </c>
      <c r="O443" s="440">
        <f t="shared" si="8"/>
        <v>180</v>
      </c>
      <c r="P443" s="440">
        <f t="shared" si="9"/>
        <v>1</v>
      </c>
      <c r="Q443">
        <f t="array" ref="Q443">IF(I443&gt;0,INDEX(DB,I443,9),EventIndex)</f>
        <v>6</v>
      </c>
      <c r="S443">
        <f t="array" ref="S443">(INT(INDEX(MINVALUES,$Q443,$K$1))*60)+(MOD(INDEX(MINVALUES,$Q443,$K$1),1)*100)</f>
        <v>180</v>
      </c>
      <c r="T443">
        <f t="array" ref="T443">(INDEX(INCVALUES,$Q443,$K$1)*100)</f>
        <v>1</v>
      </c>
      <c r="V443">
        <f t="array" ref="V443">+J443+(4*(INDEX(MatchScoreTable,$Q443,20)-1))</f>
        <v>4</v>
      </c>
      <c r="W443">
        <f t="array" ref="W443">INDEX(INC_MINVALUES,$V443,$K$1)</f>
        <v>480</v>
      </c>
      <c r="X443" s="212">
        <f t="array" ref="X443">INDEX(INC_INCVALUES,$V443,$K$1)</f>
        <v>4</v>
      </c>
    </row>
    <row r="444" ht="15.75" customHeight="1">
      <c r="A444" s="435"/>
      <c r="B444" s="436"/>
      <c r="C444" s="95" t="str">
        <f t="array" ref="C444">IF(I444&gt;0,INDEX(DB,I444,8),"")</f>
        <v/>
      </c>
      <c r="D444" s="437">
        <f t="shared" si="1"/>
        <v>0</v>
      </c>
      <c r="F444" s="438">
        <f t="shared" si="2"/>
        <v>0</v>
      </c>
      <c r="G444" t="str">
        <f t="shared" si="3"/>
        <v/>
      </c>
      <c r="H444" t="b">
        <f t="shared" si="4"/>
        <v>0</v>
      </c>
      <c r="I444" s="439">
        <f>IF(OR(ISBLANK(A444),ISNA(MATCH(A444&amp;"",AthleteNumbers,0))),0,MATCH(A444&amp;"",AthleteNumbers,0))</f>
        <v>0</v>
      </c>
      <c r="J444" s="209">
        <f t="array" ref="J444">IF(I444&gt;0,INDEX(DB,$I444,6),0)</f>
        <v>0</v>
      </c>
      <c r="K444" s="446">
        <f t="shared" si="5"/>
        <v>0</v>
      </c>
      <c r="L444" s="440">
        <f t="shared" si="6"/>
        <v>0</v>
      </c>
      <c r="M444" s="441">
        <f>IF(AND(L444&gt;O444,O444&gt;0),MinPoints,IF(AND(L444&lt;N444,O444&gt;0),100,+INT((O444-$L444)/P444)+MinPoints))</f>
        <v>100</v>
      </c>
      <c r="N444" s="440">
        <f t="shared" si="7"/>
        <v>90</v>
      </c>
      <c r="O444" s="440">
        <f t="shared" si="8"/>
        <v>180</v>
      </c>
      <c r="P444" s="440">
        <f t="shared" si="9"/>
        <v>1</v>
      </c>
      <c r="Q444">
        <f t="array" ref="Q444">IF(I444&gt;0,INDEX(DB,I444,9),EventIndex)</f>
        <v>6</v>
      </c>
      <c r="S444">
        <f t="array" ref="S444">(INT(INDEX(MINVALUES,$Q444,$K$1))*60)+(MOD(INDEX(MINVALUES,$Q444,$K$1),1)*100)</f>
        <v>180</v>
      </c>
      <c r="T444">
        <f t="array" ref="T444">(INDEX(INCVALUES,$Q444,$K$1)*100)</f>
        <v>1</v>
      </c>
      <c r="V444">
        <f t="array" ref="V444">+J444+(4*(INDEX(MatchScoreTable,$Q444,20)-1))</f>
        <v>4</v>
      </c>
      <c r="W444">
        <f t="array" ref="W444">INDEX(INC_MINVALUES,$V444,$K$1)</f>
        <v>480</v>
      </c>
      <c r="X444" s="212">
        <f t="array" ref="X444">INDEX(INC_INCVALUES,$V444,$K$1)</f>
        <v>4</v>
      </c>
    </row>
    <row r="445" ht="15.75" customHeight="1">
      <c r="A445" s="435"/>
      <c r="B445" s="436"/>
      <c r="C445" s="95" t="str">
        <f t="array" ref="C445">IF(I445&gt;0,INDEX(DB,I445,8),"")</f>
        <v/>
      </c>
      <c r="D445" s="437">
        <f t="shared" si="1"/>
        <v>0</v>
      </c>
      <c r="F445" s="438">
        <f t="shared" si="2"/>
        <v>0</v>
      </c>
      <c r="G445" t="str">
        <f t="shared" si="3"/>
        <v/>
      </c>
      <c r="H445" t="b">
        <f t="shared" si="4"/>
        <v>0</v>
      </c>
      <c r="I445" s="439">
        <f>IF(OR(ISBLANK(A445),ISNA(MATCH(A445&amp;"",AthleteNumbers,0))),0,MATCH(A445&amp;"",AthleteNumbers,0))</f>
        <v>0</v>
      </c>
      <c r="J445" s="209">
        <f t="array" ref="J445">IF(I445&gt;0,INDEX(DB,$I445,6),0)</f>
        <v>0</v>
      </c>
      <c r="K445" s="446">
        <f t="shared" si="5"/>
        <v>0</v>
      </c>
      <c r="L445" s="440">
        <f t="shared" si="6"/>
        <v>0</v>
      </c>
      <c r="M445" s="441">
        <f>IF(AND(L445&gt;O445,O445&gt;0),MinPoints,IF(AND(L445&lt;N445,O445&gt;0),100,+INT((O445-$L445)/P445)+MinPoints))</f>
        <v>100</v>
      </c>
      <c r="N445" s="440">
        <f t="shared" si="7"/>
        <v>90</v>
      </c>
      <c r="O445" s="440">
        <f t="shared" si="8"/>
        <v>180</v>
      </c>
      <c r="P445" s="440">
        <f t="shared" si="9"/>
        <v>1</v>
      </c>
      <c r="Q445">
        <f t="array" ref="Q445">IF(I445&gt;0,INDEX(DB,I445,9),EventIndex)</f>
        <v>6</v>
      </c>
      <c r="S445">
        <f t="array" ref="S445">(INT(INDEX(MINVALUES,$Q445,$K$1))*60)+(MOD(INDEX(MINVALUES,$Q445,$K$1),1)*100)</f>
        <v>180</v>
      </c>
      <c r="T445">
        <f t="array" ref="T445">(INDEX(INCVALUES,$Q445,$K$1)*100)</f>
        <v>1</v>
      </c>
      <c r="V445">
        <f t="array" ref="V445">+J445+(4*(INDEX(MatchScoreTable,$Q445,20)-1))</f>
        <v>4</v>
      </c>
      <c r="W445">
        <f t="array" ref="W445">INDEX(INC_MINVALUES,$V445,$K$1)</f>
        <v>480</v>
      </c>
      <c r="X445" s="212">
        <f t="array" ref="X445">INDEX(INC_INCVALUES,$V445,$K$1)</f>
        <v>4</v>
      </c>
    </row>
    <row r="446" ht="15.75" customHeight="1">
      <c r="A446" s="435"/>
      <c r="B446" s="436"/>
      <c r="C446" s="95" t="str">
        <f t="array" ref="C446">IF(I446&gt;0,INDEX(DB,I446,8),"")</f>
        <v/>
      </c>
      <c r="D446" s="437">
        <f t="shared" si="1"/>
        <v>0</v>
      </c>
      <c r="F446" s="438">
        <f t="shared" si="2"/>
        <v>0</v>
      </c>
      <c r="G446" t="str">
        <f t="shared" si="3"/>
        <v/>
      </c>
      <c r="H446" t="b">
        <f t="shared" si="4"/>
        <v>0</v>
      </c>
      <c r="I446" s="439">
        <f>IF(OR(ISBLANK(A446),ISNA(MATCH(A446&amp;"",AthleteNumbers,0))),0,MATCH(A446&amp;"",AthleteNumbers,0))</f>
        <v>0</v>
      </c>
      <c r="J446" s="209">
        <f t="array" ref="J446">IF(I446&gt;0,INDEX(DB,$I446,6),0)</f>
        <v>0</v>
      </c>
      <c r="K446" s="446">
        <f t="shared" si="5"/>
        <v>0</v>
      </c>
      <c r="L446" s="440">
        <f t="shared" si="6"/>
        <v>0</v>
      </c>
      <c r="M446" s="441">
        <f>IF(AND(L446&gt;O446,O446&gt;0),MinPoints,IF(AND(L446&lt;N446,O446&gt;0),100,+INT((O446-$L446)/P446)+MinPoints))</f>
        <v>100</v>
      </c>
      <c r="N446" s="440">
        <f t="shared" si="7"/>
        <v>90</v>
      </c>
      <c r="O446" s="440">
        <f t="shared" si="8"/>
        <v>180</v>
      </c>
      <c r="P446" s="440">
        <f t="shared" si="9"/>
        <v>1</v>
      </c>
      <c r="Q446">
        <f t="array" ref="Q446">IF(I446&gt;0,INDEX(DB,I446,9),EventIndex)</f>
        <v>6</v>
      </c>
      <c r="S446">
        <f t="array" ref="S446">(INT(INDEX(MINVALUES,$Q446,$K$1))*60)+(MOD(INDEX(MINVALUES,$Q446,$K$1),1)*100)</f>
        <v>180</v>
      </c>
      <c r="T446">
        <f t="array" ref="T446">(INDEX(INCVALUES,$Q446,$K$1)*100)</f>
        <v>1</v>
      </c>
      <c r="V446">
        <f t="array" ref="V446">+J446+(4*(INDEX(MatchScoreTable,$Q446,20)-1))</f>
        <v>4</v>
      </c>
      <c r="W446">
        <f t="array" ref="W446">INDEX(INC_MINVALUES,$V446,$K$1)</f>
        <v>480</v>
      </c>
      <c r="X446" s="212">
        <f t="array" ref="X446">INDEX(INC_INCVALUES,$V446,$K$1)</f>
        <v>4</v>
      </c>
    </row>
    <row r="447" ht="15.75" customHeight="1">
      <c r="A447" s="435"/>
      <c r="B447" s="436"/>
      <c r="C447" s="95" t="str">
        <f t="array" ref="C447">IF(I447&gt;0,INDEX(DB,I447,8),"")</f>
        <v/>
      </c>
      <c r="D447" s="437">
        <f t="shared" si="1"/>
        <v>0</v>
      </c>
      <c r="F447" s="438">
        <f t="shared" si="2"/>
        <v>0</v>
      </c>
      <c r="G447" t="str">
        <f t="shared" si="3"/>
        <v/>
      </c>
      <c r="H447" t="b">
        <f t="shared" si="4"/>
        <v>0</v>
      </c>
      <c r="I447" s="439">
        <f>IF(OR(ISBLANK(A447),ISNA(MATCH(A447&amp;"",AthleteNumbers,0))),0,MATCH(A447&amp;"",AthleteNumbers,0))</f>
        <v>0</v>
      </c>
      <c r="J447" s="209">
        <f t="array" ref="J447">IF(I447&gt;0,INDEX(DB,$I447,6),0)</f>
        <v>0</v>
      </c>
      <c r="K447" s="446">
        <f t="shared" si="5"/>
        <v>0</v>
      </c>
      <c r="L447" s="440">
        <f t="shared" si="6"/>
        <v>0</v>
      </c>
      <c r="M447" s="441">
        <f>IF(AND(L447&gt;O447,O447&gt;0),MinPoints,IF(AND(L447&lt;N447,O447&gt;0),100,+INT((O447-$L447)/P447)+MinPoints))</f>
        <v>100</v>
      </c>
      <c r="N447" s="440">
        <f t="shared" si="7"/>
        <v>90</v>
      </c>
      <c r="O447" s="440">
        <f t="shared" si="8"/>
        <v>180</v>
      </c>
      <c r="P447" s="440">
        <f t="shared" si="9"/>
        <v>1</v>
      </c>
      <c r="Q447">
        <f t="array" ref="Q447">IF(I447&gt;0,INDEX(DB,I447,9),EventIndex)</f>
        <v>6</v>
      </c>
      <c r="S447">
        <f t="array" ref="S447">(INT(INDEX(MINVALUES,$Q447,$K$1))*60)+(MOD(INDEX(MINVALUES,$Q447,$K$1),1)*100)</f>
        <v>180</v>
      </c>
      <c r="T447">
        <f t="array" ref="T447">(INDEX(INCVALUES,$Q447,$K$1)*100)</f>
        <v>1</v>
      </c>
      <c r="V447">
        <f t="array" ref="V447">+J447+(4*(INDEX(MatchScoreTable,$Q447,20)-1))</f>
        <v>4</v>
      </c>
      <c r="W447">
        <f t="array" ref="W447">INDEX(INC_MINVALUES,$V447,$K$1)</f>
        <v>480</v>
      </c>
      <c r="X447" s="212">
        <f t="array" ref="X447">INDEX(INC_INCVALUES,$V447,$K$1)</f>
        <v>4</v>
      </c>
    </row>
    <row r="448" ht="15.75" customHeight="1">
      <c r="A448" s="435"/>
      <c r="B448" s="436"/>
      <c r="C448" s="95" t="str">
        <f t="array" ref="C448">IF(I448&gt;0,INDEX(DB,I448,8),"")</f>
        <v/>
      </c>
      <c r="D448" s="437">
        <f t="shared" si="1"/>
        <v>0</v>
      </c>
      <c r="F448" s="438">
        <f t="shared" si="2"/>
        <v>0</v>
      </c>
      <c r="G448" t="str">
        <f t="shared" si="3"/>
        <v/>
      </c>
      <c r="H448" t="b">
        <f t="shared" si="4"/>
        <v>0</v>
      </c>
      <c r="I448" s="439">
        <f>IF(OR(ISBLANK(A448),ISNA(MATCH(A448&amp;"",AthleteNumbers,0))),0,MATCH(A448&amp;"",AthleteNumbers,0))</f>
        <v>0</v>
      </c>
      <c r="J448" s="209">
        <f t="array" ref="J448">IF(I448&gt;0,INDEX(DB,$I448,6),0)</f>
        <v>0</v>
      </c>
      <c r="K448" s="446">
        <f t="shared" si="5"/>
        <v>0</v>
      </c>
      <c r="L448" s="440">
        <f t="shared" si="6"/>
        <v>0</v>
      </c>
      <c r="M448" s="441">
        <f>IF(AND(L448&gt;O448,O448&gt;0),MinPoints,IF(AND(L448&lt;N448,O448&gt;0),100,+INT((O448-$L448)/P448)+MinPoints))</f>
        <v>100</v>
      </c>
      <c r="N448" s="440">
        <f t="shared" si="7"/>
        <v>90</v>
      </c>
      <c r="O448" s="440">
        <f t="shared" si="8"/>
        <v>180</v>
      </c>
      <c r="P448" s="440">
        <f t="shared" si="9"/>
        <v>1</v>
      </c>
      <c r="Q448">
        <f t="array" ref="Q448">IF(I448&gt;0,INDEX(DB,I448,9),EventIndex)</f>
        <v>6</v>
      </c>
      <c r="S448">
        <f t="array" ref="S448">(INT(INDEX(MINVALUES,$Q448,$K$1))*60)+(MOD(INDEX(MINVALUES,$Q448,$K$1),1)*100)</f>
        <v>180</v>
      </c>
      <c r="T448">
        <f t="array" ref="T448">(INDEX(INCVALUES,$Q448,$K$1)*100)</f>
        <v>1</v>
      </c>
      <c r="V448">
        <f t="array" ref="V448">+J448+(4*(INDEX(MatchScoreTable,$Q448,20)-1))</f>
        <v>4</v>
      </c>
      <c r="W448">
        <f t="array" ref="W448">INDEX(INC_MINVALUES,$V448,$K$1)</f>
        <v>480</v>
      </c>
      <c r="X448" s="212">
        <f t="array" ref="X448">INDEX(INC_INCVALUES,$V448,$K$1)</f>
        <v>4</v>
      </c>
    </row>
    <row r="449" ht="15.75" customHeight="1">
      <c r="A449" s="435"/>
      <c r="B449" s="436"/>
      <c r="C449" s="95" t="str">
        <f t="array" ref="C449">IF(I449&gt;0,INDEX(DB,I449,8),"")</f>
        <v/>
      </c>
      <c r="D449" s="437">
        <f t="shared" si="1"/>
        <v>0</v>
      </c>
      <c r="F449" s="438">
        <f t="shared" si="2"/>
        <v>0</v>
      </c>
      <c r="G449" t="str">
        <f t="shared" si="3"/>
        <v/>
      </c>
      <c r="H449" t="b">
        <f t="shared" si="4"/>
        <v>0</v>
      </c>
      <c r="I449" s="439">
        <f>IF(OR(ISBLANK(A449),ISNA(MATCH(A449&amp;"",AthleteNumbers,0))),0,MATCH(A449&amp;"",AthleteNumbers,0))</f>
        <v>0</v>
      </c>
      <c r="J449" s="209">
        <f t="array" ref="J449">IF(I449&gt;0,INDEX(DB,$I449,6),0)</f>
        <v>0</v>
      </c>
      <c r="K449" s="446">
        <f t="shared" si="5"/>
        <v>0</v>
      </c>
      <c r="L449" s="440">
        <f t="shared" si="6"/>
        <v>0</v>
      </c>
      <c r="M449" s="441">
        <f>IF(AND(L449&gt;O449,O449&gt;0),MinPoints,IF(AND(L449&lt;N449,O449&gt;0),100,+INT((O449-$L449)/P449)+MinPoints))</f>
        <v>100</v>
      </c>
      <c r="N449" s="440">
        <f t="shared" si="7"/>
        <v>90</v>
      </c>
      <c r="O449" s="440">
        <f t="shared" si="8"/>
        <v>180</v>
      </c>
      <c r="P449" s="440">
        <f t="shared" si="9"/>
        <v>1</v>
      </c>
      <c r="Q449">
        <f t="array" ref="Q449">IF(I449&gt;0,INDEX(DB,I449,9),EventIndex)</f>
        <v>6</v>
      </c>
      <c r="S449">
        <f t="array" ref="S449">(INT(INDEX(MINVALUES,$Q449,$K$1))*60)+(MOD(INDEX(MINVALUES,$Q449,$K$1),1)*100)</f>
        <v>180</v>
      </c>
      <c r="T449">
        <f t="array" ref="T449">(INDEX(INCVALUES,$Q449,$K$1)*100)</f>
        <v>1</v>
      </c>
      <c r="V449">
        <f t="array" ref="V449">+J449+(4*(INDEX(MatchScoreTable,$Q449,20)-1))</f>
        <v>4</v>
      </c>
      <c r="W449">
        <f t="array" ref="W449">INDEX(INC_MINVALUES,$V449,$K$1)</f>
        <v>480</v>
      </c>
      <c r="X449" s="212">
        <f t="array" ref="X449">INDEX(INC_INCVALUES,$V449,$K$1)</f>
        <v>4</v>
      </c>
    </row>
    <row r="450" ht="15.75" customHeight="1">
      <c r="A450" s="435"/>
      <c r="B450" s="436"/>
      <c r="C450" s="95" t="str">
        <f t="array" ref="C450">IF(I450&gt;0,INDEX(DB,I450,8),"")</f>
        <v/>
      </c>
      <c r="D450" s="437">
        <f t="shared" si="1"/>
        <v>0</v>
      </c>
      <c r="F450" s="438">
        <f t="shared" si="2"/>
        <v>0</v>
      </c>
      <c r="G450" t="str">
        <f t="shared" si="3"/>
        <v/>
      </c>
      <c r="H450" t="b">
        <f t="shared" si="4"/>
        <v>0</v>
      </c>
      <c r="I450" s="439">
        <f>IF(OR(ISBLANK(A450),ISNA(MATCH(A450&amp;"",AthleteNumbers,0))),0,MATCH(A450&amp;"",AthleteNumbers,0))</f>
        <v>0</v>
      </c>
      <c r="J450" s="209">
        <f t="array" ref="J450">IF(I450&gt;0,INDEX(DB,$I450,6),0)</f>
        <v>0</v>
      </c>
      <c r="K450" s="446">
        <f t="shared" si="5"/>
        <v>0</v>
      </c>
      <c r="L450" s="440">
        <f t="shared" si="6"/>
        <v>0</v>
      </c>
      <c r="M450" s="441">
        <f>IF(AND(L450&gt;O450,O450&gt;0),MinPoints,IF(AND(L450&lt;N450,O450&gt;0),100,+INT((O450-$L450)/P450)+MinPoints))</f>
        <v>100</v>
      </c>
      <c r="N450" s="440">
        <f t="shared" si="7"/>
        <v>90</v>
      </c>
      <c r="O450" s="440">
        <f t="shared" si="8"/>
        <v>180</v>
      </c>
      <c r="P450" s="440">
        <f t="shared" si="9"/>
        <v>1</v>
      </c>
      <c r="Q450">
        <f t="array" ref="Q450">IF(I450&gt;0,INDEX(DB,I450,9),EventIndex)</f>
        <v>6</v>
      </c>
      <c r="S450">
        <f t="array" ref="S450">(INT(INDEX(MINVALUES,$Q450,$K$1))*60)+(MOD(INDEX(MINVALUES,$Q450,$K$1),1)*100)</f>
        <v>180</v>
      </c>
      <c r="T450">
        <f t="array" ref="T450">(INDEX(INCVALUES,$Q450,$K$1)*100)</f>
        <v>1</v>
      </c>
      <c r="V450">
        <f t="array" ref="V450">+J450+(4*(INDEX(MatchScoreTable,$Q450,20)-1))</f>
        <v>4</v>
      </c>
      <c r="W450">
        <f t="array" ref="W450">INDEX(INC_MINVALUES,$V450,$K$1)</f>
        <v>480</v>
      </c>
      <c r="X450" s="212">
        <f t="array" ref="X450">INDEX(INC_INCVALUES,$V450,$K$1)</f>
        <v>4</v>
      </c>
    </row>
    <row r="451" ht="15.75" customHeight="1">
      <c r="A451" s="435"/>
      <c r="B451" s="436"/>
      <c r="C451" s="95" t="str">
        <f t="array" ref="C451">IF(I451&gt;0,INDEX(DB,I451,8),"")</f>
        <v/>
      </c>
      <c r="D451" s="437">
        <f t="shared" si="1"/>
        <v>0</v>
      </c>
      <c r="F451" s="438">
        <f t="shared" si="2"/>
        <v>0</v>
      </c>
      <c r="G451" t="str">
        <f t="shared" si="3"/>
        <v/>
      </c>
      <c r="H451" t="b">
        <f t="shared" si="4"/>
        <v>0</v>
      </c>
      <c r="I451" s="439">
        <f>IF(OR(ISBLANK(A451),ISNA(MATCH(A451&amp;"",AthleteNumbers,0))),0,MATCH(A451&amp;"",AthleteNumbers,0))</f>
        <v>0</v>
      </c>
      <c r="J451" s="209">
        <f t="array" ref="J451">IF(I451&gt;0,INDEX(DB,$I451,6),0)</f>
        <v>0</v>
      </c>
      <c r="K451" s="446">
        <f t="shared" si="5"/>
        <v>0</v>
      </c>
      <c r="L451" s="440">
        <f t="shared" si="6"/>
        <v>0</v>
      </c>
      <c r="M451" s="441">
        <f>IF(AND(L451&gt;O451,O451&gt;0),MinPoints,IF(AND(L451&lt;N451,O451&gt;0),100,+INT((O451-$L451)/P451)+MinPoints))</f>
        <v>100</v>
      </c>
      <c r="N451" s="440">
        <f t="shared" si="7"/>
        <v>90</v>
      </c>
      <c r="O451" s="440">
        <f t="shared" si="8"/>
        <v>180</v>
      </c>
      <c r="P451" s="440">
        <f t="shared" si="9"/>
        <v>1</v>
      </c>
      <c r="Q451">
        <f t="array" ref="Q451">IF(I451&gt;0,INDEX(DB,I451,9),EventIndex)</f>
        <v>6</v>
      </c>
      <c r="S451">
        <f t="array" ref="S451">(INT(INDEX(MINVALUES,$Q451,$K$1))*60)+(MOD(INDEX(MINVALUES,$Q451,$K$1),1)*100)</f>
        <v>180</v>
      </c>
      <c r="T451">
        <f t="array" ref="T451">(INDEX(INCVALUES,$Q451,$K$1)*100)</f>
        <v>1</v>
      </c>
      <c r="V451">
        <f t="array" ref="V451">+J451+(4*(INDEX(MatchScoreTable,$Q451,20)-1))</f>
        <v>4</v>
      </c>
      <c r="W451">
        <f t="array" ref="W451">INDEX(INC_MINVALUES,$V451,$K$1)</f>
        <v>480</v>
      </c>
      <c r="X451" s="212">
        <f t="array" ref="X451">INDEX(INC_INCVALUES,$V451,$K$1)</f>
        <v>4</v>
      </c>
    </row>
    <row r="452" ht="15.75" customHeight="1">
      <c r="A452" s="435"/>
      <c r="B452" s="436"/>
      <c r="C452" s="95" t="str">
        <f t="array" ref="C452">IF(I452&gt;0,INDEX(DB,I452,8),"")</f>
        <v/>
      </c>
      <c r="D452" s="437">
        <f t="shared" si="1"/>
        <v>0</v>
      </c>
      <c r="F452" s="438">
        <f t="shared" si="2"/>
        <v>0</v>
      </c>
      <c r="G452" t="str">
        <f t="shared" si="3"/>
        <v/>
      </c>
      <c r="H452" t="b">
        <f t="shared" si="4"/>
        <v>0</v>
      </c>
      <c r="I452" s="439">
        <f>IF(OR(ISBLANK(A452),ISNA(MATCH(A452&amp;"",AthleteNumbers,0))),0,MATCH(A452&amp;"",AthleteNumbers,0))</f>
        <v>0</v>
      </c>
      <c r="J452" s="209">
        <f t="array" ref="J452">IF(I452&gt;0,INDEX(DB,$I452,6),0)</f>
        <v>0</v>
      </c>
      <c r="K452" s="446">
        <f t="shared" si="5"/>
        <v>0</v>
      </c>
      <c r="L452" s="440">
        <f t="shared" si="6"/>
        <v>0</v>
      </c>
      <c r="M452" s="441">
        <f>IF(AND(L452&gt;O452,O452&gt;0),MinPoints,IF(AND(L452&lt;N452,O452&gt;0),100,+INT((O452-$L452)/P452)+MinPoints))</f>
        <v>100</v>
      </c>
      <c r="N452" s="440">
        <f t="shared" si="7"/>
        <v>90</v>
      </c>
      <c r="O452" s="440">
        <f t="shared" si="8"/>
        <v>180</v>
      </c>
      <c r="P452" s="440">
        <f t="shared" si="9"/>
        <v>1</v>
      </c>
      <c r="Q452">
        <f t="array" ref="Q452">IF(I452&gt;0,INDEX(DB,I452,9),EventIndex)</f>
        <v>6</v>
      </c>
      <c r="S452">
        <f t="array" ref="S452">(INT(INDEX(MINVALUES,$Q452,$K$1))*60)+(MOD(INDEX(MINVALUES,$Q452,$K$1),1)*100)</f>
        <v>180</v>
      </c>
      <c r="T452">
        <f t="array" ref="T452">(INDEX(INCVALUES,$Q452,$K$1)*100)</f>
        <v>1</v>
      </c>
      <c r="V452">
        <f t="array" ref="V452">+J452+(4*(INDEX(MatchScoreTable,$Q452,20)-1))</f>
        <v>4</v>
      </c>
      <c r="W452">
        <f t="array" ref="W452">INDEX(INC_MINVALUES,$V452,$K$1)</f>
        <v>480</v>
      </c>
      <c r="X452" s="212">
        <f t="array" ref="X452">INDEX(INC_INCVALUES,$V452,$K$1)</f>
        <v>4</v>
      </c>
    </row>
    <row r="453" ht="15.75" customHeight="1">
      <c r="A453" s="435"/>
      <c r="B453" s="436"/>
      <c r="C453" s="95" t="str">
        <f t="array" ref="C453">IF(I453&gt;0,INDEX(DB,I453,8),"")</f>
        <v/>
      </c>
      <c r="D453" s="437">
        <f t="shared" si="1"/>
        <v>0</v>
      </c>
      <c r="F453" s="438">
        <f t="shared" si="2"/>
        <v>0</v>
      </c>
      <c r="G453" t="str">
        <f t="shared" si="3"/>
        <v/>
      </c>
      <c r="H453" t="b">
        <f t="shared" si="4"/>
        <v>0</v>
      </c>
      <c r="I453" s="439">
        <f>IF(OR(ISBLANK(A453),ISNA(MATCH(A453&amp;"",AthleteNumbers,0))),0,MATCH(A453&amp;"",AthleteNumbers,0))</f>
        <v>0</v>
      </c>
      <c r="J453" s="209">
        <f t="array" ref="J453">IF(I453&gt;0,INDEX(DB,$I453,6),0)</f>
        <v>0</v>
      </c>
      <c r="K453" s="446">
        <f t="shared" si="5"/>
        <v>0</v>
      </c>
      <c r="L453" s="440">
        <f t="shared" si="6"/>
        <v>0</v>
      </c>
      <c r="M453" s="441">
        <f>IF(AND(L453&gt;O453,O453&gt;0),MinPoints,IF(AND(L453&lt;N453,O453&gt;0),100,+INT((O453-$L453)/P453)+MinPoints))</f>
        <v>100</v>
      </c>
      <c r="N453" s="440">
        <f t="shared" si="7"/>
        <v>90</v>
      </c>
      <c r="O453" s="440">
        <f t="shared" si="8"/>
        <v>180</v>
      </c>
      <c r="P453" s="440">
        <f t="shared" si="9"/>
        <v>1</v>
      </c>
      <c r="Q453">
        <f t="array" ref="Q453">IF(I453&gt;0,INDEX(DB,I453,9),EventIndex)</f>
        <v>6</v>
      </c>
      <c r="S453">
        <f t="array" ref="S453">(INT(INDEX(MINVALUES,$Q453,$K$1))*60)+(MOD(INDEX(MINVALUES,$Q453,$K$1),1)*100)</f>
        <v>180</v>
      </c>
      <c r="T453">
        <f t="array" ref="T453">(INDEX(INCVALUES,$Q453,$K$1)*100)</f>
        <v>1</v>
      </c>
      <c r="V453">
        <f t="array" ref="V453">+J453+(4*(INDEX(MatchScoreTable,$Q453,20)-1))</f>
        <v>4</v>
      </c>
      <c r="W453">
        <f t="array" ref="W453">INDEX(INC_MINVALUES,$V453,$K$1)</f>
        <v>480</v>
      </c>
      <c r="X453" s="212">
        <f t="array" ref="X453">INDEX(INC_INCVALUES,$V453,$K$1)</f>
        <v>4</v>
      </c>
    </row>
    <row r="454" ht="15.75" customHeight="1">
      <c r="A454" s="435"/>
      <c r="B454" s="436"/>
      <c r="C454" s="95" t="str">
        <f t="array" ref="C454">IF(I454&gt;0,INDEX(DB,I454,8),"")</f>
        <v/>
      </c>
      <c r="D454" s="437">
        <f t="shared" si="1"/>
        <v>0</v>
      </c>
      <c r="F454" s="438">
        <f t="shared" si="2"/>
        <v>0</v>
      </c>
      <c r="G454" t="str">
        <f t="shared" si="3"/>
        <v/>
      </c>
      <c r="H454" t="b">
        <f t="shared" si="4"/>
        <v>0</v>
      </c>
      <c r="I454" s="439">
        <f>IF(OR(ISBLANK(A454),ISNA(MATCH(A454&amp;"",AthleteNumbers,0))),0,MATCH(A454&amp;"",AthleteNumbers,0))</f>
        <v>0</v>
      </c>
      <c r="J454" s="209">
        <f t="array" ref="J454">IF(I454&gt;0,INDEX(DB,$I454,6),0)</f>
        <v>0</v>
      </c>
      <c r="K454" s="446">
        <f t="shared" si="5"/>
        <v>0</v>
      </c>
      <c r="L454" s="440">
        <f t="shared" si="6"/>
        <v>0</v>
      </c>
      <c r="M454" s="441">
        <f>IF(AND(L454&gt;O454,O454&gt;0),MinPoints,IF(AND(L454&lt;N454,O454&gt;0),100,+INT((O454-$L454)/P454)+MinPoints))</f>
        <v>100</v>
      </c>
      <c r="N454" s="440">
        <f t="shared" si="7"/>
        <v>90</v>
      </c>
      <c r="O454" s="440">
        <f t="shared" si="8"/>
        <v>180</v>
      </c>
      <c r="P454" s="440">
        <f t="shared" si="9"/>
        <v>1</v>
      </c>
      <c r="Q454">
        <f t="array" ref="Q454">IF(I454&gt;0,INDEX(DB,I454,9),EventIndex)</f>
        <v>6</v>
      </c>
      <c r="S454">
        <f t="array" ref="S454">(INT(INDEX(MINVALUES,$Q454,$K$1))*60)+(MOD(INDEX(MINVALUES,$Q454,$K$1),1)*100)</f>
        <v>180</v>
      </c>
      <c r="T454">
        <f t="array" ref="T454">(INDEX(INCVALUES,$Q454,$K$1)*100)</f>
        <v>1</v>
      </c>
      <c r="V454">
        <f t="array" ref="V454">+J454+(4*(INDEX(MatchScoreTable,$Q454,20)-1))</f>
        <v>4</v>
      </c>
      <c r="W454">
        <f t="array" ref="W454">INDEX(INC_MINVALUES,$V454,$K$1)</f>
        <v>480</v>
      </c>
      <c r="X454" s="212">
        <f t="array" ref="X454">INDEX(INC_INCVALUES,$V454,$K$1)</f>
        <v>4</v>
      </c>
    </row>
    <row r="455" ht="15.75" customHeight="1">
      <c r="A455" s="435"/>
      <c r="B455" s="436"/>
      <c r="C455" s="95" t="str">
        <f t="array" ref="C455">IF(I455&gt;0,INDEX(DB,I455,8),"")</f>
        <v/>
      </c>
      <c r="D455" s="437">
        <f t="shared" si="1"/>
        <v>0</v>
      </c>
      <c r="F455" s="438">
        <f t="shared" si="2"/>
        <v>0</v>
      </c>
      <c r="G455" t="str">
        <f t="shared" si="3"/>
        <v/>
      </c>
      <c r="H455" t="b">
        <f t="shared" si="4"/>
        <v>0</v>
      </c>
      <c r="I455" s="439">
        <f>IF(OR(ISBLANK(A455),ISNA(MATCH(A455&amp;"",AthleteNumbers,0))),0,MATCH(A455&amp;"",AthleteNumbers,0))</f>
        <v>0</v>
      </c>
      <c r="J455" s="209">
        <f t="array" ref="J455">IF(I455&gt;0,INDEX(DB,$I455,6),0)</f>
        <v>0</v>
      </c>
      <c r="K455" s="446">
        <f t="shared" si="5"/>
        <v>0</v>
      </c>
      <c r="L455" s="440">
        <f t="shared" si="6"/>
        <v>0</v>
      </c>
      <c r="M455" s="441">
        <f>IF(AND(L455&gt;O455,O455&gt;0),MinPoints,IF(AND(L455&lt;N455,O455&gt;0),100,+INT((O455-$L455)/P455)+MinPoints))</f>
        <v>100</v>
      </c>
      <c r="N455" s="440">
        <f t="shared" si="7"/>
        <v>90</v>
      </c>
      <c r="O455" s="440">
        <f t="shared" si="8"/>
        <v>180</v>
      </c>
      <c r="P455" s="440">
        <f t="shared" si="9"/>
        <v>1</v>
      </c>
      <c r="Q455">
        <f t="array" ref="Q455">IF(I455&gt;0,INDEX(DB,I455,9),EventIndex)</f>
        <v>6</v>
      </c>
      <c r="S455">
        <f t="array" ref="S455">(INT(INDEX(MINVALUES,$Q455,$K$1))*60)+(MOD(INDEX(MINVALUES,$Q455,$K$1),1)*100)</f>
        <v>180</v>
      </c>
      <c r="T455">
        <f t="array" ref="T455">(INDEX(INCVALUES,$Q455,$K$1)*100)</f>
        <v>1</v>
      </c>
      <c r="V455">
        <f t="array" ref="V455">+J455+(4*(INDEX(MatchScoreTable,$Q455,20)-1))</f>
        <v>4</v>
      </c>
      <c r="W455">
        <f t="array" ref="W455">INDEX(INC_MINVALUES,$V455,$K$1)</f>
        <v>480</v>
      </c>
      <c r="X455" s="212">
        <f t="array" ref="X455">INDEX(INC_INCVALUES,$V455,$K$1)</f>
        <v>4</v>
      </c>
    </row>
    <row r="456" ht="15.75" customHeight="1">
      <c r="A456" s="435"/>
      <c r="B456" s="436"/>
      <c r="C456" s="95" t="str">
        <f t="array" ref="C456">IF(I456&gt;0,INDEX(DB,I456,8),"")</f>
        <v/>
      </c>
      <c r="D456" s="437">
        <f t="shared" si="1"/>
        <v>0</v>
      </c>
      <c r="F456" s="438">
        <f t="shared" si="2"/>
        <v>0</v>
      </c>
      <c r="G456" t="str">
        <f t="shared" si="3"/>
        <v/>
      </c>
      <c r="H456" t="b">
        <f t="shared" si="4"/>
        <v>0</v>
      </c>
      <c r="I456" s="439">
        <f>IF(OR(ISBLANK(A456),ISNA(MATCH(A456&amp;"",AthleteNumbers,0))),0,MATCH(A456&amp;"",AthleteNumbers,0))</f>
        <v>0</v>
      </c>
      <c r="J456" s="209">
        <f t="array" ref="J456">IF(I456&gt;0,INDEX(DB,$I456,6),0)</f>
        <v>0</v>
      </c>
      <c r="K456" s="446">
        <f t="shared" si="5"/>
        <v>0</v>
      </c>
      <c r="L456" s="440">
        <f t="shared" si="6"/>
        <v>0</v>
      </c>
      <c r="M456" s="441">
        <f>IF(AND(L456&gt;O456,O456&gt;0),MinPoints,IF(AND(L456&lt;N456,O456&gt;0),100,+INT((O456-$L456)/P456)+MinPoints))</f>
        <v>100</v>
      </c>
      <c r="N456" s="440">
        <f t="shared" si="7"/>
        <v>90</v>
      </c>
      <c r="O456" s="440">
        <f t="shared" si="8"/>
        <v>180</v>
      </c>
      <c r="P456" s="440">
        <f t="shared" si="9"/>
        <v>1</v>
      </c>
      <c r="Q456">
        <f t="array" ref="Q456">IF(I456&gt;0,INDEX(DB,I456,9),EventIndex)</f>
        <v>6</v>
      </c>
      <c r="S456">
        <f t="array" ref="S456">(INT(INDEX(MINVALUES,$Q456,$K$1))*60)+(MOD(INDEX(MINVALUES,$Q456,$K$1),1)*100)</f>
        <v>180</v>
      </c>
      <c r="T456">
        <f t="array" ref="T456">(INDEX(INCVALUES,$Q456,$K$1)*100)</f>
        <v>1</v>
      </c>
      <c r="V456">
        <f t="array" ref="V456">+J456+(4*(INDEX(MatchScoreTable,$Q456,20)-1))</f>
        <v>4</v>
      </c>
      <c r="W456">
        <f t="array" ref="W456">INDEX(INC_MINVALUES,$V456,$K$1)</f>
        <v>480</v>
      </c>
      <c r="X456" s="212">
        <f t="array" ref="X456">INDEX(INC_INCVALUES,$V456,$K$1)</f>
        <v>4</v>
      </c>
    </row>
    <row r="457" ht="15.75" customHeight="1">
      <c r="A457" s="435"/>
      <c r="B457" s="436"/>
      <c r="C457" s="95" t="str">
        <f t="array" ref="C457">IF(I457&gt;0,INDEX(DB,I457,8),"")</f>
        <v/>
      </c>
      <c r="D457" s="437">
        <f t="shared" si="1"/>
        <v>0</v>
      </c>
      <c r="F457" s="438">
        <f t="shared" si="2"/>
        <v>0</v>
      </c>
      <c r="G457" t="str">
        <f t="shared" si="3"/>
        <v/>
      </c>
      <c r="H457" t="b">
        <f t="shared" si="4"/>
        <v>0</v>
      </c>
      <c r="I457" s="439">
        <f>IF(OR(ISBLANK(A457),ISNA(MATCH(A457&amp;"",AthleteNumbers,0))),0,MATCH(A457&amp;"",AthleteNumbers,0))</f>
        <v>0</v>
      </c>
      <c r="J457" s="209">
        <f t="array" ref="J457">IF(I457&gt;0,INDEX(DB,$I457,6),0)</f>
        <v>0</v>
      </c>
      <c r="K457" s="446">
        <f t="shared" si="5"/>
        <v>0</v>
      </c>
      <c r="L457" s="440">
        <f t="shared" si="6"/>
        <v>0</v>
      </c>
      <c r="M457" s="441">
        <f>IF(AND(L457&gt;O457,O457&gt;0),MinPoints,IF(AND(L457&lt;N457,O457&gt;0),100,+INT((O457-$L457)/P457)+MinPoints))</f>
        <v>100</v>
      </c>
      <c r="N457" s="440">
        <f t="shared" si="7"/>
        <v>90</v>
      </c>
      <c r="O457" s="440">
        <f t="shared" si="8"/>
        <v>180</v>
      </c>
      <c r="P457" s="440">
        <f t="shared" si="9"/>
        <v>1</v>
      </c>
      <c r="Q457">
        <f t="array" ref="Q457">IF(I457&gt;0,INDEX(DB,I457,9),EventIndex)</f>
        <v>6</v>
      </c>
      <c r="S457">
        <f t="array" ref="S457">(INT(INDEX(MINVALUES,$Q457,$K$1))*60)+(MOD(INDEX(MINVALUES,$Q457,$K$1),1)*100)</f>
        <v>180</v>
      </c>
      <c r="T457">
        <f t="array" ref="T457">(INDEX(INCVALUES,$Q457,$K$1)*100)</f>
        <v>1</v>
      </c>
      <c r="V457">
        <f t="array" ref="V457">+J457+(4*(INDEX(MatchScoreTable,$Q457,20)-1))</f>
        <v>4</v>
      </c>
      <c r="W457">
        <f t="array" ref="W457">INDEX(INC_MINVALUES,$V457,$K$1)</f>
        <v>480</v>
      </c>
      <c r="X457" s="212">
        <f t="array" ref="X457">INDEX(INC_INCVALUES,$V457,$K$1)</f>
        <v>4</v>
      </c>
    </row>
    <row r="458" ht="15.75" customHeight="1">
      <c r="A458" s="435"/>
      <c r="B458" s="436"/>
      <c r="C458" s="95" t="str">
        <f t="array" ref="C458">IF(I458&gt;0,INDEX(DB,I458,8),"")</f>
        <v/>
      </c>
      <c r="D458" s="437">
        <f t="shared" si="1"/>
        <v>0</v>
      </c>
      <c r="F458" s="438">
        <f t="shared" si="2"/>
        <v>0</v>
      </c>
      <c r="G458" t="str">
        <f t="shared" si="3"/>
        <v/>
      </c>
      <c r="H458" t="b">
        <f t="shared" si="4"/>
        <v>0</v>
      </c>
      <c r="I458" s="439">
        <f>IF(OR(ISBLANK(A458),ISNA(MATCH(A458&amp;"",AthleteNumbers,0))),0,MATCH(A458&amp;"",AthleteNumbers,0))</f>
        <v>0</v>
      </c>
      <c r="J458" s="209">
        <f t="array" ref="J458">IF(I458&gt;0,INDEX(DB,$I458,6),0)</f>
        <v>0</v>
      </c>
      <c r="K458" s="446">
        <f t="shared" si="5"/>
        <v>0</v>
      </c>
      <c r="L458" s="440">
        <f t="shared" si="6"/>
        <v>0</v>
      </c>
      <c r="M458" s="441">
        <f>IF(AND(L458&gt;O458,O458&gt;0),MinPoints,IF(AND(L458&lt;N458,O458&gt;0),100,+INT((O458-$L458)/P458)+MinPoints))</f>
        <v>100</v>
      </c>
      <c r="N458" s="440">
        <f t="shared" si="7"/>
        <v>90</v>
      </c>
      <c r="O458" s="440">
        <f t="shared" si="8"/>
        <v>180</v>
      </c>
      <c r="P458" s="440">
        <f t="shared" si="9"/>
        <v>1</v>
      </c>
      <c r="Q458">
        <f t="array" ref="Q458">IF(I458&gt;0,INDEX(DB,I458,9),EventIndex)</f>
        <v>6</v>
      </c>
      <c r="S458">
        <f t="array" ref="S458">(INT(INDEX(MINVALUES,$Q458,$K$1))*60)+(MOD(INDEX(MINVALUES,$Q458,$K$1),1)*100)</f>
        <v>180</v>
      </c>
      <c r="T458">
        <f t="array" ref="T458">(INDEX(INCVALUES,$Q458,$K$1)*100)</f>
        <v>1</v>
      </c>
      <c r="V458">
        <f t="array" ref="V458">+J458+(4*(INDEX(MatchScoreTable,$Q458,20)-1))</f>
        <v>4</v>
      </c>
      <c r="W458">
        <f t="array" ref="W458">INDEX(INC_MINVALUES,$V458,$K$1)</f>
        <v>480</v>
      </c>
      <c r="X458" s="212">
        <f t="array" ref="X458">INDEX(INC_INCVALUES,$V458,$K$1)</f>
        <v>4</v>
      </c>
    </row>
    <row r="459" ht="15.75" customHeight="1">
      <c r="A459" s="435"/>
      <c r="B459" s="436"/>
      <c r="C459" s="95" t="str">
        <f t="array" ref="C459">IF(I459&gt;0,INDEX(DB,I459,8),"")</f>
        <v/>
      </c>
      <c r="D459" s="437">
        <f t="shared" si="1"/>
        <v>0</v>
      </c>
      <c r="F459" s="438">
        <f t="shared" si="2"/>
        <v>0</v>
      </c>
      <c r="G459" t="str">
        <f t="shared" si="3"/>
        <v/>
      </c>
      <c r="H459" t="b">
        <f t="shared" si="4"/>
        <v>0</v>
      </c>
      <c r="I459" s="439">
        <f>IF(OR(ISBLANK(A459),ISNA(MATCH(A459&amp;"",AthleteNumbers,0))),0,MATCH(A459&amp;"",AthleteNumbers,0))</f>
        <v>0</v>
      </c>
      <c r="J459" s="209">
        <f t="array" ref="J459">IF(I459&gt;0,INDEX(DB,$I459,6),0)</f>
        <v>0</v>
      </c>
      <c r="K459" s="446">
        <f t="shared" si="5"/>
        <v>0</v>
      </c>
      <c r="L459" s="440">
        <f t="shared" si="6"/>
        <v>0</v>
      </c>
      <c r="M459" s="441">
        <f>IF(AND(L459&gt;O459,O459&gt;0),MinPoints,IF(AND(L459&lt;N459,O459&gt;0),100,+INT((O459-$L459)/P459)+MinPoints))</f>
        <v>100</v>
      </c>
      <c r="N459" s="440">
        <f t="shared" si="7"/>
        <v>90</v>
      </c>
      <c r="O459" s="440">
        <f t="shared" si="8"/>
        <v>180</v>
      </c>
      <c r="P459" s="440">
        <f t="shared" si="9"/>
        <v>1</v>
      </c>
      <c r="Q459">
        <f t="array" ref="Q459">IF(I459&gt;0,INDEX(DB,I459,9),EventIndex)</f>
        <v>6</v>
      </c>
      <c r="S459">
        <f t="array" ref="S459">(INT(INDEX(MINVALUES,$Q459,$K$1))*60)+(MOD(INDEX(MINVALUES,$Q459,$K$1),1)*100)</f>
        <v>180</v>
      </c>
      <c r="T459">
        <f t="array" ref="T459">(INDEX(INCVALUES,$Q459,$K$1)*100)</f>
        <v>1</v>
      </c>
      <c r="V459">
        <f t="array" ref="V459">+J459+(4*(INDEX(MatchScoreTable,$Q459,20)-1))</f>
        <v>4</v>
      </c>
      <c r="W459">
        <f t="array" ref="W459">INDEX(INC_MINVALUES,$V459,$K$1)</f>
        <v>480</v>
      </c>
      <c r="X459" s="212">
        <f t="array" ref="X459">INDEX(INC_INCVALUES,$V459,$K$1)</f>
        <v>4</v>
      </c>
    </row>
    <row r="460" ht="15.75" customHeight="1">
      <c r="A460" s="435"/>
      <c r="B460" s="436"/>
      <c r="C460" s="95" t="str">
        <f t="array" ref="C460">IF(I460&gt;0,INDEX(DB,I460,8),"")</f>
        <v/>
      </c>
      <c r="D460" s="437">
        <f t="shared" si="1"/>
        <v>0</v>
      </c>
      <c r="F460" s="438">
        <f t="shared" si="2"/>
        <v>0</v>
      </c>
      <c r="G460" t="str">
        <f t="shared" si="3"/>
        <v/>
      </c>
      <c r="H460" t="b">
        <f t="shared" si="4"/>
        <v>0</v>
      </c>
      <c r="I460" s="439">
        <f>IF(OR(ISBLANK(A460),ISNA(MATCH(A460&amp;"",AthleteNumbers,0))),0,MATCH(A460&amp;"",AthleteNumbers,0))</f>
        <v>0</v>
      </c>
      <c r="J460" s="209">
        <f t="array" ref="J460">IF(I460&gt;0,INDEX(DB,$I460,6),0)</f>
        <v>0</v>
      </c>
      <c r="K460" s="446">
        <f t="shared" si="5"/>
        <v>0</v>
      </c>
      <c r="L460" s="440">
        <f t="shared" si="6"/>
        <v>0</v>
      </c>
      <c r="M460" s="441">
        <f>IF(AND(L460&gt;O460,O460&gt;0),MinPoints,IF(AND(L460&lt;N460,O460&gt;0),100,+INT((O460-$L460)/P460)+MinPoints))</f>
        <v>100</v>
      </c>
      <c r="N460" s="440">
        <f t="shared" si="7"/>
        <v>90</v>
      </c>
      <c r="O460" s="440">
        <f t="shared" si="8"/>
        <v>180</v>
      </c>
      <c r="P460" s="440">
        <f t="shared" si="9"/>
        <v>1</v>
      </c>
      <c r="Q460">
        <f t="array" ref="Q460">IF(I460&gt;0,INDEX(DB,I460,9),EventIndex)</f>
        <v>6</v>
      </c>
      <c r="S460">
        <f t="array" ref="S460">(INT(INDEX(MINVALUES,$Q460,$K$1))*60)+(MOD(INDEX(MINVALUES,$Q460,$K$1),1)*100)</f>
        <v>180</v>
      </c>
      <c r="T460">
        <f t="array" ref="T460">(INDEX(INCVALUES,$Q460,$K$1)*100)</f>
        <v>1</v>
      </c>
      <c r="V460">
        <f t="array" ref="V460">+J460+(4*(INDEX(MatchScoreTable,$Q460,20)-1))</f>
        <v>4</v>
      </c>
      <c r="W460">
        <f t="array" ref="W460">INDEX(INC_MINVALUES,$V460,$K$1)</f>
        <v>480</v>
      </c>
      <c r="X460" s="212">
        <f t="array" ref="X460">INDEX(INC_INCVALUES,$V460,$K$1)</f>
        <v>4</v>
      </c>
    </row>
    <row r="461" ht="15.75" customHeight="1">
      <c r="A461" s="435"/>
      <c r="B461" s="436"/>
      <c r="C461" s="95" t="str">
        <f t="array" ref="C461">IF(I461&gt;0,INDEX(DB,I461,8),"")</f>
        <v/>
      </c>
      <c r="D461" s="437">
        <f t="shared" si="1"/>
        <v>0</v>
      </c>
      <c r="F461" s="438">
        <f t="shared" si="2"/>
        <v>0</v>
      </c>
      <c r="G461" t="str">
        <f t="shared" si="3"/>
        <v/>
      </c>
      <c r="H461" t="b">
        <f t="shared" si="4"/>
        <v>0</v>
      </c>
      <c r="I461" s="439">
        <f>IF(OR(ISBLANK(A461),ISNA(MATCH(A461&amp;"",AthleteNumbers,0))),0,MATCH(A461&amp;"",AthleteNumbers,0))</f>
        <v>0</v>
      </c>
      <c r="J461" s="209">
        <f t="array" ref="J461">IF(I461&gt;0,INDEX(DB,$I461,6),0)</f>
        <v>0</v>
      </c>
      <c r="K461" s="446">
        <f t="shared" si="5"/>
        <v>0</v>
      </c>
      <c r="L461" s="440">
        <f t="shared" si="6"/>
        <v>0</v>
      </c>
      <c r="M461" s="441">
        <f>IF(AND(L461&gt;O461,O461&gt;0),MinPoints,IF(AND(L461&lt;N461,O461&gt;0),100,+INT((O461-$L461)/P461)+MinPoints))</f>
        <v>100</v>
      </c>
      <c r="N461" s="440">
        <f t="shared" si="7"/>
        <v>90</v>
      </c>
      <c r="O461" s="440">
        <f t="shared" si="8"/>
        <v>180</v>
      </c>
      <c r="P461" s="440">
        <f t="shared" si="9"/>
        <v>1</v>
      </c>
      <c r="Q461">
        <f t="array" ref="Q461">IF(I461&gt;0,INDEX(DB,I461,9),EventIndex)</f>
        <v>6</v>
      </c>
      <c r="S461">
        <f t="array" ref="S461">(INT(INDEX(MINVALUES,$Q461,$K$1))*60)+(MOD(INDEX(MINVALUES,$Q461,$K$1),1)*100)</f>
        <v>180</v>
      </c>
      <c r="T461">
        <f t="array" ref="T461">(INDEX(INCVALUES,$Q461,$K$1)*100)</f>
        <v>1</v>
      </c>
      <c r="V461">
        <f t="array" ref="V461">+J461+(4*(INDEX(MatchScoreTable,$Q461,20)-1))</f>
        <v>4</v>
      </c>
      <c r="W461">
        <f t="array" ref="W461">INDEX(INC_MINVALUES,$V461,$K$1)</f>
        <v>480</v>
      </c>
      <c r="X461" s="212">
        <f t="array" ref="X461">INDEX(INC_INCVALUES,$V461,$K$1)</f>
        <v>4</v>
      </c>
    </row>
    <row r="462" ht="15.75" customHeight="1">
      <c r="A462" s="435"/>
      <c r="B462" s="436"/>
      <c r="C462" s="95" t="str">
        <f t="array" ref="C462">IF(I462&gt;0,INDEX(DB,I462,8),"")</f>
        <v/>
      </c>
      <c r="D462" s="437">
        <f t="shared" si="1"/>
        <v>0</v>
      </c>
      <c r="F462" s="438">
        <f t="shared" si="2"/>
        <v>0</v>
      </c>
      <c r="G462" t="str">
        <f t="shared" si="3"/>
        <v/>
      </c>
      <c r="H462" t="b">
        <f t="shared" si="4"/>
        <v>0</v>
      </c>
      <c r="I462" s="439">
        <f>IF(OR(ISBLANK(A462),ISNA(MATCH(A462&amp;"",AthleteNumbers,0))),0,MATCH(A462&amp;"",AthleteNumbers,0))</f>
        <v>0</v>
      </c>
      <c r="J462" s="209">
        <f t="array" ref="J462">IF(I462&gt;0,INDEX(DB,$I462,6),0)</f>
        <v>0</v>
      </c>
      <c r="K462" s="446">
        <f t="shared" si="5"/>
        <v>0</v>
      </c>
      <c r="L462" s="440">
        <f t="shared" si="6"/>
        <v>0</v>
      </c>
      <c r="M462" s="441">
        <f>IF(AND(L462&gt;O462,O462&gt;0),MinPoints,IF(AND(L462&lt;N462,O462&gt;0),100,+INT((O462-$L462)/P462)+MinPoints))</f>
        <v>100</v>
      </c>
      <c r="N462" s="440">
        <f t="shared" si="7"/>
        <v>90</v>
      </c>
      <c r="O462" s="440">
        <f t="shared" si="8"/>
        <v>180</v>
      </c>
      <c r="P462" s="440">
        <f t="shared" si="9"/>
        <v>1</v>
      </c>
      <c r="Q462">
        <f t="array" ref="Q462">IF(I462&gt;0,INDEX(DB,I462,9),EventIndex)</f>
        <v>6</v>
      </c>
      <c r="S462">
        <f t="array" ref="S462">(INT(INDEX(MINVALUES,$Q462,$K$1))*60)+(MOD(INDEX(MINVALUES,$Q462,$K$1),1)*100)</f>
        <v>180</v>
      </c>
      <c r="T462">
        <f t="array" ref="T462">(INDEX(INCVALUES,$Q462,$K$1)*100)</f>
        <v>1</v>
      </c>
      <c r="V462">
        <f t="array" ref="V462">+J462+(4*(INDEX(MatchScoreTable,$Q462,20)-1))</f>
        <v>4</v>
      </c>
      <c r="W462">
        <f t="array" ref="W462">INDEX(INC_MINVALUES,$V462,$K$1)</f>
        <v>480</v>
      </c>
      <c r="X462" s="212">
        <f t="array" ref="X462">INDEX(INC_INCVALUES,$V462,$K$1)</f>
        <v>4</v>
      </c>
    </row>
    <row r="463" ht="15.75" customHeight="1">
      <c r="A463" s="435"/>
      <c r="B463" s="436"/>
      <c r="C463" s="95" t="str">
        <f t="array" ref="C463">IF(I463&gt;0,INDEX(DB,I463,8),"")</f>
        <v/>
      </c>
      <c r="D463" s="437">
        <f t="shared" si="1"/>
        <v>0</v>
      </c>
      <c r="F463" s="438">
        <f t="shared" si="2"/>
        <v>0</v>
      </c>
      <c r="G463" t="str">
        <f t="shared" si="3"/>
        <v/>
      </c>
      <c r="H463" t="b">
        <f t="shared" si="4"/>
        <v>0</v>
      </c>
      <c r="I463" s="439">
        <f>IF(OR(ISBLANK(A463),ISNA(MATCH(A463&amp;"",AthleteNumbers,0))),0,MATCH(A463&amp;"",AthleteNumbers,0))</f>
        <v>0</v>
      </c>
      <c r="J463" s="209">
        <f t="array" ref="J463">IF(I463&gt;0,INDEX(DB,$I463,6),0)</f>
        <v>0</v>
      </c>
      <c r="K463" s="446">
        <f t="shared" si="5"/>
        <v>0</v>
      </c>
      <c r="L463" s="440">
        <f t="shared" si="6"/>
        <v>0</v>
      </c>
      <c r="M463" s="441">
        <f>IF(AND(L463&gt;O463,O463&gt;0),MinPoints,IF(AND(L463&lt;N463,O463&gt;0),100,+INT((O463-$L463)/P463)+MinPoints))</f>
        <v>100</v>
      </c>
      <c r="N463" s="440">
        <f t="shared" si="7"/>
        <v>90</v>
      </c>
      <c r="O463" s="440">
        <f t="shared" si="8"/>
        <v>180</v>
      </c>
      <c r="P463" s="440">
        <f t="shared" si="9"/>
        <v>1</v>
      </c>
      <c r="Q463">
        <f t="array" ref="Q463">IF(I463&gt;0,INDEX(DB,I463,9),EventIndex)</f>
        <v>6</v>
      </c>
      <c r="S463">
        <f t="array" ref="S463">(INT(INDEX(MINVALUES,$Q463,$K$1))*60)+(MOD(INDEX(MINVALUES,$Q463,$K$1),1)*100)</f>
        <v>180</v>
      </c>
      <c r="T463">
        <f t="array" ref="T463">(INDEX(INCVALUES,$Q463,$K$1)*100)</f>
        <v>1</v>
      </c>
      <c r="V463">
        <f t="array" ref="V463">+J463+(4*(INDEX(MatchScoreTable,$Q463,20)-1))</f>
        <v>4</v>
      </c>
      <c r="W463">
        <f t="array" ref="W463">INDEX(INC_MINVALUES,$V463,$K$1)</f>
        <v>480</v>
      </c>
      <c r="X463" s="212">
        <f t="array" ref="X463">INDEX(INC_INCVALUES,$V463,$K$1)</f>
        <v>4</v>
      </c>
    </row>
    <row r="464" ht="15.75" customHeight="1">
      <c r="A464" s="435"/>
      <c r="B464" s="436"/>
      <c r="C464" s="95" t="str">
        <f t="array" ref="C464">IF(I464&gt;0,INDEX(DB,I464,8),"")</f>
        <v/>
      </c>
      <c r="D464" s="437">
        <f t="shared" si="1"/>
        <v>0</v>
      </c>
      <c r="F464" s="438">
        <f t="shared" si="2"/>
        <v>0</v>
      </c>
      <c r="G464" t="str">
        <f t="shared" si="3"/>
        <v/>
      </c>
      <c r="H464" t="b">
        <f t="shared" si="4"/>
        <v>0</v>
      </c>
      <c r="I464" s="439">
        <f>IF(OR(ISBLANK(A464),ISNA(MATCH(A464&amp;"",AthleteNumbers,0))),0,MATCH(A464&amp;"",AthleteNumbers,0))</f>
        <v>0</v>
      </c>
      <c r="J464" s="209">
        <f t="array" ref="J464">IF(I464&gt;0,INDEX(DB,$I464,6),0)</f>
        <v>0</v>
      </c>
      <c r="K464" s="446">
        <f t="shared" si="5"/>
        <v>0</v>
      </c>
      <c r="L464" s="440">
        <f t="shared" si="6"/>
        <v>0</v>
      </c>
      <c r="M464" s="441">
        <f>IF(AND(L464&gt;O464,O464&gt;0),MinPoints,IF(AND(L464&lt;N464,O464&gt;0),100,+INT((O464-$L464)/P464)+MinPoints))</f>
        <v>100</v>
      </c>
      <c r="N464" s="440">
        <f t="shared" si="7"/>
        <v>90</v>
      </c>
      <c r="O464" s="440">
        <f t="shared" si="8"/>
        <v>180</v>
      </c>
      <c r="P464" s="440">
        <f t="shared" si="9"/>
        <v>1</v>
      </c>
      <c r="Q464">
        <f t="array" ref="Q464">IF(I464&gt;0,INDEX(DB,I464,9),EventIndex)</f>
        <v>6</v>
      </c>
      <c r="S464">
        <f t="array" ref="S464">(INT(INDEX(MINVALUES,$Q464,$K$1))*60)+(MOD(INDEX(MINVALUES,$Q464,$K$1),1)*100)</f>
        <v>180</v>
      </c>
      <c r="T464">
        <f t="array" ref="T464">(INDEX(INCVALUES,$Q464,$K$1)*100)</f>
        <v>1</v>
      </c>
      <c r="V464">
        <f t="array" ref="V464">+J464+(4*(INDEX(MatchScoreTable,$Q464,20)-1))</f>
        <v>4</v>
      </c>
      <c r="W464">
        <f t="array" ref="W464">INDEX(INC_MINVALUES,$V464,$K$1)</f>
        <v>480</v>
      </c>
      <c r="X464" s="212">
        <f t="array" ref="X464">INDEX(INC_INCVALUES,$V464,$K$1)</f>
        <v>4</v>
      </c>
    </row>
    <row r="465" ht="15.75" customHeight="1">
      <c r="A465" s="435"/>
      <c r="B465" s="436"/>
      <c r="C465" s="95" t="str">
        <f t="array" ref="C465">IF(I465&gt;0,INDEX(DB,I465,8),"")</f>
        <v/>
      </c>
      <c r="D465" s="437">
        <f t="shared" si="1"/>
        <v>0</v>
      </c>
      <c r="F465" s="438">
        <f t="shared" si="2"/>
        <v>0</v>
      </c>
      <c r="G465" t="str">
        <f t="shared" si="3"/>
        <v/>
      </c>
      <c r="H465" t="b">
        <f t="shared" si="4"/>
        <v>0</v>
      </c>
      <c r="I465" s="439">
        <f>IF(OR(ISBLANK(A465),ISNA(MATCH(A465&amp;"",AthleteNumbers,0))),0,MATCH(A465&amp;"",AthleteNumbers,0))</f>
        <v>0</v>
      </c>
      <c r="J465" s="209">
        <f t="array" ref="J465">IF(I465&gt;0,INDEX(DB,$I465,6),0)</f>
        <v>0</v>
      </c>
      <c r="K465" s="446">
        <f t="shared" si="5"/>
        <v>0</v>
      </c>
      <c r="L465" s="440">
        <f t="shared" si="6"/>
        <v>0</v>
      </c>
      <c r="M465" s="441">
        <f>IF(AND(L465&gt;O465,O465&gt;0),MinPoints,IF(AND(L465&lt;N465,O465&gt;0),100,+INT((O465-$L465)/P465)+MinPoints))</f>
        <v>100</v>
      </c>
      <c r="N465" s="440">
        <f t="shared" si="7"/>
        <v>90</v>
      </c>
      <c r="O465" s="440">
        <f t="shared" si="8"/>
        <v>180</v>
      </c>
      <c r="P465" s="440">
        <f t="shared" si="9"/>
        <v>1</v>
      </c>
      <c r="Q465">
        <f t="array" ref="Q465">IF(I465&gt;0,INDEX(DB,I465,9),EventIndex)</f>
        <v>6</v>
      </c>
      <c r="S465">
        <f t="array" ref="S465">(INT(INDEX(MINVALUES,$Q465,$K$1))*60)+(MOD(INDEX(MINVALUES,$Q465,$K$1),1)*100)</f>
        <v>180</v>
      </c>
      <c r="T465">
        <f t="array" ref="T465">(INDEX(INCVALUES,$Q465,$K$1)*100)</f>
        <v>1</v>
      </c>
      <c r="V465">
        <f t="array" ref="V465">+J465+(4*(INDEX(MatchScoreTable,$Q465,20)-1))</f>
        <v>4</v>
      </c>
      <c r="W465">
        <f t="array" ref="W465">INDEX(INC_MINVALUES,$V465,$K$1)</f>
        <v>480</v>
      </c>
      <c r="X465" s="212">
        <f t="array" ref="X465">INDEX(INC_INCVALUES,$V465,$K$1)</f>
        <v>4</v>
      </c>
    </row>
    <row r="466" ht="15.75" customHeight="1">
      <c r="A466" s="435"/>
      <c r="B466" s="436"/>
      <c r="C466" s="95" t="str">
        <f t="array" ref="C466">IF(I466&gt;0,INDEX(DB,I466,8),"")</f>
        <v/>
      </c>
      <c r="D466" s="437">
        <f t="shared" si="1"/>
        <v>0</v>
      </c>
      <c r="F466" s="438">
        <f t="shared" si="2"/>
        <v>0</v>
      </c>
      <c r="G466" t="str">
        <f t="shared" si="3"/>
        <v/>
      </c>
      <c r="H466" t="b">
        <f t="shared" si="4"/>
        <v>0</v>
      </c>
      <c r="I466" s="439">
        <f>IF(OR(ISBLANK(A466),ISNA(MATCH(A466&amp;"",AthleteNumbers,0))),0,MATCH(A466&amp;"",AthleteNumbers,0))</f>
        <v>0</v>
      </c>
      <c r="J466" s="209">
        <f t="array" ref="J466">IF(I466&gt;0,INDEX(DB,$I466,6),0)</f>
        <v>0</v>
      </c>
      <c r="K466" s="446">
        <f t="shared" si="5"/>
        <v>0</v>
      </c>
      <c r="L466" s="440">
        <f t="shared" si="6"/>
        <v>0</v>
      </c>
      <c r="M466" s="441">
        <f>IF(AND(L466&gt;O466,O466&gt;0),MinPoints,IF(AND(L466&lt;N466,O466&gt;0),100,+INT((O466-$L466)/P466)+MinPoints))</f>
        <v>100</v>
      </c>
      <c r="N466" s="440">
        <f t="shared" si="7"/>
        <v>90</v>
      </c>
      <c r="O466" s="440">
        <f t="shared" si="8"/>
        <v>180</v>
      </c>
      <c r="P466" s="440">
        <f t="shared" si="9"/>
        <v>1</v>
      </c>
      <c r="Q466">
        <f t="array" ref="Q466">IF(I466&gt;0,INDEX(DB,I466,9),EventIndex)</f>
        <v>6</v>
      </c>
      <c r="S466">
        <f t="array" ref="S466">(INT(INDEX(MINVALUES,$Q466,$K$1))*60)+(MOD(INDEX(MINVALUES,$Q466,$K$1),1)*100)</f>
        <v>180</v>
      </c>
      <c r="T466">
        <f t="array" ref="T466">(INDEX(INCVALUES,$Q466,$K$1)*100)</f>
        <v>1</v>
      </c>
      <c r="V466">
        <f t="array" ref="V466">+J466+(4*(INDEX(MatchScoreTable,$Q466,20)-1))</f>
        <v>4</v>
      </c>
      <c r="W466">
        <f t="array" ref="W466">INDEX(INC_MINVALUES,$V466,$K$1)</f>
        <v>480</v>
      </c>
      <c r="X466" s="212">
        <f t="array" ref="X466">INDEX(INC_INCVALUES,$V466,$K$1)</f>
        <v>4</v>
      </c>
    </row>
    <row r="467" ht="15.75" customHeight="1">
      <c r="A467" s="435"/>
      <c r="B467" s="436"/>
      <c r="C467" s="95" t="str">
        <f t="array" ref="C467">IF(I467&gt;0,INDEX(DB,I467,8),"")</f>
        <v/>
      </c>
      <c r="D467" s="437">
        <f t="shared" si="1"/>
        <v>0</v>
      </c>
      <c r="F467" s="438">
        <f t="shared" si="2"/>
        <v>0</v>
      </c>
      <c r="G467" t="str">
        <f t="shared" si="3"/>
        <v/>
      </c>
      <c r="H467" t="b">
        <f t="shared" si="4"/>
        <v>0</v>
      </c>
      <c r="I467" s="439">
        <f>IF(OR(ISBLANK(A467),ISNA(MATCH(A467&amp;"",AthleteNumbers,0))),0,MATCH(A467&amp;"",AthleteNumbers,0))</f>
        <v>0</v>
      </c>
      <c r="J467" s="209">
        <f t="array" ref="J467">IF(I467&gt;0,INDEX(DB,$I467,6),0)</f>
        <v>0</v>
      </c>
      <c r="K467" s="446">
        <f t="shared" si="5"/>
        <v>0</v>
      </c>
      <c r="L467" s="440">
        <f t="shared" si="6"/>
        <v>0</v>
      </c>
      <c r="M467" s="441">
        <f>IF(AND(L467&gt;O467,O467&gt;0),MinPoints,IF(AND(L467&lt;N467,O467&gt;0),100,+INT((O467-$L467)/P467)+MinPoints))</f>
        <v>100</v>
      </c>
      <c r="N467" s="440">
        <f t="shared" si="7"/>
        <v>90</v>
      </c>
      <c r="O467" s="440">
        <f t="shared" si="8"/>
        <v>180</v>
      </c>
      <c r="P467" s="440">
        <f t="shared" si="9"/>
        <v>1</v>
      </c>
      <c r="Q467">
        <f t="array" ref="Q467">IF(I467&gt;0,INDEX(DB,I467,9),EventIndex)</f>
        <v>6</v>
      </c>
      <c r="S467">
        <f t="array" ref="S467">(INT(INDEX(MINVALUES,$Q467,$K$1))*60)+(MOD(INDEX(MINVALUES,$Q467,$K$1),1)*100)</f>
        <v>180</v>
      </c>
      <c r="T467">
        <f t="array" ref="T467">(INDEX(INCVALUES,$Q467,$K$1)*100)</f>
        <v>1</v>
      </c>
      <c r="V467">
        <f t="array" ref="V467">+J467+(4*(INDEX(MatchScoreTable,$Q467,20)-1))</f>
        <v>4</v>
      </c>
      <c r="W467">
        <f t="array" ref="W467">INDEX(INC_MINVALUES,$V467,$K$1)</f>
        <v>480</v>
      </c>
      <c r="X467" s="212">
        <f t="array" ref="X467">INDEX(INC_INCVALUES,$V467,$K$1)</f>
        <v>4</v>
      </c>
    </row>
    <row r="468" ht="15.75" customHeight="1">
      <c r="A468" s="435"/>
      <c r="B468" s="436"/>
      <c r="C468" s="95" t="str">
        <f t="array" ref="C468">IF(I468&gt;0,INDEX(DB,I468,8),"")</f>
        <v/>
      </c>
      <c r="D468" s="437">
        <f t="shared" si="1"/>
        <v>0</v>
      </c>
      <c r="F468" s="438">
        <f t="shared" si="2"/>
        <v>0</v>
      </c>
      <c r="G468" t="str">
        <f t="shared" si="3"/>
        <v/>
      </c>
      <c r="H468" t="b">
        <f t="shared" si="4"/>
        <v>0</v>
      </c>
      <c r="I468" s="439">
        <f>IF(OR(ISBLANK(A468),ISNA(MATCH(A468&amp;"",AthleteNumbers,0))),0,MATCH(A468&amp;"",AthleteNumbers,0))</f>
        <v>0</v>
      </c>
      <c r="J468" s="209">
        <f t="array" ref="J468">IF(I468&gt;0,INDEX(DB,$I468,6),0)</f>
        <v>0</v>
      </c>
      <c r="K468" s="446">
        <f t="shared" si="5"/>
        <v>0</v>
      </c>
      <c r="L468" s="440">
        <f t="shared" si="6"/>
        <v>0</v>
      </c>
      <c r="M468" s="441">
        <f>IF(AND(L468&gt;O468,O468&gt;0),MinPoints,IF(AND(L468&lt;N468,O468&gt;0),100,+INT((O468-$L468)/P468)+MinPoints))</f>
        <v>100</v>
      </c>
      <c r="N468" s="440">
        <f t="shared" si="7"/>
        <v>90</v>
      </c>
      <c r="O468" s="440">
        <f t="shared" si="8"/>
        <v>180</v>
      </c>
      <c r="P468" s="440">
        <f t="shared" si="9"/>
        <v>1</v>
      </c>
      <c r="Q468">
        <f t="array" ref="Q468">IF(I468&gt;0,INDEX(DB,I468,9),EventIndex)</f>
        <v>6</v>
      </c>
      <c r="S468">
        <f t="array" ref="S468">(INT(INDEX(MINVALUES,$Q468,$K$1))*60)+(MOD(INDEX(MINVALUES,$Q468,$K$1),1)*100)</f>
        <v>180</v>
      </c>
      <c r="T468">
        <f t="array" ref="T468">(INDEX(INCVALUES,$Q468,$K$1)*100)</f>
        <v>1</v>
      </c>
      <c r="V468">
        <f t="array" ref="V468">+J468+(4*(INDEX(MatchScoreTable,$Q468,20)-1))</f>
        <v>4</v>
      </c>
      <c r="W468">
        <f t="array" ref="W468">INDEX(INC_MINVALUES,$V468,$K$1)</f>
        <v>480</v>
      </c>
      <c r="X468" s="212">
        <f t="array" ref="X468">INDEX(INC_INCVALUES,$V468,$K$1)</f>
        <v>4</v>
      </c>
    </row>
    <row r="469" ht="15.75" customHeight="1">
      <c r="A469" s="435"/>
      <c r="B469" s="436"/>
      <c r="C469" s="95" t="str">
        <f t="array" ref="C469">IF(I469&gt;0,INDEX(DB,I469,8),"")</f>
        <v/>
      </c>
      <c r="D469" s="437">
        <f t="shared" si="1"/>
        <v>0</v>
      </c>
      <c r="F469" s="438">
        <f t="shared" si="2"/>
        <v>0</v>
      </c>
      <c r="G469" t="str">
        <f t="shared" si="3"/>
        <v/>
      </c>
      <c r="H469" t="b">
        <f t="shared" si="4"/>
        <v>0</v>
      </c>
      <c r="I469" s="439">
        <f>IF(OR(ISBLANK(A469),ISNA(MATCH(A469&amp;"",AthleteNumbers,0))),0,MATCH(A469&amp;"",AthleteNumbers,0))</f>
        <v>0</v>
      </c>
      <c r="J469" s="209">
        <f t="array" ref="J469">IF(I469&gt;0,INDEX(DB,$I469,6),0)</f>
        <v>0</v>
      </c>
      <c r="K469" s="446">
        <f t="shared" si="5"/>
        <v>0</v>
      </c>
      <c r="L469" s="440">
        <f t="shared" si="6"/>
        <v>0</v>
      </c>
      <c r="M469" s="441">
        <f>IF(AND(L469&gt;O469,O469&gt;0),MinPoints,IF(AND(L469&lt;N469,O469&gt;0),100,+INT((O469-$L469)/P469)+MinPoints))</f>
        <v>100</v>
      </c>
      <c r="N469" s="440">
        <f t="shared" si="7"/>
        <v>90</v>
      </c>
      <c r="O469" s="440">
        <f t="shared" si="8"/>
        <v>180</v>
      </c>
      <c r="P469" s="440">
        <f t="shared" si="9"/>
        <v>1</v>
      </c>
      <c r="Q469">
        <f t="array" ref="Q469">IF(I469&gt;0,INDEX(DB,I469,9),EventIndex)</f>
        <v>6</v>
      </c>
      <c r="S469">
        <f t="array" ref="S469">(INT(INDEX(MINVALUES,$Q469,$K$1))*60)+(MOD(INDEX(MINVALUES,$Q469,$K$1),1)*100)</f>
        <v>180</v>
      </c>
      <c r="T469">
        <f t="array" ref="T469">(INDEX(INCVALUES,$Q469,$K$1)*100)</f>
        <v>1</v>
      </c>
      <c r="V469">
        <f t="array" ref="V469">+J469+(4*(INDEX(MatchScoreTable,$Q469,20)-1))</f>
        <v>4</v>
      </c>
      <c r="W469">
        <f t="array" ref="W469">INDEX(INC_MINVALUES,$V469,$K$1)</f>
        <v>480</v>
      </c>
      <c r="X469" s="212">
        <f t="array" ref="X469">INDEX(INC_INCVALUES,$V469,$K$1)</f>
        <v>4</v>
      </c>
    </row>
    <row r="470" ht="15.75" customHeight="1">
      <c r="A470" s="435"/>
      <c r="B470" s="436"/>
      <c r="C470" s="95" t="str">
        <f t="array" ref="C470">IF(I470&gt;0,INDEX(DB,I470,8),"")</f>
        <v/>
      </c>
      <c r="D470" s="437">
        <f t="shared" si="1"/>
        <v>0</v>
      </c>
      <c r="F470" s="438">
        <f t="shared" si="2"/>
        <v>0</v>
      </c>
      <c r="G470" t="str">
        <f t="shared" si="3"/>
        <v/>
      </c>
      <c r="H470" t="b">
        <f t="shared" si="4"/>
        <v>0</v>
      </c>
      <c r="I470" s="439">
        <f>IF(OR(ISBLANK(A470),ISNA(MATCH(A470&amp;"",AthleteNumbers,0))),0,MATCH(A470&amp;"",AthleteNumbers,0))</f>
        <v>0</v>
      </c>
      <c r="J470" s="209">
        <f t="array" ref="J470">IF(I470&gt;0,INDEX(DB,$I470,6),0)</f>
        <v>0</v>
      </c>
      <c r="K470" s="446">
        <f t="shared" si="5"/>
        <v>0</v>
      </c>
      <c r="L470" s="440">
        <f t="shared" si="6"/>
        <v>0</v>
      </c>
      <c r="M470" s="441">
        <f>IF(AND(L470&gt;O470,O470&gt;0),MinPoints,IF(AND(L470&lt;N470,O470&gt;0),100,+INT((O470-$L470)/P470)+MinPoints))</f>
        <v>100</v>
      </c>
      <c r="N470" s="440">
        <f t="shared" si="7"/>
        <v>90</v>
      </c>
      <c r="O470" s="440">
        <f t="shared" si="8"/>
        <v>180</v>
      </c>
      <c r="P470" s="440">
        <f t="shared" si="9"/>
        <v>1</v>
      </c>
      <c r="Q470">
        <f t="array" ref="Q470">IF(I470&gt;0,INDEX(DB,I470,9),EventIndex)</f>
        <v>6</v>
      </c>
      <c r="S470">
        <f t="array" ref="S470">(INT(INDEX(MINVALUES,$Q470,$K$1))*60)+(MOD(INDEX(MINVALUES,$Q470,$K$1),1)*100)</f>
        <v>180</v>
      </c>
      <c r="T470">
        <f t="array" ref="T470">(INDEX(INCVALUES,$Q470,$K$1)*100)</f>
        <v>1</v>
      </c>
      <c r="V470">
        <f t="array" ref="V470">+J470+(4*(INDEX(MatchScoreTable,$Q470,20)-1))</f>
        <v>4</v>
      </c>
      <c r="W470">
        <f t="array" ref="W470">INDEX(INC_MINVALUES,$V470,$K$1)</f>
        <v>480</v>
      </c>
      <c r="X470" s="212">
        <f t="array" ref="X470">INDEX(INC_INCVALUES,$V470,$K$1)</f>
        <v>4</v>
      </c>
    </row>
    <row r="471" ht="15.75" customHeight="1">
      <c r="A471" s="435"/>
      <c r="B471" s="436"/>
      <c r="C471" s="95" t="str">
        <f t="array" ref="C471">IF(I471&gt;0,INDEX(DB,I471,8),"")</f>
        <v/>
      </c>
      <c r="D471" s="437">
        <f t="shared" si="1"/>
        <v>0</v>
      </c>
      <c r="F471" s="438">
        <f t="shared" si="2"/>
        <v>0</v>
      </c>
      <c r="G471" t="str">
        <f t="shared" si="3"/>
        <v/>
      </c>
      <c r="H471" t="b">
        <f t="shared" si="4"/>
        <v>0</v>
      </c>
      <c r="I471" s="439">
        <f>IF(OR(ISBLANK(A471),ISNA(MATCH(A471&amp;"",AthleteNumbers,0))),0,MATCH(A471&amp;"",AthleteNumbers,0))</f>
        <v>0</v>
      </c>
      <c r="J471" s="209">
        <f t="array" ref="J471">IF(I471&gt;0,INDEX(DB,$I471,6),0)</f>
        <v>0</v>
      </c>
      <c r="K471" s="446">
        <f t="shared" si="5"/>
        <v>0</v>
      </c>
      <c r="L471" s="440">
        <f t="shared" si="6"/>
        <v>0</v>
      </c>
      <c r="M471" s="441">
        <f>IF(AND(L471&gt;O471,O471&gt;0),MinPoints,IF(AND(L471&lt;N471,O471&gt;0),100,+INT((O471-$L471)/P471)+MinPoints))</f>
        <v>100</v>
      </c>
      <c r="N471" s="440">
        <f t="shared" si="7"/>
        <v>90</v>
      </c>
      <c r="O471" s="440">
        <f t="shared" si="8"/>
        <v>180</v>
      </c>
      <c r="P471" s="440">
        <f t="shared" si="9"/>
        <v>1</v>
      </c>
      <c r="Q471">
        <f t="array" ref="Q471">IF(I471&gt;0,INDEX(DB,I471,9),EventIndex)</f>
        <v>6</v>
      </c>
      <c r="S471">
        <f t="array" ref="S471">(INT(INDEX(MINVALUES,$Q471,$K$1))*60)+(MOD(INDEX(MINVALUES,$Q471,$K$1),1)*100)</f>
        <v>180</v>
      </c>
      <c r="T471">
        <f t="array" ref="T471">(INDEX(INCVALUES,$Q471,$K$1)*100)</f>
        <v>1</v>
      </c>
      <c r="V471">
        <f t="array" ref="V471">+J471+(4*(INDEX(MatchScoreTable,$Q471,20)-1))</f>
        <v>4</v>
      </c>
      <c r="W471">
        <f t="array" ref="W471">INDEX(INC_MINVALUES,$V471,$K$1)</f>
        <v>480</v>
      </c>
      <c r="X471" s="212">
        <f t="array" ref="X471">INDEX(INC_INCVALUES,$V471,$K$1)</f>
        <v>4</v>
      </c>
    </row>
    <row r="472" ht="15.75" customHeight="1">
      <c r="A472" s="435"/>
      <c r="B472" s="436"/>
      <c r="C472" s="95" t="str">
        <f t="array" ref="C472">IF(I472&gt;0,INDEX(DB,I472,8),"")</f>
        <v/>
      </c>
      <c r="D472" s="437">
        <f t="shared" si="1"/>
        <v>0</v>
      </c>
      <c r="F472" s="438">
        <f t="shared" si="2"/>
        <v>0</v>
      </c>
      <c r="G472" t="str">
        <f t="shared" si="3"/>
        <v/>
      </c>
      <c r="H472" t="b">
        <f t="shared" si="4"/>
        <v>0</v>
      </c>
      <c r="I472" s="439">
        <f>IF(OR(ISBLANK(A472),ISNA(MATCH(A472&amp;"",AthleteNumbers,0))),0,MATCH(A472&amp;"",AthleteNumbers,0))</f>
        <v>0</v>
      </c>
      <c r="J472" s="209">
        <f t="array" ref="J472">IF(I472&gt;0,INDEX(DB,$I472,6),0)</f>
        <v>0</v>
      </c>
      <c r="K472" s="446">
        <f t="shared" si="5"/>
        <v>0</v>
      </c>
      <c r="L472" s="440">
        <f t="shared" si="6"/>
        <v>0</v>
      </c>
      <c r="M472" s="441">
        <f>IF(AND(L472&gt;O472,O472&gt;0),MinPoints,IF(AND(L472&lt;N472,O472&gt;0),100,+INT((O472-$L472)/P472)+MinPoints))</f>
        <v>100</v>
      </c>
      <c r="N472" s="440">
        <f t="shared" si="7"/>
        <v>90</v>
      </c>
      <c r="O472" s="440">
        <f t="shared" si="8"/>
        <v>180</v>
      </c>
      <c r="P472" s="440">
        <f t="shared" si="9"/>
        <v>1</v>
      </c>
      <c r="Q472">
        <f t="array" ref="Q472">IF(I472&gt;0,INDEX(DB,I472,9),EventIndex)</f>
        <v>6</v>
      </c>
      <c r="S472">
        <f t="array" ref="S472">(INT(INDEX(MINVALUES,$Q472,$K$1))*60)+(MOD(INDEX(MINVALUES,$Q472,$K$1),1)*100)</f>
        <v>180</v>
      </c>
      <c r="T472">
        <f t="array" ref="T472">(INDEX(INCVALUES,$Q472,$K$1)*100)</f>
        <v>1</v>
      </c>
      <c r="V472">
        <f t="array" ref="V472">+J472+(4*(INDEX(MatchScoreTable,$Q472,20)-1))</f>
        <v>4</v>
      </c>
      <c r="W472">
        <f t="array" ref="W472">INDEX(INC_MINVALUES,$V472,$K$1)</f>
        <v>480</v>
      </c>
      <c r="X472" s="212">
        <f t="array" ref="X472">INDEX(INC_INCVALUES,$V472,$K$1)</f>
        <v>4</v>
      </c>
    </row>
    <row r="473" ht="15.75" customHeight="1">
      <c r="A473" s="435"/>
      <c r="B473" s="436"/>
      <c r="C473" s="95" t="str">
        <f t="array" ref="C473">IF(I473&gt;0,INDEX(DB,I473,8),"")</f>
        <v/>
      </c>
      <c r="D473" s="437">
        <f t="shared" si="1"/>
        <v>0</v>
      </c>
      <c r="F473" s="438">
        <f t="shared" si="2"/>
        <v>0</v>
      </c>
      <c r="G473" t="str">
        <f t="shared" si="3"/>
        <v/>
      </c>
      <c r="H473" t="b">
        <f t="shared" si="4"/>
        <v>0</v>
      </c>
      <c r="I473" s="439">
        <f>IF(OR(ISBLANK(A473),ISNA(MATCH(A473&amp;"",AthleteNumbers,0))),0,MATCH(A473&amp;"",AthleteNumbers,0))</f>
        <v>0</v>
      </c>
      <c r="J473" s="209">
        <f t="array" ref="J473">IF(I473&gt;0,INDEX(DB,$I473,6),0)</f>
        <v>0</v>
      </c>
      <c r="K473" s="446">
        <f t="shared" si="5"/>
        <v>0</v>
      </c>
      <c r="L473" s="440">
        <f t="shared" si="6"/>
        <v>0</v>
      </c>
      <c r="M473" s="441">
        <f>IF(AND(L473&gt;O473,O473&gt;0),MinPoints,IF(AND(L473&lt;N473,O473&gt;0),100,+INT((O473-$L473)/P473)+MinPoints))</f>
        <v>100</v>
      </c>
      <c r="N473" s="440">
        <f t="shared" si="7"/>
        <v>90</v>
      </c>
      <c r="O473" s="440">
        <f t="shared" si="8"/>
        <v>180</v>
      </c>
      <c r="P473" s="440">
        <f t="shared" si="9"/>
        <v>1</v>
      </c>
      <c r="Q473">
        <f t="array" ref="Q473">IF(I473&gt;0,INDEX(DB,I473,9),EventIndex)</f>
        <v>6</v>
      </c>
      <c r="S473">
        <f t="array" ref="S473">(INT(INDEX(MINVALUES,$Q473,$K$1))*60)+(MOD(INDEX(MINVALUES,$Q473,$K$1),1)*100)</f>
        <v>180</v>
      </c>
      <c r="T473">
        <f t="array" ref="T473">(INDEX(INCVALUES,$Q473,$K$1)*100)</f>
        <v>1</v>
      </c>
      <c r="V473">
        <f t="array" ref="V473">+J473+(4*(INDEX(MatchScoreTable,$Q473,20)-1))</f>
        <v>4</v>
      </c>
      <c r="W473">
        <f t="array" ref="W473">INDEX(INC_MINVALUES,$V473,$K$1)</f>
        <v>480</v>
      </c>
      <c r="X473" s="212">
        <f t="array" ref="X473">INDEX(INC_INCVALUES,$V473,$K$1)</f>
        <v>4</v>
      </c>
    </row>
    <row r="474" ht="15.75" customHeight="1">
      <c r="A474" s="435"/>
      <c r="B474" s="436"/>
      <c r="C474" s="95" t="str">
        <f t="array" ref="C474">IF(I474&gt;0,INDEX(DB,I474,8),"")</f>
        <v/>
      </c>
      <c r="D474" s="437">
        <f t="shared" si="1"/>
        <v>0</v>
      </c>
      <c r="F474" s="438">
        <f t="shared" si="2"/>
        <v>0</v>
      </c>
      <c r="G474" t="str">
        <f t="shared" si="3"/>
        <v/>
      </c>
      <c r="H474" t="b">
        <f t="shared" si="4"/>
        <v>0</v>
      </c>
      <c r="I474" s="439">
        <f>IF(OR(ISBLANK(A474),ISNA(MATCH(A474&amp;"",AthleteNumbers,0))),0,MATCH(A474&amp;"",AthleteNumbers,0))</f>
        <v>0</v>
      </c>
      <c r="J474" s="209">
        <f t="array" ref="J474">IF(I474&gt;0,INDEX(DB,$I474,6),0)</f>
        <v>0</v>
      </c>
      <c r="K474" s="446">
        <f t="shared" si="5"/>
        <v>0</v>
      </c>
      <c r="L474" s="440">
        <f t="shared" si="6"/>
        <v>0</v>
      </c>
      <c r="M474" s="441">
        <f>IF(AND(L474&gt;O474,O474&gt;0),MinPoints,IF(AND(L474&lt;N474,O474&gt;0),100,+INT((O474-$L474)/P474)+MinPoints))</f>
        <v>100</v>
      </c>
      <c r="N474" s="440">
        <f t="shared" si="7"/>
        <v>90</v>
      </c>
      <c r="O474" s="440">
        <f t="shared" si="8"/>
        <v>180</v>
      </c>
      <c r="P474" s="440">
        <f t="shared" si="9"/>
        <v>1</v>
      </c>
      <c r="Q474">
        <f t="array" ref="Q474">IF(I474&gt;0,INDEX(DB,I474,9),EventIndex)</f>
        <v>6</v>
      </c>
      <c r="S474">
        <f t="array" ref="S474">(INT(INDEX(MINVALUES,$Q474,$K$1))*60)+(MOD(INDEX(MINVALUES,$Q474,$K$1),1)*100)</f>
        <v>180</v>
      </c>
      <c r="T474">
        <f t="array" ref="T474">(INDEX(INCVALUES,$Q474,$K$1)*100)</f>
        <v>1</v>
      </c>
      <c r="V474">
        <f t="array" ref="V474">+J474+(4*(INDEX(MatchScoreTable,$Q474,20)-1))</f>
        <v>4</v>
      </c>
      <c r="W474">
        <f t="array" ref="W474">INDEX(INC_MINVALUES,$V474,$K$1)</f>
        <v>480</v>
      </c>
      <c r="X474" s="212">
        <f t="array" ref="X474">INDEX(INC_INCVALUES,$V474,$K$1)</f>
        <v>4</v>
      </c>
    </row>
    <row r="475" ht="15.75" customHeight="1">
      <c r="A475" s="435"/>
      <c r="B475" s="436"/>
      <c r="C475" s="95" t="str">
        <f t="array" ref="C475">IF(I475&gt;0,INDEX(DB,I475,8),"")</f>
        <v/>
      </c>
      <c r="D475" s="437">
        <f t="shared" si="1"/>
        <v>0</v>
      </c>
      <c r="F475" s="438">
        <f t="shared" si="2"/>
        <v>0</v>
      </c>
      <c r="G475" t="str">
        <f t="shared" si="3"/>
        <v/>
      </c>
      <c r="H475" t="b">
        <f t="shared" si="4"/>
        <v>0</v>
      </c>
      <c r="I475" s="439">
        <f>IF(OR(ISBLANK(A475),ISNA(MATCH(A475&amp;"",AthleteNumbers,0))),0,MATCH(A475&amp;"",AthleteNumbers,0))</f>
        <v>0</v>
      </c>
      <c r="J475" s="209">
        <f t="array" ref="J475">IF(I475&gt;0,INDEX(DB,$I475,6),0)</f>
        <v>0</v>
      </c>
      <c r="K475" s="446">
        <f t="shared" si="5"/>
        <v>0</v>
      </c>
      <c r="L475" s="440">
        <f t="shared" si="6"/>
        <v>0</v>
      </c>
      <c r="M475" s="441">
        <f>IF(AND(L475&gt;O475,O475&gt;0),MinPoints,IF(AND(L475&lt;N475,O475&gt;0),100,+INT((O475-$L475)/P475)+MinPoints))</f>
        <v>100</v>
      </c>
      <c r="N475" s="440">
        <f t="shared" si="7"/>
        <v>90</v>
      </c>
      <c r="O475" s="440">
        <f t="shared" si="8"/>
        <v>180</v>
      </c>
      <c r="P475" s="440">
        <f t="shared" si="9"/>
        <v>1</v>
      </c>
      <c r="Q475">
        <f t="array" ref="Q475">IF(I475&gt;0,INDEX(DB,I475,9),EventIndex)</f>
        <v>6</v>
      </c>
      <c r="S475">
        <f t="array" ref="S475">(INT(INDEX(MINVALUES,$Q475,$K$1))*60)+(MOD(INDEX(MINVALUES,$Q475,$K$1),1)*100)</f>
        <v>180</v>
      </c>
      <c r="T475">
        <f t="array" ref="T475">(INDEX(INCVALUES,$Q475,$K$1)*100)</f>
        <v>1</v>
      </c>
      <c r="V475">
        <f t="array" ref="V475">+J475+(4*(INDEX(MatchScoreTable,$Q475,20)-1))</f>
        <v>4</v>
      </c>
      <c r="W475">
        <f t="array" ref="W475">INDEX(INC_MINVALUES,$V475,$K$1)</f>
        <v>480</v>
      </c>
      <c r="X475" s="212">
        <f t="array" ref="X475">INDEX(INC_INCVALUES,$V475,$K$1)</f>
        <v>4</v>
      </c>
    </row>
    <row r="476" ht="15.75" customHeight="1">
      <c r="A476" s="435"/>
      <c r="B476" s="436"/>
      <c r="C476" s="95" t="str">
        <f t="array" ref="C476">IF(I476&gt;0,INDEX(DB,I476,8),"")</f>
        <v/>
      </c>
      <c r="D476" s="437">
        <f t="shared" si="1"/>
        <v>0</v>
      </c>
      <c r="F476" s="438">
        <f t="shared" si="2"/>
        <v>0</v>
      </c>
      <c r="G476" t="str">
        <f t="shared" si="3"/>
        <v/>
      </c>
      <c r="H476" t="b">
        <f t="shared" si="4"/>
        <v>0</v>
      </c>
      <c r="I476" s="439">
        <f>IF(OR(ISBLANK(A476),ISNA(MATCH(A476&amp;"",AthleteNumbers,0))),0,MATCH(A476&amp;"",AthleteNumbers,0))</f>
        <v>0</v>
      </c>
      <c r="J476" s="209">
        <f t="array" ref="J476">IF(I476&gt;0,INDEX(DB,$I476,6),0)</f>
        <v>0</v>
      </c>
      <c r="K476" s="446">
        <f t="shared" si="5"/>
        <v>0</v>
      </c>
      <c r="L476" s="440">
        <f t="shared" si="6"/>
        <v>0</v>
      </c>
      <c r="M476" s="441">
        <f>IF(AND(L476&gt;O476,O476&gt;0),MinPoints,IF(AND(L476&lt;N476,O476&gt;0),100,+INT((O476-$L476)/P476)+MinPoints))</f>
        <v>100</v>
      </c>
      <c r="N476" s="440">
        <f t="shared" si="7"/>
        <v>90</v>
      </c>
      <c r="O476" s="440">
        <f t="shared" si="8"/>
        <v>180</v>
      </c>
      <c r="P476" s="440">
        <f t="shared" si="9"/>
        <v>1</v>
      </c>
      <c r="Q476">
        <f t="array" ref="Q476">IF(I476&gt;0,INDEX(DB,I476,9),EventIndex)</f>
        <v>6</v>
      </c>
      <c r="S476">
        <f t="array" ref="S476">(INT(INDEX(MINVALUES,$Q476,$K$1))*60)+(MOD(INDEX(MINVALUES,$Q476,$K$1),1)*100)</f>
        <v>180</v>
      </c>
      <c r="T476">
        <f t="array" ref="T476">(INDEX(INCVALUES,$Q476,$K$1)*100)</f>
        <v>1</v>
      </c>
      <c r="V476">
        <f t="array" ref="V476">+J476+(4*(INDEX(MatchScoreTable,$Q476,20)-1))</f>
        <v>4</v>
      </c>
      <c r="W476">
        <f t="array" ref="W476">INDEX(INC_MINVALUES,$V476,$K$1)</f>
        <v>480</v>
      </c>
      <c r="X476" s="212">
        <f t="array" ref="X476">INDEX(INC_INCVALUES,$V476,$K$1)</f>
        <v>4</v>
      </c>
    </row>
    <row r="477" ht="15.75" customHeight="1">
      <c r="A477" s="435"/>
      <c r="B477" s="436"/>
      <c r="C477" s="95" t="str">
        <f t="array" ref="C477">IF(I477&gt;0,INDEX(DB,I477,8),"")</f>
        <v/>
      </c>
      <c r="D477" s="437">
        <f t="shared" si="1"/>
        <v>0</v>
      </c>
      <c r="F477" s="438">
        <f t="shared" si="2"/>
        <v>0</v>
      </c>
      <c r="G477" t="str">
        <f t="shared" si="3"/>
        <v/>
      </c>
      <c r="H477" t="b">
        <f t="shared" si="4"/>
        <v>0</v>
      </c>
      <c r="I477" s="439">
        <f>IF(OR(ISBLANK(A477),ISNA(MATCH(A477&amp;"",AthleteNumbers,0))),0,MATCH(A477&amp;"",AthleteNumbers,0))</f>
        <v>0</v>
      </c>
      <c r="J477" s="209">
        <f t="array" ref="J477">IF(I477&gt;0,INDEX(DB,$I477,6),0)</f>
        <v>0</v>
      </c>
      <c r="K477" s="446">
        <f t="shared" si="5"/>
        <v>0</v>
      </c>
      <c r="L477" s="440">
        <f t="shared" si="6"/>
        <v>0</v>
      </c>
      <c r="M477" s="441">
        <f>IF(AND(L477&gt;O477,O477&gt;0),MinPoints,IF(AND(L477&lt;N477,O477&gt;0),100,+INT((O477-$L477)/P477)+MinPoints))</f>
        <v>100</v>
      </c>
      <c r="N477" s="440">
        <f t="shared" si="7"/>
        <v>90</v>
      </c>
      <c r="O477" s="440">
        <f t="shared" si="8"/>
        <v>180</v>
      </c>
      <c r="P477" s="440">
        <f t="shared" si="9"/>
        <v>1</v>
      </c>
      <c r="Q477">
        <f t="array" ref="Q477">IF(I477&gt;0,INDEX(DB,I477,9),EventIndex)</f>
        <v>6</v>
      </c>
      <c r="S477">
        <f t="array" ref="S477">(INT(INDEX(MINVALUES,$Q477,$K$1))*60)+(MOD(INDEX(MINVALUES,$Q477,$K$1),1)*100)</f>
        <v>180</v>
      </c>
      <c r="T477">
        <f t="array" ref="T477">(INDEX(INCVALUES,$Q477,$K$1)*100)</f>
        <v>1</v>
      </c>
      <c r="V477">
        <f t="array" ref="V477">+J477+(4*(INDEX(MatchScoreTable,$Q477,20)-1))</f>
        <v>4</v>
      </c>
      <c r="W477">
        <f t="array" ref="W477">INDEX(INC_MINVALUES,$V477,$K$1)</f>
        <v>480</v>
      </c>
      <c r="X477" s="212">
        <f t="array" ref="X477">INDEX(INC_INCVALUES,$V477,$K$1)</f>
        <v>4</v>
      </c>
    </row>
    <row r="478" ht="15.75" customHeight="1">
      <c r="A478" s="435"/>
      <c r="B478" s="436"/>
      <c r="C478" s="95" t="str">
        <f t="array" ref="C478">IF(I478&gt;0,INDEX(DB,I478,8),"")</f>
        <v/>
      </c>
      <c r="D478" s="437">
        <f t="shared" si="1"/>
        <v>0</v>
      </c>
      <c r="F478" s="438">
        <f t="shared" si="2"/>
        <v>0</v>
      </c>
      <c r="G478" t="str">
        <f t="shared" si="3"/>
        <v/>
      </c>
      <c r="H478" t="b">
        <f t="shared" si="4"/>
        <v>0</v>
      </c>
      <c r="I478" s="439">
        <f>IF(OR(ISBLANK(A478),ISNA(MATCH(A478&amp;"",AthleteNumbers,0))),0,MATCH(A478&amp;"",AthleteNumbers,0))</f>
        <v>0</v>
      </c>
      <c r="J478" s="209">
        <f t="array" ref="J478">IF(I478&gt;0,INDEX(DB,$I478,6),0)</f>
        <v>0</v>
      </c>
      <c r="K478" s="446">
        <f t="shared" si="5"/>
        <v>0</v>
      </c>
      <c r="L478" s="440">
        <f t="shared" si="6"/>
        <v>0</v>
      </c>
      <c r="M478" s="441">
        <f>IF(AND(L478&gt;O478,O478&gt;0),MinPoints,IF(AND(L478&lt;N478,O478&gt;0),100,+INT((O478-$L478)/P478)+MinPoints))</f>
        <v>100</v>
      </c>
      <c r="N478" s="440">
        <f t="shared" si="7"/>
        <v>90</v>
      </c>
      <c r="O478" s="440">
        <f t="shared" si="8"/>
        <v>180</v>
      </c>
      <c r="P478" s="440">
        <f t="shared" si="9"/>
        <v>1</v>
      </c>
      <c r="Q478">
        <f t="array" ref="Q478">IF(I478&gt;0,INDEX(DB,I478,9),EventIndex)</f>
        <v>6</v>
      </c>
      <c r="S478">
        <f t="array" ref="S478">(INT(INDEX(MINVALUES,$Q478,$K$1))*60)+(MOD(INDEX(MINVALUES,$Q478,$K$1),1)*100)</f>
        <v>180</v>
      </c>
      <c r="T478">
        <f t="array" ref="T478">(INDEX(INCVALUES,$Q478,$K$1)*100)</f>
        <v>1</v>
      </c>
      <c r="V478">
        <f t="array" ref="V478">+J478+(4*(INDEX(MatchScoreTable,$Q478,20)-1))</f>
        <v>4</v>
      </c>
      <c r="W478">
        <f t="array" ref="W478">INDEX(INC_MINVALUES,$V478,$K$1)</f>
        <v>480</v>
      </c>
      <c r="X478" s="212">
        <f t="array" ref="X478">INDEX(INC_INCVALUES,$V478,$K$1)</f>
        <v>4</v>
      </c>
    </row>
    <row r="479" ht="15.75" customHeight="1">
      <c r="A479" s="435"/>
      <c r="B479" s="436"/>
      <c r="C479" s="95" t="str">
        <f t="array" ref="C479">IF(I479&gt;0,INDEX(DB,I479,8),"")</f>
        <v/>
      </c>
      <c r="D479" s="437">
        <f t="shared" si="1"/>
        <v>0</v>
      </c>
      <c r="F479" s="438">
        <f t="shared" si="2"/>
        <v>0</v>
      </c>
      <c r="G479" t="str">
        <f t="shared" si="3"/>
        <v/>
      </c>
      <c r="H479" t="b">
        <f t="shared" si="4"/>
        <v>0</v>
      </c>
      <c r="I479" s="439">
        <f>IF(OR(ISBLANK(A479),ISNA(MATCH(A479&amp;"",AthleteNumbers,0))),0,MATCH(A479&amp;"",AthleteNumbers,0))</f>
        <v>0</v>
      </c>
      <c r="J479" s="209">
        <f t="array" ref="J479">IF(I479&gt;0,INDEX(DB,$I479,6),0)</f>
        <v>0</v>
      </c>
      <c r="K479" s="446">
        <f t="shared" si="5"/>
        <v>0</v>
      </c>
      <c r="L479" s="440">
        <f t="shared" si="6"/>
        <v>0</v>
      </c>
      <c r="M479" s="441">
        <f>IF(AND(L479&gt;O479,O479&gt;0),MinPoints,IF(AND(L479&lt;N479,O479&gt;0),100,+INT((O479-$L479)/P479)+MinPoints))</f>
        <v>100</v>
      </c>
      <c r="N479" s="440">
        <f t="shared" si="7"/>
        <v>90</v>
      </c>
      <c r="O479" s="440">
        <f t="shared" si="8"/>
        <v>180</v>
      </c>
      <c r="P479" s="440">
        <f t="shared" si="9"/>
        <v>1</v>
      </c>
      <c r="Q479">
        <f t="array" ref="Q479">IF(I479&gt;0,INDEX(DB,I479,9),EventIndex)</f>
        <v>6</v>
      </c>
      <c r="S479">
        <f t="array" ref="S479">(INT(INDEX(MINVALUES,$Q479,$K$1))*60)+(MOD(INDEX(MINVALUES,$Q479,$K$1),1)*100)</f>
        <v>180</v>
      </c>
      <c r="T479">
        <f t="array" ref="T479">(INDEX(INCVALUES,$Q479,$K$1)*100)</f>
        <v>1</v>
      </c>
      <c r="V479">
        <f t="array" ref="V479">+J479+(4*(INDEX(MatchScoreTable,$Q479,20)-1))</f>
        <v>4</v>
      </c>
      <c r="W479">
        <f t="array" ref="W479">INDEX(INC_MINVALUES,$V479,$K$1)</f>
        <v>480</v>
      </c>
      <c r="X479" s="212">
        <f t="array" ref="X479">INDEX(INC_INCVALUES,$V479,$K$1)</f>
        <v>4</v>
      </c>
    </row>
    <row r="480" ht="15.75" customHeight="1">
      <c r="A480" s="435"/>
      <c r="B480" s="436"/>
      <c r="C480" s="95" t="str">
        <f t="array" ref="C480">IF(I480&gt;0,INDEX(DB,I480,8),"")</f>
        <v/>
      </c>
      <c r="D480" s="437">
        <f t="shared" si="1"/>
        <v>0</v>
      </c>
      <c r="F480" s="438">
        <f t="shared" si="2"/>
        <v>0</v>
      </c>
      <c r="G480" t="str">
        <f t="shared" si="3"/>
        <v/>
      </c>
      <c r="H480" t="b">
        <f t="shared" si="4"/>
        <v>0</v>
      </c>
      <c r="I480" s="439">
        <f>IF(OR(ISBLANK(A480),ISNA(MATCH(A480&amp;"",AthleteNumbers,0))),0,MATCH(A480&amp;"",AthleteNumbers,0))</f>
        <v>0</v>
      </c>
      <c r="J480" s="209">
        <f t="array" ref="J480">IF(I480&gt;0,INDEX(DB,$I480,6),0)</f>
        <v>0</v>
      </c>
      <c r="K480" s="446">
        <f t="shared" si="5"/>
        <v>0</v>
      </c>
      <c r="L480" s="440">
        <f t="shared" si="6"/>
        <v>0</v>
      </c>
      <c r="M480" s="441">
        <f>IF(AND(L480&gt;O480,O480&gt;0),MinPoints,IF(AND(L480&lt;N480,O480&gt;0),100,+INT((O480-$L480)/P480)+MinPoints))</f>
        <v>100</v>
      </c>
      <c r="N480" s="440">
        <f t="shared" si="7"/>
        <v>90</v>
      </c>
      <c r="O480" s="440">
        <f t="shared" si="8"/>
        <v>180</v>
      </c>
      <c r="P480" s="440">
        <f t="shared" si="9"/>
        <v>1</v>
      </c>
      <c r="Q480">
        <f t="array" ref="Q480">IF(I480&gt;0,INDEX(DB,I480,9),EventIndex)</f>
        <v>6</v>
      </c>
      <c r="S480">
        <f t="array" ref="S480">(INT(INDEX(MINVALUES,$Q480,$K$1))*60)+(MOD(INDEX(MINVALUES,$Q480,$K$1),1)*100)</f>
        <v>180</v>
      </c>
      <c r="T480">
        <f t="array" ref="T480">(INDEX(INCVALUES,$Q480,$K$1)*100)</f>
        <v>1</v>
      </c>
      <c r="V480">
        <f t="array" ref="V480">+J480+(4*(INDEX(MatchScoreTable,$Q480,20)-1))</f>
        <v>4</v>
      </c>
      <c r="W480">
        <f t="array" ref="W480">INDEX(INC_MINVALUES,$V480,$K$1)</f>
        <v>480</v>
      </c>
      <c r="X480" s="212">
        <f t="array" ref="X480">INDEX(INC_INCVALUES,$V480,$K$1)</f>
        <v>4</v>
      </c>
    </row>
    <row r="481" ht="15.75" customHeight="1">
      <c r="A481" s="435"/>
      <c r="B481" s="436"/>
      <c r="C481" s="95" t="str">
        <f t="array" ref="C481">IF(I481&gt;0,INDEX(DB,I481,8),"")</f>
        <v/>
      </c>
      <c r="D481" s="437">
        <f t="shared" si="1"/>
        <v>0</v>
      </c>
      <c r="F481" s="438">
        <f t="shared" si="2"/>
        <v>0</v>
      </c>
      <c r="G481" t="str">
        <f t="shared" si="3"/>
        <v/>
      </c>
      <c r="H481" t="b">
        <f t="shared" si="4"/>
        <v>0</v>
      </c>
      <c r="I481" s="439">
        <f>IF(OR(ISBLANK(A481),ISNA(MATCH(A481&amp;"",AthleteNumbers,0))),0,MATCH(A481&amp;"",AthleteNumbers,0))</f>
        <v>0</v>
      </c>
      <c r="J481" s="209">
        <f t="array" ref="J481">IF(I481&gt;0,INDEX(DB,$I481,6),0)</f>
        <v>0</v>
      </c>
      <c r="K481" s="446">
        <f t="shared" si="5"/>
        <v>0</v>
      </c>
      <c r="L481" s="440">
        <f t="shared" si="6"/>
        <v>0</v>
      </c>
      <c r="M481" s="441">
        <f>IF(AND(L481&gt;O481,O481&gt;0),MinPoints,IF(AND(L481&lt;N481,O481&gt;0),100,+INT((O481-$L481)/P481)+MinPoints))</f>
        <v>100</v>
      </c>
      <c r="N481" s="440">
        <f t="shared" si="7"/>
        <v>90</v>
      </c>
      <c r="O481" s="440">
        <f t="shared" si="8"/>
        <v>180</v>
      </c>
      <c r="P481" s="440">
        <f t="shared" si="9"/>
        <v>1</v>
      </c>
      <c r="Q481">
        <f t="array" ref="Q481">IF(I481&gt;0,INDEX(DB,I481,9),EventIndex)</f>
        <v>6</v>
      </c>
      <c r="S481">
        <f t="array" ref="S481">(INT(INDEX(MINVALUES,$Q481,$K$1))*60)+(MOD(INDEX(MINVALUES,$Q481,$K$1),1)*100)</f>
        <v>180</v>
      </c>
      <c r="T481">
        <f t="array" ref="T481">(INDEX(INCVALUES,$Q481,$K$1)*100)</f>
        <v>1</v>
      </c>
      <c r="V481">
        <f t="array" ref="V481">+J481+(4*(INDEX(MatchScoreTable,$Q481,20)-1))</f>
        <v>4</v>
      </c>
      <c r="W481">
        <f t="array" ref="W481">INDEX(INC_MINVALUES,$V481,$K$1)</f>
        <v>480</v>
      </c>
      <c r="X481" s="212">
        <f t="array" ref="X481">INDEX(INC_INCVALUES,$V481,$K$1)</f>
        <v>4</v>
      </c>
    </row>
    <row r="482" ht="15.75" customHeight="1">
      <c r="A482" s="435"/>
      <c r="B482" s="436"/>
      <c r="C482" s="95" t="str">
        <f t="array" ref="C482">IF(I482&gt;0,INDEX(DB,I482,8),"")</f>
        <v/>
      </c>
      <c r="D482" s="437">
        <f t="shared" si="1"/>
        <v>0</v>
      </c>
      <c r="F482" s="438">
        <f t="shared" si="2"/>
        <v>0</v>
      </c>
      <c r="G482" t="str">
        <f t="shared" si="3"/>
        <v/>
      </c>
      <c r="H482" t="b">
        <f t="shared" si="4"/>
        <v>0</v>
      </c>
      <c r="I482" s="439">
        <f>IF(OR(ISBLANK(A482),ISNA(MATCH(A482&amp;"",AthleteNumbers,0))),0,MATCH(A482&amp;"",AthleteNumbers,0))</f>
        <v>0</v>
      </c>
      <c r="J482" s="209">
        <f t="array" ref="J482">IF(I482&gt;0,INDEX(DB,$I482,6),0)</f>
        <v>0</v>
      </c>
      <c r="K482" s="446">
        <f t="shared" si="5"/>
        <v>0</v>
      </c>
      <c r="L482" s="440">
        <f t="shared" si="6"/>
        <v>0</v>
      </c>
      <c r="M482" s="441">
        <f>IF(AND(L482&gt;O482,O482&gt;0),MinPoints,IF(AND(L482&lt;N482,O482&gt;0),100,+INT((O482-$L482)/P482)+MinPoints))</f>
        <v>100</v>
      </c>
      <c r="N482" s="440">
        <f t="shared" si="7"/>
        <v>90</v>
      </c>
      <c r="O482" s="440">
        <f t="shared" si="8"/>
        <v>180</v>
      </c>
      <c r="P482" s="440">
        <f t="shared" si="9"/>
        <v>1</v>
      </c>
      <c r="Q482">
        <f t="array" ref="Q482">IF(I482&gt;0,INDEX(DB,I482,9),EventIndex)</f>
        <v>6</v>
      </c>
      <c r="S482">
        <f t="array" ref="S482">(INT(INDEX(MINVALUES,$Q482,$K$1))*60)+(MOD(INDEX(MINVALUES,$Q482,$K$1),1)*100)</f>
        <v>180</v>
      </c>
      <c r="T482">
        <f t="array" ref="T482">(INDEX(INCVALUES,$Q482,$K$1)*100)</f>
        <v>1</v>
      </c>
      <c r="V482">
        <f t="array" ref="V482">+J482+(4*(INDEX(MatchScoreTable,$Q482,20)-1))</f>
        <v>4</v>
      </c>
      <c r="W482">
        <f t="array" ref="W482">INDEX(INC_MINVALUES,$V482,$K$1)</f>
        <v>480</v>
      </c>
      <c r="X482" s="212">
        <f t="array" ref="X482">INDEX(INC_INCVALUES,$V482,$K$1)</f>
        <v>4</v>
      </c>
    </row>
    <row r="483" ht="15.75" customHeight="1">
      <c r="A483" s="435"/>
      <c r="B483" s="436"/>
      <c r="C483" s="95" t="str">
        <f t="array" ref="C483">IF(I483&gt;0,INDEX(DB,I483,8),"")</f>
        <v/>
      </c>
      <c r="D483" s="437">
        <f t="shared" si="1"/>
        <v>0</v>
      </c>
      <c r="F483" s="438">
        <f t="shared" si="2"/>
        <v>0</v>
      </c>
      <c r="G483" t="str">
        <f t="shared" si="3"/>
        <v/>
      </c>
      <c r="H483" t="b">
        <f t="shared" si="4"/>
        <v>0</v>
      </c>
      <c r="I483" s="439">
        <f>IF(OR(ISBLANK(A483),ISNA(MATCH(A483&amp;"",AthleteNumbers,0))),0,MATCH(A483&amp;"",AthleteNumbers,0))</f>
        <v>0</v>
      </c>
      <c r="J483" s="209">
        <f t="array" ref="J483">IF(I483&gt;0,INDEX(DB,$I483,6),0)</f>
        <v>0</v>
      </c>
      <c r="K483" s="446">
        <f t="shared" si="5"/>
        <v>0</v>
      </c>
      <c r="L483" s="440">
        <f t="shared" si="6"/>
        <v>0</v>
      </c>
      <c r="M483" s="441">
        <f>IF(AND(L483&gt;O483,O483&gt;0),MinPoints,IF(AND(L483&lt;N483,O483&gt;0),100,+INT((O483-$L483)/P483)+MinPoints))</f>
        <v>100</v>
      </c>
      <c r="N483" s="440">
        <f t="shared" si="7"/>
        <v>90</v>
      </c>
      <c r="O483" s="440">
        <f t="shared" si="8"/>
        <v>180</v>
      </c>
      <c r="P483" s="440">
        <f t="shared" si="9"/>
        <v>1</v>
      </c>
      <c r="Q483">
        <f t="array" ref="Q483">IF(I483&gt;0,INDEX(DB,I483,9),EventIndex)</f>
        <v>6</v>
      </c>
      <c r="S483">
        <f t="array" ref="S483">(INT(INDEX(MINVALUES,$Q483,$K$1))*60)+(MOD(INDEX(MINVALUES,$Q483,$K$1),1)*100)</f>
        <v>180</v>
      </c>
      <c r="T483">
        <f t="array" ref="T483">(INDEX(INCVALUES,$Q483,$K$1)*100)</f>
        <v>1</v>
      </c>
      <c r="V483">
        <f t="array" ref="V483">+J483+(4*(INDEX(MatchScoreTable,$Q483,20)-1))</f>
        <v>4</v>
      </c>
      <c r="W483">
        <f t="array" ref="W483">INDEX(INC_MINVALUES,$V483,$K$1)</f>
        <v>480</v>
      </c>
      <c r="X483" s="212">
        <f t="array" ref="X483">INDEX(INC_INCVALUES,$V483,$K$1)</f>
        <v>4</v>
      </c>
    </row>
    <row r="484" ht="15.75" customHeight="1">
      <c r="A484" s="435"/>
      <c r="B484" s="436"/>
      <c r="C484" s="95" t="str">
        <f t="array" ref="C484">IF(I484&gt;0,INDEX(DB,I484,8),"")</f>
        <v/>
      </c>
      <c r="D484" s="437">
        <f t="shared" si="1"/>
        <v>0</v>
      </c>
      <c r="F484" s="438">
        <f t="shared" si="2"/>
        <v>0</v>
      </c>
      <c r="G484" t="str">
        <f t="shared" si="3"/>
        <v/>
      </c>
      <c r="H484" t="b">
        <f t="shared" si="4"/>
        <v>0</v>
      </c>
      <c r="I484" s="439">
        <f>IF(OR(ISBLANK(A484),ISNA(MATCH(A484&amp;"",AthleteNumbers,0))),0,MATCH(A484&amp;"",AthleteNumbers,0))</f>
        <v>0</v>
      </c>
      <c r="J484" s="209">
        <f t="array" ref="J484">IF(I484&gt;0,INDEX(DB,$I484,6),0)</f>
        <v>0</v>
      </c>
      <c r="K484" s="446">
        <f t="shared" si="5"/>
        <v>0</v>
      </c>
      <c r="L484" s="440">
        <f t="shared" si="6"/>
        <v>0</v>
      </c>
      <c r="M484" s="441">
        <f>IF(AND(L484&gt;O484,O484&gt;0),MinPoints,IF(AND(L484&lt;N484,O484&gt;0),100,+INT((O484-$L484)/P484)+MinPoints))</f>
        <v>100</v>
      </c>
      <c r="N484" s="440">
        <f t="shared" si="7"/>
        <v>90</v>
      </c>
      <c r="O484" s="440">
        <f t="shared" si="8"/>
        <v>180</v>
      </c>
      <c r="P484" s="440">
        <f t="shared" si="9"/>
        <v>1</v>
      </c>
      <c r="Q484">
        <f t="array" ref="Q484">IF(I484&gt;0,INDEX(DB,I484,9),EventIndex)</f>
        <v>6</v>
      </c>
      <c r="S484">
        <f t="array" ref="S484">(INT(INDEX(MINVALUES,$Q484,$K$1))*60)+(MOD(INDEX(MINVALUES,$Q484,$K$1),1)*100)</f>
        <v>180</v>
      </c>
      <c r="T484">
        <f t="array" ref="T484">(INDEX(INCVALUES,$Q484,$K$1)*100)</f>
        <v>1</v>
      </c>
      <c r="V484">
        <f t="array" ref="V484">+J484+(4*(INDEX(MatchScoreTable,$Q484,20)-1))</f>
        <v>4</v>
      </c>
      <c r="W484">
        <f t="array" ref="W484">INDEX(INC_MINVALUES,$V484,$K$1)</f>
        <v>480</v>
      </c>
      <c r="X484" s="212">
        <f t="array" ref="X484">INDEX(INC_INCVALUES,$V484,$K$1)</f>
        <v>4</v>
      </c>
    </row>
    <row r="485" ht="15.75" customHeight="1">
      <c r="A485" s="435"/>
      <c r="B485" s="436"/>
      <c r="C485" s="95" t="str">
        <f t="array" ref="C485">IF(I485&gt;0,INDEX(DB,I485,8),"")</f>
        <v/>
      </c>
      <c r="D485" s="437">
        <f t="shared" si="1"/>
        <v>0</v>
      </c>
      <c r="F485" s="438">
        <f t="shared" si="2"/>
        <v>0</v>
      </c>
      <c r="G485" t="str">
        <f t="shared" si="3"/>
        <v/>
      </c>
      <c r="H485" t="b">
        <f t="shared" si="4"/>
        <v>0</v>
      </c>
      <c r="I485" s="439">
        <f>IF(OR(ISBLANK(A485),ISNA(MATCH(A485&amp;"",AthleteNumbers,0))),0,MATCH(A485&amp;"",AthleteNumbers,0))</f>
        <v>0</v>
      </c>
      <c r="J485" s="209">
        <f t="array" ref="J485">IF(I485&gt;0,INDEX(DB,$I485,6),0)</f>
        <v>0</v>
      </c>
      <c r="K485" s="446">
        <f t="shared" si="5"/>
        <v>0</v>
      </c>
      <c r="L485" s="440">
        <f t="shared" si="6"/>
        <v>0</v>
      </c>
      <c r="M485" s="441">
        <f>IF(AND(L485&gt;O485,O485&gt;0),MinPoints,IF(AND(L485&lt;N485,O485&gt;0),100,+INT((O485-$L485)/P485)+MinPoints))</f>
        <v>100</v>
      </c>
      <c r="N485" s="440">
        <f t="shared" si="7"/>
        <v>90</v>
      </c>
      <c r="O485" s="440">
        <f t="shared" si="8"/>
        <v>180</v>
      </c>
      <c r="P485" s="440">
        <f t="shared" si="9"/>
        <v>1</v>
      </c>
      <c r="Q485">
        <f t="array" ref="Q485">IF(I485&gt;0,INDEX(DB,I485,9),EventIndex)</f>
        <v>6</v>
      </c>
      <c r="S485">
        <f t="array" ref="S485">(INT(INDEX(MINVALUES,$Q485,$K$1))*60)+(MOD(INDEX(MINVALUES,$Q485,$K$1),1)*100)</f>
        <v>180</v>
      </c>
      <c r="T485">
        <f t="array" ref="T485">(INDEX(INCVALUES,$Q485,$K$1)*100)</f>
        <v>1</v>
      </c>
      <c r="V485">
        <f t="array" ref="V485">+J485+(4*(INDEX(MatchScoreTable,$Q485,20)-1))</f>
        <v>4</v>
      </c>
      <c r="W485">
        <f t="array" ref="W485">INDEX(INC_MINVALUES,$V485,$K$1)</f>
        <v>480</v>
      </c>
      <c r="X485" s="212">
        <f t="array" ref="X485">INDEX(INC_INCVALUES,$V485,$K$1)</f>
        <v>4</v>
      </c>
    </row>
    <row r="486" ht="15.75" customHeight="1">
      <c r="A486" s="435"/>
      <c r="B486" s="436"/>
      <c r="C486" s="95" t="str">
        <f t="array" ref="C486">IF(I486&gt;0,INDEX(DB,I486,8),"")</f>
        <v/>
      </c>
      <c r="D486" s="437">
        <f t="shared" si="1"/>
        <v>0</v>
      </c>
      <c r="F486" s="438">
        <f t="shared" si="2"/>
        <v>0</v>
      </c>
      <c r="G486" t="str">
        <f t="shared" si="3"/>
        <v/>
      </c>
      <c r="H486" t="b">
        <f t="shared" si="4"/>
        <v>0</v>
      </c>
      <c r="I486" s="439">
        <f>IF(OR(ISBLANK(A486),ISNA(MATCH(A486&amp;"",AthleteNumbers,0))),0,MATCH(A486&amp;"",AthleteNumbers,0))</f>
        <v>0</v>
      </c>
      <c r="J486" s="209">
        <f t="array" ref="J486">IF(I486&gt;0,INDEX(DB,$I486,6),0)</f>
        <v>0</v>
      </c>
      <c r="K486" s="446">
        <f t="shared" si="5"/>
        <v>0</v>
      </c>
      <c r="L486" s="440">
        <f t="shared" si="6"/>
        <v>0</v>
      </c>
      <c r="M486" s="441">
        <f>IF(AND(L486&gt;O486,O486&gt;0),MinPoints,IF(AND(L486&lt;N486,O486&gt;0),100,+INT((O486-$L486)/P486)+MinPoints))</f>
        <v>100</v>
      </c>
      <c r="N486" s="440">
        <f t="shared" si="7"/>
        <v>90</v>
      </c>
      <c r="O486" s="440">
        <f t="shared" si="8"/>
        <v>180</v>
      </c>
      <c r="P486" s="440">
        <f t="shared" si="9"/>
        <v>1</v>
      </c>
      <c r="Q486">
        <f t="array" ref="Q486">IF(I486&gt;0,INDEX(DB,I486,9),EventIndex)</f>
        <v>6</v>
      </c>
      <c r="S486">
        <f t="array" ref="S486">(INT(INDEX(MINVALUES,$Q486,$K$1))*60)+(MOD(INDEX(MINVALUES,$Q486,$K$1),1)*100)</f>
        <v>180</v>
      </c>
      <c r="T486">
        <f t="array" ref="T486">(INDEX(INCVALUES,$Q486,$K$1)*100)</f>
        <v>1</v>
      </c>
      <c r="V486">
        <f t="array" ref="V486">+J486+(4*(INDEX(MatchScoreTable,$Q486,20)-1))</f>
        <v>4</v>
      </c>
      <c r="W486">
        <f t="array" ref="W486">INDEX(INC_MINVALUES,$V486,$K$1)</f>
        <v>480</v>
      </c>
      <c r="X486" s="212">
        <f t="array" ref="X486">INDEX(INC_INCVALUES,$V486,$K$1)</f>
        <v>4</v>
      </c>
    </row>
    <row r="487" ht="15.75" customHeight="1">
      <c r="A487" s="435"/>
      <c r="B487" s="436"/>
      <c r="C487" s="95" t="str">
        <f t="array" ref="C487">IF(I487&gt;0,INDEX(DB,I487,8),"")</f>
        <v/>
      </c>
      <c r="D487" s="437">
        <f t="shared" si="1"/>
        <v>0</v>
      </c>
      <c r="F487" s="438">
        <f t="shared" si="2"/>
        <v>0</v>
      </c>
      <c r="G487" t="str">
        <f t="shared" si="3"/>
        <v/>
      </c>
      <c r="H487" t="b">
        <f t="shared" si="4"/>
        <v>0</v>
      </c>
      <c r="I487" s="439">
        <f>IF(OR(ISBLANK(A487),ISNA(MATCH(A487&amp;"",AthleteNumbers,0))),0,MATCH(A487&amp;"",AthleteNumbers,0))</f>
        <v>0</v>
      </c>
      <c r="J487" s="209">
        <f t="array" ref="J487">IF(I487&gt;0,INDEX(DB,$I487,6),0)</f>
        <v>0</v>
      </c>
      <c r="K487" s="446">
        <f t="shared" si="5"/>
        <v>0</v>
      </c>
      <c r="L487" s="440">
        <f t="shared" si="6"/>
        <v>0</v>
      </c>
      <c r="M487" s="441">
        <f>IF(AND(L487&gt;O487,O487&gt;0),MinPoints,IF(AND(L487&lt;N487,O487&gt;0),100,+INT((O487-$L487)/P487)+MinPoints))</f>
        <v>100</v>
      </c>
      <c r="N487" s="440">
        <f t="shared" si="7"/>
        <v>90</v>
      </c>
      <c r="O487" s="440">
        <f t="shared" si="8"/>
        <v>180</v>
      </c>
      <c r="P487" s="440">
        <f t="shared" si="9"/>
        <v>1</v>
      </c>
      <c r="Q487">
        <f t="array" ref="Q487">IF(I487&gt;0,INDEX(DB,I487,9),EventIndex)</f>
        <v>6</v>
      </c>
      <c r="S487">
        <f t="array" ref="S487">(INT(INDEX(MINVALUES,$Q487,$K$1))*60)+(MOD(INDEX(MINVALUES,$Q487,$K$1),1)*100)</f>
        <v>180</v>
      </c>
      <c r="T487">
        <f t="array" ref="T487">(INDEX(INCVALUES,$Q487,$K$1)*100)</f>
        <v>1</v>
      </c>
      <c r="V487">
        <f t="array" ref="V487">+J487+(4*(INDEX(MatchScoreTable,$Q487,20)-1))</f>
        <v>4</v>
      </c>
      <c r="W487">
        <f t="array" ref="W487">INDEX(INC_MINVALUES,$V487,$K$1)</f>
        <v>480</v>
      </c>
      <c r="X487" s="212">
        <f t="array" ref="X487">INDEX(INC_INCVALUES,$V487,$K$1)</f>
        <v>4</v>
      </c>
    </row>
    <row r="488" ht="15.75" customHeight="1">
      <c r="A488" s="435"/>
      <c r="B488" s="436"/>
      <c r="C488" s="95" t="str">
        <f t="array" ref="C488">IF(I488&gt;0,INDEX(DB,I488,8),"")</f>
        <v/>
      </c>
      <c r="D488" s="437">
        <f t="shared" si="1"/>
        <v>0</v>
      </c>
      <c r="F488" s="438">
        <f t="shared" si="2"/>
        <v>0</v>
      </c>
      <c r="G488" t="str">
        <f t="shared" si="3"/>
        <v/>
      </c>
      <c r="H488" t="b">
        <f t="shared" si="4"/>
        <v>0</v>
      </c>
      <c r="I488" s="439">
        <f>IF(OR(ISBLANK(A488),ISNA(MATCH(A488&amp;"",AthleteNumbers,0))),0,MATCH(A488&amp;"",AthleteNumbers,0))</f>
        <v>0</v>
      </c>
      <c r="J488" s="209">
        <f t="array" ref="J488">IF(I488&gt;0,INDEX(DB,$I488,6),0)</f>
        <v>0</v>
      </c>
      <c r="K488" s="446">
        <f t="shared" si="5"/>
        <v>0</v>
      </c>
      <c r="L488" s="440">
        <f t="shared" si="6"/>
        <v>0</v>
      </c>
      <c r="M488" s="441">
        <f>IF(AND(L488&gt;O488,O488&gt;0),MinPoints,IF(AND(L488&lt;N488,O488&gt;0),100,+INT((O488-$L488)/P488)+MinPoints))</f>
        <v>100</v>
      </c>
      <c r="N488" s="440">
        <f t="shared" si="7"/>
        <v>90</v>
      </c>
      <c r="O488" s="440">
        <f t="shared" si="8"/>
        <v>180</v>
      </c>
      <c r="P488" s="440">
        <f t="shared" si="9"/>
        <v>1</v>
      </c>
      <c r="Q488">
        <f t="array" ref="Q488">IF(I488&gt;0,INDEX(DB,I488,9),EventIndex)</f>
        <v>6</v>
      </c>
      <c r="S488">
        <f t="array" ref="S488">(INT(INDEX(MINVALUES,$Q488,$K$1))*60)+(MOD(INDEX(MINVALUES,$Q488,$K$1),1)*100)</f>
        <v>180</v>
      </c>
      <c r="T488">
        <f t="array" ref="T488">(INDEX(INCVALUES,$Q488,$K$1)*100)</f>
        <v>1</v>
      </c>
      <c r="V488">
        <f t="array" ref="V488">+J488+(4*(INDEX(MatchScoreTable,$Q488,20)-1))</f>
        <v>4</v>
      </c>
      <c r="W488">
        <f t="array" ref="W488">INDEX(INC_MINVALUES,$V488,$K$1)</f>
        <v>480</v>
      </c>
      <c r="X488" s="212">
        <f t="array" ref="X488">INDEX(INC_INCVALUES,$V488,$K$1)</f>
        <v>4</v>
      </c>
    </row>
    <row r="489" ht="15.75" customHeight="1">
      <c r="A489" s="435"/>
      <c r="B489" s="436"/>
      <c r="C489" s="95" t="str">
        <f t="array" ref="C489">IF(I489&gt;0,INDEX(DB,I489,8),"")</f>
        <v/>
      </c>
      <c r="D489" s="437">
        <f t="shared" si="1"/>
        <v>0</v>
      </c>
      <c r="F489" s="438">
        <f t="shared" si="2"/>
        <v>0</v>
      </c>
      <c r="G489" t="str">
        <f t="shared" si="3"/>
        <v/>
      </c>
      <c r="H489" t="b">
        <f t="shared" si="4"/>
        <v>0</v>
      </c>
      <c r="I489" s="439">
        <f>IF(OR(ISBLANK(A489),ISNA(MATCH(A489&amp;"",AthleteNumbers,0))),0,MATCH(A489&amp;"",AthleteNumbers,0))</f>
        <v>0</v>
      </c>
      <c r="J489" s="209">
        <f t="array" ref="J489">IF(I489&gt;0,INDEX(DB,$I489,6),0)</f>
        <v>0</v>
      </c>
      <c r="K489" s="446">
        <f t="shared" si="5"/>
        <v>0</v>
      </c>
      <c r="L489" s="440">
        <f t="shared" si="6"/>
        <v>0</v>
      </c>
      <c r="M489" s="441">
        <f>IF(AND(L489&gt;O489,O489&gt;0),MinPoints,IF(AND(L489&lt;N489,O489&gt;0),100,+INT((O489-$L489)/P489)+MinPoints))</f>
        <v>100</v>
      </c>
      <c r="N489" s="440">
        <f t="shared" si="7"/>
        <v>90</v>
      </c>
      <c r="O489" s="440">
        <f t="shared" si="8"/>
        <v>180</v>
      </c>
      <c r="P489" s="440">
        <f t="shared" si="9"/>
        <v>1</v>
      </c>
      <c r="Q489">
        <f t="array" ref="Q489">IF(I489&gt;0,INDEX(DB,I489,9),EventIndex)</f>
        <v>6</v>
      </c>
      <c r="S489">
        <f t="array" ref="S489">(INT(INDEX(MINVALUES,$Q489,$K$1))*60)+(MOD(INDEX(MINVALUES,$Q489,$K$1),1)*100)</f>
        <v>180</v>
      </c>
      <c r="T489">
        <f t="array" ref="T489">(INDEX(INCVALUES,$Q489,$K$1)*100)</f>
        <v>1</v>
      </c>
      <c r="V489">
        <f t="array" ref="V489">+J489+(4*(INDEX(MatchScoreTable,$Q489,20)-1))</f>
        <v>4</v>
      </c>
      <c r="W489">
        <f t="array" ref="W489">INDEX(INC_MINVALUES,$V489,$K$1)</f>
        <v>480</v>
      </c>
      <c r="X489" s="212">
        <f t="array" ref="X489">INDEX(INC_INCVALUES,$V489,$K$1)</f>
        <v>4</v>
      </c>
    </row>
    <row r="490" ht="15.75" customHeight="1">
      <c r="A490" s="435"/>
      <c r="B490" s="436"/>
      <c r="C490" s="95" t="str">
        <f t="array" ref="C490">IF(I490&gt;0,INDEX(DB,I490,8),"")</f>
        <v/>
      </c>
      <c r="D490" s="437">
        <f t="shared" si="1"/>
        <v>0</v>
      </c>
      <c r="F490" s="438">
        <f t="shared" si="2"/>
        <v>0</v>
      </c>
      <c r="G490" t="str">
        <f t="shared" si="3"/>
        <v/>
      </c>
      <c r="H490" t="b">
        <f t="shared" si="4"/>
        <v>0</v>
      </c>
      <c r="I490" s="439">
        <f>IF(OR(ISBLANK(A490),ISNA(MATCH(A490&amp;"",AthleteNumbers,0))),0,MATCH(A490&amp;"",AthleteNumbers,0))</f>
        <v>0</v>
      </c>
      <c r="J490" s="209">
        <f t="array" ref="J490">IF(I490&gt;0,INDEX(DB,$I490,6),0)</f>
        <v>0</v>
      </c>
      <c r="K490" s="446">
        <f t="shared" si="5"/>
        <v>0</v>
      </c>
      <c r="L490" s="440">
        <f t="shared" si="6"/>
        <v>0</v>
      </c>
      <c r="M490" s="441">
        <f>IF(AND(L490&gt;O490,O490&gt;0),MinPoints,IF(AND(L490&lt;N490,O490&gt;0),100,+INT((O490-$L490)/P490)+MinPoints))</f>
        <v>100</v>
      </c>
      <c r="N490" s="440">
        <f t="shared" si="7"/>
        <v>90</v>
      </c>
      <c r="O490" s="440">
        <f t="shared" si="8"/>
        <v>180</v>
      </c>
      <c r="P490" s="440">
        <f t="shared" si="9"/>
        <v>1</v>
      </c>
      <c r="Q490">
        <f t="array" ref="Q490">IF(I490&gt;0,INDEX(DB,I490,9),EventIndex)</f>
        <v>6</v>
      </c>
      <c r="S490">
        <f t="array" ref="S490">(INT(INDEX(MINVALUES,$Q490,$K$1))*60)+(MOD(INDEX(MINVALUES,$Q490,$K$1),1)*100)</f>
        <v>180</v>
      </c>
      <c r="T490">
        <f t="array" ref="T490">(INDEX(INCVALUES,$Q490,$K$1)*100)</f>
        <v>1</v>
      </c>
      <c r="V490">
        <f t="array" ref="V490">+J490+(4*(INDEX(MatchScoreTable,$Q490,20)-1))</f>
        <v>4</v>
      </c>
      <c r="W490">
        <f t="array" ref="W490">INDEX(INC_MINVALUES,$V490,$K$1)</f>
        <v>480</v>
      </c>
      <c r="X490" s="212">
        <f t="array" ref="X490">INDEX(INC_INCVALUES,$V490,$K$1)</f>
        <v>4</v>
      </c>
    </row>
    <row r="491" ht="15.75" customHeight="1">
      <c r="A491" s="435"/>
      <c r="B491" s="436"/>
      <c r="C491" s="95" t="str">
        <f t="array" ref="C491">IF(I491&gt;0,INDEX(DB,I491,8),"")</f>
        <v/>
      </c>
      <c r="D491" s="437">
        <f t="shared" si="1"/>
        <v>0</v>
      </c>
      <c r="F491" s="438">
        <f t="shared" si="2"/>
        <v>0</v>
      </c>
      <c r="G491" t="str">
        <f t="shared" si="3"/>
        <v/>
      </c>
      <c r="H491" t="b">
        <f t="shared" si="4"/>
        <v>0</v>
      </c>
      <c r="I491" s="439">
        <f>IF(OR(ISBLANK(A491),ISNA(MATCH(A491&amp;"",AthleteNumbers,0))),0,MATCH(A491&amp;"",AthleteNumbers,0))</f>
        <v>0</v>
      </c>
      <c r="J491" s="209">
        <f t="array" ref="J491">IF(I491&gt;0,INDEX(DB,$I491,6),0)</f>
        <v>0</v>
      </c>
      <c r="K491" s="446">
        <f t="shared" si="5"/>
        <v>0</v>
      </c>
      <c r="L491" s="440">
        <f t="shared" si="6"/>
        <v>0</v>
      </c>
      <c r="M491" s="441">
        <f>IF(AND(L491&gt;O491,O491&gt;0),MinPoints,IF(AND(L491&lt;N491,O491&gt;0),100,+INT((O491-$L491)/P491)+MinPoints))</f>
        <v>100</v>
      </c>
      <c r="N491" s="440">
        <f t="shared" si="7"/>
        <v>90</v>
      </c>
      <c r="O491" s="440">
        <f t="shared" si="8"/>
        <v>180</v>
      </c>
      <c r="P491" s="440">
        <f t="shared" si="9"/>
        <v>1</v>
      </c>
      <c r="Q491">
        <f t="array" ref="Q491">IF(I491&gt;0,INDEX(DB,I491,9),EventIndex)</f>
        <v>6</v>
      </c>
      <c r="S491">
        <f t="array" ref="S491">(INT(INDEX(MINVALUES,$Q491,$K$1))*60)+(MOD(INDEX(MINVALUES,$Q491,$K$1),1)*100)</f>
        <v>180</v>
      </c>
      <c r="T491">
        <f t="array" ref="T491">(INDEX(INCVALUES,$Q491,$K$1)*100)</f>
        <v>1</v>
      </c>
      <c r="V491">
        <f t="array" ref="V491">+J491+(4*(INDEX(MatchScoreTable,$Q491,20)-1))</f>
        <v>4</v>
      </c>
      <c r="W491">
        <f t="array" ref="W491">INDEX(INC_MINVALUES,$V491,$K$1)</f>
        <v>480</v>
      </c>
      <c r="X491" s="212">
        <f t="array" ref="X491">INDEX(INC_INCVALUES,$V491,$K$1)</f>
        <v>4</v>
      </c>
    </row>
    <row r="492" ht="15.75" customHeight="1">
      <c r="A492" s="435"/>
      <c r="B492" s="436"/>
      <c r="C492" s="95" t="str">
        <f t="array" ref="C492">IF(I492&gt;0,INDEX(DB,I492,8),"")</f>
        <v/>
      </c>
      <c r="D492" s="437">
        <f t="shared" si="1"/>
        <v>0</v>
      </c>
      <c r="F492" s="438">
        <f t="shared" si="2"/>
        <v>0</v>
      </c>
      <c r="G492" t="str">
        <f t="shared" si="3"/>
        <v/>
      </c>
      <c r="H492" t="b">
        <f t="shared" si="4"/>
        <v>0</v>
      </c>
      <c r="I492" s="439">
        <f>IF(OR(ISBLANK(A492),ISNA(MATCH(A492&amp;"",AthleteNumbers,0))),0,MATCH(A492&amp;"",AthleteNumbers,0))</f>
        <v>0</v>
      </c>
      <c r="J492" s="209">
        <f t="array" ref="J492">IF(I492&gt;0,INDEX(DB,$I492,6),0)</f>
        <v>0</v>
      </c>
      <c r="K492" s="446">
        <f t="shared" si="5"/>
        <v>0</v>
      </c>
      <c r="L492" s="440">
        <f t="shared" si="6"/>
        <v>0</v>
      </c>
      <c r="M492" s="441">
        <f>IF(AND(L492&gt;O492,O492&gt;0),MinPoints,IF(AND(L492&lt;N492,O492&gt;0),100,+INT((O492-$L492)/P492)+MinPoints))</f>
        <v>100</v>
      </c>
      <c r="N492" s="440">
        <f t="shared" si="7"/>
        <v>90</v>
      </c>
      <c r="O492" s="440">
        <f t="shared" si="8"/>
        <v>180</v>
      </c>
      <c r="P492" s="440">
        <f t="shared" si="9"/>
        <v>1</v>
      </c>
      <c r="Q492">
        <f t="array" ref="Q492">IF(I492&gt;0,INDEX(DB,I492,9),EventIndex)</f>
        <v>6</v>
      </c>
      <c r="S492">
        <f t="array" ref="S492">(INT(INDEX(MINVALUES,$Q492,$K$1))*60)+(MOD(INDEX(MINVALUES,$Q492,$K$1),1)*100)</f>
        <v>180</v>
      </c>
      <c r="T492">
        <f t="array" ref="T492">(INDEX(INCVALUES,$Q492,$K$1)*100)</f>
        <v>1</v>
      </c>
      <c r="V492">
        <f t="array" ref="V492">+J492+(4*(INDEX(MatchScoreTable,$Q492,20)-1))</f>
        <v>4</v>
      </c>
      <c r="W492">
        <f t="array" ref="W492">INDEX(INC_MINVALUES,$V492,$K$1)</f>
        <v>480</v>
      </c>
      <c r="X492" s="212">
        <f t="array" ref="X492">INDEX(INC_INCVALUES,$V492,$K$1)</f>
        <v>4</v>
      </c>
    </row>
    <row r="493" ht="15.75" customHeight="1">
      <c r="A493" s="435"/>
      <c r="B493" s="436"/>
      <c r="C493" s="95" t="str">
        <f t="array" ref="C493">IF(I493&gt;0,INDEX(DB,I493,8),"")</f>
        <v/>
      </c>
      <c r="D493" s="437">
        <f t="shared" si="1"/>
        <v>0</v>
      </c>
      <c r="F493" s="438">
        <f t="shared" si="2"/>
        <v>0</v>
      </c>
      <c r="G493" t="str">
        <f t="shared" si="3"/>
        <v/>
      </c>
      <c r="H493" t="b">
        <f t="shared" si="4"/>
        <v>0</v>
      </c>
      <c r="I493" s="439">
        <f>IF(OR(ISBLANK(A493),ISNA(MATCH(A493&amp;"",AthleteNumbers,0))),0,MATCH(A493&amp;"",AthleteNumbers,0))</f>
        <v>0</v>
      </c>
      <c r="J493" s="209">
        <f t="array" ref="J493">IF(I493&gt;0,INDEX(DB,$I493,6),0)</f>
        <v>0</v>
      </c>
      <c r="K493" s="446">
        <f t="shared" si="5"/>
        <v>0</v>
      </c>
      <c r="L493" s="440">
        <f t="shared" si="6"/>
        <v>0</v>
      </c>
      <c r="M493" s="441">
        <f>IF(AND(L493&gt;O493,O493&gt;0),MinPoints,IF(AND(L493&lt;N493,O493&gt;0),100,+INT((O493-$L493)/P493)+MinPoints))</f>
        <v>100</v>
      </c>
      <c r="N493" s="440">
        <f t="shared" si="7"/>
        <v>90</v>
      </c>
      <c r="O493" s="440">
        <f t="shared" si="8"/>
        <v>180</v>
      </c>
      <c r="P493" s="440">
        <f t="shared" si="9"/>
        <v>1</v>
      </c>
      <c r="Q493">
        <f t="array" ref="Q493">IF(I493&gt;0,INDEX(DB,I493,9),EventIndex)</f>
        <v>6</v>
      </c>
      <c r="S493">
        <f t="array" ref="S493">(INT(INDEX(MINVALUES,$Q493,$K$1))*60)+(MOD(INDEX(MINVALUES,$Q493,$K$1),1)*100)</f>
        <v>180</v>
      </c>
      <c r="T493">
        <f t="array" ref="T493">(INDEX(INCVALUES,$Q493,$K$1)*100)</f>
        <v>1</v>
      </c>
      <c r="V493">
        <f t="array" ref="V493">+J493+(4*(INDEX(MatchScoreTable,$Q493,20)-1))</f>
        <v>4</v>
      </c>
      <c r="W493">
        <f t="array" ref="W493">INDEX(INC_MINVALUES,$V493,$K$1)</f>
        <v>480</v>
      </c>
      <c r="X493" s="212">
        <f t="array" ref="X493">INDEX(INC_INCVALUES,$V493,$K$1)</f>
        <v>4</v>
      </c>
    </row>
    <row r="494" ht="15.75" customHeight="1">
      <c r="A494" s="435"/>
      <c r="B494" s="436"/>
      <c r="C494" s="95" t="str">
        <f t="array" ref="C494">IF(I494&gt;0,INDEX(DB,I494,8),"")</f>
        <v/>
      </c>
      <c r="D494" s="437">
        <f t="shared" si="1"/>
        <v>0</v>
      </c>
      <c r="F494" s="438">
        <f t="shared" si="2"/>
        <v>0</v>
      </c>
      <c r="G494" t="str">
        <f t="shared" si="3"/>
        <v/>
      </c>
      <c r="H494" t="b">
        <f t="shared" si="4"/>
        <v>0</v>
      </c>
      <c r="I494" s="439">
        <f>IF(OR(ISBLANK(A494),ISNA(MATCH(A494&amp;"",AthleteNumbers,0))),0,MATCH(A494&amp;"",AthleteNumbers,0))</f>
        <v>0</v>
      </c>
      <c r="J494" s="209">
        <f t="array" ref="J494">IF(I494&gt;0,INDEX(DB,$I494,6),0)</f>
        <v>0</v>
      </c>
      <c r="K494" s="446">
        <f t="shared" si="5"/>
        <v>0</v>
      </c>
      <c r="L494" s="440">
        <f t="shared" si="6"/>
        <v>0</v>
      </c>
      <c r="M494" s="441">
        <f>IF(AND(L494&gt;O494,O494&gt;0),MinPoints,IF(AND(L494&lt;N494,O494&gt;0),100,+INT((O494-$L494)/P494)+MinPoints))</f>
        <v>100</v>
      </c>
      <c r="N494" s="440">
        <f t="shared" si="7"/>
        <v>90</v>
      </c>
      <c r="O494" s="440">
        <f t="shared" si="8"/>
        <v>180</v>
      </c>
      <c r="P494" s="440">
        <f t="shared" si="9"/>
        <v>1</v>
      </c>
      <c r="Q494">
        <f t="array" ref="Q494">IF(I494&gt;0,INDEX(DB,I494,9),EventIndex)</f>
        <v>6</v>
      </c>
      <c r="S494">
        <f t="array" ref="S494">(INT(INDEX(MINVALUES,$Q494,$K$1))*60)+(MOD(INDEX(MINVALUES,$Q494,$K$1),1)*100)</f>
        <v>180</v>
      </c>
      <c r="T494">
        <f t="array" ref="T494">(INDEX(INCVALUES,$Q494,$K$1)*100)</f>
        <v>1</v>
      </c>
      <c r="V494">
        <f t="array" ref="V494">+J494+(4*(INDEX(MatchScoreTable,$Q494,20)-1))</f>
        <v>4</v>
      </c>
      <c r="W494">
        <f t="array" ref="W494">INDEX(INC_MINVALUES,$V494,$K$1)</f>
        <v>480</v>
      </c>
      <c r="X494" s="212">
        <f t="array" ref="X494">INDEX(INC_INCVALUES,$V494,$K$1)</f>
        <v>4</v>
      </c>
    </row>
    <row r="495" ht="15.75" customHeight="1">
      <c r="A495" s="435"/>
      <c r="B495" s="436"/>
      <c r="C495" s="95" t="str">
        <f t="array" ref="C495">IF(I495&gt;0,INDEX(DB,I495,8),"")</f>
        <v/>
      </c>
      <c r="D495" s="437">
        <f t="shared" si="1"/>
        <v>0</v>
      </c>
      <c r="F495" s="438">
        <f t="shared" si="2"/>
        <v>0</v>
      </c>
      <c r="G495" t="str">
        <f t="shared" si="3"/>
        <v/>
      </c>
      <c r="H495" t="b">
        <f t="shared" si="4"/>
        <v>0</v>
      </c>
      <c r="I495" s="439">
        <f>IF(OR(ISBLANK(A495),ISNA(MATCH(A495&amp;"",AthleteNumbers,0))),0,MATCH(A495&amp;"",AthleteNumbers,0))</f>
        <v>0</v>
      </c>
      <c r="J495" s="209">
        <f t="array" ref="J495">IF(I495&gt;0,INDEX(DB,$I495,6),0)</f>
        <v>0</v>
      </c>
      <c r="K495" s="446">
        <f t="shared" si="5"/>
        <v>0</v>
      </c>
      <c r="L495" s="440">
        <f t="shared" si="6"/>
        <v>0</v>
      </c>
      <c r="M495" s="441">
        <f>IF(AND(L495&gt;O495,O495&gt;0),MinPoints,IF(AND(L495&lt;N495,O495&gt;0),100,+INT((O495-$L495)/P495)+MinPoints))</f>
        <v>100</v>
      </c>
      <c r="N495" s="440">
        <f t="shared" si="7"/>
        <v>90</v>
      </c>
      <c r="O495" s="440">
        <f t="shared" si="8"/>
        <v>180</v>
      </c>
      <c r="P495" s="440">
        <f t="shared" si="9"/>
        <v>1</v>
      </c>
      <c r="Q495">
        <f t="array" ref="Q495">IF(I495&gt;0,INDEX(DB,I495,9),EventIndex)</f>
        <v>6</v>
      </c>
      <c r="S495">
        <f t="array" ref="S495">(INT(INDEX(MINVALUES,$Q495,$K$1))*60)+(MOD(INDEX(MINVALUES,$Q495,$K$1),1)*100)</f>
        <v>180</v>
      </c>
      <c r="T495">
        <f t="array" ref="T495">(INDEX(INCVALUES,$Q495,$K$1)*100)</f>
        <v>1</v>
      </c>
      <c r="V495">
        <f t="array" ref="V495">+J495+(4*(INDEX(MatchScoreTable,$Q495,20)-1))</f>
        <v>4</v>
      </c>
      <c r="W495">
        <f t="array" ref="W495">INDEX(INC_MINVALUES,$V495,$K$1)</f>
        <v>480</v>
      </c>
      <c r="X495" s="212">
        <f t="array" ref="X495">INDEX(INC_INCVALUES,$V495,$K$1)</f>
        <v>4</v>
      </c>
    </row>
    <row r="496" ht="15.75" customHeight="1">
      <c r="A496" s="435"/>
      <c r="B496" s="436"/>
      <c r="C496" s="95" t="str">
        <f t="array" ref="C496">IF(I496&gt;0,INDEX(DB,I496,8),"")</f>
        <v/>
      </c>
      <c r="D496" s="437">
        <f t="shared" si="1"/>
        <v>0</v>
      </c>
      <c r="F496" s="438">
        <f t="shared" si="2"/>
        <v>0</v>
      </c>
      <c r="G496" t="str">
        <f t="shared" si="3"/>
        <v/>
      </c>
      <c r="H496" t="b">
        <f t="shared" si="4"/>
        <v>0</v>
      </c>
      <c r="I496" s="439">
        <f>IF(OR(ISBLANK(A496),ISNA(MATCH(A496&amp;"",AthleteNumbers,0))),0,MATCH(A496&amp;"",AthleteNumbers,0))</f>
        <v>0</v>
      </c>
      <c r="J496" s="209">
        <f t="array" ref="J496">IF(I496&gt;0,INDEX(DB,$I496,6),0)</f>
        <v>0</v>
      </c>
      <c r="K496" s="446">
        <f t="shared" si="5"/>
        <v>0</v>
      </c>
      <c r="L496" s="440">
        <f t="shared" si="6"/>
        <v>0</v>
      </c>
      <c r="M496" s="441">
        <f>IF(AND(L496&gt;O496,O496&gt;0),MinPoints,IF(AND(L496&lt;N496,O496&gt;0),100,+INT((O496-$L496)/P496)+MinPoints))</f>
        <v>100</v>
      </c>
      <c r="N496" s="440">
        <f t="shared" si="7"/>
        <v>90</v>
      </c>
      <c r="O496" s="440">
        <f t="shared" si="8"/>
        <v>180</v>
      </c>
      <c r="P496" s="440">
        <f t="shared" si="9"/>
        <v>1</v>
      </c>
      <c r="Q496">
        <f t="array" ref="Q496">IF(I496&gt;0,INDEX(DB,I496,9),EventIndex)</f>
        <v>6</v>
      </c>
      <c r="S496">
        <f t="array" ref="S496">(INT(INDEX(MINVALUES,$Q496,$K$1))*60)+(MOD(INDEX(MINVALUES,$Q496,$K$1),1)*100)</f>
        <v>180</v>
      </c>
      <c r="T496">
        <f t="array" ref="T496">(INDEX(INCVALUES,$Q496,$K$1)*100)</f>
        <v>1</v>
      </c>
      <c r="V496">
        <f t="array" ref="V496">+J496+(4*(INDEX(MatchScoreTable,$Q496,20)-1))</f>
        <v>4</v>
      </c>
      <c r="W496">
        <f t="array" ref="W496">INDEX(INC_MINVALUES,$V496,$K$1)</f>
        <v>480</v>
      </c>
      <c r="X496" s="212">
        <f t="array" ref="X496">INDEX(INC_INCVALUES,$V496,$K$1)</f>
        <v>4</v>
      </c>
    </row>
    <row r="497" ht="15.75" customHeight="1">
      <c r="A497" s="435"/>
      <c r="B497" s="436"/>
      <c r="C497" s="95" t="str">
        <f t="array" ref="C497">IF(I497&gt;0,INDEX(DB,I497,8),"")</f>
        <v/>
      </c>
      <c r="D497" s="437">
        <f t="shared" si="1"/>
        <v>0</v>
      </c>
      <c r="F497" s="438">
        <f t="shared" si="2"/>
        <v>0</v>
      </c>
      <c r="G497" t="str">
        <f t="shared" si="3"/>
        <v/>
      </c>
      <c r="H497" t="b">
        <f t="shared" si="4"/>
        <v>0</v>
      </c>
      <c r="I497" s="439">
        <f>IF(OR(ISBLANK(A497),ISNA(MATCH(A497&amp;"",AthleteNumbers,0))),0,MATCH(A497&amp;"",AthleteNumbers,0))</f>
        <v>0</v>
      </c>
      <c r="J497" s="209">
        <f t="array" ref="J497">IF(I497&gt;0,INDEX(DB,$I497,6),0)</f>
        <v>0</v>
      </c>
      <c r="K497" s="446">
        <f t="shared" si="5"/>
        <v>0</v>
      </c>
      <c r="L497" s="440">
        <f t="shared" si="6"/>
        <v>0</v>
      </c>
      <c r="M497" s="441">
        <f>IF(AND(L497&gt;O497,O497&gt;0),MinPoints,IF(AND(L497&lt;N497,O497&gt;0),100,+INT((O497-$L497)/P497)+MinPoints))</f>
        <v>100</v>
      </c>
      <c r="N497" s="440">
        <f t="shared" si="7"/>
        <v>90</v>
      </c>
      <c r="O497" s="440">
        <f t="shared" si="8"/>
        <v>180</v>
      </c>
      <c r="P497" s="440">
        <f t="shared" si="9"/>
        <v>1</v>
      </c>
      <c r="Q497">
        <f t="array" ref="Q497">IF(I497&gt;0,INDEX(DB,I497,9),EventIndex)</f>
        <v>6</v>
      </c>
      <c r="S497">
        <f t="array" ref="S497">(INT(INDEX(MINVALUES,$Q497,$K$1))*60)+(MOD(INDEX(MINVALUES,$Q497,$K$1),1)*100)</f>
        <v>180</v>
      </c>
      <c r="T497">
        <f t="array" ref="T497">(INDEX(INCVALUES,$Q497,$K$1)*100)</f>
        <v>1</v>
      </c>
      <c r="V497">
        <f t="array" ref="V497">+J497+(4*(INDEX(MatchScoreTable,$Q497,20)-1))</f>
        <v>4</v>
      </c>
      <c r="W497">
        <f t="array" ref="W497">INDEX(INC_MINVALUES,$V497,$K$1)</f>
        <v>480</v>
      </c>
      <c r="X497" s="212">
        <f t="array" ref="X497">INDEX(INC_INCVALUES,$V497,$K$1)</f>
        <v>4</v>
      </c>
    </row>
    <row r="498" ht="15.75" customHeight="1">
      <c r="A498" s="435"/>
      <c r="B498" s="436"/>
      <c r="C498" s="95" t="str">
        <f t="array" ref="C498">IF(I498&gt;0,INDEX(DB,I498,8),"")</f>
        <v/>
      </c>
      <c r="D498" s="437">
        <f t="shared" si="1"/>
        <v>0</v>
      </c>
      <c r="F498" s="438">
        <f t="shared" si="2"/>
        <v>0</v>
      </c>
      <c r="G498" t="str">
        <f t="shared" si="3"/>
        <v/>
      </c>
      <c r="H498" t="b">
        <f t="shared" si="4"/>
        <v>0</v>
      </c>
      <c r="I498" s="439">
        <f>IF(OR(ISBLANK(A498),ISNA(MATCH(A498&amp;"",AthleteNumbers,0))),0,MATCH(A498&amp;"",AthleteNumbers,0))</f>
        <v>0</v>
      </c>
      <c r="J498" s="209">
        <f t="array" ref="J498">IF(I498&gt;0,INDEX(DB,$I498,6),0)</f>
        <v>0</v>
      </c>
      <c r="K498" s="446">
        <f t="shared" si="5"/>
        <v>0</v>
      </c>
      <c r="L498" s="440">
        <f t="shared" si="6"/>
        <v>0</v>
      </c>
      <c r="M498" s="441">
        <f>IF(AND(L498&gt;O498,O498&gt;0),MinPoints,IF(AND(L498&lt;N498,O498&gt;0),100,+INT((O498-$L498)/P498)+MinPoints))</f>
        <v>100</v>
      </c>
      <c r="N498" s="440">
        <f t="shared" si="7"/>
        <v>90</v>
      </c>
      <c r="O498" s="440">
        <f t="shared" si="8"/>
        <v>180</v>
      </c>
      <c r="P498" s="440">
        <f t="shared" si="9"/>
        <v>1</v>
      </c>
      <c r="Q498">
        <f t="array" ref="Q498">IF(I498&gt;0,INDEX(DB,I498,9),EventIndex)</f>
        <v>6</v>
      </c>
      <c r="S498">
        <f t="array" ref="S498">(INT(INDEX(MINVALUES,$Q498,$K$1))*60)+(MOD(INDEX(MINVALUES,$Q498,$K$1),1)*100)</f>
        <v>180</v>
      </c>
      <c r="T498">
        <f t="array" ref="T498">(INDEX(INCVALUES,$Q498,$K$1)*100)</f>
        <v>1</v>
      </c>
      <c r="V498">
        <f t="array" ref="V498">+J498+(4*(INDEX(MatchScoreTable,$Q498,20)-1))</f>
        <v>4</v>
      </c>
      <c r="W498">
        <f t="array" ref="W498">INDEX(INC_MINVALUES,$V498,$K$1)</f>
        <v>480</v>
      </c>
      <c r="X498" s="212">
        <f t="array" ref="X498">INDEX(INC_INCVALUES,$V498,$K$1)</f>
        <v>4</v>
      </c>
    </row>
    <row r="499" ht="15.75" customHeight="1">
      <c r="A499" s="435"/>
      <c r="B499" s="436"/>
      <c r="C499" s="95" t="str">
        <f t="array" ref="C499">IF(I499&gt;0,INDEX(DB,I499,8),"")</f>
        <v/>
      </c>
      <c r="D499" s="437">
        <f t="shared" si="1"/>
        <v>0</v>
      </c>
      <c r="F499" s="438">
        <f t="shared" si="2"/>
        <v>0</v>
      </c>
      <c r="G499" t="str">
        <f t="shared" si="3"/>
        <v/>
      </c>
      <c r="H499" t="b">
        <f t="shared" si="4"/>
        <v>0</v>
      </c>
      <c r="I499" s="439">
        <f>IF(OR(ISBLANK(A499),ISNA(MATCH(A499&amp;"",AthleteNumbers,0))),0,MATCH(A499&amp;"",AthleteNumbers,0))</f>
        <v>0</v>
      </c>
      <c r="J499" s="209">
        <f t="array" ref="J499">IF(I499&gt;0,INDEX(DB,$I499,6),0)</f>
        <v>0</v>
      </c>
      <c r="K499" s="446">
        <f t="shared" si="5"/>
        <v>0</v>
      </c>
      <c r="L499" s="440">
        <f t="shared" si="6"/>
        <v>0</v>
      </c>
      <c r="M499" s="441">
        <f>IF(AND(L499&gt;O499,O499&gt;0),MinPoints,IF(AND(L499&lt;N499,O499&gt;0),100,+INT((O499-$L499)/P499)+MinPoints))</f>
        <v>100</v>
      </c>
      <c r="N499" s="440">
        <f t="shared" si="7"/>
        <v>90</v>
      </c>
      <c r="O499" s="440">
        <f t="shared" si="8"/>
        <v>180</v>
      </c>
      <c r="P499" s="440">
        <f t="shared" si="9"/>
        <v>1</v>
      </c>
      <c r="Q499">
        <f t="array" ref="Q499">IF(I499&gt;0,INDEX(DB,I499,9),EventIndex)</f>
        <v>6</v>
      </c>
      <c r="S499">
        <f t="array" ref="S499">(INT(INDEX(MINVALUES,$Q499,$K$1))*60)+(MOD(INDEX(MINVALUES,$Q499,$K$1),1)*100)</f>
        <v>180</v>
      </c>
      <c r="T499">
        <f t="array" ref="T499">(INDEX(INCVALUES,$Q499,$K$1)*100)</f>
        <v>1</v>
      </c>
      <c r="V499">
        <f t="array" ref="V499">+J499+(4*(INDEX(MatchScoreTable,$Q499,20)-1))</f>
        <v>4</v>
      </c>
      <c r="W499">
        <f t="array" ref="W499">INDEX(INC_MINVALUES,$V499,$K$1)</f>
        <v>480</v>
      </c>
      <c r="X499" s="212">
        <f t="array" ref="X499">INDEX(INC_INCVALUES,$V499,$K$1)</f>
        <v>4</v>
      </c>
    </row>
    <row r="500" ht="15.75" customHeight="1">
      <c r="A500" s="435"/>
      <c r="B500" s="436"/>
      <c r="C500" s="95" t="str">
        <f t="array" ref="C500">IF(I500&gt;0,INDEX(DB,I500,8),"")</f>
        <v/>
      </c>
      <c r="D500" s="437">
        <f t="shared" si="1"/>
        <v>0</v>
      </c>
      <c r="F500" s="438">
        <f t="shared" si="2"/>
        <v>0</v>
      </c>
      <c r="G500" t="str">
        <f t="shared" si="3"/>
        <v/>
      </c>
      <c r="H500" t="b">
        <f t="shared" si="4"/>
        <v>0</v>
      </c>
      <c r="I500" s="439">
        <f>IF(OR(ISBLANK(A500),ISNA(MATCH(A500&amp;"",AthleteNumbers,0))),0,MATCH(A500&amp;"",AthleteNumbers,0))</f>
        <v>0</v>
      </c>
      <c r="J500" s="209">
        <f t="array" ref="J500">IF(I500&gt;0,INDEX(DB,$I500,6),0)</f>
        <v>0</v>
      </c>
      <c r="K500" s="446">
        <f t="shared" si="5"/>
        <v>0</v>
      </c>
      <c r="L500" s="440">
        <f t="shared" si="6"/>
        <v>0</v>
      </c>
      <c r="M500" s="441">
        <f>IF(AND(L500&gt;O500,O500&gt;0),MinPoints,IF(AND(L500&lt;N500,O500&gt;0),100,+INT((O500-$L500)/P500)+MinPoints))</f>
        <v>100</v>
      </c>
      <c r="N500" s="440">
        <f t="shared" si="7"/>
        <v>90</v>
      </c>
      <c r="O500" s="440">
        <f t="shared" si="8"/>
        <v>180</v>
      </c>
      <c r="P500" s="440">
        <f t="shared" si="9"/>
        <v>1</v>
      </c>
      <c r="Q500">
        <f t="array" ref="Q500">IF(I500&gt;0,INDEX(DB,I500,9),EventIndex)</f>
        <v>6</v>
      </c>
      <c r="S500">
        <f t="array" ref="S500">(INT(INDEX(MINVALUES,$Q500,$K$1))*60)+(MOD(INDEX(MINVALUES,$Q500,$K$1),1)*100)</f>
        <v>180</v>
      </c>
      <c r="T500">
        <f t="array" ref="T500">(INDEX(INCVALUES,$Q500,$K$1)*100)</f>
        <v>1</v>
      </c>
      <c r="V500">
        <f t="array" ref="V500">+J500+(4*(INDEX(MatchScoreTable,$Q500,20)-1))</f>
        <v>4</v>
      </c>
      <c r="W500">
        <f t="array" ref="W500">INDEX(INC_MINVALUES,$V500,$K$1)</f>
        <v>480</v>
      </c>
      <c r="X500" s="212">
        <f t="array" ref="X500">INDEX(INC_INCVALUES,$V500,$K$1)</f>
        <v>4</v>
      </c>
    </row>
    <row r="501" ht="15.75" customHeight="1">
      <c r="A501" s="435"/>
      <c r="B501" s="436"/>
      <c r="C501" s="95" t="str">
        <f t="array" ref="C501">IF(I501&gt;0,INDEX(DB,I501,8),"")</f>
        <v/>
      </c>
      <c r="D501" s="437">
        <f t="shared" si="1"/>
        <v>0</v>
      </c>
      <c r="F501" s="438">
        <f t="shared" si="2"/>
        <v>0</v>
      </c>
      <c r="G501" t="str">
        <f t="shared" si="3"/>
        <v/>
      </c>
      <c r="H501" t="b">
        <f t="shared" si="4"/>
        <v>0</v>
      </c>
      <c r="I501" s="439">
        <f>IF(OR(ISBLANK(A501),ISNA(MATCH(A501&amp;"",AthleteNumbers,0))),0,MATCH(A501&amp;"",AthleteNumbers,0))</f>
        <v>0</v>
      </c>
      <c r="J501" s="209">
        <f t="array" ref="J501">IF(I501&gt;0,INDEX(DB,$I501,6),0)</f>
        <v>0</v>
      </c>
      <c r="K501" s="446">
        <f t="shared" si="5"/>
        <v>0</v>
      </c>
      <c r="L501" s="440">
        <f t="shared" si="6"/>
        <v>0</v>
      </c>
      <c r="M501" s="441">
        <f>IF(AND(L501&gt;O501,O501&gt;0),MinPoints,IF(AND(L501&lt;N501,O501&gt;0),100,+INT((O501-$L501)/P501)+MinPoints))</f>
        <v>100</v>
      </c>
      <c r="N501" s="440">
        <f t="shared" si="7"/>
        <v>90</v>
      </c>
      <c r="O501" s="440">
        <f t="shared" si="8"/>
        <v>180</v>
      </c>
      <c r="P501" s="440">
        <f t="shared" si="9"/>
        <v>1</v>
      </c>
      <c r="Q501">
        <f t="array" ref="Q501">IF(I501&gt;0,INDEX(DB,I501,9),EventIndex)</f>
        <v>6</v>
      </c>
      <c r="S501">
        <f t="array" ref="S501">(INT(INDEX(MINVALUES,$Q501,$K$1))*60)+(MOD(INDEX(MINVALUES,$Q501,$K$1),1)*100)</f>
        <v>180</v>
      </c>
      <c r="T501">
        <f t="array" ref="T501">(INDEX(INCVALUES,$Q501,$K$1)*100)</f>
        <v>1</v>
      </c>
      <c r="V501">
        <f t="array" ref="V501">+J501+(4*(INDEX(MatchScoreTable,$Q501,20)-1))</f>
        <v>4</v>
      </c>
      <c r="W501">
        <f t="array" ref="W501">INDEX(INC_MINVALUES,$V501,$K$1)</f>
        <v>480</v>
      </c>
      <c r="X501" s="212">
        <f t="array" ref="X501">INDEX(INC_INCVALUES,$V501,$K$1)</f>
        <v>4</v>
      </c>
    </row>
    <row r="502" ht="15.75" customHeight="1">
      <c r="A502" s="435"/>
      <c r="B502" s="436"/>
      <c r="C502" s="95" t="str">
        <f t="array" ref="C502">IF(I502&gt;0,INDEX(DB,I502,8),"")</f>
        <v/>
      </c>
      <c r="D502" s="437">
        <f t="shared" si="1"/>
        <v>0</v>
      </c>
      <c r="F502" s="438">
        <f t="shared" si="2"/>
        <v>0</v>
      </c>
      <c r="G502" t="str">
        <f t="shared" si="3"/>
        <v/>
      </c>
      <c r="H502" t="b">
        <f t="shared" si="4"/>
        <v>0</v>
      </c>
      <c r="I502" s="439">
        <f>IF(OR(ISBLANK(A502),ISNA(MATCH(A502&amp;"",AthleteNumbers,0))),0,MATCH(A502&amp;"",AthleteNumbers,0))</f>
        <v>0</v>
      </c>
      <c r="J502" s="209">
        <f t="array" ref="J502">IF(I502&gt;0,INDEX(DB,$I502,6),0)</f>
        <v>0</v>
      </c>
      <c r="K502" s="446">
        <f t="shared" si="5"/>
        <v>0</v>
      </c>
      <c r="L502" s="440">
        <f t="shared" si="6"/>
        <v>0</v>
      </c>
      <c r="M502" s="441">
        <f>IF(AND(L502&gt;O502,O502&gt;0),MinPoints,IF(AND(L502&lt;N502,O502&gt;0),100,+INT((O502-$L502)/P502)+MinPoints))</f>
        <v>100</v>
      </c>
      <c r="N502" s="440">
        <f t="shared" si="7"/>
        <v>90</v>
      </c>
      <c r="O502" s="440">
        <f t="shared" si="8"/>
        <v>180</v>
      </c>
      <c r="P502" s="440">
        <f t="shared" si="9"/>
        <v>1</v>
      </c>
      <c r="Q502">
        <f t="array" ref="Q502">IF(I502&gt;0,INDEX(DB,I502,9),EventIndex)</f>
        <v>6</v>
      </c>
      <c r="S502">
        <f t="array" ref="S502">(INT(INDEX(MINVALUES,$Q502,$K$1))*60)+(MOD(INDEX(MINVALUES,$Q502,$K$1),1)*100)</f>
        <v>180</v>
      </c>
      <c r="T502">
        <f t="array" ref="T502">(INDEX(INCVALUES,$Q502,$K$1)*100)</f>
        <v>1</v>
      </c>
      <c r="V502">
        <f t="array" ref="V502">+J502+(4*(INDEX(MatchScoreTable,$Q502,20)-1))</f>
        <v>4</v>
      </c>
      <c r="W502">
        <f t="array" ref="W502">INDEX(INC_MINVALUES,$V502,$K$1)</f>
        <v>480</v>
      </c>
      <c r="X502" s="212">
        <f t="array" ref="X502">INDEX(INC_INCVALUES,$V502,$K$1)</f>
        <v>4</v>
      </c>
    </row>
    <row r="503" ht="15.75" customHeight="1">
      <c r="A503" s="435"/>
      <c r="B503" s="436"/>
      <c r="C503" s="95" t="str">
        <f t="array" ref="C503">IF(I503&gt;0,INDEX(DB,I503,8),"")</f>
        <v/>
      </c>
      <c r="D503" s="437">
        <f t="shared" si="1"/>
        <v>0</v>
      </c>
      <c r="F503" s="438">
        <f t="shared" si="2"/>
        <v>0</v>
      </c>
      <c r="G503" t="str">
        <f t="shared" si="3"/>
        <v/>
      </c>
      <c r="H503" t="b">
        <f t="shared" si="4"/>
        <v>0</v>
      </c>
      <c r="I503" s="439">
        <f>IF(OR(ISBLANK(A503),ISNA(MATCH(A503&amp;"",AthleteNumbers,0))),0,MATCH(A503&amp;"",AthleteNumbers,0))</f>
        <v>0</v>
      </c>
      <c r="J503" s="209">
        <f t="array" ref="J503">IF(I503&gt;0,INDEX(DB,$I503,6),0)</f>
        <v>0</v>
      </c>
      <c r="K503" s="446">
        <f t="shared" si="5"/>
        <v>0</v>
      </c>
      <c r="L503" s="440">
        <f t="shared" si="6"/>
        <v>0</v>
      </c>
      <c r="M503" s="441">
        <f>IF(AND(L503&gt;O503,O503&gt;0),MinPoints,IF(AND(L503&lt;N503,O503&gt;0),100,+INT((O503-$L503)/P503)+MinPoints))</f>
        <v>100</v>
      </c>
      <c r="N503" s="440">
        <f t="shared" si="7"/>
        <v>90</v>
      </c>
      <c r="O503" s="440">
        <f t="shared" si="8"/>
        <v>180</v>
      </c>
      <c r="P503" s="440">
        <f t="shared" si="9"/>
        <v>1</v>
      </c>
      <c r="Q503">
        <f t="array" ref="Q503">IF(I503&gt;0,INDEX(DB,I503,9),EventIndex)</f>
        <v>6</v>
      </c>
      <c r="S503">
        <f t="array" ref="S503">(INT(INDEX(MINVALUES,$Q503,$K$1))*60)+(MOD(INDEX(MINVALUES,$Q503,$K$1),1)*100)</f>
        <v>180</v>
      </c>
      <c r="T503">
        <f t="array" ref="T503">(INDEX(INCVALUES,$Q503,$K$1)*100)</f>
        <v>1</v>
      </c>
      <c r="V503">
        <f t="array" ref="V503">+J503+(4*(INDEX(MatchScoreTable,$Q503,20)-1))</f>
        <v>4</v>
      </c>
      <c r="W503">
        <f t="array" ref="W503">INDEX(INC_MINVALUES,$V503,$K$1)</f>
        <v>480</v>
      </c>
      <c r="X503" s="212">
        <f t="array" ref="X503">INDEX(INC_INCVALUES,$V503,$K$1)</f>
        <v>4</v>
      </c>
    </row>
    <row r="504" ht="15.75" customHeight="1">
      <c r="A504" s="435"/>
      <c r="B504" s="436"/>
      <c r="C504" s="95" t="str">
        <f t="array" ref="C504">IF(I504&gt;0,INDEX(DB,I504,8),"")</f>
        <v/>
      </c>
      <c r="D504" s="437">
        <f t="shared" si="1"/>
        <v>0</v>
      </c>
      <c r="F504" s="438">
        <f t="shared" si="2"/>
        <v>0</v>
      </c>
      <c r="G504" t="str">
        <f t="shared" si="3"/>
        <v/>
      </c>
      <c r="H504" t="b">
        <f t="shared" si="4"/>
        <v>0</v>
      </c>
      <c r="I504" s="439">
        <f>IF(OR(ISBLANK(A504),ISNA(MATCH(A504&amp;"",AthleteNumbers,0))),0,MATCH(A504&amp;"",AthleteNumbers,0))</f>
        <v>0</v>
      </c>
      <c r="J504" s="209">
        <f t="array" ref="J504">IF(I504&gt;0,INDEX(DB,$I504,6),0)</f>
        <v>0</v>
      </c>
      <c r="K504" s="446">
        <f t="shared" si="5"/>
        <v>0</v>
      </c>
      <c r="L504" s="440">
        <f t="shared" si="6"/>
        <v>0</v>
      </c>
      <c r="M504" s="441">
        <f>IF(AND(L504&gt;O504,O504&gt;0),MinPoints,IF(AND(L504&lt;N504,O504&gt;0),100,+INT((O504-$L504)/P504)+MinPoints))</f>
        <v>100</v>
      </c>
      <c r="N504" s="440">
        <f t="shared" si="7"/>
        <v>90</v>
      </c>
      <c r="O504" s="440">
        <f t="shared" si="8"/>
        <v>180</v>
      </c>
      <c r="P504" s="440">
        <f t="shared" si="9"/>
        <v>1</v>
      </c>
      <c r="Q504">
        <f t="array" ref="Q504">IF(I504&gt;0,INDEX(DB,I504,9),EventIndex)</f>
        <v>6</v>
      </c>
      <c r="S504">
        <f t="array" ref="S504">(INT(INDEX(MINVALUES,$Q504,$K$1))*60)+(MOD(INDEX(MINVALUES,$Q504,$K$1),1)*100)</f>
        <v>180</v>
      </c>
      <c r="T504">
        <f t="array" ref="T504">(INDEX(INCVALUES,$Q504,$K$1)*100)</f>
        <v>1</v>
      </c>
      <c r="V504">
        <f t="array" ref="V504">+J504+(4*(INDEX(MatchScoreTable,$Q504,20)-1))</f>
        <v>4</v>
      </c>
      <c r="W504">
        <f t="array" ref="W504">INDEX(INC_MINVALUES,$V504,$K$1)</f>
        <v>480</v>
      </c>
      <c r="X504" s="212">
        <f t="array" ref="X504">INDEX(INC_INCVALUES,$V504,$K$1)</f>
        <v>4</v>
      </c>
    </row>
    <row r="505" ht="15.75" customHeight="1">
      <c r="A505" s="435"/>
      <c r="B505" s="436"/>
      <c r="C505" s="95" t="str">
        <f t="array" ref="C505">IF(I505&gt;0,INDEX(DB,I505,8),"")</f>
        <v/>
      </c>
      <c r="D505" s="437">
        <f t="shared" si="1"/>
        <v>0</v>
      </c>
      <c r="F505" s="438">
        <f t="shared" si="2"/>
        <v>0</v>
      </c>
      <c r="G505" t="str">
        <f t="shared" si="3"/>
        <v/>
      </c>
      <c r="H505" t="b">
        <f t="shared" si="4"/>
        <v>0</v>
      </c>
      <c r="I505" s="439">
        <f>IF(OR(ISBLANK(A505),ISNA(MATCH(A505&amp;"",AthleteNumbers,0))),0,MATCH(A505&amp;"",AthleteNumbers,0))</f>
        <v>0</v>
      </c>
      <c r="J505" s="209">
        <f t="array" ref="J505">IF(I505&gt;0,INDEX(DB,$I505,6),0)</f>
        <v>0</v>
      </c>
      <c r="K505" s="446">
        <f t="shared" si="5"/>
        <v>0</v>
      </c>
      <c r="L505" s="440">
        <f t="shared" si="6"/>
        <v>0</v>
      </c>
      <c r="M505" s="441">
        <f>IF(AND(L505&gt;O505,O505&gt;0),MinPoints,IF(AND(L505&lt;N505,O505&gt;0),100,+INT((O505-$L505)/P505)+MinPoints))</f>
        <v>100</v>
      </c>
      <c r="N505" s="440">
        <f t="shared" si="7"/>
        <v>90</v>
      </c>
      <c r="O505" s="440">
        <f t="shared" si="8"/>
        <v>180</v>
      </c>
      <c r="P505" s="440">
        <f t="shared" si="9"/>
        <v>1</v>
      </c>
      <c r="Q505">
        <f t="array" ref="Q505">IF(I505&gt;0,INDEX(DB,I505,9),EventIndex)</f>
        <v>6</v>
      </c>
      <c r="S505">
        <f t="array" ref="S505">(INT(INDEX(MINVALUES,$Q505,$K$1))*60)+(MOD(INDEX(MINVALUES,$Q505,$K$1),1)*100)</f>
        <v>180</v>
      </c>
      <c r="T505">
        <f t="array" ref="T505">(INDEX(INCVALUES,$Q505,$K$1)*100)</f>
        <v>1</v>
      </c>
      <c r="V505">
        <f t="array" ref="V505">+J505+(4*(INDEX(MatchScoreTable,$Q505,20)-1))</f>
        <v>4</v>
      </c>
      <c r="W505">
        <f t="array" ref="W505">INDEX(INC_MINVALUES,$V505,$K$1)</f>
        <v>480</v>
      </c>
      <c r="X505" s="212">
        <f t="array" ref="X505">INDEX(INC_INCVALUES,$V505,$K$1)</f>
        <v>4</v>
      </c>
    </row>
    <row r="506" ht="15.75" customHeight="1">
      <c r="A506" s="435"/>
      <c r="B506" s="436"/>
      <c r="C506" s="95" t="str">
        <f t="array" ref="C506">IF(I506&gt;0,INDEX(DB,I506,8),"")</f>
        <v/>
      </c>
      <c r="D506" s="437">
        <f t="shared" si="1"/>
        <v>0</v>
      </c>
      <c r="F506" s="438">
        <f t="shared" si="2"/>
        <v>0</v>
      </c>
      <c r="G506" t="str">
        <f t="shared" si="3"/>
        <v/>
      </c>
      <c r="H506" t="b">
        <f t="shared" si="4"/>
        <v>0</v>
      </c>
      <c r="I506" s="439">
        <f>IF(OR(ISBLANK(A506),ISNA(MATCH(A506&amp;"",AthleteNumbers,0))),0,MATCH(A506&amp;"",AthleteNumbers,0))</f>
        <v>0</v>
      </c>
      <c r="J506" s="209">
        <f t="array" ref="J506">IF(I506&gt;0,INDEX(DB,$I506,6),0)</f>
        <v>0</v>
      </c>
      <c r="K506" s="446">
        <f t="shared" si="5"/>
        <v>0</v>
      </c>
      <c r="L506" s="440">
        <f t="shared" si="6"/>
        <v>0</v>
      </c>
      <c r="M506" s="441">
        <f>IF(AND(L506&gt;O506,O506&gt;0),MinPoints,IF(AND(L506&lt;N506,O506&gt;0),100,+INT((O506-$L506)/P506)+MinPoints))</f>
        <v>100</v>
      </c>
      <c r="N506" s="440">
        <f t="shared" si="7"/>
        <v>90</v>
      </c>
      <c r="O506" s="440">
        <f t="shared" si="8"/>
        <v>180</v>
      </c>
      <c r="P506" s="440">
        <f t="shared" si="9"/>
        <v>1</v>
      </c>
      <c r="Q506">
        <f t="array" ref="Q506">IF(I506&gt;0,INDEX(DB,I506,9),EventIndex)</f>
        <v>6</v>
      </c>
      <c r="S506">
        <f t="array" ref="S506">(INT(INDEX(MINVALUES,$Q506,$K$1))*60)+(MOD(INDEX(MINVALUES,$Q506,$K$1),1)*100)</f>
        <v>180</v>
      </c>
      <c r="T506">
        <f t="array" ref="T506">(INDEX(INCVALUES,$Q506,$K$1)*100)</f>
        <v>1</v>
      </c>
      <c r="V506">
        <f t="array" ref="V506">+J506+(4*(INDEX(MatchScoreTable,$Q506,20)-1))</f>
        <v>4</v>
      </c>
      <c r="W506">
        <f t="array" ref="W506">INDEX(INC_MINVALUES,$V506,$K$1)</f>
        <v>480</v>
      </c>
      <c r="X506" s="212">
        <f t="array" ref="X506">INDEX(INC_INCVALUES,$V506,$K$1)</f>
        <v>4</v>
      </c>
    </row>
    <row r="507" ht="15.75" customHeight="1">
      <c r="A507" s="435"/>
      <c r="B507" s="436"/>
      <c r="C507" s="95" t="str">
        <f t="array" ref="C507">IF(I507&gt;0,INDEX(DB,I507,8),"")</f>
        <v/>
      </c>
      <c r="D507" s="437">
        <f t="shared" si="1"/>
        <v>0</v>
      </c>
      <c r="F507" s="438">
        <f t="shared" si="2"/>
        <v>0</v>
      </c>
      <c r="G507" t="str">
        <f t="shared" si="3"/>
        <v/>
      </c>
      <c r="H507" t="b">
        <f t="shared" si="4"/>
        <v>0</v>
      </c>
      <c r="I507" s="439">
        <f>IF(OR(ISBLANK(A507),ISNA(MATCH(A507&amp;"",AthleteNumbers,0))),0,MATCH(A507&amp;"",AthleteNumbers,0))</f>
        <v>0</v>
      </c>
      <c r="J507" s="209">
        <f t="array" ref="J507">IF(I507&gt;0,INDEX(DB,$I507,6),0)</f>
        <v>0</v>
      </c>
      <c r="K507" s="446">
        <f t="shared" si="5"/>
        <v>0</v>
      </c>
      <c r="L507" s="440">
        <f t="shared" si="6"/>
        <v>0</v>
      </c>
      <c r="M507" s="441">
        <f>IF(AND(L507&gt;O507,O507&gt;0),MinPoints,IF(AND(L507&lt;N507,O507&gt;0),100,+INT((O507-$L507)/P507)+MinPoints))</f>
        <v>100</v>
      </c>
      <c r="N507" s="440">
        <f t="shared" si="7"/>
        <v>90</v>
      </c>
      <c r="O507" s="440">
        <f t="shared" si="8"/>
        <v>180</v>
      </c>
      <c r="P507" s="440">
        <f t="shared" si="9"/>
        <v>1</v>
      </c>
      <c r="Q507">
        <f t="array" ref="Q507">IF(I507&gt;0,INDEX(DB,I507,9),EventIndex)</f>
        <v>6</v>
      </c>
      <c r="S507">
        <f t="array" ref="S507">(INT(INDEX(MINVALUES,$Q507,$K$1))*60)+(MOD(INDEX(MINVALUES,$Q507,$K$1),1)*100)</f>
        <v>180</v>
      </c>
      <c r="T507">
        <f t="array" ref="T507">(INDEX(INCVALUES,$Q507,$K$1)*100)</f>
        <v>1</v>
      </c>
      <c r="V507">
        <f t="array" ref="V507">+J507+(4*(INDEX(MatchScoreTable,$Q507,20)-1))</f>
        <v>4</v>
      </c>
      <c r="W507">
        <f t="array" ref="W507">INDEX(INC_MINVALUES,$V507,$K$1)</f>
        <v>480</v>
      </c>
      <c r="X507" s="212">
        <f t="array" ref="X507">INDEX(INC_INCVALUES,$V507,$K$1)</f>
        <v>4</v>
      </c>
    </row>
    <row r="508" ht="15.75" customHeight="1">
      <c r="A508" s="435"/>
      <c r="B508" s="436"/>
      <c r="C508" s="95" t="str">
        <f t="array" ref="C508">IF(I508&gt;0,INDEX(DB,I508,8),"")</f>
        <v/>
      </c>
      <c r="D508" s="437">
        <f t="shared" si="1"/>
        <v>0</v>
      </c>
      <c r="F508" s="438">
        <f t="shared" si="2"/>
        <v>0</v>
      </c>
      <c r="G508" t="str">
        <f t="shared" si="3"/>
        <v/>
      </c>
      <c r="H508" t="b">
        <f t="shared" si="4"/>
        <v>0</v>
      </c>
      <c r="I508" s="439">
        <f>IF(OR(ISBLANK(A508),ISNA(MATCH(A508&amp;"",AthleteNumbers,0))),0,MATCH(A508&amp;"",AthleteNumbers,0))</f>
        <v>0</v>
      </c>
      <c r="J508" s="209">
        <f t="array" ref="J508">IF(I508&gt;0,INDEX(DB,$I508,6),0)</f>
        <v>0</v>
      </c>
      <c r="K508" s="446">
        <f t="shared" si="5"/>
        <v>0</v>
      </c>
      <c r="L508" s="440">
        <f t="shared" si="6"/>
        <v>0</v>
      </c>
      <c r="M508" s="441">
        <f>IF(AND(L508&gt;O508,O508&gt;0),MinPoints,IF(AND(L508&lt;N508,O508&gt;0),100,+INT((O508-$L508)/P508)+MinPoints))</f>
        <v>100</v>
      </c>
      <c r="N508" s="440">
        <f t="shared" si="7"/>
        <v>90</v>
      </c>
      <c r="O508" s="440">
        <f t="shared" si="8"/>
        <v>180</v>
      </c>
      <c r="P508" s="440">
        <f t="shared" si="9"/>
        <v>1</v>
      </c>
      <c r="Q508">
        <f t="array" ref="Q508">IF(I508&gt;0,INDEX(DB,I508,9),EventIndex)</f>
        <v>6</v>
      </c>
      <c r="S508">
        <f t="array" ref="S508">(INT(INDEX(MINVALUES,$Q508,$K$1))*60)+(MOD(INDEX(MINVALUES,$Q508,$K$1),1)*100)</f>
        <v>180</v>
      </c>
      <c r="T508">
        <f t="array" ref="T508">(INDEX(INCVALUES,$Q508,$K$1)*100)</f>
        <v>1</v>
      </c>
      <c r="V508">
        <f t="array" ref="V508">+J508+(4*(INDEX(MatchScoreTable,$Q508,20)-1))</f>
        <v>4</v>
      </c>
      <c r="W508">
        <f t="array" ref="W508">INDEX(INC_MINVALUES,$V508,$K$1)</f>
        <v>480</v>
      </c>
      <c r="X508" s="212">
        <f t="array" ref="X508">INDEX(INC_INCVALUES,$V508,$K$1)</f>
        <v>4</v>
      </c>
    </row>
    <row r="509" ht="15.75" customHeight="1">
      <c r="A509" s="435"/>
      <c r="B509" s="436"/>
      <c r="C509" s="95" t="str">
        <f t="array" ref="C509">IF(I509&gt;0,INDEX(DB,I509,8),"")</f>
        <v/>
      </c>
      <c r="D509" s="437">
        <f t="shared" si="1"/>
        <v>0</v>
      </c>
      <c r="F509" s="438">
        <f t="shared" si="2"/>
        <v>0</v>
      </c>
      <c r="G509" t="str">
        <f t="shared" si="3"/>
        <v/>
      </c>
      <c r="H509" t="b">
        <f t="shared" si="4"/>
        <v>0</v>
      </c>
      <c r="I509" s="439">
        <f>IF(OR(ISBLANK(A509),ISNA(MATCH(A509&amp;"",AthleteNumbers,0))),0,MATCH(A509&amp;"",AthleteNumbers,0))</f>
        <v>0</v>
      </c>
      <c r="J509" s="209">
        <f t="array" ref="J509">IF(I509&gt;0,INDEX(DB,$I509,6),0)</f>
        <v>0</v>
      </c>
      <c r="K509" s="446">
        <f t="shared" si="5"/>
        <v>0</v>
      </c>
      <c r="L509" s="440">
        <f t="shared" si="6"/>
        <v>0</v>
      </c>
      <c r="M509" s="441">
        <f>IF(AND(L509&gt;O509,O509&gt;0),MinPoints,IF(AND(L509&lt;N509,O509&gt;0),100,+INT((O509-$L509)/P509)+MinPoints))</f>
        <v>100</v>
      </c>
      <c r="N509" s="440">
        <f t="shared" si="7"/>
        <v>90</v>
      </c>
      <c r="O509" s="440">
        <f t="shared" si="8"/>
        <v>180</v>
      </c>
      <c r="P509" s="440">
        <f t="shared" si="9"/>
        <v>1</v>
      </c>
      <c r="Q509">
        <f t="array" ref="Q509">IF(I509&gt;0,INDEX(DB,I509,9),EventIndex)</f>
        <v>6</v>
      </c>
      <c r="S509">
        <f t="array" ref="S509">(INT(INDEX(MINVALUES,$Q509,$K$1))*60)+(MOD(INDEX(MINVALUES,$Q509,$K$1),1)*100)</f>
        <v>180</v>
      </c>
      <c r="T509">
        <f t="array" ref="T509">(INDEX(INCVALUES,$Q509,$K$1)*100)</f>
        <v>1</v>
      </c>
      <c r="V509">
        <f t="array" ref="V509">+J509+(4*(INDEX(MatchScoreTable,$Q509,20)-1))</f>
        <v>4</v>
      </c>
      <c r="W509">
        <f t="array" ref="W509">INDEX(INC_MINVALUES,$V509,$K$1)</f>
        <v>480</v>
      </c>
      <c r="X509" s="212">
        <f t="array" ref="X509">INDEX(INC_INCVALUES,$V509,$K$1)</f>
        <v>4</v>
      </c>
    </row>
    <row r="510" ht="15.75" customHeight="1">
      <c r="A510" s="435"/>
      <c r="B510" s="436"/>
      <c r="C510" s="95" t="str">
        <f t="array" ref="C510">IF(I510&gt;0,INDEX(DB,I510,8),"")</f>
        <v/>
      </c>
      <c r="D510" s="437">
        <f t="shared" si="1"/>
        <v>0</v>
      </c>
      <c r="F510" s="438">
        <f t="shared" si="2"/>
        <v>0</v>
      </c>
      <c r="G510" t="str">
        <f t="shared" si="3"/>
        <v/>
      </c>
      <c r="H510" t="b">
        <f t="shared" si="4"/>
        <v>0</v>
      </c>
      <c r="I510" s="439">
        <f>IF(OR(ISBLANK(A510),ISNA(MATCH(A510&amp;"",AthleteNumbers,0))),0,MATCH(A510&amp;"",AthleteNumbers,0))</f>
        <v>0</v>
      </c>
      <c r="J510" s="209">
        <f t="array" ref="J510">IF(I510&gt;0,INDEX(DB,$I510,6),0)</f>
        <v>0</v>
      </c>
      <c r="K510" s="446">
        <f t="shared" si="5"/>
        <v>0</v>
      </c>
      <c r="L510" s="440">
        <f t="shared" si="6"/>
        <v>0</v>
      </c>
      <c r="M510" s="441">
        <f>IF(AND(L510&gt;O510,O510&gt;0),MinPoints,IF(AND(L510&lt;N510,O510&gt;0),100,+INT((O510-$L510)/P510)+MinPoints))</f>
        <v>100</v>
      </c>
      <c r="N510" s="440">
        <f t="shared" si="7"/>
        <v>90</v>
      </c>
      <c r="O510" s="440">
        <f t="shared" si="8"/>
        <v>180</v>
      </c>
      <c r="P510" s="440">
        <f t="shared" si="9"/>
        <v>1</v>
      </c>
      <c r="Q510">
        <f t="array" ref="Q510">IF(I510&gt;0,INDEX(DB,I510,9),EventIndex)</f>
        <v>6</v>
      </c>
      <c r="S510">
        <f t="array" ref="S510">(INT(INDEX(MINVALUES,$Q510,$K$1))*60)+(MOD(INDEX(MINVALUES,$Q510,$K$1),1)*100)</f>
        <v>180</v>
      </c>
      <c r="T510">
        <f t="array" ref="T510">(INDEX(INCVALUES,$Q510,$K$1)*100)</f>
        <v>1</v>
      </c>
      <c r="V510">
        <f t="array" ref="V510">+J510+(4*(INDEX(MatchScoreTable,$Q510,20)-1))</f>
        <v>4</v>
      </c>
      <c r="W510">
        <f t="array" ref="W510">INDEX(INC_MINVALUES,$V510,$K$1)</f>
        <v>480</v>
      </c>
      <c r="X510" s="212">
        <f t="array" ref="X510">INDEX(INC_INCVALUES,$V510,$K$1)</f>
        <v>4</v>
      </c>
    </row>
    <row r="511" ht="15.75" customHeight="1">
      <c r="A511" s="435"/>
      <c r="B511" s="436"/>
      <c r="C511" s="95" t="str">
        <f t="array" ref="C511">IF(I511&gt;0,INDEX(DB,I511,8),"")</f>
        <v/>
      </c>
      <c r="D511" s="437">
        <f t="shared" si="1"/>
        <v>0</v>
      </c>
      <c r="F511" s="438">
        <f t="shared" si="2"/>
        <v>0</v>
      </c>
      <c r="G511" t="str">
        <f t="shared" si="3"/>
        <v/>
      </c>
      <c r="H511" t="b">
        <f t="shared" si="4"/>
        <v>0</v>
      </c>
      <c r="I511" s="439">
        <f>IF(OR(ISBLANK(A511),ISNA(MATCH(A511&amp;"",AthleteNumbers,0))),0,MATCH(A511&amp;"",AthleteNumbers,0))</f>
        <v>0</v>
      </c>
      <c r="J511" s="209">
        <f t="array" ref="J511">IF(I511&gt;0,INDEX(DB,$I511,6),0)</f>
        <v>0</v>
      </c>
      <c r="K511" s="446">
        <f t="shared" si="5"/>
        <v>0</v>
      </c>
      <c r="L511" s="440">
        <f t="shared" si="6"/>
        <v>0</v>
      </c>
      <c r="M511" s="441">
        <f>IF(AND(L511&gt;O511,O511&gt;0),MinPoints,IF(AND(L511&lt;N511,O511&gt;0),100,+INT((O511-$L511)/P511)+MinPoints))</f>
        <v>100</v>
      </c>
      <c r="N511" s="440">
        <f t="shared" si="7"/>
        <v>90</v>
      </c>
      <c r="O511" s="440">
        <f t="shared" si="8"/>
        <v>180</v>
      </c>
      <c r="P511" s="440">
        <f t="shared" si="9"/>
        <v>1</v>
      </c>
      <c r="Q511">
        <f t="array" ref="Q511">IF(I511&gt;0,INDEX(DB,I511,9),EventIndex)</f>
        <v>6</v>
      </c>
      <c r="S511">
        <f t="array" ref="S511">(INT(INDEX(MINVALUES,$Q511,$K$1))*60)+(MOD(INDEX(MINVALUES,$Q511,$K$1),1)*100)</f>
        <v>180</v>
      </c>
      <c r="T511">
        <f t="array" ref="T511">(INDEX(INCVALUES,$Q511,$K$1)*100)</f>
        <v>1</v>
      </c>
      <c r="V511">
        <f t="array" ref="V511">+J511+(4*(INDEX(MatchScoreTable,$Q511,20)-1))</f>
        <v>4</v>
      </c>
      <c r="W511">
        <f t="array" ref="W511">INDEX(INC_MINVALUES,$V511,$K$1)</f>
        <v>480</v>
      </c>
      <c r="X511" s="212">
        <f t="array" ref="X511">INDEX(INC_INCVALUES,$V511,$K$1)</f>
        <v>4</v>
      </c>
    </row>
    <row r="512" ht="15.75" customHeight="1">
      <c r="A512" s="435"/>
      <c r="B512" s="436"/>
      <c r="C512" s="95" t="str">
        <f t="array" ref="C512">IF(I512&gt;0,INDEX(DB,I512,8),"")</f>
        <v/>
      </c>
      <c r="D512" s="437">
        <f t="shared" si="1"/>
        <v>0</v>
      </c>
      <c r="F512" s="438">
        <f t="shared" si="2"/>
        <v>0</v>
      </c>
      <c r="G512" t="str">
        <f t="shared" si="3"/>
        <v/>
      </c>
      <c r="H512" t="b">
        <f t="shared" si="4"/>
        <v>0</v>
      </c>
      <c r="I512" s="439">
        <f>IF(OR(ISBLANK(A512),ISNA(MATCH(A512&amp;"",AthleteNumbers,0))),0,MATCH(A512&amp;"",AthleteNumbers,0))</f>
        <v>0</v>
      </c>
      <c r="J512" s="209">
        <f t="array" ref="J512">IF(I512&gt;0,INDEX(DB,$I512,6),0)</f>
        <v>0</v>
      </c>
      <c r="K512" s="446">
        <f t="shared" si="5"/>
        <v>0</v>
      </c>
      <c r="L512" s="440">
        <f t="shared" si="6"/>
        <v>0</v>
      </c>
      <c r="M512" s="441">
        <f>IF(AND(L512&gt;O512,O512&gt;0),MinPoints,IF(AND(L512&lt;N512,O512&gt;0),100,+INT((O512-$L512)/P512)+MinPoints))</f>
        <v>100</v>
      </c>
      <c r="N512" s="440">
        <f t="shared" si="7"/>
        <v>90</v>
      </c>
      <c r="O512" s="440">
        <f t="shared" si="8"/>
        <v>180</v>
      </c>
      <c r="P512" s="440">
        <f t="shared" si="9"/>
        <v>1</v>
      </c>
      <c r="Q512">
        <f t="array" ref="Q512">IF(I512&gt;0,INDEX(DB,I512,9),EventIndex)</f>
        <v>6</v>
      </c>
      <c r="S512">
        <f t="array" ref="S512">(INT(INDEX(MINVALUES,$Q512,$K$1))*60)+(MOD(INDEX(MINVALUES,$Q512,$K$1),1)*100)</f>
        <v>180</v>
      </c>
      <c r="T512">
        <f t="array" ref="T512">(INDEX(INCVALUES,$Q512,$K$1)*100)</f>
        <v>1</v>
      </c>
      <c r="V512">
        <f t="array" ref="V512">+J512+(4*(INDEX(MatchScoreTable,$Q512,20)-1))</f>
        <v>4</v>
      </c>
      <c r="W512">
        <f t="array" ref="W512">INDEX(INC_MINVALUES,$V512,$K$1)</f>
        <v>480</v>
      </c>
      <c r="X512" s="212">
        <f t="array" ref="X512">INDEX(INC_INCVALUES,$V512,$K$1)</f>
        <v>4</v>
      </c>
    </row>
    <row r="513" ht="15.75" customHeight="1">
      <c r="A513" s="435"/>
      <c r="B513" s="436"/>
      <c r="C513" s="95" t="str">
        <f t="array" ref="C513">IF(I513&gt;0,INDEX(DB,I513,8),"")</f>
        <v/>
      </c>
      <c r="D513" s="437">
        <f t="shared" si="1"/>
        <v>0</v>
      </c>
      <c r="F513" s="438">
        <f t="shared" si="2"/>
        <v>0</v>
      </c>
      <c r="G513" t="str">
        <f t="shared" si="3"/>
        <v/>
      </c>
      <c r="H513" t="b">
        <f t="shared" si="4"/>
        <v>0</v>
      </c>
      <c r="I513" s="439">
        <f>IF(OR(ISBLANK(A513),ISNA(MATCH(A513&amp;"",AthleteNumbers,0))),0,MATCH(A513&amp;"",AthleteNumbers,0))</f>
        <v>0</v>
      </c>
      <c r="J513" s="209">
        <f t="array" ref="J513">IF(I513&gt;0,INDEX(DB,$I513,6),0)</f>
        <v>0</v>
      </c>
      <c r="K513" s="446">
        <f t="shared" si="5"/>
        <v>0</v>
      </c>
      <c r="L513" s="440">
        <f t="shared" si="6"/>
        <v>0</v>
      </c>
      <c r="M513" s="441">
        <f>IF(AND(L513&gt;O513,O513&gt;0),MinPoints,IF(AND(L513&lt;N513,O513&gt;0),100,+INT((O513-$L513)/P513)+MinPoints))</f>
        <v>100</v>
      </c>
      <c r="N513" s="440">
        <f t="shared" si="7"/>
        <v>90</v>
      </c>
      <c r="O513" s="440">
        <f t="shared" si="8"/>
        <v>180</v>
      </c>
      <c r="P513" s="440">
        <f t="shared" si="9"/>
        <v>1</v>
      </c>
      <c r="Q513">
        <f t="array" ref="Q513">IF(I513&gt;0,INDEX(DB,I513,9),EventIndex)</f>
        <v>6</v>
      </c>
      <c r="S513">
        <f t="array" ref="S513">(INT(INDEX(MINVALUES,$Q513,$K$1))*60)+(MOD(INDEX(MINVALUES,$Q513,$K$1),1)*100)</f>
        <v>180</v>
      </c>
      <c r="T513">
        <f t="array" ref="T513">(INDEX(INCVALUES,$Q513,$K$1)*100)</f>
        <v>1</v>
      </c>
      <c r="V513">
        <f t="array" ref="V513">+J513+(4*(INDEX(MatchScoreTable,$Q513,20)-1))</f>
        <v>4</v>
      </c>
      <c r="W513">
        <f t="array" ref="W513">INDEX(INC_MINVALUES,$V513,$K$1)</f>
        <v>480</v>
      </c>
      <c r="X513" s="212">
        <f t="array" ref="X513">INDEX(INC_INCVALUES,$V513,$K$1)</f>
        <v>4</v>
      </c>
    </row>
    <row r="514" ht="15.75" customHeight="1">
      <c r="A514" s="435"/>
      <c r="B514" s="436"/>
      <c r="C514" s="95" t="str">
        <f t="array" ref="C514">IF(I514&gt;0,INDEX(DB,I514,8),"")</f>
        <v/>
      </c>
      <c r="D514" s="437">
        <f t="shared" si="1"/>
        <v>0</v>
      </c>
      <c r="F514" s="438">
        <f t="shared" si="2"/>
        <v>0</v>
      </c>
      <c r="G514" t="str">
        <f t="shared" si="3"/>
        <v/>
      </c>
      <c r="H514" t="b">
        <f t="shared" si="4"/>
        <v>0</v>
      </c>
      <c r="I514" s="439">
        <f>IF(OR(ISBLANK(A514),ISNA(MATCH(A514&amp;"",AthleteNumbers,0))),0,MATCH(A514&amp;"",AthleteNumbers,0))</f>
        <v>0</v>
      </c>
      <c r="J514" s="209">
        <f t="array" ref="J514">IF(I514&gt;0,INDEX(DB,$I514,6),0)</f>
        <v>0</v>
      </c>
      <c r="K514" s="446">
        <f t="shared" si="5"/>
        <v>0</v>
      </c>
      <c r="L514" s="440">
        <f t="shared" si="6"/>
        <v>0</v>
      </c>
      <c r="M514" s="441">
        <f>IF(AND(L514&gt;O514,O514&gt;0),MinPoints,IF(AND(L514&lt;N514,O514&gt;0),100,+INT((O514-$L514)/P514)+MinPoints))</f>
        <v>100</v>
      </c>
      <c r="N514" s="440">
        <f t="shared" si="7"/>
        <v>90</v>
      </c>
      <c r="O514" s="440">
        <f t="shared" si="8"/>
        <v>180</v>
      </c>
      <c r="P514" s="440">
        <f t="shared" si="9"/>
        <v>1</v>
      </c>
      <c r="Q514">
        <f t="array" ref="Q514">IF(I514&gt;0,INDEX(DB,I514,9),EventIndex)</f>
        <v>6</v>
      </c>
      <c r="S514">
        <f t="array" ref="S514">(INT(INDEX(MINVALUES,$Q514,$K$1))*60)+(MOD(INDEX(MINVALUES,$Q514,$K$1),1)*100)</f>
        <v>180</v>
      </c>
      <c r="T514">
        <f t="array" ref="T514">(INDEX(INCVALUES,$Q514,$K$1)*100)</f>
        <v>1</v>
      </c>
      <c r="V514">
        <f t="array" ref="V514">+J514+(4*(INDEX(MatchScoreTable,$Q514,20)-1))</f>
        <v>4</v>
      </c>
      <c r="W514">
        <f t="array" ref="W514">INDEX(INC_MINVALUES,$V514,$K$1)</f>
        <v>480</v>
      </c>
      <c r="X514" s="212">
        <f t="array" ref="X514">INDEX(INC_INCVALUES,$V514,$K$1)</f>
        <v>4</v>
      </c>
    </row>
    <row r="515" ht="15.75" customHeight="1">
      <c r="A515" s="435"/>
      <c r="B515" s="436"/>
      <c r="C515" s="95" t="str">
        <f t="array" ref="C515">IF(I515&gt;0,INDEX(DB,I515,8),"")</f>
        <v/>
      </c>
      <c r="D515" s="437">
        <f t="shared" si="1"/>
        <v>0</v>
      </c>
      <c r="F515" s="438">
        <f t="shared" si="2"/>
        <v>0</v>
      </c>
      <c r="G515" t="str">
        <f t="shared" si="3"/>
        <v/>
      </c>
      <c r="H515" t="b">
        <f t="shared" si="4"/>
        <v>0</v>
      </c>
      <c r="I515" s="439">
        <f>IF(OR(ISBLANK(A515),ISNA(MATCH(A515&amp;"",AthleteNumbers,0))),0,MATCH(A515&amp;"",AthleteNumbers,0))</f>
        <v>0</v>
      </c>
      <c r="J515" s="209">
        <f t="array" ref="J515">IF(I515&gt;0,INDEX(DB,$I515,6),0)</f>
        <v>0</v>
      </c>
      <c r="K515" s="446">
        <f t="shared" si="5"/>
        <v>0</v>
      </c>
      <c r="L515" s="440">
        <f t="shared" si="6"/>
        <v>0</v>
      </c>
      <c r="M515" s="441">
        <f>IF(AND(L515&gt;O515,O515&gt;0),MinPoints,IF(AND(L515&lt;N515,O515&gt;0),100,+INT((O515-$L515)/P515)+MinPoints))</f>
        <v>100</v>
      </c>
      <c r="N515" s="440">
        <f t="shared" si="7"/>
        <v>90</v>
      </c>
      <c r="O515" s="440">
        <f t="shared" si="8"/>
        <v>180</v>
      </c>
      <c r="P515" s="440">
        <f t="shared" si="9"/>
        <v>1</v>
      </c>
      <c r="Q515">
        <f t="array" ref="Q515">IF(I515&gt;0,INDEX(DB,I515,9),EventIndex)</f>
        <v>6</v>
      </c>
      <c r="S515">
        <f t="array" ref="S515">(INT(INDEX(MINVALUES,$Q515,$K$1))*60)+(MOD(INDEX(MINVALUES,$Q515,$K$1),1)*100)</f>
        <v>180</v>
      </c>
      <c r="T515">
        <f t="array" ref="T515">(INDEX(INCVALUES,$Q515,$K$1)*100)</f>
        <v>1</v>
      </c>
      <c r="V515">
        <f t="array" ref="V515">+J515+(4*(INDEX(MatchScoreTable,$Q515,20)-1))</f>
        <v>4</v>
      </c>
      <c r="W515">
        <f t="array" ref="W515">INDEX(INC_MINVALUES,$V515,$K$1)</f>
        <v>480</v>
      </c>
      <c r="X515" s="212">
        <f t="array" ref="X515">INDEX(INC_INCVALUES,$V515,$K$1)</f>
        <v>4</v>
      </c>
    </row>
    <row r="516" ht="15.75" customHeight="1">
      <c r="A516" s="435"/>
      <c r="B516" s="436"/>
      <c r="C516" s="95" t="str">
        <f t="array" ref="C516">IF(I516&gt;0,INDEX(DB,I516,8),"")</f>
        <v/>
      </c>
      <c r="D516" s="437">
        <f t="shared" si="1"/>
        <v>0</v>
      </c>
      <c r="F516" s="438">
        <f t="shared" si="2"/>
        <v>0</v>
      </c>
      <c r="G516" t="str">
        <f t="shared" si="3"/>
        <v/>
      </c>
      <c r="H516" t="b">
        <f t="shared" si="4"/>
        <v>0</v>
      </c>
      <c r="I516" s="439">
        <f>IF(OR(ISBLANK(A516),ISNA(MATCH(A516&amp;"",AthleteNumbers,0))),0,MATCH(A516&amp;"",AthleteNumbers,0))</f>
        <v>0</v>
      </c>
      <c r="J516" s="209">
        <f t="array" ref="J516">IF(I516&gt;0,INDEX(DB,$I516,6),0)</f>
        <v>0</v>
      </c>
      <c r="K516" s="446">
        <f t="shared" si="5"/>
        <v>0</v>
      </c>
      <c r="L516" s="440">
        <f t="shared" si="6"/>
        <v>0</v>
      </c>
      <c r="M516" s="441">
        <f>IF(AND(L516&gt;O516,O516&gt;0),MinPoints,IF(AND(L516&lt;N516,O516&gt;0),100,+INT((O516-$L516)/P516)+MinPoints))</f>
        <v>100</v>
      </c>
      <c r="N516" s="440">
        <f t="shared" si="7"/>
        <v>90</v>
      </c>
      <c r="O516" s="440">
        <f t="shared" si="8"/>
        <v>180</v>
      </c>
      <c r="P516" s="440">
        <f t="shared" si="9"/>
        <v>1</v>
      </c>
      <c r="Q516">
        <f t="array" ref="Q516">IF(I516&gt;0,INDEX(DB,I516,9),EventIndex)</f>
        <v>6</v>
      </c>
      <c r="S516">
        <f t="array" ref="S516">(INT(INDEX(MINVALUES,$Q516,$K$1))*60)+(MOD(INDEX(MINVALUES,$Q516,$K$1),1)*100)</f>
        <v>180</v>
      </c>
      <c r="T516">
        <f t="array" ref="T516">(INDEX(INCVALUES,$Q516,$K$1)*100)</f>
        <v>1</v>
      </c>
      <c r="V516">
        <f t="array" ref="V516">+J516+(4*(INDEX(MatchScoreTable,$Q516,20)-1))</f>
        <v>4</v>
      </c>
      <c r="W516">
        <f t="array" ref="W516">INDEX(INC_MINVALUES,$V516,$K$1)</f>
        <v>480</v>
      </c>
      <c r="X516" s="212">
        <f t="array" ref="X516">INDEX(INC_INCVALUES,$V516,$K$1)</f>
        <v>4</v>
      </c>
    </row>
    <row r="517" ht="15.75" customHeight="1">
      <c r="A517" s="435"/>
      <c r="B517" s="436"/>
      <c r="C517" s="95" t="str">
        <f t="array" ref="C517">IF(I517&gt;0,INDEX(DB,I517,8),"")</f>
        <v/>
      </c>
      <c r="D517" s="437">
        <f t="shared" si="1"/>
        <v>0</v>
      </c>
      <c r="F517" s="438">
        <f t="shared" si="2"/>
        <v>0</v>
      </c>
      <c r="G517" t="str">
        <f t="shared" si="3"/>
        <v/>
      </c>
      <c r="H517" t="b">
        <f t="shared" si="4"/>
        <v>0</v>
      </c>
      <c r="I517" s="439">
        <f>IF(OR(ISBLANK(A517),ISNA(MATCH(A517&amp;"",AthleteNumbers,0))),0,MATCH(A517&amp;"",AthleteNumbers,0))</f>
        <v>0</v>
      </c>
      <c r="J517" s="209">
        <f t="array" ref="J517">IF(I517&gt;0,INDEX(DB,$I517,6),0)</f>
        <v>0</v>
      </c>
      <c r="K517" s="446">
        <f t="shared" si="5"/>
        <v>0</v>
      </c>
      <c r="L517" s="440">
        <f t="shared" si="6"/>
        <v>0</v>
      </c>
      <c r="M517" s="441">
        <f>IF(AND(L517&gt;O517,O517&gt;0),MinPoints,IF(AND(L517&lt;N517,O517&gt;0),100,+INT((O517-$L517)/P517)+MinPoints))</f>
        <v>100</v>
      </c>
      <c r="N517" s="440">
        <f t="shared" si="7"/>
        <v>90</v>
      </c>
      <c r="O517" s="440">
        <f t="shared" si="8"/>
        <v>180</v>
      </c>
      <c r="P517" s="440">
        <f t="shared" si="9"/>
        <v>1</v>
      </c>
      <c r="Q517">
        <f t="array" ref="Q517">IF(I517&gt;0,INDEX(DB,I517,9),EventIndex)</f>
        <v>6</v>
      </c>
      <c r="S517">
        <f t="array" ref="S517">(INT(INDEX(MINVALUES,$Q517,$K$1))*60)+(MOD(INDEX(MINVALUES,$Q517,$K$1),1)*100)</f>
        <v>180</v>
      </c>
      <c r="T517">
        <f t="array" ref="T517">(INDEX(INCVALUES,$Q517,$K$1)*100)</f>
        <v>1</v>
      </c>
      <c r="V517">
        <f t="array" ref="V517">+J517+(4*(INDEX(MatchScoreTable,$Q517,20)-1))</f>
        <v>4</v>
      </c>
      <c r="W517">
        <f t="array" ref="W517">INDEX(INC_MINVALUES,$V517,$K$1)</f>
        <v>480</v>
      </c>
      <c r="X517" s="212">
        <f t="array" ref="X517">INDEX(INC_INCVALUES,$V517,$K$1)</f>
        <v>4</v>
      </c>
    </row>
    <row r="518" ht="15.75" customHeight="1">
      <c r="A518" s="435"/>
      <c r="B518" s="436"/>
      <c r="C518" s="95" t="str">
        <f t="array" ref="C518">IF(I518&gt;0,INDEX(DB,I518,8),"")</f>
        <v/>
      </c>
      <c r="D518" s="437">
        <f t="shared" si="1"/>
        <v>0</v>
      </c>
      <c r="F518" s="438">
        <f t="shared" si="2"/>
        <v>0</v>
      </c>
      <c r="G518" t="str">
        <f t="shared" si="3"/>
        <v/>
      </c>
      <c r="H518" t="b">
        <f t="shared" si="4"/>
        <v>0</v>
      </c>
      <c r="I518" s="439">
        <f>IF(OR(ISBLANK(A518),ISNA(MATCH(A518&amp;"",AthleteNumbers,0))),0,MATCH(A518&amp;"",AthleteNumbers,0))</f>
        <v>0</v>
      </c>
      <c r="J518" s="209">
        <f t="array" ref="J518">IF(I518&gt;0,INDEX(DB,$I518,6),0)</f>
        <v>0</v>
      </c>
      <c r="K518" s="446">
        <f t="shared" si="5"/>
        <v>0</v>
      </c>
      <c r="L518" s="440">
        <f t="shared" si="6"/>
        <v>0</v>
      </c>
      <c r="M518" s="441">
        <f>IF(AND(L518&gt;O518,O518&gt;0),MinPoints,IF(AND(L518&lt;N518,O518&gt;0),100,+INT((O518-$L518)/P518)+MinPoints))</f>
        <v>100</v>
      </c>
      <c r="N518" s="440">
        <f t="shared" si="7"/>
        <v>90</v>
      </c>
      <c r="O518" s="440">
        <f t="shared" si="8"/>
        <v>180</v>
      </c>
      <c r="P518" s="440">
        <f t="shared" si="9"/>
        <v>1</v>
      </c>
      <c r="Q518">
        <f t="array" ref="Q518">IF(I518&gt;0,INDEX(DB,I518,9),EventIndex)</f>
        <v>6</v>
      </c>
      <c r="S518">
        <f t="array" ref="S518">(INT(INDEX(MINVALUES,$Q518,$K$1))*60)+(MOD(INDEX(MINVALUES,$Q518,$K$1),1)*100)</f>
        <v>180</v>
      </c>
      <c r="T518">
        <f t="array" ref="T518">(INDEX(INCVALUES,$Q518,$K$1)*100)</f>
        <v>1</v>
      </c>
      <c r="V518">
        <f t="array" ref="V518">+J518+(4*(INDEX(MatchScoreTable,$Q518,20)-1))</f>
        <v>4</v>
      </c>
      <c r="W518">
        <f t="array" ref="W518">INDEX(INC_MINVALUES,$V518,$K$1)</f>
        <v>480</v>
      </c>
      <c r="X518" s="212">
        <f t="array" ref="X518">INDEX(INC_INCVALUES,$V518,$K$1)</f>
        <v>4</v>
      </c>
    </row>
    <row r="519" ht="15.75" customHeight="1">
      <c r="A519" s="435"/>
      <c r="B519" s="436"/>
      <c r="C519" s="95" t="str">
        <f t="array" ref="C519">IF(I519&gt;0,INDEX(DB,I519,8),"")</f>
        <v/>
      </c>
      <c r="D519" s="437">
        <f t="shared" si="1"/>
        <v>0</v>
      </c>
      <c r="F519" s="438">
        <f t="shared" si="2"/>
        <v>0</v>
      </c>
      <c r="G519" t="str">
        <f t="shared" si="3"/>
        <v/>
      </c>
      <c r="H519" t="b">
        <f t="shared" si="4"/>
        <v>0</v>
      </c>
      <c r="I519" s="439">
        <f>IF(OR(ISBLANK(A519),ISNA(MATCH(A519&amp;"",AthleteNumbers,0))),0,MATCH(A519&amp;"",AthleteNumbers,0))</f>
        <v>0</v>
      </c>
      <c r="J519" s="209">
        <f t="array" ref="J519">IF(I519&gt;0,INDEX(DB,$I519,6),0)</f>
        <v>0</v>
      </c>
      <c r="K519" s="446">
        <f t="shared" si="5"/>
        <v>0</v>
      </c>
      <c r="L519" s="440">
        <f t="shared" si="6"/>
        <v>0</v>
      </c>
      <c r="M519" s="441">
        <f>IF(AND(L519&gt;O519,O519&gt;0),MinPoints,IF(AND(L519&lt;N519,O519&gt;0),100,+INT((O519-$L519)/P519)+MinPoints))</f>
        <v>100</v>
      </c>
      <c r="N519" s="440">
        <f t="shared" si="7"/>
        <v>90</v>
      </c>
      <c r="O519" s="440">
        <f t="shared" si="8"/>
        <v>180</v>
      </c>
      <c r="P519" s="440">
        <f t="shared" si="9"/>
        <v>1</v>
      </c>
      <c r="Q519">
        <f t="array" ref="Q519">IF(I519&gt;0,INDEX(DB,I519,9),EventIndex)</f>
        <v>6</v>
      </c>
      <c r="S519">
        <f t="array" ref="S519">(INT(INDEX(MINVALUES,$Q519,$K$1))*60)+(MOD(INDEX(MINVALUES,$Q519,$K$1),1)*100)</f>
        <v>180</v>
      </c>
      <c r="T519">
        <f t="array" ref="T519">(INDEX(INCVALUES,$Q519,$K$1)*100)</f>
        <v>1</v>
      </c>
      <c r="V519">
        <f t="array" ref="V519">+J519+(4*(INDEX(MatchScoreTable,$Q519,20)-1))</f>
        <v>4</v>
      </c>
      <c r="W519">
        <f t="array" ref="W519">INDEX(INC_MINVALUES,$V519,$K$1)</f>
        <v>480</v>
      </c>
      <c r="X519" s="212">
        <f t="array" ref="X519">INDEX(INC_INCVALUES,$V519,$K$1)</f>
        <v>4</v>
      </c>
    </row>
    <row r="520" ht="15.75" customHeight="1">
      <c r="A520" s="435"/>
      <c r="B520" s="436"/>
      <c r="C520" s="95" t="str">
        <f t="array" ref="C520">IF(I520&gt;0,INDEX(DB,I520,8),"")</f>
        <v/>
      </c>
      <c r="D520" s="437">
        <f t="shared" si="1"/>
        <v>0</v>
      </c>
      <c r="F520" s="438">
        <f t="shared" si="2"/>
        <v>0</v>
      </c>
      <c r="G520" t="str">
        <f t="shared" si="3"/>
        <v/>
      </c>
      <c r="H520" t="b">
        <f t="shared" si="4"/>
        <v>0</v>
      </c>
      <c r="I520" s="439">
        <f>IF(OR(ISBLANK(A520),ISNA(MATCH(A520&amp;"",AthleteNumbers,0))),0,MATCH(A520&amp;"",AthleteNumbers,0))</f>
        <v>0</v>
      </c>
      <c r="J520" s="209">
        <f t="array" ref="J520">IF(I520&gt;0,INDEX(DB,$I520,6),0)</f>
        <v>0</v>
      </c>
      <c r="K520" s="446">
        <f t="shared" si="5"/>
        <v>0</v>
      </c>
      <c r="L520" s="440">
        <f t="shared" si="6"/>
        <v>0</v>
      </c>
      <c r="M520" s="441">
        <f>IF(AND(L520&gt;O520,O520&gt;0),MinPoints,IF(AND(L520&lt;N520,O520&gt;0),100,+INT((O520-$L520)/P520)+MinPoints))</f>
        <v>100</v>
      </c>
      <c r="N520" s="440">
        <f t="shared" si="7"/>
        <v>90</v>
      </c>
      <c r="O520" s="440">
        <f t="shared" si="8"/>
        <v>180</v>
      </c>
      <c r="P520" s="440">
        <f t="shared" si="9"/>
        <v>1</v>
      </c>
      <c r="Q520">
        <f t="array" ref="Q520">IF(I520&gt;0,INDEX(DB,I520,9),EventIndex)</f>
        <v>6</v>
      </c>
      <c r="S520">
        <f t="array" ref="S520">(INT(INDEX(MINVALUES,$Q520,$K$1))*60)+(MOD(INDEX(MINVALUES,$Q520,$K$1),1)*100)</f>
        <v>180</v>
      </c>
      <c r="T520">
        <f t="array" ref="T520">(INDEX(INCVALUES,$Q520,$K$1)*100)</f>
        <v>1</v>
      </c>
      <c r="V520">
        <f t="array" ref="V520">+J520+(4*(INDEX(MatchScoreTable,$Q520,20)-1))</f>
        <v>4</v>
      </c>
      <c r="W520">
        <f t="array" ref="W520">INDEX(INC_MINVALUES,$V520,$K$1)</f>
        <v>480</v>
      </c>
      <c r="X520" s="212">
        <f t="array" ref="X520">INDEX(INC_INCVALUES,$V520,$K$1)</f>
        <v>4</v>
      </c>
    </row>
    <row r="521" ht="15.75" customHeight="1">
      <c r="A521" s="435"/>
      <c r="B521" s="436"/>
      <c r="C521" s="95" t="str">
        <f t="array" ref="C521">IF(I521&gt;0,INDEX(DB,I521,8),"")</f>
        <v/>
      </c>
      <c r="D521" s="437">
        <f t="shared" si="1"/>
        <v>0</v>
      </c>
      <c r="F521" s="438">
        <f t="shared" si="2"/>
        <v>0</v>
      </c>
      <c r="G521" t="str">
        <f t="shared" si="3"/>
        <v/>
      </c>
      <c r="H521" t="b">
        <f t="shared" si="4"/>
        <v>0</v>
      </c>
      <c r="I521" s="439">
        <f>IF(OR(ISBLANK(A521),ISNA(MATCH(A521&amp;"",AthleteNumbers,0))),0,MATCH(A521&amp;"",AthleteNumbers,0))</f>
        <v>0</v>
      </c>
      <c r="J521" s="209">
        <f t="array" ref="J521">IF(I521&gt;0,INDEX(DB,$I521,6),0)</f>
        <v>0</v>
      </c>
      <c r="K521" s="446">
        <f t="shared" si="5"/>
        <v>0</v>
      </c>
      <c r="L521" s="440">
        <f t="shared" si="6"/>
        <v>0</v>
      </c>
      <c r="M521" s="441">
        <f>IF(AND(L521&gt;O521,O521&gt;0),MinPoints,IF(AND(L521&lt;N521,O521&gt;0),100,+INT((O521-$L521)/P521)+MinPoints))</f>
        <v>100</v>
      </c>
      <c r="N521" s="440">
        <f t="shared" si="7"/>
        <v>90</v>
      </c>
      <c r="O521" s="440">
        <f t="shared" si="8"/>
        <v>180</v>
      </c>
      <c r="P521" s="440">
        <f t="shared" si="9"/>
        <v>1</v>
      </c>
      <c r="Q521">
        <f t="array" ref="Q521">IF(I521&gt;0,INDEX(DB,I521,9),EventIndex)</f>
        <v>6</v>
      </c>
      <c r="S521">
        <f t="array" ref="S521">(INT(INDEX(MINVALUES,$Q521,$K$1))*60)+(MOD(INDEX(MINVALUES,$Q521,$K$1),1)*100)</f>
        <v>180</v>
      </c>
      <c r="T521">
        <f t="array" ref="T521">(INDEX(INCVALUES,$Q521,$K$1)*100)</f>
        <v>1</v>
      </c>
      <c r="V521">
        <f t="array" ref="V521">+J521+(4*(INDEX(MatchScoreTable,$Q521,20)-1))</f>
        <v>4</v>
      </c>
      <c r="W521">
        <f t="array" ref="W521">INDEX(INC_MINVALUES,$V521,$K$1)</f>
        <v>480</v>
      </c>
      <c r="X521" s="212">
        <f t="array" ref="X521">INDEX(INC_INCVALUES,$V521,$K$1)</f>
        <v>4</v>
      </c>
    </row>
    <row r="522" ht="15.75" customHeight="1">
      <c r="A522" s="435"/>
      <c r="B522" s="436"/>
      <c r="C522" s="95" t="str">
        <f t="array" ref="C522">IF(I522&gt;0,INDEX(DB,I522,8),"")</f>
        <v/>
      </c>
      <c r="D522" s="437">
        <f t="shared" si="1"/>
        <v>0</v>
      </c>
      <c r="F522" s="438">
        <f t="shared" si="2"/>
        <v>0</v>
      </c>
      <c r="G522" t="str">
        <f t="shared" si="3"/>
        <v/>
      </c>
      <c r="H522" t="b">
        <f t="shared" si="4"/>
        <v>0</v>
      </c>
      <c r="I522" s="439">
        <f>IF(OR(ISBLANK(A522),ISNA(MATCH(A522&amp;"",AthleteNumbers,0))),0,MATCH(A522&amp;"",AthleteNumbers,0))</f>
        <v>0</v>
      </c>
      <c r="J522" s="209">
        <f t="array" ref="J522">IF(I522&gt;0,INDEX(DB,$I522,6),0)</f>
        <v>0</v>
      </c>
      <c r="K522" s="446">
        <f t="shared" si="5"/>
        <v>0</v>
      </c>
      <c r="L522" s="440">
        <f t="shared" si="6"/>
        <v>0</v>
      </c>
      <c r="M522" s="441">
        <f>IF(AND(L522&gt;O522,O522&gt;0),MinPoints,IF(AND(L522&lt;N522,O522&gt;0),100,+INT((O522-$L522)/P522)+MinPoints))</f>
        <v>100</v>
      </c>
      <c r="N522" s="440">
        <f t="shared" si="7"/>
        <v>90</v>
      </c>
      <c r="O522" s="440">
        <f t="shared" si="8"/>
        <v>180</v>
      </c>
      <c r="P522" s="440">
        <f t="shared" si="9"/>
        <v>1</v>
      </c>
      <c r="Q522">
        <f t="array" ref="Q522">IF(I522&gt;0,INDEX(DB,I522,9),EventIndex)</f>
        <v>6</v>
      </c>
      <c r="S522">
        <f t="array" ref="S522">(INT(INDEX(MINVALUES,$Q522,$K$1))*60)+(MOD(INDEX(MINVALUES,$Q522,$K$1),1)*100)</f>
        <v>180</v>
      </c>
      <c r="T522">
        <f t="array" ref="T522">(INDEX(INCVALUES,$Q522,$K$1)*100)</f>
        <v>1</v>
      </c>
      <c r="V522">
        <f t="array" ref="V522">+J522+(4*(INDEX(MatchScoreTable,$Q522,20)-1))</f>
        <v>4</v>
      </c>
      <c r="W522">
        <f t="array" ref="W522">INDEX(INC_MINVALUES,$V522,$K$1)</f>
        <v>480</v>
      </c>
      <c r="X522" s="212">
        <f t="array" ref="X522">INDEX(INC_INCVALUES,$V522,$K$1)</f>
        <v>4</v>
      </c>
    </row>
    <row r="523" ht="15.75" customHeight="1">
      <c r="A523" s="435"/>
      <c r="B523" s="436"/>
      <c r="C523" s="95" t="str">
        <f t="array" ref="C523">IF(I523&gt;0,INDEX(DB,I523,8),"")</f>
        <v/>
      </c>
      <c r="D523" s="437">
        <f t="shared" si="1"/>
        <v>0</v>
      </c>
      <c r="F523" s="438">
        <f t="shared" si="2"/>
        <v>0</v>
      </c>
      <c r="G523" t="str">
        <f t="shared" si="3"/>
        <v/>
      </c>
      <c r="H523" t="b">
        <f t="shared" si="4"/>
        <v>0</v>
      </c>
      <c r="I523" s="439">
        <f>IF(OR(ISBLANK(A523),ISNA(MATCH(A523&amp;"",AthleteNumbers,0))),0,MATCH(A523&amp;"",AthleteNumbers,0))</f>
        <v>0</v>
      </c>
      <c r="J523" s="209">
        <f t="array" ref="J523">IF(I523&gt;0,INDEX(DB,$I523,6),0)</f>
        <v>0</v>
      </c>
      <c r="K523" s="446">
        <f t="shared" si="5"/>
        <v>0</v>
      </c>
      <c r="L523" s="440">
        <f t="shared" si="6"/>
        <v>0</v>
      </c>
      <c r="M523" s="441">
        <f>IF(AND(L523&gt;O523,O523&gt;0),MinPoints,IF(AND(L523&lt;N523,O523&gt;0),100,+INT((O523-$L523)/P523)+MinPoints))</f>
        <v>100</v>
      </c>
      <c r="N523" s="440">
        <f t="shared" si="7"/>
        <v>90</v>
      </c>
      <c r="O523" s="440">
        <f t="shared" si="8"/>
        <v>180</v>
      </c>
      <c r="P523" s="440">
        <f t="shared" si="9"/>
        <v>1</v>
      </c>
      <c r="Q523">
        <f t="array" ref="Q523">IF(I523&gt;0,INDEX(DB,I523,9),EventIndex)</f>
        <v>6</v>
      </c>
      <c r="S523">
        <f t="array" ref="S523">(INT(INDEX(MINVALUES,$Q523,$K$1))*60)+(MOD(INDEX(MINVALUES,$Q523,$K$1),1)*100)</f>
        <v>180</v>
      </c>
      <c r="T523">
        <f t="array" ref="T523">(INDEX(INCVALUES,$Q523,$K$1)*100)</f>
        <v>1</v>
      </c>
      <c r="V523">
        <f t="array" ref="V523">+J523+(4*(INDEX(MatchScoreTable,$Q523,20)-1))</f>
        <v>4</v>
      </c>
      <c r="W523">
        <f t="array" ref="W523">INDEX(INC_MINVALUES,$V523,$K$1)</f>
        <v>480</v>
      </c>
      <c r="X523" s="212">
        <f t="array" ref="X523">INDEX(INC_INCVALUES,$V523,$K$1)</f>
        <v>4</v>
      </c>
    </row>
    <row r="524" ht="15.75" customHeight="1">
      <c r="A524" s="435"/>
      <c r="B524" s="436"/>
      <c r="C524" s="95" t="str">
        <f t="array" ref="C524">IF(I524&gt;0,INDEX(DB,I524,8),"")</f>
        <v/>
      </c>
      <c r="D524" s="437">
        <f t="shared" si="1"/>
        <v>0</v>
      </c>
      <c r="F524" s="438">
        <f t="shared" si="2"/>
        <v>0</v>
      </c>
      <c r="G524" t="str">
        <f t="shared" si="3"/>
        <v/>
      </c>
      <c r="H524" t="b">
        <f t="shared" si="4"/>
        <v>0</v>
      </c>
      <c r="I524" s="439">
        <f>IF(OR(ISBLANK(A524),ISNA(MATCH(A524&amp;"",AthleteNumbers,0))),0,MATCH(A524&amp;"",AthleteNumbers,0))</f>
        <v>0</v>
      </c>
      <c r="J524" s="209">
        <f t="array" ref="J524">IF(I524&gt;0,INDEX(DB,$I524,6),0)</f>
        <v>0</v>
      </c>
      <c r="K524" s="446">
        <f t="shared" si="5"/>
        <v>0</v>
      </c>
      <c r="L524" s="440">
        <f t="shared" si="6"/>
        <v>0</v>
      </c>
      <c r="M524" s="441">
        <f>IF(AND(L524&gt;O524,O524&gt;0),MinPoints,IF(AND(L524&lt;N524,O524&gt;0),100,+INT((O524-$L524)/P524)+MinPoints))</f>
        <v>100</v>
      </c>
      <c r="N524" s="440">
        <f t="shared" si="7"/>
        <v>90</v>
      </c>
      <c r="O524" s="440">
        <f t="shared" si="8"/>
        <v>180</v>
      </c>
      <c r="P524" s="440">
        <f t="shared" si="9"/>
        <v>1</v>
      </c>
      <c r="Q524">
        <f t="array" ref="Q524">IF(I524&gt;0,INDEX(DB,I524,9),EventIndex)</f>
        <v>6</v>
      </c>
      <c r="S524">
        <f t="array" ref="S524">(INT(INDEX(MINVALUES,$Q524,$K$1))*60)+(MOD(INDEX(MINVALUES,$Q524,$K$1),1)*100)</f>
        <v>180</v>
      </c>
      <c r="T524">
        <f t="array" ref="T524">(INDEX(INCVALUES,$Q524,$K$1)*100)</f>
        <v>1</v>
      </c>
      <c r="V524">
        <f t="array" ref="V524">+J524+(4*(INDEX(MatchScoreTable,$Q524,20)-1))</f>
        <v>4</v>
      </c>
      <c r="W524">
        <f t="array" ref="W524">INDEX(INC_MINVALUES,$V524,$K$1)</f>
        <v>480</v>
      </c>
      <c r="X524" s="212">
        <f t="array" ref="X524">INDEX(INC_INCVALUES,$V524,$K$1)</f>
        <v>4</v>
      </c>
    </row>
    <row r="525" ht="15.75" customHeight="1">
      <c r="A525" s="435"/>
      <c r="B525" s="436"/>
      <c r="C525" s="95" t="str">
        <f t="array" ref="C525">IF(I525&gt;0,INDEX(DB,I525,8),"")</f>
        <v/>
      </c>
      <c r="D525" s="437">
        <f t="shared" si="1"/>
        <v>0</v>
      </c>
      <c r="F525" s="438">
        <f t="shared" si="2"/>
        <v>0</v>
      </c>
      <c r="G525" t="str">
        <f t="shared" si="3"/>
        <v/>
      </c>
      <c r="H525" t="b">
        <f t="shared" si="4"/>
        <v>0</v>
      </c>
      <c r="I525" s="439">
        <f>IF(OR(ISBLANK(A525),ISNA(MATCH(A525&amp;"",AthleteNumbers,0))),0,MATCH(A525&amp;"",AthleteNumbers,0))</f>
        <v>0</v>
      </c>
      <c r="J525" s="209">
        <f t="array" ref="J525">IF(I525&gt;0,INDEX(DB,$I525,6),0)</f>
        <v>0</v>
      </c>
      <c r="K525" s="446">
        <f t="shared" si="5"/>
        <v>0</v>
      </c>
      <c r="L525" s="440">
        <f t="shared" si="6"/>
        <v>0</v>
      </c>
      <c r="M525" s="441">
        <f>IF(AND(L525&gt;O525,O525&gt;0),MinPoints,IF(AND(L525&lt;N525,O525&gt;0),100,+INT((O525-$L525)/P525)+MinPoints))</f>
        <v>100</v>
      </c>
      <c r="N525" s="440">
        <f t="shared" si="7"/>
        <v>90</v>
      </c>
      <c r="O525" s="440">
        <f t="shared" si="8"/>
        <v>180</v>
      </c>
      <c r="P525" s="440">
        <f t="shared" si="9"/>
        <v>1</v>
      </c>
      <c r="Q525">
        <f t="array" ref="Q525">IF(I525&gt;0,INDEX(DB,I525,9),EventIndex)</f>
        <v>6</v>
      </c>
      <c r="S525">
        <f t="array" ref="S525">(INT(INDEX(MINVALUES,$Q525,$K$1))*60)+(MOD(INDEX(MINVALUES,$Q525,$K$1),1)*100)</f>
        <v>180</v>
      </c>
      <c r="T525">
        <f t="array" ref="T525">(INDEX(INCVALUES,$Q525,$K$1)*100)</f>
        <v>1</v>
      </c>
      <c r="V525">
        <f t="array" ref="V525">+J525+(4*(INDEX(MatchScoreTable,$Q525,20)-1))</f>
        <v>4</v>
      </c>
      <c r="W525">
        <f t="array" ref="W525">INDEX(INC_MINVALUES,$V525,$K$1)</f>
        <v>480</v>
      </c>
      <c r="X525" s="212">
        <f t="array" ref="X525">INDEX(INC_INCVALUES,$V525,$K$1)</f>
        <v>4</v>
      </c>
    </row>
    <row r="526" ht="15.75" customHeight="1">
      <c r="A526" s="435"/>
      <c r="B526" s="436"/>
      <c r="C526" s="95" t="str">
        <f t="array" ref="C526">IF(I526&gt;0,INDEX(DB,I526,8),"")</f>
        <v/>
      </c>
      <c r="D526" s="437">
        <f t="shared" si="1"/>
        <v>0</v>
      </c>
      <c r="F526" s="438">
        <f t="shared" si="2"/>
        <v>0</v>
      </c>
      <c r="G526" t="str">
        <f t="shared" si="3"/>
        <v/>
      </c>
      <c r="H526" t="b">
        <f t="shared" si="4"/>
        <v>0</v>
      </c>
      <c r="I526" s="439">
        <f>IF(OR(ISBLANK(A526),ISNA(MATCH(A526&amp;"",AthleteNumbers,0))),0,MATCH(A526&amp;"",AthleteNumbers,0))</f>
        <v>0</v>
      </c>
      <c r="J526" s="209">
        <f t="array" ref="J526">IF(I526&gt;0,INDEX(DB,$I526,6),0)</f>
        <v>0</v>
      </c>
      <c r="K526" s="446">
        <f t="shared" si="5"/>
        <v>0</v>
      </c>
      <c r="L526" s="440">
        <f t="shared" si="6"/>
        <v>0</v>
      </c>
      <c r="M526" s="441">
        <f>IF(AND(L526&gt;O526,O526&gt;0),MinPoints,IF(AND(L526&lt;N526,O526&gt;0),100,+INT((O526-$L526)/P526)+MinPoints))</f>
        <v>100</v>
      </c>
      <c r="N526" s="440">
        <f t="shared" si="7"/>
        <v>90</v>
      </c>
      <c r="O526" s="440">
        <f t="shared" si="8"/>
        <v>180</v>
      </c>
      <c r="P526" s="440">
        <f t="shared" si="9"/>
        <v>1</v>
      </c>
      <c r="Q526">
        <f t="array" ref="Q526">IF(I526&gt;0,INDEX(DB,I526,9),EventIndex)</f>
        <v>6</v>
      </c>
      <c r="S526">
        <f t="array" ref="S526">(INT(INDEX(MINVALUES,$Q526,$K$1))*60)+(MOD(INDEX(MINVALUES,$Q526,$K$1),1)*100)</f>
        <v>180</v>
      </c>
      <c r="T526">
        <f t="array" ref="T526">(INDEX(INCVALUES,$Q526,$K$1)*100)</f>
        <v>1</v>
      </c>
      <c r="V526">
        <f t="array" ref="V526">+J526+(4*(INDEX(MatchScoreTable,$Q526,20)-1))</f>
        <v>4</v>
      </c>
      <c r="W526">
        <f t="array" ref="W526">INDEX(INC_MINVALUES,$V526,$K$1)</f>
        <v>480</v>
      </c>
      <c r="X526" s="212">
        <f t="array" ref="X526">INDEX(INC_INCVALUES,$V526,$K$1)</f>
        <v>4</v>
      </c>
    </row>
    <row r="527" ht="15.75" customHeight="1">
      <c r="A527" s="435"/>
      <c r="B527" s="436"/>
      <c r="C527" s="95" t="str">
        <f t="array" ref="C527">IF(I527&gt;0,INDEX(DB,I527,8),"")</f>
        <v/>
      </c>
      <c r="D527" s="437">
        <f t="shared" si="1"/>
        <v>0</v>
      </c>
      <c r="F527" s="438">
        <f t="shared" si="2"/>
        <v>0</v>
      </c>
      <c r="G527" t="str">
        <f t="shared" si="3"/>
        <v/>
      </c>
      <c r="H527" t="b">
        <f t="shared" si="4"/>
        <v>0</v>
      </c>
      <c r="I527" s="439">
        <f>IF(OR(ISBLANK(A527),ISNA(MATCH(A527&amp;"",AthleteNumbers,0))),0,MATCH(A527&amp;"",AthleteNumbers,0))</f>
        <v>0</v>
      </c>
      <c r="J527" s="209">
        <f t="array" ref="J527">IF(I527&gt;0,INDEX(DB,$I527,6),0)</f>
        <v>0</v>
      </c>
      <c r="K527" s="446">
        <f t="shared" si="5"/>
        <v>0</v>
      </c>
      <c r="L527" s="440">
        <f t="shared" si="6"/>
        <v>0</v>
      </c>
      <c r="M527" s="441">
        <f>IF(AND(L527&gt;O527,O527&gt;0),MinPoints,IF(AND(L527&lt;N527,O527&gt;0),100,+INT((O527-$L527)/P527)+MinPoints))</f>
        <v>100</v>
      </c>
      <c r="N527" s="440">
        <f t="shared" si="7"/>
        <v>90</v>
      </c>
      <c r="O527" s="440">
        <f t="shared" si="8"/>
        <v>180</v>
      </c>
      <c r="P527" s="440">
        <f t="shared" si="9"/>
        <v>1</v>
      </c>
      <c r="Q527">
        <f t="array" ref="Q527">IF(I527&gt;0,INDEX(DB,I527,9),EventIndex)</f>
        <v>6</v>
      </c>
      <c r="S527">
        <f t="array" ref="S527">(INT(INDEX(MINVALUES,$Q527,$K$1))*60)+(MOD(INDEX(MINVALUES,$Q527,$K$1),1)*100)</f>
        <v>180</v>
      </c>
      <c r="T527">
        <f t="array" ref="T527">(INDEX(INCVALUES,$Q527,$K$1)*100)</f>
        <v>1</v>
      </c>
      <c r="V527">
        <f t="array" ref="V527">+J527+(4*(INDEX(MatchScoreTable,$Q527,20)-1))</f>
        <v>4</v>
      </c>
      <c r="W527">
        <f t="array" ref="W527">INDEX(INC_MINVALUES,$V527,$K$1)</f>
        <v>480</v>
      </c>
      <c r="X527" s="212">
        <f t="array" ref="X527">INDEX(INC_INCVALUES,$V527,$K$1)</f>
        <v>4</v>
      </c>
    </row>
    <row r="528" ht="15.75" customHeight="1">
      <c r="A528" s="435"/>
      <c r="B528" s="436"/>
      <c r="C528" s="95" t="str">
        <f t="array" ref="C528">IF(I528&gt;0,INDEX(DB,I528,8),"")</f>
        <v/>
      </c>
      <c r="D528" s="437">
        <f t="shared" si="1"/>
        <v>0</v>
      </c>
      <c r="F528" s="438">
        <f t="shared" si="2"/>
        <v>0</v>
      </c>
      <c r="G528" t="str">
        <f t="shared" si="3"/>
        <v/>
      </c>
      <c r="H528" t="b">
        <f t="shared" si="4"/>
        <v>0</v>
      </c>
      <c r="I528" s="439">
        <f>IF(OR(ISBLANK(A528),ISNA(MATCH(A528&amp;"",AthleteNumbers,0))),0,MATCH(A528&amp;"",AthleteNumbers,0))</f>
        <v>0</v>
      </c>
      <c r="J528" s="209">
        <f t="array" ref="J528">IF(I528&gt;0,INDEX(DB,$I528,6),0)</f>
        <v>0</v>
      </c>
      <c r="K528" s="446">
        <f t="shared" si="5"/>
        <v>0</v>
      </c>
      <c r="L528" s="440">
        <f t="shared" si="6"/>
        <v>0</v>
      </c>
      <c r="M528" s="441">
        <f>IF(AND(L528&gt;O528,O528&gt;0),MinPoints,IF(AND(L528&lt;N528,O528&gt;0),100,+INT((O528-$L528)/P528)+MinPoints))</f>
        <v>100</v>
      </c>
      <c r="N528" s="440">
        <f t="shared" si="7"/>
        <v>90</v>
      </c>
      <c r="O528" s="440">
        <f t="shared" si="8"/>
        <v>180</v>
      </c>
      <c r="P528" s="440">
        <f t="shared" si="9"/>
        <v>1</v>
      </c>
      <c r="Q528">
        <f t="array" ref="Q528">IF(I528&gt;0,INDEX(DB,I528,9),EventIndex)</f>
        <v>6</v>
      </c>
      <c r="S528">
        <f t="array" ref="S528">(INT(INDEX(MINVALUES,$Q528,$K$1))*60)+(MOD(INDEX(MINVALUES,$Q528,$K$1),1)*100)</f>
        <v>180</v>
      </c>
      <c r="T528">
        <f t="array" ref="T528">(INDEX(INCVALUES,$Q528,$K$1)*100)</f>
        <v>1</v>
      </c>
      <c r="V528">
        <f t="array" ref="V528">+J528+(4*(INDEX(MatchScoreTable,$Q528,20)-1))</f>
        <v>4</v>
      </c>
      <c r="W528">
        <f t="array" ref="W528">INDEX(INC_MINVALUES,$V528,$K$1)</f>
        <v>480</v>
      </c>
      <c r="X528" s="212">
        <f t="array" ref="X528">INDEX(INC_INCVALUES,$V528,$K$1)</f>
        <v>4</v>
      </c>
    </row>
    <row r="529" ht="15.75" customHeight="1">
      <c r="A529" s="435"/>
      <c r="B529" s="436"/>
      <c r="C529" s="95" t="str">
        <f t="array" ref="C529">IF(I529&gt;0,INDEX(DB,I529,8),"")</f>
        <v/>
      </c>
      <c r="D529" s="437">
        <f t="shared" si="1"/>
        <v>0</v>
      </c>
      <c r="F529" s="438">
        <f t="shared" si="2"/>
        <v>0</v>
      </c>
      <c r="G529" t="str">
        <f t="shared" si="3"/>
        <v/>
      </c>
      <c r="H529" t="b">
        <f t="shared" si="4"/>
        <v>0</v>
      </c>
      <c r="I529" s="439">
        <f>IF(OR(ISBLANK(A529),ISNA(MATCH(A529&amp;"",AthleteNumbers,0))),0,MATCH(A529&amp;"",AthleteNumbers,0))</f>
        <v>0</v>
      </c>
      <c r="J529" s="209">
        <f t="array" ref="J529">IF(I529&gt;0,INDEX(DB,$I529,6),0)</f>
        <v>0</v>
      </c>
      <c r="K529" s="446">
        <f t="shared" si="5"/>
        <v>0</v>
      </c>
      <c r="L529" s="440">
        <f t="shared" si="6"/>
        <v>0</v>
      </c>
      <c r="M529" s="441">
        <f>IF(AND(L529&gt;O529,O529&gt;0),MinPoints,IF(AND(L529&lt;N529,O529&gt;0),100,+INT((O529-$L529)/P529)+MinPoints))</f>
        <v>100</v>
      </c>
      <c r="N529" s="440">
        <f t="shared" si="7"/>
        <v>90</v>
      </c>
      <c r="O529" s="440">
        <f t="shared" si="8"/>
        <v>180</v>
      </c>
      <c r="P529" s="440">
        <f t="shared" si="9"/>
        <v>1</v>
      </c>
      <c r="Q529">
        <f t="array" ref="Q529">IF(I529&gt;0,INDEX(DB,I529,9),EventIndex)</f>
        <v>6</v>
      </c>
      <c r="S529">
        <f t="array" ref="S529">(INT(INDEX(MINVALUES,$Q529,$K$1))*60)+(MOD(INDEX(MINVALUES,$Q529,$K$1),1)*100)</f>
        <v>180</v>
      </c>
      <c r="T529">
        <f t="array" ref="T529">(INDEX(INCVALUES,$Q529,$K$1)*100)</f>
        <v>1</v>
      </c>
      <c r="V529">
        <f t="array" ref="V529">+J529+(4*(INDEX(MatchScoreTable,$Q529,20)-1))</f>
        <v>4</v>
      </c>
      <c r="W529">
        <f t="array" ref="W529">INDEX(INC_MINVALUES,$V529,$K$1)</f>
        <v>480</v>
      </c>
      <c r="X529" s="212">
        <f t="array" ref="X529">INDEX(INC_INCVALUES,$V529,$K$1)</f>
        <v>4</v>
      </c>
    </row>
    <row r="530" ht="15.75" customHeight="1">
      <c r="A530" s="435"/>
      <c r="B530" s="436"/>
      <c r="C530" s="95" t="str">
        <f t="array" ref="C530">IF(I530&gt;0,INDEX(DB,I530,8),"")</f>
        <v/>
      </c>
      <c r="D530" s="437">
        <f t="shared" si="1"/>
        <v>0</v>
      </c>
      <c r="F530" s="438">
        <f t="shared" si="2"/>
        <v>0</v>
      </c>
      <c r="G530" t="str">
        <f t="shared" si="3"/>
        <v/>
      </c>
      <c r="H530" t="b">
        <f t="shared" si="4"/>
        <v>0</v>
      </c>
      <c r="I530" s="439">
        <f>IF(OR(ISBLANK(A530),ISNA(MATCH(A530&amp;"",AthleteNumbers,0))),0,MATCH(A530&amp;"",AthleteNumbers,0))</f>
        <v>0</v>
      </c>
      <c r="J530" s="209">
        <f t="array" ref="J530">IF(I530&gt;0,INDEX(DB,$I530,6),0)</f>
        <v>0</v>
      </c>
      <c r="K530" s="446">
        <f t="shared" si="5"/>
        <v>0</v>
      </c>
      <c r="L530" s="440">
        <f t="shared" si="6"/>
        <v>0</v>
      </c>
      <c r="M530" s="441">
        <f>IF(AND(L530&gt;O530,O530&gt;0),MinPoints,IF(AND(L530&lt;N530,O530&gt;0),100,+INT((O530-$L530)/P530)+MinPoints))</f>
        <v>100</v>
      </c>
      <c r="N530" s="440">
        <f t="shared" si="7"/>
        <v>90</v>
      </c>
      <c r="O530" s="440">
        <f t="shared" si="8"/>
        <v>180</v>
      </c>
      <c r="P530" s="440">
        <f t="shared" si="9"/>
        <v>1</v>
      </c>
      <c r="Q530">
        <f t="array" ref="Q530">IF(I530&gt;0,INDEX(DB,I530,9),EventIndex)</f>
        <v>6</v>
      </c>
      <c r="S530">
        <f t="array" ref="S530">(INT(INDEX(MINVALUES,$Q530,$K$1))*60)+(MOD(INDEX(MINVALUES,$Q530,$K$1),1)*100)</f>
        <v>180</v>
      </c>
      <c r="T530">
        <f t="array" ref="T530">(INDEX(INCVALUES,$Q530,$K$1)*100)</f>
        <v>1</v>
      </c>
      <c r="V530">
        <f t="array" ref="V530">+J530+(4*(INDEX(MatchScoreTable,$Q530,20)-1))</f>
        <v>4</v>
      </c>
      <c r="W530">
        <f t="array" ref="W530">INDEX(INC_MINVALUES,$V530,$K$1)</f>
        <v>480</v>
      </c>
      <c r="X530" s="212">
        <f t="array" ref="X530">INDEX(INC_INCVALUES,$V530,$K$1)</f>
        <v>4</v>
      </c>
    </row>
    <row r="531" ht="15.75" customHeight="1">
      <c r="A531" s="435"/>
      <c r="B531" s="436"/>
      <c r="C531" s="95" t="str">
        <f t="array" ref="C531">IF(I531&gt;0,INDEX(DB,I531,8),"")</f>
        <v/>
      </c>
      <c r="D531" s="437">
        <f t="shared" si="1"/>
        <v>0</v>
      </c>
      <c r="F531" s="438">
        <f t="shared" si="2"/>
        <v>0</v>
      </c>
      <c r="G531" t="str">
        <f t="shared" si="3"/>
        <v/>
      </c>
      <c r="H531" t="b">
        <f t="shared" si="4"/>
        <v>0</v>
      </c>
      <c r="I531" s="439">
        <f>IF(OR(ISBLANK(A531),ISNA(MATCH(A531&amp;"",AthleteNumbers,0))),0,MATCH(A531&amp;"",AthleteNumbers,0))</f>
        <v>0</v>
      </c>
      <c r="J531" s="209">
        <f t="array" ref="J531">IF(I531&gt;0,INDEX(DB,$I531,6),0)</f>
        <v>0</v>
      </c>
      <c r="K531" s="446">
        <f t="shared" si="5"/>
        <v>0</v>
      </c>
      <c r="L531" s="440">
        <f t="shared" si="6"/>
        <v>0</v>
      </c>
      <c r="M531" s="441">
        <f>IF(AND(L531&gt;O531,O531&gt;0),MinPoints,IF(AND(L531&lt;N531,O531&gt;0),100,+INT((O531-$L531)/P531)+MinPoints))</f>
        <v>100</v>
      </c>
      <c r="N531" s="440">
        <f t="shared" si="7"/>
        <v>90</v>
      </c>
      <c r="O531" s="440">
        <f t="shared" si="8"/>
        <v>180</v>
      </c>
      <c r="P531" s="440">
        <f t="shared" si="9"/>
        <v>1</v>
      </c>
      <c r="Q531">
        <f t="array" ref="Q531">IF(I531&gt;0,INDEX(DB,I531,9),EventIndex)</f>
        <v>6</v>
      </c>
      <c r="S531">
        <f t="array" ref="S531">(INT(INDEX(MINVALUES,$Q531,$K$1))*60)+(MOD(INDEX(MINVALUES,$Q531,$K$1),1)*100)</f>
        <v>180</v>
      </c>
      <c r="T531">
        <f t="array" ref="T531">(INDEX(INCVALUES,$Q531,$K$1)*100)</f>
        <v>1</v>
      </c>
      <c r="V531">
        <f t="array" ref="V531">+J531+(4*(INDEX(MatchScoreTable,$Q531,20)-1))</f>
        <v>4</v>
      </c>
      <c r="W531">
        <f t="array" ref="W531">INDEX(INC_MINVALUES,$V531,$K$1)</f>
        <v>480</v>
      </c>
      <c r="X531" s="212">
        <f t="array" ref="X531">INDEX(INC_INCVALUES,$V531,$K$1)</f>
        <v>4</v>
      </c>
    </row>
    <row r="532" ht="15.75" customHeight="1">
      <c r="A532" s="435"/>
      <c r="B532" s="436"/>
      <c r="C532" s="95" t="str">
        <f t="array" ref="C532">IF(I532&gt;0,INDEX(DB,I532,8),"")</f>
        <v/>
      </c>
      <c r="D532" s="437">
        <f t="shared" si="1"/>
        <v>0</v>
      </c>
      <c r="F532" s="438">
        <f t="shared" si="2"/>
        <v>0</v>
      </c>
      <c r="G532" t="str">
        <f t="shared" si="3"/>
        <v/>
      </c>
      <c r="H532" t="b">
        <f t="shared" si="4"/>
        <v>0</v>
      </c>
      <c r="I532" s="439">
        <f>IF(OR(ISBLANK(A532),ISNA(MATCH(A532&amp;"",AthleteNumbers,0))),0,MATCH(A532&amp;"",AthleteNumbers,0))</f>
        <v>0</v>
      </c>
      <c r="J532" s="209">
        <f t="array" ref="J532">IF(I532&gt;0,INDEX(DB,$I532,6),0)</f>
        <v>0</v>
      </c>
      <c r="K532" s="446">
        <f t="shared" si="5"/>
        <v>0</v>
      </c>
      <c r="L532" s="440">
        <f t="shared" si="6"/>
        <v>0</v>
      </c>
      <c r="M532" s="441">
        <f>IF(AND(L532&gt;O532,O532&gt;0),MinPoints,IF(AND(L532&lt;N532,O532&gt;0),100,+INT((O532-$L532)/P532)+MinPoints))</f>
        <v>100</v>
      </c>
      <c r="N532" s="440">
        <f t="shared" si="7"/>
        <v>90</v>
      </c>
      <c r="O532" s="440">
        <f t="shared" si="8"/>
        <v>180</v>
      </c>
      <c r="P532" s="440">
        <f t="shared" si="9"/>
        <v>1</v>
      </c>
      <c r="Q532">
        <f t="array" ref="Q532">IF(I532&gt;0,INDEX(DB,I532,9),EventIndex)</f>
        <v>6</v>
      </c>
      <c r="S532">
        <f t="array" ref="S532">(INT(INDEX(MINVALUES,$Q532,$K$1))*60)+(MOD(INDEX(MINVALUES,$Q532,$K$1),1)*100)</f>
        <v>180</v>
      </c>
      <c r="T532">
        <f t="array" ref="T532">(INDEX(INCVALUES,$Q532,$K$1)*100)</f>
        <v>1</v>
      </c>
      <c r="V532">
        <f t="array" ref="V532">+J532+(4*(INDEX(MatchScoreTable,$Q532,20)-1))</f>
        <v>4</v>
      </c>
      <c r="W532">
        <f t="array" ref="W532">INDEX(INC_MINVALUES,$V532,$K$1)</f>
        <v>480</v>
      </c>
      <c r="X532" s="212">
        <f t="array" ref="X532">INDEX(INC_INCVALUES,$V532,$K$1)</f>
        <v>4</v>
      </c>
    </row>
    <row r="533" ht="15.75" customHeight="1">
      <c r="A533" s="435"/>
      <c r="B533" s="436"/>
      <c r="C533" s="95" t="str">
        <f t="array" ref="C533">IF(I533&gt;0,INDEX(DB,I533,8),"")</f>
        <v/>
      </c>
      <c r="D533" s="437">
        <f t="shared" si="1"/>
        <v>0</v>
      </c>
      <c r="F533" s="438">
        <f t="shared" si="2"/>
        <v>0</v>
      </c>
      <c r="G533" t="str">
        <f t="shared" si="3"/>
        <v/>
      </c>
      <c r="H533" t="b">
        <f t="shared" si="4"/>
        <v>0</v>
      </c>
      <c r="I533" s="439">
        <f>IF(OR(ISBLANK(A533),ISNA(MATCH(A533&amp;"",AthleteNumbers,0))),0,MATCH(A533&amp;"",AthleteNumbers,0))</f>
        <v>0</v>
      </c>
      <c r="J533" s="209">
        <f t="array" ref="J533">IF(I533&gt;0,INDEX(DB,$I533,6),0)</f>
        <v>0</v>
      </c>
      <c r="K533" s="446">
        <f t="shared" si="5"/>
        <v>0</v>
      </c>
      <c r="L533" s="440">
        <f t="shared" si="6"/>
        <v>0</v>
      </c>
      <c r="M533" s="441">
        <f>IF(AND(L533&gt;O533,O533&gt;0),MinPoints,IF(AND(L533&lt;N533,O533&gt;0),100,+INT((O533-$L533)/P533)+MinPoints))</f>
        <v>100</v>
      </c>
      <c r="N533" s="440">
        <f t="shared" si="7"/>
        <v>90</v>
      </c>
      <c r="O533" s="440">
        <f t="shared" si="8"/>
        <v>180</v>
      </c>
      <c r="P533" s="440">
        <f t="shared" si="9"/>
        <v>1</v>
      </c>
      <c r="Q533">
        <f t="array" ref="Q533">IF(I533&gt;0,INDEX(DB,I533,9),EventIndex)</f>
        <v>6</v>
      </c>
      <c r="S533">
        <f t="array" ref="S533">(INT(INDEX(MINVALUES,$Q533,$K$1))*60)+(MOD(INDEX(MINVALUES,$Q533,$K$1),1)*100)</f>
        <v>180</v>
      </c>
      <c r="T533">
        <f t="array" ref="T533">(INDEX(INCVALUES,$Q533,$K$1)*100)</f>
        <v>1</v>
      </c>
      <c r="V533">
        <f t="array" ref="V533">+J533+(4*(INDEX(MatchScoreTable,$Q533,20)-1))</f>
        <v>4</v>
      </c>
      <c r="W533">
        <f t="array" ref="W533">INDEX(INC_MINVALUES,$V533,$K$1)</f>
        <v>480</v>
      </c>
      <c r="X533" s="212">
        <f t="array" ref="X533">INDEX(INC_INCVALUES,$V533,$K$1)</f>
        <v>4</v>
      </c>
    </row>
    <row r="534" ht="15.75" customHeight="1">
      <c r="A534" s="435"/>
      <c r="B534" s="436"/>
      <c r="C534" s="95" t="str">
        <f t="array" ref="C534">IF(I534&gt;0,INDEX(DB,I534,8),"")</f>
        <v/>
      </c>
      <c r="D534" s="437">
        <f t="shared" si="1"/>
        <v>0</v>
      </c>
      <c r="F534" s="438">
        <f t="shared" si="2"/>
        <v>0</v>
      </c>
      <c r="G534" t="str">
        <f t="shared" si="3"/>
        <v/>
      </c>
      <c r="H534" t="b">
        <f t="shared" si="4"/>
        <v>0</v>
      </c>
      <c r="I534" s="439">
        <f>IF(OR(ISBLANK(A534),ISNA(MATCH(A534&amp;"",AthleteNumbers,0))),0,MATCH(A534&amp;"",AthleteNumbers,0))</f>
        <v>0</v>
      </c>
      <c r="J534" s="209">
        <f t="array" ref="J534">IF(I534&gt;0,INDEX(DB,$I534,6),0)</f>
        <v>0</v>
      </c>
      <c r="K534" s="446">
        <f t="shared" si="5"/>
        <v>0</v>
      </c>
      <c r="L534" s="440">
        <f t="shared" si="6"/>
        <v>0</v>
      </c>
      <c r="M534" s="441">
        <f>IF(AND(L534&gt;O534,O534&gt;0),MinPoints,IF(AND(L534&lt;N534,O534&gt;0),100,+INT((O534-$L534)/P534)+MinPoints))</f>
        <v>100</v>
      </c>
      <c r="N534" s="440">
        <f t="shared" si="7"/>
        <v>90</v>
      </c>
      <c r="O534" s="440">
        <f t="shared" si="8"/>
        <v>180</v>
      </c>
      <c r="P534" s="440">
        <f t="shared" si="9"/>
        <v>1</v>
      </c>
      <c r="Q534">
        <f t="array" ref="Q534">IF(I534&gt;0,INDEX(DB,I534,9),EventIndex)</f>
        <v>6</v>
      </c>
      <c r="S534">
        <f t="array" ref="S534">(INT(INDEX(MINVALUES,$Q534,$K$1))*60)+(MOD(INDEX(MINVALUES,$Q534,$K$1),1)*100)</f>
        <v>180</v>
      </c>
      <c r="T534">
        <f t="array" ref="T534">(INDEX(INCVALUES,$Q534,$K$1)*100)</f>
        <v>1</v>
      </c>
      <c r="V534">
        <f t="array" ref="V534">+J534+(4*(INDEX(MatchScoreTable,$Q534,20)-1))</f>
        <v>4</v>
      </c>
      <c r="W534">
        <f t="array" ref="W534">INDEX(INC_MINVALUES,$V534,$K$1)</f>
        <v>480</v>
      </c>
      <c r="X534" s="212">
        <f t="array" ref="X534">INDEX(INC_INCVALUES,$V534,$K$1)</f>
        <v>4</v>
      </c>
    </row>
    <row r="535" ht="15.75" customHeight="1">
      <c r="A535" s="435"/>
      <c r="B535" s="436"/>
      <c r="C535" s="95" t="str">
        <f t="array" ref="C535">IF(I535&gt;0,INDEX(DB,I535,8),"")</f>
        <v/>
      </c>
      <c r="D535" s="437">
        <f t="shared" si="1"/>
        <v>0</v>
      </c>
      <c r="F535" s="438">
        <f t="shared" si="2"/>
        <v>0</v>
      </c>
      <c r="G535" t="str">
        <f t="shared" si="3"/>
        <v/>
      </c>
      <c r="H535" t="b">
        <f t="shared" si="4"/>
        <v>0</v>
      </c>
      <c r="I535" s="439">
        <f>IF(OR(ISBLANK(A535),ISNA(MATCH(A535&amp;"",AthleteNumbers,0))),0,MATCH(A535&amp;"",AthleteNumbers,0))</f>
        <v>0</v>
      </c>
      <c r="J535" s="209">
        <f t="array" ref="J535">IF(I535&gt;0,INDEX(DB,$I535,6),0)</f>
        <v>0</v>
      </c>
      <c r="K535" s="446">
        <f t="shared" si="5"/>
        <v>0</v>
      </c>
      <c r="L535" s="440">
        <f t="shared" si="6"/>
        <v>0</v>
      </c>
      <c r="M535" s="441">
        <f>IF(AND(L535&gt;O535,O535&gt;0),MinPoints,IF(AND(L535&lt;N535,O535&gt;0),100,+INT((O535-$L535)/P535)+MinPoints))</f>
        <v>100</v>
      </c>
      <c r="N535" s="440">
        <f t="shared" si="7"/>
        <v>90</v>
      </c>
      <c r="O535" s="440">
        <f t="shared" si="8"/>
        <v>180</v>
      </c>
      <c r="P535" s="440">
        <f t="shared" si="9"/>
        <v>1</v>
      </c>
      <c r="Q535">
        <f t="array" ref="Q535">IF(I535&gt;0,INDEX(DB,I535,9),EventIndex)</f>
        <v>6</v>
      </c>
      <c r="S535">
        <f t="array" ref="S535">(INT(INDEX(MINVALUES,$Q535,$K$1))*60)+(MOD(INDEX(MINVALUES,$Q535,$K$1),1)*100)</f>
        <v>180</v>
      </c>
      <c r="T535">
        <f t="array" ref="T535">(INDEX(INCVALUES,$Q535,$K$1)*100)</f>
        <v>1</v>
      </c>
      <c r="V535">
        <f t="array" ref="V535">+J535+(4*(INDEX(MatchScoreTable,$Q535,20)-1))</f>
        <v>4</v>
      </c>
      <c r="W535">
        <f t="array" ref="W535">INDEX(INC_MINVALUES,$V535,$K$1)</f>
        <v>480</v>
      </c>
      <c r="X535" s="212">
        <f t="array" ref="X535">INDEX(INC_INCVALUES,$V535,$K$1)</f>
        <v>4</v>
      </c>
    </row>
    <row r="536" ht="15.75" customHeight="1">
      <c r="A536" s="435"/>
      <c r="B536" s="436"/>
      <c r="C536" s="95" t="str">
        <f t="array" ref="C536">IF(I536&gt;0,INDEX(DB,I536,8),"")</f>
        <v/>
      </c>
      <c r="D536" s="437">
        <f t="shared" si="1"/>
        <v>0</v>
      </c>
      <c r="F536" s="438">
        <f t="shared" si="2"/>
        <v>0</v>
      </c>
      <c r="G536" t="str">
        <f t="shared" si="3"/>
        <v/>
      </c>
      <c r="H536" t="b">
        <f t="shared" si="4"/>
        <v>0</v>
      </c>
      <c r="I536" s="439">
        <f>IF(OR(ISBLANK(A536),ISNA(MATCH(A536&amp;"",AthleteNumbers,0))),0,MATCH(A536&amp;"",AthleteNumbers,0))</f>
        <v>0</v>
      </c>
      <c r="J536" s="209">
        <f t="array" ref="J536">IF(I536&gt;0,INDEX(DB,$I536,6),0)</f>
        <v>0</v>
      </c>
      <c r="K536" s="446">
        <f t="shared" si="5"/>
        <v>0</v>
      </c>
      <c r="L536" s="440">
        <f t="shared" si="6"/>
        <v>0</v>
      </c>
      <c r="M536" s="441">
        <f>IF(AND(L536&gt;O536,O536&gt;0),MinPoints,IF(AND(L536&lt;N536,O536&gt;0),100,+INT((O536-$L536)/P536)+MinPoints))</f>
        <v>100</v>
      </c>
      <c r="N536" s="440">
        <f t="shared" si="7"/>
        <v>90</v>
      </c>
      <c r="O536" s="440">
        <f t="shared" si="8"/>
        <v>180</v>
      </c>
      <c r="P536" s="440">
        <f t="shared" si="9"/>
        <v>1</v>
      </c>
      <c r="Q536">
        <f t="array" ref="Q536">IF(I536&gt;0,INDEX(DB,I536,9),EventIndex)</f>
        <v>6</v>
      </c>
      <c r="S536">
        <f t="array" ref="S536">(INT(INDEX(MINVALUES,$Q536,$K$1))*60)+(MOD(INDEX(MINVALUES,$Q536,$K$1),1)*100)</f>
        <v>180</v>
      </c>
      <c r="T536">
        <f t="array" ref="T536">(INDEX(INCVALUES,$Q536,$K$1)*100)</f>
        <v>1</v>
      </c>
      <c r="V536">
        <f t="array" ref="V536">+J536+(4*(INDEX(MatchScoreTable,$Q536,20)-1))</f>
        <v>4</v>
      </c>
      <c r="W536">
        <f t="array" ref="W536">INDEX(INC_MINVALUES,$V536,$K$1)</f>
        <v>480</v>
      </c>
      <c r="X536" s="212">
        <f t="array" ref="X536">INDEX(INC_INCVALUES,$V536,$K$1)</f>
        <v>4</v>
      </c>
    </row>
    <row r="537" ht="15.75" customHeight="1">
      <c r="A537" s="435"/>
      <c r="B537" s="436"/>
      <c r="C537" s="95" t="str">
        <f t="array" ref="C537">IF(I537&gt;0,INDEX(DB,I537,8),"")</f>
        <v/>
      </c>
      <c r="D537" s="437">
        <f t="shared" si="1"/>
        <v>0</v>
      </c>
      <c r="F537" s="438">
        <f t="shared" si="2"/>
        <v>0</v>
      </c>
      <c r="G537" t="str">
        <f t="shared" si="3"/>
        <v/>
      </c>
      <c r="H537" t="b">
        <f t="shared" si="4"/>
        <v>0</v>
      </c>
      <c r="I537" s="439">
        <f>IF(OR(ISBLANK(A537),ISNA(MATCH(A537&amp;"",AthleteNumbers,0))),0,MATCH(A537&amp;"",AthleteNumbers,0))</f>
        <v>0</v>
      </c>
      <c r="J537" s="209">
        <f t="array" ref="J537">IF(I537&gt;0,INDEX(DB,$I537,6),0)</f>
        <v>0</v>
      </c>
      <c r="K537" s="446">
        <f t="shared" si="5"/>
        <v>0</v>
      </c>
      <c r="L537" s="440">
        <f t="shared" si="6"/>
        <v>0</v>
      </c>
      <c r="M537" s="441">
        <f>IF(AND(L537&gt;O537,O537&gt;0),MinPoints,IF(AND(L537&lt;N537,O537&gt;0),100,+INT((O537-$L537)/P537)+MinPoints))</f>
        <v>100</v>
      </c>
      <c r="N537" s="440">
        <f t="shared" si="7"/>
        <v>90</v>
      </c>
      <c r="O537" s="440">
        <f t="shared" si="8"/>
        <v>180</v>
      </c>
      <c r="P537" s="440">
        <f t="shared" si="9"/>
        <v>1</v>
      </c>
      <c r="Q537">
        <f t="array" ref="Q537">IF(I537&gt;0,INDEX(DB,I537,9),EventIndex)</f>
        <v>6</v>
      </c>
      <c r="S537">
        <f t="array" ref="S537">(INT(INDEX(MINVALUES,$Q537,$K$1))*60)+(MOD(INDEX(MINVALUES,$Q537,$K$1),1)*100)</f>
        <v>180</v>
      </c>
      <c r="T537">
        <f t="array" ref="T537">(INDEX(INCVALUES,$Q537,$K$1)*100)</f>
        <v>1</v>
      </c>
      <c r="V537">
        <f t="array" ref="V537">+J537+(4*(INDEX(MatchScoreTable,$Q537,20)-1))</f>
        <v>4</v>
      </c>
      <c r="W537">
        <f t="array" ref="W537">INDEX(INC_MINVALUES,$V537,$K$1)</f>
        <v>480</v>
      </c>
      <c r="X537" s="212">
        <f t="array" ref="X537">INDEX(INC_INCVALUES,$V537,$K$1)</f>
        <v>4</v>
      </c>
    </row>
    <row r="538" ht="15.75" customHeight="1">
      <c r="A538" s="435"/>
      <c r="B538" s="436"/>
      <c r="C538" s="95" t="str">
        <f t="array" ref="C538">IF(I538&gt;0,INDEX(DB,I538,8),"")</f>
        <v/>
      </c>
      <c r="D538" s="437">
        <f t="shared" si="1"/>
        <v>0</v>
      </c>
      <c r="F538" s="438">
        <f t="shared" si="2"/>
        <v>0</v>
      </c>
      <c r="G538" t="str">
        <f t="shared" si="3"/>
        <v/>
      </c>
      <c r="H538" t="b">
        <f t="shared" si="4"/>
        <v>0</v>
      </c>
      <c r="I538" s="439">
        <f>IF(OR(ISBLANK(A538),ISNA(MATCH(A538&amp;"",AthleteNumbers,0))),0,MATCH(A538&amp;"",AthleteNumbers,0))</f>
        <v>0</v>
      </c>
      <c r="J538" s="209">
        <f t="array" ref="J538">IF(I538&gt;0,INDEX(DB,$I538,6),0)</f>
        <v>0</v>
      </c>
      <c r="K538" s="446">
        <f t="shared" si="5"/>
        <v>0</v>
      </c>
      <c r="L538" s="440">
        <f t="shared" si="6"/>
        <v>0</v>
      </c>
      <c r="M538" s="441">
        <f>IF(AND(L538&gt;O538,O538&gt;0),MinPoints,IF(AND(L538&lt;N538,O538&gt;0),100,+INT((O538-$L538)/P538)+MinPoints))</f>
        <v>100</v>
      </c>
      <c r="N538" s="440">
        <f t="shared" si="7"/>
        <v>90</v>
      </c>
      <c r="O538" s="440">
        <f t="shared" si="8"/>
        <v>180</v>
      </c>
      <c r="P538" s="440">
        <f t="shared" si="9"/>
        <v>1</v>
      </c>
      <c r="Q538">
        <f t="array" ref="Q538">IF(I538&gt;0,INDEX(DB,I538,9),EventIndex)</f>
        <v>6</v>
      </c>
      <c r="S538">
        <f t="array" ref="S538">(INT(INDEX(MINVALUES,$Q538,$K$1))*60)+(MOD(INDEX(MINVALUES,$Q538,$K$1),1)*100)</f>
        <v>180</v>
      </c>
      <c r="T538">
        <f t="array" ref="T538">(INDEX(INCVALUES,$Q538,$K$1)*100)</f>
        <v>1</v>
      </c>
      <c r="V538">
        <f t="array" ref="V538">+J538+(4*(INDEX(MatchScoreTable,$Q538,20)-1))</f>
        <v>4</v>
      </c>
      <c r="W538">
        <f t="array" ref="W538">INDEX(INC_MINVALUES,$V538,$K$1)</f>
        <v>480</v>
      </c>
      <c r="X538" s="212">
        <f t="array" ref="X538">INDEX(INC_INCVALUES,$V538,$K$1)</f>
        <v>4</v>
      </c>
    </row>
    <row r="539" ht="15.75" customHeight="1">
      <c r="A539" s="435"/>
      <c r="B539" s="436"/>
      <c r="C539" s="95" t="str">
        <f t="array" ref="C539">IF(I539&gt;0,INDEX(DB,I539,8),"")</f>
        <v/>
      </c>
      <c r="D539" s="437">
        <f t="shared" si="1"/>
        <v>0</v>
      </c>
      <c r="F539" s="438">
        <f t="shared" si="2"/>
        <v>0</v>
      </c>
      <c r="G539" t="str">
        <f t="shared" si="3"/>
        <v/>
      </c>
      <c r="H539" t="b">
        <f t="shared" si="4"/>
        <v>0</v>
      </c>
      <c r="I539" s="439">
        <f>IF(OR(ISBLANK(A539),ISNA(MATCH(A539&amp;"",AthleteNumbers,0))),0,MATCH(A539&amp;"",AthleteNumbers,0))</f>
        <v>0</v>
      </c>
      <c r="J539" s="209">
        <f t="array" ref="J539">IF(I539&gt;0,INDEX(DB,$I539,6),0)</f>
        <v>0</v>
      </c>
      <c r="K539" s="446">
        <f t="shared" si="5"/>
        <v>0</v>
      </c>
      <c r="L539" s="440">
        <f t="shared" si="6"/>
        <v>0</v>
      </c>
      <c r="M539" s="441">
        <f>IF(AND(L539&gt;O539,O539&gt;0),MinPoints,IF(AND(L539&lt;N539,O539&gt;0),100,+INT((O539-$L539)/P539)+MinPoints))</f>
        <v>100</v>
      </c>
      <c r="N539" s="440">
        <f t="shared" si="7"/>
        <v>90</v>
      </c>
      <c r="O539" s="440">
        <f t="shared" si="8"/>
        <v>180</v>
      </c>
      <c r="P539" s="440">
        <f t="shared" si="9"/>
        <v>1</v>
      </c>
      <c r="Q539">
        <f t="array" ref="Q539">IF(I539&gt;0,INDEX(DB,I539,9),EventIndex)</f>
        <v>6</v>
      </c>
      <c r="S539">
        <f t="array" ref="S539">(INT(INDEX(MINVALUES,$Q539,$K$1))*60)+(MOD(INDEX(MINVALUES,$Q539,$K$1),1)*100)</f>
        <v>180</v>
      </c>
      <c r="T539">
        <f t="array" ref="T539">(INDEX(INCVALUES,$Q539,$K$1)*100)</f>
        <v>1</v>
      </c>
      <c r="V539">
        <f t="array" ref="V539">+J539+(4*(INDEX(MatchScoreTable,$Q539,20)-1))</f>
        <v>4</v>
      </c>
      <c r="W539">
        <f t="array" ref="W539">INDEX(INC_MINVALUES,$V539,$K$1)</f>
        <v>480</v>
      </c>
      <c r="X539" s="212">
        <f t="array" ref="X539">INDEX(INC_INCVALUES,$V539,$K$1)</f>
        <v>4</v>
      </c>
    </row>
    <row r="540" ht="15.75" customHeight="1">
      <c r="A540" s="435"/>
      <c r="B540" s="436"/>
      <c r="C540" s="95" t="str">
        <f t="array" ref="C540">IF(I540&gt;0,INDEX(DB,I540,8),"")</f>
        <v/>
      </c>
      <c r="D540" s="437">
        <f t="shared" si="1"/>
        <v>0</v>
      </c>
      <c r="F540" s="438">
        <f t="shared" si="2"/>
        <v>0</v>
      </c>
      <c r="G540" t="str">
        <f t="shared" si="3"/>
        <v/>
      </c>
      <c r="H540" t="b">
        <f t="shared" si="4"/>
        <v>0</v>
      </c>
      <c r="I540" s="439">
        <f>IF(OR(ISBLANK(A540),ISNA(MATCH(A540&amp;"",AthleteNumbers,0))),0,MATCH(A540&amp;"",AthleteNumbers,0))</f>
        <v>0</v>
      </c>
      <c r="J540" s="209">
        <f t="array" ref="J540">IF(I540&gt;0,INDEX(DB,$I540,6),0)</f>
        <v>0</v>
      </c>
      <c r="K540" s="446">
        <f t="shared" si="5"/>
        <v>0</v>
      </c>
      <c r="L540" s="440">
        <f t="shared" si="6"/>
        <v>0</v>
      </c>
      <c r="M540" s="441">
        <f>IF(AND(L540&gt;O540,O540&gt;0),MinPoints,IF(AND(L540&lt;N540,O540&gt;0),100,+INT((O540-$L540)/P540)+MinPoints))</f>
        <v>100</v>
      </c>
      <c r="N540" s="440">
        <f t="shared" si="7"/>
        <v>90</v>
      </c>
      <c r="O540" s="440">
        <f t="shared" si="8"/>
        <v>180</v>
      </c>
      <c r="P540" s="440">
        <f t="shared" si="9"/>
        <v>1</v>
      </c>
      <c r="Q540">
        <f t="array" ref="Q540">IF(I540&gt;0,INDEX(DB,I540,9),EventIndex)</f>
        <v>6</v>
      </c>
      <c r="S540">
        <f t="array" ref="S540">(INT(INDEX(MINVALUES,$Q540,$K$1))*60)+(MOD(INDEX(MINVALUES,$Q540,$K$1),1)*100)</f>
        <v>180</v>
      </c>
      <c r="T540">
        <f t="array" ref="T540">(INDEX(INCVALUES,$Q540,$K$1)*100)</f>
        <v>1</v>
      </c>
      <c r="V540">
        <f t="array" ref="V540">+J540+(4*(INDEX(MatchScoreTable,$Q540,20)-1))</f>
        <v>4</v>
      </c>
      <c r="W540">
        <f t="array" ref="W540">INDEX(INC_MINVALUES,$V540,$K$1)</f>
        <v>480</v>
      </c>
      <c r="X540" s="212">
        <f t="array" ref="X540">INDEX(INC_INCVALUES,$V540,$K$1)</f>
        <v>4</v>
      </c>
    </row>
    <row r="541" ht="15.75" customHeight="1">
      <c r="A541" s="435"/>
      <c r="B541" s="436"/>
      <c r="C541" s="95" t="str">
        <f t="array" ref="C541">IF(I541&gt;0,INDEX(DB,I541,8),"")</f>
        <v/>
      </c>
      <c r="D541" s="437">
        <f t="shared" si="1"/>
        <v>0</v>
      </c>
      <c r="F541" s="438">
        <f t="shared" si="2"/>
        <v>0</v>
      </c>
      <c r="G541" t="str">
        <f t="shared" si="3"/>
        <v/>
      </c>
      <c r="H541" t="b">
        <f t="shared" si="4"/>
        <v>0</v>
      </c>
      <c r="I541" s="439">
        <f>IF(OR(ISBLANK(A541),ISNA(MATCH(A541&amp;"",AthleteNumbers,0))),0,MATCH(A541&amp;"",AthleteNumbers,0))</f>
        <v>0</v>
      </c>
      <c r="J541" s="209">
        <f t="array" ref="J541">IF(I541&gt;0,INDEX(DB,$I541,6),0)</f>
        <v>0</v>
      </c>
      <c r="K541" s="446">
        <f t="shared" si="5"/>
        <v>0</v>
      </c>
      <c r="L541" s="440">
        <f t="shared" si="6"/>
        <v>0</v>
      </c>
      <c r="M541" s="441">
        <f>IF(AND(L541&gt;O541,O541&gt;0),MinPoints,IF(AND(L541&lt;N541,O541&gt;0),100,+INT((O541-$L541)/P541)+MinPoints))</f>
        <v>100</v>
      </c>
      <c r="N541" s="440">
        <f t="shared" si="7"/>
        <v>90</v>
      </c>
      <c r="O541" s="440">
        <f t="shared" si="8"/>
        <v>180</v>
      </c>
      <c r="P541" s="440">
        <f t="shared" si="9"/>
        <v>1</v>
      </c>
      <c r="Q541">
        <f t="array" ref="Q541">IF(I541&gt;0,INDEX(DB,I541,9),EventIndex)</f>
        <v>6</v>
      </c>
      <c r="S541">
        <f t="array" ref="S541">(INT(INDEX(MINVALUES,$Q541,$K$1))*60)+(MOD(INDEX(MINVALUES,$Q541,$K$1),1)*100)</f>
        <v>180</v>
      </c>
      <c r="T541">
        <f t="array" ref="T541">(INDEX(INCVALUES,$Q541,$K$1)*100)</f>
        <v>1</v>
      </c>
      <c r="V541">
        <f t="array" ref="V541">+J541+(4*(INDEX(MatchScoreTable,$Q541,20)-1))</f>
        <v>4</v>
      </c>
      <c r="W541">
        <f t="array" ref="W541">INDEX(INC_MINVALUES,$V541,$K$1)</f>
        <v>480</v>
      </c>
      <c r="X541" s="212">
        <f t="array" ref="X541">INDEX(INC_INCVALUES,$V541,$K$1)</f>
        <v>4</v>
      </c>
    </row>
    <row r="542" ht="15.75" customHeight="1">
      <c r="A542" s="435"/>
      <c r="B542" s="436"/>
      <c r="C542" s="95" t="str">
        <f t="array" ref="C542">IF(I542&gt;0,INDEX(DB,I542,8),"")</f>
        <v/>
      </c>
      <c r="D542" s="437">
        <f t="shared" si="1"/>
        <v>0</v>
      </c>
      <c r="F542" s="438">
        <f t="shared" si="2"/>
        <v>0</v>
      </c>
      <c r="G542" t="str">
        <f t="shared" si="3"/>
        <v/>
      </c>
      <c r="H542" t="b">
        <f t="shared" si="4"/>
        <v>0</v>
      </c>
      <c r="I542" s="439">
        <f>IF(OR(ISBLANK(A542),ISNA(MATCH(A542&amp;"",AthleteNumbers,0))),0,MATCH(A542&amp;"",AthleteNumbers,0))</f>
        <v>0</v>
      </c>
      <c r="J542" s="209">
        <f t="array" ref="J542">IF(I542&gt;0,INDEX(DB,$I542,6),0)</f>
        <v>0</v>
      </c>
      <c r="K542" s="446">
        <f t="shared" si="5"/>
        <v>0</v>
      </c>
      <c r="L542" s="440">
        <f t="shared" si="6"/>
        <v>0</v>
      </c>
      <c r="M542" s="441">
        <f>IF(AND(L542&gt;O542,O542&gt;0),MinPoints,IF(AND(L542&lt;N542,O542&gt;0),100,+INT((O542-$L542)/P542)+MinPoints))</f>
        <v>100</v>
      </c>
      <c r="N542" s="440">
        <f t="shared" si="7"/>
        <v>90</v>
      </c>
      <c r="O542" s="440">
        <f t="shared" si="8"/>
        <v>180</v>
      </c>
      <c r="P542" s="440">
        <f t="shared" si="9"/>
        <v>1</v>
      </c>
      <c r="Q542">
        <f t="array" ref="Q542">IF(I542&gt;0,INDEX(DB,I542,9),EventIndex)</f>
        <v>6</v>
      </c>
      <c r="S542">
        <f t="array" ref="S542">(INT(INDEX(MINVALUES,$Q542,$K$1))*60)+(MOD(INDEX(MINVALUES,$Q542,$K$1),1)*100)</f>
        <v>180</v>
      </c>
      <c r="T542">
        <f t="array" ref="T542">(INDEX(INCVALUES,$Q542,$K$1)*100)</f>
        <v>1</v>
      </c>
      <c r="V542">
        <f t="array" ref="V542">+J542+(4*(INDEX(MatchScoreTable,$Q542,20)-1))</f>
        <v>4</v>
      </c>
      <c r="W542">
        <f t="array" ref="W542">INDEX(INC_MINVALUES,$V542,$K$1)</f>
        <v>480</v>
      </c>
      <c r="X542" s="212">
        <f t="array" ref="X542">INDEX(INC_INCVALUES,$V542,$K$1)</f>
        <v>4</v>
      </c>
    </row>
    <row r="543" ht="15.75" customHeight="1">
      <c r="A543" s="435"/>
      <c r="B543" s="436"/>
      <c r="C543" s="95" t="str">
        <f t="array" ref="C543">IF(I543&gt;0,INDEX(DB,I543,8),"")</f>
        <v/>
      </c>
      <c r="D543" s="437">
        <f t="shared" si="1"/>
        <v>0</v>
      </c>
      <c r="F543" s="438">
        <f t="shared" si="2"/>
        <v>0</v>
      </c>
      <c r="G543" t="str">
        <f t="shared" si="3"/>
        <v/>
      </c>
      <c r="H543" t="b">
        <f t="shared" si="4"/>
        <v>0</v>
      </c>
      <c r="I543" s="439">
        <f>IF(OR(ISBLANK(A543),ISNA(MATCH(A543&amp;"",AthleteNumbers,0))),0,MATCH(A543&amp;"",AthleteNumbers,0))</f>
        <v>0</v>
      </c>
      <c r="J543" s="209">
        <f t="array" ref="J543">IF(I543&gt;0,INDEX(DB,$I543,6),0)</f>
        <v>0</v>
      </c>
      <c r="K543" s="446">
        <f t="shared" si="5"/>
        <v>0</v>
      </c>
      <c r="L543" s="440">
        <f t="shared" si="6"/>
        <v>0</v>
      </c>
      <c r="M543" s="441">
        <f>IF(AND(L543&gt;O543,O543&gt;0),MinPoints,IF(AND(L543&lt;N543,O543&gt;0),100,+INT((O543-$L543)/P543)+MinPoints))</f>
        <v>100</v>
      </c>
      <c r="N543" s="440">
        <f t="shared" si="7"/>
        <v>90</v>
      </c>
      <c r="O543" s="440">
        <f t="shared" si="8"/>
        <v>180</v>
      </c>
      <c r="P543" s="440">
        <f t="shared" si="9"/>
        <v>1</v>
      </c>
      <c r="Q543">
        <f t="array" ref="Q543">IF(I543&gt;0,INDEX(DB,I543,9),EventIndex)</f>
        <v>6</v>
      </c>
      <c r="S543">
        <f t="array" ref="S543">(INT(INDEX(MINVALUES,$Q543,$K$1))*60)+(MOD(INDEX(MINVALUES,$Q543,$K$1),1)*100)</f>
        <v>180</v>
      </c>
      <c r="T543">
        <f t="array" ref="T543">(INDEX(INCVALUES,$Q543,$K$1)*100)</f>
        <v>1</v>
      </c>
      <c r="V543">
        <f t="array" ref="V543">+J543+(4*(INDEX(MatchScoreTable,$Q543,20)-1))</f>
        <v>4</v>
      </c>
      <c r="W543">
        <f t="array" ref="W543">INDEX(INC_MINVALUES,$V543,$K$1)</f>
        <v>480</v>
      </c>
      <c r="X543" s="212">
        <f t="array" ref="X543">INDEX(INC_INCVALUES,$V543,$K$1)</f>
        <v>4</v>
      </c>
    </row>
    <row r="544" ht="15.75" customHeight="1">
      <c r="A544" s="435"/>
      <c r="B544" s="436"/>
      <c r="C544" s="95" t="str">
        <f t="array" ref="C544">IF(I544&gt;0,INDEX(DB,I544,8),"")</f>
        <v/>
      </c>
      <c r="D544" s="437">
        <f t="shared" si="1"/>
        <v>0</v>
      </c>
      <c r="F544" s="438">
        <f t="shared" si="2"/>
        <v>0</v>
      </c>
      <c r="G544" t="str">
        <f t="shared" si="3"/>
        <v/>
      </c>
      <c r="H544" t="b">
        <f t="shared" si="4"/>
        <v>0</v>
      </c>
      <c r="I544" s="439">
        <f>IF(OR(ISBLANK(A544),ISNA(MATCH(A544&amp;"",AthleteNumbers,0))),0,MATCH(A544&amp;"",AthleteNumbers,0))</f>
        <v>0</v>
      </c>
      <c r="J544" s="209">
        <f t="array" ref="J544">IF(I544&gt;0,INDEX(DB,$I544,6),0)</f>
        <v>0</v>
      </c>
      <c r="K544" s="446">
        <f t="shared" si="5"/>
        <v>0</v>
      </c>
      <c r="L544" s="440">
        <f t="shared" si="6"/>
        <v>0</v>
      </c>
      <c r="M544" s="441">
        <f>IF(AND(L544&gt;O544,O544&gt;0),MinPoints,IF(AND(L544&lt;N544,O544&gt;0),100,+INT((O544-$L544)/P544)+MinPoints))</f>
        <v>100</v>
      </c>
      <c r="N544" s="440">
        <f t="shared" si="7"/>
        <v>90</v>
      </c>
      <c r="O544" s="440">
        <f t="shared" si="8"/>
        <v>180</v>
      </c>
      <c r="P544" s="440">
        <f t="shared" si="9"/>
        <v>1</v>
      </c>
      <c r="Q544">
        <f t="array" ref="Q544">IF(I544&gt;0,INDEX(DB,I544,9),EventIndex)</f>
        <v>6</v>
      </c>
      <c r="S544">
        <f t="array" ref="S544">(INT(INDEX(MINVALUES,$Q544,$K$1))*60)+(MOD(INDEX(MINVALUES,$Q544,$K$1),1)*100)</f>
        <v>180</v>
      </c>
      <c r="T544">
        <f t="array" ref="T544">(INDEX(INCVALUES,$Q544,$K$1)*100)</f>
        <v>1</v>
      </c>
      <c r="V544">
        <f t="array" ref="V544">+J544+(4*(INDEX(MatchScoreTable,$Q544,20)-1))</f>
        <v>4</v>
      </c>
      <c r="W544">
        <f t="array" ref="W544">INDEX(INC_MINVALUES,$V544,$K$1)</f>
        <v>480</v>
      </c>
      <c r="X544" s="212">
        <f t="array" ref="X544">INDEX(INC_INCVALUES,$V544,$K$1)</f>
        <v>4</v>
      </c>
    </row>
    <row r="545" ht="15.75" customHeight="1">
      <c r="A545" s="435"/>
      <c r="B545" s="436"/>
      <c r="C545" s="95" t="str">
        <f t="array" ref="C545">IF(I545&gt;0,INDEX(DB,I545,8),"")</f>
        <v/>
      </c>
      <c r="D545" s="437">
        <f t="shared" si="1"/>
        <v>0</v>
      </c>
      <c r="F545" s="438">
        <f t="shared" si="2"/>
        <v>0</v>
      </c>
      <c r="G545" t="str">
        <f t="shared" si="3"/>
        <v/>
      </c>
      <c r="H545" t="b">
        <f t="shared" si="4"/>
        <v>0</v>
      </c>
      <c r="I545" s="439">
        <f>IF(OR(ISBLANK(A545),ISNA(MATCH(A545&amp;"",AthleteNumbers,0))),0,MATCH(A545&amp;"",AthleteNumbers,0))</f>
        <v>0</v>
      </c>
      <c r="J545" s="209">
        <f t="array" ref="J545">IF(I545&gt;0,INDEX(DB,$I545,6),0)</f>
        <v>0</v>
      </c>
      <c r="K545" s="446">
        <f t="shared" si="5"/>
        <v>0</v>
      </c>
      <c r="L545" s="440">
        <f t="shared" si="6"/>
        <v>0</v>
      </c>
      <c r="M545" s="441">
        <f>IF(AND(L545&gt;O545,O545&gt;0),MinPoints,IF(AND(L545&lt;N545,O545&gt;0),100,+INT((O545-$L545)/P545)+MinPoints))</f>
        <v>100</v>
      </c>
      <c r="N545" s="440">
        <f t="shared" si="7"/>
        <v>90</v>
      </c>
      <c r="O545" s="440">
        <f t="shared" si="8"/>
        <v>180</v>
      </c>
      <c r="P545" s="440">
        <f t="shared" si="9"/>
        <v>1</v>
      </c>
      <c r="Q545">
        <f t="array" ref="Q545">IF(I545&gt;0,INDEX(DB,I545,9),EventIndex)</f>
        <v>6</v>
      </c>
      <c r="S545">
        <f t="array" ref="S545">(INT(INDEX(MINVALUES,$Q545,$K$1))*60)+(MOD(INDEX(MINVALUES,$Q545,$K$1),1)*100)</f>
        <v>180</v>
      </c>
      <c r="T545">
        <f t="array" ref="T545">(INDEX(INCVALUES,$Q545,$K$1)*100)</f>
        <v>1</v>
      </c>
      <c r="V545">
        <f t="array" ref="V545">+J545+(4*(INDEX(MatchScoreTable,$Q545,20)-1))</f>
        <v>4</v>
      </c>
      <c r="W545">
        <f t="array" ref="W545">INDEX(INC_MINVALUES,$V545,$K$1)</f>
        <v>480</v>
      </c>
      <c r="X545" s="212">
        <f t="array" ref="X545">INDEX(INC_INCVALUES,$V545,$K$1)</f>
        <v>4</v>
      </c>
    </row>
    <row r="546" ht="15.75" customHeight="1">
      <c r="A546" s="435"/>
      <c r="B546" s="436"/>
      <c r="C546" s="95" t="str">
        <f t="array" ref="C546">IF(I546&gt;0,INDEX(DB,I546,8),"")</f>
        <v/>
      </c>
      <c r="D546" s="437">
        <f t="shared" si="1"/>
        <v>0</v>
      </c>
      <c r="F546" s="438">
        <f t="shared" si="2"/>
        <v>0</v>
      </c>
      <c r="G546" t="str">
        <f t="shared" si="3"/>
        <v/>
      </c>
      <c r="H546" t="b">
        <f t="shared" si="4"/>
        <v>0</v>
      </c>
      <c r="I546" s="439">
        <f>IF(OR(ISBLANK(A546),ISNA(MATCH(A546&amp;"",AthleteNumbers,0))),0,MATCH(A546&amp;"",AthleteNumbers,0))</f>
        <v>0</v>
      </c>
      <c r="J546" s="209">
        <f t="array" ref="J546">IF(I546&gt;0,INDEX(DB,$I546,6),0)</f>
        <v>0</v>
      </c>
      <c r="K546" s="446">
        <f t="shared" si="5"/>
        <v>0</v>
      </c>
      <c r="L546" s="440">
        <f t="shared" si="6"/>
        <v>0</v>
      </c>
      <c r="M546" s="441">
        <f>IF(AND(L546&gt;O546,O546&gt;0),MinPoints,IF(AND(L546&lt;N546,O546&gt;0),100,+INT((O546-$L546)/P546)+MinPoints))</f>
        <v>100</v>
      </c>
      <c r="N546" s="440">
        <f t="shared" si="7"/>
        <v>90</v>
      </c>
      <c r="O546" s="440">
        <f t="shared" si="8"/>
        <v>180</v>
      </c>
      <c r="P546" s="440">
        <f t="shared" si="9"/>
        <v>1</v>
      </c>
      <c r="Q546">
        <f t="array" ref="Q546">IF(I546&gt;0,INDEX(DB,I546,9),EventIndex)</f>
        <v>6</v>
      </c>
      <c r="S546">
        <f t="array" ref="S546">(INT(INDEX(MINVALUES,$Q546,$K$1))*60)+(MOD(INDEX(MINVALUES,$Q546,$K$1),1)*100)</f>
        <v>180</v>
      </c>
      <c r="T546">
        <f t="array" ref="T546">(INDEX(INCVALUES,$Q546,$K$1)*100)</f>
        <v>1</v>
      </c>
      <c r="V546">
        <f t="array" ref="V546">+J546+(4*(INDEX(MatchScoreTable,$Q546,20)-1))</f>
        <v>4</v>
      </c>
      <c r="W546">
        <f t="array" ref="W546">INDEX(INC_MINVALUES,$V546,$K$1)</f>
        <v>480</v>
      </c>
      <c r="X546" s="212">
        <f t="array" ref="X546">INDEX(INC_INCVALUES,$V546,$K$1)</f>
        <v>4</v>
      </c>
    </row>
    <row r="547" ht="15.75" customHeight="1">
      <c r="A547" s="435"/>
      <c r="B547" s="436"/>
      <c r="C547" s="95" t="str">
        <f t="array" ref="C547">IF(I547&gt;0,INDEX(DB,I547,8),"")</f>
        <v/>
      </c>
      <c r="D547" s="437">
        <f t="shared" si="1"/>
        <v>0</v>
      </c>
      <c r="F547" s="438">
        <f t="shared" si="2"/>
        <v>0</v>
      </c>
      <c r="G547" t="str">
        <f t="shared" si="3"/>
        <v/>
      </c>
      <c r="H547" t="b">
        <f t="shared" si="4"/>
        <v>0</v>
      </c>
      <c r="I547" s="439">
        <f>IF(OR(ISBLANK(A547),ISNA(MATCH(A547&amp;"",AthleteNumbers,0))),0,MATCH(A547&amp;"",AthleteNumbers,0))</f>
        <v>0</v>
      </c>
      <c r="J547" s="209">
        <f t="array" ref="J547">IF(I547&gt;0,INDEX(DB,$I547,6),0)</f>
        <v>0</v>
      </c>
      <c r="K547" s="446">
        <f t="shared" si="5"/>
        <v>0</v>
      </c>
      <c r="L547" s="440">
        <f t="shared" si="6"/>
        <v>0</v>
      </c>
      <c r="M547" s="441">
        <f>IF(AND(L547&gt;O547,O547&gt;0),MinPoints,IF(AND(L547&lt;N547,O547&gt;0),100,+INT((O547-$L547)/P547)+MinPoints))</f>
        <v>100</v>
      </c>
      <c r="N547" s="440">
        <f t="shared" si="7"/>
        <v>90</v>
      </c>
      <c r="O547" s="440">
        <f t="shared" si="8"/>
        <v>180</v>
      </c>
      <c r="P547" s="440">
        <f t="shared" si="9"/>
        <v>1</v>
      </c>
      <c r="Q547">
        <f t="array" ref="Q547">IF(I547&gt;0,INDEX(DB,I547,9),EventIndex)</f>
        <v>6</v>
      </c>
      <c r="S547">
        <f t="array" ref="S547">(INT(INDEX(MINVALUES,$Q547,$K$1))*60)+(MOD(INDEX(MINVALUES,$Q547,$K$1),1)*100)</f>
        <v>180</v>
      </c>
      <c r="T547">
        <f t="array" ref="T547">(INDEX(INCVALUES,$Q547,$K$1)*100)</f>
        <v>1</v>
      </c>
      <c r="V547">
        <f t="array" ref="V547">+J547+(4*(INDEX(MatchScoreTable,$Q547,20)-1))</f>
        <v>4</v>
      </c>
      <c r="W547">
        <f t="array" ref="W547">INDEX(INC_MINVALUES,$V547,$K$1)</f>
        <v>480</v>
      </c>
      <c r="X547" s="212">
        <f t="array" ref="X547">INDEX(INC_INCVALUES,$V547,$K$1)</f>
        <v>4</v>
      </c>
    </row>
    <row r="548" ht="15.75" customHeight="1">
      <c r="A548" s="435"/>
      <c r="B548" s="436"/>
      <c r="C548" s="95" t="str">
        <f t="array" ref="C548">IF(I548&gt;0,INDEX(DB,I548,8),"")</f>
        <v/>
      </c>
      <c r="D548" s="437">
        <f t="shared" si="1"/>
        <v>0</v>
      </c>
      <c r="F548" s="438">
        <f t="shared" si="2"/>
        <v>0</v>
      </c>
      <c r="G548" t="str">
        <f t="shared" si="3"/>
        <v/>
      </c>
      <c r="H548" t="b">
        <f t="shared" si="4"/>
        <v>0</v>
      </c>
      <c r="I548" s="439">
        <f>IF(OR(ISBLANK(A548),ISNA(MATCH(A548&amp;"",AthleteNumbers,0))),0,MATCH(A548&amp;"",AthleteNumbers,0))</f>
        <v>0</v>
      </c>
      <c r="J548" s="209">
        <f t="array" ref="J548">IF(I548&gt;0,INDEX(DB,$I548,6),0)</f>
        <v>0</v>
      </c>
      <c r="K548" s="446">
        <f t="shared" si="5"/>
        <v>0</v>
      </c>
      <c r="L548" s="440">
        <f t="shared" si="6"/>
        <v>0</v>
      </c>
      <c r="M548" s="441">
        <f>IF(AND(L548&gt;O548,O548&gt;0),MinPoints,IF(AND(L548&lt;N548,O548&gt;0),100,+INT((O548-$L548)/P548)+MinPoints))</f>
        <v>100</v>
      </c>
      <c r="N548" s="440">
        <f t="shared" si="7"/>
        <v>90</v>
      </c>
      <c r="O548" s="440">
        <f t="shared" si="8"/>
        <v>180</v>
      </c>
      <c r="P548" s="440">
        <f t="shared" si="9"/>
        <v>1</v>
      </c>
      <c r="Q548">
        <f t="array" ref="Q548">IF(I548&gt;0,INDEX(DB,I548,9),EventIndex)</f>
        <v>6</v>
      </c>
      <c r="S548">
        <f t="array" ref="S548">(INT(INDEX(MINVALUES,$Q548,$K$1))*60)+(MOD(INDEX(MINVALUES,$Q548,$K$1),1)*100)</f>
        <v>180</v>
      </c>
      <c r="T548">
        <f t="array" ref="T548">(INDEX(INCVALUES,$Q548,$K$1)*100)</f>
        <v>1</v>
      </c>
      <c r="V548">
        <f t="array" ref="V548">+J548+(4*(INDEX(MatchScoreTable,$Q548,20)-1))</f>
        <v>4</v>
      </c>
      <c r="W548">
        <f t="array" ref="W548">INDEX(INC_MINVALUES,$V548,$K$1)</f>
        <v>480</v>
      </c>
      <c r="X548" s="212">
        <f t="array" ref="X548">INDEX(INC_INCVALUES,$V548,$K$1)</f>
        <v>4</v>
      </c>
    </row>
    <row r="549" ht="15.75" customHeight="1">
      <c r="A549" s="435"/>
      <c r="B549" s="436"/>
      <c r="C549" s="95" t="str">
        <f t="array" ref="C549">IF(I549&gt;0,INDEX(DB,I549,8),"")</f>
        <v/>
      </c>
      <c r="D549" s="437">
        <f t="shared" si="1"/>
        <v>0</v>
      </c>
      <c r="F549" s="438">
        <f t="shared" si="2"/>
        <v>0</v>
      </c>
      <c r="G549" t="str">
        <f t="shared" si="3"/>
        <v/>
      </c>
      <c r="H549" t="b">
        <f t="shared" si="4"/>
        <v>0</v>
      </c>
      <c r="I549" s="439">
        <f>IF(OR(ISBLANK(A549),ISNA(MATCH(A549&amp;"",AthleteNumbers,0))),0,MATCH(A549&amp;"",AthleteNumbers,0))</f>
        <v>0</v>
      </c>
      <c r="J549" s="209">
        <f t="array" ref="J549">IF(I549&gt;0,INDEX(DB,$I549,6),0)</f>
        <v>0</v>
      </c>
      <c r="K549" s="446">
        <f t="shared" si="5"/>
        <v>0</v>
      </c>
      <c r="L549" s="440">
        <f t="shared" si="6"/>
        <v>0</v>
      </c>
      <c r="M549" s="441">
        <f>IF(AND(L549&gt;O549,O549&gt;0),MinPoints,IF(AND(L549&lt;N549,O549&gt;0),100,+INT((O549-$L549)/P549)+MinPoints))</f>
        <v>100</v>
      </c>
      <c r="N549" s="440">
        <f t="shared" si="7"/>
        <v>90</v>
      </c>
      <c r="O549" s="440">
        <f t="shared" si="8"/>
        <v>180</v>
      </c>
      <c r="P549" s="440">
        <f t="shared" si="9"/>
        <v>1</v>
      </c>
      <c r="Q549">
        <f t="array" ref="Q549">IF(I549&gt;0,INDEX(DB,I549,9),EventIndex)</f>
        <v>6</v>
      </c>
      <c r="S549">
        <f t="array" ref="S549">(INT(INDEX(MINVALUES,$Q549,$K$1))*60)+(MOD(INDEX(MINVALUES,$Q549,$K$1),1)*100)</f>
        <v>180</v>
      </c>
      <c r="T549">
        <f t="array" ref="T549">(INDEX(INCVALUES,$Q549,$K$1)*100)</f>
        <v>1</v>
      </c>
      <c r="V549">
        <f t="array" ref="V549">+J549+(4*(INDEX(MatchScoreTable,$Q549,20)-1))</f>
        <v>4</v>
      </c>
      <c r="W549">
        <f t="array" ref="W549">INDEX(INC_MINVALUES,$V549,$K$1)</f>
        <v>480</v>
      </c>
      <c r="X549" s="212">
        <f t="array" ref="X549">INDEX(INC_INCVALUES,$V549,$K$1)</f>
        <v>4</v>
      </c>
    </row>
    <row r="550" ht="15.75" customHeight="1">
      <c r="A550" s="435"/>
      <c r="B550" s="436"/>
      <c r="C550" s="95" t="str">
        <f t="array" ref="C550">IF(I550&gt;0,INDEX(DB,I550,8),"")</f>
        <v/>
      </c>
      <c r="D550" s="437">
        <f t="shared" si="1"/>
        <v>0</v>
      </c>
      <c r="F550" s="438">
        <f t="shared" si="2"/>
        <v>0</v>
      </c>
      <c r="G550" t="str">
        <f t="shared" si="3"/>
        <v/>
      </c>
      <c r="H550" t="b">
        <f t="shared" si="4"/>
        <v>0</v>
      </c>
      <c r="I550" s="439">
        <f>IF(OR(ISBLANK(A550),ISNA(MATCH(A550&amp;"",AthleteNumbers,0))),0,MATCH(A550&amp;"",AthleteNumbers,0))</f>
        <v>0</v>
      </c>
      <c r="J550" s="209">
        <f t="array" ref="J550">IF(I550&gt;0,INDEX(DB,$I550,6),0)</f>
        <v>0</v>
      </c>
      <c r="K550" s="446">
        <f t="shared" si="5"/>
        <v>0</v>
      </c>
      <c r="L550" s="440">
        <f t="shared" si="6"/>
        <v>0</v>
      </c>
      <c r="M550" s="441">
        <f>IF(AND(L550&gt;O550,O550&gt;0),MinPoints,IF(AND(L550&lt;N550,O550&gt;0),100,+INT((O550-$L550)/P550)+MinPoints))</f>
        <v>100</v>
      </c>
      <c r="N550" s="440">
        <f t="shared" si="7"/>
        <v>90</v>
      </c>
      <c r="O550" s="440">
        <f t="shared" si="8"/>
        <v>180</v>
      </c>
      <c r="P550" s="440">
        <f t="shared" si="9"/>
        <v>1</v>
      </c>
      <c r="Q550">
        <f t="array" ref="Q550">IF(I550&gt;0,INDEX(DB,I550,9),EventIndex)</f>
        <v>6</v>
      </c>
      <c r="S550">
        <f t="array" ref="S550">(INT(INDEX(MINVALUES,$Q550,$K$1))*60)+(MOD(INDEX(MINVALUES,$Q550,$K$1),1)*100)</f>
        <v>180</v>
      </c>
      <c r="T550">
        <f t="array" ref="T550">(INDEX(INCVALUES,$Q550,$K$1)*100)</f>
        <v>1</v>
      </c>
      <c r="V550">
        <f t="array" ref="V550">+J550+(4*(INDEX(MatchScoreTable,$Q550,20)-1))</f>
        <v>4</v>
      </c>
      <c r="W550">
        <f t="array" ref="W550">INDEX(INC_MINVALUES,$V550,$K$1)</f>
        <v>480</v>
      </c>
      <c r="X550" s="212">
        <f t="array" ref="X550">INDEX(INC_INCVALUES,$V550,$K$1)</f>
        <v>4</v>
      </c>
    </row>
    <row r="551" ht="15.75" customHeight="1">
      <c r="A551" s="435"/>
      <c r="B551" s="436"/>
      <c r="C551" s="95" t="str">
        <f t="array" ref="C551">IF(I551&gt;0,INDEX(DB,I551,8),"")</f>
        <v/>
      </c>
      <c r="D551" s="437">
        <f t="shared" si="1"/>
        <v>0</v>
      </c>
      <c r="F551" s="438">
        <f t="shared" si="2"/>
        <v>0</v>
      </c>
      <c r="G551" t="str">
        <f t="shared" si="3"/>
        <v/>
      </c>
      <c r="H551" t="b">
        <f t="shared" si="4"/>
        <v>0</v>
      </c>
      <c r="I551" s="439">
        <f>IF(OR(ISBLANK(A551),ISNA(MATCH(A551&amp;"",AthleteNumbers,0))),0,MATCH(A551&amp;"",AthleteNumbers,0))</f>
        <v>0</v>
      </c>
      <c r="J551" s="209">
        <f t="array" ref="J551">IF(I551&gt;0,INDEX(DB,$I551,6),0)</f>
        <v>0</v>
      </c>
      <c r="K551" s="446">
        <f t="shared" si="5"/>
        <v>0</v>
      </c>
      <c r="L551" s="440">
        <f t="shared" si="6"/>
        <v>0</v>
      </c>
      <c r="M551" s="441">
        <f>IF(AND(L551&gt;O551,O551&gt;0),MinPoints,IF(AND(L551&lt;N551,O551&gt;0),100,+INT((O551-$L551)/P551)+MinPoints))</f>
        <v>100</v>
      </c>
      <c r="N551" s="440">
        <f t="shared" si="7"/>
        <v>90</v>
      </c>
      <c r="O551" s="440">
        <f t="shared" si="8"/>
        <v>180</v>
      </c>
      <c r="P551" s="440">
        <f t="shared" si="9"/>
        <v>1</v>
      </c>
      <c r="Q551">
        <f t="array" ref="Q551">IF(I551&gt;0,INDEX(DB,I551,9),EventIndex)</f>
        <v>6</v>
      </c>
      <c r="S551">
        <f t="array" ref="S551">(INT(INDEX(MINVALUES,$Q551,$K$1))*60)+(MOD(INDEX(MINVALUES,$Q551,$K$1),1)*100)</f>
        <v>180</v>
      </c>
      <c r="T551">
        <f t="array" ref="T551">(INDEX(INCVALUES,$Q551,$K$1)*100)</f>
        <v>1</v>
      </c>
      <c r="V551">
        <f t="array" ref="V551">+J551+(4*(INDEX(MatchScoreTable,$Q551,20)-1))</f>
        <v>4</v>
      </c>
      <c r="W551">
        <f t="array" ref="W551">INDEX(INC_MINVALUES,$V551,$K$1)</f>
        <v>480</v>
      </c>
      <c r="X551" s="212">
        <f t="array" ref="X551">INDEX(INC_INCVALUES,$V551,$K$1)</f>
        <v>4</v>
      </c>
    </row>
    <row r="552" ht="15.75" customHeight="1">
      <c r="A552" s="435"/>
      <c r="B552" s="436"/>
      <c r="C552" s="95" t="str">
        <f t="array" ref="C552">IF(I552&gt;0,INDEX(DB,I552,8),"")</f>
        <v/>
      </c>
      <c r="D552" s="437">
        <f t="shared" si="1"/>
        <v>0</v>
      </c>
      <c r="F552" s="438">
        <f t="shared" si="2"/>
        <v>0</v>
      </c>
      <c r="G552" t="str">
        <f t="shared" si="3"/>
        <v/>
      </c>
      <c r="H552" t="b">
        <f t="shared" si="4"/>
        <v>0</v>
      </c>
      <c r="I552" s="439">
        <f>IF(OR(ISBLANK(A552),ISNA(MATCH(A552&amp;"",AthleteNumbers,0))),0,MATCH(A552&amp;"",AthleteNumbers,0))</f>
        <v>0</v>
      </c>
      <c r="J552" s="209">
        <f t="array" ref="J552">IF(I552&gt;0,INDEX(DB,$I552,6),0)</f>
        <v>0</v>
      </c>
      <c r="K552" s="446">
        <f t="shared" si="5"/>
        <v>0</v>
      </c>
      <c r="L552" s="440">
        <f t="shared" si="6"/>
        <v>0</v>
      </c>
      <c r="M552" s="441">
        <f>IF(AND(L552&gt;O552,O552&gt;0),MinPoints,IF(AND(L552&lt;N552,O552&gt;0),100,+INT((O552-$L552)/P552)+MinPoints))</f>
        <v>100</v>
      </c>
      <c r="N552" s="440">
        <f t="shared" si="7"/>
        <v>90</v>
      </c>
      <c r="O552" s="440">
        <f t="shared" si="8"/>
        <v>180</v>
      </c>
      <c r="P552" s="440">
        <f t="shared" si="9"/>
        <v>1</v>
      </c>
      <c r="Q552">
        <f t="array" ref="Q552">IF(I552&gt;0,INDEX(DB,I552,9),EventIndex)</f>
        <v>6</v>
      </c>
      <c r="S552">
        <f t="array" ref="S552">(INT(INDEX(MINVALUES,$Q552,$K$1))*60)+(MOD(INDEX(MINVALUES,$Q552,$K$1),1)*100)</f>
        <v>180</v>
      </c>
      <c r="T552">
        <f t="array" ref="T552">(INDEX(INCVALUES,$Q552,$K$1)*100)</f>
        <v>1</v>
      </c>
      <c r="V552">
        <f t="array" ref="V552">+J552+(4*(INDEX(MatchScoreTable,$Q552,20)-1))</f>
        <v>4</v>
      </c>
      <c r="W552">
        <f t="array" ref="W552">INDEX(INC_MINVALUES,$V552,$K$1)</f>
        <v>480</v>
      </c>
      <c r="X552" s="212">
        <f t="array" ref="X552">INDEX(INC_INCVALUES,$V552,$K$1)</f>
        <v>4</v>
      </c>
    </row>
    <row r="553" ht="15.75" customHeight="1">
      <c r="A553" s="435"/>
      <c r="B553" s="436"/>
      <c r="C553" s="95" t="str">
        <f t="array" ref="C553">IF(I553&gt;0,INDEX(DB,I553,8),"")</f>
        <v/>
      </c>
      <c r="D553" s="437">
        <f t="shared" si="1"/>
        <v>0</v>
      </c>
      <c r="F553" s="438">
        <f t="shared" si="2"/>
        <v>0</v>
      </c>
      <c r="G553" t="str">
        <f t="shared" si="3"/>
        <v/>
      </c>
      <c r="H553" t="b">
        <f t="shared" si="4"/>
        <v>0</v>
      </c>
      <c r="I553" s="439">
        <f>IF(OR(ISBLANK(A553),ISNA(MATCH(A553&amp;"",AthleteNumbers,0))),0,MATCH(A553&amp;"",AthleteNumbers,0))</f>
        <v>0</v>
      </c>
      <c r="J553" s="209">
        <f t="array" ref="J553">IF(I553&gt;0,INDEX(DB,$I553,6),0)</f>
        <v>0</v>
      </c>
      <c r="K553" s="446">
        <f t="shared" si="5"/>
        <v>0</v>
      </c>
      <c r="L553" s="440">
        <f t="shared" si="6"/>
        <v>0</v>
      </c>
      <c r="M553" s="441">
        <f>IF(AND(L553&gt;O553,O553&gt;0),MinPoints,IF(AND(L553&lt;N553,O553&gt;0),100,+INT((O553-$L553)/P553)+MinPoints))</f>
        <v>100</v>
      </c>
      <c r="N553" s="440">
        <f t="shared" si="7"/>
        <v>90</v>
      </c>
      <c r="O553" s="440">
        <f t="shared" si="8"/>
        <v>180</v>
      </c>
      <c r="P553" s="440">
        <f t="shared" si="9"/>
        <v>1</v>
      </c>
      <c r="Q553">
        <f t="array" ref="Q553">IF(I553&gt;0,INDEX(DB,I553,9),EventIndex)</f>
        <v>6</v>
      </c>
      <c r="S553">
        <f t="array" ref="S553">(INT(INDEX(MINVALUES,$Q553,$K$1))*60)+(MOD(INDEX(MINVALUES,$Q553,$K$1),1)*100)</f>
        <v>180</v>
      </c>
      <c r="T553">
        <f t="array" ref="T553">(INDEX(INCVALUES,$Q553,$K$1)*100)</f>
        <v>1</v>
      </c>
      <c r="V553">
        <f t="array" ref="V553">+J553+(4*(INDEX(MatchScoreTable,$Q553,20)-1))</f>
        <v>4</v>
      </c>
      <c r="W553">
        <f t="array" ref="W553">INDEX(INC_MINVALUES,$V553,$K$1)</f>
        <v>480</v>
      </c>
      <c r="X553" s="212">
        <f t="array" ref="X553">INDEX(INC_INCVALUES,$V553,$K$1)</f>
        <v>4</v>
      </c>
    </row>
    <row r="554" ht="15.75" customHeight="1">
      <c r="A554" s="435"/>
      <c r="B554" s="436"/>
      <c r="C554" s="95" t="str">
        <f t="array" ref="C554">IF(I554&gt;0,INDEX(DB,I554,8),"")</f>
        <v/>
      </c>
      <c r="D554" s="437">
        <f t="shared" si="1"/>
        <v>0</v>
      </c>
      <c r="F554" s="438">
        <f t="shared" si="2"/>
        <v>0</v>
      </c>
      <c r="G554" t="str">
        <f t="shared" si="3"/>
        <v/>
      </c>
      <c r="H554" t="b">
        <f t="shared" si="4"/>
        <v>0</v>
      </c>
      <c r="I554" s="439">
        <f>IF(OR(ISBLANK(A554),ISNA(MATCH(A554&amp;"",AthleteNumbers,0))),0,MATCH(A554&amp;"",AthleteNumbers,0))</f>
        <v>0</v>
      </c>
      <c r="J554" s="209">
        <f t="array" ref="J554">IF(I554&gt;0,INDEX(DB,$I554,6),0)</f>
        <v>0</v>
      </c>
      <c r="K554" s="446">
        <f t="shared" si="5"/>
        <v>0</v>
      </c>
      <c r="L554" s="440">
        <f t="shared" si="6"/>
        <v>0</v>
      </c>
      <c r="M554" s="441">
        <f>IF(AND(L554&gt;O554,O554&gt;0),MinPoints,IF(AND(L554&lt;N554,O554&gt;0),100,+INT((O554-$L554)/P554)+MinPoints))</f>
        <v>100</v>
      </c>
      <c r="N554" s="440">
        <f t="shared" si="7"/>
        <v>90</v>
      </c>
      <c r="O554" s="440">
        <f t="shared" si="8"/>
        <v>180</v>
      </c>
      <c r="P554" s="440">
        <f t="shared" si="9"/>
        <v>1</v>
      </c>
      <c r="Q554">
        <f t="array" ref="Q554">IF(I554&gt;0,INDEX(DB,I554,9),EventIndex)</f>
        <v>6</v>
      </c>
      <c r="S554">
        <f t="array" ref="S554">(INT(INDEX(MINVALUES,$Q554,$K$1))*60)+(MOD(INDEX(MINVALUES,$Q554,$K$1),1)*100)</f>
        <v>180</v>
      </c>
      <c r="T554">
        <f t="array" ref="T554">(INDEX(INCVALUES,$Q554,$K$1)*100)</f>
        <v>1</v>
      </c>
      <c r="V554">
        <f t="array" ref="V554">+J554+(4*(INDEX(MatchScoreTable,$Q554,20)-1))</f>
        <v>4</v>
      </c>
      <c r="W554">
        <f t="array" ref="W554">INDEX(INC_MINVALUES,$V554,$K$1)</f>
        <v>480</v>
      </c>
      <c r="X554" s="212">
        <f t="array" ref="X554">INDEX(INC_INCVALUES,$V554,$K$1)</f>
        <v>4</v>
      </c>
    </row>
    <row r="555" ht="15.75" customHeight="1">
      <c r="A555" s="435"/>
      <c r="B555" s="436"/>
      <c r="C555" s="95" t="str">
        <f t="array" ref="C555">IF(I555&gt;0,INDEX(DB,I555,8),"")</f>
        <v/>
      </c>
      <c r="D555" s="437">
        <f t="shared" si="1"/>
        <v>0</v>
      </c>
      <c r="F555" s="438">
        <f t="shared" si="2"/>
        <v>0</v>
      </c>
      <c r="G555" t="str">
        <f t="shared" si="3"/>
        <v/>
      </c>
      <c r="H555" t="b">
        <f t="shared" si="4"/>
        <v>0</v>
      </c>
      <c r="I555" s="439">
        <f>IF(OR(ISBLANK(A555),ISNA(MATCH(A555&amp;"",AthleteNumbers,0))),0,MATCH(A555&amp;"",AthleteNumbers,0))</f>
        <v>0</v>
      </c>
      <c r="J555" s="209">
        <f t="array" ref="J555">IF(I555&gt;0,INDEX(DB,$I555,6),0)</f>
        <v>0</v>
      </c>
      <c r="K555" s="446">
        <f t="shared" si="5"/>
        <v>0</v>
      </c>
      <c r="L555" s="440">
        <f t="shared" si="6"/>
        <v>0</v>
      </c>
      <c r="M555" s="441">
        <f>IF(AND(L555&gt;O555,O555&gt;0),MinPoints,IF(AND(L555&lt;N555,O555&gt;0),100,+INT((O555-$L555)/P555)+MinPoints))</f>
        <v>100</v>
      </c>
      <c r="N555" s="440">
        <f t="shared" si="7"/>
        <v>90</v>
      </c>
      <c r="O555" s="440">
        <f t="shared" si="8"/>
        <v>180</v>
      </c>
      <c r="P555" s="440">
        <f t="shared" si="9"/>
        <v>1</v>
      </c>
      <c r="Q555">
        <f t="array" ref="Q555">IF(I555&gt;0,INDEX(DB,I555,9),EventIndex)</f>
        <v>6</v>
      </c>
      <c r="S555">
        <f t="array" ref="S555">(INT(INDEX(MINVALUES,$Q555,$K$1))*60)+(MOD(INDEX(MINVALUES,$Q555,$K$1),1)*100)</f>
        <v>180</v>
      </c>
      <c r="T555">
        <f t="array" ref="T555">(INDEX(INCVALUES,$Q555,$K$1)*100)</f>
        <v>1</v>
      </c>
      <c r="V555">
        <f t="array" ref="V555">+J555+(4*(INDEX(MatchScoreTable,$Q555,20)-1))</f>
        <v>4</v>
      </c>
      <c r="W555">
        <f t="array" ref="W555">INDEX(INC_MINVALUES,$V555,$K$1)</f>
        <v>480</v>
      </c>
      <c r="X555" s="212">
        <f t="array" ref="X555">INDEX(INC_INCVALUES,$V555,$K$1)</f>
        <v>4</v>
      </c>
    </row>
    <row r="556" ht="15.75" customHeight="1">
      <c r="A556" s="435"/>
      <c r="B556" s="436"/>
      <c r="C556" s="95" t="str">
        <f t="array" ref="C556">IF(I556&gt;0,INDEX(DB,I556,8),"")</f>
        <v/>
      </c>
      <c r="D556" s="437">
        <f t="shared" si="1"/>
        <v>0</v>
      </c>
      <c r="F556" s="438">
        <f t="shared" si="2"/>
        <v>0</v>
      </c>
      <c r="G556" t="str">
        <f t="shared" si="3"/>
        <v/>
      </c>
      <c r="H556" t="b">
        <f t="shared" si="4"/>
        <v>0</v>
      </c>
      <c r="I556" s="439">
        <f>IF(OR(ISBLANK(A556),ISNA(MATCH(A556&amp;"",AthleteNumbers,0))),0,MATCH(A556&amp;"",AthleteNumbers,0))</f>
        <v>0</v>
      </c>
      <c r="J556" s="209">
        <f t="array" ref="J556">IF(I556&gt;0,INDEX(DB,$I556,6),0)</f>
        <v>0</v>
      </c>
      <c r="K556" s="446">
        <f t="shared" si="5"/>
        <v>0</v>
      </c>
      <c r="L556" s="440">
        <f t="shared" si="6"/>
        <v>0</v>
      </c>
      <c r="M556" s="441">
        <f>IF(AND(L556&gt;O556,O556&gt;0),MinPoints,IF(AND(L556&lt;N556,O556&gt;0),100,+INT((O556-$L556)/P556)+MinPoints))</f>
        <v>100</v>
      </c>
      <c r="N556" s="440">
        <f t="shared" si="7"/>
        <v>90</v>
      </c>
      <c r="O556" s="440">
        <f t="shared" si="8"/>
        <v>180</v>
      </c>
      <c r="P556" s="440">
        <f t="shared" si="9"/>
        <v>1</v>
      </c>
      <c r="Q556">
        <f t="array" ref="Q556">IF(I556&gt;0,INDEX(DB,I556,9),EventIndex)</f>
        <v>6</v>
      </c>
      <c r="S556">
        <f t="array" ref="S556">(INT(INDEX(MINVALUES,$Q556,$K$1))*60)+(MOD(INDEX(MINVALUES,$Q556,$K$1),1)*100)</f>
        <v>180</v>
      </c>
      <c r="T556">
        <f t="array" ref="T556">(INDEX(INCVALUES,$Q556,$K$1)*100)</f>
        <v>1</v>
      </c>
      <c r="V556">
        <f t="array" ref="V556">+J556+(4*(INDEX(MatchScoreTable,$Q556,20)-1))</f>
        <v>4</v>
      </c>
      <c r="W556">
        <f t="array" ref="W556">INDEX(INC_MINVALUES,$V556,$K$1)</f>
        <v>480</v>
      </c>
      <c r="X556" s="212">
        <f t="array" ref="X556">INDEX(INC_INCVALUES,$V556,$K$1)</f>
        <v>4</v>
      </c>
    </row>
    <row r="557" ht="15.75" customHeight="1">
      <c r="A557" s="435"/>
      <c r="B557" s="436"/>
      <c r="C557" s="95" t="str">
        <f t="array" ref="C557">IF(I557&gt;0,INDEX(DB,I557,8),"")</f>
        <v/>
      </c>
      <c r="D557" s="437">
        <f t="shared" si="1"/>
        <v>0</v>
      </c>
      <c r="F557" s="438">
        <f t="shared" si="2"/>
        <v>0</v>
      </c>
      <c r="G557" t="str">
        <f t="shared" si="3"/>
        <v/>
      </c>
      <c r="H557" t="b">
        <f t="shared" si="4"/>
        <v>0</v>
      </c>
      <c r="I557" s="439">
        <f>IF(OR(ISBLANK(A557),ISNA(MATCH(A557&amp;"",AthleteNumbers,0))),0,MATCH(A557&amp;"",AthleteNumbers,0))</f>
        <v>0</v>
      </c>
      <c r="J557" s="209">
        <f t="array" ref="J557">IF(I557&gt;0,INDEX(DB,$I557,6),0)</f>
        <v>0</v>
      </c>
      <c r="K557" s="446">
        <f t="shared" si="5"/>
        <v>0</v>
      </c>
      <c r="L557" s="440">
        <f t="shared" si="6"/>
        <v>0</v>
      </c>
      <c r="M557" s="441">
        <f>IF(AND(L557&gt;O557,O557&gt;0),MinPoints,IF(AND(L557&lt;N557,O557&gt;0),100,+INT((O557-$L557)/P557)+MinPoints))</f>
        <v>100</v>
      </c>
      <c r="N557" s="440">
        <f t="shared" si="7"/>
        <v>90</v>
      </c>
      <c r="O557" s="440">
        <f t="shared" si="8"/>
        <v>180</v>
      </c>
      <c r="P557" s="440">
        <f t="shared" si="9"/>
        <v>1</v>
      </c>
      <c r="Q557">
        <f t="array" ref="Q557">IF(I557&gt;0,INDEX(DB,I557,9),EventIndex)</f>
        <v>6</v>
      </c>
      <c r="S557">
        <f t="array" ref="S557">(INT(INDEX(MINVALUES,$Q557,$K$1))*60)+(MOD(INDEX(MINVALUES,$Q557,$K$1),1)*100)</f>
        <v>180</v>
      </c>
      <c r="T557">
        <f t="array" ref="T557">(INDEX(INCVALUES,$Q557,$K$1)*100)</f>
        <v>1</v>
      </c>
      <c r="V557">
        <f t="array" ref="V557">+J557+(4*(INDEX(MatchScoreTable,$Q557,20)-1))</f>
        <v>4</v>
      </c>
      <c r="W557">
        <f t="array" ref="W557">INDEX(INC_MINVALUES,$V557,$K$1)</f>
        <v>480</v>
      </c>
      <c r="X557" s="212">
        <f t="array" ref="X557">INDEX(INC_INCVALUES,$V557,$K$1)</f>
        <v>4</v>
      </c>
    </row>
    <row r="558" ht="15.75" customHeight="1">
      <c r="A558" s="435"/>
      <c r="B558" s="436"/>
      <c r="C558" s="95" t="str">
        <f t="array" ref="C558">IF(I558&gt;0,INDEX(DB,I558,8),"")</f>
        <v/>
      </c>
      <c r="D558" s="437">
        <f t="shared" si="1"/>
        <v>0</v>
      </c>
      <c r="F558" s="438">
        <f t="shared" si="2"/>
        <v>0</v>
      </c>
      <c r="G558" t="str">
        <f t="shared" si="3"/>
        <v/>
      </c>
      <c r="H558" t="b">
        <f t="shared" si="4"/>
        <v>0</v>
      </c>
      <c r="I558" s="439">
        <f>IF(OR(ISBLANK(A558),ISNA(MATCH(A558&amp;"",AthleteNumbers,0))),0,MATCH(A558&amp;"",AthleteNumbers,0))</f>
        <v>0</v>
      </c>
      <c r="J558" s="209">
        <f t="array" ref="J558">IF(I558&gt;0,INDEX(DB,$I558,6),0)</f>
        <v>0</v>
      </c>
      <c r="K558" s="446">
        <f t="shared" si="5"/>
        <v>0</v>
      </c>
      <c r="L558" s="440">
        <f t="shared" si="6"/>
        <v>0</v>
      </c>
      <c r="M558" s="441">
        <f>IF(AND(L558&gt;O558,O558&gt;0),MinPoints,IF(AND(L558&lt;N558,O558&gt;0),100,+INT((O558-$L558)/P558)+MinPoints))</f>
        <v>100</v>
      </c>
      <c r="N558" s="440">
        <f t="shared" si="7"/>
        <v>90</v>
      </c>
      <c r="O558" s="440">
        <f t="shared" si="8"/>
        <v>180</v>
      </c>
      <c r="P558" s="440">
        <f t="shared" si="9"/>
        <v>1</v>
      </c>
      <c r="Q558">
        <f t="array" ref="Q558">IF(I558&gt;0,INDEX(DB,I558,9),EventIndex)</f>
        <v>6</v>
      </c>
      <c r="S558">
        <f t="array" ref="S558">(INT(INDEX(MINVALUES,$Q558,$K$1))*60)+(MOD(INDEX(MINVALUES,$Q558,$K$1),1)*100)</f>
        <v>180</v>
      </c>
      <c r="T558">
        <f t="array" ref="T558">(INDEX(INCVALUES,$Q558,$K$1)*100)</f>
        <v>1</v>
      </c>
      <c r="V558">
        <f t="array" ref="V558">+J558+(4*(INDEX(MatchScoreTable,$Q558,20)-1))</f>
        <v>4</v>
      </c>
      <c r="W558">
        <f t="array" ref="W558">INDEX(INC_MINVALUES,$V558,$K$1)</f>
        <v>480</v>
      </c>
      <c r="X558" s="212">
        <f t="array" ref="X558">INDEX(INC_INCVALUES,$V558,$K$1)</f>
        <v>4</v>
      </c>
    </row>
    <row r="559" ht="15.75" customHeight="1">
      <c r="A559" s="435"/>
      <c r="B559" s="436"/>
      <c r="C559" s="95" t="str">
        <f t="array" ref="C559">IF(I559&gt;0,INDEX(DB,I559,8),"")</f>
        <v/>
      </c>
      <c r="D559" s="437">
        <f t="shared" si="1"/>
        <v>0</v>
      </c>
      <c r="F559" s="438">
        <f t="shared" si="2"/>
        <v>0</v>
      </c>
      <c r="G559" t="str">
        <f t="shared" si="3"/>
        <v/>
      </c>
      <c r="H559" t="b">
        <f t="shared" si="4"/>
        <v>0</v>
      </c>
      <c r="I559" s="439">
        <f>IF(OR(ISBLANK(A559),ISNA(MATCH(A559&amp;"",AthleteNumbers,0))),0,MATCH(A559&amp;"",AthleteNumbers,0))</f>
        <v>0</v>
      </c>
      <c r="J559" s="209">
        <f t="array" ref="J559">IF(I559&gt;0,INDEX(DB,$I559,6),0)</f>
        <v>0</v>
      </c>
      <c r="K559" s="446">
        <f t="shared" si="5"/>
        <v>0</v>
      </c>
      <c r="L559" s="440">
        <f t="shared" si="6"/>
        <v>0</v>
      </c>
      <c r="M559" s="441">
        <f>IF(AND(L559&gt;O559,O559&gt;0),MinPoints,IF(AND(L559&lt;N559,O559&gt;0),100,+INT((O559-$L559)/P559)+MinPoints))</f>
        <v>100</v>
      </c>
      <c r="N559" s="440">
        <f t="shared" si="7"/>
        <v>90</v>
      </c>
      <c r="O559" s="440">
        <f t="shared" si="8"/>
        <v>180</v>
      </c>
      <c r="P559" s="440">
        <f t="shared" si="9"/>
        <v>1</v>
      </c>
      <c r="Q559">
        <f t="array" ref="Q559">IF(I559&gt;0,INDEX(DB,I559,9),EventIndex)</f>
        <v>6</v>
      </c>
      <c r="S559">
        <f t="array" ref="S559">(INT(INDEX(MINVALUES,$Q559,$K$1))*60)+(MOD(INDEX(MINVALUES,$Q559,$K$1),1)*100)</f>
        <v>180</v>
      </c>
      <c r="T559">
        <f t="array" ref="T559">(INDEX(INCVALUES,$Q559,$K$1)*100)</f>
        <v>1</v>
      </c>
      <c r="V559">
        <f t="array" ref="V559">+J559+(4*(INDEX(MatchScoreTable,$Q559,20)-1))</f>
        <v>4</v>
      </c>
      <c r="W559">
        <f t="array" ref="W559">INDEX(INC_MINVALUES,$V559,$K$1)</f>
        <v>480</v>
      </c>
      <c r="X559" s="212">
        <f t="array" ref="X559">INDEX(INC_INCVALUES,$V559,$K$1)</f>
        <v>4</v>
      </c>
    </row>
    <row r="560" ht="15.75" customHeight="1">
      <c r="A560" s="435"/>
      <c r="B560" s="436"/>
      <c r="C560" s="95" t="str">
        <f t="array" ref="C560">IF(I560&gt;0,INDEX(DB,I560,8),"")</f>
        <v/>
      </c>
      <c r="D560" s="437">
        <f t="shared" si="1"/>
        <v>0</v>
      </c>
      <c r="F560" s="438">
        <f t="shared" si="2"/>
        <v>0</v>
      </c>
      <c r="G560" t="str">
        <f t="shared" si="3"/>
        <v/>
      </c>
      <c r="H560" t="b">
        <f t="shared" si="4"/>
        <v>0</v>
      </c>
      <c r="I560" s="439">
        <f>IF(OR(ISBLANK(A560),ISNA(MATCH(A560&amp;"",AthleteNumbers,0))),0,MATCH(A560&amp;"",AthleteNumbers,0))</f>
        <v>0</v>
      </c>
      <c r="J560" s="209">
        <f t="array" ref="J560">IF(I560&gt;0,INDEX(DB,$I560,6),0)</f>
        <v>0</v>
      </c>
      <c r="K560" s="446">
        <f t="shared" si="5"/>
        <v>0</v>
      </c>
      <c r="L560" s="440">
        <f t="shared" si="6"/>
        <v>0</v>
      </c>
      <c r="M560" s="441">
        <f>IF(AND(L560&gt;O560,O560&gt;0),MinPoints,IF(AND(L560&lt;N560,O560&gt;0),100,+INT((O560-$L560)/P560)+MinPoints))</f>
        <v>100</v>
      </c>
      <c r="N560" s="440">
        <f t="shared" si="7"/>
        <v>90</v>
      </c>
      <c r="O560" s="440">
        <f t="shared" si="8"/>
        <v>180</v>
      </c>
      <c r="P560" s="440">
        <f t="shared" si="9"/>
        <v>1</v>
      </c>
      <c r="Q560">
        <f t="array" ref="Q560">IF(I560&gt;0,INDEX(DB,I560,9),EventIndex)</f>
        <v>6</v>
      </c>
      <c r="S560">
        <f t="array" ref="S560">(INT(INDEX(MINVALUES,$Q560,$K$1))*60)+(MOD(INDEX(MINVALUES,$Q560,$K$1),1)*100)</f>
        <v>180</v>
      </c>
      <c r="T560">
        <f t="array" ref="T560">(INDEX(INCVALUES,$Q560,$K$1)*100)</f>
        <v>1</v>
      </c>
      <c r="V560">
        <f t="array" ref="V560">+J560+(4*(INDEX(MatchScoreTable,$Q560,20)-1))</f>
        <v>4</v>
      </c>
      <c r="W560">
        <f t="array" ref="W560">INDEX(INC_MINVALUES,$V560,$K$1)</f>
        <v>480</v>
      </c>
      <c r="X560" s="212">
        <f t="array" ref="X560">INDEX(INC_INCVALUES,$V560,$K$1)</f>
        <v>4</v>
      </c>
    </row>
    <row r="561" ht="15.75" customHeight="1">
      <c r="A561" s="435"/>
      <c r="B561" s="436"/>
      <c r="C561" s="95" t="str">
        <f t="array" ref="C561">IF(I561&gt;0,INDEX(DB,I561,8),"")</f>
        <v/>
      </c>
      <c r="D561" s="437">
        <f t="shared" si="1"/>
        <v>0</v>
      </c>
      <c r="F561" s="438">
        <f t="shared" si="2"/>
        <v>0</v>
      </c>
      <c r="G561" t="str">
        <f t="shared" si="3"/>
        <v/>
      </c>
      <c r="H561" t="b">
        <f t="shared" si="4"/>
        <v>0</v>
      </c>
      <c r="I561" s="439">
        <f>IF(OR(ISBLANK(A561),ISNA(MATCH(A561&amp;"",AthleteNumbers,0))),0,MATCH(A561&amp;"",AthleteNumbers,0))</f>
        <v>0</v>
      </c>
      <c r="J561" s="209">
        <f t="array" ref="J561">IF(I561&gt;0,INDEX(DB,$I561,6),0)</f>
        <v>0</v>
      </c>
      <c r="K561" s="446">
        <f t="shared" si="5"/>
        <v>0</v>
      </c>
      <c r="L561" s="440">
        <f t="shared" si="6"/>
        <v>0</v>
      </c>
      <c r="M561" s="441">
        <f>IF(AND(L561&gt;O561,O561&gt;0),MinPoints,IF(AND(L561&lt;N561,O561&gt;0),100,+INT((O561-$L561)/P561)+MinPoints))</f>
        <v>100</v>
      </c>
      <c r="N561" s="440">
        <f t="shared" si="7"/>
        <v>90</v>
      </c>
      <c r="O561" s="440">
        <f t="shared" si="8"/>
        <v>180</v>
      </c>
      <c r="P561" s="440">
        <f t="shared" si="9"/>
        <v>1</v>
      </c>
      <c r="Q561">
        <f t="array" ref="Q561">IF(I561&gt;0,INDEX(DB,I561,9),EventIndex)</f>
        <v>6</v>
      </c>
      <c r="S561">
        <f t="array" ref="S561">(INT(INDEX(MINVALUES,$Q561,$K$1))*60)+(MOD(INDEX(MINVALUES,$Q561,$K$1),1)*100)</f>
        <v>180</v>
      </c>
      <c r="T561">
        <f t="array" ref="T561">(INDEX(INCVALUES,$Q561,$K$1)*100)</f>
        <v>1</v>
      </c>
      <c r="V561">
        <f t="array" ref="V561">+J561+(4*(INDEX(MatchScoreTable,$Q561,20)-1))</f>
        <v>4</v>
      </c>
      <c r="W561">
        <f t="array" ref="W561">INDEX(INC_MINVALUES,$V561,$K$1)</f>
        <v>480</v>
      </c>
      <c r="X561" s="212">
        <f t="array" ref="X561">INDEX(INC_INCVALUES,$V561,$K$1)</f>
        <v>4</v>
      </c>
    </row>
    <row r="562" ht="15.75" customHeight="1">
      <c r="A562" s="435"/>
      <c r="B562" s="436"/>
      <c r="C562" s="95" t="str">
        <f t="array" ref="C562">IF(I562&gt;0,INDEX(DB,I562,8),"")</f>
        <v/>
      </c>
      <c r="D562" s="437">
        <f t="shared" si="1"/>
        <v>0</v>
      </c>
      <c r="F562" s="438">
        <f t="shared" si="2"/>
        <v>0</v>
      </c>
      <c r="G562" t="str">
        <f t="shared" si="3"/>
        <v/>
      </c>
      <c r="H562" t="b">
        <f t="shared" si="4"/>
        <v>0</v>
      </c>
      <c r="I562" s="439">
        <f>IF(OR(ISBLANK(A562),ISNA(MATCH(A562&amp;"",AthleteNumbers,0))),0,MATCH(A562&amp;"",AthleteNumbers,0))</f>
        <v>0</v>
      </c>
      <c r="J562" s="209">
        <f t="array" ref="J562">IF(I562&gt;0,INDEX(DB,$I562,6),0)</f>
        <v>0</v>
      </c>
      <c r="K562" s="446">
        <f t="shared" si="5"/>
        <v>0</v>
      </c>
      <c r="L562" s="440">
        <f t="shared" si="6"/>
        <v>0</v>
      </c>
      <c r="M562" s="441">
        <f>IF(AND(L562&gt;O562,O562&gt;0),MinPoints,IF(AND(L562&lt;N562,O562&gt;0),100,+INT((O562-$L562)/P562)+MinPoints))</f>
        <v>100</v>
      </c>
      <c r="N562" s="440">
        <f t="shared" si="7"/>
        <v>90</v>
      </c>
      <c r="O562" s="440">
        <f t="shared" si="8"/>
        <v>180</v>
      </c>
      <c r="P562" s="440">
        <f t="shared" si="9"/>
        <v>1</v>
      </c>
      <c r="Q562">
        <f t="array" ref="Q562">IF(I562&gt;0,INDEX(DB,I562,9),EventIndex)</f>
        <v>6</v>
      </c>
      <c r="S562">
        <f t="array" ref="S562">(INT(INDEX(MINVALUES,$Q562,$K$1))*60)+(MOD(INDEX(MINVALUES,$Q562,$K$1),1)*100)</f>
        <v>180</v>
      </c>
      <c r="T562">
        <f t="array" ref="T562">(INDEX(INCVALUES,$Q562,$K$1)*100)</f>
        <v>1</v>
      </c>
      <c r="V562">
        <f t="array" ref="V562">+J562+(4*(INDEX(MatchScoreTable,$Q562,20)-1))</f>
        <v>4</v>
      </c>
      <c r="W562">
        <f t="array" ref="W562">INDEX(INC_MINVALUES,$V562,$K$1)</f>
        <v>480</v>
      </c>
      <c r="X562" s="212">
        <f t="array" ref="X562">INDEX(INC_INCVALUES,$V562,$K$1)</f>
        <v>4</v>
      </c>
    </row>
    <row r="563" ht="15.75" customHeight="1">
      <c r="A563" s="435"/>
      <c r="B563" s="436"/>
      <c r="C563" s="95" t="str">
        <f t="array" ref="C563">IF(I563&gt;0,INDEX(DB,I563,8),"")</f>
        <v/>
      </c>
      <c r="D563" s="437">
        <f t="shared" si="1"/>
        <v>0</v>
      </c>
      <c r="F563" s="438">
        <f t="shared" si="2"/>
        <v>0</v>
      </c>
      <c r="G563" t="str">
        <f t="shared" si="3"/>
        <v/>
      </c>
      <c r="H563" t="b">
        <f t="shared" si="4"/>
        <v>0</v>
      </c>
      <c r="I563" s="439">
        <f>IF(OR(ISBLANK(A563),ISNA(MATCH(A563&amp;"",AthleteNumbers,0))),0,MATCH(A563&amp;"",AthleteNumbers,0))</f>
        <v>0</v>
      </c>
      <c r="J563" s="209">
        <f t="array" ref="J563">IF(I563&gt;0,INDEX(DB,$I563,6),0)</f>
        <v>0</v>
      </c>
      <c r="K563" s="446">
        <f t="shared" si="5"/>
        <v>0</v>
      </c>
      <c r="L563" s="440">
        <f t="shared" si="6"/>
        <v>0</v>
      </c>
      <c r="M563" s="441">
        <f>IF(AND(L563&gt;O563,O563&gt;0),MinPoints,IF(AND(L563&lt;N563,O563&gt;0),100,+INT((O563-$L563)/P563)+MinPoints))</f>
        <v>100</v>
      </c>
      <c r="N563" s="440">
        <f t="shared" si="7"/>
        <v>90</v>
      </c>
      <c r="O563" s="440">
        <f t="shared" si="8"/>
        <v>180</v>
      </c>
      <c r="P563" s="440">
        <f t="shared" si="9"/>
        <v>1</v>
      </c>
      <c r="Q563">
        <f t="array" ref="Q563">IF(I563&gt;0,INDEX(DB,I563,9),EventIndex)</f>
        <v>6</v>
      </c>
      <c r="S563">
        <f t="array" ref="S563">(INT(INDEX(MINVALUES,$Q563,$K$1))*60)+(MOD(INDEX(MINVALUES,$Q563,$K$1),1)*100)</f>
        <v>180</v>
      </c>
      <c r="T563">
        <f t="array" ref="T563">(INDEX(INCVALUES,$Q563,$K$1)*100)</f>
        <v>1</v>
      </c>
      <c r="V563">
        <f t="array" ref="V563">+J563+(4*(INDEX(MatchScoreTable,$Q563,20)-1))</f>
        <v>4</v>
      </c>
      <c r="W563">
        <f t="array" ref="W563">INDEX(INC_MINVALUES,$V563,$K$1)</f>
        <v>480</v>
      </c>
      <c r="X563" s="212">
        <f t="array" ref="X563">INDEX(INC_INCVALUES,$V563,$K$1)</f>
        <v>4</v>
      </c>
    </row>
    <row r="564" ht="15.75" customHeight="1">
      <c r="A564" s="435"/>
      <c r="B564" s="436"/>
      <c r="C564" s="95" t="str">
        <f t="array" ref="C564">IF(I564&gt;0,INDEX(DB,I564,8),"")</f>
        <v/>
      </c>
      <c r="D564" s="437">
        <f t="shared" si="1"/>
        <v>0</v>
      </c>
      <c r="F564" s="438">
        <f t="shared" si="2"/>
        <v>0</v>
      </c>
      <c r="G564" t="str">
        <f t="shared" si="3"/>
        <v/>
      </c>
      <c r="H564" t="b">
        <f t="shared" si="4"/>
        <v>0</v>
      </c>
      <c r="I564" s="439">
        <f>IF(OR(ISBLANK(A564),ISNA(MATCH(A564&amp;"",AthleteNumbers,0))),0,MATCH(A564&amp;"",AthleteNumbers,0))</f>
        <v>0</v>
      </c>
      <c r="J564" s="209">
        <f t="array" ref="J564">IF(I564&gt;0,INDEX(DB,$I564,6),0)</f>
        <v>0</v>
      </c>
      <c r="K564" s="446">
        <f t="shared" si="5"/>
        <v>0</v>
      </c>
      <c r="L564" s="440">
        <f t="shared" si="6"/>
        <v>0</v>
      </c>
      <c r="M564" s="441">
        <f>IF(AND(L564&gt;O564,O564&gt;0),MinPoints,IF(AND(L564&lt;N564,O564&gt;0),100,+INT((O564-$L564)/P564)+MinPoints))</f>
        <v>100</v>
      </c>
      <c r="N564" s="440">
        <f t="shared" si="7"/>
        <v>90</v>
      </c>
      <c r="O564" s="440">
        <f t="shared" si="8"/>
        <v>180</v>
      </c>
      <c r="P564" s="440">
        <f t="shared" si="9"/>
        <v>1</v>
      </c>
      <c r="Q564">
        <f t="array" ref="Q564">IF(I564&gt;0,INDEX(DB,I564,9),EventIndex)</f>
        <v>6</v>
      </c>
      <c r="S564">
        <f t="array" ref="S564">(INT(INDEX(MINVALUES,$Q564,$K$1))*60)+(MOD(INDEX(MINVALUES,$Q564,$K$1),1)*100)</f>
        <v>180</v>
      </c>
      <c r="T564">
        <f t="array" ref="T564">(INDEX(INCVALUES,$Q564,$K$1)*100)</f>
        <v>1</v>
      </c>
      <c r="V564">
        <f t="array" ref="V564">+J564+(4*(INDEX(MatchScoreTable,$Q564,20)-1))</f>
        <v>4</v>
      </c>
      <c r="W564">
        <f t="array" ref="W564">INDEX(INC_MINVALUES,$V564,$K$1)</f>
        <v>480</v>
      </c>
      <c r="X564" s="212">
        <f t="array" ref="X564">INDEX(INC_INCVALUES,$V564,$K$1)</f>
        <v>4</v>
      </c>
    </row>
    <row r="565" ht="15.75" customHeight="1">
      <c r="A565" s="435"/>
      <c r="B565" s="436"/>
      <c r="C565" s="95" t="str">
        <f t="array" ref="C565">IF(I565&gt;0,INDEX(DB,I565,8),"")</f>
        <v/>
      </c>
      <c r="D565" s="437">
        <f t="shared" si="1"/>
        <v>0</v>
      </c>
      <c r="F565" s="438">
        <f t="shared" si="2"/>
        <v>0</v>
      </c>
      <c r="G565" t="str">
        <f t="shared" si="3"/>
        <v/>
      </c>
      <c r="H565" t="b">
        <f t="shared" si="4"/>
        <v>0</v>
      </c>
      <c r="I565" s="439">
        <f>IF(OR(ISBLANK(A565),ISNA(MATCH(A565&amp;"",AthleteNumbers,0))),0,MATCH(A565&amp;"",AthleteNumbers,0))</f>
        <v>0</v>
      </c>
      <c r="J565" s="209">
        <f t="array" ref="J565">IF(I565&gt;0,INDEX(DB,$I565,6),0)</f>
        <v>0</v>
      </c>
      <c r="K565" s="446">
        <f t="shared" si="5"/>
        <v>0</v>
      </c>
      <c r="L565" s="440">
        <f t="shared" si="6"/>
        <v>0</v>
      </c>
      <c r="M565" s="441">
        <f>IF(AND(L565&gt;O565,O565&gt;0),MinPoints,IF(AND(L565&lt;N565,O565&gt;0),100,+INT((O565-$L565)/P565)+MinPoints))</f>
        <v>100</v>
      </c>
      <c r="N565" s="440">
        <f t="shared" si="7"/>
        <v>90</v>
      </c>
      <c r="O565" s="440">
        <f t="shared" si="8"/>
        <v>180</v>
      </c>
      <c r="P565" s="440">
        <f t="shared" si="9"/>
        <v>1</v>
      </c>
      <c r="Q565">
        <f t="array" ref="Q565">IF(I565&gt;0,INDEX(DB,I565,9),EventIndex)</f>
        <v>6</v>
      </c>
      <c r="S565">
        <f t="array" ref="S565">(INT(INDEX(MINVALUES,$Q565,$K$1))*60)+(MOD(INDEX(MINVALUES,$Q565,$K$1),1)*100)</f>
        <v>180</v>
      </c>
      <c r="T565">
        <f t="array" ref="T565">(INDEX(INCVALUES,$Q565,$K$1)*100)</f>
        <v>1</v>
      </c>
      <c r="V565">
        <f t="array" ref="V565">+J565+(4*(INDEX(MatchScoreTable,$Q565,20)-1))</f>
        <v>4</v>
      </c>
      <c r="W565">
        <f t="array" ref="W565">INDEX(INC_MINVALUES,$V565,$K$1)</f>
        <v>480</v>
      </c>
      <c r="X565" s="212">
        <f t="array" ref="X565">INDEX(INC_INCVALUES,$V565,$K$1)</f>
        <v>4</v>
      </c>
    </row>
    <row r="566" ht="15.75" customHeight="1">
      <c r="A566" s="435"/>
      <c r="B566" s="436"/>
      <c r="C566" s="95" t="str">
        <f t="array" ref="C566">IF(I566&gt;0,INDEX(DB,I566,8),"")</f>
        <v/>
      </c>
      <c r="D566" s="437">
        <f t="shared" si="1"/>
        <v>0</v>
      </c>
      <c r="F566" s="438">
        <f t="shared" si="2"/>
        <v>0</v>
      </c>
      <c r="G566" t="str">
        <f t="shared" si="3"/>
        <v/>
      </c>
      <c r="H566" t="b">
        <f t="shared" si="4"/>
        <v>0</v>
      </c>
      <c r="I566" s="439">
        <f>IF(OR(ISBLANK(A566),ISNA(MATCH(A566&amp;"",AthleteNumbers,0))),0,MATCH(A566&amp;"",AthleteNumbers,0))</f>
        <v>0</v>
      </c>
      <c r="J566" s="209">
        <f t="array" ref="J566">IF(I566&gt;0,INDEX(DB,$I566,6),0)</f>
        <v>0</v>
      </c>
      <c r="K566" s="446">
        <f t="shared" si="5"/>
        <v>0</v>
      </c>
      <c r="L566" s="440">
        <f t="shared" si="6"/>
        <v>0</v>
      </c>
      <c r="M566" s="441">
        <f>IF(AND(L566&gt;O566,O566&gt;0),MinPoints,IF(AND(L566&lt;N566,O566&gt;0),100,+INT((O566-$L566)/P566)+MinPoints))</f>
        <v>100</v>
      </c>
      <c r="N566" s="440">
        <f t="shared" si="7"/>
        <v>90</v>
      </c>
      <c r="O566" s="440">
        <f t="shared" si="8"/>
        <v>180</v>
      </c>
      <c r="P566" s="440">
        <f t="shared" si="9"/>
        <v>1</v>
      </c>
      <c r="Q566">
        <f t="array" ref="Q566">IF(I566&gt;0,INDEX(DB,I566,9),EventIndex)</f>
        <v>6</v>
      </c>
      <c r="S566">
        <f t="array" ref="S566">(INT(INDEX(MINVALUES,$Q566,$K$1))*60)+(MOD(INDEX(MINVALUES,$Q566,$K$1),1)*100)</f>
        <v>180</v>
      </c>
      <c r="T566">
        <f t="array" ref="T566">(INDEX(INCVALUES,$Q566,$K$1)*100)</f>
        <v>1</v>
      </c>
      <c r="V566">
        <f t="array" ref="V566">+J566+(4*(INDEX(MatchScoreTable,$Q566,20)-1))</f>
        <v>4</v>
      </c>
      <c r="W566">
        <f t="array" ref="W566">INDEX(INC_MINVALUES,$V566,$K$1)</f>
        <v>480</v>
      </c>
      <c r="X566" s="212">
        <f t="array" ref="X566">INDEX(INC_INCVALUES,$V566,$K$1)</f>
        <v>4</v>
      </c>
    </row>
    <row r="567" ht="15.75" customHeight="1">
      <c r="A567" s="435"/>
      <c r="B567" s="436"/>
      <c r="C567" s="95" t="str">
        <f t="array" ref="C567">IF(I567&gt;0,INDEX(DB,I567,8),"")</f>
        <v/>
      </c>
      <c r="D567" s="437">
        <f t="shared" si="1"/>
        <v>0</v>
      </c>
      <c r="F567" s="438">
        <f t="shared" si="2"/>
        <v>0</v>
      </c>
      <c r="G567" t="str">
        <f t="shared" si="3"/>
        <v/>
      </c>
      <c r="H567" t="b">
        <f t="shared" si="4"/>
        <v>0</v>
      </c>
      <c r="I567" s="439">
        <f>IF(OR(ISBLANK(A567),ISNA(MATCH(A567&amp;"",AthleteNumbers,0))),0,MATCH(A567&amp;"",AthleteNumbers,0))</f>
        <v>0</v>
      </c>
      <c r="J567" s="209">
        <f t="array" ref="J567">IF(I567&gt;0,INDEX(DB,$I567,6),0)</f>
        <v>0</v>
      </c>
      <c r="K567" s="446">
        <f t="shared" si="5"/>
        <v>0</v>
      </c>
      <c r="L567" s="440">
        <f t="shared" si="6"/>
        <v>0</v>
      </c>
      <c r="M567" s="441">
        <f>IF(AND(L567&gt;O567,O567&gt;0),MinPoints,IF(AND(L567&lt;N567,O567&gt;0),100,+INT((O567-$L567)/P567)+MinPoints))</f>
        <v>100</v>
      </c>
      <c r="N567" s="440">
        <f t="shared" si="7"/>
        <v>90</v>
      </c>
      <c r="O567" s="440">
        <f t="shared" si="8"/>
        <v>180</v>
      </c>
      <c r="P567" s="440">
        <f t="shared" si="9"/>
        <v>1</v>
      </c>
      <c r="Q567">
        <f t="array" ref="Q567">IF(I567&gt;0,INDEX(DB,I567,9),EventIndex)</f>
        <v>6</v>
      </c>
      <c r="S567">
        <f t="array" ref="S567">(INT(INDEX(MINVALUES,$Q567,$K$1))*60)+(MOD(INDEX(MINVALUES,$Q567,$K$1),1)*100)</f>
        <v>180</v>
      </c>
      <c r="T567">
        <f t="array" ref="T567">(INDEX(INCVALUES,$Q567,$K$1)*100)</f>
        <v>1</v>
      </c>
      <c r="V567">
        <f t="array" ref="V567">+J567+(4*(INDEX(MatchScoreTable,$Q567,20)-1))</f>
        <v>4</v>
      </c>
      <c r="W567">
        <f t="array" ref="W567">INDEX(INC_MINVALUES,$V567,$K$1)</f>
        <v>480</v>
      </c>
      <c r="X567" s="212">
        <f t="array" ref="X567">INDEX(INC_INCVALUES,$V567,$K$1)</f>
        <v>4</v>
      </c>
    </row>
    <row r="568" ht="15.75" customHeight="1">
      <c r="A568" s="435"/>
      <c r="B568" s="436"/>
      <c r="C568" s="95" t="str">
        <f t="array" ref="C568">IF(I568&gt;0,INDEX(DB,I568,8),"")</f>
        <v/>
      </c>
      <c r="D568" s="437">
        <f t="shared" si="1"/>
        <v>0</v>
      </c>
      <c r="F568" s="438">
        <f t="shared" si="2"/>
        <v>0</v>
      </c>
      <c r="G568" t="str">
        <f t="shared" si="3"/>
        <v/>
      </c>
      <c r="H568" t="b">
        <f t="shared" si="4"/>
        <v>0</v>
      </c>
      <c r="I568" s="439">
        <f>IF(OR(ISBLANK(A568),ISNA(MATCH(A568&amp;"",AthleteNumbers,0))),0,MATCH(A568&amp;"",AthleteNumbers,0))</f>
        <v>0</v>
      </c>
      <c r="J568" s="209">
        <f t="array" ref="J568">IF(I568&gt;0,INDEX(DB,$I568,6),0)</f>
        <v>0</v>
      </c>
      <c r="K568" s="446">
        <f t="shared" si="5"/>
        <v>0</v>
      </c>
      <c r="L568" s="440">
        <f t="shared" si="6"/>
        <v>0</v>
      </c>
      <c r="M568" s="441">
        <f>IF(AND(L568&gt;O568,O568&gt;0),MinPoints,IF(AND(L568&lt;N568,O568&gt;0),100,+INT((O568-$L568)/P568)+MinPoints))</f>
        <v>100</v>
      </c>
      <c r="N568" s="440">
        <f t="shared" si="7"/>
        <v>90</v>
      </c>
      <c r="O568" s="440">
        <f t="shared" si="8"/>
        <v>180</v>
      </c>
      <c r="P568" s="440">
        <f t="shared" si="9"/>
        <v>1</v>
      </c>
      <c r="Q568">
        <f t="array" ref="Q568">IF(I568&gt;0,INDEX(DB,I568,9),EventIndex)</f>
        <v>6</v>
      </c>
      <c r="S568">
        <f t="array" ref="S568">(INT(INDEX(MINVALUES,$Q568,$K$1))*60)+(MOD(INDEX(MINVALUES,$Q568,$K$1),1)*100)</f>
        <v>180</v>
      </c>
      <c r="T568">
        <f t="array" ref="T568">(INDEX(INCVALUES,$Q568,$K$1)*100)</f>
        <v>1</v>
      </c>
      <c r="V568">
        <f t="array" ref="V568">+J568+(4*(INDEX(MatchScoreTable,$Q568,20)-1))</f>
        <v>4</v>
      </c>
      <c r="W568">
        <f t="array" ref="W568">INDEX(INC_MINVALUES,$V568,$K$1)</f>
        <v>480</v>
      </c>
      <c r="X568" s="212">
        <f t="array" ref="X568">INDEX(INC_INCVALUES,$V568,$K$1)</f>
        <v>4</v>
      </c>
    </row>
    <row r="569" ht="15.75" customHeight="1">
      <c r="A569" s="435"/>
      <c r="B569" s="436"/>
      <c r="C569" s="95" t="str">
        <f t="array" ref="C569">IF(I569&gt;0,INDEX(DB,I569,8),"")</f>
        <v/>
      </c>
      <c r="D569" s="437">
        <f t="shared" si="1"/>
        <v>0</v>
      </c>
      <c r="F569" s="438">
        <f t="shared" si="2"/>
        <v>0</v>
      </c>
      <c r="G569" t="str">
        <f t="shared" si="3"/>
        <v/>
      </c>
      <c r="H569" t="b">
        <f t="shared" si="4"/>
        <v>0</v>
      </c>
      <c r="I569" s="439">
        <f>IF(OR(ISBLANK(A569),ISNA(MATCH(A569&amp;"",AthleteNumbers,0))),0,MATCH(A569&amp;"",AthleteNumbers,0))</f>
        <v>0</v>
      </c>
      <c r="J569" s="209">
        <f t="array" ref="J569">IF(I569&gt;0,INDEX(DB,$I569,6),0)</f>
        <v>0</v>
      </c>
      <c r="K569" s="446">
        <f t="shared" si="5"/>
        <v>0</v>
      </c>
      <c r="L569" s="440">
        <f t="shared" si="6"/>
        <v>0</v>
      </c>
      <c r="M569" s="441">
        <f>IF(AND(L569&gt;O569,O569&gt;0),MinPoints,IF(AND(L569&lt;N569,O569&gt;0),100,+INT((O569-$L569)/P569)+MinPoints))</f>
        <v>100</v>
      </c>
      <c r="N569" s="440">
        <f t="shared" si="7"/>
        <v>90</v>
      </c>
      <c r="O569" s="440">
        <f t="shared" si="8"/>
        <v>180</v>
      </c>
      <c r="P569" s="440">
        <f t="shared" si="9"/>
        <v>1</v>
      </c>
      <c r="Q569">
        <f t="array" ref="Q569">IF(I569&gt;0,INDEX(DB,I569,9),EventIndex)</f>
        <v>6</v>
      </c>
      <c r="S569">
        <f t="array" ref="S569">(INT(INDEX(MINVALUES,$Q569,$K$1))*60)+(MOD(INDEX(MINVALUES,$Q569,$K$1),1)*100)</f>
        <v>180</v>
      </c>
      <c r="T569">
        <f t="array" ref="T569">(INDEX(INCVALUES,$Q569,$K$1)*100)</f>
        <v>1</v>
      </c>
      <c r="V569">
        <f t="array" ref="V569">+J569+(4*(INDEX(MatchScoreTable,$Q569,20)-1))</f>
        <v>4</v>
      </c>
      <c r="W569">
        <f t="array" ref="W569">INDEX(INC_MINVALUES,$V569,$K$1)</f>
        <v>480</v>
      </c>
      <c r="X569" s="212">
        <f t="array" ref="X569">INDEX(INC_INCVALUES,$V569,$K$1)</f>
        <v>4</v>
      </c>
    </row>
    <row r="570" ht="15.75" customHeight="1">
      <c r="A570" s="435"/>
      <c r="B570" s="436"/>
      <c r="C570" s="95" t="str">
        <f t="array" ref="C570">IF(I570&gt;0,INDEX(DB,I570,8),"")</f>
        <v/>
      </c>
      <c r="D570" s="437">
        <f t="shared" si="1"/>
        <v>0</v>
      </c>
      <c r="F570" s="438">
        <f t="shared" si="2"/>
        <v>0</v>
      </c>
      <c r="G570" t="str">
        <f t="shared" si="3"/>
        <v/>
      </c>
      <c r="H570" t="b">
        <f t="shared" si="4"/>
        <v>0</v>
      </c>
      <c r="I570" s="439">
        <f>IF(OR(ISBLANK(A570),ISNA(MATCH(A570&amp;"",AthleteNumbers,0))),0,MATCH(A570&amp;"",AthleteNumbers,0))</f>
        <v>0</v>
      </c>
      <c r="J570" s="209">
        <f t="array" ref="J570">IF(I570&gt;0,INDEX(DB,$I570,6),0)</f>
        <v>0</v>
      </c>
      <c r="K570" s="446">
        <f t="shared" si="5"/>
        <v>0</v>
      </c>
      <c r="L570" s="440">
        <f t="shared" si="6"/>
        <v>0</v>
      </c>
      <c r="M570" s="441">
        <f>IF(AND(L570&gt;O570,O570&gt;0),MinPoints,IF(AND(L570&lt;N570,O570&gt;0),100,+INT((O570-$L570)/P570)+MinPoints))</f>
        <v>100</v>
      </c>
      <c r="N570" s="440">
        <f t="shared" si="7"/>
        <v>90</v>
      </c>
      <c r="O570" s="440">
        <f t="shared" si="8"/>
        <v>180</v>
      </c>
      <c r="P570" s="440">
        <f t="shared" si="9"/>
        <v>1</v>
      </c>
      <c r="Q570">
        <f t="array" ref="Q570">IF(I570&gt;0,INDEX(DB,I570,9),EventIndex)</f>
        <v>6</v>
      </c>
      <c r="S570">
        <f t="array" ref="S570">(INT(INDEX(MINVALUES,$Q570,$K$1))*60)+(MOD(INDEX(MINVALUES,$Q570,$K$1),1)*100)</f>
        <v>180</v>
      </c>
      <c r="T570">
        <f t="array" ref="T570">(INDEX(INCVALUES,$Q570,$K$1)*100)</f>
        <v>1</v>
      </c>
      <c r="V570">
        <f t="array" ref="V570">+J570+(4*(INDEX(MatchScoreTable,$Q570,20)-1))</f>
        <v>4</v>
      </c>
      <c r="W570">
        <f t="array" ref="W570">INDEX(INC_MINVALUES,$V570,$K$1)</f>
        <v>480</v>
      </c>
      <c r="X570" s="212">
        <f t="array" ref="X570">INDEX(INC_INCVALUES,$V570,$K$1)</f>
        <v>4</v>
      </c>
    </row>
    <row r="571" ht="15.75" customHeight="1">
      <c r="A571" s="435"/>
      <c r="B571" s="436"/>
      <c r="C571" s="95" t="str">
        <f t="array" ref="C571">IF(I571&gt;0,INDEX(DB,I571,8),"")</f>
        <v/>
      </c>
      <c r="D571" s="437">
        <f t="shared" si="1"/>
        <v>0</v>
      </c>
      <c r="F571" s="438">
        <f t="shared" si="2"/>
        <v>0</v>
      </c>
      <c r="G571" t="str">
        <f t="shared" si="3"/>
        <v/>
      </c>
      <c r="H571" t="b">
        <f t="shared" si="4"/>
        <v>0</v>
      </c>
      <c r="I571" s="439">
        <f>IF(OR(ISBLANK(A571),ISNA(MATCH(A571&amp;"",AthleteNumbers,0))),0,MATCH(A571&amp;"",AthleteNumbers,0))</f>
        <v>0</v>
      </c>
      <c r="J571" s="209">
        <f t="array" ref="J571">IF(I571&gt;0,INDEX(DB,$I571,6),0)</f>
        <v>0</v>
      </c>
      <c r="K571" s="446">
        <f t="shared" si="5"/>
        <v>0</v>
      </c>
      <c r="L571" s="440">
        <f t="shared" si="6"/>
        <v>0</v>
      </c>
      <c r="M571" s="441">
        <f>IF(AND(L571&gt;O571,O571&gt;0),MinPoints,IF(AND(L571&lt;N571,O571&gt;0),100,+INT((O571-$L571)/P571)+MinPoints))</f>
        <v>100</v>
      </c>
      <c r="N571" s="440">
        <f t="shared" si="7"/>
        <v>90</v>
      </c>
      <c r="O571" s="440">
        <f t="shared" si="8"/>
        <v>180</v>
      </c>
      <c r="P571" s="440">
        <f t="shared" si="9"/>
        <v>1</v>
      </c>
      <c r="Q571">
        <f t="array" ref="Q571">IF(I571&gt;0,INDEX(DB,I571,9),EventIndex)</f>
        <v>6</v>
      </c>
      <c r="S571">
        <f t="array" ref="S571">(INT(INDEX(MINVALUES,$Q571,$K$1))*60)+(MOD(INDEX(MINVALUES,$Q571,$K$1),1)*100)</f>
        <v>180</v>
      </c>
      <c r="T571">
        <f t="array" ref="T571">(INDEX(INCVALUES,$Q571,$K$1)*100)</f>
        <v>1</v>
      </c>
      <c r="V571">
        <f t="array" ref="V571">+J571+(4*(INDEX(MatchScoreTable,$Q571,20)-1))</f>
        <v>4</v>
      </c>
      <c r="W571">
        <f t="array" ref="W571">INDEX(INC_MINVALUES,$V571,$K$1)</f>
        <v>480</v>
      </c>
      <c r="X571" s="212">
        <f t="array" ref="X571">INDEX(INC_INCVALUES,$V571,$K$1)</f>
        <v>4</v>
      </c>
    </row>
    <row r="572" ht="15.75" customHeight="1">
      <c r="A572" s="435"/>
      <c r="B572" s="436"/>
      <c r="C572" s="95" t="str">
        <f t="array" ref="C572">IF(I572&gt;0,INDEX(DB,I572,8),"")</f>
        <v/>
      </c>
      <c r="D572" s="437">
        <f t="shared" si="1"/>
        <v>0</v>
      </c>
      <c r="F572" s="438">
        <f t="shared" si="2"/>
        <v>0</v>
      </c>
      <c r="G572" t="str">
        <f t="shared" si="3"/>
        <v/>
      </c>
      <c r="H572" t="b">
        <f t="shared" si="4"/>
        <v>0</v>
      </c>
      <c r="I572" s="439">
        <f>IF(OR(ISBLANK(A572),ISNA(MATCH(A572&amp;"",AthleteNumbers,0))),0,MATCH(A572&amp;"",AthleteNumbers,0))</f>
        <v>0</v>
      </c>
      <c r="J572" s="209">
        <f t="array" ref="J572">IF(I572&gt;0,INDEX(DB,$I572,6),0)</f>
        <v>0</v>
      </c>
      <c r="K572" s="446">
        <f t="shared" si="5"/>
        <v>0</v>
      </c>
      <c r="L572" s="440">
        <f t="shared" si="6"/>
        <v>0</v>
      </c>
      <c r="M572" s="441">
        <f>IF(AND(L572&gt;O572,O572&gt;0),MinPoints,IF(AND(L572&lt;N572,O572&gt;0),100,+INT((O572-$L572)/P572)+MinPoints))</f>
        <v>100</v>
      </c>
      <c r="N572" s="440">
        <f t="shared" si="7"/>
        <v>90</v>
      </c>
      <c r="O572" s="440">
        <f t="shared" si="8"/>
        <v>180</v>
      </c>
      <c r="P572" s="440">
        <f t="shared" si="9"/>
        <v>1</v>
      </c>
      <c r="Q572">
        <f t="array" ref="Q572">IF(I572&gt;0,INDEX(DB,I572,9),EventIndex)</f>
        <v>6</v>
      </c>
      <c r="S572">
        <f t="array" ref="S572">(INT(INDEX(MINVALUES,$Q572,$K$1))*60)+(MOD(INDEX(MINVALUES,$Q572,$K$1),1)*100)</f>
        <v>180</v>
      </c>
      <c r="T572">
        <f t="array" ref="T572">(INDEX(INCVALUES,$Q572,$K$1)*100)</f>
        <v>1</v>
      </c>
      <c r="V572">
        <f t="array" ref="V572">+J572+(4*(INDEX(MatchScoreTable,$Q572,20)-1))</f>
        <v>4</v>
      </c>
      <c r="W572">
        <f t="array" ref="W572">INDEX(INC_MINVALUES,$V572,$K$1)</f>
        <v>480</v>
      </c>
      <c r="X572" s="212">
        <f t="array" ref="X572">INDEX(INC_INCVALUES,$V572,$K$1)</f>
        <v>4</v>
      </c>
    </row>
    <row r="573" ht="15.75" customHeight="1">
      <c r="A573" s="435"/>
      <c r="B573" s="436"/>
      <c r="C573" s="95" t="str">
        <f t="array" ref="C573">IF(I573&gt;0,INDEX(DB,I573,8),"")</f>
        <v/>
      </c>
      <c r="D573" s="437">
        <f t="shared" si="1"/>
        <v>0</v>
      </c>
      <c r="F573" s="438">
        <f t="shared" si="2"/>
        <v>0</v>
      </c>
      <c r="G573" t="str">
        <f t="shared" si="3"/>
        <v/>
      </c>
      <c r="H573" t="b">
        <f t="shared" si="4"/>
        <v>0</v>
      </c>
      <c r="I573" s="439">
        <f>IF(OR(ISBLANK(A573),ISNA(MATCH(A573&amp;"",AthleteNumbers,0))),0,MATCH(A573&amp;"",AthleteNumbers,0))</f>
        <v>0</v>
      </c>
      <c r="J573" s="209">
        <f t="array" ref="J573">IF(I573&gt;0,INDEX(DB,$I573,6),0)</f>
        <v>0</v>
      </c>
      <c r="K573" s="446">
        <f t="shared" si="5"/>
        <v>0</v>
      </c>
      <c r="L573" s="440">
        <f t="shared" si="6"/>
        <v>0</v>
      </c>
      <c r="M573" s="441">
        <f>IF(AND(L573&gt;O573,O573&gt;0),MinPoints,IF(AND(L573&lt;N573,O573&gt;0),100,+INT((O573-$L573)/P573)+MinPoints))</f>
        <v>100</v>
      </c>
      <c r="N573" s="440">
        <f t="shared" si="7"/>
        <v>90</v>
      </c>
      <c r="O573" s="440">
        <f t="shared" si="8"/>
        <v>180</v>
      </c>
      <c r="P573" s="440">
        <f t="shared" si="9"/>
        <v>1</v>
      </c>
      <c r="Q573">
        <f t="array" ref="Q573">IF(I573&gt;0,INDEX(DB,I573,9),EventIndex)</f>
        <v>6</v>
      </c>
      <c r="S573">
        <f t="array" ref="S573">(INT(INDEX(MINVALUES,$Q573,$K$1))*60)+(MOD(INDEX(MINVALUES,$Q573,$K$1),1)*100)</f>
        <v>180</v>
      </c>
      <c r="T573">
        <f t="array" ref="T573">(INDEX(INCVALUES,$Q573,$K$1)*100)</f>
        <v>1</v>
      </c>
      <c r="V573">
        <f t="array" ref="V573">+J573+(4*(INDEX(MatchScoreTable,$Q573,20)-1))</f>
        <v>4</v>
      </c>
      <c r="W573">
        <f t="array" ref="W573">INDEX(INC_MINVALUES,$V573,$K$1)</f>
        <v>480</v>
      </c>
      <c r="X573" s="212">
        <f t="array" ref="X573">INDEX(INC_INCVALUES,$V573,$K$1)</f>
        <v>4</v>
      </c>
    </row>
    <row r="574" ht="15.75" customHeight="1">
      <c r="A574" s="435"/>
      <c r="B574" s="436"/>
      <c r="C574" s="95" t="str">
        <f t="array" ref="C574">IF(I574&gt;0,INDEX(DB,I574,8),"")</f>
        <v/>
      </c>
      <c r="D574" s="437">
        <f t="shared" si="1"/>
        <v>0</v>
      </c>
      <c r="F574" s="438">
        <f t="shared" si="2"/>
        <v>0</v>
      </c>
      <c r="G574" t="str">
        <f t="shared" si="3"/>
        <v/>
      </c>
      <c r="H574" t="b">
        <f t="shared" si="4"/>
        <v>0</v>
      </c>
      <c r="I574" s="439">
        <f>IF(OR(ISBLANK(A574),ISNA(MATCH(A574&amp;"",AthleteNumbers,0))),0,MATCH(A574&amp;"",AthleteNumbers,0))</f>
        <v>0</v>
      </c>
      <c r="J574" s="209">
        <f t="array" ref="J574">IF(I574&gt;0,INDEX(DB,$I574,6),0)</f>
        <v>0</v>
      </c>
      <c r="K574" s="446">
        <f t="shared" si="5"/>
        <v>0</v>
      </c>
      <c r="L574" s="440">
        <f t="shared" si="6"/>
        <v>0</v>
      </c>
      <c r="M574" s="441">
        <f>IF(AND(L574&gt;O574,O574&gt;0),MinPoints,IF(AND(L574&lt;N574,O574&gt;0),100,+INT((O574-$L574)/P574)+MinPoints))</f>
        <v>100</v>
      </c>
      <c r="N574" s="440">
        <f t="shared" si="7"/>
        <v>90</v>
      </c>
      <c r="O574" s="440">
        <f t="shared" si="8"/>
        <v>180</v>
      </c>
      <c r="P574" s="440">
        <f t="shared" si="9"/>
        <v>1</v>
      </c>
      <c r="Q574">
        <f t="array" ref="Q574">IF(I574&gt;0,INDEX(DB,I574,9),EventIndex)</f>
        <v>6</v>
      </c>
      <c r="S574">
        <f t="array" ref="S574">(INT(INDEX(MINVALUES,$Q574,$K$1))*60)+(MOD(INDEX(MINVALUES,$Q574,$K$1),1)*100)</f>
        <v>180</v>
      </c>
      <c r="T574">
        <f t="array" ref="T574">(INDEX(INCVALUES,$Q574,$K$1)*100)</f>
        <v>1</v>
      </c>
      <c r="V574">
        <f t="array" ref="V574">+J574+(4*(INDEX(MatchScoreTable,$Q574,20)-1))</f>
        <v>4</v>
      </c>
      <c r="W574">
        <f t="array" ref="W574">INDEX(INC_MINVALUES,$V574,$K$1)</f>
        <v>480</v>
      </c>
      <c r="X574" s="212">
        <f t="array" ref="X574">INDEX(INC_INCVALUES,$V574,$K$1)</f>
        <v>4</v>
      </c>
    </row>
    <row r="575" ht="15.75" customHeight="1">
      <c r="A575" s="435"/>
      <c r="B575" s="436"/>
      <c r="C575" s="95" t="str">
        <f t="array" ref="C575">IF(I575&gt;0,INDEX(DB,I575,8),"")</f>
        <v/>
      </c>
      <c r="D575" s="437">
        <f t="shared" si="1"/>
        <v>0</v>
      </c>
      <c r="F575" s="438">
        <f t="shared" si="2"/>
        <v>0</v>
      </c>
      <c r="G575" t="str">
        <f t="shared" si="3"/>
        <v/>
      </c>
      <c r="H575" t="b">
        <f t="shared" si="4"/>
        <v>0</v>
      </c>
      <c r="I575" s="439">
        <f>IF(OR(ISBLANK(A575),ISNA(MATCH(A575&amp;"",AthleteNumbers,0))),0,MATCH(A575&amp;"",AthleteNumbers,0))</f>
        <v>0</v>
      </c>
      <c r="J575" s="209">
        <f t="array" ref="J575">IF(I575&gt;0,INDEX(DB,$I575,6),0)</f>
        <v>0</v>
      </c>
      <c r="K575" s="446">
        <f t="shared" si="5"/>
        <v>0</v>
      </c>
      <c r="L575" s="440">
        <f t="shared" si="6"/>
        <v>0</v>
      </c>
      <c r="M575" s="441">
        <f>IF(AND(L575&gt;O575,O575&gt;0),MinPoints,IF(AND(L575&lt;N575,O575&gt;0),100,+INT((O575-$L575)/P575)+MinPoints))</f>
        <v>100</v>
      </c>
      <c r="N575" s="440">
        <f t="shared" si="7"/>
        <v>90</v>
      </c>
      <c r="O575" s="440">
        <f t="shared" si="8"/>
        <v>180</v>
      </c>
      <c r="P575" s="440">
        <f t="shared" si="9"/>
        <v>1</v>
      </c>
      <c r="Q575">
        <f t="array" ref="Q575">IF(I575&gt;0,INDEX(DB,I575,9),EventIndex)</f>
        <v>6</v>
      </c>
      <c r="S575">
        <f t="array" ref="S575">(INT(INDEX(MINVALUES,$Q575,$K$1))*60)+(MOD(INDEX(MINVALUES,$Q575,$K$1),1)*100)</f>
        <v>180</v>
      </c>
      <c r="T575">
        <f t="array" ref="T575">(INDEX(INCVALUES,$Q575,$K$1)*100)</f>
        <v>1</v>
      </c>
      <c r="V575">
        <f t="array" ref="V575">+J575+(4*(INDEX(MatchScoreTable,$Q575,20)-1))</f>
        <v>4</v>
      </c>
      <c r="W575">
        <f t="array" ref="W575">INDEX(INC_MINVALUES,$V575,$K$1)</f>
        <v>480</v>
      </c>
      <c r="X575" s="212">
        <f t="array" ref="X575">INDEX(INC_INCVALUES,$V575,$K$1)</f>
        <v>4</v>
      </c>
    </row>
    <row r="576" ht="15.75" customHeight="1">
      <c r="A576" s="435"/>
      <c r="B576" s="436"/>
      <c r="C576" s="95" t="str">
        <f t="array" ref="C576">IF(I576&gt;0,INDEX(DB,I576,8),"")</f>
        <v/>
      </c>
      <c r="D576" s="437">
        <f t="shared" si="1"/>
        <v>0</v>
      </c>
      <c r="F576" s="438">
        <f t="shared" si="2"/>
        <v>0</v>
      </c>
      <c r="G576" t="str">
        <f t="shared" si="3"/>
        <v/>
      </c>
      <c r="H576" t="b">
        <f t="shared" si="4"/>
        <v>0</v>
      </c>
      <c r="I576" s="439">
        <f>IF(OR(ISBLANK(A576),ISNA(MATCH(A576&amp;"",AthleteNumbers,0))),0,MATCH(A576&amp;"",AthleteNumbers,0))</f>
        <v>0</v>
      </c>
      <c r="J576" s="209">
        <f t="array" ref="J576">IF(I576&gt;0,INDEX(DB,$I576,6),0)</f>
        <v>0</v>
      </c>
      <c r="K576" s="446">
        <f t="shared" si="5"/>
        <v>0</v>
      </c>
      <c r="L576" s="440">
        <f t="shared" si="6"/>
        <v>0</v>
      </c>
      <c r="M576" s="441">
        <f>IF(AND(L576&gt;O576,O576&gt;0),MinPoints,IF(AND(L576&lt;N576,O576&gt;0),100,+INT((O576-$L576)/P576)+MinPoints))</f>
        <v>100</v>
      </c>
      <c r="N576" s="440">
        <f t="shared" si="7"/>
        <v>90</v>
      </c>
      <c r="O576" s="440">
        <f t="shared" si="8"/>
        <v>180</v>
      </c>
      <c r="P576" s="440">
        <f t="shared" si="9"/>
        <v>1</v>
      </c>
      <c r="Q576">
        <f t="array" ref="Q576">IF(I576&gt;0,INDEX(DB,I576,9),EventIndex)</f>
        <v>6</v>
      </c>
      <c r="S576">
        <f t="array" ref="S576">(INT(INDEX(MINVALUES,$Q576,$K$1))*60)+(MOD(INDEX(MINVALUES,$Q576,$K$1),1)*100)</f>
        <v>180</v>
      </c>
      <c r="T576">
        <f t="array" ref="T576">(INDEX(INCVALUES,$Q576,$K$1)*100)</f>
        <v>1</v>
      </c>
      <c r="V576">
        <f t="array" ref="V576">+J576+(4*(INDEX(MatchScoreTable,$Q576,20)-1))</f>
        <v>4</v>
      </c>
      <c r="W576">
        <f t="array" ref="W576">INDEX(INC_MINVALUES,$V576,$K$1)</f>
        <v>480</v>
      </c>
      <c r="X576" s="212">
        <f t="array" ref="X576">INDEX(INC_INCVALUES,$V576,$K$1)</f>
        <v>4</v>
      </c>
    </row>
    <row r="577" ht="15.75" customHeight="1">
      <c r="A577" s="435"/>
      <c r="B577" s="436"/>
      <c r="C577" s="95" t="str">
        <f t="array" ref="C577">IF(I577&gt;0,INDEX(DB,I577,8),"")</f>
        <v/>
      </c>
      <c r="D577" s="437">
        <f t="shared" si="1"/>
        <v>0</v>
      </c>
      <c r="F577" s="438">
        <f t="shared" si="2"/>
        <v>0</v>
      </c>
      <c r="G577" t="str">
        <f t="shared" si="3"/>
        <v/>
      </c>
      <c r="H577" t="b">
        <f t="shared" si="4"/>
        <v>0</v>
      </c>
      <c r="I577" s="439">
        <f>IF(OR(ISBLANK(A577),ISNA(MATCH(A577&amp;"",AthleteNumbers,0))),0,MATCH(A577&amp;"",AthleteNumbers,0))</f>
        <v>0</v>
      </c>
      <c r="J577" s="209">
        <f t="array" ref="J577">IF(I577&gt;0,INDEX(DB,$I577,6),0)</f>
        <v>0</v>
      </c>
      <c r="K577" s="446">
        <f t="shared" si="5"/>
        <v>0</v>
      </c>
      <c r="L577" s="440">
        <f t="shared" si="6"/>
        <v>0</v>
      </c>
      <c r="M577" s="441">
        <f>IF(AND(L577&gt;O577,O577&gt;0),MinPoints,IF(AND(L577&lt;N577,O577&gt;0),100,+INT((O577-$L577)/P577)+MinPoints))</f>
        <v>100</v>
      </c>
      <c r="N577" s="440">
        <f t="shared" si="7"/>
        <v>90</v>
      </c>
      <c r="O577" s="440">
        <f t="shared" si="8"/>
        <v>180</v>
      </c>
      <c r="P577" s="440">
        <f t="shared" si="9"/>
        <v>1</v>
      </c>
      <c r="Q577">
        <f t="array" ref="Q577">IF(I577&gt;0,INDEX(DB,I577,9),EventIndex)</f>
        <v>6</v>
      </c>
      <c r="S577">
        <f t="array" ref="S577">(INT(INDEX(MINVALUES,$Q577,$K$1))*60)+(MOD(INDEX(MINVALUES,$Q577,$K$1),1)*100)</f>
        <v>180</v>
      </c>
      <c r="T577">
        <f t="array" ref="T577">(INDEX(INCVALUES,$Q577,$K$1)*100)</f>
        <v>1</v>
      </c>
      <c r="V577">
        <f t="array" ref="V577">+J577+(4*(INDEX(MatchScoreTable,$Q577,20)-1))</f>
        <v>4</v>
      </c>
      <c r="W577">
        <f t="array" ref="W577">INDEX(INC_MINVALUES,$V577,$K$1)</f>
        <v>480</v>
      </c>
      <c r="X577" s="212">
        <f t="array" ref="X577">INDEX(INC_INCVALUES,$V577,$K$1)</f>
        <v>4</v>
      </c>
    </row>
    <row r="578" ht="15.75" customHeight="1">
      <c r="A578" s="435"/>
      <c r="B578" s="436"/>
      <c r="C578" s="95" t="str">
        <f t="array" ref="C578">IF(I578&gt;0,INDEX(DB,I578,8),"")</f>
        <v/>
      </c>
      <c r="D578" s="437">
        <f t="shared" si="1"/>
        <v>0</v>
      </c>
      <c r="F578" s="438">
        <f t="shared" si="2"/>
        <v>0</v>
      </c>
      <c r="G578" t="str">
        <f t="shared" si="3"/>
        <v/>
      </c>
      <c r="H578" t="b">
        <f t="shared" si="4"/>
        <v>0</v>
      </c>
      <c r="I578" s="439">
        <f>IF(OR(ISBLANK(A578),ISNA(MATCH(A578&amp;"",AthleteNumbers,0))),0,MATCH(A578&amp;"",AthleteNumbers,0))</f>
        <v>0</v>
      </c>
      <c r="J578" s="209">
        <f t="array" ref="J578">IF(I578&gt;0,INDEX(DB,$I578,6),0)</f>
        <v>0</v>
      </c>
      <c r="K578" s="446">
        <f t="shared" si="5"/>
        <v>0</v>
      </c>
      <c r="L578" s="440">
        <f t="shared" si="6"/>
        <v>0</v>
      </c>
      <c r="M578" s="441">
        <f>IF(AND(L578&gt;O578,O578&gt;0),MinPoints,IF(AND(L578&lt;N578,O578&gt;0),100,+INT((O578-$L578)/P578)+MinPoints))</f>
        <v>100</v>
      </c>
      <c r="N578" s="440">
        <f t="shared" si="7"/>
        <v>90</v>
      </c>
      <c r="O578" s="440">
        <f t="shared" si="8"/>
        <v>180</v>
      </c>
      <c r="P578" s="440">
        <f t="shared" si="9"/>
        <v>1</v>
      </c>
      <c r="Q578">
        <f t="array" ref="Q578">IF(I578&gt;0,INDEX(DB,I578,9),EventIndex)</f>
        <v>6</v>
      </c>
      <c r="S578">
        <f t="array" ref="S578">(INT(INDEX(MINVALUES,$Q578,$K$1))*60)+(MOD(INDEX(MINVALUES,$Q578,$K$1),1)*100)</f>
        <v>180</v>
      </c>
      <c r="T578">
        <f t="array" ref="T578">(INDEX(INCVALUES,$Q578,$K$1)*100)</f>
        <v>1</v>
      </c>
      <c r="V578">
        <f t="array" ref="V578">+J578+(4*(INDEX(MatchScoreTable,$Q578,20)-1))</f>
        <v>4</v>
      </c>
      <c r="W578">
        <f t="array" ref="W578">INDEX(INC_MINVALUES,$V578,$K$1)</f>
        <v>480</v>
      </c>
      <c r="X578" s="212">
        <f t="array" ref="X578">INDEX(INC_INCVALUES,$V578,$K$1)</f>
        <v>4</v>
      </c>
    </row>
    <row r="579" ht="15.75" customHeight="1">
      <c r="A579" s="435"/>
      <c r="B579" s="436"/>
      <c r="C579" s="95" t="str">
        <f t="array" ref="C579">IF(I579&gt;0,INDEX(DB,I579,8),"")</f>
        <v/>
      </c>
      <c r="D579" s="437">
        <f t="shared" si="1"/>
        <v>0</v>
      </c>
      <c r="F579" s="438">
        <f t="shared" si="2"/>
        <v>0</v>
      </c>
      <c r="G579" t="str">
        <f t="shared" si="3"/>
        <v/>
      </c>
      <c r="H579" t="b">
        <f t="shared" si="4"/>
        <v>0</v>
      </c>
      <c r="I579" s="439">
        <f>IF(OR(ISBLANK(A579),ISNA(MATCH(A579&amp;"",AthleteNumbers,0))),0,MATCH(A579&amp;"",AthleteNumbers,0))</f>
        <v>0</v>
      </c>
      <c r="J579" s="209">
        <f t="array" ref="J579">IF(I579&gt;0,INDEX(DB,$I579,6),0)</f>
        <v>0</v>
      </c>
      <c r="K579" s="446">
        <f t="shared" si="5"/>
        <v>0</v>
      </c>
      <c r="L579" s="440">
        <f t="shared" si="6"/>
        <v>0</v>
      </c>
      <c r="M579" s="441">
        <f>IF(AND(L579&gt;O579,O579&gt;0),MinPoints,IF(AND(L579&lt;N579,O579&gt;0),100,+INT((O579-$L579)/P579)+MinPoints))</f>
        <v>100</v>
      </c>
      <c r="N579" s="440">
        <f t="shared" si="7"/>
        <v>90</v>
      </c>
      <c r="O579" s="440">
        <f t="shared" si="8"/>
        <v>180</v>
      </c>
      <c r="P579" s="440">
        <f t="shared" si="9"/>
        <v>1</v>
      </c>
      <c r="Q579">
        <f t="array" ref="Q579">IF(I579&gt;0,INDEX(DB,I579,9),EventIndex)</f>
        <v>6</v>
      </c>
      <c r="S579">
        <f t="array" ref="S579">(INT(INDEX(MINVALUES,$Q579,$K$1))*60)+(MOD(INDEX(MINVALUES,$Q579,$K$1),1)*100)</f>
        <v>180</v>
      </c>
      <c r="T579">
        <f t="array" ref="T579">(INDEX(INCVALUES,$Q579,$K$1)*100)</f>
        <v>1</v>
      </c>
      <c r="V579">
        <f t="array" ref="V579">+J579+(4*(INDEX(MatchScoreTable,$Q579,20)-1))</f>
        <v>4</v>
      </c>
      <c r="W579">
        <f t="array" ref="W579">INDEX(INC_MINVALUES,$V579,$K$1)</f>
        <v>480</v>
      </c>
      <c r="X579" s="212">
        <f t="array" ref="X579">INDEX(INC_INCVALUES,$V579,$K$1)</f>
        <v>4</v>
      </c>
    </row>
    <row r="580" ht="15.75" customHeight="1">
      <c r="A580" s="435"/>
      <c r="B580" s="436"/>
      <c r="C580" s="95" t="str">
        <f t="array" ref="C580">IF(I580&gt;0,INDEX(DB,I580,8),"")</f>
        <v/>
      </c>
      <c r="D580" s="437">
        <f t="shared" si="1"/>
        <v>0</v>
      </c>
      <c r="F580" s="438">
        <f t="shared" si="2"/>
        <v>0</v>
      </c>
      <c r="G580" t="str">
        <f t="shared" si="3"/>
        <v/>
      </c>
      <c r="H580" t="b">
        <f t="shared" si="4"/>
        <v>0</v>
      </c>
      <c r="I580" s="439">
        <f>IF(OR(ISBLANK(A580),ISNA(MATCH(A580&amp;"",AthleteNumbers,0))),0,MATCH(A580&amp;"",AthleteNumbers,0))</f>
        <v>0</v>
      </c>
      <c r="J580" s="209">
        <f t="array" ref="J580">IF(I580&gt;0,INDEX(DB,$I580,6),0)</f>
        <v>0</v>
      </c>
      <c r="K580" s="446">
        <f t="shared" si="5"/>
        <v>0</v>
      </c>
      <c r="L580" s="440">
        <f t="shared" si="6"/>
        <v>0</v>
      </c>
      <c r="M580" s="441">
        <f>IF(AND(L580&gt;O580,O580&gt;0),MinPoints,IF(AND(L580&lt;N580,O580&gt;0),100,+INT((O580-$L580)/P580)+MinPoints))</f>
        <v>100</v>
      </c>
      <c r="N580" s="440">
        <f t="shared" si="7"/>
        <v>90</v>
      </c>
      <c r="O580" s="440">
        <f t="shared" si="8"/>
        <v>180</v>
      </c>
      <c r="P580" s="440">
        <f t="shared" si="9"/>
        <v>1</v>
      </c>
      <c r="Q580">
        <f t="array" ref="Q580">IF(I580&gt;0,INDEX(DB,I580,9),EventIndex)</f>
        <v>6</v>
      </c>
      <c r="S580">
        <f t="array" ref="S580">(INT(INDEX(MINVALUES,$Q580,$K$1))*60)+(MOD(INDEX(MINVALUES,$Q580,$K$1),1)*100)</f>
        <v>180</v>
      </c>
      <c r="T580">
        <f t="array" ref="T580">(INDEX(INCVALUES,$Q580,$K$1)*100)</f>
        <v>1</v>
      </c>
      <c r="V580">
        <f t="array" ref="V580">+J580+(4*(INDEX(MatchScoreTable,$Q580,20)-1))</f>
        <v>4</v>
      </c>
      <c r="W580">
        <f t="array" ref="W580">INDEX(INC_MINVALUES,$V580,$K$1)</f>
        <v>480</v>
      </c>
      <c r="X580" s="212">
        <f t="array" ref="X580">INDEX(INC_INCVALUES,$V580,$K$1)</f>
        <v>4</v>
      </c>
    </row>
    <row r="581" ht="15.75" customHeight="1">
      <c r="A581" s="435"/>
      <c r="B581" s="436"/>
      <c r="C581" s="95" t="str">
        <f t="array" ref="C581">IF(I581&gt;0,INDEX(DB,I581,8),"")</f>
        <v/>
      </c>
      <c r="D581" s="437">
        <f t="shared" si="1"/>
        <v>0</v>
      </c>
      <c r="F581" s="438">
        <f t="shared" si="2"/>
        <v>0</v>
      </c>
      <c r="G581" t="str">
        <f t="shared" si="3"/>
        <v/>
      </c>
      <c r="H581" t="b">
        <f t="shared" si="4"/>
        <v>0</v>
      </c>
      <c r="I581" s="439">
        <f>IF(OR(ISBLANK(A581),ISNA(MATCH(A581&amp;"",AthleteNumbers,0))),0,MATCH(A581&amp;"",AthleteNumbers,0))</f>
        <v>0</v>
      </c>
      <c r="J581" s="209">
        <f t="array" ref="J581">IF(I581&gt;0,INDEX(DB,$I581,6),0)</f>
        <v>0</v>
      </c>
      <c r="K581" s="446">
        <f t="shared" si="5"/>
        <v>0</v>
      </c>
      <c r="L581" s="440">
        <f t="shared" si="6"/>
        <v>0</v>
      </c>
      <c r="M581" s="441">
        <f>IF(AND(L581&gt;O581,O581&gt;0),MinPoints,IF(AND(L581&lt;N581,O581&gt;0),100,+INT((O581-$L581)/P581)+MinPoints))</f>
        <v>100</v>
      </c>
      <c r="N581" s="440">
        <f t="shared" si="7"/>
        <v>90</v>
      </c>
      <c r="O581" s="440">
        <f t="shared" si="8"/>
        <v>180</v>
      </c>
      <c r="P581" s="440">
        <f t="shared" si="9"/>
        <v>1</v>
      </c>
      <c r="Q581">
        <f t="array" ref="Q581">IF(I581&gt;0,INDEX(DB,I581,9),EventIndex)</f>
        <v>6</v>
      </c>
      <c r="S581">
        <f t="array" ref="S581">(INT(INDEX(MINVALUES,$Q581,$K$1))*60)+(MOD(INDEX(MINVALUES,$Q581,$K$1),1)*100)</f>
        <v>180</v>
      </c>
      <c r="T581">
        <f t="array" ref="T581">(INDEX(INCVALUES,$Q581,$K$1)*100)</f>
        <v>1</v>
      </c>
      <c r="V581">
        <f t="array" ref="V581">+J581+(4*(INDEX(MatchScoreTable,$Q581,20)-1))</f>
        <v>4</v>
      </c>
      <c r="W581">
        <f t="array" ref="W581">INDEX(INC_MINVALUES,$V581,$K$1)</f>
        <v>480</v>
      </c>
      <c r="X581" s="212">
        <f t="array" ref="X581">INDEX(INC_INCVALUES,$V581,$K$1)</f>
        <v>4</v>
      </c>
    </row>
    <row r="582" ht="15.75" customHeight="1">
      <c r="A582" s="435"/>
      <c r="B582" s="436"/>
      <c r="C582" s="95" t="str">
        <f t="array" ref="C582">IF(I582&gt;0,INDEX(DB,I582,8),"")</f>
        <v/>
      </c>
      <c r="D582" s="437">
        <f t="shared" si="1"/>
        <v>0</v>
      </c>
      <c r="F582" s="438">
        <f t="shared" si="2"/>
        <v>0</v>
      </c>
      <c r="G582" t="str">
        <f t="shared" si="3"/>
        <v/>
      </c>
      <c r="H582" t="b">
        <f t="shared" si="4"/>
        <v>0</v>
      </c>
      <c r="I582" s="439">
        <f>IF(OR(ISBLANK(A582),ISNA(MATCH(A582&amp;"",AthleteNumbers,0))),0,MATCH(A582&amp;"",AthleteNumbers,0))</f>
        <v>0</v>
      </c>
      <c r="J582" s="209">
        <f t="array" ref="J582">IF(I582&gt;0,INDEX(DB,$I582,6),0)</f>
        <v>0</v>
      </c>
      <c r="K582" s="446">
        <f t="shared" si="5"/>
        <v>0</v>
      </c>
      <c r="L582" s="440">
        <f t="shared" si="6"/>
        <v>0</v>
      </c>
      <c r="M582" s="441">
        <f>IF(AND(L582&gt;O582,O582&gt;0),MinPoints,IF(AND(L582&lt;N582,O582&gt;0),100,+INT((O582-$L582)/P582)+MinPoints))</f>
        <v>100</v>
      </c>
      <c r="N582" s="440">
        <f t="shared" si="7"/>
        <v>90</v>
      </c>
      <c r="O582" s="440">
        <f t="shared" si="8"/>
        <v>180</v>
      </c>
      <c r="P582" s="440">
        <f t="shared" si="9"/>
        <v>1</v>
      </c>
      <c r="Q582">
        <f t="array" ref="Q582">IF(I582&gt;0,INDEX(DB,I582,9),EventIndex)</f>
        <v>6</v>
      </c>
      <c r="S582">
        <f t="array" ref="S582">(INT(INDEX(MINVALUES,$Q582,$K$1))*60)+(MOD(INDEX(MINVALUES,$Q582,$K$1),1)*100)</f>
        <v>180</v>
      </c>
      <c r="T582">
        <f t="array" ref="T582">(INDEX(INCVALUES,$Q582,$K$1)*100)</f>
        <v>1</v>
      </c>
      <c r="V582">
        <f t="array" ref="V582">+J582+(4*(INDEX(MatchScoreTable,$Q582,20)-1))</f>
        <v>4</v>
      </c>
      <c r="W582">
        <f t="array" ref="W582">INDEX(INC_MINVALUES,$V582,$K$1)</f>
        <v>480</v>
      </c>
      <c r="X582" s="212">
        <f t="array" ref="X582">INDEX(INC_INCVALUES,$V582,$K$1)</f>
        <v>4</v>
      </c>
    </row>
    <row r="583" ht="15.75" customHeight="1">
      <c r="A583" s="435"/>
      <c r="B583" s="436"/>
      <c r="C583" s="95" t="str">
        <f t="array" ref="C583">IF(I583&gt;0,INDEX(DB,I583,8),"")</f>
        <v/>
      </c>
      <c r="D583" s="437">
        <f t="shared" si="1"/>
        <v>0</v>
      </c>
      <c r="F583" s="438">
        <f t="shared" si="2"/>
        <v>0</v>
      </c>
      <c r="G583" t="str">
        <f t="shared" si="3"/>
        <v/>
      </c>
      <c r="H583" t="b">
        <f t="shared" si="4"/>
        <v>0</v>
      </c>
      <c r="I583" s="439">
        <f>IF(OR(ISBLANK(A583),ISNA(MATCH(A583&amp;"",AthleteNumbers,0))),0,MATCH(A583&amp;"",AthleteNumbers,0))</f>
        <v>0</v>
      </c>
      <c r="J583" s="209">
        <f t="array" ref="J583">IF(I583&gt;0,INDEX(DB,$I583,6),0)</f>
        <v>0</v>
      </c>
      <c r="K583" s="446">
        <f t="shared" si="5"/>
        <v>0</v>
      </c>
      <c r="L583" s="440">
        <f t="shared" si="6"/>
        <v>0</v>
      </c>
      <c r="M583" s="441">
        <f>IF(AND(L583&gt;O583,O583&gt;0),MinPoints,IF(AND(L583&lt;N583,O583&gt;0),100,+INT((O583-$L583)/P583)+MinPoints))</f>
        <v>100</v>
      </c>
      <c r="N583" s="440">
        <f t="shared" si="7"/>
        <v>90</v>
      </c>
      <c r="O583" s="440">
        <f t="shared" si="8"/>
        <v>180</v>
      </c>
      <c r="P583" s="440">
        <f t="shared" si="9"/>
        <v>1</v>
      </c>
      <c r="Q583">
        <f t="array" ref="Q583">IF(I583&gt;0,INDEX(DB,I583,9),EventIndex)</f>
        <v>6</v>
      </c>
      <c r="S583">
        <f t="array" ref="S583">(INT(INDEX(MINVALUES,$Q583,$K$1))*60)+(MOD(INDEX(MINVALUES,$Q583,$K$1),1)*100)</f>
        <v>180</v>
      </c>
      <c r="T583">
        <f t="array" ref="T583">(INDEX(INCVALUES,$Q583,$K$1)*100)</f>
        <v>1</v>
      </c>
      <c r="V583">
        <f t="array" ref="V583">+J583+(4*(INDEX(MatchScoreTable,$Q583,20)-1))</f>
        <v>4</v>
      </c>
      <c r="W583">
        <f t="array" ref="W583">INDEX(INC_MINVALUES,$V583,$K$1)</f>
        <v>480</v>
      </c>
      <c r="X583" s="212">
        <f t="array" ref="X583">INDEX(INC_INCVALUES,$V583,$K$1)</f>
        <v>4</v>
      </c>
    </row>
    <row r="584" ht="15.75" customHeight="1">
      <c r="A584" s="435"/>
      <c r="B584" s="436"/>
      <c r="C584" s="95" t="str">
        <f t="array" ref="C584">IF(I584&gt;0,INDEX(DB,I584,8),"")</f>
        <v/>
      </c>
      <c r="D584" s="437">
        <f t="shared" si="1"/>
        <v>0</v>
      </c>
      <c r="F584" s="438">
        <f t="shared" si="2"/>
        <v>0</v>
      </c>
      <c r="G584" t="str">
        <f t="shared" si="3"/>
        <v/>
      </c>
      <c r="H584" t="b">
        <f t="shared" si="4"/>
        <v>0</v>
      </c>
      <c r="I584" s="439">
        <f>IF(OR(ISBLANK(A584),ISNA(MATCH(A584&amp;"",AthleteNumbers,0))),0,MATCH(A584&amp;"",AthleteNumbers,0))</f>
        <v>0</v>
      </c>
      <c r="J584" s="209">
        <f t="array" ref="J584">IF(I584&gt;0,INDEX(DB,$I584,6),0)</f>
        <v>0</v>
      </c>
      <c r="K584" s="446">
        <f t="shared" si="5"/>
        <v>0</v>
      </c>
      <c r="L584" s="440">
        <f t="shared" si="6"/>
        <v>0</v>
      </c>
      <c r="M584" s="441">
        <f>IF(AND(L584&gt;O584,O584&gt;0),MinPoints,IF(AND(L584&lt;N584,O584&gt;0),100,+INT((O584-$L584)/P584)+MinPoints))</f>
        <v>100</v>
      </c>
      <c r="N584" s="440">
        <f t="shared" si="7"/>
        <v>90</v>
      </c>
      <c r="O584" s="440">
        <f t="shared" si="8"/>
        <v>180</v>
      </c>
      <c r="P584" s="440">
        <f t="shared" si="9"/>
        <v>1</v>
      </c>
      <c r="Q584">
        <f t="array" ref="Q584">IF(I584&gt;0,INDEX(DB,I584,9),EventIndex)</f>
        <v>6</v>
      </c>
      <c r="S584">
        <f t="array" ref="S584">(INT(INDEX(MINVALUES,$Q584,$K$1))*60)+(MOD(INDEX(MINVALUES,$Q584,$K$1),1)*100)</f>
        <v>180</v>
      </c>
      <c r="T584">
        <f t="array" ref="T584">(INDEX(INCVALUES,$Q584,$K$1)*100)</f>
        <v>1</v>
      </c>
      <c r="V584">
        <f t="array" ref="V584">+J584+(4*(INDEX(MatchScoreTable,$Q584,20)-1))</f>
        <v>4</v>
      </c>
      <c r="W584">
        <f t="array" ref="W584">INDEX(INC_MINVALUES,$V584,$K$1)</f>
        <v>480</v>
      </c>
      <c r="X584" s="212">
        <f t="array" ref="X584">INDEX(INC_INCVALUES,$V584,$K$1)</f>
        <v>4</v>
      </c>
    </row>
    <row r="585" ht="15.75" customHeight="1">
      <c r="A585" s="435"/>
      <c r="B585" s="436"/>
      <c r="C585" s="95" t="str">
        <f t="array" ref="C585">IF(I585&gt;0,INDEX(DB,I585,8),"")</f>
        <v/>
      </c>
      <c r="D585" s="437">
        <f t="shared" si="1"/>
        <v>0</v>
      </c>
      <c r="F585" s="438">
        <f t="shared" si="2"/>
        <v>0</v>
      </c>
      <c r="G585" t="str">
        <f t="shared" si="3"/>
        <v/>
      </c>
      <c r="H585" t="b">
        <f t="shared" si="4"/>
        <v>0</v>
      </c>
      <c r="I585" s="439">
        <f>IF(OR(ISBLANK(A585),ISNA(MATCH(A585&amp;"",AthleteNumbers,0))),0,MATCH(A585&amp;"",AthleteNumbers,0))</f>
        <v>0</v>
      </c>
      <c r="J585" s="209">
        <f t="array" ref="J585">IF(I585&gt;0,INDEX(DB,$I585,6),0)</f>
        <v>0</v>
      </c>
      <c r="K585" s="446">
        <f t="shared" si="5"/>
        <v>0</v>
      </c>
      <c r="L585" s="440">
        <f t="shared" si="6"/>
        <v>0</v>
      </c>
      <c r="M585" s="441">
        <f>IF(AND(L585&gt;O585,O585&gt;0),MinPoints,IF(AND(L585&lt;N585,O585&gt;0),100,+INT((O585-$L585)/P585)+MinPoints))</f>
        <v>100</v>
      </c>
      <c r="N585" s="440">
        <f t="shared" si="7"/>
        <v>90</v>
      </c>
      <c r="O585" s="440">
        <f t="shared" si="8"/>
        <v>180</v>
      </c>
      <c r="P585" s="440">
        <f t="shared" si="9"/>
        <v>1</v>
      </c>
      <c r="Q585">
        <f t="array" ref="Q585">IF(I585&gt;0,INDEX(DB,I585,9),EventIndex)</f>
        <v>6</v>
      </c>
      <c r="S585">
        <f t="array" ref="S585">(INT(INDEX(MINVALUES,$Q585,$K$1))*60)+(MOD(INDEX(MINVALUES,$Q585,$K$1),1)*100)</f>
        <v>180</v>
      </c>
      <c r="T585">
        <f t="array" ref="T585">(INDEX(INCVALUES,$Q585,$K$1)*100)</f>
        <v>1</v>
      </c>
      <c r="V585">
        <f t="array" ref="V585">+J585+(4*(INDEX(MatchScoreTable,$Q585,20)-1))</f>
        <v>4</v>
      </c>
      <c r="W585">
        <f t="array" ref="W585">INDEX(INC_MINVALUES,$V585,$K$1)</f>
        <v>480</v>
      </c>
      <c r="X585" s="212">
        <f t="array" ref="X585">INDEX(INC_INCVALUES,$V585,$K$1)</f>
        <v>4</v>
      </c>
    </row>
    <row r="586" ht="15.75" customHeight="1">
      <c r="A586" s="435"/>
      <c r="B586" s="436"/>
      <c r="C586" s="95" t="str">
        <f t="array" ref="C586">IF(I586&gt;0,INDEX(DB,I586,8),"")</f>
        <v/>
      </c>
      <c r="D586" s="437">
        <f t="shared" si="1"/>
        <v>0</v>
      </c>
      <c r="F586" s="438">
        <f t="shared" si="2"/>
        <v>0</v>
      </c>
      <c r="G586" t="str">
        <f t="shared" si="3"/>
        <v/>
      </c>
      <c r="H586" t="b">
        <f t="shared" si="4"/>
        <v>0</v>
      </c>
      <c r="I586" s="439">
        <f>IF(OR(ISBLANK(A586),ISNA(MATCH(A586&amp;"",AthleteNumbers,0))),0,MATCH(A586&amp;"",AthleteNumbers,0))</f>
        <v>0</v>
      </c>
      <c r="J586" s="209">
        <f t="array" ref="J586">IF(I586&gt;0,INDEX(DB,$I586,6),0)</f>
        <v>0</v>
      </c>
      <c r="K586" s="446">
        <f t="shared" si="5"/>
        <v>0</v>
      </c>
      <c r="L586" s="440">
        <f t="shared" si="6"/>
        <v>0</v>
      </c>
      <c r="M586" s="441">
        <f>IF(AND(L586&gt;O586,O586&gt;0),MinPoints,IF(AND(L586&lt;N586,O586&gt;0),100,+INT((O586-$L586)/P586)+MinPoints))</f>
        <v>100</v>
      </c>
      <c r="N586" s="440">
        <f t="shared" si="7"/>
        <v>90</v>
      </c>
      <c r="O586" s="440">
        <f t="shared" si="8"/>
        <v>180</v>
      </c>
      <c r="P586" s="440">
        <f t="shared" si="9"/>
        <v>1</v>
      </c>
      <c r="Q586">
        <f t="array" ref="Q586">IF(I586&gt;0,INDEX(DB,I586,9),EventIndex)</f>
        <v>6</v>
      </c>
      <c r="S586">
        <f t="array" ref="S586">(INT(INDEX(MINVALUES,$Q586,$K$1))*60)+(MOD(INDEX(MINVALUES,$Q586,$K$1),1)*100)</f>
        <v>180</v>
      </c>
      <c r="T586">
        <f t="array" ref="T586">(INDEX(INCVALUES,$Q586,$K$1)*100)</f>
        <v>1</v>
      </c>
      <c r="V586">
        <f t="array" ref="V586">+J586+(4*(INDEX(MatchScoreTable,$Q586,20)-1))</f>
        <v>4</v>
      </c>
      <c r="W586">
        <f t="array" ref="W586">INDEX(INC_MINVALUES,$V586,$K$1)</f>
        <v>480</v>
      </c>
      <c r="X586" s="212">
        <f t="array" ref="X586">INDEX(INC_INCVALUES,$V586,$K$1)</f>
        <v>4</v>
      </c>
    </row>
    <row r="587" ht="15.75" customHeight="1">
      <c r="A587" s="435"/>
      <c r="B587" s="436"/>
      <c r="C587" s="95" t="str">
        <f t="array" ref="C587">IF(I587&gt;0,INDEX(DB,I587,8),"")</f>
        <v/>
      </c>
      <c r="D587" s="437">
        <f t="shared" si="1"/>
        <v>0</v>
      </c>
      <c r="F587" s="438">
        <f t="shared" si="2"/>
        <v>0</v>
      </c>
      <c r="G587" t="str">
        <f t="shared" si="3"/>
        <v/>
      </c>
      <c r="H587" t="b">
        <f t="shared" si="4"/>
        <v>0</v>
      </c>
      <c r="I587" s="439">
        <f>IF(OR(ISBLANK(A587),ISNA(MATCH(A587&amp;"",AthleteNumbers,0))),0,MATCH(A587&amp;"",AthleteNumbers,0))</f>
        <v>0</v>
      </c>
      <c r="J587" s="209">
        <f t="array" ref="J587">IF(I587&gt;0,INDEX(DB,$I587,6),0)</f>
        <v>0</v>
      </c>
      <c r="K587" s="446">
        <f t="shared" si="5"/>
        <v>0</v>
      </c>
      <c r="L587" s="440">
        <f t="shared" si="6"/>
        <v>0</v>
      </c>
      <c r="M587" s="441">
        <f>IF(AND(L587&gt;O587,O587&gt;0),MinPoints,IF(AND(L587&lt;N587,O587&gt;0),100,+INT((O587-$L587)/P587)+MinPoints))</f>
        <v>100</v>
      </c>
      <c r="N587" s="440">
        <f t="shared" si="7"/>
        <v>90</v>
      </c>
      <c r="O587" s="440">
        <f t="shared" si="8"/>
        <v>180</v>
      </c>
      <c r="P587" s="440">
        <f t="shared" si="9"/>
        <v>1</v>
      </c>
      <c r="Q587">
        <f t="array" ref="Q587">IF(I587&gt;0,INDEX(DB,I587,9),EventIndex)</f>
        <v>6</v>
      </c>
      <c r="S587">
        <f t="array" ref="S587">(INT(INDEX(MINVALUES,$Q587,$K$1))*60)+(MOD(INDEX(MINVALUES,$Q587,$K$1),1)*100)</f>
        <v>180</v>
      </c>
      <c r="T587">
        <f t="array" ref="T587">(INDEX(INCVALUES,$Q587,$K$1)*100)</f>
        <v>1</v>
      </c>
      <c r="V587">
        <f t="array" ref="V587">+J587+(4*(INDEX(MatchScoreTable,$Q587,20)-1))</f>
        <v>4</v>
      </c>
      <c r="W587">
        <f t="array" ref="W587">INDEX(INC_MINVALUES,$V587,$K$1)</f>
        <v>480</v>
      </c>
      <c r="X587" s="212">
        <f t="array" ref="X587">INDEX(INC_INCVALUES,$V587,$K$1)</f>
        <v>4</v>
      </c>
    </row>
    <row r="588" ht="15.75" customHeight="1">
      <c r="A588" s="435"/>
      <c r="B588" s="436"/>
      <c r="C588" s="95" t="str">
        <f t="array" ref="C588">IF(I588&gt;0,INDEX(DB,I588,8),"")</f>
        <v/>
      </c>
      <c r="D588" s="437">
        <f t="shared" si="1"/>
        <v>0</v>
      </c>
      <c r="F588" s="438">
        <f t="shared" si="2"/>
        <v>0</v>
      </c>
      <c r="G588" t="str">
        <f t="shared" si="3"/>
        <v/>
      </c>
      <c r="H588" t="b">
        <f t="shared" si="4"/>
        <v>0</v>
      </c>
      <c r="I588" s="439">
        <f>IF(OR(ISBLANK(A588),ISNA(MATCH(A588&amp;"",AthleteNumbers,0))),0,MATCH(A588&amp;"",AthleteNumbers,0))</f>
        <v>0</v>
      </c>
      <c r="J588" s="209">
        <f t="array" ref="J588">IF(I588&gt;0,INDEX(DB,$I588,6),0)</f>
        <v>0</v>
      </c>
      <c r="K588" s="446">
        <f t="shared" si="5"/>
        <v>0</v>
      </c>
      <c r="L588" s="440">
        <f t="shared" si="6"/>
        <v>0</v>
      </c>
      <c r="M588" s="441">
        <f>IF(AND(L588&gt;O588,O588&gt;0),MinPoints,IF(AND(L588&lt;N588,O588&gt;0),100,+INT((O588-$L588)/P588)+MinPoints))</f>
        <v>100</v>
      </c>
      <c r="N588" s="440">
        <f t="shared" si="7"/>
        <v>90</v>
      </c>
      <c r="O588" s="440">
        <f t="shared" si="8"/>
        <v>180</v>
      </c>
      <c r="P588" s="440">
        <f t="shared" si="9"/>
        <v>1</v>
      </c>
      <c r="Q588">
        <f t="array" ref="Q588">IF(I588&gt;0,INDEX(DB,I588,9),EventIndex)</f>
        <v>6</v>
      </c>
      <c r="S588">
        <f t="array" ref="S588">(INT(INDEX(MINVALUES,$Q588,$K$1))*60)+(MOD(INDEX(MINVALUES,$Q588,$K$1),1)*100)</f>
        <v>180</v>
      </c>
      <c r="T588">
        <f t="array" ref="T588">(INDEX(INCVALUES,$Q588,$K$1)*100)</f>
        <v>1</v>
      </c>
      <c r="V588">
        <f t="array" ref="V588">+J588+(4*(INDEX(MatchScoreTable,$Q588,20)-1))</f>
        <v>4</v>
      </c>
      <c r="W588">
        <f t="array" ref="W588">INDEX(INC_MINVALUES,$V588,$K$1)</f>
        <v>480</v>
      </c>
      <c r="X588" s="212">
        <f t="array" ref="X588">INDEX(INC_INCVALUES,$V588,$K$1)</f>
        <v>4</v>
      </c>
    </row>
    <row r="589" ht="15.75" customHeight="1">
      <c r="A589" s="435"/>
      <c r="B589" s="436"/>
      <c r="C589" s="95" t="str">
        <f t="array" ref="C589">IF(I589&gt;0,INDEX(DB,I589,8),"")</f>
        <v/>
      </c>
      <c r="D589" s="437">
        <f t="shared" si="1"/>
        <v>0</v>
      </c>
      <c r="F589" s="438">
        <f t="shared" si="2"/>
        <v>0</v>
      </c>
      <c r="G589" t="str">
        <f t="shared" si="3"/>
        <v/>
      </c>
      <c r="H589" t="b">
        <f t="shared" si="4"/>
        <v>0</v>
      </c>
      <c r="I589" s="439">
        <f>IF(OR(ISBLANK(A589),ISNA(MATCH(A589&amp;"",AthleteNumbers,0))),0,MATCH(A589&amp;"",AthleteNumbers,0))</f>
        <v>0</v>
      </c>
      <c r="J589" s="209">
        <f t="array" ref="J589">IF(I589&gt;0,INDEX(DB,$I589,6),0)</f>
        <v>0</v>
      </c>
      <c r="K589" s="446">
        <f t="shared" si="5"/>
        <v>0</v>
      </c>
      <c r="L589" s="440">
        <f t="shared" si="6"/>
        <v>0</v>
      </c>
      <c r="M589" s="441">
        <f>IF(AND(L589&gt;O589,O589&gt;0),MinPoints,IF(AND(L589&lt;N589,O589&gt;0),100,+INT((O589-$L589)/P589)+MinPoints))</f>
        <v>100</v>
      </c>
      <c r="N589" s="440">
        <f t="shared" si="7"/>
        <v>90</v>
      </c>
      <c r="O589" s="440">
        <f t="shared" si="8"/>
        <v>180</v>
      </c>
      <c r="P589" s="440">
        <f t="shared" si="9"/>
        <v>1</v>
      </c>
      <c r="Q589">
        <f t="array" ref="Q589">IF(I589&gt;0,INDEX(DB,I589,9),EventIndex)</f>
        <v>6</v>
      </c>
      <c r="S589">
        <f t="array" ref="S589">(INT(INDEX(MINVALUES,$Q589,$K$1))*60)+(MOD(INDEX(MINVALUES,$Q589,$K$1),1)*100)</f>
        <v>180</v>
      </c>
      <c r="T589">
        <f t="array" ref="T589">(INDEX(INCVALUES,$Q589,$K$1)*100)</f>
        <v>1</v>
      </c>
      <c r="V589">
        <f t="array" ref="V589">+J589+(4*(INDEX(MatchScoreTable,$Q589,20)-1))</f>
        <v>4</v>
      </c>
      <c r="W589">
        <f t="array" ref="W589">INDEX(INC_MINVALUES,$V589,$K$1)</f>
        <v>480</v>
      </c>
      <c r="X589" s="212">
        <f t="array" ref="X589">INDEX(INC_INCVALUES,$V589,$K$1)</f>
        <v>4</v>
      </c>
    </row>
    <row r="590" ht="15.75" customHeight="1">
      <c r="A590" s="435"/>
      <c r="B590" s="436"/>
      <c r="C590" s="95" t="str">
        <f t="array" ref="C590">IF(I590&gt;0,INDEX(DB,I590,8),"")</f>
        <v/>
      </c>
      <c r="D590" s="437">
        <f t="shared" si="1"/>
        <v>0</v>
      </c>
      <c r="F590" s="438">
        <f t="shared" si="2"/>
        <v>0</v>
      </c>
      <c r="G590" t="str">
        <f t="shared" si="3"/>
        <v/>
      </c>
      <c r="H590" t="b">
        <f t="shared" si="4"/>
        <v>0</v>
      </c>
      <c r="I590" s="439">
        <f>IF(OR(ISBLANK(A590),ISNA(MATCH(A590&amp;"",AthleteNumbers,0))),0,MATCH(A590&amp;"",AthleteNumbers,0))</f>
        <v>0</v>
      </c>
      <c r="J590" s="209">
        <f t="array" ref="J590">IF(I590&gt;0,INDEX(DB,$I590,6),0)</f>
        <v>0</v>
      </c>
      <c r="K590" s="446">
        <f t="shared" si="5"/>
        <v>0</v>
      </c>
      <c r="L590" s="440">
        <f t="shared" si="6"/>
        <v>0</v>
      </c>
      <c r="M590" s="441">
        <f>IF(AND(L590&gt;O590,O590&gt;0),MinPoints,IF(AND(L590&lt;N590,O590&gt;0),100,+INT((O590-$L590)/P590)+MinPoints))</f>
        <v>100</v>
      </c>
      <c r="N590" s="440">
        <f t="shared" si="7"/>
        <v>90</v>
      </c>
      <c r="O590" s="440">
        <f t="shared" si="8"/>
        <v>180</v>
      </c>
      <c r="P590" s="440">
        <f t="shared" si="9"/>
        <v>1</v>
      </c>
      <c r="Q590">
        <f t="array" ref="Q590">IF(I590&gt;0,INDEX(DB,I590,9),EventIndex)</f>
        <v>6</v>
      </c>
      <c r="S590">
        <f t="array" ref="S590">(INT(INDEX(MINVALUES,$Q590,$K$1))*60)+(MOD(INDEX(MINVALUES,$Q590,$K$1),1)*100)</f>
        <v>180</v>
      </c>
      <c r="T590">
        <f t="array" ref="T590">(INDEX(INCVALUES,$Q590,$K$1)*100)</f>
        <v>1</v>
      </c>
      <c r="V590">
        <f t="array" ref="V590">+J590+(4*(INDEX(MatchScoreTable,$Q590,20)-1))</f>
        <v>4</v>
      </c>
      <c r="W590">
        <f t="array" ref="W590">INDEX(INC_MINVALUES,$V590,$K$1)</f>
        <v>480</v>
      </c>
      <c r="X590" s="212">
        <f t="array" ref="X590">INDEX(INC_INCVALUES,$V590,$K$1)</f>
        <v>4</v>
      </c>
    </row>
    <row r="591" ht="15.75" customHeight="1">
      <c r="A591" s="435"/>
      <c r="B591" s="436"/>
      <c r="C591" s="95" t="str">
        <f t="array" ref="C591">IF(I591&gt;0,INDEX(DB,I591,8),"")</f>
        <v/>
      </c>
      <c r="D591" s="437">
        <f t="shared" si="1"/>
        <v>0</v>
      </c>
      <c r="F591" s="438">
        <f t="shared" si="2"/>
        <v>0</v>
      </c>
      <c r="G591" t="str">
        <f t="shared" si="3"/>
        <v/>
      </c>
      <c r="H591" t="b">
        <f t="shared" si="4"/>
        <v>0</v>
      </c>
      <c r="I591" s="439">
        <f>IF(OR(ISBLANK(A591),ISNA(MATCH(A591&amp;"",AthleteNumbers,0))),0,MATCH(A591&amp;"",AthleteNumbers,0))</f>
        <v>0</v>
      </c>
      <c r="J591" s="209">
        <f t="array" ref="J591">IF(I591&gt;0,INDEX(DB,$I591,6),0)</f>
        <v>0</v>
      </c>
      <c r="K591" s="446">
        <f t="shared" si="5"/>
        <v>0</v>
      </c>
      <c r="L591" s="440">
        <f t="shared" si="6"/>
        <v>0</v>
      </c>
      <c r="M591" s="441">
        <f>IF(AND(L591&gt;O591,O591&gt;0),MinPoints,IF(AND(L591&lt;N591,O591&gt;0),100,+INT((O591-$L591)/P591)+MinPoints))</f>
        <v>100</v>
      </c>
      <c r="N591" s="440">
        <f t="shared" si="7"/>
        <v>90</v>
      </c>
      <c r="O591" s="440">
        <f t="shared" si="8"/>
        <v>180</v>
      </c>
      <c r="P591" s="440">
        <f t="shared" si="9"/>
        <v>1</v>
      </c>
      <c r="Q591">
        <f t="array" ref="Q591">IF(I591&gt;0,INDEX(DB,I591,9),EventIndex)</f>
        <v>6</v>
      </c>
      <c r="S591">
        <f t="array" ref="S591">(INT(INDEX(MINVALUES,$Q591,$K$1))*60)+(MOD(INDEX(MINVALUES,$Q591,$K$1),1)*100)</f>
        <v>180</v>
      </c>
      <c r="T591">
        <f t="array" ref="T591">(INDEX(INCVALUES,$Q591,$K$1)*100)</f>
        <v>1</v>
      </c>
      <c r="V591">
        <f t="array" ref="V591">+J591+(4*(INDEX(MatchScoreTable,$Q591,20)-1))</f>
        <v>4</v>
      </c>
      <c r="W591">
        <f t="array" ref="W591">INDEX(INC_MINVALUES,$V591,$K$1)</f>
        <v>480</v>
      </c>
      <c r="X591" s="212">
        <f t="array" ref="X591">INDEX(INC_INCVALUES,$V591,$K$1)</f>
        <v>4</v>
      </c>
    </row>
    <row r="592" ht="15.75" customHeight="1">
      <c r="A592" s="435"/>
      <c r="B592" s="436"/>
      <c r="C592" s="95" t="str">
        <f t="array" ref="C592">IF(I592&gt;0,INDEX(DB,I592,8),"")</f>
        <v/>
      </c>
      <c r="D592" s="437">
        <f t="shared" si="1"/>
        <v>0</v>
      </c>
      <c r="F592" s="438">
        <f t="shared" si="2"/>
        <v>0</v>
      </c>
      <c r="G592" t="str">
        <f t="shared" si="3"/>
        <v/>
      </c>
      <c r="H592" t="b">
        <f t="shared" si="4"/>
        <v>0</v>
      </c>
      <c r="I592" s="439">
        <f>IF(OR(ISBLANK(A592),ISNA(MATCH(A592&amp;"",AthleteNumbers,0))),0,MATCH(A592&amp;"",AthleteNumbers,0))</f>
        <v>0</v>
      </c>
      <c r="J592" s="209">
        <f t="array" ref="J592">IF(I592&gt;0,INDEX(DB,$I592,6),0)</f>
        <v>0</v>
      </c>
      <c r="K592" s="446">
        <f t="shared" si="5"/>
        <v>0</v>
      </c>
      <c r="L592" s="440">
        <f t="shared" si="6"/>
        <v>0</v>
      </c>
      <c r="M592" s="441">
        <f>IF(AND(L592&gt;O592,O592&gt;0),MinPoints,IF(AND(L592&lt;N592,O592&gt;0),100,+INT((O592-$L592)/P592)+MinPoints))</f>
        <v>100</v>
      </c>
      <c r="N592" s="440">
        <f t="shared" si="7"/>
        <v>90</v>
      </c>
      <c r="O592" s="440">
        <f t="shared" si="8"/>
        <v>180</v>
      </c>
      <c r="P592" s="440">
        <f t="shared" si="9"/>
        <v>1</v>
      </c>
      <c r="Q592">
        <f t="array" ref="Q592">IF(I592&gt;0,INDEX(DB,I592,9),EventIndex)</f>
        <v>6</v>
      </c>
      <c r="S592">
        <f t="array" ref="S592">(INT(INDEX(MINVALUES,$Q592,$K$1))*60)+(MOD(INDEX(MINVALUES,$Q592,$K$1),1)*100)</f>
        <v>180</v>
      </c>
      <c r="T592">
        <f t="array" ref="T592">(INDEX(INCVALUES,$Q592,$K$1)*100)</f>
        <v>1</v>
      </c>
      <c r="V592">
        <f t="array" ref="V592">+J592+(4*(INDEX(MatchScoreTable,$Q592,20)-1))</f>
        <v>4</v>
      </c>
      <c r="W592">
        <f t="array" ref="W592">INDEX(INC_MINVALUES,$V592,$K$1)</f>
        <v>480</v>
      </c>
      <c r="X592" s="212">
        <f t="array" ref="X592">INDEX(INC_INCVALUES,$V592,$K$1)</f>
        <v>4</v>
      </c>
    </row>
    <row r="593" ht="15.75" customHeight="1">
      <c r="A593" s="435"/>
      <c r="B593" s="436"/>
      <c r="C593" s="95" t="str">
        <f t="array" ref="C593">IF(I593&gt;0,INDEX(DB,I593,8),"")</f>
        <v/>
      </c>
      <c r="D593" s="437">
        <f t="shared" si="1"/>
        <v>0</v>
      </c>
      <c r="F593" s="438">
        <f t="shared" si="2"/>
        <v>0</v>
      </c>
      <c r="G593" t="str">
        <f t="shared" si="3"/>
        <v/>
      </c>
      <c r="H593" t="b">
        <f t="shared" si="4"/>
        <v>0</v>
      </c>
      <c r="I593" s="439">
        <f>IF(OR(ISBLANK(A593),ISNA(MATCH(A593&amp;"",AthleteNumbers,0))),0,MATCH(A593&amp;"",AthleteNumbers,0))</f>
        <v>0</v>
      </c>
      <c r="J593" s="209">
        <f t="array" ref="J593">IF(I593&gt;0,INDEX(DB,$I593,6),0)</f>
        <v>0</v>
      </c>
      <c r="K593" s="446">
        <f t="shared" si="5"/>
        <v>0</v>
      </c>
      <c r="L593" s="440">
        <f t="shared" si="6"/>
        <v>0</v>
      </c>
      <c r="M593" s="441">
        <f>IF(AND(L593&gt;O593,O593&gt;0),MinPoints,IF(AND(L593&lt;N593,O593&gt;0),100,+INT((O593-$L593)/P593)+MinPoints))</f>
        <v>100</v>
      </c>
      <c r="N593" s="440">
        <f t="shared" si="7"/>
        <v>90</v>
      </c>
      <c r="O593" s="440">
        <f t="shared" si="8"/>
        <v>180</v>
      </c>
      <c r="P593" s="440">
        <f t="shared" si="9"/>
        <v>1</v>
      </c>
      <c r="Q593">
        <f t="array" ref="Q593">IF(I593&gt;0,INDEX(DB,I593,9),EventIndex)</f>
        <v>6</v>
      </c>
      <c r="S593">
        <f t="array" ref="S593">(INT(INDEX(MINVALUES,$Q593,$K$1))*60)+(MOD(INDEX(MINVALUES,$Q593,$K$1),1)*100)</f>
        <v>180</v>
      </c>
      <c r="T593">
        <f t="array" ref="T593">(INDEX(INCVALUES,$Q593,$K$1)*100)</f>
        <v>1</v>
      </c>
      <c r="V593">
        <f t="array" ref="V593">+J593+(4*(INDEX(MatchScoreTable,$Q593,20)-1))</f>
        <v>4</v>
      </c>
      <c r="W593">
        <f t="array" ref="W593">INDEX(INC_MINVALUES,$V593,$K$1)</f>
        <v>480</v>
      </c>
      <c r="X593" s="212">
        <f t="array" ref="X593">INDEX(INC_INCVALUES,$V593,$K$1)</f>
        <v>4</v>
      </c>
    </row>
    <row r="594" ht="15.75" customHeight="1">
      <c r="A594" s="435"/>
      <c r="B594" s="436"/>
      <c r="C594" s="95" t="str">
        <f t="array" ref="C594">IF(I594&gt;0,INDEX(DB,I594,8),"")</f>
        <v/>
      </c>
      <c r="D594" s="437">
        <f t="shared" si="1"/>
        <v>0</v>
      </c>
      <c r="F594" s="438">
        <f t="shared" si="2"/>
        <v>0</v>
      </c>
      <c r="G594" t="str">
        <f t="shared" si="3"/>
        <v/>
      </c>
      <c r="H594" t="b">
        <f t="shared" si="4"/>
        <v>0</v>
      </c>
      <c r="I594" s="439">
        <f>IF(OR(ISBLANK(A594),ISNA(MATCH(A594&amp;"",AthleteNumbers,0))),0,MATCH(A594&amp;"",AthleteNumbers,0))</f>
        <v>0</v>
      </c>
      <c r="J594" s="209">
        <f t="array" ref="J594">IF(I594&gt;0,INDEX(DB,$I594,6),0)</f>
        <v>0</v>
      </c>
      <c r="K594" s="446">
        <f t="shared" si="5"/>
        <v>0</v>
      </c>
      <c r="L594" s="440">
        <f t="shared" si="6"/>
        <v>0</v>
      </c>
      <c r="M594" s="441">
        <f>IF(AND(L594&gt;O594,O594&gt;0),MinPoints,IF(AND(L594&lt;N594,O594&gt;0),100,+INT((O594-$L594)/P594)+MinPoints))</f>
        <v>100</v>
      </c>
      <c r="N594" s="440">
        <f t="shared" si="7"/>
        <v>90</v>
      </c>
      <c r="O594" s="440">
        <f t="shared" si="8"/>
        <v>180</v>
      </c>
      <c r="P594" s="440">
        <f t="shared" si="9"/>
        <v>1</v>
      </c>
      <c r="Q594">
        <f t="array" ref="Q594">IF(I594&gt;0,INDEX(DB,I594,9),EventIndex)</f>
        <v>6</v>
      </c>
      <c r="S594">
        <f t="array" ref="S594">(INT(INDEX(MINVALUES,$Q594,$K$1))*60)+(MOD(INDEX(MINVALUES,$Q594,$K$1),1)*100)</f>
        <v>180</v>
      </c>
      <c r="T594">
        <f t="array" ref="T594">(INDEX(INCVALUES,$Q594,$K$1)*100)</f>
        <v>1</v>
      </c>
      <c r="V594">
        <f t="array" ref="V594">+J594+(4*(INDEX(MatchScoreTable,$Q594,20)-1))</f>
        <v>4</v>
      </c>
      <c r="W594">
        <f t="array" ref="W594">INDEX(INC_MINVALUES,$V594,$K$1)</f>
        <v>480</v>
      </c>
      <c r="X594" s="212">
        <f t="array" ref="X594">INDEX(INC_INCVALUES,$V594,$K$1)</f>
        <v>4</v>
      </c>
    </row>
    <row r="595" ht="15.75" customHeight="1">
      <c r="A595" s="435"/>
      <c r="B595" s="436"/>
      <c r="C595" s="95" t="str">
        <f t="array" ref="C595">IF(I595&gt;0,INDEX(DB,I595,8),"")</f>
        <v/>
      </c>
      <c r="D595" s="437">
        <f t="shared" si="1"/>
        <v>0</v>
      </c>
      <c r="F595" s="438">
        <f t="shared" si="2"/>
        <v>0</v>
      </c>
      <c r="G595" t="str">
        <f t="shared" si="3"/>
        <v/>
      </c>
      <c r="H595" t="b">
        <f t="shared" si="4"/>
        <v>0</v>
      </c>
      <c r="I595" s="439">
        <f>IF(OR(ISBLANK(A595),ISNA(MATCH(A595&amp;"",AthleteNumbers,0))),0,MATCH(A595&amp;"",AthleteNumbers,0))</f>
        <v>0</v>
      </c>
      <c r="J595" s="209">
        <f t="array" ref="J595">IF(I595&gt;0,INDEX(DB,$I595,6),0)</f>
        <v>0</v>
      </c>
      <c r="K595" s="446">
        <f t="shared" si="5"/>
        <v>0</v>
      </c>
      <c r="L595" s="440">
        <f t="shared" si="6"/>
        <v>0</v>
      </c>
      <c r="M595" s="441">
        <f>IF(AND(L595&gt;O595,O595&gt;0),MinPoints,IF(AND(L595&lt;N595,O595&gt;0),100,+INT((O595-$L595)/P595)+MinPoints))</f>
        <v>100</v>
      </c>
      <c r="N595" s="440">
        <f t="shared" si="7"/>
        <v>90</v>
      </c>
      <c r="O595" s="440">
        <f t="shared" si="8"/>
        <v>180</v>
      </c>
      <c r="P595" s="440">
        <f t="shared" si="9"/>
        <v>1</v>
      </c>
      <c r="Q595">
        <f t="array" ref="Q595">IF(I595&gt;0,INDEX(DB,I595,9),EventIndex)</f>
        <v>6</v>
      </c>
      <c r="S595">
        <f t="array" ref="S595">(INT(INDEX(MINVALUES,$Q595,$K$1))*60)+(MOD(INDEX(MINVALUES,$Q595,$K$1),1)*100)</f>
        <v>180</v>
      </c>
      <c r="T595">
        <f t="array" ref="T595">(INDEX(INCVALUES,$Q595,$K$1)*100)</f>
        <v>1</v>
      </c>
      <c r="V595">
        <f t="array" ref="V595">+J595+(4*(INDEX(MatchScoreTable,$Q595,20)-1))</f>
        <v>4</v>
      </c>
      <c r="W595">
        <f t="array" ref="W595">INDEX(INC_MINVALUES,$V595,$K$1)</f>
        <v>480</v>
      </c>
      <c r="X595" s="212">
        <f t="array" ref="X595">INDEX(INC_INCVALUES,$V595,$K$1)</f>
        <v>4</v>
      </c>
    </row>
    <row r="596" ht="15.75" customHeight="1">
      <c r="A596" s="435"/>
      <c r="B596" s="436"/>
      <c r="C596" s="95" t="str">
        <f t="array" ref="C596">IF(I596&gt;0,INDEX(DB,I596,8),"")</f>
        <v/>
      </c>
      <c r="D596" s="437">
        <f t="shared" si="1"/>
        <v>0</v>
      </c>
      <c r="F596" s="438">
        <f t="shared" si="2"/>
        <v>0</v>
      </c>
      <c r="G596" t="str">
        <f t="shared" si="3"/>
        <v/>
      </c>
      <c r="H596" t="b">
        <f t="shared" si="4"/>
        <v>0</v>
      </c>
      <c r="I596" s="439">
        <f>IF(OR(ISBLANK(A596),ISNA(MATCH(A596&amp;"",AthleteNumbers,0))),0,MATCH(A596&amp;"",AthleteNumbers,0))</f>
        <v>0</v>
      </c>
      <c r="J596" s="209">
        <f t="array" ref="J596">IF(I596&gt;0,INDEX(DB,$I596,6),0)</f>
        <v>0</v>
      </c>
      <c r="K596" s="446">
        <f t="shared" si="5"/>
        <v>0</v>
      </c>
      <c r="L596" s="440">
        <f t="shared" si="6"/>
        <v>0</v>
      </c>
      <c r="M596" s="441">
        <f>IF(AND(L596&gt;O596,O596&gt;0),MinPoints,IF(AND(L596&lt;N596,O596&gt;0),100,+INT((O596-$L596)/P596)+MinPoints))</f>
        <v>100</v>
      </c>
      <c r="N596" s="440">
        <f t="shared" si="7"/>
        <v>90</v>
      </c>
      <c r="O596" s="440">
        <f t="shared" si="8"/>
        <v>180</v>
      </c>
      <c r="P596" s="440">
        <f t="shared" si="9"/>
        <v>1</v>
      </c>
      <c r="Q596">
        <f t="array" ref="Q596">IF(I596&gt;0,INDEX(DB,I596,9),EventIndex)</f>
        <v>6</v>
      </c>
      <c r="S596">
        <f t="array" ref="S596">(INT(INDEX(MINVALUES,$Q596,$K$1))*60)+(MOD(INDEX(MINVALUES,$Q596,$K$1),1)*100)</f>
        <v>180</v>
      </c>
      <c r="T596">
        <f t="array" ref="T596">(INDEX(INCVALUES,$Q596,$K$1)*100)</f>
        <v>1</v>
      </c>
      <c r="V596">
        <f t="array" ref="V596">+J596+(4*(INDEX(MatchScoreTable,$Q596,20)-1))</f>
        <v>4</v>
      </c>
      <c r="W596">
        <f t="array" ref="W596">INDEX(INC_MINVALUES,$V596,$K$1)</f>
        <v>480</v>
      </c>
      <c r="X596" s="212">
        <f t="array" ref="X596">INDEX(INC_INCVALUES,$V596,$K$1)</f>
        <v>4</v>
      </c>
    </row>
    <row r="597" ht="15.75" customHeight="1">
      <c r="A597" s="435"/>
      <c r="B597" s="436"/>
      <c r="C597" s="95" t="str">
        <f t="array" ref="C597">IF(I597&gt;0,INDEX(DB,I597,8),"")</f>
        <v/>
      </c>
      <c r="D597" s="437">
        <f t="shared" si="1"/>
        <v>0</v>
      </c>
      <c r="F597" s="438">
        <f t="shared" si="2"/>
        <v>0</v>
      </c>
      <c r="G597" t="str">
        <f t="shared" si="3"/>
        <v/>
      </c>
      <c r="H597" t="b">
        <f t="shared" si="4"/>
        <v>0</v>
      </c>
      <c r="I597" s="439">
        <f>IF(OR(ISBLANK(A597),ISNA(MATCH(A597&amp;"",AthleteNumbers,0))),0,MATCH(A597&amp;"",AthleteNumbers,0))</f>
        <v>0</v>
      </c>
      <c r="J597" s="209">
        <f t="array" ref="J597">IF(I597&gt;0,INDEX(DB,$I597,6),0)</f>
        <v>0</v>
      </c>
      <c r="K597" s="446">
        <f t="shared" si="5"/>
        <v>0</v>
      </c>
      <c r="L597" s="440">
        <f t="shared" si="6"/>
        <v>0</v>
      </c>
      <c r="M597" s="441">
        <f>IF(AND(L597&gt;O597,O597&gt;0),MinPoints,IF(AND(L597&lt;N597,O597&gt;0),100,+INT((O597-$L597)/P597)+MinPoints))</f>
        <v>100</v>
      </c>
      <c r="N597" s="440">
        <f t="shared" si="7"/>
        <v>90</v>
      </c>
      <c r="O597" s="440">
        <f t="shared" si="8"/>
        <v>180</v>
      </c>
      <c r="P597" s="440">
        <f t="shared" si="9"/>
        <v>1</v>
      </c>
      <c r="Q597">
        <f t="array" ref="Q597">IF(I597&gt;0,INDEX(DB,I597,9),EventIndex)</f>
        <v>6</v>
      </c>
      <c r="S597">
        <f t="array" ref="S597">(INT(INDEX(MINVALUES,$Q597,$K$1))*60)+(MOD(INDEX(MINVALUES,$Q597,$K$1),1)*100)</f>
        <v>180</v>
      </c>
      <c r="T597">
        <f t="array" ref="T597">(INDEX(INCVALUES,$Q597,$K$1)*100)</f>
        <v>1</v>
      </c>
      <c r="V597">
        <f t="array" ref="V597">+J597+(4*(INDEX(MatchScoreTable,$Q597,20)-1))</f>
        <v>4</v>
      </c>
      <c r="W597">
        <f t="array" ref="W597">INDEX(INC_MINVALUES,$V597,$K$1)</f>
        <v>480</v>
      </c>
      <c r="X597" s="212">
        <f t="array" ref="X597">INDEX(INC_INCVALUES,$V597,$K$1)</f>
        <v>4</v>
      </c>
    </row>
    <row r="598" ht="15.75" customHeight="1">
      <c r="A598" s="435"/>
      <c r="B598" s="436"/>
      <c r="C598" s="95" t="str">
        <f t="array" ref="C598">IF(I598&gt;0,INDEX(DB,I598,8),"")</f>
        <v/>
      </c>
      <c r="D598" s="437">
        <f t="shared" si="1"/>
        <v>0</v>
      </c>
      <c r="F598" s="438">
        <f t="shared" si="2"/>
        <v>0</v>
      </c>
      <c r="G598" t="str">
        <f t="shared" si="3"/>
        <v/>
      </c>
      <c r="H598" t="b">
        <f t="shared" si="4"/>
        <v>0</v>
      </c>
      <c r="I598" s="439">
        <f>IF(OR(ISBLANK(A598),ISNA(MATCH(A598&amp;"",AthleteNumbers,0))),0,MATCH(A598&amp;"",AthleteNumbers,0))</f>
        <v>0</v>
      </c>
      <c r="J598" s="209">
        <f t="array" ref="J598">IF(I598&gt;0,INDEX(DB,$I598,6),0)</f>
        <v>0</v>
      </c>
      <c r="K598" s="446">
        <f t="shared" si="5"/>
        <v>0</v>
      </c>
      <c r="L598" s="440">
        <f t="shared" si="6"/>
        <v>0</v>
      </c>
      <c r="M598" s="441">
        <f>IF(AND(L598&gt;O598,O598&gt;0),MinPoints,IF(AND(L598&lt;N598,O598&gt;0),100,+INT((O598-$L598)/P598)+MinPoints))</f>
        <v>100</v>
      </c>
      <c r="N598" s="440">
        <f t="shared" si="7"/>
        <v>90</v>
      </c>
      <c r="O598" s="440">
        <f t="shared" si="8"/>
        <v>180</v>
      </c>
      <c r="P598" s="440">
        <f t="shared" si="9"/>
        <v>1</v>
      </c>
      <c r="Q598">
        <f t="array" ref="Q598">IF(I598&gt;0,INDEX(DB,I598,9),EventIndex)</f>
        <v>6</v>
      </c>
      <c r="S598">
        <f t="array" ref="S598">(INT(INDEX(MINVALUES,$Q598,$K$1))*60)+(MOD(INDEX(MINVALUES,$Q598,$K$1),1)*100)</f>
        <v>180</v>
      </c>
      <c r="T598">
        <f t="array" ref="T598">(INDEX(INCVALUES,$Q598,$K$1)*100)</f>
        <v>1</v>
      </c>
      <c r="V598">
        <f t="array" ref="V598">+J598+(4*(INDEX(MatchScoreTable,$Q598,20)-1))</f>
        <v>4</v>
      </c>
      <c r="W598">
        <f t="array" ref="W598">INDEX(INC_MINVALUES,$V598,$K$1)</f>
        <v>480</v>
      </c>
      <c r="X598" s="212">
        <f t="array" ref="X598">INDEX(INC_INCVALUES,$V598,$K$1)</f>
        <v>4</v>
      </c>
    </row>
    <row r="599" ht="15.75" customHeight="1">
      <c r="A599" s="435"/>
      <c r="B599" s="436"/>
      <c r="C599" s="95" t="str">
        <f t="array" ref="C599">IF(I599&gt;0,INDEX(DB,I599,8),"")</f>
        <v/>
      </c>
      <c r="D599" s="437">
        <f t="shared" si="1"/>
        <v>0</v>
      </c>
      <c r="F599" s="438">
        <f t="shared" si="2"/>
        <v>0</v>
      </c>
      <c r="G599" t="str">
        <f t="shared" si="3"/>
        <v/>
      </c>
      <c r="H599" t="b">
        <f t="shared" si="4"/>
        <v>0</v>
      </c>
      <c r="I599" s="439">
        <f>IF(OR(ISBLANK(A599),ISNA(MATCH(A599&amp;"",AthleteNumbers,0))),0,MATCH(A599&amp;"",AthleteNumbers,0))</f>
        <v>0</v>
      </c>
      <c r="J599" s="209">
        <f t="array" ref="J599">IF(I599&gt;0,INDEX(DB,$I599,6),0)</f>
        <v>0</v>
      </c>
      <c r="K599" s="446">
        <f t="shared" si="5"/>
        <v>0</v>
      </c>
      <c r="L599" s="440">
        <f t="shared" si="6"/>
        <v>0</v>
      </c>
      <c r="M599" s="441">
        <f>IF(AND(L599&gt;O599,O599&gt;0),MinPoints,IF(AND(L599&lt;N599,O599&gt;0),100,+INT((O599-$L599)/P599)+MinPoints))</f>
        <v>100</v>
      </c>
      <c r="N599" s="440">
        <f t="shared" si="7"/>
        <v>90</v>
      </c>
      <c r="O599" s="440">
        <f t="shared" si="8"/>
        <v>180</v>
      </c>
      <c r="P599" s="440">
        <f t="shared" si="9"/>
        <v>1</v>
      </c>
      <c r="Q599">
        <f t="array" ref="Q599">IF(I599&gt;0,INDEX(DB,I599,9),EventIndex)</f>
        <v>6</v>
      </c>
      <c r="S599">
        <f t="array" ref="S599">(INT(INDEX(MINVALUES,$Q599,$K$1))*60)+(MOD(INDEX(MINVALUES,$Q599,$K$1),1)*100)</f>
        <v>180</v>
      </c>
      <c r="T599">
        <f t="array" ref="T599">(INDEX(INCVALUES,$Q599,$K$1)*100)</f>
        <v>1</v>
      </c>
      <c r="V599">
        <f t="array" ref="V599">+J599+(4*(INDEX(MatchScoreTable,$Q599,20)-1))</f>
        <v>4</v>
      </c>
      <c r="W599">
        <f t="array" ref="W599">INDEX(INC_MINVALUES,$V599,$K$1)</f>
        <v>480</v>
      </c>
      <c r="X599" s="212">
        <f t="array" ref="X599">INDEX(INC_INCVALUES,$V599,$K$1)</f>
        <v>4</v>
      </c>
    </row>
    <row r="600" ht="15.75" customHeight="1">
      <c r="A600" s="435"/>
      <c r="B600" s="436"/>
      <c r="C600" s="95" t="str">
        <f t="array" ref="C600">IF(I600&gt;0,INDEX(DB,I600,8),"")</f>
        <v/>
      </c>
      <c r="D600" s="437">
        <f t="shared" si="1"/>
        <v>0</v>
      </c>
      <c r="F600" s="438">
        <f t="shared" si="2"/>
        <v>0</v>
      </c>
      <c r="G600" t="str">
        <f t="shared" si="3"/>
        <v/>
      </c>
      <c r="H600" t="b">
        <f t="shared" si="4"/>
        <v>0</v>
      </c>
      <c r="I600" s="439">
        <f>IF(OR(ISBLANK(A600),ISNA(MATCH(A600&amp;"",AthleteNumbers,0))),0,MATCH(A600&amp;"",AthleteNumbers,0))</f>
        <v>0</v>
      </c>
      <c r="J600" s="209">
        <f t="array" ref="J600">IF(I600&gt;0,INDEX(DB,$I600,6),0)</f>
        <v>0</v>
      </c>
      <c r="K600" s="446">
        <f t="shared" si="5"/>
        <v>0</v>
      </c>
      <c r="L600" s="440">
        <f t="shared" si="6"/>
        <v>0</v>
      </c>
      <c r="M600" s="441">
        <f>IF(AND(L600&gt;O600,O600&gt;0),MinPoints,IF(AND(L600&lt;N600,O600&gt;0),100,+INT((O600-$L600)/P600)+MinPoints))</f>
        <v>100</v>
      </c>
      <c r="N600" s="440">
        <f t="shared" si="7"/>
        <v>90</v>
      </c>
      <c r="O600" s="440">
        <f t="shared" si="8"/>
        <v>180</v>
      </c>
      <c r="P600" s="440">
        <f t="shared" si="9"/>
        <v>1</v>
      </c>
      <c r="Q600">
        <f t="array" ref="Q600">IF(I600&gt;0,INDEX(DB,I600,9),EventIndex)</f>
        <v>6</v>
      </c>
      <c r="S600">
        <f t="array" ref="S600">(INT(INDEX(MINVALUES,$Q600,$K$1))*60)+(MOD(INDEX(MINVALUES,$Q600,$K$1),1)*100)</f>
        <v>180</v>
      </c>
      <c r="T600">
        <f t="array" ref="T600">(INDEX(INCVALUES,$Q600,$K$1)*100)</f>
        <v>1</v>
      </c>
      <c r="V600">
        <f t="array" ref="V600">+J600+(4*(INDEX(MatchScoreTable,$Q600,20)-1))</f>
        <v>4</v>
      </c>
      <c r="W600">
        <f t="array" ref="W600">INDEX(INC_MINVALUES,$V600,$K$1)</f>
        <v>480</v>
      </c>
      <c r="X600" s="212">
        <f t="array" ref="X600">INDEX(INC_INCVALUES,$V600,$K$1)</f>
        <v>4</v>
      </c>
    </row>
    <row r="601" ht="15.75" customHeight="1">
      <c r="A601" s="435"/>
      <c r="B601" s="436"/>
      <c r="C601" s="95" t="str">
        <f t="array" ref="C601">IF(I601&gt;0,INDEX(DB,I601,8),"")</f>
        <v/>
      </c>
      <c r="D601" s="437">
        <f t="shared" si="1"/>
        <v>0</v>
      </c>
      <c r="F601" s="438">
        <f t="shared" si="2"/>
        <v>0</v>
      </c>
      <c r="G601" t="str">
        <f t="shared" si="3"/>
        <v/>
      </c>
      <c r="H601" t="b">
        <f t="shared" si="4"/>
        <v>0</v>
      </c>
      <c r="I601" s="439">
        <f>IF(OR(ISBLANK(A601),ISNA(MATCH(A601&amp;"",AthleteNumbers,0))),0,MATCH(A601&amp;"",AthleteNumbers,0))</f>
        <v>0</v>
      </c>
      <c r="J601" s="209">
        <f t="array" ref="J601">IF(I601&gt;0,INDEX(DB,$I601,6),0)</f>
        <v>0</v>
      </c>
      <c r="K601" s="446">
        <f t="shared" si="5"/>
        <v>0</v>
      </c>
      <c r="L601" s="440">
        <f t="shared" si="6"/>
        <v>0</v>
      </c>
      <c r="M601" s="441">
        <f>IF(AND(L601&gt;O601,O601&gt;0),MinPoints,IF(AND(L601&lt;N601,O601&gt;0),100,+INT((O601-$L601)/P601)+MinPoints))</f>
        <v>100</v>
      </c>
      <c r="N601" s="440">
        <f t="shared" si="7"/>
        <v>90</v>
      </c>
      <c r="O601" s="440">
        <f t="shared" si="8"/>
        <v>180</v>
      </c>
      <c r="P601" s="440">
        <f t="shared" si="9"/>
        <v>1</v>
      </c>
      <c r="Q601">
        <f t="array" ref="Q601">IF(I601&gt;0,INDEX(DB,I601,9),EventIndex)</f>
        <v>6</v>
      </c>
      <c r="S601">
        <f t="array" ref="S601">(INT(INDEX(MINVALUES,$Q601,$K$1))*60)+(MOD(INDEX(MINVALUES,$Q601,$K$1),1)*100)</f>
        <v>180</v>
      </c>
      <c r="T601">
        <f t="array" ref="T601">(INDEX(INCVALUES,$Q601,$K$1)*100)</f>
        <v>1</v>
      </c>
      <c r="V601">
        <f t="array" ref="V601">+J601+(4*(INDEX(MatchScoreTable,$Q601,20)-1))</f>
        <v>4</v>
      </c>
      <c r="W601">
        <f t="array" ref="W601">INDEX(INC_MINVALUES,$V601,$K$1)</f>
        <v>480</v>
      </c>
      <c r="X601" s="212">
        <f t="array" ref="X601">INDEX(INC_INCVALUES,$V601,$K$1)</f>
        <v>4</v>
      </c>
    </row>
    <row r="602" ht="15.75" customHeight="1">
      <c r="A602" s="435"/>
      <c r="B602" s="436"/>
      <c r="C602" s="95" t="str">
        <f t="array" ref="C602">IF(I602&gt;0,INDEX(DB,I602,8),"")</f>
        <v/>
      </c>
      <c r="D602" s="437">
        <f t="shared" si="1"/>
        <v>0</v>
      </c>
      <c r="F602" s="438">
        <f t="shared" si="2"/>
        <v>0</v>
      </c>
      <c r="G602" t="str">
        <f t="shared" si="3"/>
        <v/>
      </c>
      <c r="H602" t="b">
        <f t="shared" si="4"/>
        <v>0</v>
      </c>
      <c r="I602" s="439">
        <f>IF(OR(ISBLANK(A602),ISNA(MATCH(A602&amp;"",AthleteNumbers,0))),0,MATCH(A602&amp;"",AthleteNumbers,0))</f>
        <v>0</v>
      </c>
      <c r="J602" s="209">
        <f t="array" ref="J602">IF(I602&gt;0,INDEX(DB,$I602,6),0)</f>
        <v>0</v>
      </c>
      <c r="K602" s="446">
        <f t="shared" si="5"/>
        <v>0</v>
      </c>
      <c r="L602" s="440">
        <f t="shared" si="6"/>
        <v>0</v>
      </c>
      <c r="M602" s="441">
        <f>IF(AND(L602&gt;O602,O602&gt;0),MinPoints,IF(AND(L602&lt;N602,O602&gt;0),100,+INT((O602-$L602)/P602)+MinPoints))</f>
        <v>100</v>
      </c>
      <c r="N602" s="440">
        <f t="shared" si="7"/>
        <v>90</v>
      </c>
      <c r="O602" s="440">
        <f t="shared" si="8"/>
        <v>180</v>
      </c>
      <c r="P602" s="440">
        <f t="shared" si="9"/>
        <v>1</v>
      </c>
      <c r="Q602">
        <f t="array" ref="Q602">IF(I602&gt;0,INDEX(DB,I602,9),EventIndex)</f>
        <v>6</v>
      </c>
      <c r="S602">
        <f t="array" ref="S602">(INT(INDEX(MINVALUES,$Q602,$K$1))*60)+(MOD(INDEX(MINVALUES,$Q602,$K$1),1)*100)</f>
        <v>180</v>
      </c>
      <c r="T602">
        <f t="array" ref="T602">(INDEX(INCVALUES,$Q602,$K$1)*100)</f>
        <v>1</v>
      </c>
      <c r="V602">
        <f t="array" ref="V602">+J602+(4*(INDEX(MatchScoreTable,$Q602,20)-1))</f>
        <v>4</v>
      </c>
      <c r="W602">
        <f t="array" ref="W602">INDEX(INC_MINVALUES,$V602,$K$1)</f>
        <v>480</v>
      </c>
      <c r="X602" s="212">
        <f t="array" ref="X602">INDEX(INC_INCVALUES,$V602,$K$1)</f>
        <v>4</v>
      </c>
    </row>
    <row r="603" ht="15.75" customHeight="1">
      <c r="A603" s="435"/>
      <c r="B603" s="436"/>
      <c r="C603" s="95" t="str">
        <f t="array" ref="C603">IF(I603&gt;0,INDEX(DB,I603,8),"")</f>
        <v/>
      </c>
      <c r="D603" s="437">
        <f t="shared" si="1"/>
        <v>0</v>
      </c>
      <c r="F603" s="438">
        <f t="shared" si="2"/>
        <v>0</v>
      </c>
      <c r="G603" t="str">
        <f t="shared" si="3"/>
        <v/>
      </c>
      <c r="H603" t="b">
        <f t="shared" si="4"/>
        <v>0</v>
      </c>
      <c r="I603" s="439">
        <f>IF(OR(ISBLANK(A603),ISNA(MATCH(A603&amp;"",AthleteNumbers,0))),0,MATCH(A603&amp;"",AthleteNumbers,0))</f>
        <v>0</v>
      </c>
      <c r="J603" s="209">
        <f t="array" ref="J603">IF(I603&gt;0,INDEX(DB,$I603,6),0)</f>
        <v>0</v>
      </c>
      <c r="K603" s="446">
        <f t="shared" si="5"/>
        <v>0</v>
      </c>
      <c r="L603" s="440">
        <f t="shared" si="6"/>
        <v>0</v>
      </c>
      <c r="M603" s="441">
        <f>IF(AND(L603&gt;O603,O603&gt;0),MinPoints,IF(AND(L603&lt;N603,O603&gt;0),100,+INT((O603-$L603)/P603)+MinPoints))</f>
        <v>100</v>
      </c>
      <c r="N603" s="440">
        <f t="shared" si="7"/>
        <v>90</v>
      </c>
      <c r="O603" s="440">
        <f t="shared" si="8"/>
        <v>180</v>
      </c>
      <c r="P603" s="440">
        <f t="shared" si="9"/>
        <v>1</v>
      </c>
      <c r="Q603">
        <f t="array" ref="Q603">IF(I603&gt;0,INDEX(DB,I603,9),EventIndex)</f>
        <v>6</v>
      </c>
      <c r="S603">
        <f t="array" ref="S603">(INT(INDEX(MINVALUES,$Q603,$K$1))*60)+(MOD(INDEX(MINVALUES,$Q603,$K$1),1)*100)</f>
        <v>180</v>
      </c>
      <c r="T603">
        <f t="array" ref="T603">(INDEX(INCVALUES,$Q603,$K$1)*100)</f>
        <v>1</v>
      </c>
      <c r="V603">
        <f t="array" ref="V603">+J603+(4*(INDEX(MatchScoreTable,$Q603,20)-1))</f>
        <v>4</v>
      </c>
      <c r="W603">
        <f t="array" ref="W603">INDEX(INC_MINVALUES,$V603,$K$1)</f>
        <v>480</v>
      </c>
      <c r="X603" s="212">
        <f t="array" ref="X603">INDEX(INC_INCVALUES,$V603,$K$1)</f>
        <v>4</v>
      </c>
    </row>
    <row r="604" ht="15.75" customHeight="1">
      <c r="A604" s="435"/>
      <c r="B604" s="436"/>
      <c r="C604" s="95" t="str">
        <f t="array" ref="C604">IF(I604&gt;0,INDEX(DB,I604,8),"")</f>
        <v/>
      </c>
      <c r="D604" s="437">
        <f t="shared" si="1"/>
        <v>0</v>
      </c>
      <c r="F604" s="438">
        <f t="shared" si="2"/>
        <v>0</v>
      </c>
      <c r="G604" t="str">
        <f t="shared" si="3"/>
        <v/>
      </c>
      <c r="H604" t="b">
        <f t="shared" si="4"/>
        <v>0</v>
      </c>
      <c r="I604" s="439">
        <f>IF(OR(ISBLANK(A604),ISNA(MATCH(A604&amp;"",AthleteNumbers,0))),0,MATCH(A604&amp;"",AthleteNumbers,0))</f>
        <v>0</v>
      </c>
      <c r="J604" s="209">
        <f t="array" ref="J604">IF(I604&gt;0,INDEX(DB,$I604,6),0)</f>
        <v>0</v>
      </c>
      <c r="K604" s="446">
        <f t="shared" si="5"/>
        <v>0</v>
      </c>
      <c r="L604" s="440">
        <f t="shared" si="6"/>
        <v>0</v>
      </c>
      <c r="M604" s="441">
        <f>IF(AND(L604&gt;O604,O604&gt;0),MinPoints,IF(AND(L604&lt;N604,O604&gt;0),100,+INT((O604-$L604)/P604)+MinPoints))</f>
        <v>100</v>
      </c>
      <c r="N604" s="440">
        <f t="shared" si="7"/>
        <v>90</v>
      </c>
      <c r="O604" s="440">
        <f t="shared" si="8"/>
        <v>180</v>
      </c>
      <c r="P604" s="440">
        <f t="shared" si="9"/>
        <v>1</v>
      </c>
      <c r="Q604">
        <f t="array" ref="Q604">IF(I604&gt;0,INDEX(DB,I604,9),EventIndex)</f>
        <v>6</v>
      </c>
      <c r="S604">
        <f t="array" ref="S604">(INT(INDEX(MINVALUES,$Q604,$K$1))*60)+(MOD(INDEX(MINVALUES,$Q604,$K$1),1)*100)</f>
        <v>180</v>
      </c>
      <c r="T604">
        <f t="array" ref="T604">(INDEX(INCVALUES,$Q604,$K$1)*100)</f>
        <v>1</v>
      </c>
      <c r="V604">
        <f t="array" ref="V604">+J604+(4*(INDEX(MatchScoreTable,$Q604,20)-1))</f>
        <v>4</v>
      </c>
      <c r="W604">
        <f t="array" ref="W604">INDEX(INC_MINVALUES,$V604,$K$1)</f>
        <v>480</v>
      </c>
      <c r="X604" s="212">
        <f t="array" ref="X604">INDEX(INC_INCVALUES,$V604,$K$1)</f>
        <v>4</v>
      </c>
    </row>
    <row r="605" ht="15.75" customHeight="1">
      <c r="A605" s="435"/>
      <c r="B605" s="436"/>
      <c r="C605" s="95" t="str">
        <f t="array" ref="C605">IF(I605&gt;0,INDEX(DB,I605,8),"")</f>
        <v/>
      </c>
      <c r="D605" s="437">
        <f t="shared" si="1"/>
        <v>0</v>
      </c>
      <c r="F605" s="438">
        <f t="shared" si="2"/>
        <v>0</v>
      </c>
      <c r="G605" t="str">
        <f t="shared" si="3"/>
        <v/>
      </c>
      <c r="H605" t="b">
        <f t="shared" si="4"/>
        <v>0</v>
      </c>
      <c r="I605" s="439">
        <f>IF(OR(ISBLANK(A605),ISNA(MATCH(A605&amp;"",AthleteNumbers,0))),0,MATCH(A605&amp;"",AthleteNumbers,0))</f>
        <v>0</v>
      </c>
      <c r="J605" s="209">
        <f t="array" ref="J605">IF(I605&gt;0,INDEX(DB,$I605,6),0)</f>
        <v>0</v>
      </c>
      <c r="K605" s="446">
        <f t="shared" si="5"/>
        <v>0</v>
      </c>
      <c r="L605" s="440">
        <f t="shared" si="6"/>
        <v>0</v>
      </c>
      <c r="M605" s="441">
        <f>IF(AND(L605&gt;O605,O605&gt;0),MinPoints,IF(AND(L605&lt;N605,O605&gt;0),100,+INT((O605-$L605)/P605)+MinPoints))</f>
        <v>100</v>
      </c>
      <c r="N605" s="440">
        <f t="shared" si="7"/>
        <v>90</v>
      </c>
      <c r="O605" s="440">
        <f t="shared" si="8"/>
        <v>180</v>
      </c>
      <c r="P605" s="440">
        <f t="shared" si="9"/>
        <v>1</v>
      </c>
      <c r="Q605">
        <f t="array" ref="Q605">IF(I605&gt;0,INDEX(DB,I605,9),EventIndex)</f>
        <v>6</v>
      </c>
      <c r="S605">
        <f t="array" ref="S605">(INT(INDEX(MINVALUES,$Q605,$K$1))*60)+(MOD(INDEX(MINVALUES,$Q605,$K$1),1)*100)</f>
        <v>180</v>
      </c>
      <c r="T605">
        <f t="array" ref="T605">(INDEX(INCVALUES,$Q605,$K$1)*100)</f>
        <v>1</v>
      </c>
      <c r="V605">
        <f t="array" ref="V605">+J605+(4*(INDEX(MatchScoreTable,$Q605,20)-1))</f>
        <v>4</v>
      </c>
      <c r="W605">
        <f t="array" ref="W605">INDEX(INC_MINVALUES,$V605,$K$1)</f>
        <v>480</v>
      </c>
      <c r="X605" s="212">
        <f t="array" ref="X605">INDEX(INC_INCVALUES,$V605,$K$1)</f>
        <v>4</v>
      </c>
    </row>
    <row r="606" ht="15.75" customHeight="1">
      <c r="A606" s="435"/>
      <c r="B606" s="436"/>
      <c r="C606" s="95" t="str">
        <f t="array" ref="C606">IF(I606&gt;0,INDEX(DB,I606,8),"")</f>
        <v/>
      </c>
      <c r="D606" s="437">
        <f t="shared" si="1"/>
        <v>0</v>
      </c>
      <c r="F606" s="438">
        <f t="shared" si="2"/>
        <v>0</v>
      </c>
      <c r="G606" t="str">
        <f t="shared" si="3"/>
        <v/>
      </c>
      <c r="H606" t="b">
        <f t="shared" si="4"/>
        <v>0</v>
      </c>
      <c r="I606" s="439">
        <f>IF(OR(ISBLANK(A606),ISNA(MATCH(A606&amp;"",AthleteNumbers,0))),0,MATCH(A606&amp;"",AthleteNumbers,0))</f>
        <v>0</v>
      </c>
      <c r="J606" s="209">
        <f t="array" ref="J606">IF(I606&gt;0,INDEX(DB,$I606,6),0)</f>
        <v>0</v>
      </c>
      <c r="K606" s="446">
        <f t="shared" si="5"/>
        <v>0</v>
      </c>
      <c r="L606" s="440">
        <f t="shared" si="6"/>
        <v>0</v>
      </c>
      <c r="M606" s="441">
        <f>IF(AND(L606&gt;O606,O606&gt;0),MinPoints,IF(AND(L606&lt;N606,O606&gt;0),100,+INT((O606-$L606)/P606)+MinPoints))</f>
        <v>100</v>
      </c>
      <c r="N606" s="440">
        <f t="shared" si="7"/>
        <v>90</v>
      </c>
      <c r="O606" s="440">
        <f t="shared" si="8"/>
        <v>180</v>
      </c>
      <c r="P606" s="440">
        <f t="shared" si="9"/>
        <v>1</v>
      </c>
      <c r="Q606">
        <f t="array" ref="Q606">IF(I606&gt;0,INDEX(DB,I606,9),EventIndex)</f>
        <v>6</v>
      </c>
      <c r="S606">
        <f t="array" ref="S606">(INT(INDEX(MINVALUES,$Q606,$K$1))*60)+(MOD(INDEX(MINVALUES,$Q606,$K$1),1)*100)</f>
        <v>180</v>
      </c>
      <c r="T606">
        <f t="array" ref="T606">(INDEX(INCVALUES,$Q606,$K$1)*100)</f>
        <v>1</v>
      </c>
      <c r="V606">
        <f t="array" ref="V606">+J606+(4*(INDEX(MatchScoreTable,$Q606,20)-1))</f>
        <v>4</v>
      </c>
      <c r="W606">
        <f t="array" ref="W606">INDEX(INC_MINVALUES,$V606,$K$1)</f>
        <v>480</v>
      </c>
      <c r="X606" s="212">
        <f t="array" ref="X606">INDEX(INC_INCVALUES,$V606,$K$1)</f>
        <v>4</v>
      </c>
    </row>
    <row r="607" ht="15.75" customHeight="1">
      <c r="A607" s="435"/>
      <c r="B607" s="436"/>
      <c r="C607" s="95" t="str">
        <f t="array" ref="C607">IF(I607&gt;0,INDEX(DB,I607,8),"")</f>
        <v/>
      </c>
      <c r="D607" s="437">
        <f t="shared" si="1"/>
        <v>0</v>
      </c>
      <c r="F607" s="438">
        <f t="shared" si="2"/>
        <v>0</v>
      </c>
      <c r="G607" t="str">
        <f t="shared" si="3"/>
        <v/>
      </c>
      <c r="H607" t="b">
        <f t="shared" si="4"/>
        <v>0</v>
      </c>
      <c r="I607" s="439">
        <f>IF(OR(ISBLANK(A607),ISNA(MATCH(A607&amp;"",AthleteNumbers,0))),0,MATCH(A607&amp;"",AthleteNumbers,0))</f>
        <v>0</v>
      </c>
      <c r="J607" s="209">
        <f t="array" ref="J607">IF(I607&gt;0,INDEX(DB,$I607,6),0)</f>
        <v>0</v>
      </c>
      <c r="K607" s="446">
        <f t="shared" si="5"/>
        <v>0</v>
      </c>
      <c r="L607" s="440">
        <f t="shared" si="6"/>
        <v>0</v>
      </c>
      <c r="M607" s="441">
        <f>IF(AND(L607&gt;O607,O607&gt;0),MinPoints,IF(AND(L607&lt;N607,O607&gt;0),100,+INT((O607-$L607)/P607)+MinPoints))</f>
        <v>100</v>
      </c>
      <c r="N607" s="440">
        <f t="shared" si="7"/>
        <v>90</v>
      </c>
      <c r="O607" s="440">
        <f t="shared" si="8"/>
        <v>180</v>
      </c>
      <c r="P607" s="440">
        <f t="shared" si="9"/>
        <v>1</v>
      </c>
      <c r="Q607">
        <f t="array" ref="Q607">IF(I607&gt;0,INDEX(DB,I607,9),EventIndex)</f>
        <v>6</v>
      </c>
      <c r="S607">
        <f t="array" ref="S607">(INT(INDEX(MINVALUES,$Q607,$K$1))*60)+(MOD(INDEX(MINVALUES,$Q607,$K$1),1)*100)</f>
        <v>180</v>
      </c>
      <c r="T607">
        <f t="array" ref="T607">(INDEX(INCVALUES,$Q607,$K$1)*100)</f>
        <v>1</v>
      </c>
      <c r="V607">
        <f t="array" ref="V607">+J607+(4*(INDEX(MatchScoreTable,$Q607,20)-1))</f>
        <v>4</v>
      </c>
      <c r="W607">
        <f t="array" ref="W607">INDEX(INC_MINVALUES,$V607,$K$1)</f>
        <v>480</v>
      </c>
      <c r="X607" s="212">
        <f t="array" ref="X607">INDEX(INC_INCVALUES,$V607,$K$1)</f>
        <v>4</v>
      </c>
    </row>
    <row r="608" ht="15.75" customHeight="1">
      <c r="A608" s="435"/>
      <c r="B608" s="436"/>
      <c r="C608" s="95" t="str">
        <f t="array" ref="C608">IF(I608&gt;0,INDEX(DB,I608,8),"")</f>
        <v/>
      </c>
      <c r="D608" s="437">
        <f t="shared" si="1"/>
        <v>0</v>
      </c>
      <c r="F608" s="438">
        <f t="shared" si="2"/>
        <v>0</v>
      </c>
      <c r="G608" t="str">
        <f t="shared" si="3"/>
        <v/>
      </c>
      <c r="H608" t="b">
        <f t="shared" si="4"/>
        <v>0</v>
      </c>
      <c r="I608" s="439">
        <f>IF(OR(ISBLANK(A608),ISNA(MATCH(A608&amp;"",AthleteNumbers,0))),0,MATCH(A608&amp;"",AthleteNumbers,0))</f>
        <v>0</v>
      </c>
      <c r="J608" s="209">
        <f t="array" ref="J608">IF(I608&gt;0,INDEX(DB,$I608,6),0)</f>
        <v>0</v>
      </c>
      <c r="K608" s="446">
        <f t="shared" si="5"/>
        <v>0</v>
      </c>
      <c r="L608" s="440">
        <f t="shared" si="6"/>
        <v>0</v>
      </c>
      <c r="M608" s="441">
        <f>IF(AND(L608&gt;O608,O608&gt;0),MinPoints,IF(AND(L608&lt;N608,O608&gt;0),100,+INT((O608-$L608)/P608)+MinPoints))</f>
        <v>100</v>
      </c>
      <c r="N608" s="440">
        <f t="shared" si="7"/>
        <v>90</v>
      </c>
      <c r="O608" s="440">
        <f t="shared" si="8"/>
        <v>180</v>
      </c>
      <c r="P608" s="440">
        <f t="shared" si="9"/>
        <v>1</v>
      </c>
      <c r="Q608">
        <f t="array" ref="Q608">IF(I608&gt;0,INDEX(DB,I608,9),EventIndex)</f>
        <v>6</v>
      </c>
      <c r="S608">
        <f t="array" ref="S608">(INT(INDEX(MINVALUES,$Q608,$K$1))*60)+(MOD(INDEX(MINVALUES,$Q608,$K$1),1)*100)</f>
        <v>180</v>
      </c>
      <c r="T608">
        <f t="array" ref="T608">(INDEX(INCVALUES,$Q608,$K$1)*100)</f>
        <v>1</v>
      </c>
      <c r="V608">
        <f t="array" ref="V608">+J608+(4*(INDEX(MatchScoreTable,$Q608,20)-1))</f>
        <v>4</v>
      </c>
      <c r="W608">
        <f t="array" ref="W608">INDEX(INC_MINVALUES,$V608,$K$1)</f>
        <v>480</v>
      </c>
      <c r="X608" s="212">
        <f t="array" ref="X608">INDEX(INC_INCVALUES,$V608,$K$1)</f>
        <v>4</v>
      </c>
    </row>
    <row r="609" ht="15.75" customHeight="1">
      <c r="A609" s="435"/>
      <c r="B609" s="436"/>
      <c r="C609" s="95" t="str">
        <f t="array" ref="C609">IF(I609&gt;0,INDEX(DB,I609,8),"")</f>
        <v/>
      </c>
      <c r="D609" s="437">
        <f t="shared" si="1"/>
        <v>0</v>
      </c>
      <c r="F609" s="438">
        <f t="shared" si="2"/>
        <v>0</v>
      </c>
      <c r="G609" t="str">
        <f t="shared" si="3"/>
        <v/>
      </c>
      <c r="H609" t="b">
        <f t="shared" si="4"/>
        <v>0</v>
      </c>
      <c r="I609" s="439">
        <f>IF(OR(ISBLANK(A609),ISNA(MATCH(A609&amp;"",AthleteNumbers,0))),0,MATCH(A609&amp;"",AthleteNumbers,0))</f>
        <v>0</v>
      </c>
      <c r="J609" s="209">
        <f t="array" ref="J609">IF(I609&gt;0,INDEX(DB,$I609,6),0)</f>
        <v>0</v>
      </c>
      <c r="K609" s="446">
        <f t="shared" si="5"/>
        <v>0</v>
      </c>
      <c r="L609" s="440">
        <f t="shared" si="6"/>
        <v>0</v>
      </c>
      <c r="M609" s="441">
        <f>IF(AND(L609&gt;O609,O609&gt;0),MinPoints,IF(AND(L609&lt;N609,O609&gt;0),100,+INT((O609-$L609)/P609)+MinPoints))</f>
        <v>100</v>
      </c>
      <c r="N609" s="440">
        <f t="shared" si="7"/>
        <v>90</v>
      </c>
      <c r="O609" s="440">
        <f t="shared" si="8"/>
        <v>180</v>
      </c>
      <c r="P609" s="440">
        <f t="shared" si="9"/>
        <v>1</v>
      </c>
      <c r="Q609">
        <f t="array" ref="Q609">IF(I609&gt;0,INDEX(DB,I609,9),EventIndex)</f>
        <v>6</v>
      </c>
      <c r="S609">
        <f t="array" ref="S609">(INT(INDEX(MINVALUES,$Q609,$K$1))*60)+(MOD(INDEX(MINVALUES,$Q609,$K$1),1)*100)</f>
        <v>180</v>
      </c>
      <c r="T609">
        <f t="array" ref="T609">(INDEX(INCVALUES,$Q609,$K$1)*100)</f>
        <v>1</v>
      </c>
      <c r="V609">
        <f t="array" ref="V609">+J609+(4*(INDEX(MatchScoreTable,$Q609,20)-1))</f>
        <v>4</v>
      </c>
      <c r="W609">
        <f t="array" ref="W609">INDEX(INC_MINVALUES,$V609,$K$1)</f>
        <v>480</v>
      </c>
      <c r="X609" s="212">
        <f t="array" ref="X609">INDEX(INC_INCVALUES,$V609,$K$1)</f>
        <v>4</v>
      </c>
    </row>
    <row r="610" ht="15.75" customHeight="1">
      <c r="A610" s="435"/>
      <c r="B610" s="436"/>
      <c r="C610" s="95" t="str">
        <f t="array" ref="C610">IF(I610&gt;0,INDEX(DB,I610,8),"")</f>
        <v/>
      </c>
      <c r="D610" s="437">
        <f t="shared" si="1"/>
        <v>0</v>
      </c>
      <c r="F610" s="438">
        <f t="shared" si="2"/>
        <v>0</v>
      </c>
      <c r="G610" t="str">
        <f t="shared" si="3"/>
        <v/>
      </c>
      <c r="H610" t="b">
        <f t="shared" si="4"/>
        <v>0</v>
      </c>
      <c r="I610" s="439">
        <f>IF(OR(ISBLANK(A610),ISNA(MATCH(A610&amp;"",AthleteNumbers,0))),0,MATCH(A610&amp;"",AthleteNumbers,0))</f>
        <v>0</v>
      </c>
      <c r="J610" s="209">
        <f t="array" ref="J610">IF(I610&gt;0,INDEX(DB,$I610,6),0)</f>
        <v>0</v>
      </c>
      <c r="K610" s="446">
        <f t="shared" si="5"/>
        <v>0</v>
      </c>
      <c r="L610" s="440">
        <f t="shared" si="6"/>
        <v>0</v>
      </c>
      <c r="M610" s="441">
        <f>IF(AND(L610&gt;O610,O610&gt;0),MinPoints,IF(AND(L610&lt;N610,O610&gt;0),100,+INT((O610-$L610)/P610)+MinPoints))</f>
        <v>100</v>
      </c>
      <c r="N610" s="440">
        <f t="shared" si="7"/>
        <v>90</v>
      </c>
      <c r="O610" s="440">
        <f t="shared" si="8"/>
        <v>180</v>
      </c>
      <c r="P610" s="440">
        <f t="shared" si="9"/>
        <v>1</v>
      </c>
      <c r="Q610">
        <f t="array" ref="Q610">IF(I610&gt;0,INDEX(DB,I610,9),EventIndex)</f>
        <v>6</v>
      </c>
      <c r="S610">
        <f t="array" ref="S610">(INT(INDEX(MINVALUES,$Q610,$K$1))*60)+(MOD(INDEX(MINVALUES,$Q610,$K$1),1)*100)</f>
        <v>180</v>
      </c>
      <c r="T610">
        <f t="array" ref="T610">(INDEX(INCVALUES,$Q610,$K$1)*100)</f>
        <v>1</v>
      </c>
      <c r="V610">
        <f t="array" ref="V610">+J610+(4*(INDEX(MatchScoreTable,$Q610,20)-1))</f>
        <v>4</v>
      </c>
      <c r="W610">
        <f t="array" ref="W610">INDEX(INC_MINVALUES,$V610,$K$1)</f>
        <v>480</v>
      </c>
      <c r="X610" s="212">
        <f t="array" ref="X610">INDEX(INC_INCVALUES,$V610,$K$1)</f>
        <v>4</v>
      </c>
    </row>
    <row r="611" ht="15.75" customHeight="1">
      <c r="A611" s="435"/>
      <c r="B611" s="436"/>
      <c r="C611" s="95" t="str">
        <f t="array" ref="C611">IF(I611&gt;0,INDEX(DB,I611,8),"")</f>
        <v/>
      </c>
      <c r="D611" s="437">
        <f t="shared" si="1"/>
        <v>0</v>
      </c>
      <c r="F611" s="438">
        <f t="shared" si="2"/>
        <v>0</v>
      </c>
      <c r="G611" t="str">
        <f t="shared" si="3"/>
        <v/>
      </c>
      <c r="H611" t="b">
        <f t="shared" si="4"/>
        <v>0</v>
      </c>
      <c r="I611" s="439">
        <f>IF(OR(ISBLANK(A611),ISNA(MATCH(A611&amp;"",AthleteNumbers,0))),0,MATCH(A611&amp;"",AthleteNumbers,0))</f>
        <v>0</v>
      </c>
      <c r="J611" s="209">
        <f t="array" ref="J611">IF(I611&gt;0,INDEX(DB,$I611,6),0)</f>
        <v>0</v>
      </c>
      <c r="K611" s="446">
        <f t="shared" si="5"/>
        <v>0</v>
      </c>
      <c r="L611" s="440">
        <f t="shared" si="6"/>
        <v>0</v>
      </c>
      <c r="M611" s="441">
        <f>IF(AND(L611&gt;O611,O611&gt;0),MinPoints,IF(AND(L611&lt;N611,O611&gt;0),100,+INT((O611-$L611)/P611)+MinPoints))</f>
        <v>100</v>
      </c>
      <c r="N611" s="440">
        <f t="shared" si="7"/>
        <v>90</v>
      </c>
      <c r="O611" s="440">
        <f t="shared" si="8"/>
        <v>180</v>
      </c>
      <c r="P611" s="440">
        <f t="shared" si="9"/>
        <v>1</v>
      </c>
      <c r="Q611">
        <f t="array" ref="Q611">IF(I611&gt;0,INDEX(DB,I611,9),EventIndex)</f>
        <v>6</v>
      </c>
      <c r="S611">
        <f t="array" ref="S611">(INT(INDEX(MINVALUES,$Q611,$K$1))*60)+(MOD(INDEX(MINVALUES,$Q611,$K$1),1)*100)</f>
        <v>180</v>
      </c>
      <c r="T611">
        <f t="array" ref="T611">(INDEX(INCVALUES,$Q611,$K$1)*100)</f>
        <v>1</v>
      </c>
      <c r="V611">
        <f t="array" ref="V611">+J611+(4*(INDEX(MatchScoreTable,$Q611,20)-1))</f>
        <v>4</v>
      </c>
      <c r="W611">
        <f t="array" ref="W611">INDEX(INC_MINVALUES,$V611,$K$1)</f>
        <v>480</v>
      </c>
      <c r="X611" s="212">
        <f t="array" ref="X611">INDEX(INC_INCVALUES,$V611,$K$1)</f>
        <v>4</v>
      </c>
    </row>
    <row r="612" ht="15.75" customHeight="1">
      <c r="A612" s="435"/>
      <c r="B612" s="436"/>
      <c r="C612" s="95" t="str">
        <f t="array" ref="C612">IF(I612&gt;0,INDEX(DB,I612,8),"")</f>
        <v/>
      </c>
      <c r="D612" s="437">
        <f t="shared" si="1"/>
        <v>0</v>
      </c>
      <c r="F612" s="438">
        <f t="shared" si="2"/>
        <v>0</v>
      </c>
      <c r="G612" t="str">
        <f t="shared" si="3"/>
        <v/>
      </c>
      <c r="H612" t="b">
        <f t="shared" si="4"/>
        <v>0</v>
      </c>
      <c r="I612" s="439">
        <f>IF(OR(ISBLANK(A612),ISNA(MATCH(A612&amp;"",AthleteNumbers,0))),0,MATCH(A612&amp;"",AthleteNumbers,0))</f>
        <v>0</v>
      </c>
      <c r="J612" s="209">
        <f t="array" ref="J612">IF(I612&gt;0,INDEX(DB,$I612,6),0)</f>
        <v>0</v>
      </c>
      <c r="K612" s="446">
        <f t="shared" si="5"/>
        <v>0</v>
      </c>
      <c r="L612" s="440">
        <f t="shared" si="6"/>
        <v>0</v>
      </c>
      <c r="M612" s="441">
        <f>IF(AND(L612&gt;O612,O612&gt;0),MinPoints,IF(AND(L612&lt;N612,O612&gt;0),100,+INT((O612-$L612)/P612)+MinPoints))</f>
        <v>100</v>
      </c>
      <c r="N612" s="440">
        <f t="shared" si="7"/>
        <v>90</v>
      </c>
      <c r="O612" s="440">
        <f t="shared" si="8"/>
        <v>180</v>
      </c>
      <c r="P612" s="440">
        <f t="shared" si="9"/>
        <v>1</v>
      </c>
      <c r="Q612">
        <f t="array" ref="Q612">IF(I612&gt;0,INDEX(DB,I612,9),EventIndex)</f>
        <v>6</v>
      </c>
      <c r="S612">
        <f t="array" ref="S612">(INT(INDEX(MINVALUES,$Q612,$K$1))*60)+(MOD(INDEX(MINVALUES,$Q612,$K$1),1)*100)</f>
        <v>180</v>
      </c>
      <c r="T612">
        <f t="array" ref="T612">(INDEX(INCVALUES,$Q612,$K$1)*100)</f>
        <v>1</v>
      </c>
      <c r="V612">
        <f t="array" ref="V612">+J612+(4*(INDEX(MatchScoreTable,$Q612,20)-1))</f>
        <v>4</v>
      </c>
      <c r="W612">
        <f t="array" ref="W612">INDEX(INC_MINVALUES,$V612,$K$1)</f>
        <v>480</v>
      </c>
      <c r="X612" s="212">
        <f t="array" ref="X612">INDEX(INC_INCVALUES,$V612,$K$1)</f>
        <v>4</v>
      </c>
    </row>
    <row r="613" ht="15.75" customHeight="1">
      <c r="A613" s="435"/>
      <c r="B613" s="436"/>
      <c r="C613" s="95" t="str">
        <f t="array" ref="C613">IF(I613&gt;0,INDEX(DB,I613,8),"")</f>
        <v/>
      </c>
      <c r="D613" s="437">
        <f t="shared" si="1"/>
        <v>0</v>
      </c>
      <c r="F613" s="438">
        <f t="shared" si="2"/>
        <v>0</v>
      </c>
      <c r="G613" t="str">
        <f t="shared" si="3"/>
        <v/>
      </c>
      <c r="H613" t="b">
        <f t="shared" si="4"/>
        <v>0</v>
      </c>
      <c r="I613" s="439">
        <f>IF(OR(ISBLANK(A613),ISNA(MATCH(A613&amp;"",AthleteNumbers,0))),0,MATCH(A613&amp;"",AthleteNumbers,0))</f>
        <v>0</v>
      </c>
      <c r="J613" s="209">
        <f t="array" ref="J613">IF(I613&gt;0,INDEX(DB,$I613,6),0)</f>
        <v>0</v>
      </c>
      <c r="K613" s="446">
        <f t="shared" si="5"/>
        <v>0</v>
      </c>
      <c r="L613" s="440">
        <f t="shared" si="6"/>
        <v>0</v>
      </c>
      <c r="M613" s="441">
        <f>IF(AND(L613&gt;O613,O613&gt;0),MinPoints,IF(AND(L613&lt;N613,O613&gt;0),100,+INT((O613-$L613)/P613)+MinPoints))</f>
        <v>100</v>
      </c>
      <c r="N613" s="440">
        <f t="shared" si="7"/>
        <v>90</v>
      </c>
      <c r="O613" s="440">
        <f t="shared" si="8"/>
        <v>180</v>
      </c>
      <c r="P613" s="440">
        <f t="shared" si="9"/>
        <v>1</v>
      </c>
      <c r="Q613">
        <f t="array" ref="Q613">IF(I613&gt;0,INDEX(DB,I613,9),EventIndex)</f>
        <v>6</v>
      </c>
      <c r="S613">
        <f t="array" ref="S613">(INT(INDEX(MINVALUES,$Q613,$K$1))*60)+(MOD(INDEX(MINVALUES,$Q613,$K$1),1)*100)</f>
        <v>180</v>
      </c>
      <c r="T613">
        <f t="array" ref="T613">(INDEX(INCVALUES,$Q613,$K$1)*100)</f>
        <v>1</v>
      </c>
      <c r="V613">
        <f t="array" ref="V613">+J613+(4*(INDEX(MatchScoreTable,$Q613,20)-1))</f>
        <v>4</v>
      </c>
      <c r="W613">
        <f t="array" ref="W613">INDEX(INC_MINVALUES,$V613,$K$1)</f>
        <v>480</v>
      </c>
      <c r="X613" s="212">
        <f t="array" ref="X613">INDEX(INC_INCVALUES,$V613,$K$1)</f>
        <v>4</v>
      </c>
    </row>
    <row r="614" ht="15.75" customHeight="1">
      <c r="A614" s="435"/>
      <c r="B614" s="436"/>
      <c r="C614" s="95" t="str">
        <f t="array" ref="C614">IF(I614&gt;0,INDEX(DB,I614,8),"")</f>
        <v/>
      </c>
      <c r="D614" s="437">
        <f t="shared" si="1"/>
        <v>0</v>
      </c>
      <c r="F614" s="438">
        <f t="shared" si="2"/>
        <v>0</v>
      </c>
      <c r="G614" t="str">
        <f t="shared" si="3"/>
        <v/>
      </c>
      <c r="H614" t="b">
        <f t="shared" si="4"/>
        <v>0</v>
      </c>
      <c r="I614" s="439">
        <f>IF(OR(ISBLANK(A614),ISNA(MATCH(A614&amp;"",AthleteNumbers,0))),0,MATCH(A614&amp;"",AthleteNumbers,0))</f>
        <v>0</v>
      </c>
      <c r="J614" s="209">
        <f t="array" ref="J614">IF(I614&gt;0,INDEX(DB,$I614,6),0)</f>
        <v>0</v>
      </c>
      <c r="K614" s="446">
        <f t="shared" si="5"/>
        <v>0</v>
      </c>
      <c r="L614" s="440">
        <f t="shared" si="6"/>
        <v>0</v>
      </c>
      <c r="M614" s="441">
        <f>IF(AND(L614&gt;O614,O614&gt;0),MinPoints,IF(AND(L614&lt;N614,O614&gt;0),100,+INT((O614-$L614)/P614)+MinPoints))</f>
        <v>100</v>
      </c>
      <c r="N614" s="440">
        <f t="shared" si="7"/>
        <v>90</v>
      </c>
      <c r="O614" s="440">
        <f t="shared" si="8"/>
        <v>180</v>
      </c>
      <c r="P614" s="440">
        <f t="shared" si="9"/>
        <v>1</v>
      </c>
      <c r="Q614">
        <f t="array" ref="Q614">IF(I614&gt;0,INDEX(DB,I614,9),EventIndex)</f>
        <v>6</v>
      </c>
      <c r="S614">
        <f t="array" ref="S614">(INT(INDEX(MINVALUES,$Q614,$K$1))*60)+(MOD(INDEX(MINVALUES,$Q614,$K$1),1)*100)</f>
        <v>180</v>
      </c>
      <c r="T614">
        <f t="array" ref="T614">(INDEX(INCVALUES,$Q614,$K$1)*100)</f>
        <v>1</v>
      </c>
      <c r="V614">
        <f t="array" ref="V614">+J614+(4*(INDEX(MatchScoreTable,$Q614,20)-1))</f>
        <v>4</v>
      </c>
      <c r="W614">
        <f t="array" ref="W614">INDEX(INC_MINVALUES,$V614,$K$1)</f>
        <v>480</v>
      </c>
      <c r="X614" s="212">
        <f t="array" ref="X614">INDEX(INC_INCVALUES,$V614,$K$1)</f>
        <v>4</v>
      </c>
    </row>
    <row r="615" ht="15.75" customHeight="1">
      <c r="A615" s="435"/>
      <c r="B615" s="436"/>
      <c r="C615" s="95" t="str">
        <f t="array" ref="C615">IF(I615&gt;0,INDEX(DB,I615,8),"")</f>
        <v/>
      </c>
      <c r="D615" s="437">
        <f t="shared" si="1"/>
        <v>0</v>
      </c>
      <c r="F615" s="438">
        <f t="shared" si="2"/>
        <v>0</v>
      </c>
      <c r="G615" t="str">
        <f t="shared" si="3"/>
        <v/>
      </c>
      <c r="H615" t="b">
        <f t="shared" si="4"/>
        <v>0</v>
      </c>
      <c r="I615" s="439">
        <f>IF(OR(ISBLANK(A615),ISNA(MATCH(A615&amp;"",AthleteNumbers,0))),0,MATCH(A615&amp;"",AthleteNumbers,0))</f>
        <v>0</v>
      </c>
      <c r="J615" s="209">
        <f t="array" ref="J615">IF(I615&gt;0,INDEX(DB,$I615,6),0)</f>
        <v>0</v>
      </c>
      <c r="K615" s="446">
        <f t="shared" si="5"/>
        <v>0</v>
      </c>
      <c r="L615" s="440">
        <f t="shared" si="6"/>
        <v>0</v>
      </c>
      <c r="M615" s="441">
        <f>IF(AND(L615&gt;O615,O615&gt;0),MinPoints,IF(AND(L615&lt;N615,O615&gt;0),100,+INT((O615-$L615)/P615)+MinPoints))</f>
        <v>100</v>
      </c>
      <c r="N615" s="440">
        <f t="shared" si="7"/>
        <v>90</v>
      </c>
      <c r="O615" s="440">
        <f t="shared" si="8"/>
        <v>180</v>
      </c>
      <c r="P615" s="440">
        <f t="shared" si="9"/>
        <v>1</v>
      </c>
      <c r="Q615">
        <f t="array" ref="Q615">IF(I615&gt;0,INDEX(DB,I615,9),EventIndex)</f>
        <v>6</v>
      </c>
      <c r="S615">
        <f t="array" ref="S615">(INT(INDEX(MINVALUES,$Q615,$K$1))*60)+(MOD(INDEX(MINVALUES,$Q615,$K$1),1)*100)</f>
        <v>180</v>
      </c>
      <c r="T615">
        <f t="array" ref="T615">(INDEX(INCVALUES,$Q615,$K$1)*100)</f>
        <v>1</v>
      </c>
      <c r="V615">
        <f t="array" ref="V615">+J615+(4*(INDEX(MatchScoreTable,$Q615,20)-1))</f>
        <v>4</v>
      </c>
      <c r="W615">
        <f t="array" ref="W615">INDEX(INC_MINVALUES,$V615,$K$1)</f>
        <v>480</v>
      </c>
      <c r="X615" s="212">
        <f t="array" ref="X615">INDEX(INC_INCVALUES,$V615,$K$1)</f>
        <v>4</v>
      </c>
    </row>
    <row r="616" ht="15.75" customHeight="1">
      <c r="A616" s="435"/>
      <c r="B616" s="436"/>
      <c r="C616" s="95" t="str">
        <f t="array" ref="C616">IF(I616&gt;0,INDEX(DB,I616,8),"")</f>
        <v/>
      </c>
      <c r="D616" s="437">
        <f t="shared" si="1"/>
        <v>0</v>
      </c>
      <c r="F616" s="438">
        <f t="shared" si="2"/>
        <v>0</v>
      </c>
      <c r="G616" t="str">
        <f t="shared" si="3"/>
        <v/>
      </c>
      <c r="H616" t="b">
        <f t="shared" si="4"/>
        <v>0</v>
      </c>
      <c r="I616" s="439">
        <f>IF(OR(ISBLANK(A616),ISNA(MATCH(A616&amp;"",AthleteNumbers,0))),0,MATCH(A616&amp;"",AthleteNumbers,0))</f>
        <v>0</v>
      </c>
      <c r="J616" s="209">
        <f t="array" ref="J616">IF(I616&gt;0,INDEX(DB,$I616,6),0)</f>
        <v>0</v>
      </c>
      <c r="K616" s="446">
        <f t="shared" si="5"/>
        <v>0</v>
      </c>
      <c r="L616" s="440">
        <f t="shared" si="6"/>
        <v>0</v>
      </c>
      <c r="M616" s="441">
        <f>IF(AND(L616&gt;O616,O616&gt;0),MinPoints,IF(AND(L616&lt;N616,O616&gt;0),100,+INT((O616-$L616)/P616)+MinPoints))</f>
        <v>100</v>
      </c>
      <c r="N616" s="440">
        <f t="shared" si="7"/>
        <v>90</v>
      </c>
      <c r="O616" s="440">
        <f t="shared" si="8"/>
        <v>180</v>
      </c>
      <c r="P616" s="440">
        <f t="shared" si="9"/>
        <v>1</v>
      </c>
      <c r="Q616">
        <f t="array" ref="Q616">IF(I616&gt;0,INDEX(DB,I616,9),EventIndex)</f>
        <v>6</v>
      </c>
      <c r="S616">
        <f t="array" ref="S616">(INT(INDEX(MINVALUES,$Q616,$K$1))*60)+(MOD(INDEX(MINVALUES,$Q616,$K$1),1)*100)</f>
        <v>180</v>
      </c>
      <c r="T616">
        <f t="array" ref="T616">(INDEX(INCVALUES,$Q616,$K$1)*100)</f>
        <v>1</v>
      </c>
      <c r="V616">
        <f t="array" ref="V616">+J616+(4*(INDEX(MatchScoreTable,$Q616,20)-1))</f>
        <v>4</v>
      </c>
      <c r="W616">
        <f t="array" ref="W616">INDEX(INC_MINVALUES,$V616,$K$1)</f>
        <v>480</v>
      </c>
      <c r="X616" s="212">
        <f t="array" ref="X616">INDEX(INC_INCVALUES,$V616,$K$1)</f>
        <v>4</v>
      </c>
    </row>
    <row r="617" ht="15.75" customHeight="1">
      <c r="A617" s="435"/>
      <c r="B617" s="436"/>
      <c r="C617" s="95" t="str">
        <f t="array" ref="C617">IF(I617&gt;0,INDEX(DB,I617,8),"")</f>
        <v/>
      </c>
      <c r="D617" s="437">
        <f t="shared" si="1"/>
        <v>0</v>
      </c>
      <c r="F617" s="438">
        <f t="shared" si="2"/>
        <v>0</v>
      </c>
      <c r="G617" t="str">
        <f t="shared" si="3"/>
        <v/>
      </c>
      <c r="H617" t="b">
        <f t="shared" si="4"/>
        <v>0</v>
      </c>
      <c r="I617" s="439">
        <f>IF(OR(ISBLANK(A617),ISNA(MATCH(A617&amp;"",AthleteNumbers,0))),0,MATCH(A617&amp;"",AthleteNumbers,0))</f>
        <v>0</v>
      </c>
      <c r="J617" s="209">
        <f t="array" ref="J617">IF(I617&gt;0,INDEX(DB,$I617,6),0)</f>
        <v>0</v>
      </c>
      <c r="K617" s="446">
        <f t="shared" si="5"/>
        <v>0</v>
      </c>
      <c r="L617" s="440">
        <f t="shared" si="6"/>
        <v>0</v>
      </c>
      <c r="M617" s="441">
        <f>IF(AND(L617&gt;O617,O617&gt;0),MinPoints,IF(AND(L617&lt;N617,O617&gt;0),100,+INT((O617-$L617)/P617)+MinPoints))</f>
        <v>100</v>
      </c>
      <c r="N617" s="440">
        <f t="shared" si="7"/>
        <v>90</v>
      </c>
      <c r="O617" s="440">
        <f t="shared" si="8"/>
        <v>180</v>
      </c>
      <c r="P617" s="440">
        <f t="shared" si="9"/>
        <v>1</v>
      </c>
      <c r="Q617">
        <f t="array" ref="Q617">IF(I617&gt;0,INDEX(DB,I617,9),EventIndex)</f>
        <v>6</v>
      </c>
      <c r="S617">
        <f t="array" ref="S617">(INT(INDEX(MINVALUES,$Q617,$K$1))*60)+(MOD(INDEX(MINVALUES,$Q617,$K$1),1)*100)</f>
        <v>180</v>
      </c>
      <c r="T617">
        <f t="array" ref="T617">(INDEX(INCVALUES,$Q617,$K$1)*100)</f>
        <v>1</v>
      </c>
      <c r="V617">
        <f t="array" ref="V617">+J617+(4*(INDEX(MatchScoreTable,$Q617,20)-1))</f>
        <v>4</v>
      </c>
      <c r="W617">
        <f t="array" ref="W617">INDEX(INC_MINVALUES,$V617,$K$1)</f>
        <v>480</v>
      </c>
      <c r="X617" s="212">
        <f t="array" ref="X617">INDEX(INC_INCVALUES,$V617,$K$1)</f>
        <v>4</v>
      </c>
    </row>
    <row r="618" ht="15.75" customHeight="1">
      <c r="A618" s="435"/>
      <c r="B618" s="436"/>
      <c r="C618" s="95" t="str">
        <f t="array" ref="C618">IF(I618&gt;0,INDEX(DB,I618,8),"")</f>
        <v/>
      </c>
      <c r="D618" s="437">
        <f t="shared" si="1"/>
        <v>0</v>
      </c>
      <c r="F618" s="438">
        <f t="shared" si="2"/>
        <v>0</v>
      </c>
      <c r="G618" t="str">
        <f t="shared" si="3"/>
        <v/>
      </c>
      <c r="H618" t="b">
        <f t="shared" si="4"/>
        <v>0</v>
      </c>
      <c r="I618" s="439">
        <f>IF(OR(ISBLANK(A618),ISNA(MATCH(A618&amp;"",AthleteNumbers,0))),0,MATCH(A618&amp;"",AthleteNumbers,0))</f>
        <v>0</v>
      </c>
      <c r="J618" s="209">
        <f t="array" ref="J618">IF(I618&gt;0,INDEX(DB,$I618,6),0)</f>
        <v>0</v>
      </c>
      <c r="K618" s="446">
        <f t="shared" si="5"/>
        <v>0</v>
      </c>
      <c r="L618" s="440">
        <f t="shared" si="6"/>
        <v>0</v>
      </c>
      <c r="M618" s="441">
        <f>IF(AND(L618&gt;O618,O618&gt;0),MinPoints,IF(AND(L618&lt;N618,O618&gt;0),100,+INT((O618-$L618)/P618)+MinPoints))</f>
        <v>100</v>
      </c>
      <c r="N618" s="440">
        <f t="shared" si="7"/>
        <v>90</v>
      </c>
      <c r="O618" s="440">
        <f t="shared" si="8"/>
        <v>180</v>
      </c>
      <c r="P618" s="440">
        <f t="shared" si="9"/>
        <v>1</v>
      </c>
      <c r="Q618">
        <f t="array" ref="Q618">IF(I618&gt;0,INDEX(DB,I618,9),EventIndex)</f>
        <v>6</v>
      </c>
      <c r="S618">
        <f t="array" ref="S618">(INT(INDEX(MINVALUES,$Q618,$K$1))*60)+(MOD(INDEX(MINVALUES,$Q618,$K$1),1)*100)</f>
        <v>180</v>
      </c>
      <c r="T618">
        <f t="array" ref="T618">(INDEX(INCVALUES,$Q618,$K$1)*100)</f>
        <v>1</v>
      </c>
      <c r="V618">
        <f t="array" ref="V618">+J618+(4*(INDEX(MatchScoreTable,$Q618,20)-1))</f>
        <v>4</v>
      </c>
      <c r="W618">
        <f t="array" ref="W618">INDEX(INC_MINVALUES,$V618,$K$1)</f>
        <v>480</v>
      </c>
      <c r="X618" s="212">
        <f t="array" ref="X618">INDEX(INC_INCVALUES,$V618,$K$1)</f>
        <v>4</v>
      </c>
    </row>
    <row r="619" ht="15.75" customHeight="1">
      <c r="A619" s="435"/>
      <c r="B619" s="436"/>
      <c r="C619" s="95" t="str">
        <f t="array" ref="C619">IF(I619&gt;0,INDEX(DB,I619,8),"")</f>
        <v/>
      </c>
      <c r="D619" s="437">
        <f t="shared" si="1"/>
        <v>0</v>
      </c>
      <c r="F619" s="438">
        <f t="shared" si="2"/>
        <v>0</v>
      </c>
      <c r="G619" t="str">
        <f t="shared" si="3"/>
        <v/>
      </c>
      <c r="H619" t="b">
        <f t="shared" si="4"/>
        <v>0</v>
      </c>
      <c r="I619" s="439">
        <f>IF(OR(ISBLANK(A619),ISNA(MATCH(A619&amp;"",AthleteNumbers,0))),0,MATCH(A619&amp;"",AthleteNumbers,0))</f>
        <v>0</v>
      </c>
      <c r="J619" s="209">
        <f t="array" ref="J619">IF(I619&gt;0,INDEX(DB,$I619,6),0)</f>
        <v>0</v>
      </c>
      <c r="K619" s="446">
        <f t="shared" si="5"/>
        <v>0</v>
      </c>
      <c r="L619" s="440">
        <f t="shared" si="6"/>
        <v>0</v>
      </c>
      <c r="M619" s="441">
        <f>IF(AND(L619&gt;O619,O619&gt;0),MinPoints,IF(AND(L619&lt;N619,O619&gt;0),100,+INT((O619-$L619)/P619)+MinPoints))</f>
        <v>100</v>
      </c>
      <c r="N619" s="440">
        <f t="shared" si="7"/>
        <v>90</v>
      </c>
      <c r="O619" s="440">
        <f t="shared" si="8"/>
        <v>180</v>
      </c>
      <c r="P619" s="440">
        <f t="shared" si="9"/>
        <v>1</v>
      </c>
      <c r="Q619">
        <f t="array" ref="Q619">IF(I619&gt;0,INDEX(DB,I619,9),EventIndex)</f>
        <v>6</v>
      </c>
      <c r="S619">
        <f t="array" ref="S619">(INT(INDEX(MINVALUES,$Q619,$K$1))*60)+(MOD(INDEX(MINVALUES,$Q619,$K$1),1)*100)</f>
        <v>180</v>
      </c>
      <c r="T619">
        <f t="array" ref="T619">(INDEX(INCVALUES,$Q619,$K$1)*100)</f>
        <v>1</v>
      </c>
      <c r="V619">
        <f t="array" ref="V619">+J619+(4*(INDEX(MatchScoreTable,$Q619,20)-1))</f>
        <v>4</v>
      </c>
      <c r="W619">
        <f t="array" ref="W619">INDEX(INC_MINVALUES,$V619,$K$1)</f>
        <v>480</v>
      </c>
      <c r="X619" s="212">
        <f t="array" ref="X619">INDEX(INC_INCVALUES,$V619,$K$1)</f>
        <v>4</v>
      </c>
    </row>
    <row r="620" ht="15.75" customHeight="1">
      <c r="A620" s="435"/>
      <c r="B620" s="436"/>
      <c r="C620" s="95" t="str">
        <f t="array" ref="C620">IF(I620&gt;0,INDEX(DB,I620,8),"")</f>
        <v/>
      </c>
      <c r="D620" s="437">
        <f t="shared" si="1"/>
        <v>0</v>
      </c>
      <c r="F620" s="438">
        <f t="shared" si="2"/>
        <v>0</v>
      </c>
      <c r="G620" t="str">
        <f t="shared" si="3"/>
        <v/>
      </c>
      <c r="H620" t="b">
        <f t="shared" si="4"/>
        <v>0</v>
      </c>
      <c r="I620" s="439">
        <f>IF(OR(ISBLANK(A620),ISNA(MATCH(A620&amp;"",AthleteNumbers,0))),0,MATCH(A620&amp;"",AthleteNumbers,0))</f>
        <v>0</v>
      </c>
      <c r="J620" s="209">
        <f t="array" ref="J620">IF(I620&gt;0,INDEX(DB,$I620,6),0)</f>
        <v>0</v>
      </c>
      <c r="K620" s="446">
        <f t="shared" si="5"/>
        <v>0</v>
      </c>
      <c r="L620" s="440">
        <f t="shared" si="6"/>
        <v>0</v>
      </c>
      <c r="M620" s="441">
        <f>IF(AND(L620&gt;O620,O620&gt;0),MinPoints,IF(AND(L620&lt;N620,O620&gt;0),100,+INT((O620-$L620)/P620)+MinPoints))</f>
        <v>100</v>
      </c>
      <c r="N620" s="440">
        <f t="shared" si="7"/>
        <v>90</v>
      </c>
      <c r="O620" s="440">
        <f t="shared" si="8"/>
        <v>180</v>
      </c>
      <c r="P620" s="440">
        <f t="shared" si="9"/>
        <v>1</v>
      </c>
      <c r="Q620">
        <f t="array" ref="Q620">IF(I620&gt;0,INDEX(DB,I620,9),EventIndex)</f>
        <v>6</v>
      </c>
      <c r="S620">
        <f t="array" ref="S620">(INT(INDEX(MINVALUES,$Q620,$K$1))*60)+(MOD(INDEX(MINVALUES,$Q620,$K$1),1)*100)</f>
        <v>180</v>
      </c>
      <c r="T620">
        <f t="array" ref="T620">(INDEX(INCVALUES,$Q620,$K$1)*100)</f>
        <v>1</v>
      </c>
      <c r="V620">
        <f t="array" ref="V620">+J620+(4*(INDEX(MatchScoreTable,$Q620,20)-1))</f>
        <v>4</v>
      </c>
      <c r="W620">
        <f t="array" ref="W620">INDEX(INC_MINVALUES,$V620,$K$1)</f>
        <v>480</v>
      </c>
      <c r="X620" s="212">
        <f t="array" ref="X620">INDEX(INC_INCVALUES,$V620,$K$1)</f>
        <v>4</v>
      </c>
    </row>
    <row r="621" ht="15.75" customHeight="1">
      <c r="A621" s="435"/>
      <c r="B621" s="436"/>
      <c r="C621" s="95" t="str">
        <f t="array" ref="C621">IF(I621&gt;0,INDEX(DB,I621,8),"")</f>
        <v/>
      </c>
      <c r="D621" s="437">
        <f t="shared" si="1"/>
        <v>0</v>
      </c>
      <c r="F621" s="438">
        <f t="shared" si="2"/>
        <v>0</v>
      </c>
      <c r="G621" t="str">
        <f t="shared" si="3"/>
        <v/>
      </c>
      <c r="H621" t="b">
        <f t="shared" si="4"/>
        <v>0</v>
      </c>
      <c r="I621" s="439">
        <f>IF(OR(ISBLANK(A621),ISNA(MATCH(A621&amp;"",AthleteNumbers,0))),0,MATCH(A621&amp;"",AthleteNumbers,0))</f>
        <v>0</v>
      </c>
      <c r="J621" s="209">
        <f t="array" ref="J621">IF(I621&gt;0,INDEX(DB,$I621,6),0)</f>
        <v>0</v>
      </c>
      <c r="K621" s="446">
        <f t="shared" si="5"/>
        <v>0</v>
      </c>
      <c r="L621" s="440">
        <f t="shared" si="6"/>
        <v>0</v>
      </c>
      <c r="M621" s="441">
        <f>IF(AND(L621&gt;O621,O621&gt;0),MinPoints,IF(AND(L621&lt;N621,O621&gt;0),100,+INT((O621-$L621)/P621)+MinPoints))</f>
        <v>100</v>
      </c>
      <c r="N621" s="440">
        <f t="shared" si="7"/>
        <v>90</v>
      </c>
      <c r="O621" s="440">
        <f t="shared" si="8"/>
        <v>180</v>
      </c>
      <c r="P621" s="440">
        <f t="shared" si="9"/>
        <v>1</v>
      </c>
      <c r="Q621">
        <f t="array" ref="Q621">IF(I621&gt;0,INDEX(DB,I621,9),EventIndex)</f>
        <v>6</v>
      </c>
      <c r="S621">
        <f t="array" ref="S621">(INT(INDEX(MINVALUES,$Q621,$K$1))*60)+(MOD(INDEX(MINVALUES,$Q621,$K$1),1)*100)</f>
        <v>180</v>
      </c>
      <c r="T621">
        <f t="array" ref="T621">(INDEX(INCVALUES,$Q621,$K$1)*100)</f>
        <v>1</v>
      </c>
      <c r="V621">
        <f t="array" ref="V621">+J621+(4*(INDEX(MatchScoreTable,$Q621,20)-1))</f>
        <v>4</v>
      </c>
      <c r="W621">
        <f t="array" ref="W621">INDEX(INC_MINVALUES,$V621,$K$1)</f>
        <v>480</v>
      </c>
      <c r="X621" s="212">
        <f t="array" ref="X621">INDEX(INC_INCVALUES,$V621,$K$1)</f>
        <v>4</v>
      </c>
    </row>
    <row r="622" ht="15.75" customHeight="1">
      <c r="A622" s="435"/>
      <c r="B622" s="436"/>
      <c r="C622" s="95" t="str">
        <f t="array" ref="C622">IF(I622&gt;0,INDEX(DB,I622,8),"")</f>
        <v/>
      </c>
      <c r="D622" s="437">
        <f t="shared" si="1"/>
        <v>0</v>
      </c>
      <c r="F622" s="438">
        <f t="shared" si="2"/>
        <v>0</v>
      </c>
      <c r="G622" t="str">
        <f t="shared" si="3"/>
        <v/>
      </c>
      <c r="H622" t="b">
        <f t="shared" si="4"/>
        <v>0</v>
      </c>
      <c r="I622" s="439">
        <f>IF(OR(ISBLANK(A622),ISNA(MATCH(A622&amp;"",AthleteNumbers,0))),0,MATCH(A622&amp;"",AthleteNumbers,0))</f>
        <v>0</v>
      </c>
      <c r="J622" s="209">
        <f t="array" ref="J622">IF(I622&gt;0,INDEX(DB,$I622,6),0)</f>
        <v>0</v>
      </c>
      <c r="K622" s="446">
        <f t="shared" si="5"/>
        <v>0</v>
      </c>
      <c r="L622" s="440">
        <f t="shared" si="6"/>
        <v>0</v>
      </c>
      <c r="M622" s="441">
        <f>IF(AND(L622&gt;O622,O622&gt;0),MinPoints,IF(AND(L622&lt;N622,O622&gt;0),100,+INT((O622-$L622)/P622)+MinPoints))</f>
        <v>100</v>
      </c>
      <c r="N622" s="440">
        <f t="shared" si="7"/>
        <v>90</v>
      </c>
      <c r="O622" s="440">
        <f t="shared" si="8"/>
        <v>180</v>
      </c>
      <c r="P622" s="440">
        <f t="shared" si="9"/>
        <v>1</v>
      </c>
      <c r="Q622">
        <f t="array" ref="Q622">IF(I622&gt;0,INDEX(DB,I622,9),EventIndex)</f>
        <v>6</v>
      </c>
      <c r="S622">
        <f t="array" ref="S622">(INT(INDEX(MINVALUES,$Q622,$K$1))*60)+(MOD(INDEX(MINVALUES,$Q622,$K$1),1)*100)</f>
        <v>180</v>
      </c>
      <c r="T622">
        <f t="array" ref="T622">(INDEX(INCVALUES,$Q622,$K$1)*100)</f>
        <v>1</v>
      </c>
      <c r="V622">
        <f t="array" ref="V622">+J622+(4*(INDEX(MatchScoreTable,$Q622,20)-1))</f>
        <v>4</v>
      </c>
      <c r="W622">
        <f t="array" ref="W622">INDEX(INC_MINVALUES,$V622,$K$1)</f>
        <v>480</v>
      </c>
      <c r="X622" s="212">
        <f t="array" ref="X622">INDEX(INC_INCVALUES,$V622,$K$1)</f>
        <v>4</v>
      </c>
    </row>
    <row r="623" ht="15.75" customHeight="1">
      <c r="A623" s="435"/>
      <c r="B623" s="436"/>
      <c r="C623" s="95" t="str">
        <f t="array" ref="C623">IF(I623&gt;0,INDEX(DB,I623,8),"")</f>
        <v/>
      </c>
      <c r="D623" s="437">
        <f t="shared" si="1"/>
        <v>0</v>
      </c>
      <c r="F623" s="438">
        <f t="shared" si="2"/>
        <v>0</v>
      </c>
      <c r="G623" t="str">
        <f t="shared" si="3"/>
        <v/>
      </c>
      <c r="H623" t="b">
        <f t="shared" si="4"/>
        <v>0</v>
      </c>
      <c r="I623" s="439">
        <f>IF(OR(ISBLANK(A623),ISNA(MATCH(A623&amp;"",AthleteNumbers,0))),0,MATCH(A623&amp;"",AthleteNumbers,0))</f>
        <v>0</v>
      </c>
      <c r="J623" s="209">
        <f t="array" ref="J623">IF(I623&gt;0,INDEX(DB,$I623,6),0)</f>
        <v>0</v>
      </c>
      <c r="K623" s="446">
        <f t="shared" si="5"/>
        <v>0</v>
      </c>
      <c r="L623" s="440">
        <f t="shared" si="6"/>
        <v>0</v>
      </c>
      <c r="M623" s="441">
        <f>IF(AND(L623&gt;O623,O623&gt;0),MinPoints,IF(AND(L623&lt;N623,O623&gt;0),100,+INT((O623-$L623)/P623)+MinPoints))</f>
        <v>100</v>
      </c>
      <c r="N623" s="440">
        <f t="shared" si="7"/>
        <v>90</v>
      </c>
      <c r="O623" s="440">
        <f t="shared" si="8"/>
        <v>180</v>
      </c>
      <c r="P623" s="440">
        <f t="shared" si="9"/>
        <v>1</v>
      </c>
      <c r="Q623">
        <f t="array" ref="Q623">IF(I623&gt;0,INDEX(DB,I623,9),EventIndex)</f>
        <v>6</v>
      </c>
      <c r="S623">
        <f t="array" ref="S623">(INT(INDEX(MINVALUES,$Q623,$K$1))*60)+(MOD(INDEX(MINVALUES,$Q623,$K$1),1)*100)</f>
        <v>180</v>
      </c>
      <c r="T623">
        <f t="array" ref="T623">(INDEX(INCVALUES,$Q623,$K$1)*100)</f>
        <v>1</v>
      </c>
      <c r="V623">
        <f t="array" ref="V623">+J623+(4*(INDEX(MatchScoreTable,$Q623,20)-1))</f>
        <v>4</v>
      </c>
      <c r="W623">
        <f t="array" ref="W623">INDEX(INC_MINVALUES,$V623,$K$1)</f>
        <v>480</v>
      </c>
      <c r="X623" s="212">
        <f t="array" ref="X623">INDEX(INC_INCVALUES,$V623,$K$1)</f>
        <v>4</v>
      </c>
    </row>
    <row r="624" ht="15.75" customHeight="1">
      <c r="A624" s="435"/>
      <c r="B624" s="436"/>
      <c r="C624" s="95" t="str">
        <f t="array" ref="C624">IF(I624&gt;0,INDEX(DB,I624,8),"")</f>
        <v/>
      </c>
      <c r="D624" s="437">
        <f t="shared" si="1"/>
        <v>0</v>
      </c>
      <c r="F624" s="438">
        <f t="shared" si="2"/>
        <v>0</v>
      </c>
      <c r="G624" t="str">
        <f t="shared" si="3"/>
        <v/>
      </c>
      <c r="H624" t="b">
        <f t="shared" si="4"/>
        <v>0</v>
      </c>
      <c r="I624" s="439">
        <f>IF(OR(ISBLANK(A624),ISNA(MATCH(A624&amp;"",AthleteNumbers,0))),0,MATCH(A624&amp;"",AthleteNumbers,0))</f>
        <v>0</v>
      </c>
      <c r="J624" s="209">
        <f t="array" ref="J624">IF(I624&gt;0,INDEX(DB,$I624,6),0)</f>
        <v>0</v>
      </c>
      <c r="K624" s="446">
        <f t="shared" si="5"/>
        <v>0</v>
      </c>
      <c r="L624" s="440">
        <f t="shared" si="6"/>
        <v>0</v>
      </c>
      <c r="M624" s="441">
        <f>IF(AND(L624&gt;O624,O624&gt;0),MinPoints,IF(AND(L624&lt;N624,O624&gt;0),100,+INT((O624-$L624)/P624)+MinPoints))</f>
        <v>100</v>
      </c>
      <c r="N624" s="440">
        <f t="shared" si="7"/>
        <v>90</v>
      </c>
      <c r="O624" s="440">
        <f t="shared" si="8"/>
        <v>180</v>
      </c>
      <c r="P624" s="440">
        <f t="shared" si="9"/>
        <v>1</v>
      </c>
      <c r="Q624">
        <f t="array" ref="Q624">IF(I624&gt;0,INDEX(DB,I624,9),EventIndex)</f>
        <v>6</v>
      </c>
      <c r="S624">
        <f t="array" ref="S624">(INT(INDEX(MINVALUES,$Q624,$K$1))*60)+(MOD(INDEX(MINVALUES,$Q624,$K$1),1)*100)</f>
        <v>180</v>
      </c>
      <c r="T624">
        <f t="array" ref="T624">(INDEX(INCVALUES,$Q624,$K$1)*100)</f>
        <v>1</v>
      </c>
      <c r="V624">
        <f t="array" ref="V624">+J624+(4*(INDEX(MatchScoreTable,$Q624,20)-1))</f>
        <v>4</v>
      </c>
      <c r="W624">
        <f t="array" ref="W624">INDEX(INC_MINVALUES,$V624,$K$1)</f>
        <v>480</v>
      </c>
      <c r="X624" s="212">
        <f t="array" ref="X624">INDEX(INC_INCVALUES,$V624,$K$1)</f>
        <v>4</v>
      </c>
    </row>
    <row r="625" ht="15.75" customHeight="1">
      <c r="A625" s="435"/>
      <c r="B625" s="436"/>
      <c r="C625" s="95" t="str">
        <f t="array" ref="C625">IF(I625&gt;0,INDEX(DB,I625,8),"")</f>
        <v/>
      </c>
      <c r="D625" s="437">
        <f t="shared" si="1"/>
        <v>0</v>
      </c>
      <c r="F625" s="438">
        <f t="shared" si="2"/>
        <v>0</v>
      </c>
      <c r="G625" t="str">
        <f t="shared" si="3"/>
        <v/>
      </c>
      <c r="H625" t="b">
        <f t="shared" si="4"/>
        <v>0</v>
      </c>
      <c r="I625" s="439">
        <f>IF(OR(ISBLANK(A625),ISNA(MATCH(A625&amp;"",AthleteNumbers,0))),0,MATCH(A625&amp;"",AthleteNumbers,0))</f>
        <v>0</v>
      </c>
      <c r="J625" s="209">
        <f t="array" ref="J625">IF(I625&gt;0,INDEX(DB,$I625,6),0)</f>
        <v>0</v>
      </c>
      <c r="K625" s="446">
        <f t="shared" si="5"/>
        <v>0</v>
      </c>
      <c r="L625" s="440">
        <f t="shared" si="6"/>
        <v>0</v>
      </c>
      <c r="M625" s="441">
        <f>IF(AND(L625&gt;O625,O625&gt;0),MinPoints,IF(AND(L625&lt;N625,O625&gt;0),100,+INT((O625-$L625)/P625)+MinPoints))</f>
        <v>100</v>
      </c>
      <c r="N625" s="440">
        <f t="shared" si="7"/>
        <v>90</v>
      </c>
      <c r="O625" s="440">
        <f t="shared" si="8"/>
        <v>180</v>
      </c>
      <c r="P625" s="440">
        <f t="shared" si="9"/>
        <v>1</v>
      </c>
      <c r="Q625">
        <f t="array" ref="Q625">IF(I625&gt;0,INDEX(DB,I625,9),EventIndex)</f>
        <v>6</v>
      </c>
      <c r="S625">
        <f t="array" ref="S625">(INT(INDEX(MINVALUES,$Q625,$K$1))*60)+(MOD(INDEX(MINVALUES,$Q625,$K$1),1)*100)</f>
        <v>180</v>
      </c>
      <c r="T625">
        <f t="array" ref="T625">(INDEX(INCVALUES,$Q625,$K$1)*100)</f>
        <v>1</v>
      </c>
      <c r="V625">
        <f t="array" ref="V625">+J625+(4*(INDEX(MatchScoreTable,$Q625,20)-1))</f>
        <v>4</v>
      </c>
      <c r="W625">
        <f t="array" ref="W625">INDEX(INC_MINVALUES,$V625,$K$1)</f>
        <v>480</v>
      </c>
      <c r="X625" s="212">
        <f t="array" ref="X625">INDEX(INC_INCVALUES,$V625,$K$1)</f>
        <v>4</v>
      </c>
    </row>
    <row r="626" ht="15.75" customHeight="1">
      <c r="A626" s="435"/>
      <c r="B626" s="436"/>
      <c r="C626" s="95" t="str">
        <f t="array" ref="C626">IF(I626&gt;0,INDEX(DB,I626,8),"")</f>
        <v/>
      </c>
      <c r="D626" s="437">
        <f t="shared" si="1"/>
        <v>0</v>
      </c>
      <c r="F626" s="438">
        <f t="shared" si="2"/>
        <v>0</v>
      </c>
      <c r="G626" t="str">
        <f t="shared" si="3"/>
        <v/>
      </c>
      <c r="H626" t="b">
        <f t="shared" si="4"/>
        <v>0</v>
      </c>
      <c r="I626" s="439">
        <f>IF(OR(ISBLANK(A626),ISNA(MATCH(A626&amp;"",AthleteNumbers,0))),0,MATCH(A626&amp;"",AthleteNumbers,0))</f>
        <v>0</v>
      </c>
      <c r="J626" s="209">
        <f t="array" ref="J626">IF(I626&gt;0,INDEX(DB,$I626,6),0)</f>
        <v>0</v>
      </c>
      <c r="K626" s="446">
        <f t="shared" si="5"/>
        <v>0</v>
      </c>
      <c r="L626" s="440">
        <f t="shared" si="6"/>
        <v>0</v>
      </c>
      <c r="M626" s="441">
        <f>IF(AND(L626&gt;O626,O626&gt;0),MinPoints,IF(AND(L626&lt;N626,O626&gt;0),100,+INT((O626-$L626)/P626)+MinPoints))</f>
        <v>100</v>
      </c>
      <c r="N626" s="440">
        <f t="shared" si="7"/>
        <v>90</v>
      </c>
      <c r="O626" s="440">
        <f t="shared" si="8"/>
        <v>180</v>
      </c>
      <c r="P626" s="440">
        <f t="shared" si="9"/>
        <v>1</v>
      </c>
      <c r="Q626">
        <f t="array" ref="Q626">IF(I626&gt;0,INDEX(DB,I626,9),EventIndex)</f>
        <v>6</v>
      </c>
      <c r="S626">
        <f t="array" ref="S626">(INT(INDEX(MINVALUES,$Q626,$K$1))*60)+(MOD(INDEX(MINVALUES,$Q626,$K$1),1)*100)</f>
        <v>180</v>
      </c>
      <c r="T626">
        <f t="array" ref="T626">(INDEX(INCVALUES,$Q626,$K$1)*100)</f>
        <v>1</v>
      </c>
      <c r="V626">
        <f t="array" ref="V626">+J626+(4*(INDEX(MatchScoreTable,$Q626,20)-1))</f>
        <v>4</v>
      </c>
      <c r="W626">
        <f t="array" ref="W626">INDEX(INC_MINVALUES,$V626,$K$1)</f>
        <v>480</v>
      </c>
      <c r="X626" s="212">
        <f t="array" ref="X626">INDEX(INC_INCVALUES,$V626,$K$1)</f>
        <v>4</v>
      </c>
    </row>
    <row r="627" ht="15.75" customHeight="1">
      <c r="A627" s="435"/>
      <c r="B627" s="436"/>
      <c r="C627" s="95" t="str">
        <f t="array" ref="C627">IF(I627&gt;0,INDEX(DB,I627,8),"")</f>
        <v/>
      </c>
      <c r="D627" s="437">
        <f t="shared" si="1"/>
        <v>0</v>
      </c>
      <c r="F627" s="438">
        <f t="shared" si="2"/>
        <v>0</v>
      </c>
      <c r="G627" t="str">
        <f t="shared" si="3"/>
        <v/>
      </c>
      <c r="H627" t="b">
        <f t="shared" si="4"/>
        <v>0</v>
      </c>
      <c r="I627" s="439">
        <f>IF(OR(ISBLANK(A627),ISNA(MATCH(A627&amp;"",AthleteNumbers,0))),0,MATCH(A627&amp;"",AthleteNumbers,0))</f>
        <v>0</v>
      </c>
      <c r="J627" s="209">
        <f t="array" ref="J627">IF(I627&gt;0,INDEX(DB,$I627,6),0)</f>
        <v>0</v>
      </c>
      <c r="K627" s="446">
        <f t="shared" si="5"/>
        <v>0</v>
      </c>
      <c r="L627" s="440">
        <f t="shared" si="6"/>
        <v>0</v>
      </c>
      <c r="M627" s="441">
        <f>IF(AND(L627&gt;O627,O627&gt;0),MinPoints,IF(AND(L627&lt;N627,O627&gt;0),100,+INT((O627-$L627)/P627)+MinPoints))</f>
        <v>100</v>
      </c>
      <c r="N627" s="440">
        <f t="shared" si="7"/>
        <v>90</v>
      </c>
      <c r="O627" s="440">
        <f t="shared" si="8"/>
        <v>180</v>
      </c>
      <c r="P627" s="440">
        <f t="shared" si="9"/>
        <v>1</v>
      </c>
      <c r="Q627">
        <f t="array" ref="Q627">IF(I627&gt;0,INDEX(DB,I627,9),EventIndex)</f>
        <v>6</v>
      </c>
      <c r="S627">
        <f t="array" ref="S627">(INT(INDEX(MINVALUES,$Q627,$K$1))*60)+(MOD(INDEX(MINVALUES,$Q627,$K$1),1)*100)</f>
        <v>180</v>
      </c>
      <c r="T627">
        <f t="array" ref="T627">(INDEX(INCVALUES,$Q627,$K$1)*100)</f>
        <v>1</v>
      </c>
      <c r="V627">
        <f t="array" ref="V627">+J627+(4*(INDEX(MatchScoreTable,$Q627,20)-1))</f>
        <v>4</v>
      </c>
      <c r="W627">
        <f t="array" ref="W627">INDEX(INC_MINVALUES,$V627,$K$1)</f>
        <v>480</v>
      </c>
      <c r="X627" s="212">
        <f t="array" ref="X627">INDEX(INC_INCVALUES,$V627,$K$1)</f>
        <v>4</v>
      </c>
    </row>
    <row r="628" ht="15.75" customHeight="1">
      <c r="A628" s="435"/>
      <c r="B628" s="436"/>
      <c r="C628" s="95" t="str">
        <f t="array" ref="C628">IF(I628&gt;0,INDEX(DB,I628,8),"")</f>
        <v/>
      </c>
      <c r="D628" s="437">
        <f t="shared" si="1"/>
        <v>0</v>
      </c>
      <c r="F628" s="438">
        <f t="shared" si="2"/>
        <v>0</v>
      </c>
      <c r="G628" t="str">
        <f t="shared" si="3"/>
        <v/>
      </c>
      <c r="H628" t="b">
        <f t="shared" si="4"/>
        <v>0</v>
      </c>
      <c r="I628" s="439">
        <f>IF(OR(ISBLANK(A628),ISNA(MATCH(A628&amp;"",AthleteNumbers,0))),0,MATCH(A628&amp;"",AthleteNumbers,0))</f>
        <v>0</v>
      </c>
      <c r="J628" s="209">
        <f t="array" ref="J628">IF(I628&gt;0,INDEX(DB,$I628,6),0)</f>
        <v>0</v>
      </c>
      <c r="K628" s="446">
        <f t="shared" si="5"/>
        <v>0</v>
      </c>
      <c r="L628" s="440">
        <f t="shared" si="6"/>
        <v>0</v>
      </c>
      <c r="M628" s="441">
        <f>IF(AND(L628&gt;O628,O628&gt;0),MinPoints,IF(AND(L628&lt;N628,O628&gt;0),100,+INT((O628-$L628)/P628)+MinPoints))</f>
        <v>100</v>
      </c>
      <c r="N628" s="440">
        <f t="shared" si="7"/>
        <v>90</v>
      </c>
      <c r="O628" s="440">
        <f t="shared" si="8"/>
        <v>180</v>
      </c>
      <c r="P628" s="440">
        <f t="shared" si="9"/>
        <v>1</v>
      </c>
      <c r="Q628">
        <f t="array" ref="Q628">IF(I628&gt;0,INDEX(DB,I628,9),EventIndex)</f>
        <v>6</v>
      </c>
      <c r="S628">
        <f t="array" ref="S628">(INT(INDEX(MINVALUES,$Q628,$K$1))*60)+(MOD(INDEX(MINVALUES,$Q628,$K$1),1)*100)</f>
        <v>180</v>
      </c>
      <c r="T628">
        <f t="array" ref="T628">(INDEX(INCVALUES,$Q628,$K$1)*100)</f>
        <v>1</v>
      </c>
      <c r="V628">
        <f t="array" ref="V628">+J628+(4*(INDEX(MatchScoreTable,$Q628,20)-1))</f>
        <v>4</v>
      </c>
      <c r="W628">
        <f t="array" ref="W628">INDEX(INC_MINVALUES,$V628,$K$1)</f>
        <v>480</v>
      </c>
      <c r="X628" s="212">
        <f t="array" ref="X628">INDEX(INC_INCVALUES,$V628,$K$1)</f>
        <v>4</v>
      </c>
    </row>
    <row r="629" ht="15.75" customHeight="1">
      <c r="A629" s="435"/>
      <c r="B629" s="436"/>
      <c r="C629" s="95" t="str">
        <f t="array" ref="C629">IF(I629&gt;0,INDEX(DB,I629,8),"")</f>
        <v/>
      </c>
      <c r="D629" s="437">
        <f t="shared" si="1"/>
        <v>0</v>
      </c>
      <c r="F629" s="438">
        <f t="shared" si="2"/>
        <v>0</v>
      </c>
      <c r="G629" t="str">
        <f t="shared" si="3"/>
        <v/>
      </c>
      <c r="H629" t="b">
        <f t="shared" si="4"/>
        <v>0</v>
      </c>
      <c r="I629" s="439">
        <f>IF(OR(ISBLANK(A629),ISNA(MATCH(A629&amp;"",AthleteNumbers,0))),0,MATCH(A629&amp;"",AthleteNumbers,0))</f>
        <v>0</v>
      </c>
      <c r="J629" s="209">
        <f t="array" ref="J629">IF(I629&gt;0,INDEX(DB,$I629,6),0)</f>
        <v>0</v>
      </c>
      <c r="K629" s="446">
        <f t="shared" si="5"/>
        <v>0</v>
      </c>
      <c r="L629" s="440">
        <f t="shared" si="6"/>
        <v>0</v>
      </c>
      <c r="M629" s="441">
        <f>IF(AND(L629&gt;O629,O629&gt;0),MinPoints,IF(AND(L629&lt;N629,O629&gt;0),100,+INT((O629-$L629)/P629)+MinPoints))</f>
        <v>100</v>
      </c>
      <c r="N629" s="440">
        <f t="shared" si="7"/>
        <v>90</v>
      </c>
      <c r="O629" s="440">
        <f t="shared" si="8"/>
        <v>180</v>
      </c>
      <c r="P629" s="440">
        <f t="shared" si="9"/>
        <v>1</v>
      </c>
      <c r="Q629">
        <f t="array" ref="Q629">IF(I629&gt;0,INDEX(DB,I629,9),EventIndex)</f>
        <v>6</v>
      </c>
      <c r="S629">
        <f t="array" ref="S629">(INT(INDEX(MINVALUES,$Q629,$K$1))*60)+(MOD(INDEX(MINVALUES,$Q629,$K$1),1)*100)</f>
        <v>180</v>
      </c>
      <c r="T629">
        <f t="array" ref="T629">(INDEX(INCVALUES,$Q629,$K$1)*100)</f>
        <v>1</v>
      </c>
      <c r="V629">
        <f t="array" ref="V629">+J629+(4*(INDEX(MatchScoreTable,$Q629,20)-1))</f>
        <v>4</v>
      </c>
      <c r="W629">
        <f t="array" ref="W629">INDEX(INC_MINVALUES,$V629,$K$1)</f>
        <v>480</v>
      </c>
      <c r="X629" s="212">
        <f t="array" ref="X629">INDEX(INC_INCVALUES,$V629,$K$1)</f>
        <v>4</v>
      </c>
    </row>
    <row r="630" ht="15.75" customHeight="1">
      <c r="A630" s="435"/>
      <c r="B630" s="436"/>
      <c r="C630" s="95" t="str">
        <f t="array" ref="C630">IF(I630&gt;0,INDEX(DB,I630,8),"")</f>
        <v/>
      </c>
      <c r="D630" s="437">
        <f t="shared" si="1"/>
        <v>0</v>
      </c>
      <c r="F630" s="438">
        <f t="shared" si="2"/>
        <v>0</v>
      </c>
      <c r="G630" t="str">
        <f t="shared" si="3"/>
        <v/>
      </c>
      <c r="H630" t="b">
        <f t="shared" si="4"/>
        <v>0</v>
      </c>
      <c r="I630" s="439">
        <f>IF(OR(ISBLANK(A630),ISNA(MATCH(A630&amp;"",AthleteNumbers,0))),0,MATCH(A630&amp;"",AthleteNumbers,0))</f>
        <v>0</v>
      </c>
      <c r="J630" s="209">
        <f t="array" ref="J630">IF(I630&gt;0,INDEX(DB,$I630,6),0)</f>
        <v>0</v>
      </c>
      <c r="K630" s="446">
        <f t="shared" si="5"/>
        <v>0</v>
      </c>
      <c r="L630" s="440">
        <f t="shared" si="6"/>
        <v>0</v>
      </c>
      <c r="M630" s="441">
        <f>IF(AND(L630&gt;O630,O630&gt;0),MinPoints,IF(AND(L630&lt;N630,O630&gt;0),100,+INT((O630-$L630)/P630)+MinPoints))</f>
        <v>100</v>
      </c>
      <c r="N630" s="440">
        <f t="shared" si="7"/>
        <v>90</v>
      </c>
      <c r="O630" s="440">
        <f t="shared" si="8"/>
        <v>180</v>
      </c>
      <c r="P630" s="440">
        <f t="shared" si="9"/>
        <v>1</v>
      </c>
      <c r="Q630">
        <f t="array" ref="Q630">IF(I630&gt;0,INDEX(DB,I630,9),EventIndex)</f>
        <v>6</v>
      </c>
      <c r="S630">
        <f t="array" ref="S630">(INT(INDEX(MINVALUES,$Q630,$K$1))*60)+(MOD(INDEX(MINVALUES,$Q630,$K$1),1)*100)</f>
        <v>180</v>
      </c>
      <c r="T630">
        <f t="array" ref="T630">(INDEX(INCVALUES,$Q630,$K$1)*100)</f>
        <v>1</v>
      </c>
      <c r="V630">
        <f t="array" ref="V630">+J630+(4*(INDEX(MatchScoreTable,$Q630,20)-1))</f>
        <v>4</v>
      </c>
      <c r="W630">
        <f t="array" ref="W630">INDEX(INC_MINVALUES,$V630,$K$1)</f>
        <v>480</v>
      </c>
      <c r="X630" s="212">
        <f t="array" ref="X630">INDEX(INC_INCVALUES,$V630,$K$1)</f>
        <v>4</v>
      </c>
    </row>
    <row r="631" ht="15.75" customHeight="1">
      <c r="A631" s="435"/>
      <c r="B631" s="436"/>
      <c r="C631" s="95" t="str">
        <f t="array" ref="C631">IF(I631&gt;0,INDEX(DB,I631,8),"")</f>
        <v/>
      </c>
      <c r="D631" s="437">
        <f t="shared" si="1"/>
        <v>0</v>
      </c>
      <c r="F631" s="438">
        <f t="shared" si="2"/>
        <v>0</v>
      </c>
      <c r="G631" t="str">
        <f t="shared" si="3"/>
        <v/>
      </c>
      <c r="H631" t="b">
        <f t="shared" si="4"/>
        <v>0</v>
      </c>
      <c r="I631" s="439">
        <f>IF(OR(ISBLANK(A631),ISNA(MATCH(A631&amp;"",AthleteNumbers,0))),0,MATCH(A631&amp;"",AthleteNumbers,0))</f>
        <v>0</v>
      </c>
      <c r="J631" s="209">
        <f t="array" ref="J631">IF(I631&gt;0,INDEX(DB,$I631,6),0)</f>
        <v>0</v>
      </c>
      <c r="K631" s="446">
        <f t="shared" si="5"/>
        <v>0</v>
      </c>
      <c r="L631" s="440">
        <f t="shared" si="6"/>
        <v>0</v>
      </c>
      <c r="M631" s="441">
        <f>IF(AND(L631&gt;O631,O631&gt;0),MinPoints,IF(AND(L631&lt;N631,O631&gt;0),100,+INT((O631-$L631)/P631)+MinPoints))</f>
        <v>100</v>
      </c>
      <c r="N631" s="440">
        <f t="shared" si="7"/>
        <v>90</v>
      </c>
      <c r="O631" s="440">
        <f t="shared" si="8"/>
        <v>180</v>
      </c>
      <c r="P631" s="440">
        <f t="shared" si="9"/>
        <v>1</v>
      </c>
      <c r="Q631">
        <f t="array" ref="Q631">IF(I631&gt;0,INDEX(DB,I631,9),EventIndex)</f>
        <v>6</v>
      </c>
      <c r="S631">
        <f t="array" ref="S631">(INT(INDEX(MINVALUES,$Q631,$K$1))*60)+(MOD(INDEX(MINVALUES,$Q631,$K$1),1)*100)</f>
        <v>180</v>
      </c>
      <c r="T631">
        <f t="array" ref="T631">(INDEX(INCVALUES,$Q631,$K$1)*100)</f>
        <v>1</v>
      </c>
      <c r="V631">
        <f t="array" ref="V631">+J631+(4*(INDEX(MatchScoreTable,$Q631,20)-1))</f>
        <v>4</v>
      </c>
      <c r="W631">
        <f t="array" ref="W631">INDEX(INC_MINVALUES,$V631,$K$1)</f>
        <v>480</v>
      </c>
      <c r="X631" s="212">
        <f t="array" ref="X631">INDEX(INC_INCVALUES,$V631,$K$1)</f>
        <v>4</v>
      </c>
    </row>
    <row r="632" ht="15.75" customHeight="1">
      <c r="A632" s="435"/>
      <c r="B632" s="436"/>
      <c r="C632" s="95" t="str">
        <f t="array" ref="C632">IF(I632&gt;0,INDEX(DB,I632,8),"")</f>
        <v/>
      </c>
      <c r="D632" s="437">
        <f t="shared" si="1"/>
        <v>0</v>
      </c>
      <c r="F632" s="438">
        <f t="shared" si="2"/>
        <v>0</v>
      </c>
      <c r="G632" t="str">
        <f t="shared" si="3"/>
        <v/>
      </c>
      <c r="H632" t="b">
        <f t="shared" si="4"/>
        <v>0</v>
      </c>
      <c r="I632" s="439">
        <f>IF(OR(ISBLANK(A632),ISNA(MATCH(A632&amp;"",AthleteNumbers,0))),0,MATCH(A632&amp;"",AthleteNumbers,0))</f>
        <v>0</v>
      </c>
      <c r="J632" s="209">
        <f t="array" ref="J632">IF(I632&gt;0,INDEX(DB,$I632,6),0)</f>
        <v>0</v>
      </c>
      <c r="K632" s="446">
        <f t="shared" si="5"/>
        <v>0</v>
      </c>
      <c r="L632" s="440">
        <f t="shared" si="6"/>
        <v>0</v>
      </c>
      <c r="M632" s="441">
        <f>IF(AND(L632&gt;O632,O632&gt;0),MinPoints,IF(AND(L632&lt;N632,O632&gt;0),100,+INT((O632-$L632)/P632)+MinPoints))</f>
        <v>100</v>
      </c>
      <c r="N632" s="440">
        <f t="shared" si="7"/>
        <v>90</v>
      </c>
      <c r="O632" s="440">
        <f t="shared" si="8"/>
        <v>180</v>
      </c>
      <c r="P632" s="440">
        <f t="shared" si="9"/>
        <v>1</v>
      </c>
      <c r="Q632">
        <f t="array" ref="Q632">IF(I632&gt;0,INDEX(DB,I632,9),EventIndex)</f>
        <v>6</v>
      </c>
      <c r="S632">
        <f t="array" ref="S632">(INT(INDEX(MINVALUES,$Q632,$K$1))*60)+(MOD(INDEX(MINVALUES,$Q632,$K$1),1)*100)</f>
        <v>180</v>
      </c>
      <c r="T632">
        <f t="array" ref="T632">(INDEX(INCVALUES,$Q632,$K$1)*100)</f>
        <v>1</v>
      </c>
      <c r="V632">
        <f t="array" ref="V632">+J632+(4*(INDEX(MatchScoreTable,$Q632,20)-1))</f>
        <v>4</v>
      </c>
      <c r="W632">
        <f t="array" ref="W632">INDEX(INC_MINVALUES,$V632,$K$1)</f>
        <v>480</v>
      </c>
      <c r="X632" s="212">
        <f t="array" ref="X632">INDEX(INC_INCVALUES,$V632,$K$1)</f>
        <v>4</v>
      </c>
    </row>
    <row r="633" ht="15.75" customHeight="1">
      <c r="A633" s="435"/>
      <c r="B633" s="436"/>
      <c r="C633" s="95" t="str">
        <f t="array" ref="C633">IF(I633&gt;0,INDEX(DB,I633,8),"")</f>
        <v/>
      </c>
      <c r="D633" s="437">
        <f t="shared" si="1"/>
        <v>0</v>
      </c>
      <c r="F633" s="438">
        <f t="shared" si="2"/>
        <v>0</v>
      </c>
      <c r="G633" t="str">
        <f t="shared" si="3"/>
        <v/>
      </c>
      <c r="H633" t="b">
        <f t="shared" si="4"/>
        <v>0</v>
      </c>
      <c r="I633" s="439">
        <f>IF(OR(ISBLANK(A633),ISNA(MATCH(A633&amp;"",AthleteNumbers,0))),0,MATCH(A633&amp;"",AthleteNumbers,0))</f>
        <v>0</v>
      </c>
      <c r="J633" s="209">
        <f t="array" ref="J633">IF(I633&gt;0,INDEX(DB,$I633,6),0)</f>
        <v>0</v>
      </c>
      <c r="K633" s="446">
        <f t="shared" si="5"/>
        <v>0</v>
      </c>
      <c r="L633" s="440">
        <f t="shared" si="6"/>
        <v>0</v>
      </c>
      <c r="M633" s="441">
        <f>IF(AND(L633&gt;O633,O633&gt;0),MinPoints,IF(AND(L633&lt;N633,O633&gt;0),100,+INT((O633-$L633)/P633)+MinPoints))</f>
        <v>100</v>
      </c>
      <c r="N633" s="440">
        <f t="shared" si="7"/>
        <v>90</v>
      </c>
      <c r="O633" s="440">
        <f t="shared" si="8"/>
        <v>180</v>
      </c>
      <c r="P633" s="440">
        <f t="shared" si="9"/>
        <v>1</v>
      </c>
      <c r="Q633">
        <f t="array" ref="Q633">IF(I633&gt;0,INDEX(DB,I633,9),EventIndex)</f>
        <v>6</v>
      </c>
      <c r="S633">
        <f t="array" ref="S633">(INT(INDEX(MINVALUES,$Q633,$K$1))*60)+(MOD(INDEX(MINVALUES,$Q633,$K$1),1)*100)</f>
        <v>180</v>
      </c>
      <c r="T633">
        <f t="array" ref="T633">(INDEX(INCVALUES,$Q633,$K$1)*100)</f>
        <v>1</v>
      </c>
      <c r="V633">
        <f t="array" ref="V633">+J633+(4*(INDEX(MatchScoreTable,$Q633,20)-1))</f>
        <v>4</v>
      </c>
      <c r="W633">
        <f t="array" ref="W633">INDEX(INC_MINVALUES,$V633,$K$1)</f>
        <v>480</v>
      </c>
      <c r="X633" s="212">
        <f t="array" ref="X633">INDEX(INC_INCVALUES,$V633,$K$1)</f>
        <v>4</v>
      </c>
    </row>
    <row r="634" ht="15.75" customHeight="1">
      <c r="A634" s="435"/>
      <c r="B634" s="436"/>
      <c r="C634" s="95" t="str">
        <f t="array" ref="C634">IF(I634&gt;0,INDEX(DB,I634,8),"")</f>
        <v/>
      </c>
      <c r="D634" s="437">
        <f t="shared" si="1"/>
        <v>0</v>
      </c>
      <c r="F634" s="438">
        <f t="shared" si="2"/>
        <v>0</v>
      </c>
      <c r="G634" t="str">
        <f t="shared" si="3"/>
        <v/>
      </c>
      <c r="H634" t="b">
        <f t="shared" si="4"/>
        <v>0</v>
      </c>
      <c r="I634" s="439">
        <f>IF(OR(ISBLANK(A634),ISNA(MATCH(A634&amp;"",AthleteNumbers,0))),0,MATCH(A634&amp;"",AthleteNumbers,0))</f>
        <v>0</v>
      </c>
      <c r="J634" s="209">
        <f t="array" ref="J634">IF(I634&gt;0,INDEX(DB,$I634,6),0)</f>
        <v>0</v>
      </c>
      <c r="K634" s="446">
        <f t="shared" si="5"/>
        <v>0</v>
      </c>
      <c r="L634" s="440">
        <f t="shared" si="6"/>
        <v>0</v>
      </c>
      <c r="M634" s="441">
        <f>IF(AND(L634&gt;O634,O634&gt;0),MinPoints,IF(AND(L634&lt;N634,O634&gt;0),100,+INT((O634-$L634)/P634)+MinPoints))</f>
        <v>100</v>
      </c>
      <c r="N634" s="440">
        <f t="shared" si="7"/>
        <v>90</v>
      </c>
      <c r="O634" s="440">
        <f t="shared" si="8"/>
        <v>180</v>
      </c>
      <c r="P634" s="440">
        <f t="shared" si="9"/>
        <v>1</v>
      </c>
      <c r="Q634">
        <f t="array" ref="Q634">IF(I634&gt;0,INDEX(DB,I634,9),EventIndex)</f>
        <v>6</v>
      </c>
      <c r="S634">
        <f t="array" ref="S634">(INT(INDEX(MINVALUES,$Q634,$K$1))*60)+(MOD(INDEX(MINVALUES,$Q634,$K$1),1)*100)</f>
        <v>180</v>
      </c>
      <c r="T634">
        <f t="array" ref="T634">(INDEX(INCVALUES,$Q634,$K$1)*100)</f>
        <v>1</v>
      </c>
      <c r="V634">
        <f t="array" ref="V634">+J634+(4*(INDEX(MatchScoreTable,$Q634,20)-1))</f>
        <v>4</v>
      </c>
      <c r="W634">
        <f t="array" ref="W634">INDEX(INC_MINVALUES,$V634,$K$1)</f>
        <v>480</v>
      </c>
      <c r="X634" s="212">
        <f t="array" ref="X634">INDEX(INC_INCVALUES,$V634,$K$1)</f>
        <v>4</v>
      </c>
    </row>
    <row r="635" ht="15.75" customHeight="1">
      <c r="A635" s="435"/>
      <c r="B635" s="436"/>
      <c r="C635" s="95" t="str">
        <f t="array" ref="C635">IF(I635&gt;0,INDEX(DB,I635,8),"")</f>
        <v/>
      </c>
      <c r="D635" s="437">
        <f t="shared" si="1"/>
        <v>0</v>
      </c>
      <c r="F635" s="438">
        <f t="shared" si="2"/>
        <v>0</v>
      </c>
      <c r="G635" t="str">
        <f t="shared" si="3"/>
        <v/>
      </c>
      <c r="H635" t="b">
        <f t="shared" si="4"/>
        <v>0</v>
      </c>
      <c r="I635" s="439">
        <f>IF(OR(ISBLANK(A635),ISNA(MATCH(A635&amp;"",AthleteNumbers,0))),0,MATCH(A635&amp;"",AthleteNumbers,0))</f>
        <v>0</v>
      </c>
      <c r="J635" s="209">
        <f t="array" ref="J635">IF(I635&gt;0,INDEX(DB,$I635,6),0)</f>
        <v>0</v>
      </c>
      <c r="K635" s="446">
        <f t="shared" si="5"/>
        <v>0</v>
      </c>
      <c r="L635" s="440">
        <f t="shared" si="6"/>
        <v>0</v>
      </c>
      <c r="M635" s="441">
        <f>IF(AND(L635&gt;O635,O635&gt;0),MinPoints,IF(AND(L635&lt;N635,O635&gt;0),100,+INT((O635-$L635)/P635)+MinPoints))</f>
        <v>100</v>
      </c>
      <c r="N635" s="440">
        <f t="shared" si="7"/>
        <v>90</v>
      </c>
      <c r="O635" s="440">
        <f t="shared" si="8"/>
        <v>180</v>
      </c>
      <c r="P635" s="440">
        <f t="shared" si="9"/>
        <v>1</v>
      </c>
      <c r="Q635">
        <f t="array" ref="Q635">IF(I635&gt;0,INDEX(DB,I635,9),EventIndex)</f>
        <v>6</v>
      </c>
      <c r="S635">
        <f t="array" ref="S635">(INT(INDEX(MINVALUES,$Q635,$K$1))*60)+(MOD(INDEX(MINVALUES,$Q635,$K$1),1)*100)</f>
        <v>180</v>
      </c>
      <c r="T635">
        <f t="array" ref="T635">(INDEX(INCVALUES,$Q635,$K$1)*100)</f>
        <v>1</v>
      </c>
      <c r="V635">
        <f t="array" ref="V635">+J635+(4*(INDEX(MatchScoreTable,$Q635,20)-1))</f>
        <v>4</v>
      </c>
      <c r="W635">
        <f t="array" ref="W635">INDEX(INC_MINVALUES,$V635,$K$1)</f>
        <v>480</v>
      </c>
      <c r="X635" s="212">
        <f t="array" ref="X635">INDEX(INC_INCVALUES,$V635,$K$1)</f>
        <v>4</v>
      </c>
    </row>
    <row r="636" ht="15.75" customHeight="1">
      <c r="A636" s="435"/>
      <c r="B636" s="436"/>
      <c r="C636" s="95" t="str">
        <f t="array" ref="C636">IF(I636&gt;0,INDEX(DB,I636,8),"")</f>
        <v/>
      </c>
      <c r="D636" s="437">
        <f t="shared" si="1"/>
        <v>0</v>
      </c>
      <c r="F636" s="438">
        <f t="shared" si="2"/>
        <v>0</v>
      </c>
      <c r="G636" t="str">
        <f t="shared" si="3"/>
        <v/>
      </c>
      <c r="H636" t="b">
        <f t="shared" si="4"/>
        <v>0</v>
      </c>
      <c r="I636" s="439">
        <f>IF(OR(ISBLANK(A636),ISNA(MATCH(A636&amp;"",AthleteNumbers,0))),0,MATCH(A636&amp;"",AthleteNumbers,0))</f>
        <v>0</v>
      </c>
      <c r="J636" s="209">
        <f t="array" ref="J636">IF(I636&gt;0,INDEX(DB,$I636,6),0)</f>
        <v>0</v>
      </c>
      <c r="K636" s="446">
        <f t="shared" si="5"/>
        <v>0</v>
      </c>
      <c r="L636" s="440">
        <f t="shared" si="6"/>
        <v>0</v>
      </c>
      <c r="M636" s="441">
        <f>IF(AND(L636&gt;O636,O636&gt;0),MinPoints,IF(AND(L636&lt;N636,O636&gt;0),100,+INT((O636-$L636)/P636)+MinPoints))</f>
        <v>100</v>
      </c>
      <c r="N636" s="440">
        <f t="shared" si="7"/>
        <v>90</v>
      </c>
      <c r="O636" s="440">
        <f t="shared" si="8"/>
        <v>180</v>
      </c>
      <c r="P636" s="440">
        <f t="shared" si="9"/>
        <v>1</v>
      </c>
      <c r="Q636">
        <f t="array" ref="Q636">IF(I636&gt;0,INDEX(DB,I636,9),EventIndex)</f>
        <v>6</v>
      </c>
      <c r="S636">
        <f t="array" ref="S636">(INT(INDEX(MINVALUES,$Q636,$K$1))*60)+(MOD(INDEX(MINVALUES,$Q636,$K$1),1)*100)</f>
        <v>180</v>
      </c>
      <c r="T636">
        <f t="array" ref="T636">(INDEX(INCVALUES,$Q636,$K$1)*100)</f>
        <v>1</v>
      </c>
      <c r="V636">
        <f t="array" ref="V636">+J636+(4*(INDEX(MatchScoreTable,$Q636,20)-1))</f>
        <v>4</v>
      </c>
      <c r="W636">
        <f t="array" ref="W636">INDEX(INC_MINVALUES,$V636,$K$1)</f>
        <v>480</v>
      </c>
      <c r="X636" s="212">
        <f t="array" ref="X636">INDEX(INC_INCVALUES,$V636,$K$1)</f>
        <v>4</v>
      </c>
    </row>
    <row r="637" ht="15.75" customHeight="1">
      <c r="A637" s="435"/>
      <c r="B637" s="436"/>
      <c r="C637" s="95" t="str">
        <f t="array" ref="C637">IF(I637&gt;0,INDEX(DB,I637,8),"")</f>
        <v/>
      </c>
      <c r="D637" s="437">
        <f t="shared" si="1"/>
        <v>0</v>
      </c>
      <c r="F637" s="438">
        <f t="shared" si="2"/>
        <v>0</v>
      </c>
      <c r="G637" t="str">
        <f t="shared" si="3"/>
        <v/>
      </c>
      <c r="H637" t="b">
        <f t="shared" si="4"/>
        <v>0</v>
      </c>
      <c r="I637" s="439">
        <f>IF(OR(ISBLANK(A637),ISNA(MATCH(A637&amp;"",AthleteNumbers,0))),0,MATCH(A637&amp;"",AthleteNumbers,0))</f>
        <v>0</v>
      </c>
      <c r="J637" s="209">
        <f t="array" ref="J637">IF(I637&gt;0,INDEX(DB,$I637,6),0)</f>
        <v>0</v>
      </c>
      <c r="K637" s="446">
        <f t="shared" si="5"/>
        <v>0</v>
      </c>
      <c r="L637" s="440">
        <f t="shared" si="6"/>
        <v>0</v>
      </c>
      <c r="M637" s="441">
        <f>IF(AND(L637&gt;O637,O637&gt;0),MinPoints,IF(AND(L637&lt;N637,O637&gt;0),100,+INT((O637-$L637)/P637)+MinPoints))</f>
        <v>100</v>
      </c>
      <c r="N637" s="440">
        <f t="shared" si="7"/>
        <v>90</v>
      </c>
      <c r="O637" s="440">
        <f t="shared" si="8"/>
        <v>180</v>
      </c>
      <c r="P637" s="440">
        <f t="shared" si="9"/>
        <v>1</v>
      </c>
      <c r="Q637">
        <f t="array" ref="Q637">IF(I637&gt;0,INDEX(DB,I637,9),EventIndex)</f>
        <v>6</v>
      </c>
      <c r="S637">
        <f t="array" ref="S637">(INT(INDEX(MINVALUES,$Q637,$K$1))*60)+(MOD(INDEX(MINVALUES,$Q637,$K$1),1)*100)</f>
        <v>180</v>
      </c>
      <c r="T637">
        <f t="array" ref="T637">(INDEX(INCVALUES,$Q637,$K$1)*100)</f>
        <v>1</v>
      </c>
      <c r="V637">
        <f t="array" ref="V637">+J637+(4*(INDEX(MatchScoreTable,$Q637,20)-1))</f>
        <v>4</v>
      </c>
      <c r="W637">
        <f t="array" ref="W637">INDEX(INC_MINVALUES,$V637,$K$1)</f>
        <v>480</v>
      </c>
      <c r="X637" s="212">
        <f t="array" ref="X637">INDEX(INC_INCVALUES,$V637,$K$1)</f>
        <v>4</v>
      </c>
    </row>
    <row r="638" ht="15.75" customHeight="1">
      <c r="A638" s="435"/>
      <c r="B638" s="436"/>
      <c r="C638" s="95" t="str">
        <f t="array" ref="C638">IF(I638&gt;0,INDEX(DB,I638,8),"")</f>
        <v/>
      </c>
      <c r="D638" s="437">
        <f t="shared" si="1"/>
        <v>0</v>
      </c>
      <c r="F638" s="438">
        <f t="shared" si="2"/>
        <v>0</v>
      </c>
      <c r="G638" t="str">
        <f t="shared" si="3"/>
        <v/>
      </c>
      <c r="H638" t="b">
        <f t="shared" si="4"/>
        <v>0</v>
      </c>
      <c r="I638" s="439">
        <f>IF(OR(ISBLANK(A638),ISNA(MATCH(A638&amp;"",AthleteNumbers,0))),0,MATCH(A638&amp;"",AthleteNumbers,0))</f>
        <v>0</v>
      </c>
      <c r="J638" s="209">
        <f t="array" ref="J638">IF(I638&gt;0,INDEX(DB,$I638,6),0)</f>
        <v>0</v>
      </c>
      <c r="K638" s="446">
        <f t="shared" si="5"/>
        <v>0</v>
      </c>
      <c r="L638" s="440">
        <f t="shared" si="6"/>
        <v>0</v>
      </c>
      <c r="M638" s="441">
        <f>IF(AND(L638&gt;O638,O638&gt;0),MinPoints,IF(AND(L638&lt;N638,O638&gt;0),100,+INT((O638-$L638)/P638)+MinPoints))</f>
        <v>100</v>
      </c>
      <c r="N638" s="440">
        <f t="shared" si="7"/>
        <v>90</v>
      </c>
      <c r="O638" s="440">
        <f t="shared" si="8"/>
        <v>180</v>
      </c>
      <c r="P638" s="440">
        <f t="shared" si="9"/>
        <v>1</v>
      </c>
      <c r="Q638">
        <f t="array" ref="Q638">IF(I638&gt;0,INDEX(DB,I638,9),EventIndex)</f>
        <v>6</v>
      </c>
      <c r="S638">
        <f t="array" ref="S638">(INT(INDEX(MINVALUES,$Q638,$K$1))*60)+(MOD(INDEX(MINVALUES,$Q638,$K$1),1)*100)</f>
        <v>180</v>
      </c>
      <c r="T638">
        <f t="array" ref="T638">(INDEX(INCVALUES,$Q638,$K$1)*100)</f>
        <v>1</v>
      </c>
      <c r="V638">
        <f t="array" ref="V638">+J638+(4*(INDEX(MatchScoreTable,$Q638,20)-1))</f>
        <v>4</v>
      </c>
      <c r="W638">
        <f t="array" ref="W638">INDEX(INC_MINVALUES,$V638,$K$1)</f>
        <v>480</v>
      </c>
      <c r="X638" s="212">
        <f t="array" ref="X638">INDEX(INC_INCVALUES,$V638,$K$1)</f>
        <v>4</v>
      </c>
    </row>
    <row r="639" ht="15.75" customHeight="1">
      <c r="A639" s="435"/>
      <c r="B639" s="436"/>
      <c r="C639" s="95" t="str">
        <f t="array" ref="C639">IF(I639&gt;0,INDEX(DB,I639,8),"")</f>
        <v/>
      </c>
      <c r="D639" s="437">
        <f t="shared" si="1"/>
        <v>0</v>
      </c>
      <c r="F639" s="438">
        <f t="shared" si="2"/>
        <v>0</v>
      </c>
      <c r="G639" t="str">
        <f t="shared" si="3"/>
        <v/>
      </c>
      <c r="H639" t="b">
        <f t="shared" si="4"/>
        <v>0</v>
      </c>
      <c r="I639" s="439">
        <f>IF(OR(ISBLANK(A639),ISNA(MATCH(A639&amp;"",AthleteNumbers,0))),0,MATCH(A639&amp;"",AthleteNumbers,0))</f>
        <v>0</v>
      </c>
      <c r="J639" s="209">
        <f t="array" ref="J639">IF(I639&gt;0,INDEX(DB,$I639,6),0)</f>
        <v>0</v>
      </c>
      <c r="K639" s="446">
        <f t="shared" si="5"/>
        <v>0</v>
      </c>
      <c r="L639" s="440">
        <f t="shared" si="6"/>
        <v>0</v>
      </c>
      <c r="M639" s="441">
        <f>IF(AND(L639&gt;O639,O639&gt;0),MinPoints,IF(AND(L639&lt;N639,O639&gt;0),100,+INT((O639-$L639)/P639)+MinPoints))</f>
        <v>100</v>
      </c>
      <c r="N639" s="440">
        <f t="shared" si="7"/>
        <v>90</v>
      </c>
      <c r="O639" s="440">
        <f t="shared" si="8"/>
        <v>180</v>
      </c>
      <c r="P639" s="440">
        <f t="shared" si="9"/>
        <v>1</v>
      </c>
      <c r="Q639">
        <f t="array" ref="Q639">IF(I639&gt;0,INDEX(DB,I639,9),EventIndex)</f>
        <v>6</v>
      </c>
      <c r="S639">
        <f t="array" ref="S639">(INT(INDEX(MINVALUES,$Q639,$K$1))*60)+(MOD(INDEX(MINVALUES,$Q639,$K$1),1)*100)</f>
        <v>180</v>
      </c>
      <c r="T639">
        <f t="array" ref="T639">(INDEX(INCVALUES,$Q639,$K$1)*100)</f>
        <v>1</v>
      </c>
      <c r="V639">
        <f t="array" ref="V639">+J639+(4*(INDEX(MatchScoreTable,$Q639,20)-1))</f>
        <v>4</v>
      </c>
      <c r="W639">
        <f t="array" ref="W639">INDEX(INC_MINVALUES,$V639,$K$1)</f>
        <v>480</v>
      </c>
      <c r="X639" s="212">
        <f t="array" ref="X639">INDEX(INC_INCVALUES,$V639,$K$1)</f>
        <v>4</v>
      </c>
    </row>
    <row r="640" ht="15.75" customHeight="1">
      <c r="A640" s="435"/>
      <c r="B640" s="436"/>
      <c r="C640" s="95" t="str">
        <f t="array" ref="C640">IF(I640&gt;0,INDEX(DB,I640,8),"")</f>
        <v/>
      </c>
      <c r="D640" s="437">
        <f t="shared" si="1"/>
        <v>0</v>
      </c>
      <c r="F640" s="438">
        <f t="shared" si="2"/>
        <v>0</v>
      </c>
      <c r="G640" t="str">
        <f t="shared" si="3"/>
        <v/>
      </c>
      <c r="H640" t="b">
        <f t="shared" si="4"/>
        <v>0</v>
      </c>
      <c r="I640" s="439">
        <f>IF(OR(ISBLANK(A640),ISNA(MATCH(A640&amp;"",AthleteNumbers,0))),0,MATCH(A640&amp;"",AthleteNumbers,0))</f>
        <v>0</v>
      </c>
      <c r="J640" s="209">
        <f t="array" ref="J640">IF(I640&gt;0,INDEX(DB,$I640,6),0)</f>
        <v>0</v>
      </c>
      <c r="K640" s="446">
        <f t="shared" si="5"/>
        <v>0</v>
      </c>
      <c r="L640" s="440">
        <f t="shared" si="6"/>
        <v>0</v>
      </c>
      <c r="M640" s="441">
        <f>IF(AND(L640&gt;O640,O640&gt;0),MinPoints,IF(AND(L640&lt;N640,O640&gt;0),100,+INT((O640-$L640)/P640)+MinPoints))</f>
        <v>100</v>
      </c>
      <c r="N640" s="440">
        <f t="shared" si="7"/>
        <v>90</v>
      </c>
      <c r="O640" s="440">
        <f t="shared" si="8"/>
        <v>180</v>
      </c>
      <c r="P640" s="440">
        <f t="shared" si="9"/>
        <v>1</v>
      </c>
      <c r="Q640">
        <f t="array" ref="Q640">IF(I640&gt;0,INDEX(DB,I640,9),EventIndex)</f>
        <v>6</v>
      </c>
      <c r="S640">
        <f t="array" ref="S640">(INT(INDEX(MINVALUES,$Q640,$K$1))*60)+(MOD(INDEX(MINVALUES,$Q640,$K$1),1)*100)</f>
        <v>180</v>
      </c>
      <c r="T640">
        <f t="array" ref="T640">(INDEX(INCVALUES,$Q640,$K$1)*100)</f>
        <v>1</v>
      </c>
      <c r="V640">
        <f t="array" ref="V640">+J640+(4*(INDEX(MatchScoreTable,$Q640,20)-1))</f>
        <v>4</v>
      </c>
      <c r="W640">
        <f t="array" ref="W640">INDEX(INC_MINVALUES,$V640,$K$1)</f>
        <v>480</v>
      </c>
      <c r="X640" s="212">
        <f t="array" ref="X640">INDEX(INC_INCVALUES,$V640,$K$1)</f>
        <v>4</v>
      </c>
    </row>
    <row r="641" ht="15.75" customHeight="1">
      <c r="A641" s="435"/>
      <c r="B641" s="436"/>
      <c r="C641" s="95" t="str">
        <f t="array" ref="C641">IF(I641&gt;0,INDEX(DB,I641,8),"")</f>
        <v/>
      </c>
      <c r="D641" s="437">
        <f t="shared" si="1"/>
        <v>0</v>
      </c>
      <c r="F641" s="438">
        <f t="shared" si="2"/>
        <v>0</v>
      </c>
      <c r="G641" t="str">
        <f t="shared" si="3"/>
        <v/>
      </c>
      <c r="H641" t="b">
        <f t="shared" si="4"/>
        <v>0</v>
      </c>
      <c r="I641" s="439">
        <f>IF(OR(ISBLANK(A641),ISNA(MATCH(A641&amp;"",AthleteNumbers,0))),0,MATCH(A641&amp;"",AthleteNumbers,0))</f>
        <v>0</v>
      </c>
      <c r="J641" s="209">
        <f t="array" ref="J641">IF(I641&gt;0,INDEX(DB,$I641,6),0)</f>
        <v>0</v>
      </c>
      <c r="K641" s="446">
        <f t="shared" si="5"/>
        <v>0</v>
      </c>
      <c r="L641" s="440">
        <f t="shared" si="6"/>
        <v>0</v>
      </c>
      <c r="M641" s="441">
        <f>IF(AND(L641&gt;O641,O641&gt;0),MinPoints,IF(AND(L641&lt;N641,O641&gt;0),100,+INT((O641-$L641)/P641)+MinPoints))</f>
        <v>100</v>
      </c>
      <c r="N641" s="440">
        <f t="shared" si="7"/>
        <v>90</v>
      </c>
      <c r="O641" s="440">
        <f t="shared" si="8"/>
        <v>180</v>
      </c>
      <c r="P641" s="440">
        <f t="shared" si="9"/>
        <v>1</v>
      </c>
      <c r="Q641">
        <f t="array" ref="Q641">IF(I641&gt;0,INDEX(DB,I641,9),EventIndex)</f>
        <v>6</v>
      </c>
      <c r="S641">
        <f t="array" ref="S641">(INT(INDEX(MINVALUES,$Q641,$K$1))*60)+(MOD(INDEX(MINVALUES,$Q641,$K$1),1)*100)</f>
        <v>180</v>
      </c>
      <c r="T641">
        <f t="array" ref="T641">(INDEX(INCVALUES,$Q641,$K$1)*100)</f>
        <v>1</v>
      </c>
      <c r="V641">
        <f t="array" ref="V641">+J641+(4*(INDEX(MatchScoreTable,$Q641,20)-1))</f>
        <v>4</v>
      </c>
      <c r="W641">
        <f t="array" ref="W641">INDEX(INC_MINVALUES,$V641,$K$1)</f>
        <v>480</v>
      </c>
      <c r="X641" s="212">
        <f t="array" ref="X641">INDEX(INC_INCVALUES,$V641,$K$1)</f>
        <v>4</v>
      </c>
    </row>
    <row r="642" ht="15.75" customHeight="1">
      <c r="A642" s="435"/>
      <c r="B642" s="436"/>
      <c r="C642" s="95" t="str">
        <f t="array" ref="C642">IF(I642&gt;0,INDEX(DB,I642,8),"")</f>
        <v/>
      </c>
      <c r="D642" s="437">
        <f t="shared" si="1"/>
        <v>0</v>
      </c>
      <c r="F642" s="438">
        <f t="shared" si="2"/>
        <v>0</v>
      </c>
      <c r="G642" t="str">
        <f t="shared" si="3"/>
        <v/>
      </c>
      <c r="H642" t="b">
        <f t="shared" si="4"/>
        <v>0</v>
      </c>
      <c r="I642" s="439">
        <f>IF(OR(ISBLANK(A642),ISNA(MATCH(A642&amp;"",AthleteNumbers,0))),0,MATCH(A642&amp;"",AthleteNumbers,0))</f>
        <v>0</v>
      </c>
      <c r="J642" s="209">
        <f t="array" ref="J642">IF(I642&gt;0,INDEX(DB,$I642,6),0)</f>
        <v>0</v>
      </c>
      <c r="K642" s="446">
        <f t="shared" si="5"/>
        <v>0</v>
      </c>
      <c r="L642" s="440">
        <f t="shared" si="6"/>
        <v>0</v>
      </c>
      <c r="M642" s="441">
        <f>IF(AND(L642&gt;O642,O642&gt;0),MinPoints,IF(AND(L642&lt;N642,O642&gt;0),100,+INT((O642-$L642)/P642)+MinPoints))</f>
        <v>100</v>
      </c>
      <c r="N642" s="440">
        <f t="shared" si="7"/>
        <v>90</v>
      </c>
      <c r="O642" s="440">
        <f t="shared" si="8"/>
        <v>180</v>
      </c>
      <c r="P642" s="440">
        <f t="shared" si="9"/>
        <v>1</v>
      </c>
      <c r="Q642">
        <f t="array" ref="Q642">IF(I642&gt;0,INDEX(DB,I642,9),EventIndex)</f>
        <v>6</v>
      </c>
      <c r="S642">
        <f t="array" ref="S642">(INT(INDEX(MINVALUES,$Q642,$K$1))*60)+(MOD(INDEX(MINVALUES,$Q642,$K$1),1)*100)</f>
        <v>180</v>
      </c>
      <c r="T642">
        <f t="array" ref="T642">(INDEX(INCVALUES,$Q642,$K$1)*100)</f>
        <v>1</v>
      </c>
      <c r="V642">
        <f t="array" ref="V642">+J642+(4*(INDEX(MatchScoreTable,$Q642,20)-1))</f>
        <v>4</v>
      </c>
      <c r="W642">
        <f t="array" ref="W642">INDEX(INC_MINVALUES,$V642,$K$1)</f>
        <v>480</v>
      </c>
      <c r="X642" s="212">
        <f t="array" ref="X642">INDEX(INC_INCVALUES,$V642,$K$1)</f>
        <v>4</v>
      </c>
    </row>
    <row r="643" ht="15.75" customHeight="1">
      <c r="A643" s="435"/>
      <c r="B643" s="436"/>
      <c r="C643" s="95" t="str">
        <f t="array" ref="C643">IF(I643&gt;0,INDEX(DB,I643,8),"")</f>
        <v/>
      </c>
      <c r="D643" s="437">
        <f t="shared" si="1"/>
        <v>0</v>
      </c>
      <c r="F643" s="438">
        <f t="shared" si="2"/>
        <v>0</v>
      </c>
      <c r="G643" t="str">
        <f t="shared" si="3"/>
        <v/>
      </c>
      <c r="H643" t="b">
        <f t="shared" si="4"/>
        <v>0</v>
      </c>
      <c r="I643" s="439">
        <f>IF(OR(ISBLANK(A643),ISNA(MATCH(A643&amp;"",AthleteNumbers,0))),0,MATCH(A643&amp;"",AthleteNumbers,0))</f>
        <v>0</v>
      </c>
      <c r="J643" s="209">
        <f t="array" ref="J643">IF(I643&gt;0,INDEX(DB,$I643,6),0)</f>
        <v>0</v>
      </c>
      <c r="K643" s="446">
        <f t="shared" si="5"/>
        <v>0</v>
      </c>
      <c r="L643" s="440">
        <f t="shared" si="6"/>
        <v>0</v>
      </c>
      <c r="M643" s="441">
        <f>IF(AND(L643&gt;O643,O643&gt;0),MinPoints,IF(AND(L643&lt;N643,O643&gt;0),100,+INT((O643-$L643)/P643)+MinPoints))</f>
        <v>100</v>
      </c>
      <c r="N643" s="440">
        <f t="shared" si="7"/>
        <v>90</v>
      </c>
      <c r="O643" s="440">
        <f t="shared" si="8"/>
        <v>180</v>
      </c>
      <c r="P643" s="440">
        <f t="shared" si="9"/>
        <v>1</v>
      </c>
      <c r="Q643">
        <f t="array" ref="Q643">IF(I643&gt;0,INDEX(DB,I643,9),EventIndex)</f>
        <v>6</v>
      </c>
      <c r="S643">
        <f t="array" ref="S643">(INT(INDEX(MINVALUES,$Q643,$K$1))*60)+(MOD(INDEX(MINVALUES,$Q643,$K$1),1)*100)</f>
        <v>180</v>
      </c>
      <c r="T643">
        <f t="array" ref="T643">(INDEX(INCVALUES,$Q643,$K$1)*100)</f>
        <v>1</v>
      </c>
      <c r="V643">
        <f t="array" ref="V643">+J643+(4*(INDEX(MatchScoreTable,$Q643,20)-1))</f>
        <v>4</v>
      </c>
      <c r="W643">
        <f t="array" ref="W643">INDEX(INC_MINVALUES,$V643,$K$1)</f>
        <v>480</v>
      </c>
      <c r="X643" s="212">
        <f t="array" ref="X643">INDEX(INC_INCVALUES,$V643,$K$1)</f>
        <v>4</v>
      </c>
    </row>
    <row r="644" ht="15.75" customHeight="1">
      <c r="A644" s="435"/>
      <c r="B644" s="436"/>
      <c r="C644" s="95" t="str">
        <f t="array" ref="C644">IF(I644&gt;0,INDEX(DB,I644,8),"")</f>
        <v/>
      </c>
      <c r="D644" s="437">
        <f t="shared" si="1"/>
        <v>0</v>
      </c>
      <c r="F644" s="438">
        <f t="shared" si="2"/>
        <v>0</v>
      </c>
      <c r="G644" t="str">
        <f t="shared" si="3"/>
        <v/>
      </c>
      <c r="H644" t="b">
        <f t="shared" si="4"/>
        <v>0</v>
      </c>
      <c r="I644" s="439">
        <f>IF(OR(ISBLANK(A644),ISNA(MATCH(A644&amp;"",AthleteNumbers,0))),0,MATCH(A644&amp;"",AthleteNumbers,0))</f>
        <v>0</v>
      </c>
      <c r="J644" s="209">
        <f t="array" ref="J644">IF(I644&gt;0,INDEX(DB,$I644,6),0)</f>
        <v>0</v>
      </c>
      <c r="K644" s="446">
        <f t="shared" si="5"/>
        <v>0</v>
      </c>
      <c r="L644" s="440">
        <f t="shared" si="6"/>
        <v>0</v>
      </c>
      <c r="M644" s="441">
        <f>IF(AND(L644&gt;O644,O644&gt;0),MinPoints,IF(AND(L644&lt;N644,O644&gt;0),100,+INT((O644-$L644)/P644)+MinPoints))</f>
        <v>100</v>
      </c>
      <c r="N644" s="440">
        <f t="shared" si="7"/>
        <v>90</v>
      </c>
      <c r="O644" s="440">
        <f t="shared" si="8"/>
        <v>180</v>
      </c>
      <c r="P644" s="440">
        <f t="shared" si="9"/>
        <v>1</v>
      </c>
      <c r="Q644">
        <f t="array" ref="Q644">IF(I644&gt;0,INDEX(DB,I644,9),EventIndex)</f>
        <v>6</v>
      </c>
      <c r="S644">
        <f t="array" ref="S644">(INT(INDEX(MINVALUES,$Q644,$K$1))*60)+(MOD(INDEX(MINVALUES,$Q644,$K$1),1)*100)</f>
        <v>180</v>
      </c>
      <c r="T644">
        <f t="array" ref="T644">(INDEX(INCVALUES,$Q644,$K$1)*100)</f>
        <v>1</v>
      </c>
      <c r="V644">
        <f t="array" ref="V644">+J644+(4*(INDEX(MatchScoreTable,$Q644,20)-1))</f>
        <v>4</v>
      </c>
      <c r="W644">
        <f t="array" ref="W644">INDEX(INC_MINVALUES,$V644,$K$1)</f>
        <v>480</v>
      </c>
      <c r="X644" s="212">
        <f t="array" ref="X644">INDEX(INC_INCVALUES,$V644,$K$1)</f>
        <v>4</v>
      </c>
    </row>
    <row r="645" ht="15.75" customHeight="1">
      <c r="A645" s="435"/>
      <c r="B645" s="436"/>
      <c r="C645" s="95" t="str">
        <f t="array" ref="C645">IF(I645&gt;0,INDEX(DB,I645,8),"")</f>
        <v/>
      </c>
      <c r="D645" s="437">
        <f t="shared" si="1"/>
        <v>0</v>
      </c>
      <c r="F645" s="438">
        <f t="shared" si="2"/>
        <v>0</v>
      </c>
      <c r="G645" t="str">
        <f t="shared" si="3"/>
        <v/>
      </c>
      <c r="H645" t="b">
        <f t="shared" si="4"/>
        <v>0</v>
      </c>
      <c r="I645" s="439">
        <f>IF(OR(ISBLANK(A645),ISNA(MATCH(A645&amp;"",AthleteNumbers,0))),0,MATCH(A645&amp;"",AthleteNumbers,0))</f>
        <v>0</v>
      </c>
      <c r="J645" s="209">
        <f t="array" ref="J645">IF(I645&gt;0,INDEX(DB,$I645,6),0)</f>
        <v>0</v>
      </c>
      <c r="K645" s="446">
        <f t="shared" si="5"/>
        <v>0</v>
      </c>
      <c r="L645" s="440">
        <f t="shared" si="6"/>
        <v>0</v>
      </c>
      <c r="M645" s="441">
        <f>IF(AND(L645&gt;O645,O645&gt;0),MinPoints,IF(AND(L645&lt;N645,O645&gt;0),100,+INT((O645-$L645)/P645)+MinPoints))</f>
        <v>100</v>
      </c>
      <c r="N645" s="440">
        <f t="shared" si="7"/>
        <v>90</v>
      </c>
      <c r="O645" s="440">
        <f t="shared" si="8"/>
        <v>180</v>
      </c>
      <c r="P645" s="440">
        <f t="shared" si="9"/>
        <v>1</v>
      </c>
      <c r="Q645">
        <f t="array" ref="Q645">IF(I645&gt;0,INDEX(DB,I645,9),EventIndex)</f>
        <v>6</v>
      </c>
      <c r="S645">
        <f t="array" ref="S645">(INT(INDEX(MINVALUES,$Q645,$K$1))*60)+(MOD(INDEX(MINVALUES,$Q645,$K$1),1)*100)</f>
        <v>180</v>
      </c>
      <c r="T645">
        <f t="array" ref="T645">(INDEX(INCVALUES,$Q645,$K$1)*100)</f>
        <v>1</v>
      </c>
      <c r="V645">
        <f t="array" ref="V645">+J645+(4*(INDEX(MatchScoreTable,$Q645,20)-1))</f>
        <v>4</v>
      </c>
      <c r="W645">
        <f t="array" ref="W645">INDEX(INC_MINVALUES,$V645,$K$1)</f>
        <v>480</v>
      </c>
      <c r="X645" s="212">
        <f t="array" ref="X645">INDEX(INC_INCVALUES,$V645,$K$1)</f>
        <v>4</v>
      </c>
    </row>
    <row r="646" ht="15.75" customHeight="1">
      <c r="A646" s="435"/>
      <c r="B646" s="436"/>
      <c r="C646" s="95" t="str">
        <f t="array" ref="C646">IF(I646&gt;0,INDEX(DB,I646,8),"")</f>
        <v/>
      </c>
      <c r="D646" s="437">
        <f t="shared" si="1"/>
        <v>0</v>
      </c>
      <c r="F646" s="438">
        <f t="shared" si="2"/>
        <v>0</v>
      </c>
      <c r="G646" t="str">
        <f t="shared" si="3"/>
        <v/>
      </c>
      <c r="H646" t="b">
        <f t="shared" si="4"/>
        <v>0</v>
      </c>
      <c r="I646" s="439">
        <f>IF(OR(ISBLANK(A646),ISNA(MATCH(A646&amp;"",AthleteNumbers,0))),0,MATCH(A646&amp;"",AthleteNumbers,0))</f>
        <v>0</v>
      </c>
      <c r="J646" s="209">
        <f t="array" ref="J646">IF(I646&gt;0,INDEX(DB,$I646,6),0)</f>
        <v>0</v>
      </c>
      <c r="K646" s="446">
        <f t="shared" si="5"/>
        <v>0</v>
      </c>
      <c r="L646" s="440">
        <f t="shared" si="6"/>
        <v>0</v>
      </c>
      <c r="M646" s="441">
        <f>IF(AND(L646&gt;O646,O646&gt;0),MinPoints,IF(AND(L646&lt;N646,O646&gt;0),100,+INT((O646-$L646)/P646)+MinPoints))</f>
        <v>100</v>
      </c>
      <c r="N646" s="440">
        <f t="shared" si="7"/>
        <v>90</v>
      </c>
      <c r="O646" s="440">
        <f t="shared" si="8"/>
        <v>180</v>
      </c>
      <c r="P646" s="440">
        <f t="shared" si="9"/>
        <v>1</v>
      </c>
      <c r="Q646">
        <f t="array" ref="Q646">IF(I646&gt;0,INDEX(DB,I646,9),EventIndex)</f>
        <v>6</v>
      </c>
      <c r="S646">
        <f t="array" ref="S646">(INT(INDEX(MINVALUES,$Q646,$K$1))*60)+(MOD(INDEX(MINVALUES,$Q646,$K$1),1)*100)</f>
        <v>180</v>
      </c>
      <c r="T646">
        <f t="array" ref="T646">(INDEX(INCVALUES,$Q646,$K$1)*100)</f>
        <v>1</v>
      </c>
      <c r="V646">
        <f t="array" ref="V646">+J646+(4*(INDEX(MatchScoreTable,$Q646,20)-1))</f>
        <v>4</v>
      </c>
      <c r="W646">
        <f t="array" ref="W646">INDEX(INC_MINVALUES,$V646,$K$1)</f>
        <v>480</v>
      </c>
      <c r="X646" s="212">
        <f t="array" ref="X646">INDEX(INC_INCVALUES,$V646,$K$1)</f>
        <v>4</v>
      </c>
    </row>
    <row r="647" ht="15.75" customHeight="1">
      <c r="A647" s="435"/>
      <c r="B647" s="436"/>
      <c r="C647" s="95" t="str">
        <f t="array" ref="C647">IF(I647&gt;0,INDEX(DB,I647,8),"")</f>
        <v/>
      </c>
      <c r="D647" s="437">
        <f t="shared" si="1"/>
        <v>0</v>
      </c>
      <c r="F647" s="438">
        <f t="shared" si="2"/>
        <v>0</v>
      </c>
      <c r="G647" t="str">
        <f t="shared" si="3"/>
        <v/>
      </c>
      <c r="H647" t="b">
        <f t="shared" si="4"/>
        <v>0</v>
      </c>
      <c r="I647" s="439">
        <f>IF(OR(ISBLANK(A647),ISNA(MATCH(A647&amp;"",AthleteNumbers,0))),0,MATCH(A647&amp;"",AthleteNumbers,0))</f>
        <v>0</v>
      </c>
      <c r="J647" s="209">
        <f t="array" ref="J647">IF(I647&gt;0,INDEX(DB,$I647,6),0)</f>
        <v>0</v>
      </c>
      <c r="K647" s="446">
        <f t="shared" si="5"/>
        <v>0</v>
      </c>
      <c r="L647" s="440">
        <f t="shared" si="6"/>
        <v>0</v>
      </c>
      <c r="M647" s="441">
        <f>IF(AND(L647&gt;O647,O647&gt;0),MinPoints,IF(AND(L647&lt;N647,O647&gt;0),100,+INT((O647-$L647)/P647)+MinPoints))</f>
        <v>100</v>
      </c>
      <c r="N647" s="440">
        <f t="shared" si="7"/>
        <v>90</v>
      </c>
      <c r="O647" s="440">
        <f t="shared" si="8"/>
        <v>180</v>
      </c>
      <c r="P647" s="440">
        <f t="shared" si="9"/>
        <v>1</v>
      </c>
      <c r="Q647">
        <f t="array" ref="Q647">IF(I647&gt;0,INDEX(DB,I647,9),EventIndex)</f>
        <v>6</v>
      </c>
      <c r="S647">
        <f t="array" ref="S647">(INT(INDEX(MINVALUES,$Q647,$K$1))*60)+(MOD(INDEX(MINVALUES,$Q647,$K$1),1)*100)</f>
        <v>180</v>
      </c>
      <c r="T647">
        <f t="array" ref="T647">(INDEX(INCVALUES,$Q647,$K$1)*100)</f>
        <v>1</v>
      </c>
      <c r="V647">
        <f t="array" ref="V647">+J647+(4*(INDEX(MatchScoreTable,$Q647,20)-1))</f>
        <v>4</v>
      </c>
      <c r="W647">
        <f t="array" ref="W647">INDEX(INC_MINVALUES,$V647,$K$1)</f>
        <v>480</v>
      </c>
      <c r="X647" s="212">
        <f t="array" ref="X647">INDEX(INC_INCVALUES,$V647,$K$1)</f>
        <v>4</v>
      </c>
    </row>
    <row r="648" ht="15.75" customHeight="1">
      <c r="A648" s="435"/>
      <c r="B648" s="436"/>
      <c r="C648" s="95" t="str">
        <f t="array" ref="C648">IF(I648&gt;0,INDEX(DB,I648,8),"")</f>
        <v/>
      </c>
      <c r="D648" s="437">
        <f t="shared" si="1"/>
        <v>0</v>
      </c>
      <c r="F648" s="438">
        <f t="shared" si="2"/>
        <v>0</v>
      </c>
      <c r="G648" t="str">
        <f t="shared" si="3"/>
        <v/>
      </c>
      <c r="H648" t="b">
        <f t="shared" si="4"/>
        <v>0</v>
      </c>
      <c r="I648" s="439">
        <f>IF(OR(ISBLANK(A648),ISNA(MATCH(A648&amp;"",AthleteNumbers,0))),0,MATCH(A648&amp;"",AthleteNumbers,0))</f>
        <v>0</v>
      </c>
      <c r="J648" s="209">
        <f t="array" ref="J648">IF(I648&gt;0,INDEX(DB,$I648,6),0)</f>
        <v>0</v>
      </c>
      <c r="K648" s="446">
        <f t="shared" si="5"/>
        <v>0</v>
      </c>
      <c r="L648" s="440">
        <f t="shared" si="6"/>
        <v>0</v>
      </c>
      <c r="M648" s="441">
        <f>IF(AND(L648&gt;O648,O648&gt;0),MinPoints,IF(AND(L648&lt;N648,O648&gt;0),100,+INT((O648-$L648)/P648)+MinPoints))</f>
        <v>100</v>
      </c>
      <c r="N648" s="440">
        <f t="shared" si="7"/>
        <v>90</v>
      </c>
      <c r="O648" s="440">
        <f t="shared" si="8"/>
        <v>180</v>
      </c>
      <c r="P648" s="440">
        <f t="shared" si="9"/>
        <v>1</v>
      </c>
      <c r="Q648">
        <f t="array" ref="Q648">IF(I648&gt;0,INDEX(DB,I648,9),EventIndex)</f>
        <v>6</v>
      </c>
      <c r="S648">
        <f t="array" ref="S648">(INT(INDEX(MINVALUES,$Q648,$K$1))*60)+(MOD(INDEX(MINVALUES,$Q648,$K$1),1)*100)</f>
        <v>180</v>
      </c>
      <c r="T648">
        <f t="array" ref="T648">(INDEX(INCVALUES,$Q648,$K$1)*100)</f>
        <v>1</v>
      </c>
      <c r="V648">
        <f t="array" ref="V648">+J648+(4*(INDEX(MatchScoreTable,$Q648,20)-1))</f>
        <v>4</v>
      </c>
      <c r="W648">
        <f t="array" ref="W648">INDEX(INC_MINVALUES,$V648,$K$1)</f>
        <v>480</v>
      </c>
      <c r="X648" s="212">
        <f t="array" ref="X648">INDEX(INC_INCVALUES,$V648,$K$1)</f>
        <v>4</v>
      </c>
    </row>
    <row r="649" ht="15.75" customHeight="1">
      <c r="A649" s="435"/>
      <c r="B649" s="436"/>
      <c r="C649" s="95" t="str">
        <f t="array" ref="C649">IF(I649&gt;0,INDEX(DB,I649,8),"")</f>
        <v/>
      </c>
      <c r="D649" s="437">
        <f t="shared" si="1"/>
        <v>0</v>
      </c>
      <c r="F649" s="438">
        <f t="shared" si="2"/>
        <v>0</v>
      </c>
      <c r="G649" t="str">
        <f t="shared" si="3"/>
        <v/>
      </c>
      <c r="H649" t="b">
        <f t="shared" si="4"/>
        <v>0</v>
      </c>
      <c r="I649" s="439">
        <f>IF(OR(ISBLANK(A649),ISNA(MATCH(A649&amp;"",AthleteNumbers,0))),0,MATCH(A649&amp;"",AthleteNumbers,0))</f>
        <v>0</v>
      </c>
      <c r="J649" s="209">
        <f t="array" ref="J649">IF(I649&gt;0,INDEX(DB,$I649,6),0)</f>
        <v>0</v>
      </c>
      <c r="K649" s="446">
        <f t="shared" si="5"/>
        <v>0</v>
      </c>
      <c r="L649" s="440">
        <f t="shared" si="6"/>
        <v>0</v>
      </c>
      <c r="M649" s="441">
        <f>IF(AND(L649&gt;O649,O649&gt;0),MinPoints,IF(AND(L649&lt;N649,O649&gt;0),100,+INT((O649-$L649)/P649)+MinPoints))</f>
        <v>100</v>
      </c>
      <c r="N649" s="440">
        <f t="shared" si="7"/>
        <v>90</v>
      </c>
      <c r="O649" s="440">
        <f t="shared" si="8"/>
        <v>180</v>
      </c>
      <c r="P649" s="440">
        <f t="shared" si="9"/>
        <v>1</v>
      </c>
      <c r="Q649">
        <f t="array" ref="Q649">IF(I649&gt;0,INDEX(DB,I649,9),EventIndex)</f>
        <v>6</v>
      </c>
      <c r="S649">
        <f t="array" ref="S649">(INT(INDEX(MINVALUES,$Q649,$K$1))*60)+(MOD(INDEX(MINVALUES,$Q649,$K$1),1)*100)</f>
        <v>180</v>
      </c>
      <c r="T649">
        <f t="array" ref="T649">(INDEX(INCVALUES,$Q649,$K$1)*100)</f>
        <v>1</v>
      </c>
      <c r="V649">
        <f t="array" ref="V649">+J649+(4*(INDEX(MatchScoreTable,$Q649,20)-1))</f>
        <v>4</v>
      </c>
      <c r="W649">
        <f t="array" ref="W649">INDEX(INC_MINVALUES,$V649,$K$1)</f>
        <v>480</v>
      </c>
      <c r="X649" s="212">
        <f t="array" ref="X649">INDEX(INC_INCVALUES,$V649,$K$1)</f>
        <v>4</v>
      </c>
    </row>
    <row r="650" ht="15.75" customHeight="1">
      <c r="A650" s="435"/>
      <c r="B650" s="436"/>
      <c r="C650" s="95" t="str">
        <f t="array" ref="C650">IF(I650&gt;0,INDEX(DB,I650,8),"")</f>
        <v/>
      </c>
      <c r="D650" s="437">
        <f t="shared" si="1"/>
        <v>0</v>
      </c>
      <c r="F650" s="438">
        <f t="shared" si="2"/>
        <v>0</v>
      </c>
      <c r="G650" t="str">
        <f t="shared" si="3"/>
        <v/>
      </c>
      <c r="H650" t="b">
        <f t="shared" si="4"/>
        <v>0</v>
      </c>
      <c r="I650" s="439">
        <f>IF(OR(ISBLANK(A650),ISNA(MATCH(A650&amp;"",AthleteNumbers,0))),0,MATCH(A650&amp;"",AthleteNumbers,0))</f>
        <v>0</v>
      </c>
      <c r="J650" s="209">
        <f t="array" ref="J650">IF(I650&gt;0,INDEX(DB,$I650,6),0)</f>
        <v>0</v>
      </c>
      <c r="K650" s="446">
        <f t="shared" si="5"/>
        <v>0</v>
      </c>
      <c r="L650" s="440">
        <f t="shared" si="6"/>
        <v>0</v>
      </c>
      <c r="M650" s="441">
        <f>IF(AND(L650&gt;O650,O650&gt;0),MinPoints,IF(AND(L650&lt;N650,O650&gt;0),100,+INT((O650-$L650)/P650)+MinPoints))</f>
        <v>100</v>
      </c>
      <c r="N650" s="440">
        <f t="shared" si="7"/>
        <v>90</v>
      </c>
      <c r="O650" s="440">
        <f t="shared" si="8"/>
        <v>180</v>
      </c>
      <c r="P650" s="440">
        <f t="shared" si="9"/>
        <v>1</v>
      </c>
      <c r="Q650">
        <f t="array" ref="Q650">IF(I650&gt;0,INDEX(DB,I650,9),EventIndex)</f>
        <v>6</v>
      </c>
      <c r="S650">
        <f t="array" ref="S650">(INT(INDEX(MINVALUES,$Q650,$K$1))*60)+(MOD(INDEX(MINVALUES,$Q650,$K$1),1)*100)</f>
        <v>180</v>
      </c>
      <c r="T650">
        <f t="array" ref="T650">(INDEX(INCVALUES,$Q650,$K$1)*100)</f>
        <v>1</v>
      </c>
      <c r="V650">
        <f t="array" ref="V650">+J650+(4*(INDEX(MatchScoreTable,$Q650,20)-1))</f>
        <v>4</v>
      </c>
      <c r="W650">
        <f t="array" ref="W650">INDEX(INC_MINVALUES,$V650,$K$1)</f>
        <v>480</v>
      </c>
      <c r="X650" s="212">
        <f t="array" ref="X650">INDEX(INC_INCVALUES,$V650,$K$1)</f>
        <v>4</v>
      </c>
    </row>
    <row r="651" ht="15.75" customHeight="1">
      <c r="A651" s="435"/>
      <c r="B651" s="436"/>
      <c r="C651" s="95" t="str">
        <f t="array" ref="C651">IF(I651&gt;0,INDEX(DB,I651,8),"")</f>
        <v/>
      </c>
      <c r="D651" s="437">
        <f t="shared" si="1"/>
        <v>0</v>
      </c>
      <c r="F651" s="438">
        <f t="shared" si="2"/>
        <v>0</v>
      </c>
      <c r="G651" t="str">
        <f t="shared" si="3"/>
        <v/>
      </c>
      <c r="H651" t="b">
        <f t="shared" si="4"/>
        <v>0</v>
      </c>
      <c r="I651" s="439">
        <f>IF(OR(ISBLANK(A651),ISNA(MATCH(A651&amp;"",AthleteNumbers,0))),0,MATCH(A651&amp;"",AthleteNumbers,0))</f>
        <v>0</v>
      </c>
      <c r="J651" s="209">
        <f t="array" ref="J651">IF(I651&gt;0,INDEX(DB,$I651,6),0)</f>
        <v>0</v>
      </c>
      <c r="K651" s="446">
        <f t="shared" si="5"/>
        <v>0</v>
      </c>
      <c r="L651" s="440">
        <f t="shared" si="6"/>
        <v>0</v>
      </c>
      <c r="M651" s="441">
        <f>IF(AND(L651&gt;O651,O651&gt;0),MinPoints,IF(AND(L651&lt;N651,O651&gt;0),100,+INT((O651-$L651)/P651)+MinPoints))</f>
        <v>100</v>
      </c>
      <c r="N651" s="440">
        <f t="shared" si="7"/>
        <v>90</v>
      </c>
      <c r="O651" s="440">
        <f t="shared" si="8"/>
        <v>180</v>
      </c>
      <c r="P651" s="440">
        <f t="shared" si="9"/>
        <v>1</v>
      </c>
      <c r="Q651">
        <f t="array" ref="Q651">IF(I651&gt;0,INDEX(DB,I651,9),EventIndex)</f>
        <v>6</v>
      </c>
      <c r="S651">
        <f t="array" ref="S651">(INT(INDEX(MINVALUES,$Q651,$K$1))*60)+(MOD(INDEX(MINVALUES,$Q651,$K$1),1)*100)</f>
        <v>180</v>
      </c>
      <c r="T651">
        <f t="array" ref="T651">(INDEX(INCVALUES,$Q651,$K$1)*100)</f>
        <v>1</v>
      </c>
      <c r="V651">
        <f t="array" ref="V651">+J651+(4*(INDEX(MatchScoreTable,$Q651,20)-1))</f>
        <v>4</v>
      </c>
      <c r="W651">
        <f t="array" ref="W651">INDEX(INC_MINVALUES,$V651,$K$1)</f>
        <v>480</v>
      </c>
      <c r="X651" s="212">
        <f t="array" ref="X651">INDEX(INC_INCVALUES,$V651,$K$1)</f>
        <v>4</v>
      </c>
    </row>
    <row r="652" ht="15.75" customHeight="1">
      <c r="A652" s="435"/>
      <c r="B652" s="436"/>
      <c r="C652" s="95" t="str">
        <f t="array" ref="C652">IF(I652&gt;0,INDEX(DB,I652,8),"")</f>
        <v/>
      </c>
      <c r="D652" s="437">
        <f t="shared" si="1"/>
        <v>0</v>
      </c>
      <c r="F652" s="438">
        <f t="shared" si="2"/>
        <v>0</v>
      </c>
      <c r="G652" t="str">
        <f t="shared" si="3"/>
        <v/>
      </c>
      <c r="H652" t="b">
        <f t="shared" si="4"/>
        <v>0</v>
      </c>
      <c r="I652" s="439">
        <f>IF(OR(ISBLANK(A652),ISNA(MATCH(A652&amp;"",AthleteNumbers,0))),0,MATCH(A652&amp;"",AthleteNumbers,0))</f>
        <v>0</v>
      </c>
      <c r="J652" s="209">
        <f t="array" ref="J652">IF(I652&gt;0,INDEX(DB,$I652,6),0)</f>
        <v>0</v>
      </c>
      <c r="K652" s="446">
        <f t="shared" si="5"/>
        <v>0</v>
      </c>
      <c r="L652" s="440">
        <f t="shared" si="6"/>
        <v>0</v>
      </c>
      <c r="M652" s="441">
        <f>IF(AND(L652&gt;O652,O652&gt;0),MinPoints,IF(AND(L652&lt;N652,O652&gt;0),100,+INT((O652-$L652)/P652)+MinPoints))</f>
        <v>100</v>
      </c>
      <c r="N652" s="440">
        <f t="shared" si="7"/>
        <v>90</v>
      </c>
      <c r="O652" s="440">
        <f t="shared" si="8"/>
        <v>180</v>
      </c>
      <c r="P652" s="440">
        <f t="shared" si="9"/>
        <v>1</v>
      </c>
      <c r="Q652">
        <f t="array" ref="Q652">IF(I652&gt;0,INDEX(DB,I652,9),EventIndex)</f>
        <v>6</v>
      </c>
      <c r="S652">
        <f t="array" ref="S652">(INT(INDEX(MINVALUES,$Q652,$K$1))*60)+(MOD(INDEX(MINVALUES,$Q652,$K$1),1)*100)</f>
        <v>180</v>
      </c>
      <c r="T652">
        <f t="array" ref="T652">(INDEX(INCVALUES,$Q652,$K$1)*100)</f>
        <v>1</v>
      </c>
      <c r="V652">
        <f t="array" ref="V652">+J652+(4*(INDEX(MatchScoreTable,$Q652,20)-1))</f>
        <v>4</v>
      </c>
      <c r="W652">
        <f t="array" ref="W652">INDEX(INC_MINVALUES,$V652,$K$1)</f>
        <v>480</v>
      </c>
      <c r="X652" s="212">
        <f t="array" ref="X652">INDEX(INC_INCVALUES,$V652,$K$1)</f>
        <v>4</v>
      </c>
    </row>
    <row r="653" ht="15.75" customHeight="1">
      <c r="A653" s="435"/>
      <c r="B653" s="436"/>
      <c r="C653" s="95" t="str">
        <f t="array" ref="C653">IF(I653&gt;0,INDEX(DB,I653,8),"")</f>
        <v/>
      </c>
      <c r="D653" s="437">
        <f t="shared" si="1"/>
        <v>0</v>
      </c>
      <c r="F653" s="438">
        <f t="shared" si="2"/>
        <v>0</v>
      </c>
      <c r="G653" t="str">
        <f t="shared" si="3"/>
        <v/>
      </c>
      <c r="H653" t="b">
        <f t="shared" si="4"/>
        <v>0</v>
      </c>
      <c r="I653" s="439">
        <f>IF(OR(ISBLANK(A653),ISNA(MATCH(A653&amp;"",AthleteNumbers,0))),0,MATCH(A653&amp;"",AthleteNumbers,0))</f>
        <v>0</v>
      </c>
      <c r="J653" s="209">
        <f t="array" ref="J653">IF(I653&gt;0,INDEX(DB,$I653,6),0)</f>
        <v>0</v>
      </c>
      <c r="K653" s="446">
        <f t="shared" si="5"/>
        <v>0</v>
      </c>
      <c r="L653" s="440">
        <f t="shared" si="6"/>
        <v>0</v>
      </c>
      <c r="M653" s="441">
        <f>IF(AND(L653&gt;O653,O653&gt;0),MinPoints,IF(AND(L653&lt;N653,O653&gt;0),100,+INT((O653-$L653)/P653)+MinPoints))</f>
        <v>100</v>
      </c>
      <c r="N653" s="440">
        <f t="shared" si="7"/>
        <v>90</v>
      </c>
      <c r="O653" s="440">
        <f t="shared" si="8"/>
        <v>180</v>
      </c>
      <c r="P653" s="440">
        <f t="shared" si="9"/>
        <v>1</v>
      </c>
      <c r="Q653">
        <f t="array" ref="Q653">IF(I653&gt;0,INDEX(DB,I653,9),EventIndex)</f>
        <v>6</v>
      </c>
      <c r="S653">
        <f t="array" ref="S653">(INT(INDEX(MINVALUES,$Q653,$K$1))*60)+(MOD(INDEX(MINVALUES,$Q653,$K$1),1)*100)</f>
        <v>180</v>
      </c>
      <c r="T653">
        <f t="array" ref="T653">(INDEX(INCVALUES,$Q653,$K$1)*100)</f>
        <v>1</v>
      </c>
      <c r="V653">
        <f t="array" ref="V653">+J653+(4*(INDEX(MatchScoreTable,$Q653,20)-1))</f>
        <v>4</v>
      </c>
      <c r="W653">
        <f t="array" ref="W653">INDEX(INC_MINVALUES,$V653,$K$1)</f>
        <v>480</v>
      </c>
      <c r="X653" s="212">
        <f t="array" ref="X653">INDEX(INC_INCVALUES,$V653,$K$1)</f>
        <v>4</v>
      </c>
    </row>
    <row r="654" ht="15.75" customHeight="1">
      <c r="A654" s="435"/>
      <c r="B654" s="436"/>
      <c r="C654" s="95" t="str">
        <f t="array" ref="C654">IF(I654&gt;0,INDEX(DB,I654,8),"")</f>
        <v/>
      </c>
      <c r="D654" s="437">
        <f t="shared" si="1"/>
        <v>0</v>
      </c>
      <c r="F654" s="438">
        <f t="shared" si="2"/>
        <v>0</v>
      </c>
      <c r="G654" t="str">
        <f t="shared" si="3"/>
        <v/>
      </c>
      <c r="H654" t="b">
        <f t="shared" si="4"/>
        <v>0</v>
      </c>
      <c r="I654" s="439">
        <f>IF(OR(ISBLANK(A654),ISNA(MATCH(A654&amp;"",AthleteNumbers,0))),0,MATCH(A654&amp;"",AthleteNumbers,0))</f>
        <v>0</v>
      </c>
      <c r="J654" s="209">
        <f t="array" ref="J654">IF(I654&gt;0,INDEX(DB,$I654,6),0)</f>
        <v>0</v>
      </c>
      <c r="K654" s="446">
        <f t="shared" si="5"/>
        <v>0</v>
      </c>
      <c r="L654" s="440">
        <f t="shared" si="6"/>
        <v>0</v>
      </c>
      <c r="M654" s="441">
        <f>IF(AND(L654&gt;O654,O654&gt;0),MinPoints,IF(AND(L654&lt;N654,O654&gt;0),100,+INT((O654-$L654)/P654)+MinPoints))</f>
        <v>100</v>
      </c>
      <c r="N654" s="440">
        <f t="shared" si="7"/>
        <v>90</v>
      </c>
      <c r="O654" s="440">
        <f t="shared" si="8"/>
        <v>180</v>
      </c>
      <c r="P654" s="440">
        <f t="shared" si="9"/>
        <v>1</v>
      </c>
      <c r="Q654">
        <f t="array" ref="Q654">IF(I654&gt;0,INDEX(DB,I654,9),EventIndex)</f>
        <v>6</v>
      </c>
      <c r="S654">
        <f t="array" ref="S654">(INT(INDEX(MINVALUES,$Q654,$K$1))*60)+(MOD(INDEX(MINVALUES,$Q654,$K$1),1)*100)</f>
        <v>180</v>
      </c>
      <c r="T654">
        <f t="array" ref="T654">(INDEX(INCVALUES,$Q654,$K$1)*100)</f>
        <v>1</v>
      </c>
      <c r="V654">
        <f t="array" ref="V654">+J654+(4*(INDEX(MatchScoreTable,$Q654,20)-1))</f>
        <v>4</v>
      </c>
      <c r="W654">
        <f t="array" ref="W654">INDEX(INC_MINVALUES,$V654,$K$1)</f>
        <v>480</v>
      </c>
      <c r="X654" s="212">
        <f t="array" ref="X654">INDEX(INC_INCVALUES,$V654,$K$1)</f>
        <v>4</v>
      </c>
    </row>
    <row r="655" ht="15.75" customHeight="1">
      <c r="A655" s="435"/>
      <c r="B655" s="436"/>
      <c r="C655" s="95" t="str">
        <f t="array" ref="C655">IF(I655&gt;0,INDEX(DB,I655,8),"")</f>
        <v/>
      </c>
      <c r="D655" s="437">
        <f t="shared" si="1"/>
        <v>0</v>
      </c>
      <c r="F655" s="438">
        <f t="shared" si="2"/>
        <v>0</v>
      </c>
      <c r="G655" t="str">
        <f t="shared" si="3"/>
        <v/>
      </c>
      <c r="H655" t="b">
        <f t="shared" si="4"/>
        <v>0</v>
      </c>
      <c r="I655" s="439">
        <f>IF(OR(ISBLANK(A655),ISNA(MATCH(A655&amp;"",AthleteNumbers,0))),0,MATCH(A655&amp;"",AthleteNumbers,0))</f>
        <v>0</v>
      </c>
      <c r="J655" s="209">
        <f t="array" ref="J655">IF(I655&gt;0,INDEX(DB,$I655,6),0)</f>
        <v>0</v>
      </c>
      <c r="K655" s="446">
        <f t="shared" si="5"/>
        <v>0</v>
      </c>
      <c r="L655" s="440">
        <f t="shared" si="6"/>
        <v>0</v>
      </c>
      <c r="M655" s="441">
        <f>IF(AND(L655&gt;O655,O655&gt;0),MinPoints,IF(AND(L655&lt;N655,O655&gt;0),100,+INT((O655-$L655)/P655)+MinPoints))</f>
        <v>100</v>
      </c>
      <c r="N655" s="440">
        <f t="shared" si="7"/>
        <v>90</v>
      </c>
      <c r="O655" s="440">
        <f t="shared" si="8"/>
        <v>180</v>
      </c>
      <c r="P655" s="440">
        <f t="shared" si="9"/>
        <v>1</v>
      </c>
      <c r="Q655">
        <f t="array" ref="Q655">IF(I655&gt;0,INDEX(DB,I655,9),EventIndex)</f>
        <v>6</v>
      </c>
      <c r="S655">
        <f t="array" ref="S655">(INT(INDEX(MINVALUES,$Q655,$K$1))*60)+(MOD(INDEX(MINVALUES,$Q655,$K$1),1)*100)</f>
        <v>180</v>
      </c>
      <c r="T655">
        <f t="array" ref="T655">(INDEX(INCVALUES,$Q655,$K$1)*100)</f>
        <v>1</v>
      </c>
      <c r="V655">
        <f t="array" ref="V655">+J655+(4*(INDEX(MatchScoreTable,$Q655,20)-1))</f>
        <v>4</v>
      </c>
      <c r="W655">
        <f t="array" ref="W655">INDEX(INC_MINVALUES,$V655,$K$1)</f>
        <v>480</v>
      </c>
      <c r="X655" s="212">
        <f t="array" ref="X655">INDEX(INC_INCVALUES,$V655,$K$1)</f>
        <v>4</v>
      </c>
    </row>
    <row r="656" ht="15.75" customHeight="1">
      <c r="A656" s="435"/>
      <c r="B656" s="436"/>
      <c r="C656" s="95" t="str">
        <f t="array" ref="C656">IF(I656&gt;0,INDEX(DB,I656,8),"")</f>
        <v/>
      </c>
      <c r="D656" s="437">
        <f t="shared" si="1"/>
        <v>0</v>
      </c>
      <c r="F656" s="438">
        <f t="shared" si="2"/>
        <v>0</v>
      </c>
      <c r="G656" t="str">
        <f t="shared" si="3"/>
        <v/>
      </c>
      <c r="H656" t="b">
        <f t="shared" si="4"/>
        <v>0</v>
      </c>
      <c r="I656" s="439">
        <f>IF(OR(ISBLANK(A656),ISNA(MATCH(A656&amp;"",AthleteNumbers,0))),0,MATCH(A656&amp;"",AthleteNumbers,0))</f>
        <v>0</v>
      </c>
      <c r="J656" s="209">
        <f t="array" ref="J656">IF(I656&gt;0,INDEX(DB,$I656,6),0)</f>
        <v>0</v>
      </c>
      <c r="K656" s="446">
        <f t="shared" si="5"/>
        <v>0</v>
      </c>
      <c r="L656" s="440">
        <f t="shared" si="6"/>
        <v>0</v>
      </c>
      <c r="M656" s="441">
        <f>IF(AND(L656&gt;O656,O656&gt;0),MinPoints,IF(AND(L656&lt;N656,O656&gt;0),100,+INT((O656-$L656)/P656)+MinPoints))</f>
        <v>100</v>
      </c>
      <c r="N656" s="440">
        <f t="shared" si="7"/>
        <v>90</v>
      </c>
      <c r="O656" s="440">
        <f t="shared" si="8"/>
        <v>180</v>
      </c>
      <c r="P656" s="440">
        <f t="shared" si="9"/>
        <v>1</v>
      </c>
      <c r="Q656">
        <f t="array" ref="Q656">IF(I656&gt;0,INDEX(DB,I656,9),EventIndex)</f>
        <v>6</v>
      </c>
      <c r="S656">
        <f t="array" ref="S656">(INT(INDEX(MINVALUES,$Q656,$K$1))*60)+(MOD(INDEX(MINVALUES,$Q656,$K$1),1)*100)</f>
        <v>180</v>
      </c>
      <c r="T656">
        <f t="array" ref="T656">(INDEX(INCVALUES,$Q656,$K$1)*100)</f>
        <v>1</v>
      </c>
      <c r="V656">
        <f t="array" ref="V656">+J656+(4*(INDEX(MatchScoreTable,$Q656,20)-1))</f>
        <v>4</v>
      </c>
      <c r="W656">
        <f t="array" ref="W656">INDEX(INC_MINVALUES,$V656,$K$1)</f>
        <v>480</v>
      </c>
      <c r="X656" s="212">
        <f t="array" ref="X656">INDEX(INC_INCVALUES,$V656,$K$1)</f>
        <v>4</v>
      </c>
    </row>
    <row r="657" ht="15.75" customHeight="1">
      <c r="A657" s="435"/>
      <c r="B657" s="436"/>
      <c r="C657" s="95" t="str">
        <f t="array" ref="C657">IF(I657&gt;0,INDEX(DB,I657,8),"")</f>
        <v/>
      </c>
      <c r="D657" s="437">
        <f t="shared" si="1"/>
        <v>0</v>
      </c>
      <c r="F657" s="438">
        <f t="shared" si="2"/>
        <v>0</v>
      </c>
      <c r="G657" t="str">
        <f t="shared" si="3"/>
        <v/>
      </c>
      <c r="H657" t="b">
        <f t="shared" si="4"/>
        <v>0</v>
      </c>
      <c r="I657" s="439">
        <f>IF(OR(ISBLANK(A657),ISNA(MATCH(A657&amp;"",AthleteNumbers,0))),0,MATCH(A657&amp;"",AthleteNumbers,0))</f>
        <v>0</v>
      </c>
      <c r="J657" s="209">
        <f t="array" ref="J657">IF(I657&gt;0,INDEX(DB,$I657,6),0)</f>
        <v>0</v>
      </c>
      <c r="K657" s="446">
        <f t="shared" si="5"/>
        <v>0</v>
      </c>
      <c r="L657" s="440">
        <f t="shared" si="6"/>
        <v>0</v>
      </c>
      <c r="M657" s="441">
        <f>IF(AND(L657&gt;O657,O657&gt;0),MinPoints,IF(AND(L657&lt;N657,O657&gt;0),100,+INT((O657-$L657)/P657)+MinPoints))</f>
        <v>100</v>
      </c>
      <c r="N657" s="440">
        <f t="shared" si="7"/>
        <v>90</v>
      </c>
      <c r="O657" s="440">
        <f t="shared" si="8"/>
        <v>180</v>
      </c>
      <c r="P657" s="440">
        <f t="shared" si="9"/>
        <v>1</v>
      </c>
      <c r="Q657">
        <f t="array" ref="Q657">IF(I657&gt;0,INDEX(DB,I657,9),EventIndex)</f>
        <v>6</v>
      </c>
      <c r="S657">
        <f t="array" ref="S657">(INT(INDEX(MINVALUES,$Q657,$K$1))*60)+(MOD(INDEX(MINVALUES,$Q657,$K$1),1)*100)</f>
        <v>180</v>
      </c>
      <c r="T657">
        <f t="array" ref="T657">(INDEX(INCVALUES,$Q657,$K$1)*100)</f>
        <v>1</v>
      </c>
      <c r="V657">
        <f t="array" ref="V657">+J657+(4*(INDEX(MatchScoreTable,$Q657,20)-1))</f>
        <v>4</v>
      </c>
      <c r="W657">
        <f t="array" ref="W657">INDEX(INC_MINVALUES,$V657,$K$1)</f>
        <v>480</v>
      </c>
      <c r="X657" s="212">
        <f t="array" ref="X657">INDEX(INC_INCVALUES,$V657,$K$1)</f>
        <v>4</v>
      </c>
    </row>
    <row r="658" ht="15.75" customHeight="1">
      <c r="A658" s="435"/>
      <c r="B658" s="436"/>
      <c r="C658" s="95" t="str">
        <f t="array" ref="C658">IF(I658&gt;0,INDEX(DB,I658,8),"")</f>
        <v/>
      </c>
      <c r="D658" s="437">
        <f t="shared" si="1"/>
        <v>0</v>
      </c>
      <c r="F658" s="438">
        <f t="shared" si="2"/>
        <v>0</v>
      </c>
      <c r="G658" t="str">
        <f t="shared" si="3"/>
        <v/>
      </c>
      <c r="H658" t="b">
        <f t="shared" si="4"/>
        <v>0</v>
      </c>
      <c r="I658" s="439">
        <f>IF(OR(ISBLANK(A658),ISNA(MATCH(A658&amp;"",AthleteNumbers,0))),0,MATCH(A658&amp;"",AthleteNumbers,0))</f>
        <v>0</v>
      </c>
      <c r="J658" s="209">
        <f t="array" ref="J658">IF(I658&gt;0,INDEX(DB,$I658,6),0)</f>
        <v>0</v>
      </c>
      <c r="K658" s="446">
        <f t="shared" si="5"/>
        <v>0</v>
      </c>
      <c r="L658" s="440">
        <f t="shared" si="6"/>
        <v>0</v>
      </c>
      <c r="M658" s="441">
        <f>IF(AND(L658&gt;O658,O658&gt;0),MinPoints,IF(AND(L658&lt;N658,O658&gt;0),100,+INT((O658-$L658)/P658)+MinPoints))</f>
        <v>100</v>
      </c>
      <c r="N658" s="440">
        <f t="shared" si="7"/>
        <v>90</v>
      </c>
      <c r="O658" s="440">
        <f t="shared" si="8"/>
        <v>180</v>
      </c>
      <c r="P658" s="440">
        <f t="shared" si="9"/>
        <v>1</v>
      </c>
      <c r="Q658">
        <f t="array" ref="Q658">IF(I658&gt;0,INDEX(DB,I658,9),EventIndex)</f>
        <v>6</v>
      </c>
      <c r="S658">
        <f t="array" ref="S658">(INT(INDEX(MINVALUES,$Q658,$K$1))*60)+(MOD(INDEX(MINVALUES,$Q658,$K$1),1)*100)</f>
        <v>180</v>
      </c>
      <c r="T658">
        <f t="array" ref="T658">(INDEX(INCVALUES,$Q658,$K$1)*100)</f>
        <v>1</v>
      </c>
      <c r="V658">
        <f t="array" ref="V658">+J658+(4*(INDEX(MatchScoreTable,$Q658,20)-1))</f>
        <v>4</v>
      </c>
      <c r="W658">
        <f t="array" ref="W658">INDEX(INC_MINVALUES,$V658,$K$1)</f>
        <v>480</v>
      </c>
      <c r="X658" s="212">
        <f t="array" ref="X658">INDEX(INC_INCVALUES,$V658,$K$1)</f>
        <v>4</v>
      </c>
    </row>
    <row r="659" ht="15.75" customHeight="1">
      <c r="A659" s="435"/>
      <c r="B659" s="436"/>
      <c r="C659" s="95" t="str">
        <f t="array" ref="C659">IF(I659&gt;0,INDEX(DB,I659,8),"")</f>
        <v/>
      </c>
      <c r="D659" s="437">
        <f t="shared" si="1"/>
        <v>0</v>
      </c>
      <c r="F659" s="438">
        <f t="shared" si="2"/>
        <v>0</v>
      </c>
      <c r="G659" t="str">
        <f t="shared" si="3"/>
        <v/>
      </c>
      <c r="H659" t="b">
        <f t="shared" si="4"/>
        <v>0</v>
      </c>
      <c r="I659" s="439">
        <f>IF(OR(ISBLANK(A659),ISNA(MATCH(A659&amp;"",AthleteNumbers,0))),0,MATCH(A659&amp;"",AthleteNumbers,0))</f>
        <v>0</v>
      </c>
      <c r="J659" s="209">
        <f t="array" ref="J659">IF(I659&gt;0,INDEX(DB,$I659,6),0)</f>
        <v>0</v>
      </c>
      <c r="K659" s="446">
        <f t="shared" si="5"/>
        <v>0</v>
      </c>
      <c r="L659" s="440">
        <f t="shared" si="6"/>
        <v>0</v>
      </c>
      <c r="M659" s="441">
        <f>IF(AND(L659&gt;O659,O659&gt;0),MinPoints,IF(AND(L659&lt;N659,O659&gt;0),100,+INT((O659-$L659)/P659)+MinPoints))</f>
        <v>100</v>
      </c>
      <c r="N659" s="440">
        <f t="shared" si="7"/>
        <v>90</v>
      </c>
      <c r="O659" s="440">
        <f t="shared" si="8"/>
        <v>180</v>
      </c>
      <c r="P659" s="440">
        <f t="shared" si="9"/>
        <v>1</v>
      </c>
      <c r="Q659">
        <f t="array" ref="Q659">IF(I659&gt;0,INDEX(DB,I659,9),EventIndex)</f>
        <v>6</v>
      </c>
      <c r="S659">
        <f t="array" ref="S659">(INT(INDEX(MINVALUES,$Q659,$K$1))*60)+(MOD(INDEX(MINVALUES,$Q659,$K$1),1)*100)</f>
        <v>180</v>
      </c>
      <c r="T659">
        <f t="array" ref="T659">(INDEX(INCVALUES,$Q659,$K$1)*100)</f>
        <v>1</v>
      </c>
      <c r="V659">
        <f t="array" ref="V659">+J659+(4*(INDEX(MatchScoreTable,$Q659,20)-1))</f>
        <v>4</v>
      </c>
      <c r="W659">
        <f t="array" ref="W659">INDEX(INC_MINVALUES,$V659,$K$1)</f>
        <v>480</v>
      </c>
      <c r="X659" s="212">
        <f t="array" ref="X659">INDEX(INC_INCVALUES,$V659,$K$1)</f>
        <v>4</v>
      </c>
    </row>
    <row r="660" ht="15.75" customHeight="1">
      <c r="A660" s="435"/>
      <c r="B660" s="436"/>
      <c r="C660" s="95" t="str">
        <f t="array" ref="C660">IF(I660&gt;0,INDEX(DB,I660,8),"")</f>
        <v/>
      </c>
      <c r="D660" s="437">
        <f t="shared" si="1"/>
        <v>0</v>
      </c>
      <c r="F660" s="438">
        <f t="shared" si="2"/>
        <v>0</v>
      </c>
      <c r="G660" t="str">
        <f t="shared" si="3"/>
        <v/>
      </c>
      <c r="H660" t="b">
        <f t="shared" si="4"/>
        <v>0</v>
      </c>
      <c r="I660" s="439">
        <f>IF(OR(ISBLANK(A660),ISNA(MATCH(A660&amp;"",AthleteNumbers,0))),0,MATCH(A660&amp;"",AthleteNumbers,0))</f>
        <v>0</v>
      </c>
      <c r="J660" s="209">
        <f t="array" ref="J660">IF(I660&gt;0,INDEX(DB,$I660,6),0)</f>
        <v>0</v>
      </c>
      <c r="K660" s="446">
        <f t="shared" si="5"/>
        <v>0</v>
      </c>
      <c r="L660" s="440">
        <f t="shared" si="6"/>
        <v>0</v>
      </c>
      <c r="M660" s="441">
        <f>IF(AND(L660&gt;O660,O660&gt;0),MinPoints,IF(AND(L660&lt;N660,O660&gt;0),100,+INT((O660-$L660)/P660)+MinPoints))</f>
        <v>100</v>
      </c>
      <c r="N660" s="440">
        <f t="shared" si="7"/>
        <v>90</v>
      </c>
      <c r="O660" s="440">
        <f t="shared" si="8"/>
        <v>180</v>
      </c>
      <c r="P660" s="440">
        <f t="shared" si="9"/>
        <v>1</v>
      </c>
      <c r="Q660">
        <f t="array" ref="Q660">IF(I660&gt;0,INDEX(DB,I660,9),EventIndex)</f>
        <v>6</v>
      </c>
      <c r="S660">
        <f t="array" ref="S660">(INT(INDEX(MINVALUES,$Q660,$K$1))*60)+(MOD(INDEX(MINVALUES,$Q660,$K$1),1)*100)</f>
        <v>180</v>
      </c>
      <c r="T660">
        <f t="array" ref="T660">(INDEX(INCVALUES,$Q660,$K$1)*100)</f>
        <v>1</v>
      </c>
      <c r="V660">
        <f t="array" ref="V660">+J660+(4*(INDEX(MatchScoreTable,$Q660,20)-1))</f>
        <v>4</v>
      </c>
      <c r="W660">
        <f t="array" ref="W660">INDEX(INC_MINVALUES,$V660,$K$1)</f>
        <v>480</v>
      </c>
      <c r="X660" s="212">
        <f t="array" ref="X660">INDEX(INC_INCVALUES,$V660,$K$1)</f>
        <v>4</v>
      </c>
    </row>
    <row r="661" ht="15.75" customHeight="1">
      <c r="A661" s="435"/>
      <c r="B661" s="436"/>
      <c r="C661" s="95" t="str">
        <f t="array" ref="C661">IF(I661&gt;0,INDEX(DB,I661,8),"")</f>
        <v/>
      </c>
      <c r="D661" s="437">
        <f t="shared" si="1"/>
        <v>0</v>
      </c>
      <c r="F661" s="438">
        <f t="shared" si="2"/>
        <v>0</v>
      </c>
      <c r="G661" t="str">
        <f t="shared" si="3"/>
        <v/>
      </c>
      <c r="H661" t="b">
        <f t="shared" si="4"/>
        <v>0</v>
      </c>
      <c r="I661" s="439">
        <f>IF(OR(ISBLANK(A661),ISNA(MATCH(A661&amp;"",AthleteNumbers,0))),0,MATCH(A661&amp;"",AthleteNumbers,0))</f>
        <v>0</v>
      </c>
      <c r="J661" s="209">
        <f t="array" ref="J661">IF(I661&gt;0,INDEX(DB,$I661,6),0)</f>
        <v>0</v>
      </c>
      <c r="K661" s="446">
        <f t="shared" si="5"/>
        <v>0</v>
      </c>
      <c r="L661" s="440">
        <f t="shared" si="6"/>
        <v>0</v>
      </c>
      <c r="M661" s="441">
        <f>IF(AND(L661&gt;O661,O661&gt;0),MinPoints,IF(AND(L661&lt;N661,O661&gt;0),100,+INT((O661-$L661)/P661)+MinPoints))</f>
        <v>100</v>
      </c>
      <c r="N661" s="440">
        <f t="shared" si="7"/>
        <v>90</v>
      </c>
      <c r="O661" s="440">
        <f t="shared" si="8"/>
        <v>180</v>
      </c>
      <c r="P661" s="440">
        <f t="shared" si="9"/>
        <v>1</v>
      </c>
      <c r="Q661">
        <f t="array" ref="Q661">IF(I661&gt;0,INDEX(DB,I661,9),EventIndex)</f>
        <v>6</v>
      </c>
      <c r="S661">
        <f t="array" ref="S661">(INT(INDEX(MINVALUES,$Q661,$K$1))*60)+(MOD(INDEX(MINVALUES,$Q661,$K$1),1)*100)</f>
        <v>180</v>
      </c>
      <c r="T661">
        <f t="array" ref="T661">(INDEX(INCVALUES,$Q661,$K$1)*100)</f>
        <v>1</v>
      </c>
      <c r="V661">
        <f t="array" ref="V661">+J661+(4*(INDEX(MatchScoreTable,$Q661,20)-1))</f>
        <v>4</v>
      </c>
      <c r="W661">
        <f t="array" ref="W661">INDEX(INC_MINVALUES,$V661,$K$1)</f>
        <v>480</v>
      </c>
      <c r="X661" s="212">
        <f t="array" ref="X661">INDEX(INC_INCVALUES,$V661,$K$1)</f>
        <v>4</v>
      </c>
    </row>
    <row r="662" ht="15.75" customHeight="1">
      <c r="A662" s="435"/>
      <c r="B662" s="436"/>
      <c r="C662" s="95" t="str">
        <f t="array" ref="C662">IF(I662&gt;0,INDEX(DB,I662,8),"")</f>
        <v/>
      </c>
      <c r="D662" s="437">
        <f t="shared" si="1"/>
        <v>0</v>
      </c>
      <c r="F662" s="438">
        <f t="shared" si="2"/>
        <v>0</v>
      </c>
      <c r="G662" t="str">
        <f t="shared" si="3"/>
        <v/>
      </c>
      <c r="H662" t="b">
        <f t="shared" si="4"/>
        <v>0</v>
      </c>
      <c r="I662" s="439">
        <f>IF(OR(ISBLANK(A662),ISNA(MATCH(A662&amp;"",AthleteNumbers,0))),0,MATCH(A662&amp;"",AthleteNumbers,0))</f>
        <v>0</v>
      </c>
      <c r="J662" s="209">
        <f t="array" ref="J662">IF(I662&gt;0,INDEX(DB,$I662,6),0)</f>
        <v>0</v>
      </c>
      <c r="K662" s="446">
        <f t="shared" si="5"/>
        <v>0</v>
      </c>
      <c r="L662" s="440">
        <f t="shared" si="6"/>
        <v>0</v>
      </c>
      <c r="M662" s="441">
        <f>IF(AND(L662&gt;O662,O662&gt;0),MinPoints,IF(AND(L662&lt;N662,O662&gt;0),100,+INT((O662-$L662)/P662)+MinPoints))</f>
        <v>100</v>
      </c>
      <c r="N662" s="440">
        <f t="shared" si="7"/>
        <v>90</v>
      </c>
      <c r="O662" s="440">
        <f t="shared" si="8"/>
        <v>180</v>
      </c>
      <c r="P662" s="440">
        <f t="shared" si="9"/>
        <v>1</v>
      </c>
      <c r="Q662">
        <f t="array" ref="Q662">IF(I662&gt;0,INDEX(DB,I662,9),EventIndex)</f>
        <v>6</v>
      </c>
      <c r="S662">
        <f t="array" ref="S662">(INT(INDEX(MINVALUES,$Q662,$K$1))*60)+(MOD(INDEX(MINVALUES,$Q662,$K$1),1)*100)</f>
        <v>180</v>
      </c>
      <c r="T662">
        <f t="array" ref="T662">(INDEX(INCVALUES,$Q662,$K$1)*100)</f>
        <v>1</v>
      </c>
      <c r="V662">
        <f t="array" ref="V662">+J662+(4*(INDEX(MatchScoreTable,$Q662,20)-1))</f>
        <v>4</v>
      </c>
      <c r="W662">
        <f t="array" ref="W662">INDEX(INC_MINVALUES,$V662,$K$1)</f>
        <v>480</v>
      </c>
      <c r="X662" s="212">
        <f t="array" ref="X662">INDEX(INC_INCVALUES,$V662,$K$1)</f>
        <v>4</v>
      </c>
    </row>
    <row r="663" ht="15.75" customHeight="1">
      <c r="A663" s="435"/>
      <c r="B663" s="436"/>
      <c r="C663" s="95" t="str">
        <f t="array" ref="C663">IF(I663&gt;0,INDEX(DB,I663,8),"")</f>
        <v/>
      </c>
      <c r="D663" s="437">
        <f t="shared" si="1"/>
        <v>0</v>
      </c>
      <c r="F663" s="438">
        <f t="shared" si="2"/>
        <v>0</v>
      </c>
      <c r="G663" t="str">
        <f t="shared" si="3"/>
        <v/>
      </c>
      <c r="H663" t="b">
        <f t="shared" si="4"/>
        <v>0</v>
      </c>
      <c r="I663" s="439">
        <f>IF(OR(ISBLANK(A663),ISNA(MATCH(A663&amp;"",AthleteNumbers,0))),0,MATCH(A663&amp;"",AthleteNumbers,0))</f>
        <v>0</v>
      </c>
      <c r="J663" s="209">
        <f t="array" ref="J663">IF(I663&gt;0,INDEX(DB,$I663,6),0)</f>
        <v>0</v>
      </c>
      <c r="K663" s="446">
        <f t="shared" si="5"/>
        <v>0</v>
      </c>
      <c r="L663" s="440">
        <f t="shared" si="6"/>
        <v>0</v>
      </c>
      <c r="M663" s="441">
        <f>IF(AND(L663&gt;O663,O663&gt;0),MinPoints,IF(AND(L663&lt;N663,O663&gt;0),100,+INT((O663-$L663)/P663)+MinPoints))</f>
        <v>100</v>
      </c>
      <c r="N663" s="440">
        <f t="shared" si="7"/>
        <v>90</v>
      </c>
      <c r="O663" s="440">
        <f t="shared" si="8"/>
        <v>180</v>
      </c>
      <c r="P663" s="440">
        <f t="shared" si="9"/>
        <v>1</v>
      </c>
      <c r="Q663">
        <f t="array" ref="Q663">IF(I663&gt;0,INDEX(DB,I663,9),EventIndex)</f>
        <v>6</v>
      </c>
      <c r="S663">
        <f t="array" ref="S663">(INT(INDEX(MINVALUES,$Q663,$K$1))*60)+(MOD(INDEX(MINVALUES,$Q663,$K$1),1)*100)</f>
        <v>180</v>
      </c>
      <c r="T663">
        <f t="array" ref="T663">(INDEX(INCVALUES,$Q663,$K$1)*100)</f>
        <v>1</v>
      </c>
      <c r="V663">
        <f t="array" ref="V663">+J663+(4*(INDEX(MatchScoreTable,$Q663,20)-1))</f>
        <v>4</v>
      </c>
      <c r="W663">
        <f t="array" ref="W663">INDEX(INC_MINVALUES,$V663,$K$1)</f>
        <v>480</v>
      </c>
      <c r="X663" s="212">
        <f t="array" ref="X663">INDEX(INC_INCVALUES,$V663,$K$1)</f>
        <v>4</v>
      </c>
    </row>
    <row r="664" ht="15.75" customHeight="1">
      <c r="A664" s="435"/>
      <c r="B664" s="436"/>
      <c r="C664" s="95" t="str">
        <f t="array" ref="C664">IF(I664&gt;0,INDEX(DB,I664,8),"")</f>
        <v/>
      </c>
      <c r="D664" s="437">
        <f t="shared" si="1"/>
        <v>0</v>
      </c>
      <c r="F664" s="438">
        <f t="shared" si="2"/>
        <v>0</v>
      </c>
      <c r="G664" t="str">
        <f t="shared" si="3"/>
        <v/>
      </c>
      <c r="H664" t="b">
        <f t="shared" si="4"/>
        <v>0</v>
      </c>
      <c r="I664" s="439">
        <f>IF(OR(ISBLANK(A664),ISNA(MATCH(A664&amp;"",AthleteNumbers,0))),0,MATCH(A664&amp;"",AthleteNumbers,0))</f>
        <v>0</v>
      </c>
      <c r="J664" s="209">
        <f t="array" ref="J664">IF(I664&gt;0,INDEX(DB,$I664,6),0)</f>
        <v>0</v>
      </c>
      <c r="K664" s="446">
        <f t="shared" si="5"/>
        <v>0</v>
      </c>
      <c r="L664" s="440">
        <f t="shared" si="6"/>
        <v>0</v>
      </c>
      <c r="M664" s="441">
        <f>IF(AND(L664&gt;O664,O664&gt;0),MinPoints,IF(AND(L664&lt;N664,O664&gt;0),100,+INT((O664-$L664)/P664)+MinPoints))</f>
        <v>100</v>
      </c>
      <c r="N664" s="440">
        <f t="shared" si="7"/>
        <v>90</v>
      </c>
      <c r="O664" s="440">
        <f t="shared" si="8"/>
        <v>180</v>
      </c>
      <c r="P664" s="440">
        <f t="shared" si="9"/>
        <v>1</v>
      </c>
      <c r="Q664">
        <f t="array" ref="Q664">IF(I664&gt;0,INDEX(DB,I664,9),EventIndex)</f>
        <v>6</v>
      </c>
      <c r="S664">
        <f t="array" ref="S664">(INT(INDEX(MINVALUES,$Q664,$K$1))*60)+(MOD(INDEX(MINVALUES,$Q664,$K$1),1)*100)</f>
        <v>180</v>
      </c>
      <c r="T664">
        <f t="array" ref="T664">(INDEX(INCVALUES,$Q664,$K$1)*100)</f>
        <v>1</v>
      </c>
      <c r="V664">
        <f t="array" ref="V664">+J664+(4*(INDEX(MatchScoreTable,$Q664,20)-1))</f>
        <v>4</v>
      </c>
      <c r="W664">
        <f t="array" ref="W664">INDEX(INC_MINVALUES,$V664,$K$1)</f>
        <v>480</v>
      </c>
      <c r="X664" s="212">
        <f t="array" ref="X664">INDEX(INC_INCVALUES,$V664,$K$1)</f>
        <v>4</v>
      </c>
    </row>
    <row r="665" ht="15.75" customHeight="1">
      <c r="A665" s="435"/>
      <c r="B665" s="436"/>
      <c r="C665" s="95" t="str">
        <f t="array" ref="C665">IF(I665&gt;0,INDEX(DB,I665,8),"")</f>
        <v/>
      </c>
      <c r="D665" s="437">
        <f t="shared" si="1"/>
        <v>0</v>
      </c>
      <c r="F665" s="438">
        <f t="shared" si="2"/>
        <v>0</v>
      </c>
      <c r="G665" t="str">
        <f t="shared" si="3"/>
        <v/>
      </c>
      <c r="H665" t="b">
        <f t="shared" si="4"/>
        <v>0</v>
      </c>
      <c r="I665" s="439">
        <f>IF(OR(ISBLANK(A665),ISNA(MATCH(A665&amp;"",AthleteNumbers,0))),0,MATCH(A665&amp;"",AthleteNumbers,0))</f>
        <v>0</v>
      </c>
      <c r="J665" s="209">
        <f t="array" ref="J665">IF(I665&gt;0,INDEX(DB,$I665,6),0)</f>
        <v>0</v>
      </c>
      <c r="K665" s="446">
        <f t="shared" si="5"/>
        <v>0</v>
      </c>
      <c r="L665" s="440">
        <f t="shared" si="6"/>
        <v>0</v>
      </c>
      <c r="M665" s="441">
        <f>IF(AND(L665&gt;O665,O665&gt;0),MinPoints,IF(AND(L665&lt;N665,O665&gt;0),100,+INT((O665-$L665)/P665)+MinPoints))</f>
        <v>100</v>
      </c>
      <c r="N665" s="440">
        <f t="shared" si="7"/>
        <v>90</v>
      </c>
      <c r="O665" s="440">
        <f t="shared" si="8"/>
        <v>180</v>
      </c>
      <c r="P665" s="440">
        <f t="shared" si="9"/>
        <v>1</v>
      </c>
      <c r="Q665">
        <f t="array" ref="Q665">IF(I665&gt;0,INDEX(DB,I665,9),EventIndex)</f>
        <v>6</v>
      </c>
      <c r="S665">
        <f t="array" ref="S665">(INT(INDEX(MINVALUES,$Q665,$K$1))*60)+(MOD(INDEX(MINVALUES,$Q665,$K$1),1)*100)</f>
        <v>180</v>
      </c>
      <c r="T665">
        <f t="array" ref="T665">(INDEX(INCVALUES,$Q665,$K$1)*100)</f>
        <v>1</v>
      </c>
      <c r="V665">
        <f t="array" ref="V665">+J665+(4*(INDEX(MatchScoreTable,$Q665,20)-1))</f>
        <v>4</v>
      </c>
      <c r="W665">
        <f t="array" ref="W665">INDEX(INC_MINVALUES,$V665,$K$1)</f>
        <v>480</v>
      </c>
      <c r="X665" s="212">
        <f t="array" ref="X665">INDEX(INC_INCVALUES,$V665,$K$1)</f>
        <v>4</v>
      </c>
    </row>
    <row r="666" ht="15.75" customHeight="1">
      <c r="A666" s="435"/>
      <c r="B666" s="436"/>
      <c r="C666" s="95" t="str">
        <f t="array" ref="C666">IF(I666&gt;0,INDEX(DB,I666,8),"")</f>
        <v/>
      </c>
      <c r="D666" s="437">
        <f t="shared" si="1"/>
        <v>0</v>
      </c>
      <c r="F666" s="438">
        <f t="shared" si="2"/>
        <v>0</v>
      </c>
      <c r="G666" t="str">
        <f t="shared" si="3"/>
        <v/>
      </c>
      <c r="H666" t="b">
        <f t="shared" si="4"/>
        <v>0</v>
      </c>
      <c r="I666" s="439">
        <f>IF(OR(ISBLANK(A666),ISNA(MATCH(A666&amp;"",AthleteNumbers,0))),0,MATCH(A666&amp;"",AthleteNumbers,0))</f>
        <v>0</v>
      </c>
      <c r="J666" s="209">
        <f t="array" ref="J666">IF(I666&gt;0,INDEX(DB,$I666,6),0)</f>
        <v>0</v>
      </c>
      <c r="K666" s="446">
        <f t="shared" si="5"/>
        <v>0</v>
      </c>
      <c r="L666" s="440">
        <f t="shared" si="6"/>
        <v>0</v>
      </c>
      <c r="M666" s="441">
        <f>IF(AND(L666&gt;O666,O666&gt;0),MinPoints,IF(AND(L666&lt;N666,O666&gt;0),100,+INT((O666-$L666)/P666)+MinPoints))</f>
        <v>100</v>
      </c>
      <c r="N666" s="440">
        <f t="shared" si="7"/>
        <v>90</v>
      </c>
      <c r="O666" s="440">
        <f t="shared" si="8"/>
        <v>180</v>
      </c>
      <c r="P666" s="440">
        <f t="shared" si="9"/>
        <v>1</v>
      </c>
      <c r="Q666">
        <f t="array" ref="Q666">IF(I666&gt;0,INDEX(DB,I666,9),EventIndex)</f>
        <v>6</v>
      </c>
      <c r="S666">
        <f t="array" ref="S666">(INT(INDEX(MINVALUES,$Q666,$K$1))*60)+(MOD(INDEX(MINVALUES,$Q666,$K$1),1)*100)</f>
        <v>180</v>
      </c>
      <c r="T666">
        <f t="array" ref="T666">(INDEX(INCVALUES,$Q666,$K$1)*100)</f>
        <v>1</v>
      </c>
      <c r="V666">
        <f t="array" ref="V666">+J666+(4*(INDEX(MatchScoreTable,$Q666,20)-1))</f>
        <v>4</v>
      </c>
      <c r="W666">
        <f t="array" ref="W666">INDEX(INC_MINVALUES,$V666,$K$1)</f>
        <v>480</v>
      </c>
      <c r="X666" s="212">
        <f t="array" ref="X666">INDEX(INC_INCVALUES,$V666,$K$1)</f>
        <v>4</v>
      </c>
    </row>
    <row r="667" ht="15.75" customHeight="1">
      <c r="A667" s="435"/>
      <c r="B667" s="436"/>
      <c r="C667" s="95" t="str">
        <f t="array" ref="C667">IF(I667&gt;0,INDEX(DB,I667,8),"")</f>
        <v/>
      </c>
      <c r="D667" s="437">
        <f t="shared" si="1"/>
        <v>0</v>
      </c>
      <c r="F667" s="438">
        <f t="shared" si="2"/>
        <v>0</v>
      </c>
      <c r="G667" t="str">
        <f t="shared" si="3"/>
        <v/>
      </c>
      <c r="H667" t="b">
        <f t="shared" si="4"/>
        <v>0</v>
      </c>
      <c r="I667" s="439">
        <f>IF(OR(ISBLANK(A667),ISNA(MATCH(A667&amp;"",AthleteNumbers,0))),0,MATCH(A667&amp;"",AthleteNumbers,0))</f>
        <v>0</v>
      </c>
      <c r="J667" s="209">
        <f t="array" ref="J667">IF(I667&gt;0,INDEX(DB,$I667,6),0)</f>
        <v>0</v>
      </c>
      <c r="K667" s="446">
        <f t="shared" si="5"/>
        <v>0</v>
      </c>
      <c r="L667" s="440">
        <f t="shared" si="6"/>
        <v>0</v>
      </c>
      <c r="M667" s="441">
        <f>IF(AND(L667&gt;O667,O667&gt;0),MinPoints,IF(AND(L667&lt;N667,O667&gt;0),100,+INT((O667-$L667)/P667)+MinPoints))</f>
        <v>100</v>
      </c>
      <c r="N667" s="440">
        <f t="shared" si="7"/>
        <v>90</v>
      </c>
      <c r="O667" s="440">
        <f t="shared" si="8"/>
        <v>180</v>
      </c>
      <c r="P667" s="440">
        <f t="shared" si="9"/>
        <v>1</v>
      </c>
      <c r="Q667">
        <f t="array" ref="Q667">IF(I667&gt;0,INDEX(DB,I667,9),EventIndex)</f>
        <v>6</v>
      </c>
      <c r="S667">
        <f t="array" ref="S667">(INT(INDEX(MINVALUES,$Q667,$K$1))*60)+(MOD(INDEX(MINVALUES,$Q667,$K$1),1)*100)</f>
        <v>180</v>
      </c>
      <c r="T667">
        <f t="array" ref="T667">(INDEX(INCVALUES,$Q667,$K$1)*100)</f>
        <v>1</v>
      </c>
      <c r="V667">
        <f t="array" ref="V667">+J667+(4*(INDEX(MatchScoreTable,$Q667,20)-1))</f>
        <v>4</v>
      </c>
      <c r="W667">
        <f t="array" ref="W667">INDEX(INC_MINVALUES,$V667,$K$1)</f>
        <v>480</v>
      </c>
      <c r="X667" s="212">
        <f t="array" ref="X667">INDEX(INC_INCVALUES,$V667,$K$1)</f>
        <v>4</v>
      </c>
    </row>
    <row r="668" ht="15.75" customHeight="1">
      <c r="A668" s="435"/>
      <c r="B668" s="436"/>
      <c r="C668" s="95" t="str">
        <f t="array" ref="C668">IF(I668&gt;0,INDEX(DB,I668,8),"")</f>
        <v/>
      </c>
      <c r="D668" s="437">
        <f t="shared" si="1"/>
        <v>0</v>
      </c>
      <c r="F668" s="438">
        <f t="shared" si="2"/>
        <v>0</v>
      </c>
      <c r="G668" t="str">
        <f t="shared" si="3"/>
        <v/>
      </c>
      <c r="H668" t="b">
        <f t="shared" si="4"/>
        <v>0</v>
      </c>
      <c r="I668" s="439">
        <f>IF(OR(ISBLANK(A668),ISNA(MATCH(A668&amp;"",AthleteNumbers,0))),0,MATCH(A668&amp;"",AthleteNumbers,0))</f>
        <v>0</v>
      </c>
      <c r="J668" s="209">
        <f t="array" ref="J668">IF(I668&gt;0,INDEX(DB,$I668,6),0)</f>
        <v>0</v>
      </c>
      <c r="K668" s="446">
        <f t="shared" si="5"/>
        <v>0</v>
      </c>
      <c r="L668" s="440">
        <f t="shared" si="6"/>
        <v>0</v>
      </c>
      <c r="M668" s="441">
        <f>IF(AND(L668&gt;O668,O668&gt;0),MinPoints,IF(AND(L668&lt;N668,O668&gt;0),100,+INT((O668-$L668)/P668)+MinPoints))</f>
        <v>100</v>
      </c>
      <c r="N668" s="440">
        <f t="shared" si="7"/>
        <v>90</v>
      </c>
      <c r="O668" s="440">
        <f t="shared" si="8"/>
        <v>180</v>
      </c>
      <c r="P668" s="440">
        <f t="shared" si="9"/>
        <v>1</v>
      </c>
      <c r="Q668">
        <f t="array" ref="Q668">IF(I668&gt;0,INDEX(DB,I668,9),EventIndex)</f>
        <v>6</v>
      </c>
      <c r="S668">
        <f t="array" ref="S668">(INT(INDEX(MINVALUES,$Q668,$K$1))*60)+(MOD(INDEX(MINVALUES,$Q668,$K$1),1)*100)</f>
        <v>180</v>
      </c>
      <c r="T668">
        <f t="array" ref="T668">(INDEX(INCVALUES,$Q668,$K$1)*100)</f>
        <v>1</v>
      </c>
      <c r="V668">
        <f t="array" ref="V668">+J668+(4*(INDEX(MatchScoreTable,$Q668,20)-1))</f>
        <v>4</v>
      </c>
      <c r="W668">
        <f t="array" ref="W668">INDEX(INC_MINVALUES,$V668,$K$1)</f>
        <v>480</v>
      </c>
      <c r="X668" s="212">
        <f t="array" ref="X668">INDEX(INC_INCVALUES,$V668,$K$1)</f>
        <v>4</v>
      </c>
    </row>
    <row r="669" ht="15.75" customHeight="1">
      <c r="A669" s="435"/>
      <c r="B669" s="436"/>
      <c r="C669" s="95" t="str">
        <f t="array" ref="C669">IF(I669&gt;0,INDEX(DB,I669,8),"")</f>
        <v/>
      </c>
      <c r="D669" s="437">
        <f t="shared" si="1"/>
        <v>0</v>
      </c>
      <c r="F669" s="438">
        <f t="shared" si="2"/>
        <v>0</v>
      </c>
      <c r="G669" t="str">
        <f t="shared" si="3"/>
        <v/>
      </c>
      <c r="H669" t="b">
        <f t="shared" si="4"/>
        <v>0</v>
      </c>
      <c r="I669" s="439">
        <f>IF(OR(ISBLANK(A669),ISNA(MATCH(A669&amp;"",AthleteNumbers,0))),0,MATCH(A669&amp;"",AthleteNumbers,0))</f>
        <v>0</v>
      </c>
      <c r="J669" s="209">
        <f t="array" ref="J669">IF(I669&gt;0,INDEX(DB,$I669,6),0)</f>
        <v>0</v>
      </c>
      <c r="K669" s="446">
        <f t="shared" si="5"/>
        <v>0</v>
      </c>
      <c r="L669" s="440">
        <f t="shared" si="6"/>
        <v>0</v>
      </c>
      <c r="M669" s="441">
        <f>IF(AND(L669&gt;O669,O669&gt;0),MinPoints,IF(AND(L669&lt;N669,O669&gt;0),100,+INT((O669-$L669)/P669)+MinPoints))</f>
        <v>100</v>
      </c>
      <c r="N669" s="440">
        <f t="shared" si="7"/>
        <v>90</v>
      </c>
      <c r="O669" s="440">
        <f t="shared" si="8"/>
        <v>180</v>
      </c>
      <c r="P669" s="440">
        <f t="shared" si="9"/>
        <v>1</v>
      </c>
      <c r="Q669">
        <f t="array" ref="Q669">IF(I669&gt;0,INDEX(DB,I669,9),EventIndex)</f>
        <v>6</v>
      </c>
      <c r="S669">
        <f t="array" ref="S669">(INT(INDEX(MINVALUES,$Q669,$K$1))*60)+(MOD(INDEX(MINVALUES,$Q669,$K$1),1)*100)</f>
        <v>180</v>
      </c>
      <c r="T669">
        <f t="array" ref="T669">(INDEX(INCVALUES,$Q669,$K$1)*100)</f>
        <v>1</v>
      </c>
      <c r="V669">
        <f t="array" ref="V669">+J669+(4*(INDEX(MatchScoreTable,$Q669,20)-1))</f>
        <v>4</v>
      </c>
      <c r="W669">
        <f t="array" ref="W669">INDEX(INC_MINVALUES,$V669,$K$1)</f>
        <v>480</v>
      </c>
      <c r="X669" s="212">
        <f t="array" ref="X669">INDEX(INC_INCVALUES,$V669,$K$1)</f>
        <v>4</v>
      </c>
    </row>
    <row r="670" ht="15.75" customHeight="1">
      <c r="A670" s="435"/>
      <c r="B670" s="436"/>
      <c r="C670" s="95" t="str">
        <f t="array" ref="C670">IF(I670&gt;0,INDEX(DB,I670,8),"")</f>
        <v/>
      </c>
      <c r="D670" s="437">
        <f t="shared" si="1"/>
        <v>0</v>
      </c>
      <c r="F670" s="438">
        <f t="shared" si="2"/>
        <v>0</v>
      </c>
      <c r="G670" t="str">
        <f t="shared" si="3"/>
        <v/>
      </c>
      <c r="H670" t="b">
        <f t="shared" si="4"/>
        <v>0</v>
      </c>
      <c r="I670" s="439">
        <f>IF(OR(ISBLANK(A670),ISNA(MATCH(A670&amp;"",AthleteNumbers,0))),0,MATCH(A670&amp;"",AthleteNumbers,0))</f>
        <v>0</v>
      </c>
      <c r="J670" s="209">
        <f t="array" ref="J670">IF(I670&gt;0,INDEX(DB,$I670,6),0)</f>
        <v>0</v>
      </c>
      <c r="K670" s="446">
        <f t="shared" si="5"/>
        <v>0</v>
      </c>
      <c r="L670" s="440">
        <f t="shared" si="6"/>
        <v>0</v>
      </c>
      <c r="M670" s="441">
        <f>IF(AND(L670&gt;O670,O670&gt;0),MinPoints,IF(AND(L670&lt;N670,O670&gt;0),100,+INT((O670-$L670)/P670)+MinPoints))</f>
        <v>100</v>
      </c>
      <c r="N670" s="440">
        <f t="shared" si="7"/>
        <v>90</v>
      </c>
      <c r="O670" s="440">
        <f t="shared" si="8"/>
        <v>180</v>
      </c>
      <c r="P670" s="440">
        <f t="shared" si="9"/>
        <v>1</v>
      </c>
      <c r="Q670">
        <f t="array" ref="Q670">IF(I670&gt;0,INDEX(DB,I670,9),EventIndex)</f>
        <v>6</v>
      </c>
      <c r="S670">
        <f t="array" ref="S670">(INT(INDEX(MINVALUES,$Q670,$K$1))*60)+(MOD(INDEX(MINVALUES,$Q670,$K$1),1)*100)</f>
        <v>180</v>
      </c>
      <c r="T670">
        <f t="array" ref="T670">(INDEX(INCVALUES,$Q670,$K$1)*100)</f>
        <v>1</v>
      </c>
      <c r="V670">
        <f t="array" ref="V670">+J670+(4*(INDEX(MatchScoreTable,$Q670,20)-1))</f>
        <v>4</v>
      </c>
      <c r="W670">
        <f t="array" ref="W670">INDEX(INC_MINVALUES,$V670,$K$1)</f>
        <v>480</v>
      </c>
      <c r="X670" s="212">
        <f t="array" ref="X670">INDEX(INC_INCVALUES,$V670,$K$1)</f>
        <v>4</v>
      </c>
    </row>
    <row r="671" ht="15.75" customHeight="1">
      <c r="A671" s="435"/>
      <c r="B671" s="436"/>
      <c r="C671" s="95" t="str">
        <f t="array" ref="C671">IF(I671&gt;0,INDEX(DB,I671,8),"")</f>
        <v/>
      </c>
      <c r="D671" s="437">
        <f t="shared" si="1"/>
        <v>0</v>
      </c>
      <c r="F671" s="438">
        <f t="shared" si="2"/>
        <v>0</v>
      </c>
      <c r="G671" t="str">
        <f t="shared" si="3"/>
        <v/>
      </c>
      <c r="H671" t="b">
        <f t="shared" si="4"/>
        <v>0</v>
      </c>
      <c r="I671" s="439">
        <f>IF(OR(ISBLANK(A671),ISNA(MATCH(A671&amp;"",AthleteNumbers,0))),0,MATCH(A671&amp;"",AthleteNumbers,0))</f>
        <v>0</v>
      </c>
      <c r="J671" s="209">
        <f t="array" ref="J671">IF(I671&gt;0,INDEX(DB,$I671,6),0)</f>
        <v>0</v>
      </c>
      <c r="K671" s="446">
        <f t="shared" si="5"/>
        <v>0</v>
      </c>
      <c r="L671" s="440">
        <f t="shared" si="6"/>
        <v>0</v>
      </c>
      <c r="M671" s="441">
        <f>IF(AND(L671&gt;O671,O671&gt;0),MinPoints,IF(AND(L671&lt;N671,O671&gt;0),100,+INT((O671-$L671)/P671)+MinPoints))</f>
        <v>100</v>
      </c>
      <c r="N671" s="440">
        <f t="shared" si="7"/>
        <v>90</v>
      </c>
      <c r="O671" s="440">
        <f t="shared" si="8"/>
        <v>180</v>
      </c>
      <c r="P671" s="440">
        <f t="shared" si="9"/>
        <v>1</v>
      </c>
      <c r="Q671">
        <f t="array" ref="Q671">IF(I671&gt;0,INDEX(DB,I671,9),EventIndex)</f>
        <v>6</v>
      </c>
      <c r="S671">
        <f t="array" ref="S671">(INT(INDEX(MINVALUES,$Q671,$K$1))*60)+(MOD(INDEX(MINVALUES,$Q671,$K$1),1)*100)</f>
        <v>180</v>
      </c>
      <c r="T671">
        <f t="array" ref="T671">(INDEX(INCVALUES,$Q671,$K$1)*100)</f>
        <v>1</v>
      </c>
      <c r="V671">
        <f t="array" ref="V671">+J671+(4*(INDEX(MatchScoreTable,$Q671,20)-1))</f>
        <v>4</v>
      </c>
      <c r="W671">
        <f t="array" ref="W671">INDEX(INC_MINVALUES,$V671,$K$1)</f>
        <v>480</v>
      </c>
      <c r="X671" s="212">
        <f t="array" ref="X671">INDEX(INC_INCVALUES,$V671,$K$1)</f>
        <v>4</v>
      </c>
    </row>
    <row r="672" ht="15.75" customHeight="1">
      <c r="A672" s="435"/>
      <c r="B672" s="436"/>
      <c r="C672" s="95" t="str">
        <f t="array" ref="C672">IF(I672&gt;0,INDEX(DB,I672,8),"")</f>
        <v/>
      </c>
      <c r="D672" s="437">
        <f t="shared" si="1"/>
        <v>0</v>
      </c>
      <c r="F672" s="438">
        <f t="shared" si="2"/>
        <v>0</v>
      </c>
      <c r="G672" t="str">
        <f t="shared" si="3"/>
        <v/>
      </c>
      <c r="H672" t="b">
        <f t="shared" si="4"/>
        <v>0</v>
      </c>
      <c r="I672" s="439">
        <f>IF(OR(ISBLANK(A672),ISNA(MATCH(A672&amp;"",AthleteNumbers,0))),0,MATCH(A672&amp;"",AthleteNumbers,0))</f>
        <v>0</v>
      </c>
      <c r="J672" s="209">
        <f t="array" ref="J672">IF(I672&gt;0,INDEX(DB,$I672,6),0)</f>
        <v>0</v>
      </c>
      <c r="K672" s="446">
        <f t="shared" si="5"/>
        <v>0</v>
      </c>
      <c r="L672" s="440">
        <f t="shared" si="6"/>
        <v>0</v>
      </c>
      <c r="M672" s="441">
        <f>IF(AND(L672&gt;O672,O672&gt;0),MinPoints,IF(AND(L672&lt;N672,O672&gt;0),100,+INT((O672-$L672)/P672)+MinPoints))</f>
        <v>100</v>
      </c>
      <c r="N672" s="440">
        <f t="shared" si="7"/>
        <v>90</v>
      </c>
      <c r="O672" s="440">
        <f t="shared" si="8"/>
        <v>180</v>
      </c>
      <c r="P672" s="440">
        <f t="shared" si="9"/>
        <v>1</v>
      </c>
      <c r="Q672">
        <f t="array" ref="Q672">IF(I672&gt;0,INDEX(DB,I672,9),EventIndex)</f>
        <v>6</v>
      </c>
      <c r="S672">
        <f t="array" ref="S672">(INT(INDEX(MINVALUES,$Q672,$K$1))*60)+(MOD(INDEX(MINVALUES,$Q672,$K$1),1)*100)</f>
        <v>180</v>
      </c>
      <c r="T672">
        <f t="array" ref="T672">(INDEX(INCVALUES,$Q672,$K$1)*100)</f>
        <v>1</v>
      </c>
      <c r="V672">
        <f t="array" ref="V672">+J672+(4*(INDEX(MatchScoreTable,$Q672,20)-1))</f>
        <v>4</v>
      </c>
      <c r="W672">
        <f t="array" ref="W672">INDEX(INC_MINVALUES,$V672,$K$1)</f>
        <v>480</v>
      </c>
      <c r="X672" s="212">
        <f t="array" ref="X672">INDEX(INC_INCVALUES,$V672,$K$1)</f>
        <v>4</v>
      </c>
    </row>
    <row r="673" ht="15.75" customHeight="1">
      <c r="A673" s="435"/>
      <c r="B673" s="436"/>
      <c r="C673" s="95" t="str">
        <f t="array" ref="C673">IF(I673&gt;0,INDEX(DB,I673,8),"")</f>
        <v/>
      </c>
      <c r="D673" s="437">
        <f t="shared" si="1"/>
        <v>0</v>
      </c>
      <c r="F673" s="438">
        <f t="shared" si="2"/>
        <v>0</v>
      </c>
      <c r="G673" t="str">
        <f t="shared" si="3"/>
        <v/>
      </c>
      <c r="H673" t="b">
        <f t="shared" si="4"/>
        <v>0</v>
      </c>
      <c r="I673" s="439">
        <f>IF(OR(ISBLANK(A673),ISNA(MATCH(A673&amp;"",AthleteNumbers,0))),0,MATCH(A673&amp;"",AthleteNumbers,0))</f>
        <v>0</v>
      </c>
      <c r="J673" s="209">
        <f t="array" ref="J673">IF(I673&gt;0,INDEX(DB,$I673,6),0)</f>
        <v>0</v>
      </c>
      <c r="K673" s="446">
        <f t="shared" si="5"/>
        <v>0</v>
      </c>
      <c r="L673" s="440">
        <f t="shared" si="6"/>
        <v>0</v>
      </c>
      <c r="M673" s="441">
        <f>IF(AND(L673&gt;O673,O673&gt;0),MinPoints,IF(AND(L673&lt;N673,O673&gt;0),100,+INT((O673-$L673)/P673)+MinPoints))</f>
        <v>100</v>
      </c>
      <c r="N673" s="440">
        <f t="shared" si="7"/>
        <v>90</v>
      </c>
      <c r="O673" s="440">
        <f t="shared" si="8"/>
        <v>180</v>
      </c>
      <c r="P673" s="440">
        <f t="shared" si="9"/>
        <v>1</v>
      </c>
      <c r="Q673">
        <f t="array" ref="Q673">IF(I673&gt;0,INDEX(DB,I673,9),EventIndex)</f>
        <v>6</v>
      </c>
      <c r="S673">
        <f t="array" ref="S673">(INT(INDEX(MINVALUES,$Q673,$K$1))*60)+(MOD(INDEX(MINVALUES,$Q673,$K$1),1)*100)</f>
        <v>180</v>
      </c>
      <c r="T673">
        <f t="array" ref="T673">(INDEX(INCVALUES,$Q673,$K$1)*100)</f>
        <v>1</v>
      </c>
      <c r="V673">
        <f t="array" ref="V673">+J673+(4*(INDEX(MatchScoreTable,$Q673,20)-1))</f>
        <v>4</v>
      </c>
      <c r="W673">
        <f t="array" ref="W673">INDEX(INC_MINVALUES,$V673,$K$1)</f>
        <v>480</v>
      </c>
      <c r="X673" s="212">
        <f t="array" ref="X673">INDEX(INC_INCVALUES,$V673,$K$1)</f>
        <v>4</v>
      </c>
    </row>
    <row r="674" ht="15.75" customHeight="1">
      <c r="A674" s="435"/>
      <c r="B674" s="436"/>
      <c r="C674" s="95" t="str">
        <f t="array" ref="C674">IF(I674&gt;0,INDEX(DB,I674,8),"")</f>
        <v/>
      </c>
      <c r="D674" s="437">
        <f t="shared" si="1"/>
        <v>0</v>
      </c>
      <c r="F674" s="438">
        <f t="shared" si="2"/>
        <v>0</v>
      </c>
      <c r="G674" t="str">
        <f t="shared" si="3"/>
        <v/>
      </c>
      <c r="H674" t="b">
        <f t="shared" si="4"/>
        <v>0</v>
      </c>
      <c r="I674" s="439">
        <f>IF(OR(ISBLANK(A674),ISNA(MATCH(A674&amp;"",AthleteNumbers,0))),0,MATCH(A674&amp;"",AthleteNumbers,0))</f>
        <v>0</v>
      </c>
      <c r="J674" s="209">
        <f t="array" ref="J674">IF(I674&gt;0,INDEX(DB,$I674,6),0)</f>
        <v>0</v>
      </c>
      <c r="K674" s="446">
        <f t="shared" si="5"/>
        <v>0</v>
      </c>
      <c r="L674" s="440">
        <f t="shared" si="6"/>
        <v>0</v>
      </c>
      <c r="M674" s="441">
        <f>IF(AND(L674&gt;O674,O674&gt;0),MinPoints,IF(AND(L674&lt;N674,O674&gt;0),100,+INT((O674-$L674)/P674)+MinPoints))</f>
        <v>100</v>
      </c>
      <c r="N674" s="440">
        <f t="shared" si="7"/>
        <v>90</v>
      </c>
      <c r="O674" s="440">
        <f t="shared" si="8"/>
        <v>180</v>
      </c>
      <c r="P674" s="440">
        <f t="shared" si="9"/>
        <v>1</v>
      </c>
      <c r="Q674">
        <f t="array" ref="Q674">IF(I674&gt;0,INDEX(DB,I674,9),EventIndex)</f>
        <v>6</v>
      </c>
      <c r="S674">
        <f t="array" ref="S674">(INT(INDEX(MINVALUES,$Q674,$K$1))*60)+(MOD(INDEX(MINVALUES,$Q674,$K$1),1)*100)</f>
        <v>180</v>
      </c>
      <c r="T674">
        <f t="array" ref="T674">(INDEX(INCVALUES,$Q674,$K$1)*100)</f>
        <v>1</v>
      </c>
      <c r="V674">
        <f t="array" ref="V674">+J674+(4*(INDEX(MatchScoreTable,$Q674,20)-1))</f>
        <v>4</v>
      </c>
      <c r="W674">
        <f t="array" ref="W674">INDEX(INC_MINVALUES,$V674,$K$1)</f>
        <v>480</v>
      </c>
      <c r="X674" s="212">
        <f t="array" ref="X674">INDEX(INC_INCVALUES,$V674,$K$1)</f>
        <v>4</v>
      </c>
    </row>
    <row r="675" ht="15.75" customHeight="1">
      <c r="A675" s="435"/>
      <c r="B675" s="436"/>
      <c r="C675" s="95" t="str">
        <f t="array" ref="C675">IF(I675&gt;0,INDEX(DB,I675,8),"")</f>
        <v/>
      </c>
      <c r="D675" s="437">
        <f t="shared" si="1"/>
        <v>0</v>
      </c>
      <c r="F675" s="438">
        <f t="shared" si="2"/>
        <v>0</v>
      </c>
      <c r="G675" t="str">
        <f t="shared" si="3"/>
        <v/>
      </c>
      <c r="H675" t="b">
        <f t="shared" si="4"/>
        <v>0</v>
      </c>
      <c r="I675" s="439">
        <f>IF(OR(ISBLANK(A675),ISNA(MATCH(A675&amp;"",AthleteNumbers,0))),0,MATCH(A675&amp;"",AthleteNumbers,0))</f>
        <v>0</v>
      </c>
      <c r="J675" s="209">
        <f t="array" ref="J675">IF(I675&gt;0,INDEX(DB,$I675,6),0)</f>
        <v>0</v>
      </c>
      <c r="K675" s="446">
        <f t="shared" si="5"/>
        <v>0</v>
      </c>
      <c r="L675" s="440">
        <f t="shared" si="6"/>
        <v>0</v>
      </c>
      <c r="M675" s="441">
        <f>IF(AND(L675&gt;O675,O675&gt;0),MinPoints,IF(AND(L675&lt;N675,O675&gt;0),100,+INT((O675-$L675)/P675)+MinPoints))</f>
        <v>100</v>
      </c>
      <c r="N675" s="440">
        <f t="shared" si="7"/>
        <v>90</v>
      </c>
      <c r="O675" s="440">
        <f t="shared" si="8"/>
        <v>180</v>
      </c>
      <c r="P675" s="440">
        <f t="shared" si="9"/>
        <v>1</v>
      </c>
      <c r="Q675">
        <f t="array" ref="Q675">IF(I675&gt;0,INDEX(DB,I675,9),EventIndex)</f>
        <v>6</v>
      </c>
      <c r="S675">
        <f t="array" ref="S675">(INT(INDEX(MINVALUES,$Q675,$K$1))*60)+(MOD(INDEX(MINVALUES,$Q675,$K$1),1)*100)</f>
        <v>180</v>
      </c>
      <c r="T675">
        <f t="array" ref="T675">(INDEX(INCVALUES,$Q675,$K$1)*100)</f>
        <v>1</v>
      </c>
      <c r="V675">
        <f t="array" ref="V675">+J675+(4*(INDEX(MatchScoreTable,$Q675,20)-1))</f>
        <v>4</v>
      </c>
      <c r="W675">
        <f t="array" ref="W675">INDEX(INC_MINVALUES,$V675,$K$1)</f>
        <v>480</v>
      </c>
      <c r="X675" s="212">
        <f t="array" ref="X675">INDEX(INC_INCVALUES,$V675,$K$1)</f>
        <v>4</v>
      </c>
    </row>
    <row r="676" ht="15.75" customHeight="1">
      <c r="A676" s="435"/>
      <c r="B676" s="436"/>
      <c r="C676" s="95" t="str">
        <f t="array" ref="C676">IF(I676&gt;0,INDEX(DB,I676,8),"")</f>
        <v/>
      </c>
      <c r="D676" s="437">
        <f t="shared" si="1"/>
        <v>0</v>
      </c>
      <c r="F676" s="438">
        <f t="shared" si="2"/>
        <v>0</v>
      </c>
      <c r="G676" t="str">
        <f t="shared" si="3"/>
        <v/>
      </c>
      <c r="H676" t="b">
        <f t="shared" si="4"/>
        <v>0</v>
      </c>
      <c r="I676" s="439">
        <f>IF(OR(ISBLANK(A676),ISNA(MATCH(A676&amp;"",AthleteNumbers,0))),0,MATCH(A676&amp;"",AthleteNumbers,0))</f>
        <v>0</v>
      </c>
      <c r="J676" s="209">
        <f t="array" ref="J676">IF(I676&gt;0,INDEX(DB,$I676,6),0)</f>
        <v>0</v>
      </c>
      <c r="K676" s="446">
        <f t="shared" si="5"/>
        <v>0</v>
      </c>
      <c r="L676" s="440">
        <f t="shared" si="6"/>
        <v>0</v>
      </c>
      <c r="M676" s="441">
        <f>IF(AND(L676&gt;O676,O676&gt;0),MinPoints,IF(AND(L676&lt;N676,O676&gt;0),100,+INT((O676-$L676)/P676)+MinPoints))</f>
        <v>100</v>
      </c>
      <c r="N676" s="440">
        <f t="shared" si="7"/>
        <v>90</v>
      </c>
      <c r="O676" s="440">
        <f t="shared" si="8"/>
        <v>180</v>
      </c>
      <c r="P676" s="440">
        <f t="shared" si="9"/>
        <v>1</v>
      </c>
      <c r="Q676">
        <f t="array" ref="Q676">IF(I676&gt;0,INDEX(DB,I676,9),EventIndex)</f>
        <v>6</v>
      </c>
      <c r="S676">
        <f t="array" ref="S676">(INT(INDEX(MINVALUES,$Q676,$K$1))*60)+(MOD(INDEX(MINVALUES,$Q676,$K$1),1)*100)</f>
        <v>180</v>
      </c>
      <c r="T676">
        <f t="array" ref="T676">(INDEX(INCVALUES,$Q676,$K$1)*100)</f>
        <v>1</v>
      </c>
      <c r="V676">
        <f t="array" ref="V676">+J676+(4*(INDEX(MatchScoreTable,$Q676,20)-1))</f>
        <v>4</v>
      </c>
      <c r="W676">
        <f t="array" ref="W676">INDEX(INC_MINVALUES,$V676,$K$1)</f>
        <v>480</v>
      </c>
      <c r="X676" s="212">
        <f t="array" ref="X676">INDEX(INC_INCVALUES,$V676,$K$1)</f>
        <v>4</v>
      </c>
    </row>
    <row r="677" ht="15.75" customHeight="1">
      <c r="A677" s="435"/>
      <c r="B677" s="436"/>
      <c r="C677" s="95" t="str">
        <f t="array" ref="C677">IF(I677&gt;0,INDEX(DB,I677,8),"")</f>
        <v/>
      </c>
      <c r="D677" s="437">
        <f t="shared" si="1"/>
        <v>0</v>
      </c>
      <c r="F677" s="438">
        <f t="shared" si="2"/>
        <v>0</v>
      </c>
      <c r="G677" t="str">
        <f t="shared" si="3"/>
        <v/>
      </c>
      <c r="H677" t="b">
        <f t="shared" si="4"/>
        <v>0</v>
      </c>
      <c r="I677" s="439">
        <f>IF(OR(ISBLANK(A677),ISNA(MATCH(A677&amp;"",AthleteNumbers,0))),0,MATCH(A677&amp;"",AthleteNumbers,0))</f>
        <v>0</v>
      </c>
      <c r="J677" s="209">
        <f t="array" ref="J677">IF(I677&gt;0,INDEX(DB,$I677,6),0)</f>
        <v>0</v>
      </c>
      <c r="K677" s="446">
        <f t="shared" si="5"/>
        <v>0</v>
      </c>
      <c r="L677" s="440">
        <f t="shared" si="6"/>
        <v>0</v>
      </c>
      <c r="M677" s="441">
        <f>IF(AND(L677&gt;O677,O677&gt;0),MinPoints,IF(AND(L677&lt;N677,O677&gt;0),100,+INT((O677-$L677)/P677)+MinPoints))</f>
        <v>100</v>
      </c>
      <c r="N677" s="440">
        <f t="shared" si="7"/>
        <v>90</v>
      </c>
      <c r="O677" s="440">
        <f t="shared" si="8"/>
        <v>180</v>
      </c>
      <c r="P677" s="440">
        <f t="shared" si="9"/>
        <v>1</v>
      </c>
      <c r="Q677">
        <f t="array" ref="Q677">IF(I677&gt;0,INDEX(DB,I677,9),EventIndex)</f>
        <v>6</v>
      </c>
      <c r="S677">
        <f t="array" ref="S677">(INT(INDEX(MINVALUES,$Q677,$K$1))*60)+(MOD(INDEX(MINVALUES,$Q677,$K$1),1)*100)</f>
        <v>180</v>
      </c>
      <c r="T677">
        <f t="array" ref="T677">(INDEX(INCVALUES,$Q677,$K$1)*100)</f>
        <v>1</v>
      </c>
      <c r="V677">
        <f t="array" ref="V677">+J677+(4*(INDEX(MatchScoreTable,$Q677,20)-1))</f>
        <v>4</v>
      </c>
      <c r="W677">
        <f t="array" ref="W677">INDEX(INC_MINVALUES,$V677,$K$1)</f>
        <v>480</v>
      </c>
      <c r="X677" s="212">
        <f t="array" ref="X677">INDEX(INC_INCVALUES,$V677,$K$1)</f>
        <v>4</v>
      </c>
    </row>
    <row r="678" ht="15.75" customHeight="1">
      <c r="A678" s="435"/>
      <c r="B678" s="436"/>
      <c r="C678" s="95" t="str">
        <f t="array" ref="C678">IF(I678&gt;0,INDEX(DB,I678,8),"")</f>
        <v/>
      </c>
      <c r="D678" s="437">
        <f t="shared" si="1"/>
        <v>0</v>
      </c>
      <c r="F678" s="438">
        <f t="shared" si="2"/>
        <v>0</v>
      </c>
      <c r="G678" t="str">
        <f t="shared" si="3"/>
        <v/>
      </c>
      <c r="H678" t="b">
        <f t="shared" si="4"/>
        <v>0</v>
      </c>
      <c r="I678" s="439">
        <f>IF(OR(ISBLANK(A678),ISNA(MATCH(A678&amp;"",AthleteNumbers,0))),0,MATCH(A678&amp;"",AthleteNumbers,0))</f>
        <v>0</v>
      </c>
      <c r="J678" s="209">
        <f t="array" ref="J678">IF(I678&gt;0,INDEX(DB,$I678,6),0)</f>
        <v>0</v>
      </c>
      <c r="K678" s="446">
        <f t="shared" si="5"/>
        <v>0</v>
      </c>
      <c r="L678" s="440">
        <f t="shared" si="6"/>
        <v>0</v>
      </c>
      <c r="M678" s="441">
        <f>IF(AND(L678&gt;O678,O678&gt;0),MinPoints,IF(AND(L678&lt;N678,O678&gt;0),100,+INT((O678-$L678)/P678)+MinPoints))</f>
        <v>100</v>
      </c>
      <c r="N678" s="440">
        <f t="shared" si="7"/>
        <v>90</v>
      </c>
      <c r="O678" s="440">
        <f t="shared" si="8"/>
        <v>180</v>
      </c>
      <c r="P678" s="440">
        <f t="shared" si="9"/>
        <v>1</v>
      </c>
      <c r="Q678">
        <f t="array" ref="Q678">IF(I678&gt;0,INDEX(DB,I678,9),EventIndex)</f>
        <v>6</v>
      </c>
      <c r="S678">
        <f t="array" ref="S678">(INT(INDEX(MINVALUES,$Q678,$K$1))*60)+(MOD(INDEX(MINVALUES,$Q678,$K$1),1)*100)</f>
        <v>180</v>
      </c>
      <c r="T678">
        <f t="array" ref="T678">(INDEX(INCVALUES,$Q678,$K$1)*100)</f>
        <v>1</v>
      </c>
      <c r="V678">
        <f t="array" ref="V678">+J678+(4*(INDEX(MatchScoreTable,$Q678,20)-1))</f>
        <v>4</v>
      </c>
      <c r="W678">
        <f t="array" ref="W678">INDEX(INC_MINVALUES,$V678,$K$1)</f>
        <v>480</v>
      </c>
      <c r="X678" s="212">
        <f t="array" ref="X678">INDEX(INC_INCVALUES,$V678,$K$1)</f>
        <v>4</v>
      </c>
    </row>
    <row r="679" ht="15.75" customHeight="1">
      <c r="A679" s="435"/>
      <c r="B679" s="436"/>
      <c r="C679" s="95" t="str">
        <f t="array" ref="C679">IF(I679&gt;0,INDEX(DB,I679,8),"")</f>
        <v/>
      </c>
      <c r="D679" s="437">
        <f t="shared" si="1"/>
        <v>0</v>
      </c>
      <c r="F679" s="438">
        <f t="shared" si="2"/>
        <v>0</v>
      </c>
      <c r="G679" t="str">
        <f t="shared" si="3"/>
        <v/>
      </c>
      <c r="H679" t="b">
        <f t="shared" si="4"/>
        <v>0</v>
      </c>
      <c r="I679" s="439">
        <f>IF(OR(ISBLANK(A679),ISNA(MATCH(A679&amp;"",AthleteNumbers,0))),0,MATCH(A679&amp;"",AthleteNumbers,0))</f>
        <v>0</v>
      </c>
      <c r="J679" s="209">
        <f t="array" ref="J679">IF(I679&gt;0,INDEX(DB,$I679,6),0)</f>
        <v>0</v>
      </c>
      <c r="K679" s="446">
        <f t="shared" si="5"/>
        <v>0</v>
      </c>
      <c r="L679" s="440">
        <f t="shared" si="6"/>
        <v>0</v>
      </c>
      <c r="M679" s="441">
        <f>IF(AND(L679&gt;O679,O679&gt;0),MinPoints,IF(AND(L679&lt;N679,O679&gt;0),100,+INT((O679-$L679)/P679)+MinPoints))</f>
        <v>100</v>
      </c>
      <c r="N679" s="440">
        <f t="shared" si="7"/>
        <v>90</v>
      </c>
      <c r="O679" s="440">
        <f t="shared" si="8"/>
        <v>180</v>
      </c>
      <c r="P679" s="440">
        <f t="shared" si="9"/>
        <v>1</v>
      </c>
      <c r="Q679">
        <f t="array" ref="Q679">IF(I679&gt;0,INDEX(DB,I679,9),EventIndex)</f>
        <v>6</v>
      </c>
      <c r="S679">
        <f t="array" ref="S679">(INT(INDEX(MINVALUES,$Q679,$K$1))*60)+(MOD(INDEX(MINVALUES,$Q679,$K$1),1)*100)</f>
        <v>180</v>
      </c>
      <c r="T679">
        <f t="array" ref="T679">(INDEX(INCVALUES,$Q679,$K$1)*100)</f>
        <v>1</v>
      </c>
      <c r="V679">
        <f t="array" ref="V679">+J679+(4*(INDEX(MatchScoreTable,$Q679,20)-1))</f>
        <v>4</v>
      </c>
      <c r="W679">
        <f t="array" ref="W679">INDEX(INC_MINVALUES,$V679,$K$1)</f>
        <v>480</v>
      </c>
      <c r="X679" s="212">
        <f t="array" ref="X679">INDEX(INC_INCVALUES,$V679,$K$1)</f>
        <v>4</v>
      </c>
    </row>
    <row r="680" ht="15.75" customHeight="1">
      <c r="A680" s="435"/>
      <c r="B680" s="436"/>
      <c r="C680" s="95" t="str">
        <f t="array" ref="C680">IF(I680&gt;0,INDEX(DB,I680,8),"")</f>
        <v/>
      </c>
      <c r="D680" s="437">
        <f t="shared" si="1"/>
        <v>0</v>
      </c>
      <c r="F680" s="438">
        <f t="shared" si="2"/>
        <v>0</v>
      </c>
      <c r="G680" t="str">
        <f t="shared" si="3"/>
        <v/>
      </c>
      <c r="H680" t="b">
        <f t="shared" si="4"/>
        <v>0</v>
      </c>
      <c r="I680" s="439">
        <f>IF(OR(ISBLANK(A680),ISNA(MATCH(A680&amp;"",AthleteNumbers,0))),0,MATCH(A680&amp;"",AthleteNumbers,0))</f>
        <v>0</v>
      </c>
      <c r="J680" s="209">
        <f t="array" ref="J680">IF(I680&gt;0,INDEX(DB,$I680,6),0)</f>
        <v>0</v>
      </c>
      <c r="K680" s="446">
        <f t="shared" si="5"/>
        <v>0</v>
      </c>
      <c r="L680" s="440">
        <f t="shared" si="6"/>
        <v>0</v>
      </c>
      <c r="M680" s="441">
        <f>IF(AND(L680&gt;O680,O680&gt;0),MinPoints,IF(AND(L680&lt;N680,O680&gt;0),100,+INT((O680-$L680)/P680)+MinPoints))</f>
        <v>100</v>
      </c>
      <c r="N680" s="440">
        <f t="shared" si="7"/>
        <v>90</v>
      </c>
      <c r="O680" s="440">
        <f t="shared" si="8"/>
        <v>180</v>
      </c>
      <c r="P680" s="440">
        <f t="shared" si="9"/>
        <v>1</v>
      </c>
      <c r="Q680">
        <f t="array" ref="Q680">IF(I680&gt;0,INDEX(DB,I680,9),EventIndex)</f>
        <v>6</v>
      </c>
      <c r="S680">
        <f t="array" ref="S680">(INT(INDEX(MINVALUES,$Q680,$K$1))*60)+(MOD(INDEX(MINVALUES,$Q680,$K$1),1)*100)</f>
        <v>180</v>
      </c>
      <c r="T680">
        <f t="array" ref="T680">(INDEX(INCVALUES,$Q680,$K$1)*100)</f>
        <v>1</v>
      </c>
      <c r="V680">
        <f t="array" ref="V680">+J680+(4*(INDEX(MatchScoreTable,$Q680,20)-1))</f>
        <v>4</v>
      </c>
      <c r="W680">
        <f t="array" ref="W680">INDEX(INC_MINVALUES,$V680,$K$1)</f>
        <v>480</v>
      </c>
      <c r="X680" s="212">
        <f t="array" ref="X680">INDEX(INC_INCVALUES,$V680,$K$1)</f>
        <v>4</v>
      </c>
    </row>
    <row r="681" ht="15.75" customHeight="1">
      <c r="A681" s="435"/>
      <c r="B681" s="436"/>
      <c r="C681" s="95" t="str">
        <f t="array" ref="C681">IF(I681&gt;0,INDEX(DB,I681,8),"")</f>
        <v/>
      </c>
      <c r="D681" s="437">
        <f t="shared" si="1"/>
        <v>0</v>
      </c>
      <c r="F681" s="438">
        <f t="shared" si="2"/>
        <v>0</v>
      </c>
      <c r="G681" t="str">
        <f t="shared" si="3"/>
        <v/>
      </c>
      <c r="H681" t="b">
        <f t="shared" si="4"/>
        <v>0</v>
      </c>
      <c r="I681" s="439">
        <f>IF(OR(ISBLANK(A681),ISNA(MATCH(A681&amp;"",AthleteNumbers,0))),0,MATCH(A681&amp;"",AthleteNumbers,0))</f>
        <v>0</v>
      </c>
      <c r="J681" s="209">
        <f t="array" ref="J681">IF(I681&gt;0,INDEX(DB,$I681,6),0)</f>
        <v>0</v>
      </c>
      <c r="K681" s="446">
        <f t="shared" si="5"/>
        <v>0</v>
      </c>
      <c r="L681" s="440">
        <f t="shared" si="6"/>
        <v>0</v>
      </c>
      <c r="M681" s="441">
        <f>IF(AND(L681&gt;O681,O681&gt;0),MinPoints,IF(AND(L681&lt;N681,O681&gt;0),100,+INT((O681-$L681)/P681)+MinPoints))</f>
        <v>100</v>
      </c>
      <c r="N681" s="440">
        <f t="shared" si="7"/>
        <v>90</v>
      </c>
      <c r="O681" s="440">
        <f t="shared" si="8"/>
        <v>180</v>
      </c>
      <c r="P681" s="440">
        <f t="shared" si="9"/>
        <v>1</v>
      </c>
      <c r="Q681">
        <f t="array" ref="Q681">IF(I681&gt;0,INDEX(DB,I681,9),EventIndex)</f>
        <v>6</v>
      </c>
      <c r="S681">
        <f t="array" ref="S681">(INT(INDEX(MINVALUES,$Q681,$K$1))*60)+(MOD(INDEX(MINVALUES,$Q681,$K$1),1)*100)</f>
        <v>180</v>
      </c>
      <c r="T681">
        <f t="array" ref="T681">(INDEX(INCVALUES,$Q681,$K$1)*100)</f>
        <v>1</v>
      </c>
      <c r="V681">
        <f t="array" ref="V681">+J681+(4*(INDEX(MatchScoreTable,$Q681,20)-1))</f>
        <v>4</v>
      </c>
      <c r="W681">
        <f t="array" ref="W681">INDEX(INC_MINVALUES,$V681,$K$1)</f>
        <v>480</v>
      </c>
      <c r="X681" s="212">
        <f t="array" ref="X681">INDEX(INC_INCVALUES,$V681,$K$1)</f>
        <v>4</v>
      </c>
    </row>
    <row r="682" ht="15.75" customHeight="1">
      <c r="A682" s="435"/>
      <c r="B682" s="436"/>
      <c r="C682" s="95" t="str">
        <f t="array" ref="C682">IF(I682&gt;0,INDEX(DB,I682,8),"")</f>
        <v/>
      </c>
      <c r="D682" s="437">
        <f t="shared" si="1"/>
        <v>0</v>
      </c>
      <c r="F682" s="438">
        <f t="shared" si="2"/>
        <v>0</v>
      </c>
      <c r="G682" t="str">
        <f t="shared" si="3"/>
        <v/>
      </c>
      <c r="H682" t="b">
        <f t="shared" si="4"/>
        <v>0</v>
      </c>
      <c r="I682" s="439">
        <f>IF(OR(ISBLANK(A682),ISNA(MATCH(A682&amp;"",AthleteNumbers,0))),0,MATCH(A682&amp;"",AthleteNumbers,0))</f>
        <v>0</v>
      </c>
      <c r="J682" s="209">
        <f t="array" ref="J682">IF(I682&gt;0,INDEX(DB,$I682,6),0)</f>
        <v>0</v>
      </c>
      <c r="K682" s="446">
        <f t="shared" si="5"/>
        <v>0</v>
      </c>
      <c r="L682" s="440">
        <f t="shared" si="6"/>
        <v>0</v>
      </c>
      <c r="M682" s="441">
        <f>IF(AND(L682&gt;O682,O682&gt;0),MinPoints,IF(AND(L682&lt;N682,O682&gt;0),100,+INT((O682-$L682)/P682)+MinPoints))</f>
        <v>100</v>
      </c>
      <c r="N682" s="440">
        <f t="shared" si="7"/>
        <v>90</v>
      </c>
      <c r="O682" s="440">
        <f t="shared" si="8"/>
        <v>180</v>
      </c>
      <c r="P682" s="440">
        <f t="shared" si="9"/>
        <v>1</v>
      </c>
      <c r="Q682">
        <f t="array" ref="Q682">IF(I682&gt;0,INDEX(DB,I682,9),EventIndex)</f>
        <v>6</v>
      </c>
      <c r="S682">
        <f t="array" ref="S682">(INT(INDEX(MINVALUES,$Q682,$K$1))*60)+(MOD(INDEX(MINVALUES,$Q682,$K$1),1)*100)</f>
        <v>180</v>
      </c>
      <c r="T682">
        <f t="array" ref="T682">(INDEX(INCVALUES,$Q682,$K$1)*100)</f>
        <v>1</v>
      </c>
      <c r="V682">
        <f t="array" ref="V682">+J682+(4*(INDEX(MatchScoreTable,$Q682,20)-1))</f>
        <v>4</v>
      </c>
      <c r="W682">
        <f t="array" ref="W682">INDEX(INC_MINVALUES,$V682,$K$1)</f>
        <v>480</v>
      </c>
      <c r="X682" s="212">
        <f t="array" ref="X682">INDEX(INC_INCVALUES,$V682,$K$1)</f>
        <v>4</v>
      </c>
    </row>
    <row r="683" ht="15.75" customHeight="1">
      <c r="A683" s="435"/>
      <c r="B683" s="436"/>
      <c r="C683" s="95" t="str">
        <f t="array" ref="C683">IF(I683&gt;0,INDEX(DB,I683,8),"")</f>
        <v/>
      </c>
      <c r="D683" s="437">
        <f t="shared" si="1"/>
        <v>0</v>
      </c>
      <c r="F683" s="438">
        <f t="shared" si="2"/>
        <v>0</v>
      </c>
      <c r="G683" t="str">
        <f t="shared" si="3"/>
        <v/>
      </c>
      <c r="H683" t="b">
        <f t="shared" si="4"/>
        <v>0</v>
      </c>
      <c r="I683" s="439">
        <f>IF(OR(ISBLANK(A683),ISNA(MATCH(A683&amp;"",AthleteNumbers,0))),0,MATCH(A683&amp;"",AthleteNumbers,0))</f>
        <v>0</v>
      </c>
      <c r="J683" s="209">
        <f t="array" ref="J683">IF(I683&gt;0,INDEX(DB,$I683,6),0)</f>
        <v>0</v>
      </c>
      <c r="K683" s="446">
        <f t="shared" si="5"/>
        <v>0</v>
      </c>
      <c r="L683" s="440">
        <f t="shared" si="6"/>
        <v>0</v>
      </c>
      <c r="M683" s="441">
        <f>IF(AND(L683&gt;O683,O683&gt;0),MinPoints,IF(AND(L683&lt;N683,O683&gt;0),100,+INT((O683-$L683)/P683)+MinPoints))</f>
        <v>100</v>
      </c>
      <c r="N683" s="440">
        <f t="shared" si="7"/>
        <v>90</v>
      </c>
      <c r="O683" s="440">
        <f t="shared" si="8"/>
        <v>180</v>
      </c>
      <c r="P683" s="440">
        <f t="shared" si="9"/>
        <v>1</v>
      </c>
      <c r="Q683">
        <f t="array" ref="Q683">IF(I683&gt;0,INDEX(DB,I683,9),EventIndex)</f>
        <v>6</v>
      </c>
      <c r="S683">
        <f t="array" ref="S683">(INT(INDEX(MINVALUES,$Q683,$K$1))*60)+(MOD(INDEX(MINVALUES,$Q683,$K$1),1)*100)</f>
        <v>180</v>
      </c>
      <c r="T683">
        <f t="array" ref="T683">(INDEX(INCVALUES,$Q683,$K$1)*100)</f>
        <v>1</v>
      </c>
      <c r="V683">
        <f t="array" ref="V683">+J683+(4*(INDEX(MatchScoreTable,$Q683,20)-1))</f>
        <v>4</v>
      </c>
      <c r="W683">
        <f t="array" ref="W683">INDEX(INC_MINVALUES,$V683,$K$1)</f>
        <v>480</v>
      </c>
      <c r="X683" s="212">
        <f t="array" ref="X683">INDEX(INC_INCVALUES,$V683,$K$1)</f>
        <v>4</v>
      </c>
    </row>
    <row r="684" ht="15.75" customHeight="1">
      <c r="A684" s="435"/>
      <c r="B684" s="436"/>
      <c r="C684" s="95" t="str">
        <f t="array" ref="C684">IF(I684&gt;0,INDEX(DB,I684,8),"")</f>
        <v/>
      </c>
      <c r="D684" s="437">
        <f t="shared" si="1"/>
        <v>0</v>
      </c>
      <c r="F684" s="438">
        <f t="shared" si="2"/>
        <v>0</v>
      </c>
      <c r="G684" t="str">
        <f t="shared" si="3"/>
        <v/>
      </c>
      <c r="H684" t="b">
        <f t="shared" si="4"/>
        <v>0</v>
      </c>
      <c r="I684" s="439">
        <f>IF(OR(ISBLANK(A684),ISNA(MATCH(A684&amp;"",AthleteNumbers,0))),0,MATCH(A684&amp;"",AthleteNumbers,0))</f>
        <v>0</v>
      </c>
      <c r="J684" s="209">
        <f t="array" ref="J684">IF(I684&gt;0,INDEX(DB,$I684,6),0)</f>
        <v>0</v>
      </c>
      <c r="K684" s="446">
        <f t="shared" si="5"/>
        <v>0</v>
      </c>
      <c r="L684" s="440">
        <f t="shared" si="6"/>
        <v>0</v>
      </c>
      <c r="M684" s="441">
        <f>IF(AND(L684&gt;O684,O684&gt;0),MinPoints,IF(AND(L684&lt;N684,O684&gt;0),100,+INT((O684-$L684)/P684)+MinPoints))</f>
        <v>100</v>
      </c>
      <c r="N684" s="440">
        <f t="shared" si="7"/>
        <v>90</v>
      </c>
      <c r="O684" s="440">
        <f t="shared" si="8"/>
        <v>180</v>
      </c>
      <c r="P684" s="440">
        <f t="shared" si="9"/>
        <v>1</v>
      </c>
      <c r="Q684">
        <f t="array" ref="Q684">IF(I684&gt;0,INDEX(DB,I684,9),EventIndex)</f>
        <v>6</v>
      </c>
      <c r="S684">
        <f t="array" ref="S684">(INT(INDEX(MINVALUES,$Q684,$K$1))*60)+(MOD(INDEX(MINVALUES,$Q684,$K$1),1)*100)</f>
        <v>180</v>
      </c>
      <c r="T684">
        <f t="array" ref="T684">(INDEX(INCVALUES,$Q684,$K$1)*100)</f>
        <v>1</v>
      </c>
      <c r="V684">
        <f t="array" ref="V684">+J684+(4*(INDEX(MatchScoreTable,$Q684,20)-1))</f>
        <v>4</v>
      </c>
      <c r="W684">
        <f t="array" ref="W684">INDEX(INC_MINVALUES,$V684,$K$1)</f>
        <v>480</v>
      </c>
      <c r="X684" s="212">
        <f t="array" ref="X684">INDEX(INC_INCVALUES,$V684,$K$1)</f>
        <v>4</v>
      </c>
    </row>
    <row r="685" ht="15.75" customHeight="1">
      <c r="A685" s="435"/>
      <c r="B685" s="436"/>
      <c r="C685" s="95" t="str">
        <f t="array" ref="C685">IF(I685&gt;0,INDEX(DB,I685,8),"")</f>
        <v/>
      </c>
      <c r="D685" s="437">
        <f t="shared" si="1"/>
        <v>0</v>
      </c>
      <c r="F685" s="438">
        <f t="shared" si="2"/>
        <v>0</v>
      </c>
      <c r="G685" t="str">
        <f t="shared" si="3"/>
        <v/>
      </c>
      <c r="H685" t="b">
        <f t="shared" si="4"/>
        <v>0</v>
      </c>
      <c r="I685" s="439">
        <f>IF(OR(ISBLANK(A685),ISNA(MATCH(A685&amp;"",AthleteNumbers,0))),0,MATCH(A685&amp;"",AthleteNumbers,0))</f>
        <v>0</v>
      </c>
      <c r="J685" s="209">
        <f t="array" ref="J685">IF(I685&gt;0,INDEX(DB,$I685,6),0)</f>
        <v>0</v>
      </c>
      <c r="K685" s="446">
        <f t="shared" si="5"/>
        <v>0</v>
      </c>
      <c r="L685" s="440">
        <f t="shared" si="6"/>
        <v>0</v>
      </c>
      <c r="M685" s="441">
        <f>IF(AND(L685&gt;O685,O685&gt;0),MinPoints,IF(AND(L685&lt;N685,O685&gt;0),100,+INT((O685-$L685)/P685)+MinPoints))</f>
        <v>100</v>
      </c>
      <c r="N685" s="440">
        <f t="shared" si="7"/>
        <v>90</v>
      </c>
      <c r="O685" s="440">
        <f t="shared" si="8"/>
        <v>180</v>
      </c>
      <c r="P685" s="440">
        <f t="shared" si="9"/>
        <v>1</v>
      </c>
      <c r="Q685">
        <f t="array" ref="Q685">IF(I685&gt;0,INDEX(DB,I685,9),EventIndex)</f>
        <v>6</v>
      </c>
      <c r="S685">
        <f t="array" ref="S685">(INT(INDEX(MINVALUES,$Q685,$K$1))*60)+(MOD(INDEX(MINVALUES,$Q685,$K$1),1)*100)</f>
        <v>180</v>
      </c>
      <c r="T685">
        <f t="array" ref="T685">(INDEX(INCVALUES,$Q685,$K$1)*100)</f>
        <v>1</v>
      </c>
      <c r="V685">
        <f t="array" ref="V685">+J685+(4*(INDEX(MatchScoreTable,$Q685,20)-1))</f>
        <v>4</v>
      </c>
      <c r="W685">
        <f t="array" ref="W685">INDEX(INC_MINVALUES,$V685,$K$1)</f>
        <v>480</v>
      </c>
      <c r="X685" s="212">
        <f t="array" ref="X685">INDEX(INC_INCVALUES,$V685,$K$1)</f>
        <v>4</v>
      </c>
    </row>
    <row r="686" ht="15.75" customHeight="1">
      <c r="A686" s="435"/>
      <c r="B686" s="436"/>
      <c r="C686" s="95" t="str">
        <f t="array" ref="C686">IF(I686&gt;0,INDEX(DB,I686,8),"")</f>
        <v/>
      </c>
      <c r="D686" s="437">
        <f t="shared" si="1"/>
        <v>0</v>
      </c>
      <c r="F686" s="438">
        <f t="shared" si="2"/>
        <v>0</v>
      </c>
      <c r="G686" t="str">
        <f t="shared" si="3"/>
        <v/>
      </c>
      <c r="H686" t="b">
        <f t="shared" si="4"/>
        <v>0</v>
      </c>
      <c r="I686" s="439">
        <f>IF(OR(ISBLANK(A686),ISNA(MATCH(A686&amp;"",AthleteNumbers,0))),0,MATCH(A686&amp;"",AthleteNumbers,0))</f>
        <v>0</v>
      </c>
      <c r="J686" s="209">
        <f t="array" ref="J686">IF(I686&gt;0,INDEX(DB,$I686,6),0)</f>
        <v>0</v>
      </c>
      <c r="K686" s="446">
        <f t="shared" si="5"/>
        <v>0</v>
      </c>
      <c r="L686" s="440">
        <f t="shared" si="6"/>
        <v>0</v>
      </c>
      <c r="M686" s="441">
        <f>IF(AND(L686&gt;O686,O686&gt;0),MinPoints,IF(AND(L686&lt;N686,O686&gt;0),100,+INT((O686-$L686)/P686)+MinPoints))</f>
        <v>100</v>
      </c>
      <c r="N686" s="440">
        <f t="shared" si="7"/>
        <v>90</v>
      </c>
      <c r="O686" s="440">
        <f t="shared" si="8"/>
        <v>180</v>
      </c>
      <c r="P686" s="440">
        <f t="shared" si="9"/>
        <v>1</v>
      </c>
      <c r="Q686">
        <f t="array" ref="Q686">IF(I686&gt;0,INDEX(DB,I686,9),EventIndex)</f>
        <v>6</v>
      </c>
      <c r="S686">
        <f t="array" ref="S686">(INT(INDEX(MINVALUES,$Q686,$K$1))*60)+(MOD(INDEX(MINVALUES,$Q686,$K$1),1)*100)</f>
        <v>180</v>
      </c>
      <c r="T686">
        <f t="array" ref="T686">(INDEX(INCVALUES,$Q686,$K$1)*100)</f>
        <v>1</v>
      </c>
      <c r="V686">
        <f t="array" ref="V686">+J686+(4*(INDEX(MatchScoreTable,$Q686,20)-1))</f>
        <v>4</v>
      </c>
      <c r="W686">
        <f t="array" ref="W686">INDEX(INC_MINVALUES,$V686,$K$1)</f>
        <v>480</v>
      </c>
      <c r="X686" s="212">
        <f t="array" ref="X686">INDEX(INC_INCVALUES,$V686,$K$1)</f>
        <v>4</v>
      </c>
    </row>
    <row r="687" ht="15.75" customHeight="1">
      <c r="A687" s="435"/>
      <c r="B687" s="436"/>
      <c r="C687" s="95" t="str">
        <f t="array" ref="C687">IF(I687&gt;0,INDEX(DB,I687,8),"")</f>
        <v/>
      </c>
      <c r="D687" s="437">
        <f t="shared" si="1"/>
        <v>0</v>
      </c>
      <c r="F687" s="438">
        <f t="shared" si="2"/>
        <v>0</v>
      </c>
      <c r="G687" t="str">
        <f t="shared" si="3"/>
        <v/>
      </c>
      <c r="H687" t="b">
        <f t="shared" si="4"/>
        <v>0</v>
      </c>
      <c r="I687" s="439">
        <f>IF(OR(ISBLANK(A687),ISNA(MATCH(A687&amp;"",AthleteNumbers,0))),0,MATCH(A687&amp;"",AthleteNumbers,0))</f>
        <v>0</v>
      </c>
      <c r="J687" s="209">
        <f t="array" ref="J687">IF(I687&gt;0,INDEX(DB,$I687,6),0)</f>
        <v>0</v>
      </c>
      <c r="K687" s="446">
        <f t="shared" si="5"/>
        <v>0</v>
      </c>
      <c r="L687" s="440">
        <f t="shared" si="6"/>
        <v>0</v>
      </c>
      <c r="M687" s="441">
        <f>IF(AND(L687&gt;O687,O687&gt;0),MinPoints,IF(AND(L687&lt;N687,O687&gt;0),100,+INT((O687-$L687)/P687)+MinPoints))</f>
        <v>100</v>
      </c>
      <c r="N687" s="440">
        <f t="shared" si="7"/>
        <v>90</v>
      </c>
      <c r="O687" s="440">
        <f t="shared" si="8"/>
        <v>180</v>
      </c>
      <c r="P687" s="440">
        <f t="shared" si="9"/>
        <v>1</v>
      </c>
      <c r="Q687">
        <f t="array" ref="Q687">IF(I687&gt;0,INDEX(DB,I687,9),EventIndex)</f>
        <v>6</v>
      </c>
      <c r="S687">
        <f t="array" ref="S687">(INT(INDEX(MINVALUES,$Q687,$K$1))*60)+(MOD(INDEX(MINVALUES,$Q687,$K$1),1)*100)</f>
        <v>180</v>
      </c>
      <c r="T687">
        <f t="array" ref="T687">(INDEX(INCVALUES,$Q687,$K$1)*100)</f>
        <v>1</v>
      </c>
      <c r="V687">
        <f t="array" ref="V687">+J687+(4*(INDEX(MatchScoreTable,$Q687,20)-1))</f>
        <v>4</v>
      </c>
      <c r="W687">
        <f t="array" ref="W687">INDEX(INC_MINVALUES,$V687,$K$1)</f>
        <v>480</v>
      </c>
      <c r="X687" s="212">
        <f t="array" ref="X687">INDEX(INC_INCVALUES,$V687,$K$1)</f>
        <v>4</v>
      </c>
    </row>
    <row r="688" ht="15.75" customHeight="1">
      <c r="A688" s="435"/>
      <c r="B688" s="436"/>
      <c r="C688" s="95" t="str">
        <f t="array" ref="C688">IF(I688&gt;0,INDEX(DB,I688,8),"")</f>
        <v/>
      </c>
      <c r="D688" s="437">
        <f t="shared" si="1"/>
        <v>0</v>
      </c>
      <c r="F688" s="438">
        <f t="shared" si="2"/>
        <v>0</v>
      </c>
      <c r="G688" t="str">
        <f t="shared" si="3"/>
        <v/>
      </c>
      <c r="H688" t="b">
        <f t="shared" si="4"/>
        <v>0</v>
      </c>
      <c r="I688" s="439">
        <f>IF(OR(ISBLANK(A688),ISNA(MATCH(A688&amp;"",AthleteNumbers,0))),0,MATCH(A688&amp;"",AthleteNumbers,0))</f>
        <v>0</v>
      </c>
      <c r="J688" s="209">
        <f t="array" ref="J688">IF(I688&gt;0,INDEX(DB,$I688,6),0)</f>
        <v>0</v>
      </c>
      <c r="K688" s="446">
        <f t="shared" si="5"/>
        <v>0</v>
      </c>
      <c r="L688" s="440">
        <f t="shared" si="6"/>
        <v>0</v>
      </c>
      <c r="M688" s="441">
        <f>IF(AND(L688&gt;O688,O688&gt;0),MinPoints,IF(AND(L688&lt;N688,O688&gt;0),100,+INT((O688-$L688)/P688)+MinPoints))</f>
        <v>100</v>
      </c>
      <c r="N688" s="440">
        <f t="shared" si="7"/>
        <v>90</v>
      </c>
      <c r="O688" s="440">
        <f t="shared" si="8"/>
        <v>180</v>
      </c>
      <c r="P688" s="440">
        <f t="shared" si="9"/>
        <v>1</v>
      </c>
      <c r="Q688">
        <f t="array" ref="Q688">IF(I688&gt;0,INDEX(DB,I688,9),EventIndex)</f>
        <v>6</v>
      </c>
      <c r="S688">
        <f t="array" ref="S688">(INT(INDEX(MINVALUES,$Q688,$K$1))*60)+(MOD(INDEX(MINVALUES,$Q688,$K$1),1)*100)</f>
        <v>180</v>
      </c>
      <c r="T688">
        <f t="array" ref="T688">(INDEX(INCVALUES,$Q688,$K$1)*100)</f>
        <v>1</v>
      </c>
      <c r="V688">
        <f t="array" ref="V688">+J688+(4*(INDEX(MatchScoreTable,$Q688,20)-1))</f>
        <v>4</v>
      </c>
      <c r="W688">
        <f t="array" ref="W688">INDEX(INC_MINVALUES,$V688,$K$1)</f>
        <v>480</v>
      </c>
      <c r="X688" s="212">
        <f t="array" ref="X688">INDEX(INC_INCVALUES,$V688,$K$1)</f>
        <v>4</v>
      </c>
    </row>
    <row r="689" ht="15.75" customHeight="1">
      <c r="A689" s="435"/>
      <c r="B689" s="436"/>
      <c r="C689" s="95" t="str">
        <f t="array" ref="C689">IF(I689&gt;0,INDEX(DB,I689,8),"")</f>
        <v/>
      </c>
      <c r="D689" s="437">
        <f t="shared" si="1"/>
        <v>0</v>
      </c>
      <c r="F689" s="438">
        <f t="shared" si="2"/>
        <v>0</v>
      </c>
      <c r="G689" t="str">
        <f t="shared" si="3"/>
        <v/>
      </c>
      <c r="H689" t="b">
        <f t="shared" si="4"/>
        <v>0</v>
      </c>
      <c r="I689" s="439">
        <f>IF(OR(ISBLANK(A689),ISNA(MATCH(A689&amp;"",AthleteNumbers,0))),0,MATCH(A689&amp;"",AthleteNumbers,0))</f>
        <v>0</v>
      </c>
      <c r="J689" s="209">
        <f t="array" ref="J689">IF(I689&gt;0,INDEX(DB,$I689,6),0)</f>
        <v>0</v>
      </c>
      <c r="K689" s="446">
        <f t="shared" si="5"/>
        <v>0</v>
      </c>
      <c r="L689" s="440">
        <f t="shared" si="6"/>
        <v>0</v>
      </c>
      <c r="M689" s="441">
        <f>IF(AND(L689&gt;O689,O689&gt;0),MinPoints,IF(AND(L689&lt;N689,O689&gt;0),100,+INT((O689-$L689)/P689)+MinPoints))</f>
        <v>100</v>
      </c>
      <c r="N689" s="440">
        <f t="shared" si="7"/>
        <v>90</v>
      </c>
      <c r="O689" s="440">
        <f t="shared" si="8"/>
        <v>180</v>
      </c>
      <c r="P689" s="440">
        <f t="shared" si="9"/>
        <v>1</v>
      </c>
      <c r="Q689">
        <f t="array" ref="Q689">IF(I689&gt;0,INDEX(DB,I689,9),EventIndex)</f>
        <v>6</v>
      </c>
      <c r="S689">
        <f t="array" ref="S689">(INT(INDEX(MINVALUES,$Q689,$K$1))*60)+(MOD(INDEX(MINVALUES,$Q689,$K$1),1)*100)</f>
        <v>180</v>
      </c>
      <c r="T689">
        <f t="array" ref="T689">(INDEX(INCVALUES,$Q689,$K$1)*100)</f>
        <v>1</v>
      </c>
      <c r="V689">
        <f t="array" ref="V689">+J689+(4*(INDEX(MatchScoreTable,$Q689,20)-1))</f>
        <v>4</v>
      </c>
      <c r="W689">
        <f t="array" ref="W689">INDEX(INC_MINVALUES,$V689,$K$1)</f>
        <v>480</v>
      </c>
      <c r="X689" s="212">
        <f t="array" ref="X689">INDEX(INC_INCVALUES,$V689,$K$1)</f>
        <v>4</v>
      </c>
    </row>
    <row r="690" ht="15.75" customHeight="1">
      <c r="A690" s="435"/>
      <c r="B690" s="436"/>
      <c r="C690" s="95" t="str">
        <f t="array" ref="C690">IF(I690&gt;0,INDEX(DB,I690,8),"")</f>
        <v/>
      </c>
      <c r="D690" s="437">
        <f t="shared" si="1"/>
        <v>0</v>
      </c>
      <c r="F690" s="438">
        <f t="shared" si="2"/>
        <v>0</v>
      </c>
      <c r="G690" t="str">
        <f t="shared" si="3"/>
        <v/>
      </c>
      <c r="H690" t="b">
        <f t="shared" si="4"/>
        <v>0</v>
      </c>
      <c r="I690" s="439">
        <f>IF(OR(ISBLANK(A690),ISNA(MATCH(A690&amp;"",AthleteNumbers,0))),0,MATCH(A690&amp;"",AthleteNumbers,0))</f>
        <v>0</v>
      </c>
      <c r="J690" s="209">
        <f t="array" ref="J690">IF(I690&gt;0,INDEX(DB,$I690,6),0)</f>
        <v>0</v>
      </c>
      <c r="K690" s="446">
        <f t="shared" si="5"/>
        <v>0</v>
      </c>
      <c r="L690" s="440">
        <f t="shared" si="6"/>
        <v>0</v>
      </c>
      <c r="M690" s="441">
        <f>IF(AND(L690&gt;O690,O690&gt;0),MinPoints,IF(AND(L690&lt;N690,O690&gt;0),100,+INT((O690-$L690)/P690)+MinPoints))</f>
        <v>100</v>
      </c>
      <c r="N690" s="440">
        <f t="shared" si="7"/>
        <v>90</v>
      </c>
      <c r="O690" s="440">
        <f t="shared" si="8"/>
        <v>180</v>
      </c>
      <c r="P690" s="440">
        <f t="shared" si="9"/>
        <v>1</v>
      </c>
      <c r="Q690">
        <f t="array" ref="Q690">IF(I690&gt;0,INDEX(DB,I690,9),EventIndex)</f>
        <v>6</v>
      </c>
      <c r="S690">
        <f t="array" ref="S690">(INT(INDEX(MINVALUES,$Q690,$K$1))*60)+(MOD(INDEX(MINVALUES,$Q690,$K$1),1)*100)</f>
        <v>180</v>
      </c>
      <c r="T690">
        <f t="array" ref="T690">(INDEX(INCVALUES,$Q690,$K$1)*100)</f>
        <v>1</v>
      </c>
      <c r="V690">
        <f t="array" ref="V690">+J690+(4*(INDEX(MatchScoreTable,$Q690,20)-1))</f>
        <v>4</v>
      </c>
      <c r="W690">
        <f t="array" ref="W690">INDEX(INC_MINVALUES,$V690,$K$1)</f>
        <v>480</v>
      </c>
      <c r="X690" s="212">
        <f t="array" ref="X690">INDEX(INC_INCVALUES,$V690,$K$1)</f>
        <v>4</v>
      </c>
    </row>
    <row r="691" ht="15.75" customHeight="1">
      <c r="A691" s="435"/>
      <c r="B691" s="436"/>
      <c r="C691" s="95" t="str">
        <f t="array" ref="C691">IF(I691&gt;0,INDEX(DB,I691,8),"")</f>
        <v/>
      </c>
      <c r="D691" s="437">
        <f t="shared" si="1"/>
        <v>0</v>
      </c>
      <c r="F691" s="438">
        <f t="shared" si="2"/>
        <v>0</v>
      </c>
      <c r="G691" t="str">
        <f t="shared" si="3"/>
        <v/>
      </c>
      <c r="H691" t="b">
        <f t="shared" si="4"/>
        <v>0</v>
      </c>
      <c r="I691" s="439">
        <f>IF(OR(ISBLANK(A691),ISNA(MATCH(A691&amp;"",AthleteNumbers,0))),0,MATCH(A691&amp;"",AthleteNumbers,0))</f>
        <v>0</v>
      </c>
      <c r="J691" s="209">
        <f t="array" ref="J691">IF(I691&gt;0,INDEX(DB,$I691,6),0)</f>
        <v>0</v>
      </c>
      <c r="K691" s="446">
        <f t="shared" si="5"/>
        <v>0</v>
      </c>
      <c r="L691" s="440">
        <f t="shared" si="6"/>
        <v>0</v>
      </c>
      <c r="M691" s="441">
        <f>IF(AND(L691&gt;O691,O691&gt;0),MinPoints,IF(AND(L691&lt;N691,O691&gt;0),100,+INT((O691-$L691)/P691)+MinPoints))</f>
        <v>100</v>
      </c>
      <c r="N691" s="440">
        <f t="shared" si="7"/>
        <v>90</v>
      </c>
      <c r="O691" s="440">
        <f t="shared" si="8"/>
        <v>180</v>
      </c>
      <c r="P691" s="440">
        <f t="shared" si="9"/>
        <v>1</v>
      </c>
      <c r="Q691">
        <f t="array" ref="Q691">IF(I691&gt;0,INDEX(DB,I691,9),EventIndex)</f>
        <v>6</v>
      </c>
      <c r="S691">
        <f t="array" ref="S691">(INT(INDEX(MINVALUES,$Q691,$K$1))*60)+(MOD(INDEX(MINVALUES,$Q691,$K$1),1)*100)</f>
        <v>180</v>
      </c>
      <c r="T691">
        <f t="array" ref="T691">(INDEX(INCVALUES,$Q691,$K$1)*100)</f>
        <v>1</v>
      </c>
      <c r="V691">
        <f t="array" ref="V691">+J691+(4*(INDEX(MatchScoreTable,$Q691,20)-1))</f>
        <v>4</v>
      </c>
      <c r="W691">
        <f t="array" ref="W691">INDEX(INC_MINVALUES,$V691,$K$1)</f>
        <v>480</v>
      </c>
      <c r="X691" s="212">
        <f t="array" ref="X691">INDEX(INC_INCVALUES,$V691,$K$1)</f>
        <v>4</v>
      </c>
    </row>
    <row r="692" ht="15.75" customHeight="1">
      <c r="A692" s="435"/>
      <c r="B692" s="436"/>
      <c r="C692" s="95" t="str">
        <f t="array" ref="C692">IF(I692&gt;0,INDEX(DB,I692,8),"")</f>
        <v/>
      </c>
      <c r="D692" s="437">
        <f t="shared" si="1"/>
        <v>0</v>
      </c>
      <c r="F692" s="438">
        <f t="shared" si="2"/>
        <v>0</v>
      </c>
      <c r="G692" t="str">
        <f t="shared" si="3"/>
        <v/>
      </c>
      <c r="H692" t="b">
        <f t="shared" si="4"/>
        <v>0</v>
      </c>
      <c r="I692" s="439">
        <f>IF(OR(ISBLANK(A692),ISNA(MATCH(A692&amp;"",AthleteNumbers,0))),0,MATCH(A692&amp;"",AthleteNumbers,0))</f>
        <v>0</v>
      </c>
      <c r="J692" s="209">
        <f t="array" ref="J692">IF(I692&gt;0,INDEX(DB,$I692,6),0)</f>
        <v>0</v>
      </c>
      <c r="K692" s="446">
        <f t="shared" si="5"/>
        <v>0</v>
      </c>
      <c r="L692" s="440">
        <f t="shared" si="6"/>
        <v>0</v>
      </c>
      <c r="M692" s="441">
        <f>IF(AND(L692&gt;O692,O692&gt;0),MinPoints,IF(AND(L692&lt;N692,O692&gt;0),100,+INT((O692-$L692)/P692)+MinPoints))</f>
        <v>100</v>
      </c>
      <c r="N692" s="440">
        <f t="shared" si="7"/>
        <v>90</v>
      </c>
      <c r="O692" s="440">
        <f t="shared" si="8"/>
        <v>180</v>
      </c>
      <c r="P692" s="440">
        <f t="shared" si="9"/>
        <v>1</v>
      </c>
      <c r="Q692">
        <f t="array" ref="Q692">IF(I692&gt;0,INDEX(DB,I692,9),EventIndex)</f>
        <v>6</v>
      </c>
      <c r="S692">
        <f t="array" ref="S692">(INT(INDEX(MINVALUES,$Q692,$K$1))*60)+(MOD(INDEX(MINVALUES,$Q692,$K$1),1)*100)</f>
        <v>180</v>
      </c>
      <c r="T692">
        <f t="array" ref="T692">(INDEX(INCVALUES,$Q692,$K$1)*100)</f>
        <v>1</v>
      </c>
      <c r="V692">
        <f t="array" ref="V692">+J692+(4*(INDEX(MatchScoreTable,$Q692,20)-1))</f>
        <v>4</v>
      </c>
      <c r="W692">
        <f t="array" ref="W692">INDEX(INC_MINVALUES,$V692,$K$1)</f>
        <v>480</v>
      </c>
      <c r="X692" s="212">
        <f t="array" ref="X692">INDEX(INC_INCVALUES,$V692,$K$1)</f>
        <v>4</v>
      </c>
    </row>
    <row r="693" ht="15.75" customHeight="1">
      <c r="A693" s="435"/>
      <c r="B693" s="436"/>
      <c r="C693" s="95" t="str">
        <f t="array" ref="C693">IF(I693&gt;0,INDEX(DB,I693,8),"")</f>
        <v/>
      </c>
      <c r="D693" s="437">
        <f t="shared" si="1"/>
        <v>0</v>
      </c>
      <c r="F693" s="438">
        <f t="shared" si="2"/>
        <v>0</v>
      </c>
      <c r="G693" t="str">
        <f t="shared" si="3"/>
        <v/>
      </c>
      <c r="H693" t="b">
        <f t="shared" si="4"/>
        <v>0</v>
      </c>
      <c r="I693" s="439">
        <f>IF(OR(ISBLANK(A693),ISNA(MATCH(A693&amp;"",AthleteNumbers,0))),0,MATCH(A693&amp;"",AthleteNumbers,0))</f>
        <v>0</v>
      </c>
      <c r="J693" s="209">
        <f t="array" ref="J693">IF(I693&gt;0,INDEX(DB,$I693,6),0)</f>
        <v>0</v>
      </c>
      <c r="K693" s="446">
        <f t="shared" si="5"/>
        <v>0</v>
      </c>
      <c r="L693" s="440">
        <f t="shared" si="6"/>
        <v>0</v>
      </c>
      <c r="M693" s="441">
        <f>IF(AND(L693&gt;O693,O693&gt;0),MinPoints,IF(AND(L693&lt;N693,O693&gt;0),100,+INT((O693-$L693)/P693)+MinPoints))</f>
        <v>100</v>
      </c>
      <c r="N693" s="440">
        <f t="shared" si="7"/>
        <v>90</v>
      </c>
      <c r="O693" s="440">
        <f t="shared" si="8"/>
        <v>180</v>
      </c>
      <c r="P693" s="440">
        <f t="shared" si="9"/>
        <v>1</v>
      </c>
      <c r="Q693">
        <f t="array" ref="Q693">IF(I693&gt;0,INDEX(DB,I693,9),EventIndex)</f>
        <v>6</v>
      </c>
      <c r="S693">
        <f t="array" ref="S693">(INT(INDEX(MINVALUES,$Q693,$K$1))*60)+(MOD(INDEX(MINVALUES,$Q693,$K$1),1)*100)</f>
        <v>180</v>
      </c>
      <c r="T693">
        <f t="array" ref="T693">(INDEX(INCVALUES,$Q693,$K$1)*100)</f>
        <v>1</v>
      </c>
      <c r="V693">
        <f t="array" ref="V693">+J693+(4*(INDEX(MatchScoreTable,$Q693,20)-1))</f>
        <v>4</v>
      </c>
      <c r="W693">
        <f t="array" ref="W693">INDEX(INC_MINVALUES,$V693,$K$1)</f>
        <v>480</v>
      </c>
      <c r="X693" s="212">
        <f t="array" ref="X693">INDEX(INC_INCVALUES,$V693,$K$1)</f>
        <v>4</v>
      </c>
    </row>
    <row r="694" ht="15.75" customHeight="1">
      <c r="A694" s="435"/>
      <c r="B694" s="436"/>
      <c r="C694" s="95" t="str">
        <f t="array" ref="C694">IF(I694&gt;0,INDEX(DB,I694,8),"")</f>
        <v/>
      </c>
      <c r="D694" s="437">
        <f t="shared" si="1"/>
        <v>0</v>
      </c>
      <c r="F694" s="438">
        <f t="shared" si="2"/>
        <v>0</v>
      </c>
      <c r="G694" t="str">
        <f t="shared" si="3"/>
        <v/>
      </c>
      <c r="H694" t="b">
        <f t="shared" si="4"/>
        <v>0</v>
      </c>
      <c r="I694" s="439">
        <f>IF(OR(ISBLANK(A694),ISNA(MATCH(A694&amp;"",AthleteNumbers,0))),0,MATCH(A694&amp;"",AthleteNumbers,0))</f>
        <v>0</v>
      </c>
      <c r="J694" s="209">
        <f t="array" ref="J694">IF(I694&gt;0,INDEX(DB,$I694,6),0)</f>
        <v>0</v>
      </c>
      <c r="K694" s="446">
        <f t="shared" si="5"/>
        <v>0</v>
      </c>
      <c r="L694" s="440">
        <f t="shared" si="6"/>
        <v>0</v>
      </c>
      <c r="M694" s="441">
        <f>IF(AND(L694&gt;O694,O694&gt;0),MinPoints,IF(AND(L694&lt;N694,O694&gt;0),100,+INT((O694-$L694)/P694)+MinPoints))</f>
        <v>100</v>
      </c>
      <c r="N694" s="440">
        <f t="shared" si="7"/>
        <v>90</v>
      </c>
      <c r="O694" s="440">
        <f t="shared" si="8"/>
        <v>180</v>
      </c>
      <c r="P694" s="440">
        <f t="shared" si="9"/>
        <v>1</v>
      </c>
      <c r="Q694">
        <f t="array" ref="Q694">IF(I694&gt;0,INDEX(DB,I694,9),EventIndex)</f>
        <v>6</v>
      </c>
      <c r="S694">
        <f t="array" ref="S694">(INT(INDEX(MINVALUES,$Q694,$K$1))*60)+(MOD(INDEX(MINVALUES,$Q694,$K$1),1)*100)</f>
        <v>180</v>
      </c>
      <c r="T694">
        <f t="array" ref="T694">(INDEX(INCVALUES,$Q694,$K$1)*100)</f>
        <v>1</v>
      </c>
      <c r="V694">
        <f t="array" ref="V694">+J694+(4*(INDEX(MatchScoreTable,$Q694,20)-1))</f>
        <v>4</v>
      </c>
      <c r="W694">
        <f t="array" ref="W694">INDEX(INC_MINVALUES,$V694,$K$1)</f>
        <v>480</v>
      </c>
      <c r="X694" s="212">
        <f t="array" ref="X694">INDEX(INC_INCVALUES,$V694,$K$1)</f>
        <v>4</v>
      </c>
    </row>
    <row r="695" ht="15.75" customHeight="1">
      <c r="A695" s="435"/>
      <c r="B695" s="436"/>
      <c r="C695" s="95" t="str">
        <f t="array" ref="C695">IF(I695&gt;0,INDEX(DB,I695,8),"")</f>
        <v/>
      </c>
      <c r="D695" s="437">
        <f t="shared" si="1"/>
        <v>0</v>
      </c>
      <c r="F695" s="438">
        <f t="shared" si="2"/>
        <v>0</v>
      </c>
      <c r="G695" t="str">
        <f t="shared" si="3"/>
        <v/>
      </c>
      <c r="H695" t="b">
        <f t="shared" si="4"/>
        <v>0</v>
      </c>
      <c r="I695" s="439">
        <f>IF(OR(ISBLANK(A695),ISNA(MATCH(A695&amp;"",AthleteNumbers,0))),0,MATCH(A695&amp;"",AthleteNumbers,0))</f>
        <v>0</v>
      </c>
      <c r="J695" s="209">
        <f t="array" ref="J695">IF(I695&gt;0,INDEX(DB,$I695,6),0)</f>
        <v>0</v>
      </c>
      <c r="K695" s="446">
        <f t="shared" si="5"/>
        <v>0</v>
      </c>
      <c r="L695" s="440">
        <f t="shared" si="6"/>
        <v>0</v>
      </c>
      <c r="M695" s="441">
        <f>IF(AND(L695&gt;O695,O695&gt;0),MinPoints,IF(AND(L695&lt;N695,O695&gt;0),100,+INT((O695-$L695)/P695)+MinPoints))</f>
        <v>100</v>
      </c>
      <c r="N695" s="440">
        <f t="shared" si="7"/>
        <v>90</v>
      </c>
      <c r="O695" s="440">
        <f t="shared" si="8"/>
        <v>180</v>
      </c>
      <c r="P695" s="440">
        <f t="shared" si="9"/>
        <v>1</v>
      </c>
      <c r="Q695">
        <f t="array" ref="Q695">IF(I695&gt;0,INDEX(DB,I695,9),EventIndex)</f>
        <v>6</v>
      </c>
      <c r="S695">
        <f t="array" ref="S695">(INT(INDEX(MINVALUES,$Q695,$K$1))*60)+(MOD(INDEX(MINVALUES,$Q695,$K$1),1)*100)</f>
        <v>180</v>
      </c>
      <c r="T695">
        <f t="array" ref="T695">(INDEX(INCVALUES,$Q695,$K$1)*100)</f>
        <v>1</v>
      </c>
      <c r="V695">
        <f t="array" ref="V695">+J695+(4*(INDEX(MatchScoreTable,$Q695,20)-1))</f>
        <v>4</v>
      </c>
      <c r="W695">
        <f t="array" ref="W695">INDEX(INC_MINVALUES,$V695,$K$1)</f>
        <v>480</v>
      </c>
      <c r="X695" s="212">
        <f t="array" ref="X695">INDEX(INC_INCVALUES,$V695,$K$1)</f>
        <v>4</v>
      </c>
    </row>
    <row r="696" ht="15.75" customHeight="1">
      <c r="A696" s="435"/>
      <c r="B696" s="436"/>
      <c r="C696" s="95" t="str">
        <f t="array" ref="C696">IF(I696&gt;0,INDEX(DB,I696,8),"")</f>
        <v/>
      </c>
      <c r="D696" s="437">
        <f t="shared" si="1"/>
        <v>0</v>
      </c>
      <c r="F696" s="438">
        <f t="shared" si="2"/>
        <v>0</v>
      </c>
      <c r="G696" t="str">
        <f t="shared" si="3"/>
        <v/>
      </c>
      <c r="H696" t="b">
        <f t="shared" si="4"/>
        <v>0</v>
      </c>
      <c r="I696" s="439">
        <f>IF(OR(ISBLANK(A696),ISNA(MATCH(A696&amp;"",AthleteNumbers,0))),0,MATCH(A696&amp;"",AthleteNumbers,0))</f>
        <v>0</v>
      </c>
      <c r="J696" s="209">
        <f t="array" ref="J696">IF(I696&gt;0,INDEX(DB,$I696,6),0)</f>
        <v>0</v>
      </c>
      <c r="K696" s="446">
        <f t="shared" si="5"/>
        <v>0</v>
      </c>
      <c r="L696" s="440">
        <f t="shared" si="6"/>
        <v>0</v>
      </c>
      <c r="M696" s="441">
        <f>IF(AND(L696&gt;O696,O696&gt;0),MinPoints,IF(AND(L696&lt;N696,O696&gt;0),100,+INT((O696-$L696)/P696)+MinPoints))</f>
        <v>100</v>
      </c>
      <c r="N696" s="440">
        <f t="shared" si="7"/>
        <v>90</v>
      </c>
      <c r="O696" s="440">
        <f t="shared" si="8"/>
        <v>180</v>
      </c>
      <c r="P696" s="440">
        <f t="shared" si="9"/>
        <v>1</v>
      </c>
      <c r="Q696">
        <f t="array" ref="Q696">IF(I696&gt;0,INDEX(DB,I696,9),EventIndex)</f>
        <v>6</v>
      </c>
      <c r="S696">
        <f t="array" ref="S696">(INT(INDEX(MINVALUES,$Q696,$K$1))*60)+(MOD(INDEX(MINVALUES,$Q696,$K$1),1)*100)</f>
        <v>180</v>
      </c>
      <c r="T696">
        <f t="array" ref="T696">(INDEX(INCVALUES,$Q696,$K$1)*100)</f>
        <v>1</v>
      </c>
      <c r="V696">
        <f t="array" ref="V696">+J696+(4*(INDEX(MatchScoreTable,$Q696,20)-1))</f>
        <v>4</v>
      </c>
      <c r="W696">
        <f t="array" ref="W696">INDEX(INC_MINVALUES,$V696,$K$1)</f>
        <v>480</v>
      </c>
      <c r="X696" s="212">
        <f t="array" ref="X696">INDEX(INC_INCVALUES,$V696,$K$1)</f>
        <v>4</v>
      </c>
    </row>
    <row r="697" ht="15.75" customHeight="1">
      <c r="A697" s="435"/>
      <c r="B697" s="436"/>
      <c r="C697" s="95" t="str">
        <f t="array" ref="C697">IF(I697&gt;0,INDEX(DB,I697,8),"")</f>
        <v/>
      </c>
      <c r="D697" s="437">
        <f t="shared" si="1"/>
        <v>0</v>
      </c>
      <c r="F697" s="438">
        <f t="shared" si="2"/>
        <v>0</v>
      </c>
      <c r="G697" t="str">
        <f t="shared" si="3"/>
        <v/>
      </c>
      <c r="H697" t="b">
        <f t="shared" si="4"/>
        <v>0</v>
      </c>
      <c r="I697" s="439">
        <f>IF(OR(ISBLANK(A697),ISNA(MATCH(A697&amp;"",AthleteNumbers,0))),0,MATCH(A697&amp;"",AthleteNumbers,0))</f>
        <v>0</v>
      </c>
      <c r="J697" s="209">
        <f t="array" ref="J697">IF(I697&gt;0,INDEX(DB,$I697,6),0)</f>
        <v>0</v>
      </c>
      <c r="K697" s="446">
        <f t="shared" si="5"/>
        <v>0</v>
      </c>
      <c r="L697" s="440">
        <f t="shared" si="6"/>
        <v>0</v>
      </c>
      <c r="M697" s="441">
        <f>IF(AND(L697&gt;O697,O697&gt;0),MinPoints,IF(AND(L697&lt;N697,O697&gt;0),100,+INT((O697-$L697)/P697)+MinPoints))</f>
        <v>100</v>
      </c>
      <c r="N697" s="440">
        <f t="shared" si="7"/>
        <v>90</v>
      </c>
      <c r="O697" s="440">
        <f t="shared" si="8"/>
        <v>180</v>
      </c>
      <c r="P697" s="440">
        <f t="shared" si="9"/>
        <v>1</v>
      </c>
      <c r="Q697">
        <f t="array" ref="Q697">IF(I697&gt;0,INDEX(DB,I697,9),EventIndex)</f>
        <v>6</v>
      </c>
      <c r="S697">
        <f t="array" ref="S697">(INT(INDEX(MINVALUES,$Q697,$K$1))*60)+(MOD(INDEX(MINVALUES,$Q697,$K$1),1)*100)</f>
        <v>180</v>
      </c>
      <c r="T697">
        <f t="array" ref="T697">(INDEX(INCVALUES,$Q697,$K$1)*100)</f>
        <v>1</v>
      </c>
      <c r="V697">
        <f t="array" ref="V697">+J697+(4*(INDEX(MatchScoreTable,$Q697,20)-1))</f>
        <v>4</v>
      </c>
      <c r="W697">
        <f t="array" ref="W697">INDEX(INC_MINVALUES,$V697,$K$1)</f>
        <v>480</v>
      </c>
      <c r="X697" s="212">
        <f t="array" ref="X697">INDEX(INC_INCVALUES,$V697,$K$1)</f>
        <v>4</v>
      </c>
    </row>
    <row r="698" ht="15.75" customHeight="1">
      <c r="A698" s="435"/>
      <c r="B698" s="436"/>
      <c r="C698" s="95" t="str">
        <f t="array" ref="C698">IF(I698&gt;0,INDEX(DB,I698,8),"")</f>
        <v/>
      </c>
      <c r="D698" s="437">
        <f t="shared" si="1"/>
        <v>0</v>
      </c>
      <c r="F698" s="438">
        <f t="shared" si="2"/>
        <v>0</v>
      </c>
      <c r="G698" t="str">
        <f t="shared" si="3"/>
        <v/>
      </c>
      <c r="H698" t="b">
        <f t="shared" si="4"/>
        <v>0</v>
      </c>
      <c r="I698" s="439">
        <f>IF(OR(ISBLANK(A698),ISNA(MATCH(A698&amp;"",AthleteNumbers,0))),0,MATCH(A698&amp;"",AthleteNumbers,0))</f>
        <v>0</v>
      </c>
      <c r="J698" s="209">
        <f t="array" ref="J698">IF(I698&gt;0,INDEX(DB,$I698,6),0)</f>
        <v>0</v>
      </c>
      <c r="K698" s="446">
        <f t="shared" si="5"/>
        <v>0</v>
      </c>
      <c r="L698" s="440">
        <f t="shared" si="6"/>
        <v>0</v>
      </c>
      <c r="M698" s="441">
        <f>IF(AND(L698&gt;O698,O698&gt;0),MinPoints,IF(AND(L698&lt;N698,O698&gt;0),100,+INT((O698-$L698)/P698)+MinPoints))</f>
        <v>100</v>
      </c>
      <c r="N698" s="440">
        <f t="shared" si="7"/>
        <v>90</v>
      </c>
      <c r="O698" s="440">
        <f t="shared" si="8"/>
        <v>180</v>
      </c>
      <c r="P698" s="440">
        <f t="shared" si="9"/>
        <v>1</v>
      </c>
      <c r="Q698">
        <f t="array" ref="Q698">IF(I698&gt;0,INDEX(DB,I698,9),EventIndex)</f>
        <v>6</v>
      </c>
      <c r="S698">
        <f t="array" ref="S698">(INT(INDEX(MINVALUES,$Q698,$K$1))*60)+(MOD(INDEX(MINVALUES,$Q698,$K$1),1)*100)</f>
        <v>180</v>
      </c>
      <c r="T698">
        <f t="array" ref="T698">(INDEX(INCVALUES,$Q698,$K$1)*100)</f>
        <v>1</v>
      </c>
      <c r="V698">
        <f t="array" ref="V698">+J698+(4*(INDEX(MatchScoreTable,$Q698,20)-1))</f>
        <v>4</v>
      </c>
      <c r="W698">
        <f t="array" ref="W698">INDEX(INC_MINVALUES,$V698,$K$1)</f>
        <v>480</v>
      </c>
      <c r="X698" s="212">
        <f t="array" ref="X698">INDEX(INC_INCVALUES,$V698,$K$1)</f>
        <v>4</v>
      </c>
    </row>
    <row r="699" ht="15.75" customHeight="1">
      <c r="A699" s="435"/>
      <c r="B699" s="436"/>
      <c r="C699" s="95" t="str">
        <f t="array" ref="C699">IF(I699&gt;0,INDEX(DB,I699,8),"")</f>
        <v/>
      </c>
      <c r="D699" s="437">
        <f t="shared" si="1"/>
        <v>0</v>
      </c>
      <c r="F699" s="438">
        <f t="shared" si="2"/>
        <v>0</v>
      </c>
      <c r="G699" t="str">
        <f t="shared" si="3"/>
        <v/>
      </c>
      <c r="H699" t="b">
        <f t="shared" si="4"/>
        <v>0</v>
      </c>
      <c r="I699" s="439">
        <f>IF(OR(ISBLANK(A699),ISNA(MATCH(A699&amp;"",AthleteNumbers,0))),0,MATCH(A699&amp;"",AthleteNumbers,0))</f>
        <v>0</v>
      </c>
      <c r="J699" s="209">
        <f t="array" ref="J699">IF(I699&gt;0,INDEX(DB,$I699,6),0)</f>
        <v>0</v>
      </c>
      <c r="K699" s="446">
        <f t="shared" si="5"/>
        <v>0</v>
      </c>
      <c r="L699" s="440">
        <f t="shared" si="6"/>
        <v>0</v>
      </c>
      <c r="M699" s="441">
        <f>IF(AND(L699&gt;O699,O699&gt;0),MinPoints,IF(AND(L699&lt;N699,O699&gt;0),100,+INT((O699-$L699)/P699)+MinPoints))</f>
        <v>100</v>
      </c>
      <c r="N699" s="440">
        <f t="shared" si="7"/>
        <v>90</v>
      </c>
      <c r="O699" s="440">
        <f t="shared" si="8"/>
        <v>180</v>
      </c>
      <c r="P699" s="440">
        <f t="shared" si="9"/>
        <v>1</v>
      </c>
      <c r="Q699">
        <f t="array" ref="Q699">IF(I699&gt;0,INDEX(DB,I699,9),EventIndex)</f>
        <v>6</v>
      </c>
      <c r="S699">
        <f t="array" ref="S699">(INT(INDEX(MINVALUES,$Q699,$K$1))*60)+(MOD(INDEX(MINVALUES,$Q699,$K$1),1)*100)</f>
        <v>180</v>
      </c>
      <c r="T699">
        <f t="array" ref="T699">(INDEX(INCVALUES,$Q699,$K$1)*100)</f>
        <v>1</v>
      </c>
      <c r="V699">
        <f t="array" ref="V699">+J699+(4*(INDEX(MatchScoreTable,$Q699,20)-1))</f>
        <v>4</v>
      </c>
      <c r="W699">
        <f t="array" ref="W699">INDEX(INC_MINVALUES,$V699,$K$1)</f>
        <v>480</v>
      </c>
      <c r="X699" s="212">
        <f t="array" ref="X699">INDEX(INC_INCVALUES,$V699,$K$1)</f>
        <v>4</v>
      </c>
    </row>
    <row r="700" ht="15.75" customHeight="1">
      <c r="A700" s="435"/>
      <c r="B700" s="436"/>
      <c r="C700" s="95" t="str">
        <f t="array" ref="C700">IF(I700&gt;0,INDEX(DB,I700,8),"")</f>
        <v/>
      </c>
      <c r="D700" s="437">
        <f t="shared" si="1"/>
        <v>0</v>
      </c>
      <c r="F700" s="438">
        <f t="shared" si="2"/>
        <v>0</v>
      </c>
      <c r="G700" t="str">
        <f t="shared" si="3"/>
        <v/>
      </c>
      <c r="H700" t="b">
        <f t="shared" si="4"/>
        <v>0</v>
      </c>
      <c r="I700" s="439">
        <f>IF(OR(ISBLANK(A700),ISNA(MATCH(A700&amp;"",AthleteNumbers,0))),0,MATCH(A700&amp;"",AthleteNumbers,0))</f>
        <v>0</v>
      </c>
      <c r="J700" s="209">
        <f t="array" ref="J700">IF(I700&gt;0,INDEX(DB,$I700,6),0)</f>
        <v>0</v>
      </c>
      <c r="K700" s="446">
        <f t="shared" si="5"/>
        <v>0</v>
      </c>
      <c r="L700" s="440">
        <f t="shared" si="6"/>
        <v>0</v>
      </c>
      <c r="M700" s="441">
        <f>IF(AND(L700&gt;O700,O700&gt;0),MinPoints,IF(AND(L700&lt;N700,O700&gt;0),100,+INT((O700-$L700)/P700)+MinPoints))</f>
        <v>100</v>
      </c>
      <c r="N700" s="440">
        <f t="shared" si="7"/>
        <v>90</v>
      </c>
      <c r="O700" s="440">
        <f t="shared" si="8"/>
        <v>180</v>
      </c>
      <c r="P700" s="440">
        <f t="shared" si="9"/>
        <v>1</v>
      </c>
      <c r="Q700">
        <f t="array" ref="Q700">IF(I700&gt;0,INDEX(DB,I700,9),EventIndex)</f>
        <v>6</v>
      </c>
      <c r="S700">
        <f t="array" ref="S700">(INT(INDEX(MINVALUES,$Q700,$K$1))*60)+(MOD(INDEX(MINVALUES,$Q700,$K$1),1)*100)</f>
        <v>180</v>
      </c>
      <c r="T700">
        <f t="array" ref="T700">(INDEX(INCVALUES,$Q700,$K$1)*100)</f>
        <v>1</v>
      </c>
      <c r="V700">
        <f t="array" ref="V700">+J700+(4*(INDEX(MatchScoreTable,$Q700,20)-1))</f>
        <v>4</v>
      </c>
      <c r="W700">
        <f t="array" ref="W700">INDEX(INC_MINVALUES,$V700,$K$1)</f>
        <v>480</v>
      </c>
      <c r="X700" s="212">
        <f t="array" ref="X700">INDEX(INC_INCVALUES,$V700,$K$1)</f>
        <v>4</v>
      </c>
    </row>
    <row r="701" ht="15.75" customHeight="1">
      <c r="A701" s="435"/>
      <c r="B701" s="436"/>
      <c r="C701" s="95" t="str">
        <f t="array" ref="C701">IF(I701&gt;0,INDEX(DB,I701,8),"")</f>
        <v/>
      </c>
      <c r="D701" s="437">
        <f t="shared" si="1"/>
        <v>0</v>
      </c>
      <c r="F701" s="438">
        <f t="shared" si="2"/>
        <v>0</v>
      </c>
      <c r="G701" t="str">
        <f t="shared" si="3"/>
        <v/>
      </c>
      <c r="H701" t="b">
        <f t="shared" si="4"/>
        <v>0</v>
      </c>
      <c r="I701" s="439">
        <f>IF(OR(ISBLANK(A701),ISNA(MATCH(A701&amp;"",AthleteNumbers,0))),0,MATCH(A701&amp;"",AthleteNumbers,0))</f>
        <v>0</v>
      </c>
      <c r="J701" s="209">
        <f t="array" ref="J701">IF(I701&gt;0,INDEX(DB,$I701,6),0)</f>
        <v>0</v>
      </c>
      <c r="K701" s="446">
        <f t="shared" si="5"/>
        <v>0</v>
      </c>
      <c r="L701" s="440">
        <f t="shared" si="6"/>
        <v>0</v>
      </c>
      <c r="M701" s="441">
        <f>IF(AND(L701&gt;O701,O701&gt;0),MinPoints,IF(AND(L701&lt;N701,O701&gt;0),100,+INT((O701-$L701)/P701)+MinPoints))</f>
        <v>100</v>
      </c>
      <c r="N701" s="440">
        <f t="shared" si="7"/>
        <v>90</v>
      </c>
      <c r="O701" s="440">
        <f t="shared" si="8"/>
        <v>180</v>
      </c>
      <c r="P701" s="440">
        <f t="shared" si="9"/>
        <v>1</v>
      </c>
      <c r="Q701">
        <f t="array" ref="Q701">IF(I701&gt;0,INDEX(DB,I701,9),EventIndex)</f>
        <v>6</v>
      </c>
      <c r="S701">
        <f t="array" ref="S701">(INT(INDEX(MINVALUES,$Q701,$K$1))*60)+(MOD(INDEX(MINVALUES,$Q701,$K$1),1)*100)</f>
        <v>180</v>
      </c>
      <c r="T701">
        <f t="array" ref="T701">(INDEX(INCVALUES,$Q701,$K$1)*100)</f>
        <v>1</v>
      </c>
      <c r="V701">
        <f t="array" ref="V701">+J701+(4*(INDEX(MatchScoreTable,$Q701,20)-1))</f>
        <v>4</v>
      </c>
      <c r="W701">
        <f t="array" ref="W701">INDEX(INC_MINVALUES,$V701,$K$1)</f>
        <v>480</v>
      </c>
      <c r="X701" s="212">
        <f t="array" ref="X701">INDEX(INC_INCVALUES,$V701,$K$1)</f>
        <v>4</v>
      </c>
    </row>
    <row r="702" ht="15.75" customHeight="1">
      <c r="A702" s="435"/>
      <c r="B702" s="436"/>
      <c r="C702" s="95" t="str">
        <f t="array" ref="C702">IF(I702&gt;0,INDEX(DB,I702,8),"")</f>
        <v/>
      </c>
      <c r="D702" s="437">
        <f t="shared" si="1"/>
        <v>0</v>
      </c>
      <c r="F702" s="438">
        <f t="shared" si="2"/>
        <v>0</v>
      </c>
      <c r="G702" t="str">
        <f t="shared" si="3"/>
        <v/>
      </c>
      <c r="H702" t="b">
        <f t="shared" si="4"/>
        <v>0</v>
      </c>
      <c r="I702" s="439">
        <f>IF(OR(ISBLANK(A702),ISNA(MATCH(A702&amp;"",AthleteNumbers,0))),0,MATCH(A702&amp;"",AthleteNumbers,0))</f>
        <v>0</v>
      </c>
      <c r="J702" s="209">
        <f t="array" ref="J702">IF(I702&gt;0,INDEX(DB,$I702,6),0)</f>
        <v>0</v>
      </c>
      <c r="K702" s="446">
        <f t="shared" si="5"/>
        <v>0</v>
      </c>
      <c r="L702" s="440">
        <f t="shared" si="6"/>
        <v>0</v>
      </c>
      <c r="M702" s="441">
        <f>IF(AND(L702&gt;O702,O702&gt;0),MinPoints,IF(AND(L702&lt;N702,O702&gt;0),100,+INT((O702-$L702)/P702)+MinPoints))</f>
        <v>100</v>
      </c>
      <c r="N702" s="440">
        <f t="shared" si="7"/>
        <v>90</v>
      </c>
      <c r="O702" s="440">
        <f t="shared" si="8"/>
        <v>180</v>
      </c>
      <c r="P702" s="440">
        <f t="shared" si="9"/>
        <v>1</v>
      </c>
      <c r="Q702">
        <f t="array" ref="Q702">IF(I702&gt;0,INDEX(DB,I702,9),EventIndex)</f>
        <v>6</v>
      </c>
      <c r="S702">
        <f t="array" ref="S702">(INT(INDEX(MINVALUES,$Q702,$K$1))*60)+(MOD(INDEX(MINVALUES,$Q702,$K$1),1)*100)</f>
        <v>180</v>
      </c>
      <c r="T702">
        <f t="array" ref="T702">(INDEX(INCVALUES,$Q702,$K$1)*100)</f>
        <v>1</v>
      </c>
      <c r="V702">
        <f t="array" ref="V702">+J702+(4*(INDEX(MatchScoreTable,$Q702,20)-1))</f>
        <v>4</v>
      </c>
      <c r="W702">
        <f t="array" ref="W702">INDEX(INC_MINVALUES,$V702,$K$1)</f>
        <v>480</v>
      </c>
      <c r="X702" s="212">
        <f t="array" ref="X702">INDEX(INC_INCVALUES,$V702,$K$1)</f>
        <v>4</v>
      </c>
    </row>
    <row r="703" ht="15.75" customHeight="1">
      <c r="A703" s="435"/>
      <c r="B703" s="436"/>
      <c r="C703" s="95" t="str">
        <f t="array" ref="C703">IF(I703&gt;0,INDEX(DB,I703,8),"")</f>
        <v/>
      </c>
      <c r="D703" s="437">
        <f t="shared" si="1"/>
        <v>0</v>
      </c>
      <c r="F703" s="438">
        <f t="shared" si="2"/>
        <v>0</v>
      </c>
      <c r="G703" t="str">
        <f t="shared" si="3"/>
        <v/>
      </c>
      <c r="H703" t="b">
        <f t="shared" si="4"/>
        <v>0</v>
      </c>
      <c r="I703" s="439">
        <f>IF(OR(ISBLANK(A703),ISNA(MATCH(A703&amp;"",AthleteNumbers,0))),0,MATCH(A703&amp;"",AthleteNumbers,0))</f>
        <v>0</v>
      </c>
      <c r="J703" s="209">
        <f t="array" ref="J703">IF(I703&gt;0,INDEX(DB,$I703,6),0)</f>
        <v>0</v>
      </c>
      <c r="K703" s="446">
        <f t="shared" si="5"/>
        <v>0</v>
      </c>
      <c r="L703" s="440">
        <f t="shared" si="6"/>
        <v>0</v>
      </c>
      <c r="M703" s="441">
        <f>IF(AND(L703&gt;O703,O703&gt;0),MinPoints,IF(AND(L703&lt;N703,O703&gt;0),100,+INT((O703-$L703)/P703)+MinPoints))</f>
        <v>100</v>
      </c>
      <c r="N703" s="440">
        <f t="shared" si="7"/>
        <v>90</v>
      </c>
      <c r="O703" s="440">
        <f t="shared" si="8"/>
        <v>180</v>
      </c>
      <c r="P703" s="440">
        <f t="shared" si="9"/>
        <v>1</v>
      </c>
      <c r="Q703">
        <f t="array" ref="Q703">IF(I703&gt;0,INDEX(DB,I703,9),EventIndex)</f>
        <v>6</v>
      </c>
      <c r="S703">
        <f t="array" ref="S703">(INT(INDEX(MINVALUES,$Q703,$K$1))*60)+(MOD(INDEX(MINVALUES,$Q703,$K$1),1)*100)</f>
        <v>180</v>
      </c>
      <c r="T703">
        <f t="array" ref="T703">(INDEX(INCVALUES,$Q703,$K$1)*100)</f>
        <v>1</v>
      </c>
      <c r="V703">
        <f t="array" ref="V703">+J703+(4*(INDEX(MatchScoreTable,$Q703,20)-1))</f>
        <v>4</v>
      </c>
      <c r="W703">
        <f t="array" ref="W703">INDEX(INC_MINVALUES,$V703,$K$1)</f>
        <v>480</v>
      </c>
      <c r="X703" s="212">
        <f t="array" ref="X703">INDEX(INC_INCVALUES,$V703,$K$1)</f>
        <v>4</v>
      </c>
    </row>
    <row r="704" ht="15.75" customHeight="1">
      <c r="A704" s="435"/>
      <c r="B704" s="436"/>
      <c r="C704" s="95" t="str">
        <f t="array" ref="C704">IF(I704&gt;0,INDEX(DB,I704,8),"")</f>
        <v/>
      </c>
      <c r="D704" s="437">
        <f t="shared" si="1"/>
        <v>0</v>
      </c>
      <c r="F704" s="438">
        <f t="shared" si="2"/>
        <v>0</v>
      </c>
      <c r="G704" t="str">
        <f t="shared" si="3"/>
        <v/>
      </c>
      <c r="H704" t="b">
        <f t="shared" si="4"/>
        <v>0</v>
      </c>
      <c r="I704" s="439">
        <f>IF(OR(ISBLANK(A704),ISNA(MATCH(A704&amp;"",AthleteNumbers,0))),0,MATCH(A704&amp;"",AthleteNumbers,0))</f>
        <v>0</v>
      </c>
      <c r="J704" s="209">
        <f t="array" ref="J704">IF(I704&gt;0,INDEX(DB,$I704,6),0)</f>
        <v>0</v>
      </c>
      <c r="K704" s="446">
        <f t="shared" si="5"/>
        <v>0</v>
      </c>
      <c r="L704" s="440">
        <f t="shared" si="6"/>
        <v>0</v>
      </c>
      <c r="M704" s="441">
        <f>IF(AND(L704&gt;O704,O704&gt;0),MinPoints,IF(AND(L704&lt;N704,O704&gt;0),100,+INT((O704-$L704)/P704)+MinPoints))</f>
        <v>100</v>
      </c>
      <c r="N704" s="440">
        <f t="shared" si="7"/>
        <v>90</v>
      </c>
      <c r="O704" s="440">
        <f t="shared" si="8"/>
        <v>180</v>
      </c>
      <c r="P704" s="440">
        <f t="shared" si="9"/>
        <v>1</v>
      </c>
      <c r="Q704">
        <f t="array" ref="Q704">IF(I704&gt;0,INDEX(DB,I704,9),EventIndex)</f>
        <v>6</v>
      </c>
      <c r="S704">
        <f t="array" ref="S704">(INT(INDEX(MINVALUES,$Q704,$K$1))*60)+(MOD(INDEX(MINVALUES,$Q704,$K$1),1)*100)</f>
        <v>180</v>
      </c>
      <c r="T704">
        <f t="array" ref="T704">(INDEX(INCVALUES,$Q704,$K$1)*100)</f>
        <v>1</v>
      </c>
      <c r="V704">
        <f t="array" ref="V704">+J704+(4*(INDEX(MatchScoreTable,$Q704,20)-1))</f>
        <v>4</v>
      </c>
      <c r="W704">
        <f t="array" ref="W704">INDEX(INC_MINVALUES,$V704,$K$1)</f>
        <v>480</v>
      </c>
      <c r="X704" s="212">
        <f t="array" ref="X704">INDEX(INC_INCVALUES,$V704,$K$1)</f>
        <v>4</v>
      </c>
    </row>
    <row r="705" ht="15.75" customHeight="1">
      <c r="A705" s="435"/>
      <c r="B705" s="436"/>
      <c r="C705" s="95" t="str">
        <f t="array" ref="C705">IF(I705&gt;0,INDEX(DB,I705,8),"")</f>
        <v/>
      </c>
      <c r="D705" s="437">
        <f t="shared" si="1"/>
        <v>0</v>
      </c>
      <c r="F705" s="438">
        <f t="shared" si="2"/>
        <v>0</v>
      </c>
      <c r="G705" t="str">
        <f t="shared" si="3"/>
        <v/>
      </c>
      <c r="H705" t="b">
        <f t="shared" si="4"/>
        <v>0</v>
      </c>
      <c r="I705" s="439">
        <f>IF(OR(ISBLANK(A705),ISNA(MATCH(A705&amp;"",AthleteNumbers,0))),0,MATCH(A705&amp;"",AthleteNumbers,0))</f>
        <v>0</v>
      </c>
      <c r="J705" s="209">
        <f t="array" ref="J705">IF(I705&gt;0,INDEX(DB,$I705,6),0)</f>
        <v>0</v>
      </c>
      <c r="K705" s="446">
        <f t="shared" si="5"/>
        <v>0</v>
      </c>
      <c r="L705" s="440">
        <f t="shared" si="6"/>
        <v>0</v>
      </c>
      <c r="M705" s="441">
        <f>IF(AND(L705&gt;O705,O705&gt;0),MinPoints,IF(AND(L705&lt;N705,O705&gt;0),100,+INT((O705-$L705)/P705)+MinPoints))</f>
        <v>100</v>
      </c>
      <c r="N705" s="440">
        <f t="shared" si="7"/>
        <v>90</v>
      </c>
      <c r="O705" s="440">
        <f t="shared" si="8"/>
        <v>180</v>
      </c>
      <c r="P705" s="440">
        <f t="shared" si="9"/>
        <v>1</v>
      </c>
      <c r="Q705">
        <f t="array" ref="Q705">IF(I705&gt;0,INDEX(DB,I705,9),EventIndex)</f>
        <v>6</v>
      </c>
      <c r="S705">
        <f t="array" ref="S705">(INT(INDEX(MINVALUES,$Q705,$K$1))*60)+(MOD(INDEX(MINVALUES,$Q705,$K$1),1)*100)</f>
        <v>180</v>
      </c>
      <c r="T705">
        <f t="array" ref="T705">(INDEX(INCVALUES,$Q705,$K$1)*100)</f>
        <v>1</v>
      </c>
      <c r="V705">
        <f t="array" ref="V705">+J705+(4*(INDEX(MatchScoreTable,$Q705,20)-1))</f>
        <v>4</v>
      </c>
      <c r="W705">
        <f t="array" ref="W705">INDEX(INC_MINVALUES,$V705,$K$1)</f>
        <v>480</v>
      </c>
      <c r="X705" s="212">
        <f t="array" ref="X705">INDEX(INC_INCVALUES,$V705,$K$1)</f>
        <v>4</v>
      </c>
    </row>
    <row r="706" ht="15.75" customHeight="1">
      <c r="A706" s="435"/>
      <c r="B706" s="436"/>
      <c r="C706" s="95" t="str">
        <f t="array" ref="C706">IF(I706&gt;0,INDEX(DB,I706,8),"")</f>
        <v/>
      </c>
      <c r="D706" s="437">
        <f t="shared" si="1"/>
        <v>0</v>
      </c>
      <c r="F706" s="438">
        <f t="shared" si="2"/>
        <v>0</v>
      </c>
      <c r="G706" t="str">
        <f t="shared" si="3"/>
        <v/>
      </c>
      <c r="H706" t="b">
        <f t="shared" si="4"/>
        <v>0</v>
      </c>
      <c r="I706" s="439">
        <f>IF(OR(ISBLANK(A706),ISNA(MATCH(A706&amp;"",AthleteNumbers,0))),0,MATCH(A706&amp;"",AthleteNumbers,0))</f>
        <v>0</v>
      </c>
      <c r="J706" s="209">
        <f t="array" ref="J706">IF(I706&gt;0,INDEX(DB,$I706,6),0)</f>
        <v>0</v>
      </c>
      <c r="K706" s="446">
        <f t="shared" si="5"/>
        <v>0</v>
      </c>
      <c r="L706" s="440">
        <f t="shared" si="6"/>
        <v>0</v>
      </c>
      <c r="M706" s="441">
        <f>IF(AND(L706&gt;O706,O706&gt;0),MinPoints,IF(AND(L706&lt;N706,O706&gt;0),100,+INT((O706-$L706)/P706)+MinPoints))</f>
        <v>100</v>
      </c>
      <c r="N706" s="440">
        <f t="shared" si="7"/>
        <v>90</v>
      </c>
      <c r="O706" s="440">
        <f t="shared" si="8"/>
        <v>180</v>
      </c>
      <c r="P706" s="440">
        <f t="shared" si="9"/>
        <v>1</v>
      </c>
      <c r="Q706">
        <f t="array" ref="Q706">IF(I706&gt;0,INDEX(DB,I706,9),EventIndex)</f>
        <v>6</v>
      </c>
      <c r="S706">
        <f t="array" ref="S706">(INT(INDEX(MINVALUES,$Q706,$K$1))*60)+(MOD(INDEX(MINVALUES,$Q706,$K$1),1)*100)</f>
        <v>180</v>
      </c>
      <c r="T706">
        <f t="array" ref="T706">(INDEX(INCVALUES,$Q706,$K$1)*100)</f>
        <v>1</v>
      </c>
      <c r="V706">
        <f t="array" ref="V706">+J706+(4*(INDEX(MatchScoreTable,$Q706,20)-1))</f>
        <v>4</v>
      </c>
      <c r="W706">
        <f t="array" ref="W706">INDEX(INC_MINVALUES,$V706,$K$1)</f>
        <v>480</v>
      </c>
      <c r="X706" s="212">
        <f t="array" ref="X706">INDEX(INC_INCVALUES,$V706,$K$1)</f>
        <v>4</v>
      </c>
    </row>
    <row r="707" ht="15.75" customHeight="1">
      <c r="A707" s="435"/>
      <c r="B707" s="436"/>
      <c r="C707" s="95" t="str">
        <f t="array" ref="C707">IF(I707&gt;0,INDEX(DB,I707,8),"")</f>
        <v/>
      </c>
      <c r="D707" s="437">
        <f t="shared" si="1"/>
        <v>0</v>
      </c>
      <c r="F707" s="438">
        <f t="shared" si="2"/>
        <v>0</v>
      </c>
      <c r="G707" t="str">
        <f t="shared" si="3"/>
        <v/>
      </c>
      <c r="H707" t="b">
        <f t="shared" si="4"/>
        <v>0</v>
      </c>
      <c r="I707" s="439">
        <f>IF(OR(ISBLANK(A707),ISNA(MATCH(A707&amp;"",AthleteNumbers,0))),0,MATCH(A707&amp;"",AthleteNumbers,0))</f>
        <v>0</v>
      </c>
      <c r="J707" s="209">
        <f t="array" ref="J707">IF(I707&gt;0,INDEX(DB,$I707,6),0)</f>
        <v>0</v>
      </c>
      <c r="K707" s="446">
        <f t="shared" si="5"/>
        <v>0</v>
      </c>
      <c r="L707" s="440">
        <f t="shared" si="6"/>
        <v>0</v>
      </c>
      <c r="M707" s="441">
        <f>IF(AND(L707&gt;O707,O707&gt;0),MinPoints,IF(AND(L707&lt;N707,O707&gt;0),100,+INT((O707-$L707)/P707)+MinPoints))</f>
        <v>100</v>
      </c>
      <c r="N707" s="440">
        <f t="shared" si="7"/>
        <v>90</v>
      </c>
      <c r="O707" s="440">
        <f t="shared" si="8"/>
        <v>180</v>
      </c>
      <c r="P707" s="440">
        <f t="shared" si="9"/>
        <v>1</v>
      </c>
      <c r="Q707">
        <f t="array" ref="Q707">IF(I707&gt;0,INDEX(DB,I707,9),EventIndex)</f>
        <v>6</v>
      </c>
      <c r="S707">
        <f t="array" ref="S707">(INT(INDEX(MINVALUES,$Q707,$K$1))*60)+(MOD(INDEX(MINVALUES,$Q707,$K$1),1)*100)</f>
        <v>180</v>
      </c>
      <c r="T707">
        <f t="array" ref="T707">(INDEX(INCVALUES,$Q707,$K$1)*100)</f>
        <v>1</v>
      </c>
      <c r="V707">
        <f t="array" ref="V707">+J707+(4*(INDEX(MatchScoreTable,$Q707,20)-1))</f>
        <v>4</v>
      </c>
      <c r="W707">
        <f t="array" ref="W707">INDEX(INC_MINVALUES,$V707,$K$1)</f>
        <v>480</v>
      </c>
      <c r="X707" s="212">
        <f t="array" ref="X707">INDEX(INC_INCVALUES,$V707,$K$1)</f>
        <v>4</v>
      </c>
    </row>
    <row r="708" ht="15.75" customHeight="1">
      <c r="A708" s="435"/>
      <c r="B708" s="436"/>
      <c r="C708" s="95" t="str">
        <f t="array" ref="C708">IF(I708&gt;0,INDEX(DB,I708,8),"")</f>
        <v/>
      </c>
      <c r="D708" s="437">
        <f t="shared" si="1"/>
        <v>0</v>
      </c>
      <c r="F708" s="438">
        <f t="shared" si="2"/>
        <v>0</v>
      </c>
      <c r="G708" t="str">
        <f t="shared" si="3"/>
        <v/>
      </c>
      <c r="H708" t="b">
        <f t="shared" si="4"/>
        <v>0</v>
      </c>
      <c r="I708" s="439">
        <f>IF(OR(ISBLANK(A708),ISNA(MATCH(A708&amp;"",AthleteNumbers,0))),0,MATCH(A708&amp;"",AthleteNumbers,0))</f>
        <v>0</v>
      </c>
      <c r="J708" s="209">
        <f t="array" ref="J708">IF(I708&gt;0,INDEX(DB,$I708,6),0)</f>
        <v>0</v>
      </c>
      <c r="K708" s="446">
        <f t="shared" si="5"/>
        <v>0</v>
      </c>
      <c r="L708" s="440">
        <f t="shared" si="6"/>
        <v>0</v>
      </c>
      <c r="M708" s="441">
        <f>IF(AND(L708&gt;O708,O708&gt;0),MinPoints,IF(AND(L708&lt;N708,O708&gt;0),100,+INT((O708-$L708)/P708)+MinPoints))</f>
        <v>100</v>
      </c>
      <c r="N708" s="440">
        <f t="shared" si="7"/>
        <v>90</v>
      </c>
      <c r="O708" s="440">
        <f t="shared" si="8"/>
        <v>180</v>
      </c>
      <c r="P708" s="440">
        <f t="shared" si="9"/>
        <v>1</v>
      </c>
      <c r="Q708">
        <f t="array" ref="Q708">IF(I708&gt;0,INDEX(DB,I708,9),EventIndex)</f>
        <v>6</v>
      </c>
      <c r="S708">
        <f t="array" ref="S708">(INT(INDEX(MINVALUES,$Q708,$K$1))*60)+(MOD(INDEX(MINVALUES,$Q708,$K$1),1)*100)</f>
        <v>180</v>
      </c>
      <c r="T708">
        <f t="array" ref="T708">(INDEX(INCVALUES,$Q708,$K$1)*100)</f>
        <v>1</v>
      </c>
      <c r="V708">
        <f t="array" ref="V708">+J708+(4*(INDEX(MatchScoreTable,$Q708,20)-1))</f>
        <v>4</v>
      </c>
      <c r="W708">
        <f t="array" ref="W708">INDEX(INC_MINVALUES,$V708,$K$1)</f>
        <v>480</v>
      </c>
      <c r="X708" s="212">
        <f t="array" ref="X708">INDEX(INC_INCVALUES,$V708,$K$1)</f>
        <v>4</v>
      </c>
    </row>
    <row r="709" ht="15.75" customHeight="1">
      <c r="A709" s="435"/>
      <c r="B709" s="436"/>
      <c r="C709" s="95" t="str">
        <f t="array" ref="C709">IF(I709&gt;0,INDEX(DB,I709,8),"")</f>
        <v/>
      </c>
      <c r="D709" s="437">
        <f t="shared" si="1"/>
        <v>0</v>
      </c>
      <c r="F709" s="438">
        <f t="shared" si="2"/>
        <v>0</v>
      </c>
      <c r="G709" t="str">
        <f t="shared" si="3"/>
        <v/>
      </c>
      <c r="H709" t="b">
        <f t="shared" si="4"/>
        <v>0</v>
      </c>
      <c r="I709" s="439">
        <f>IF(OR(ISBLANK(A709),ISNA(MATCH(A709&amp;"",AthleteNumbers,0))),0,MATCH(A709&amp;"",AthleteNumbers,0))</f>
        <v>0</v>
      </c>
      <c r="J709" s="209">
        <f t="array" ref="J709">IF(I709&gt;0,INDEX(DB,$I709,6),0)</f>
        <v>0</v>
      </c>
      <c r="K709" s="446">
        <f t="shared" si="5"/>
        <v>0</v>
      </c>
      <c r="L709" s="440">
        <f t="shared" si="6"/>
        <v>0</v>
      </c>
      <c r="M709" s="441">
        <f>IF(AND(L709&gt;O709,O709&gt;0),MinPoints,IF(AND(L709&lt;N709,O709&gt;0),100,+INT((O709-$L709)/P709)+MinPoints))</f>
        <v>100</v>
      </c>
      <c r="N709" s="440">
        <f t="shared" si="7"/>
        <v>90</v>
      </c>
      <c r="O709" s="440">
        <f t="shared" si="8"/>
        <v>180</v>
      </c>
      <c r="P709" s="440">
        <f t="shared" si="9"/>
        <v>1</v>
      </c>
      <c r="Q709">
        <f t="array" ref="Q709">IF(I709&gt;0,INDEX(DB,I709,9),EventIndex)</f>
        <v>6</v>
      </c>
      <c r="S709">
        <f t="array" ref="S709">(INT(INDEX(MINVALUES,$Q709,$K$1))*60)+(MOD(INDEX(MINVALUES,$Q709,$K$1),1)*100)</f>
        <v>180</v>
      </c>
      <c r="T709">
        <f t="array" ref="T709">(INDEX(INCVALUES,$Q709,$K$1)*100)</f>
        <v>1</v>
      </c>
      <c r="V709">
        <f t="array" ref="V709">+J709+(4*(INDEX(MatchScoreTable,$Q709,20)-1))</f>
        <v>4</v>
      </c>
      <c r="W709">
        <f t="array" ref="W709">INDEX(INC_MINVALUES,$V709,$K$1)</f>
        <v>480</v>
      </c>
      <c r="X709" s="212">
        <f t="array" ref="X709">INDEX(INC_INCVALUES,$V709,$K$1)</f>
        <v>4</v>
      </c>
    </row>
    <row r="710" ht="15.75" customHeight="1">
      <c r="A710" s="435"/>
      <c r="B710" s="436"/>
      <c r="C710" s="95" t="str">
        <f t="array" ref="C710">IF(I710&gt;0,INDEX(DB,I710,8),"")</f>
        <v/>
      </c>
      <c r="D710" s="437">
        <f t="shared" si="1"/>
        <v>0</v>
      </c>
      <c r="F710" s="438">
        <f t="shared" si="2"/>
        <v>0</v>
      </c>
      <c r="G710" t="str">
        <f t="shared" si="3"/>
        <v/>
      </c>
      <c r="H710" t="b">
        <f t="shared" si="4"/>
        <v>0</v>
      </c>
      <c r="I710" s="439">
        <f>IF(OR(ISBLANK(A710),ISNA(MATCH(A710&amp;"",AthleteNumbers,0))),0,MATCH(A710&amp;"",AthleteNumbers,0))</f>
        <v>0</v>
      </c>
      <c r="J710" s="209">
        <f t="array" ref="J710">IF(I710&gt;0,INDEX(DB,$I710,6),0)</f>
        <v>0</v>
      </c>
      <c r="K710" s="446">
        <f t="shared" si="5"/>
        <v>0</v>
      </c>
      <c r="L710" s="440">
        <f t="shared" si="6"/>
        <v>0</v>
      </c>
      <c r="M710" s="441">
        <f>IF(AND(L710&gt;O710,O710&gt;0),MinPoints,IF(AND(L710&lt;N710,O710&gt;0),100,+INT((O710-$L710)/P710)+MinPoints))</f>
        <v>100</v>
      </c>
      <c r="N710" s="440">
        <f t="shared" si="7"/>
        <v>90</v>
      </c>
      <c r="O710" s="440">
        <f t="shared" si="8"/>
        <v>180</v>
      </c>
      <c r="P710" s="440">
        <f t="shared" si="9"/>
        <v>1</v>
      </c>
      <c r="Q710">
        <f t="array" ref="Q710">IF(I710&gt;0,INDEX(DB,I710,9),EventIndex)</f>
        <v>6</v>
      </c>
      <c r="S710">
        <f t="array" ref="S710">(INT(INDEX(MINVALUES,$Q710,$K$1))*60)+(MOD(INDEX(MINVALUES,$Q710,$K$1),1)*100)</f>
        <v>180</v>
      </c>
      <c r="T710">
        <f t="array" ref="T710">(INDEX(INCVALUES,$Q710,$K$1)*100)</f>
        <v>1</v>
      </c>
      <c r="V710">
        <f t="array" ref="V710">+J710+(4*(INDEX(MatchScoreTable,$Q710,20)-1))</f>
        <v>4</v>
      </c>
      <c r="W710">
        <f t="array" ref="W710">INDEX(INC_MINVALUES,$V710,$K$1)</f>
        <v>480</v>
      </c>
      <c r="X710" s="212">
        <f t="array" ref="X710">INDEX(INC_INCVALUES,$V710,$K$1)</f>
        <v>4</v>
      </c>
    </row>
    <row r="711" ht="15.75" customHeight="1">
      <c r="A711" s="435"/>
      <c r="B711" s="436"/>
      <c r="C711" s="95" t="str">
        <f t="array" ref="C711">IF(I711&gt;0,INDEX(DB,I711,8),"")</f>
        <v/>
      </c>
      <c r="D711" s="437">
        <f t="shared" si="1"/>
        <v>0</v>
      </c>
      <c r="F711" s="438">
        <f t="shared" si="2"/>
        <v>0</v>
      </c>
      <c r="G711" t="str">
        <f t="shared" si="3"/>
        <v/>
      </c>
      <c r="H711" t="b">
        <f t="shared" si="4"/>
        <v>0</v>
      </c>
      <c r="I711" s="439">
        <f>IF(OR(ISBLANK(A711),ISNA(MATCH(A711&amp;"",AthleteNumbers,0))),0,MATCH(A711&amp;"",AthleteNumbers,0))</f>
        <v>0</v>
      </c>
      <c r="J711" s="209">
        <f t="array" ref="J711">IF(I711&gt;0,INDEX(DB,$I711,6),0)</f>
        <v>0</v>
      </c>
      <c r="K711" s="446">
        <f t="shared" si="5"/>
        <v>0</v>
      </c>
      <c r="L711" s="440">
        <f t="shared" si="6"/>
        <v>0</v>
      </c>
      <c r="M711" s="441">
        <f>IF(AND(L711&gt;O711,O711&gt;0),MinPoints,IF(AND(L711&lt;N711,O711&gt;0),100,+INT((O711-$L711)/P711)+MinPoints))</f>
        <v>100</v>
      </c>
      <c r="N711" s="440">
        <f t="shared" si="7"/>
        <v>90</v>
      </c>
      <c r="O711" s="440">
        <f t="shared" si="8"/>
        <v>180</v>
      </c>
      <c r="P711" s="440">
        <f t="shared" si="9"/>
        <v>1</v>
      </c>
      <c r="Q711">
        <f t="array" ref="Q711">IF(I711&gt;0,INDEX(DB,I711,9),EventIndex)</f>
        <v>6</v>
      </c>
      <c r="S711">
        <f t="array" ref="S711">(INT(INDEX(MINVALUES,$Q711,$K$1))*60)+(MOD(INDEX(MINVALUES,$Q711,$K$1),1)*100)</f>
        <v>180</v>
      </c>
      <c r="T711">
        <f t="array" ref="T711">(INDEX(INCVALUES,$Q711,$K$1)*100)</f>
        <v>1</v>
      </c>
      <c r="V711">
        <f t="array" ref="V711">+J711+(4*(INDEX(MatchScoreTable,$Q711,20)-1))</f>
        <v>4</v>
      </c>
      <c r="W711">
        <f t="array" ref="W711">INDEX(INC_MINVALUES,$V711,$K$1)</f>
        <v>480</v>
      </c>
      <c r="X711" s="212">
        <f t="array" ref="X711">INDEX(INC_INCVALUES,$V711,$K$1)</f>
        <v>4</v>
      </c>
    </row>
    <row r="712" ht="15.75" customHeight="1">
      <c r="A712" s="435"/>
      <c r="B712" s="436"/>
      <c r="C712" s="95" t="str">
        <f t="array" ref="C712">IF(I712&gt;0,INDEX(DB,I712,8),"")</f>
        <v/>
      </c>
      <c r="D712" s="437">
        <f t="shared" si="1"/>
        <v>0</v>
      </c>
      <c r="F712" s="438">
        <f t="shared" si="2"/>
        <v>0</v>
      </c>
      <c r="G712" t="str">
        <f t="shared" si="3"/>
        <v/>
      </c>
      <c r="H712" t="b">
        <f t="shared" si="4"/>
        <v>0</v>
      </c>
      <c r="I712" s="439">
        <f>IF(OR(ISBLANK(A712),ISNA(MATCH(A712&amp;"",AthleteNumbers,0))),0,MATCH(A712&amp;"",AthleteNumbers,0))</f>
        <v>0</v>
      </c>
      <c r="J712" s="209">
        <f t="array" ref="J712">IF(I712&gt;0,INDEX(DB,$I712,6),0)</f>
        <v>0</v>
      </c>
      <c r="K712" s="446">
        <f t="shared" si="5"/>
        <v>0</v>
      </c>
      <c r="L712" s="440">
        <f t="shared" si="6"/>
        <v>0</v>
      </c>
      <c r="M712" s="441">
        <f>IF(AND(L712&gt;O712,O712&gt;0),MinPoints,IF(AND(L712&lt;N712,O712&gt;0),100,+INT((O712-$L712)/P712)+MinPoints))</f>
        <v>100</v>
      </c>
      <c r="N712" s="440">
        <f t="shared" si="7"/>
        <v>90</v>
      </c>
      <c r="O712" s="440">
        <f t="shared" si="8"/>
        <v>180</v>
      </c>
      <c r="P712" s="440">
        <f t="shared" si="9"/>
        <v>1</v>
      </c>
      <c r="Q712">
        <f t="array" ref="Q712">IF(I712&gt;0,INDEX(DB,I712,9),EventIndex)</f>
        <v>6</v>
      </c>
      <c r="S712">
        <f t="array" ref="S712">(INT(INDEX(MINVALUES,$Q712,$K$1))*60)+(MOD(INDEX(MINVALUES,$Q712,$K$1),1)*100)</f>
        <v>180</v>
      </c>
      <c r="T712">
        <f t="array" ref="T712">(INDEX(INCVALUES,$Q712,$K$1)*100)</f>
        <v>1</v>
      </c>
      <c r="V712">
        <f t="array" ref="V712">+J712+(4*(INDEX(MatchScoreTable,$Q712,20)-1))</f>
        <v>4</v>
      </c>
      <c r="W712">
        <f t="array" ref="W712">INDEX(INC_MINVALUES,$V712,$K$1)</f>
        <v>480</v>
      </c>
      <c r="X712" s="212">
        <f t="array" ref="X712">INDEX(INC_INCVALUES,$V712,$K$1)</f>
        <v>4</v>
      </c>
    </row>
    <row r="713" ht="15.75" customHeight="1">
      <c r="A713" s="435"/>
      <c r="B713" s="436"/>
      <c r="C713" s="95" t="str">
        <f t="array" ref="C713">IF(I713&gt;0,INDEX(DB,I713,8),"")</f>
        <v/>
      </c>
      <c r="D713" s="437">
        <f t="shared" si="1"/>
        <v>0</v>
      </c>
      <c r="F713" s="438">
        <f t="shared" si="2"/>
        <v>0</v>
      </c>
      <c r="G713" t="str">
        <f t="shared" si="3"/>
        <v/>
      </c>
      <c r="H713" t="b">
        <f t="shared" si="4"/>
        <v>0</v>
      </c>
      <c r="I713" s="439">
        <f>IF(OR(ISBLANK(A713),ISNA(MATCH(A713&amp;"",AthleteNumbers,0))),0,MATCH(A713&amp;"",AthleteNumbers,0))</f>
        <v>0</v>
      </c>
      <c r="J713" s="209">
        <f t="array" ref="J713">IF(I713&gt;0,INDEX(DB,$I713,6),0)</f>
        <v>0</v>
      </c>
      <c r="K713" s="446">
        <f t="shared" si="5"/>
        <v>0</v>
      </c>
      <c r="L713" s="440">
        <f t="shared" si="6"/>
        <v>0</v>
      </c>
      <c r="M713" s="441">
        <f>IF(AND(L713&gt;O713,O713&gt;0),MinPoints,IF(AND(L713&lt;N713,O713&gt;0),100,+INT((O713-$L713)/P713)+MinPoints))</f>
        <v>100</v>
      </c>
      <c r="N713" s="440">
        <f t="shared" si="7"/>
        <v>90</v>
      </c>
      <c r="O713" s="440">
        <f t="shared" si="8"/>
        <v>180</v>
      </c>
      <c r="P713" s="440">
        <f t="shared" si="9"/>
        <v>1</v>
      </c>
      <c r="Q713">
        <f t="array" ref="Q713">IF(I713&gt;0,INDEX(DB,I713,9),EventIndex)</f>
        <v>6</v>
      </c>
      <c r="S713">
        <f t="array" ref="S713">(INT(INDEX(MINVALUES,$Q713,$K$1))*60)+(MOD(INDEX(MINVALUES,$Q713,$K$1),1)*100)</f>
        <v>180</v>
      </c>
      <c r="T713">
        <f t="array" ref="T713">(INDEX(INCVALUES,$Q713,$K$1)*100)</f>
        <v>1</v>
      </c>
      <c r="V713">
        <f t="array" ref="V713">+J713+(4*(INDEX(MatchScoreTable,$Q713,20)-1))</f>
        <v>4</v>
      </c>
      <c r="W713">
        <f t="array" ref="W713">INDEX(INC_MINVALUES,$V713,$K$1)</f>
        <v>480</v>
      </c>
      <c r="X713" s="212">
        <f t="array" ref="X713">INDEX(INC_INCVALUES,$V713,$K$1)</f>
        <v>4</v>
      </c>
    </row>
    <row r="714" ht="15.75" customHeight="1">
      <c r="A714" s="435"/>
      <c r="B714" s="436"/>
      <c r="C714" s="95" t="str">
        <f t="array" ref="C714">IF(I714&gt;0,INDEX(DB,I714,8),"")</f>
        <v/>
      </c>
      <c r="D714" s="437">
        <f t="shared" si="1"/>
        <v>0</v>
      </c>
      <c r="F714" s="438">
        <f t="shared" si="2"/>
        <v>0</v>
      </c>
      <c r="G714" t="str">
        <f t="shared" si="3"/>
        <v/>
      </c>
      <c r="H714" t="b">
        <f t="shared" si="4"/>
        <v>0</v>
      </c>
      <c r="I714" s="439">
        <f>IF(OR(ISBLANK(A714),ISNA(MATCH(A714&amp;"",AthleteNumbers,0))),0,MATCH(A714&amp;"",AthleteNumbers,0))</f>
        <v>0</v>
      </c>
      <c r="J714" s="209">
        <f t="array" ref="J714">IF(I714&gt;0,INDEX(DB,$I714,6),0)</f>
        <v>0</v>
      </c>
      <c r="K714" s="446">
        <f t="shared" si="5"/>
        <v>0</v>
      </c>
      <c r="L714" s="440">
        <f t="shared" si="6"/>
        <v>0</v>
      </c>
      <c r="M714" s="441">
        <f>IF(AND(L714&gt;O714,O714&gt;0),MinPoints,IF(AND(L714&lt;N714,O714&gt;0),100,+INT((O714-$L714)/P714)+MinPoints))</f>
        <v>100</v>
      </c>
      <c r="N714" s="440">
        <f t="shared" si="7"/>
        <v>90</v>
      </c>
      <c r="O714" s="440">
        <f t="shared" si="8"/>
        <v>180</v>
      </c>
      <c r="P714" s="440">
        <f t="shared" si="9"/>
        <v>1</v>
      </c>
      <c r="Q714">
        <f t="array" ref="Q714">IF(I714&gt;0,INDEX(DB,I714,9),EventIndex)</f>
        <v>6</v>
      </c>
      <c r="S714">
        <f t="array" ref="S714">(INT(INDEX(MINVALUES,$Q714,$K$1))*60)+(MOD(INDEX(MINVALUES,$Q714,$K$1),1)*100)</f>
        <v>180</v>
      </c>
      <c r="T714">
        <f t="array" ref="T714">(INDEX(INCVALUES,$Q714,$K$1)*100)</f>
        <v>1</v>
      </c>
      <c r="V714">
        <f t="array" ref="V714">+J714+(4*(INDEX(MatchScoreTable,$Q714,20)-1))</f>
        <v>4</v>
      </c>
      <c r="W714">
        <f t="array" ref="W714">INDEX(INC_MINVALUES,$V714,$K$1)</f>
        <v>480</v>
      </c>
      <c r="X714" s="212">
        <f t="array" ref="X714">INDEX(INC_INCVALUES,$V714,$K$1)</f>
        <v>4</v>
      </c>
    </row>
    <row r="715" ht="15.75" customHeight="1">
      <c r="A715" s="435"/>
      <c r="B715" s="436"/>
      <c r="C715" s="95" t="str">
        <f t="array" ref="C715">IF(I715&gt;0,INDEX(DB,I715,8),"")</f>
        <v/>
      </c>
      <c r="D715" s="437">
        <f t="shared" si="1"/>
        <v>0</v>
      </c>
      <c r="F715" s="438">
        <f t="shared" si="2"/>
        <v>0</v>
      </c>
      <c r="G715" t="str">
        <f t="shared" si="3"/>
        <v/>
      </c>
      <c r="H715" t="b">
        <f t="shared" si="4"/>
        <v>0</v>
      </c>
      <c r="I715" s="439">
        <f>IF(OR(ISBLANK(A715),ISNA(MATCH(A715&amp;"",AthleteNumbers,0))),0,MATCH(A715&amp;"",AthleteNumbers,0))</f>
        <v>0</v>
      </c>
      <c r="J715" s="209">
        <f t="array" ref="J715">IF(I715&gt;0,INDEX(DB,$I715,6),0)</f>
        <v>0</v>
      </c>
      <c r="K715" s="446">
        <f t="shared" si="5"/>
        <v>0</v>
      </c>
      <c r="L715" s="440">
        <f t="shared" si="6"/>
        <v>0</v>
      </c>
      <c r="M715" s="441">
        <f>IF(AND(L715&gt;O715,O715&gt;0),MinPoints,IF(AND(L715&lt;N715,O715&gt;0),100,+INT((O715-$L715)/P715)+MinPoints))</f>
        <v>100</v>
      </c>
      <c r="N715" s="440">
        <f t="shared" si="7"/>
        <v>90</v>
      </c>
      <c r="O715" s="440">
        <f t="shared" si="8"/>
        <v>180</v>
      </c>
      <c r="P715" s="440">
        <f t="shared" si="9"/>
        <v>1</v>
      </c>
      <c r="Q715">
        <f t="array" ref="Q715">IF(I715&gt;0,INDEX(DB,I715,9),EventIndex)</f>
        <v>6</v>
      </c>
      <c r="S715">
        <f t="array" ref="S715">(INT(INDEX(MINVALUES,$Q715,$K$1))*60)+(MOD(INDEX(MINVALUES,$Q715,$K$1),1)*100)</f>
        <v>180</v>
      </c>
      <c r="T715">
        <f t="array" ref="T715">(INDEX(INCVALUES,$Q715,$K$1)*100)</f>
        <v>1</v>
      </c>
      <c r="V715">
        <f t="array" ref="V715">+J715+(4*(INDEX(MatchScoreTable,$Q715,20)-1))</f>
        <v>4</v>
      </c>
      <c r="W715">
        <f t="array" ref="W715">INDEX(INC_MINVALUES,$V715,$K$1)</f>
        <v>480</v>
      </c>
      <c r="X715" s="212">
        <f t="array" ref="X715">INDEX(INC_INCVALUES,$V715,$K$1)</f>
        <v>4</v>
      </c>
    </row>
    <row r="716" ht="15.75" customHeight="1">
      <c r="A716" s="435"/>
      <c r="B716" s="436"/>
      <c r="C716" s="95" t="str">
        <f t="array" ref="C716">IF(I716&gt;0,INDEX(DB,I716,8),"")</f>
        <v/>
      </c>
      <c r="D716" s="437">
        <f t="shared" si="1"/>
        <v>0</v>
      </c>
      <c r="F716" s="438">
        <f t="shared" si="2"/>
        <v>0</v>
      </c>
      <c r="G716" t="str">
        <f t="shared" si="3"/>
        <v/>
      </c>
      <c r="H716" t="b">
        <f t="shared" si="4"/>
        <v>0</v>
      </c>
      <c r="I716" s="439">
        <f>IF(OR(ISBLANK(A716),ISNA(MATCH(A716&amp;"",AthleteNumbers,0))),0,MATCH(A716&amp;"",AthleteNumbers,0))</f>
        <v>0</v>
      </c>
      <c r="J716" s="209">
        <f t="array" ref="J716">IF(I716&gt;0,INDEX(DB,$I716,6),0)</f>
        <v>0</v>
      </c>
      <c r="K716" s="446">
        <f t="shared" si="5"/>
        <v>0</v>
      </c>
      <c r="L716" s="440">
        <f t="shared" si="6"/>
        <v>0</v>
      </c>
      <c r="M716" s="441">
        <f>IF(AND(L716&gt;O716,O716&gt;0),MinPoints,IF(AND(L716&lt;N716,O716&gt;0),100,+INT((O716-$L716)/P716)+MinPoints))</f>
        <v>100</v>
      </c>
      <c r="N716" s="440">
        <f t="shared" si="7"/>
        <v>90</v>
      </c>
      <c r="O716" s="440">
        <f t="shared" si="8"/>
        <v>180</v>
      </c>
      <c r="P716" s="440">
        <f t="shared" si="9"/>
        <v>1</v>
      </c>
      <c r="Q716">
        <f t="array" ref="Q716">IF(I716&gt;0,INDEX(DB,I716,9),EventIndex)</f>
        <v>6</v>
      </c>
      <c r="S716">
        <f t="array" ref="S716">(INT(INDEX(MINVALUES,$Q716,$K$1))*60)+(MOD(INDEX(MINVALUES,$Q716,$K$1),1)*100)</f>
        <v>180</v>
      </c>
      <c r="T716">
        <f t="array" ref="T716">(INDEX(INCVALUES,$Q716,$K$1)*100)</f>
        <v>1</v>
      </c>
      <c r="V716">
        <f t="array" ref="V716">+J716+(4*(INDEX(MatchScoreTable,$Q716,20)-1))</f>
        <v>4</v>
      </c>
      <c r="W716">
        <f t="array" ref="W716">INDEX(INC_MINVALUES,$V716,$K$1)</f>
        <v>480</v>
      </c>
      <c r="X716" s="212">
        <f t="array" ref="X716">INDEX(INC_INCVALUES,$V716,$K$1)</f>
        <v>4</v>
      </c>
    </row>
    <row r="717" ht="15.75" customHeight="1">
      <c r="A717" s="435"/>
      <c r="B717" s="436"/>
      <c r="C717" s="95" t="str">
        <f t="array" ref="C717">IF(I717&gt;0,INDEX(DB,I717,8),"")</f>
        <v/>
      </c>
      <c r="D717" s="437">
        <f t="shared" si="1"/>
        <v>0</v>
      </c>
      <c r="F717" s="438">
        <f t="shared" si="2"/>
        <v>0</v>
      </c>
      <c r="G717" t="str">
        <f t="shared" si="3"/>
        <v/>
      </c>
      <c r="H717" t="b">
        <f t="shared" si="4"/>
        <v>0</v>
      </c>
      <c r="I717" s="439">
        <f>IF(OR(ISBLANK(A717),ISNA(MATCH(A717&amp;"",AthleteNumbers,0))),0,MATCH(A717&amp;"",AthleteNumbers,0))</f>
        <v>0</v>
      </c>
      <c r="J717" s="209">
        <f t="array" ref="J717">IF(I717&gt;0,INDEX(DB,$I717,6),0)</f>
        <v>0</v>
      </c>
      <c r="K717" s="446">
        <f t="shared" si="5"/>
        <v>0</v>
      </c>
      <c r="L717" s="440">
        <f t="shared" si="6"/>
        <v>0</v>
      </c>
      <c r="M717" s="441">
        <f>IF(AND(L717&gt;O717,O717&gt;0),MinPoints,IF(AND(L717&lt;N717,O717&gt;0),100,+INT((O717-$L717)/P717)+MinPoints))</f>
        <v>100</v>
      </c>
      <c r="N717" s="440">
        <f t="shared" si="7"/>
        <v>90</v>
      </c>
      <c r="O717" s="440">
        <f t="shared" si="8"/>
        <v>180</v>
      </c>
      <c r="P717" s="440">
        <f t="shared" si="9"/>
        <v>1</v>
      </c>
      <c r="Q717">
        <f t="array" ref="Q717">IF(I717&gt;0,INDEX(DB,I717,9),EventIndex)</f>
        <v>6</v>
      </c>
      <c r="S717">
        <f t="array" ref="S717">(INT(INDEX(MINVALUES,$Q717,$K$1))*60)+(MOD(INDEX(MINVALUES,$Q717,$K$1),1)*100)</f>
        <v>180</v>
      </c>
      <c r="T717">
        <f t="array" ref="T717">(INDEX(INCVALUES,$Q717,$K$1)*100)</f>
        <v>1</v>
      </c>
      <c r="V717">
        <f t="array" ref="V717">+J717+(4*(INDEX(MatchScoreTable,$Q717,20)-1))</f>
        <v>4</v>
      </c>
      <c r="W717">
        <f t="array" ref="W717">INDEX(INC_MINVALUES,$V717,$K$1)</f>
        <v>480</v>
      </c>
      <c r="X717" s="212">
        <f t="array" ref="X717">INDEX(INC_INCVALUES,$V717,$K$1)</f>
        <v>4</v>
      </c>
    </row>
    <row r="718" ht="15.75" customHeight="1">
      <c r="A718" s="435"/>
      <c r="B718" s="436"/>
      <c r="C718" s="95" t="str">
        <f t="array" ref="C718">IF(I718&gt;0,INDEX(DB,I718,8),"")</f>
        <v/>
      </c>
      <c r="D718" s="437">
        <f t="shared" si="1"/>
        <v>0</v>
      </c>
      <c r="F718" s="438">
        <f t="shared" si="2"/>
        <v>0</v>
      </c>
      <c r="G718" t="str">
        <f t="shared" si="3"/>
        <v/>
      </c>
      <c r="H718" t="b">
        <f t="shared" si="4"/>
        <v>0</v>
      </c>
      <c r="I718" s="439">
        <f>IF(OR(ISBLANK(A718),ISNA(MATCH(A718&amp;"",AthleteNumbers,0))),0,MATCH(A718&amp;"",AthleteNumbers,0))</f>
        <v>0</v>
      </c>
      <c r="J718" s="209">
        <f t="array" ref="J718">IF(I718&gt;0,INDEX(DB,$I718,6),0)</f>
        <v>0</v>
      </c>
      <c r="K718" s="446">
        <f t="shared" si="5"/>
        <v>0</v>
      </c>
      <c r="L718" s="440">
        <f t="shared" si="6"/>
        <v>0</v>
      </c>
      <c r="M718" s="441">
        <f>IF(AND(L718&gt;O718,O718&gt;0),MinPoints,IF(AND(L718&lt;N718,O718&gt;0),100,+INT((O718-$L718)/P718)+MinPoints))</f>
        <v>100</v>
      </c>
      <c r="N718" s="440">
        <f t="shared" si="7"/>
        <v>90</v>
      </c>
      <c r="O718" s="440">
        <f t="shared" si="8"/>
        <v>180</v>
      </c>
      <c r="P718" s="440">
        <f t="shared" si="9"/>
        <v>1</v>
      </c>
      <c r="Q718">
        <f t="array" ref="Q718">IF(I718&gt;0,INDEX(DB,I718,9),EventIndex)</f>
        <v>6</v>
      </c>
      <c r="S718">
        <f t="array" ref="S718">(INT(INDEX(MINVALUES,$Q718,$K$1))*60)+(MOD(INDEX(MINVALUES,$Q718,$K$1),1)*100)</f>
        <v>180</v>
      </c>
      <c r="T718">
        <f t="array" ref="T718">(INDEX(INCVALUES,$Q718,$K$1)*100)</f>
        <v>1</v>
      </c>
      <c r="V718">
        <f t="array" ref="V718">+J718+(4*(INDEX(MatchScoreTable,$Q718,20)-1))</f>
        <v>4</v>
      </c>
      <c r="W718">
        <f t="array" ref="W718">INDEX(INC_MINVALUES,$V718,$K$1)</f>
        <v>480</v>
      </c>
      <c r="X718" s="212">
        <f t="array" ref="X718">INDEX(INC_INCVALUES,$V718,$K$1)</f>
        <v>4</v>
      </c>
    </row>
    <row r="719" ht="15.75" customHeight="1">
      <c r="A719" s="435"/>
      <c r="B719" s="436"/>
      <c r="C719" s="95" t="str">
        <f t="array" ref="C719">IF(I719&gt;0,INDEX(DB,I719,8),"")</f>
        <v/>
      </c>
      <c r="D719" s="437">
        <f t="shared" si="1"/>
        <v>0</v>
      </c>
      <c r="F719" s="438">
        <f t="shared" si="2"/>
        <v>0</v>
      </c>
      <c r="G719" t="str">
        <f t="shared" si="3"/>
        <v/>
      </c>
      <c r="H719" t="b">
        <f t="shared" si="4"/>
        <v>0</v>
      </c>
      <c r="I719" s="439">
        <f>IF(OR(ISBLANK(A719),ISNA(MATCH(A719&amp;"",AthleteNumbers,0))),0,MATCH(A719&amp;"",AthleteNumbers,0))</f>
        <v>0</v>
      </c>
      <c r="J719" s="209">
        <f t="array" ref="J719">IF(I719&gt;0,INDEX(DB,$I719,6),0)</f>
        <v>0</v>
      </c>
      <c r="K719" s="446">
        <f t="shared" si="5"/>
        <v>0</v>
      </c>
      <c r="L719" s="440">
        <f t="shared" si="6"/>
        <v>0</v>
      </c>
      <c r="M719" s="441">
        <f>IF(AND(L719&gt;O719,O719&gt;0),MinPoints,IF(AND(L719&lt;N719,O719&gt;0),100,+INT((O719-$L719)/P719)+MinPoints))</f>
        <v>100</v>
      </c>
      <c r="N719" s="440">
        <f t="shared" si="7"/>
        <v>90</v>
      </c>
      <c r="O719" s="440">
        <f t="shared" si="8"/>
        <v>180</v>
      </c>
      <c r="P719" s="440">
        <f t="shared" si="9"/>
        <v>1</v>
      </c>
      <c r="Q719">
        <f t="array" ref="Q719">IF(I719&gt;0,INDEX(DB,I719,9),EventIndex)</f>
        <v>6</v>
      </c>
      <c r="S719">
        <f t="array" ref="S719">(INT(INDEX(MINVALUES,$Q719,$K$1))*60)+(MOD(INDEX(MINVALUES,$Q719,$K$1),1)*100)</f>
        <v>180</v>
      </c>
      <c r="T719">
        <f t="array" ref="T719">(INDEX(INCVALUES,$Q719,$K$1)*100)</f>
        <v>1</v>
      </c>
      <c r="V719">
        <f t="array" ref="V719">+J719+(4*(INDEX(MatchScoreTable,$Q719,20)-1))</f>
        <v>4</v>
      </c>
      <c r="W719">
        <f t="array" ref="W719">INDEX(INC_MINVALUES,$V719,$K$1)</f>
        <v>480</v>
      </c>
      <c r="X719" s="212">
        <f t="array" ref="X719">INDEX(INC_INCVALUES,$V719,$K$1)</f>
        <v>4</v>
      </c>
    </row>
    <row r="720" ht="15.75" customHeight="1">
      <c r="A720" s="435"/>
      <c r="B720" s="436"/>
      <c r="C720" s="95" t="str">
        <f t="array" ref="C720">IF(I720&gt;0,INDEX(DB,I720,8),"")</f>
        <v/>
      </c>
      <c r="D720" s="437">
        <f t="shared" si="1"/>
        <v>0</v>
      </c>
      <c r="F720" s="438">
        <f t="shared" si="2"/>
        <v>0</v>
      </c>
      <c r="G720" t="str">
        <f t="shared" si="3"/>
        <v/>
      </c>
      <c r="H720" t="b">
        <f t="shared" si="4"/>
        <v>0</v>
      </c>
      <c r="I720" s="439">
        <f>IF(OR(ISBLANK(A720),ISNA(MATCH(A720&amp;"",AthleteNumbers,0))),0,MATCH(A720&amp;"",AthleteNumbers,0))</f>
        <v>0</v>
      </c>
      <c r="J720" s="209">
        <f t="array" ref="J720">IF(I720&gt;0,INDEX(DB,$I720,6),0)</f>
        <v>0</v>
      </c>
      <c r="K720" s="446">
        <f t="shared" si="5"/>
        <v>0</v>
      </c>
      <c r="L720" s="440">
        <f t="shared" si="6"/>
        <v>0</v>
      </c>
      <c r="M720" s="441">
        <f>IF(AND(L720&gt;O720,O720&gt;0),MinPoints,IF(AND(L720&lt;N720,O720&gt;0),100,+INT((O720-$L720)/P720)+MinPoints))</f>
        <v>100</v>
      </c>
      <c r="N720" s="440">
        <f t="shared" si="7"/>
        <v>90</v>
      </c>
      <c r="O720" s="440">
        <f t="shared" si="8"/>
        <v>180</v>
      </c>
      <c r="P720" s="440">
        <f t="shared" si="9"/>
        <v>1</v>
      </c>
      <c r="Q720">
        <f t="array" ref="Q720">IF(I720&gt;0,INDEX(DB,I720,9),EventIndex)</f>
        <v>6</v>
      </c>
      <c r="S720">
        <f t="array" ref="S720">(INT(INDEX(MINVALUES,$Q720,$K$1))*60)+(MOD(INDEX(MINVALUES,$Q720,$K$1),1)*100)</f>
        <v>180</v>
      </c>
      <c r="T720">
        <f t="array" ref="T720">(INDEX(INCVALUES,$Q720,$K$1)*100)</f>
        <v>1</v>
      </c>
      <c r="V720">
        <f t="array" ref="V720">+J720+(4*(INDEX(MatchScoreTable,$Q720,20)-1))</f>
        <v>4</v>
      </c>
      <c r="W720">
        <f t="array" ref="W720">INDEX(INC_MINVALUES,$V720,$K$1)</f>
        <v>480</v>
      </c>
      <c r="X720" s="212">
        <f t="array" ref="X720">INDEX(INC_INCVALUES,$V720,$K$1)</f>
        <v>4</v>
      </c>
    </row>
    <row r="721" ht="15.75" customHeight="1">
      <c r="A721" s="435"/>
      <c r="B721" s="436"/>
      <c r="C721" s="95" t="str">
        <f t="array" ref="C721">IF(I721&gt;0,INDEX(DB,I721,8),"")</f>
        <v/>
      </c>
      <c r="D721" s="437">
        <f t="shared" si="1"/>
        <v>0</v>
      </c>
      <c r="F721" s="438">
        <f t="shared" si="2"/>
        <v>0</v>
      </c>
      <c r="G721" t="str">
        <f t="shared" si="3"/>
        <v/>
      </c>
      <c r="H721" t="b">
        <f t="shared" si="4"/>
        <v>0</v>
      </c>
      <c r="I721" s="439">
        <f>IF(OR(ISBLANK(A721),ISNA(MATCH(A721&amp;"",AthleteNumbers,0))),0,MATCH(A721&amp;"",AthleteNumbers,0))</f>
        <v>0</v>
      </c>
      <c r="J721" s="209">
        <f t="array" ref="J721">IF(I721&gt;0,INDEX(DB,$I721,6),0)</f>
        <v>0</v>
      </c>
      <c r="K721" s="446">
        <f t="shared" si="5"/>
        <v>0</v>
      </c>
      <c r="L721" s="440">
        <f t="shared" si="6"/>
        <v>0</v>
      </c>
      <c r="M721" s="441">
        <f>IF(AND(L721&gt;O721,O721&gt;0),MinPoints,IF(AND(L721&lt;N721,O721&gt;0),100,+INT((O721-$L721)/P721)+MinPoints))</f>
        <v>100</v>
      </c>
      <c r="N721" s="440">
        <f t="shared" si="7"/>
        <v>90</v>
      </c>
      <c r="O721" s="440">
        <f t="shared" si="8"/>
        <v>180</v>
      </c>
      <c r="P721" s="440">
        <f t="shared" si="9"/>
        <v>1</v>
      </c>
      <c r="Q721">
        <f t="array" ref="Q721">IF(I721&gt;0,INDEX(DB,I721,9),EventIndex)</f>
        <v>6</v>
      </c>
      <c r="S721">
        <f t="array" ref="S721">(INT(INDEX(MINVALUES,$Q721,$K$1))*60)+(MOD(INDEX(MINVALUES,$Q721,$K$1),1)*100)</f>
        <v>180</v>
      </c>
      <c r="T721">
        <f t="array" ref="T721">(INDEX(INCVALUES,$Q721,$K$1)*100)</f>
        <v>1</v>
      </c>
      <c r="V721">
        <f t="array" ref="V721">+J721+(4*(INDEX(MatchScoreTable,$Q721,20)-1))</f>
        <v>4</v>
      </c>
      <c r="W721">
        <f t="array" ref="W721">INDEX(INC_MINVALUES,$V721,$K$1)</f>
        <v>480</v>
      </c>
      <c r="X721" s="212">
        <f t="array" ref="X721">INDEX(INC_INCVALUES,$V721,$K$1)</f>
        <v>4</v>
      </c>
    </row>
    <row r="722" ht="15.75" customHeight="1">
      <c r="A722" s="435"/>
      <c r="B722" s="436"/>
      <c r="C722" s="95" t="str">
        <f t="array" ref="C722">IF(I722&gt;0,INDEX(DB,I722,8),"")</f>
        <v/>
      </c>
      <c r="D722" s="437">
        <f t="shared" si="1"/>
        <v>0</v>
      </c>
      <c r="F722" s="438">
        <f t="shared" si="2"/>
        <v>0</v>
      </c>
      <c r="G722" t="str">
        <f t="shared" si="3"/>
        <v/>
      </c>
      <c r="H722" t="b">
        <f t="shared" si="4"/>
        <v>0</v>
      </c>
      <c r="I722" s="439">
        <f>IF(OR(ISBLANK(A722),ISNA(MATCH(A722&amp;"",AthleteNumbers,0))),0,MATCH(A722&amp;"",AthleteNumbers,0))</f>
        <v>0</v>
      </c>
      <c r="J722" s="209">
        <f t="array" ref="J722">IF(I722&gt;0,INDEX(DB,$I722,6),0)</f>
        <v>0</v>
      </c>
      <c r="K722" s="446">
        <f t="shared" si="5"/>
        <v>0</v>
      </c>
      <c r="L722" s="440">
        <f t="shared" si="6"/>
        <v>0</v>
      </c>
      <c r="M722" s="441">
        <f>IF(AND(L722&gt;O722,O722&gt;0),MinPoints,IF(AND(L722&lt;N722,O722&gt;0),100,+INT((O722-$L722)/P722)+MinPoints))</f>
        <v>100</v>
      </c>
      <c r="N722" s="440">
        <f t="shared" si="7"/>
        <v>90</v>
      </c>
      <c r="O722" s="440">
        <f t="shared" si="8"/>
        <v>180</v>
      </c>
      <c r="P722" s="440">
        <f t="shared" si="9"/>
        <v>1</v>
      </c>
      <c r="Q722">
        <f t="array" ref="Q722">IF(I722&gt;0,INDEX(DB,I722,9),EventIndex)</f>
        <v>6</v>
      </c>
      <c r="S722">
        <f t="array" ref="S722">(INT(INDEX(MINVALUES,$Q722,$K$1))*60)+(MOD(INDEX(MINVALUES,$Q722,$K$1),1)*100)</f>
        <v>180</v>
      </c>
      <c r="T722">
        <f t="array" ref="T722">(INDEX(INCVALUES,$Q722,$K$1)*100)</f>
        <v>1</v>
      </c>
      <c r="V722">
        <f t="array" ref="V722">+J722+(4*(INDEX(MatchScoreTable,$Q722,20)-1))</f>
        <v>4</v>
      </c>
      <c r="W722">
        <f t="array" ref="W722">INDEX(INC_MINVALUES,$V722,$K$1)</f>
        <v>480</v>
      </c>
      <c r="X722" s="212">
        <f t="array" ref="X722">INDEX(INC_INCVALUES,$V722,$K$1)</f>
        <v>4</v>
      </c>
    </row>
    <row r="723" ht="15.75" customHeight="1">
      <c r="A723" s="435"/>
      <c r="B723" s="436"/>
      <c r="C723" s="95" t="str">
        <f t="array" ref="C723">IF(I723&gt;0,INDEX(DB,I723,8),"")</f>
        <v/>
      </c>
      <c r="D723" s="437">
        <f t="shared" si="1"/>
        <v>0</v>
      </c>
      <c r="F723" s="438">
        <f t="shared" si="2"/>
        <v>0</v>
      </c>
      <c r="G723" t="str">
        <f t="shared" si="3"/>
        <v/>
      </c>
      <c r="H723" t="b">
        <f t="shared" si="4"/>
        <v>0</v>
      </c>
      <c r="I723" s="439">
        <f>IF(OR(ISBLANK(A723),ISNA(MATCH(A723&amp;"",AthleteNumbers,0))),0,MATCH(A723&amp;"",AthleteNumbers,0))</f>
        <v>0</v>
      </c>
      <c r="J723" s="209">
        <f t="array" ref="J723">IF(I723&gt;0,INDEX(DB,$I723,6),0)</f>
        <v>0</v>
      </c>
      <c r="K723" s="446">
        <f t="shared" si="5"/>
        <v>0</v>
      </c>
      <c r="L723" s="440">
        <f t="shared" si="6"/>
        <v>0</v>
      </c>
      <c r="M723" s="441">
        <f>IF(AND(L723&gt;O723,O723&gt;0),MinPoints,IF(AND(L723&lt;N723,O723&gt;0),100,+INT((O723-$L723)/P723)+MinPoints))</f>
        <v>100</v>
      </c>
      <c r="N723" s="440">
        <f t="shared" si="7"/>
        <v>90</v>
      </c>
      <c r="O723" s="440">
        <f t="shared" si="8"/>
        <v>180</v>
      </c>
      <c r="P723" s="440">
        <f t="shared" si="9"/>
        <v>1</v>
      </c>
      <c r="Q723">
        <f t="array" ref="Q723">IF(I723&gt;0,INDEX(DB,I723,9),EventIndex)</f>
        <v>6</v>
      </c>
      <c r="S723">
        <f t="array" ref="S723">(INT(INDEX(MINVALUES,$Q723,$K$1))*60)+(MOD(INDEX(MINVALUES,$Q723,$K$1),1)*100)</f>
        <v>180</v>
      </c>
      <c r="T723">
        <f t="array" ref="T723">(INDEX(INCVALUES,$Q723,$K$1)*100)</f>
        <v>1</v>
      </c>
      <c r="V723">
        <f t="array" ref="V723">+J723+(4*(INDEX(MatchScoreTable,$Q723,20)-1))</f>
        <v>4</v>
      </c>
      <c r="W723">
        <f t="array" ref="W723">INDEX(INC_MINVALUES,$V723,$K$1)</f>
        <v>480</v>
      </c>
      <c r="X723" s="212">
        <f t="array" ref="X723">INDEX(INC_INCVALUES,$V723,$K$1)</f>
        <v>4</v>
      </c>
    </row>
    <row r="724" ht="15.75" customHeight="1">
      <c r="A724" s="435"/>
      <c r="B724" s="436"/>
      <c r="C724" s="95" t="str">
        <f t="array" ref="C724">IF(I724&gt;0,INDEX(DB,I724,8),"")</f>
        <v/>
      </c>
      <c r="D724" s="437">
        <f t="shared" si="1"/>
        <v>0</v>
      </c>
      <c r="F724" s="438">
        <f t="shared" si="2"/>
        <v>0</v>
      </c>
      <c r="G724" t="str">
        <f t="shared" si="3"/>
        <v/>
      </c>
      <c r="H724" t="b">
        <f t="shared" si="4"/>
        <v>0</v>
      </c>
      <c r="I724" s="439">
        <f>IF(OR(ISBLANK(A724),ISNA(MATCH(A724&amp;"",AthleteNumbers,0))),0,MATCH(A724&amp;"",AthleteNumbers,0))</f>
        <v>0</v>
      </c>
      <c r="J724" s="209">
        <f t="array" ref="J724">IF(I724&gt;0,INDEX(DB,$I724,6),0)</f>
        <v>0</v>
      </c>
      <c r="K724" s="446">
        <f t="shared" si="5"/>
        <v>0</v>
      </c>
      <c r="L724" s="440">
        <f t="shared" si="6"/>
        <v>0</v>
      </c>
      <c r="M724" s="441">
        <f>IF(AND(L724&gt;O724,O724&gt;0),MinPoints,IF(AND(L724&lt;N724,O724&gt;0),100,+INT((O724-$L724)/P724)+MinPoints))</f>
        <v>100</v>
      </c>
      <c r="N724" s="440">
        <f t="shared" si="7"/>
        <v>90</v>
      </c>
      <c r="O724" s="440">
        <f t="shared" si="8"/>
        <v>180</v>
      </c>
      <c r="P724" s="440">
        <f t="shared" si="9"/>
        <v>1</v>
      </c>
      <c r="Q724">
        <f t="array" ref="Q724">IF(I724&gt;0,INDEX(DB,I724,9),EventIndex)</f>
        <v>6</v>
      </c>
      <c r="S724">
        <f t="array" ref="S724">(INT(INDEX(MINVALUES,$Q724,$K$1))*60)+(MOD(INDEX(MINVALUES,$Q724,$K$1),1)*100)</f>
        <v>180</v>
      </c>
      <c r="T724">
        <f t="array" ref="T724">(INDEX(INCVALUES,$Q724,$K$1)*100)</f>
        <v>1</v>
      </c>
      <c r="V724">
        <f t="array" ref="V724">+J724+(4*(INDEX(MatchScoreTable,$Q724,20)-1))</f>
        <v>4</v>
      </c>
      <c r="W724">
        <f t="array" ref="W724">INDEX(INC_MINVALUES,$V724,$K$1)</f>
        <v>480</v>
      </c>
      <c r="X724" s="212">
        <f t="array" ref="X724">INDEX(INC_INCVALUES,$V724,$K$1)</f>
        <v>4</v>
      </c>
    </row>
    <row r="725" ht="15.75" customHeight="1">
      <c r="A725" s="435"/>
      <c r="B725" s="436"/>
      <c r="C725" s="95" t="str">
        <f t="array" ref="C725">IF(I725&gt;0,INDEX(DB,I725,8),"")</f>
        <v/>
      </c>
      <c r="D725" s="437">
        <f t="shared" si="1"/>
        <v>0</v>
      </c>
      <c r="F725" s="438">
        <f t="shared" si="2"/>
        <v>0</v>
      </c>
      <c r="G725" t="str">
        <f t="shared" si="3"/>
        <v/>
      </c>
      <c r="H725" t="b">
        <f t="shared" si="4"/>
        <v>0</v>
      </c>
      <c r="I725" s="439">
        <f>IF(OR(ISBLANK(A725),ISNA(MATCH(A725&amp;"",AthleteNumbers,0))),0,MATCH(A725&amp;"",AthleteNumbers,0))</f>
        <v>0</v>
      </c>
      <c r="J725" s="209">
        <f t="array" ref="J725">IF(I725&gt;0,INDEX(DB,$I725,6),0)</f>
        <v>0</v>
      </c>
      <c r="K725" s="446">
        <f t="shared" si="5"/>
        <v>0</v>
      </c>
      <c r="L725" s="440">
        <f t="shared" si="6"/>
        <v>0</v>
      </c>
      <c r="M725" s="441">
        <f>IF(AND(L725&gt;O725,O725&gt;0),MinPoints,IF(AND(L725&lt;N725,O725&gt;0),100,+INT((O725-$L725)/P725)+MinPoints))</f>
        <v>100</v>
      </c>
      <c r="N725" s="440">
        <f t="shared" si="7"/>
        <v>90</v>
      </c>
      <c r="O725" s="440">
        <f t="shared" si="8"/>
        <v>180</v>
      </c>
      <c r="P725" s="440">
        <f t="shared" si="9"/>
        <v>1</v>
      </c>
      <c r="Q725">
        <f t="array" ref="Q725">IF(I725&gt;0,INDEX(DB,I725,9),EventIndex)</f>
        <v>6</v>
      </c>
      <c r="S725">
        <f t="array" ref="S725">(INT(INDEX(MINVALUES,$Q725,$K$1))*60)+(MOD(INDEX(MINVALUES,$Q725,$K$1),1)*100)</f>
        <v>180</v>
      </c>
      <c r="T725">
        <f t="array" ref="T725">(INDEX(INCVALUES,$Q725,$K$1)*100)</f>
        <v>1</v>
      </c>
      <c r="V725">
        <f t="array" ref="V725">+J725+(4*(INDEX(MatchScoreTable,$Q725,20)-1))</f>
        <v>4</v>
      </c>
      <c r="W725">
        <f t="array" ref="W725">INDEX(INC_MINVALUES,$V725,$K$1)</f>
        <v>480</v>
      </c>
      <c r="X725" s="212">
        <f t="array" ref="X725">INDEX(INC_INCVALUES,$V725,$K$1)</f>
        <v>4</v>
      </c>
    </row>
    <row r="726" ht="15.75" customHeight="1">
      <c r="A726" s="435"/>
      <c r="B726" s="436"/>
      <c r="C726" s="95" t="str">
        <f t="array" ref="C726">IF(I726&gt;0,INDEX(DB,I726,8),"")</f>
        <v/>
      </c>
      <c r="D726" s="437">
        <f t="shared" si="1"/>
        <v>0</v>
      </c>
      <c r="F726" s="438">
        <f t="shared" si="2"/>
        <v>0</v>
      </c>
      <c r="G726" t="str">
        <f t="shared" si="3"/>
        <v/>
      </c>
      <c r="H726" t="b">
        <f t="shared" si="4"/>
        <v>0</v>
      </c>
      <c r="I726" s="439">
        <f>IF(OR(ISBLANK(A726),ISNA(MATCH(A726&amp;"",AthleteNumbers,0))),0,MATCH(A726&amp;"",AthleteNumbers,0))</f>
        <v>0</v>
      </c>
      <c r="J726" s="209">
        <f t="array" ref="J726">IF(I726&gt;0,INDEX(DB,$I726,6),0)</f>
        <v>0</v>
      </c>
      <c r="K726" s="446">
        <f t="shared" si="5"/>
        <v>0</v>
      </c>
      <c r="L726" s="440">
        <f t="shared" si="6"/>
        <v>0</v>
      </c>
      <c r="M726" s="441">
        <f>IF(AND(L726&gt;O726,O726&gt;0),MinPoints,IF(AND(L726&lt;N726,O726&gt;0),100,+INT((O726-$L726)/P726)+MinPoints))</f>
        <v>100</v>
      </c>
      <c r="N726" s="440">
        <f t="shared" si="7"/>
        <v>90</v>
      </c>
      <c r="O726" s="440">
        <f t="shared" si="8"/>
        <v>180</v>
      </c>
      <c r="P726" s="440">
        <f t="shared" si="9"/>
        <v>1</v>
      </c>
      <c r="Q726">
        <f t="array" ref="Q726">IF(I726&gt;0,INDEX(DB,I726,9),EventIndex)</f>
        <v>6</v>
      </c>
      <c r="S726">
        <f t="array" ref="S726">(INT(INDEX(MINVALUES,$Q726,$K$1))*60)+(MOD(INDEX(MINVALUES,$Q726,$K$1),1)*100)</f>
        <v>180</v>
      </c>
      <c r="T726">
        <f t="array" ref="T726">(INDEX(INCVALUES,$Q726,$K$1)*100)</f>
        <v>1</v>
      </c>
      <c r="V726">
        <f t="array" ref="V726">+J726+(4*(INDEX(MatchScoreTable,$Q726,20)-1))</f>
        <v>4</v>
      </c>
      <c r="W726">
        <f t="array" ref="W726">INDEX(INC_MINVALUES,$V726,$K$1)</f>
        <v>480</v>
      </c>
      <c r="X726" s="212">
        <f t="array" ref="X726">INDEX(INC_INCVALUES,$V726,$K$1)</f>
        <v>4</v>
      </c>
    </row>
    <row r="727" ht="15.75" customHeight="1">
      <c r="A727" s="435"/>
      <c r="B727" s="436"/>
      <c r="C727" s="95" t="str">
        <f t="array" ref="C727">IF(I727&gt;0,INDEX(DB,I727,8),"")</f>
        <v/>
      </c>
      <c r="D727" s="437">
        <f t="shared" si="1"/>
        <v>0</v>
      </c>
      <c r="F727" s="438">
        <f t="shared" si="2"/>
        <v>0</v>
      </c>
      <c r="G727" t="str">
        <f t="shared" si="3"/>
        <v/>
      </c>
      <c r="H727" t="b">
        <f t="shared" si="4"/>
        <v>0</v>
      </c>
      <c r="I727" s="439">
        <f>IF(OR(ISBLANK(A727),ISNA(MATCH(A727&amp;"",AthleteNumbers,0))),0,MATCH(A727&amp;"",AthleteNumbers,0))</f>
        <v>0</v>
      </c>
      <c r="J727" s="209">
        <f t="array" ref="J727">IF(I727&gt;0,INDEX(DB,$I727,6),0)</f>
        <v>0</v>
      </c>
      <c r="K727" s="446">
        <f t="shared" si="5"/>
        <v>0</v>
      </c>
      <c r="L727" s="440">
        <f t="shared" si="6"/>
        <v>0</v>
      </c>
      <c r="M727" s="441">
        <f>IF(AND(L727&gt;O727,O727&gt;0),MinPoints,IF(AND(L727&lt;N727,O727&gt;0),100,+INT((O727-$L727)/P727)+MinPoints))</f>
        <v>100</v>
      </c>
      <c r="N727" s="440">
        <f t="shared" si="7"/>
        <v>90</v>
      </c>
      <c r="O727" s="440">
        <f t="shared" si="8"/>
        <v>180</v>
      </c>
      <c r="P727" s="440">
        <f t="shared" si="9"/>
        <v>1</v>
      </c>
      <c r="Q727">
        <f t="array" ref="Q727">IF(I727&gt;0,INDEX(DB,I727,9),EventIndex)</f>
        <v>6</v>
      </c>
      <c r="S727">
        <f t="array" ref="S727">(INT(INDEX(MINVALUES,$Q727,$K$1))*60)+(MOD(INDEX(MINVALUES,$Q727,$K$1),1)*100)</f>
        <v>180</v>
      </c>
      <c r="T727">
        <f t="array" ref="T727">(INDEX(INCVALUES,$Q727,$K$1)*100)</f>
        <v>1</v>
      </c>
      <c r="V727">
        <f t="array" ref="V727">+J727+(4*(INDEX(MatchScoreTable,$Q727,20)-1))</f>
        <v>4</v>
      </c>
      <c r="W727">
        <f t="array" ref="W727">INDEX(INC_MINVALUES,$V727,$K$1)</f>
        <v>480</v>
      </c>
      <c r="X727" s="212">
        <f t="array" ref="X727">INDEX(INC_INCVALUES,$V727,$K$1)</f>
        <v>4</v>
      </c>
    </row>
    <row r="728" ht="15.75" customHeight="1">
      <c r="A728" s="435"/>
      <c r="B728" s="436"/>
      <c r="C728" s="95" t="str">
        <f t="array" ref="C728">IF(I728&gt;0,INDEX(DB,I728,8),"")</f>
        <v/>
      </c>
      <c r="D728" s="437">
        <f t="shared" si="1"/>
        <v>0</v>
      </c>
      <c r="F728" s="438">
        <f t="shared" si="2"/>
        <v>0</v>
      </c>
      <c r="G728" t="str">
        <f t="shared" si="3"/>
        <v/>
      </c>
      <c r="H728" t="b">
        <f t="shared" si="4"/>
        <v>0</v>
      </c>
      <c r="I728" s="439">
        <f>IF(OR(ISBLANK(A728),ISNA(MATCH(A728&amp;"",AthleteNumbers,0))),0,MATCH(A728&amp;"",AthleteNumbers,0))</f>
        <v>0</v>
      </c>
      <c r="J728" s="209">
        <f t="array" ref="J728">IF(I728&gt;0,INDEX(DB,$I728,6),0)</f>
        <v>0</v>
      </c>
      <c r="K728" s="446">
        <f t="shared" si="5"/>
        <v>0</v>
      </c>
      <c r="L728" s="440">
        <f t="shared" si="6"/>
        <v>0</v>
      </c>
      <c r="M728" s="441">
        <f>IF(AND(L728&gt;O728,O728&gt;0),MinPoints,IF(AND(L728&lt;N728,O728&gt;0),100,+INT((O728-$L728)/P728)+MinPoints))</f>
        <v>100</v>
      </c>
      <c r="N728" s="440">
        <f t="shared" si="7"/>
        <v>90</v>
      </c>
      <c r="O728" s="440">
        <f t="shared" si="8"/>
        <v>180</v>
      </c>
      <c r="P728" s="440">
        <f t="shared" si="9"/>
        <v>1</v>
      </c>
      <c r="Q728">
        <f t="array" ref="Q728">IF(I728&gt;0,INDEX(DB,I728,9),EventIndex)</f>
        <v>6</v>
      </c>
      <c r="S728">
        <f t="array" ref="S728">(INT(INDEX(MINVALUES,$Q728,$K$1))*60)+(MOD(INDEX(MINVALUES,$Q728,$K$1),1)*100)</f>
        <v>180</v>
      </c>
      <c r="T728">
        <f t="array" ref="T728">(INDEX(INCVALUES,$Q728,$K$1)*100)</f>
        <v>1</v>
      </c>
      <c r="V728">
        <f t="array" ref="V728">+J728+(4*(INDEX(MatchScoreTable,$Q728,20)-1))</f>
        <v>4</v>
      </c>
      <c r="W728">
        <f t="array" ref="W728">INDEX(INC_MINVALUES,$V728,$K$1)</f>
        <v>480</v>
      </c>
      <c r="X728" s="212">
        <f t="array" ref="X728">INDEX(INC_INCVALUES,$V728,$K$1)</f>
        <v>4</v>
      </c>
    </row>
    <row r="729" ht="15.75" customHeight="1">
      <c r="A729" s="435"/>
      <c r="B729" s="436"/>
      <c r="C729" s="95" t="str">
        <f t="array" ref="C729">IF(I729&gt;0,INDEX(DB,I729,8),"")</f>
        <v/>
      </c>
      <c r="D729" s="437">
        <f t="shared" si="1"/>
        <v>0</v>
      </c>
      <c r="F729" s="438">
        <f t="shared" si="2"/>
        <v>0</v>
      </c>
      <c r="G729" t="str">
        <f t="shared" si="3"/>
        <v/>
      </c>
      <c r="H729" t="b">
        <f t="shared" si="4"/>
        <v>0</v>
      </c>
      <c r="I729" s="439">
        <f>IF(OR(ISBLANK(A729),ISNA(MATCH(A729&amp;"",AthleteNumbers,0))),0,MATCH(A729&amp;"",AthleteNumbers,0))</f>
        <v>0</v>
      </c>
      <c r="J729" s="209">
        <f t="array" ref="J729">IF(I729&gt;0,INDEX(DB,$I729,6),0)</f>
        <v>0</v>
      </c>
      <c r="K729" s="446">
        <f t="shared" si="5"/>
        <v>0</v>
      </c>
      <c r="L729" s="440">
        <f t="shared" si="6"/>
        <v>0</v>
      </c>
      <c r="M729" s="441">
        <f>IF(AND(L729&gt;O729,O729&gt;0),MinPoints,IF(AND(L729&lt;N729,O729&gt;0),100,+INT((O729-$L729)/P729)+MinPoints))</f>
        <v>100</v>
      </c>
      <c r="N729" s="440">
        <f t="shared" si="7"/>
        <v>90</v>
      </c>
      <c r="O729" s="440">
        <f t="shared" si="8"/>
        <v>180</v>
      </c>
      <c r="P729" s="440">
        <f t="shared" si="9"/>
        <v>1</v>
      </c>
      <c r="Q729">
        <f t="array" ref="Q729">IF(I729&gt;0,INDEX(DB,I729,9),EventIndex)</f>
        <v>6</v>
      </c>
      <c r="S729">
        <f t="array" ref="S729">(INT(INDEX(MINVALUES,$Q729,$K$1))*60)+(MOD(INDEX(MINVALUES,$Q729,$K$1),1)*100)</f>
        <v>180</v>
      </c>
      <c r="T729">
        <f t="array" ref="T729">(INDEX(INCVALUES,$Q729,$K$1)*100)</f>
        <v>1</v>
      </c>
      <c r="V729">
        <f t="array" ref="V729">+J729+(4*(INDEX(MatchScoreTable,$Q729,20)-1))</f>
        <v>4</v>
      </c>
      <c r="W729">
        <f t="array" ref="W729">INDEX(INC_MINVALUES,$V729,$K$1)</f>
        <v>480</v>
      </c>
      <c r="X729" s="212">
        <f t="array" ref="X729">INDEX(INC_INCVALUES,$V729,$K$1)</f>
        <v>4</v>
      </c>
    </row>
    <row r="730" ht="15.75" customHeight="1">
      <c r="A730" s="435"/>
      <c r="B730" s="436"/>
      <c r="C730" s="95" t="str">
        <f t="array" ref="C730">IF(I730&gt;0,INDEX(DB,I730,8),"")</f>
        <v/>
      </c>
      <c r="D730" s="437">
        <f t="shared" si="1"/>
        <v>0</v>
      </c>
      <c r="F730" s="438">
        <f t="shared" si="2"/>
        <v>0</v>
      </c>
      <c r="G730" t="str">
        <f t="shared" si="3"/>
        <v/>
      </c>
      <c r="H730" t="b">
        <f t="shared" si="4"/>
        <v>0</v>
      </c>
      <c r="I730" s="439">
        <f>IF(OR(ISBLANK(A730),ISNA(MATCH(A730&amp;"",AthleteNumbers,0))),0,MATCH(A730&amp;"",AthleteNumbers,0))</f>
        <v>0</v>
      </c>
      <c r="J730" s="209">
        <f t="array" ref="J730">IF(I730&gt;0,INDEX(DB,$I730,6),0)</f>
        <v>0</v>
      </c>
      <c r="K730" s="446">
        <f t="shared" si="5"/>
        <v>0</v>
      </c>
      <c r="L730" s="440">
        <f t="shared" si="6"/>
        <v>0</v>
      </c>
      <c r="M730" s="441">
        <f>IF(AND(L730&gt;O730,O730&gt;0),MinPoints,IF(AND(L730&lt;N730,O730&gt;0),100,+INT((O730-$L730)/P730)+MinPoints))</f>
        <v>100</v>
      </c>
      <c r="N730" s="440">
        <f t="shared" si="7"/>
        <v>90</v>
      </c>
      <c r="O730" s="440">
        <f t="shared" si="8"/>
        <v>180</v>
      </c>
      <c r="P730" s="440">
        <f t="shared" si="9"/>
        <v>1</v>
      </c>
      <c r="Q730">
        <f t="array" ref="Q730">IF(I730&gt;0,INDEX(DB,I730,9),EventIndex)</f>
        <v>6</v>
      </c>
      <c r="S730">
        <f t="array" ref="S730">(INT(INDEX(MINVALUES,$Q730,$K$1))*60)+(MOD(INDEX(MINVALUES,$Q730,$K$1),1)*100)</f>
        <v>180</v>
      </c>
      <c r="T730">
        <f t="array" ref="T730">(INDEX(INCVALUES,$Q730,$K$1)*100)</f>
        <v>1</v>
      </c>
      <c r="V730">
        <f t="array" ref="V730">+J730+(4*(INDEX(MatchScoreTable,$Q730,20)-1))</f>
        <v>4</v>
      </c>
      <c r="W730">
        <f t="array" ref="W730">INDEX(INC_MINVALUES,$V730,$K$1)</f>
        <v>480</v>
      </c>
      <c r="X730" s="212">
        <f t="array" ref="X730">INDEX(INC_INCVALUES,$V730,$K$1)</f>
        <v>4</v>
      </c>
    </row>
    <row r="731" ht="15.75" customHeight="1">
      <c r="A731" s="435"/>
      <c r="B731" s="436"/>
      <c r="C731" s="95" t="str">
        <f t="array" ref="C731">IF(I731&gt;0,INDEX(DB,I731,8),"")</f>
        <v/>
      </c>
      <c r="D731" s="437">
        <f t="shared" si="1"/>
        <v>0</v>
      </c>
      <c r="F731" s="438">
        <f t="shared" si="2"/>
        <v>0</v>
      </c>
      <c r="G731" t="str">
        <f t="shared" si="3"/>
        <v/>
      </c>
      <c r="H731" t="b">
        <f t="shared" si="4"/>
        <v>0</v>
      </c>
      <c r="I731" s="439">
        <f>IF(OR(ISBLANK(A731),ISNA(MATCH(A731&amp;"",AthleteNumbers,0))),0,MATCH(A731&amp;"",AthleteNumbers,0))</f>
        <v>0</v>
      </c>
      <c r="J731" s="209">
        <f t="array" ref="J731">IF(I731&gt;0,INDEX(DB,$I731,6),0)</f>
        <v>0</v>
      </c>
      <c r="K731" s="446">
        <f t="shared" si="5"/>
        <v>0</v>
      </c>
      <c r="L731" s="440">
        <f t="shared" si="6"/>
        <v>0</v>
      </c>
      <c r="M731" s="441">
        <f>IF(AND(L731&gt;O731,O731&gt;0),MinPoints,IF(AND(L731&lt;N731,O731&gt;0),100,+INT((O731-$L731)/P731)+MinPoints))</f>
        <v>100</v>
      </c>
      <c r="N731" s="440">
        <f t="shared" si="7"/>
        <v>90</v>
      </c>
      <c r="O731" s="440">
        <f t="shared" si="8"/>
        <v>180</v>
      </c>
      <c r="P731" s="440">
        <f t="shared" si="9"/>
        <v>1</v>
      </c>
      <c r="Q731">
        <f t="array" ref="Q731">IF(I731&gt;0,INDEX(DB,I731,9),EventIndex)</f>
        <v>6</v>
      </c>
      <c r="S731">
        <f t="array" ref="S731">(INT(INDEX(MINVALUES,$Q731,$K$1))*60)+(MOD(INDEX(MINVALUES,$Q731,$K$1),1)*100)</f>
        <v>180</v>
      </c>
      <c r="T731">
        <f t="array" ref="T731">(INDEX(INCVALUES,$Q731,$K$1)*100)</f>
        <v>1</v>
      </c>
      <c r="V731">
        <f t="array" ref="V731">+J731+(4*(INDEX(MatchScoreTable,$Q731,20)-1))</f>
        <v>4</v>
      </c>
      <c r="W731">
        <f t="array" ref="W731">INDEX(INC_MINVALUES,$V731,$K$1)</f>
        <v>480</v>
      </c>
      <c r="X731" s="212">
        <f t="array" ref="X731">INDEX(INC_INCVALUES,$V731,$K$1)</f>
        <v>4</v>
      </c>
    </row>
    <row r="732" ht="15.75" customHeight="1">
      <c r="A732" s="435"/>
      <c r="B732" s="436"/>
      <c r="C732" s="95" t="str">
        <f t="array" ref="C732">IF(I732&gt;0,INDEX(DB,I732,8),"")</f>
        <v/>
      </c>
      <c r="D732" s="437">
        <f t="shared" si="1"/>
        <v>0</v>
      </c>
      <c r="F732" s="438">
        <f t="shared" si="2"/>
        <v>0</v>
      </c>
      <c r="G732" t="str">
        <f t="shared" si="3"/>
        <v/>
      </c>
      <c r="H732" t="b">
        <f t="shared" si="4"/>
        <v>0</v>
      </c>
      <c r="I732" s="439">
        <f>IF(OR(ISBLANK(A732),ISNA(MATCH(A732&amp;"",AthleteNumbers,0))),0,MATCH(A732&amp;"",AthleteNumbers,0))</f>
        <v>0</v>
      </c>
      <c r="J732" s="209">
        <f t="array" ref="J732">IF(I732&gt;0,INDEX(DB,$I732,6),0)</f>
        <v>0</v>
      </c>
      <c r="K732" s="446">
        <f t="shared" si="5"/>
        <v>0</v>
      </c>
      <c r="L732" s="440">
        <f t="shared" si="6"/>
        <v>0</v>
      </c>
      <c r="M732" s="441">
        <f>IF(AND(L732&gt;O732,O732&gt;0),MinPoints,IF(AND(L732&lt;N732,O732&gt;0),100,+INT((O732-$L732)/P732)+MinPoints))</f>
        <v>100</v>
      </c>
      <c r="N732" s="440">
        <f t="shared" si="7"/>
        <v>90</v>
      </c>
      <c r="O732" s="440">
        <f t="shared" si="8"/>
        <v>180</v>
      </c>
      <c r="P732" s="440">
        <f t="shared" si="9"/>
        <v>1</v>
      </c>
      <c r="Q732">
        <f t="array" ref="Q732">IF(I732&gt;0,INDEX(DB,I732,9),EventIndex)</f>
        <v>6</v>
      </c>
      <c r="S732">
        <f t="array" ref="S732">(INT(INDEX(MINVALUES,$Q732,$K$1))*60)+(MOD(INDEX(MINVALUES,$Q732,$K$1),1)*100)</f>
        <v>180</v>
      </c>
      <c r="T732">
        <f t="array" ref="T732">(INDEX(INCVALUES,$Q732,$K$1)*100)</f>
        <v>1</v>
      </c>
      <c r="V732">
        <f t="array" ref="V732">+J732+(4*(INDEX(MatchScoreTable,$Q732,20)-1))</f>
        <v>4</v>
      </c>
      <c r="W732">
        <f t="array" ref="W732">INDEX(INC_MINVALUES,$V732,$K$1)</f>
        <v>480</v>
      </c>
      <c r="X732" s="212">
        <f t="array" ref="X732">INDEX(INC_INCVALUES,$V732,$K$1)</f>
        <v>4</v>
      </c>
    </row>
    <row r="733" ht="15.75" customHeight="1">
      <c r="A733" s="435"/>
      <c r="B733" s="436"/>
      <c r="C733" s="95" t="str">
        <f t="array" ref="C733">IF(I733&gt;0,INDEX(DB,I733,8),"")</f>
        <v/>
      </c>
      <c r="D733" s="437">
        <f t="shared" si="1"/>
        <v>0</v>
      </c>
      <c r="F733" s="438">
        <f t="shared" si="2"/>
        <v>0</v>
      </c>
      <c r="G733" t="str">
        <f t="shared" si="3"/>
        <v/>
      </c>
      <c r="H733" t="b">
        <f t="shared" si="4"/>
        <v>0</v>
      </c>
      <c r="I733" s="439">
        <f>IF(OR(ISBLANK(A733),ISNA(MATCH(A733&amp;"",AthleteNumbers,0))),0,MATCH(A733&amp;"",AthleteNumbers,0))</f>
        <v>0</v>
      </c>
      <c r="J733" s="209">
        <f t="array" ref="J733">IF(I733&gt;0,INDEX(DB,$I733,6),0)</f>
        <v>0</v>
      </c>
      <c r="K733" s="446">
        <f t="shared" si="5"/>
        <v>0</v>
      </c>
      <c r="L733" s="440">
        <f t="shared" si="6"/>
        <v>0</v>
      </c>
      <c r="M733" s="441">
        <f>IF(AND(L733&gt;O733,O733&gt;0),MinPoints,IF(AND(L733&lt;N733,O733&gt;0),100,+INT((O733-$L733)/P733)+MinPoints))</f>
        <v>100</v>
      </c>
      <c r="N733" s="440">
        <f t="shared" si="7"/>
        <v>90</v>
      </c>
      <c r="O733" s="440">
        <f t="shared" si="8"/>
        <v>180</v>
      </c>
      <c r="P733" s="440">
        <f t="shared" si="9"/>
        <v>1</v>
      </c>
      <c r="Q733">
        <f t="array" ref="Q733">IF(I733&gt;0,INDEX(DB,I733,9),EventIndex)</f>
        <v>6</v>
      </c>
      <c r="S733">
        <f t="array" ref="S733">(INT(INDEX(MINVALUES,$Q733,$K$1))*60)+(MOD(INDEX(MINVALUES,$Q733,$K$1),1)*100)</f>
        <v>180</v>
      </c>
      <c r="T733">
        <f t="array" ref="T733">(INDEX(INCVALUES,$Q733,$K$1)*100)</f>
        <v>1</v>
      </c>
      <c r="V733">
        <f t="array" ref="V733">+J733+(4*(INDEX(MatchScoreTable,$Q733,20)-1))</f>
        <v>4</v>
      </c>
      <c r="W733">
        <f t="array" ref="W733">INDEX(INC_MINVALUES,$V733,$K$1)</f>
        <v>480</v>
      </c>
      <c r="X733" s="212">
        <f t="array" ref="X733">INDEX(INC_INCVALUES,$V733,$K$1)</f>
        <v>4</v>
      </c>
    </row>
    <row r="734" ht="15.75" customHeight="1">
      <c r="A734" s="435"/>
      <c r="B734" s="436"/>
      <c r="C734" s="95" t="str">
        <f t="array" ref="C734">IF(I734&gt;0,INDEX(DB,I734,8),"")</f>
        <v/>
      </c>
      <c r="D734" s="437">
        <f t="shared" si="1"/>
        <v>0</v>
      </c>
      <c r="F734" s="438">
        <f t="shared" si="2"/>
        <v>0</v>
      </c>
      <c r="G734" t="str">
        <f t="shared" si="3"/>
        <v/>
      </c>
      <c r="H734" t="b">
        <f t="shared" si="4"/>
        <v>0</v>
      </c>
      <c r="I734" s="439">
        <f>IF(OR(ISBLANK(A734),ISNA(MATCH(A734&amp;"",AthleteNumbers,0))),0,MATCH(A734&amp;"",AthleteNumbers,0))</f>
        <v>0</v>
      </c>
      <c r="J734" s="209">
        <f t="array" ref="J734">IF(I734&gt;0,INDEX(DB,$I734,6),0)</f>
        <v>0</v>
      </c>
      <c r="K734" s="446">
        <f t="shared" si="5"/>
        <v>0</v>
      </c>
      <c r="L734" s="440">
        <f t="shared" si="6"/>
        <v>0</v>
      </c>
      <c r="M734" s="441">
        <f>IF(AND(L734&gt;O734,O734&gt;0),MinPoints,IF(AND(L734&lt;N734,O734&gt;0),100,+INT((O734-$L734)/P734)+MinPoints))</f>
        <v>100</v>
      </c>
      <c r="N734" s="440">
        <f t="shared" si="7"/>
        <v>90</v>
      </c>
      <c r="O734" s="440">
        <f t="shared" si="8"/>
        <v>180</v>
      </c>
      <c r="P734" s="440">
        <f t="shared" si="9"/>
        <v>1</v>
      </c>
      <c r="Q734">
        <f t="array" ref="Q734">IF(I734&gt;0,INDEX(DB,I734,9),EventIndex)</f>
        <v>6</v>
      </c>
      <c r="S734">
        <f t="array" ref="S734">(INT(INDEX(MINVALUES,$Q734,$K$1))*60)+(MOD(INDEX(MINVALUES,$Q734,$K$1),1)*100)</f>
        <v>180</v>
      </c>
      <c r="T734">
        <f t="array" ref="T734">(INDEX(INCVALUES,$Q734,$K$1)*100)</f>
        <v>1</v>
      </c>
      <c r="V734">
        <f t="array" ref="V734">+J734+(4*(INDEX(MatchScoreTable,$Q734,20)-1))</f>
        <v>4</v>
      </c>
      <c r="W734">
        <f t="array" ref="W734">INDEX(INC_MINVALUES,$V734,$K$1)</f>
        <v>480</v>
      </c>
      <c r="X734" s="212">
        <f t="array" ref="X734">INDEX(INC_INCVALUES,$V734,$K$1)</f>
        <v>4</v>
      </c>
    </row>
    <row r="735" ht="15.75" customHeight="1">
      <c r="A735" s="435"/>
      <c r="B735" s="436"/>
      <c r="C735" s="95" t="str">
        <f t="array" ref="C735">IF(I735&gt;0,INDEX(DB,I735,8),"")</f>
        <v/>
      </c>
      <c r="D735" s="437">
        <f t="shared" si="1"/>
        <v>0</v>
      </c>
      <c r="F735" s="438">
        <f t="shared" si="2"/>
        <v>0</v>
      </c>
      <c r="G735" t="str">
        <f t="shared" si="3"/>
        <v/>
      </c>
      <c r="H735" t="b">
        <f t="shared" si="4"/>
        <v>0</v>
      </c>
      <c r="I735" s="439">
        <f>IF(OR(ISBLANK(A735),ISNA(MATCH(A735&amp;"",AthleteNumbers,0))),0,MATCH(A735&amp;"",AthleteNumbers,0))</f>
        <v>0</v>
      </c>
      <c r="J735" s="209">
        <f t="array" ref="J735">IF(I735&gt;0,INDEX(DB,$I735,6),0)</f>
        <v>0</v>
      </c>
      <c r="K735" s="446">
        <f t="shared" si="5"/>
        <v>0</v>
      </c>
      <c r="L735" s="440">
        <f t="shared" si="6"/>
        <v>0</v>
      </c>
      <c r="M735" s="441">
        <f>IF(AND(L735&gt;O735,O735&gt;0),MinPoints,IF(AND(L735&lt;N735,O735&gt;0),100,+INT((O735-$L735)/P735)+MinPoints))</f>
        <v>100</v>
      </c>
      <c r="N735" s="440">
        <f t="shared" si="7"/>
        <v>90</v>
      </c>
      <c r="O735" s="440">
        <f t="shared" si="8"/>
        <v>180</v>
      </c>
      <c r="P735" s="440">
        <f t="shared" si="9"/>
        <v>1</v>
      </c>
      <c r="Q735">
        <f t="array" ref="Q735">IF(I735&gt;0,INDEX(DB,I735,9),EventIndex)</f>
        <v>6</v>
      </c>
      <c r="S735">
        <f t="array" ref="S735">(INT(INDEX(MINVALUES,$Q735,$K$1))*60)+(MOD(INDEX(MINVALUES,$Q735,$K$1),1)*100)</f>
        <v>180</v>
      </c>
      <c r="T735">
        <f t="array" ref="T735">(INDEX(INCVALUES,$Q735,$K$1)*100)</f>
        <v>1</v>
      </c>
      <c r="V735">
        <f t="array" ref="V735">+J735+(4*(INDEX(MatchScoreTable,$Q735,20)-1))</f>
        <v>4</v>
      </c>
      <c r="W735">
        <f t="array" ref="W735">INDEX(INC_MINVALUES,$V735,$K$1)</f>
        <v>480</v>
      </c>
      <c r="X735" s="212">
        <f t="array" ref="X735">INDEX(INC_INCVALUES,$V735,$K$1)</f>
        <v>4</v>
      </c>
    </row>
    <row r="736" ht="15.75" customHeight="1">
      <c r="A736" s="435"/>
      <c r="B736" s="436"/>
      <c r="C736" s="95" t="str">
        <f t="array" ref="C736">IF(I736&gt;0,INDEX(DB,I736,8),"")</f>
        <v/>
      </c>
      <c r="D736" s="437">
        <f t="shared" si="1"/>
        <v>0</v>
      </c>
      <c r="F736" s="438">
        <f t="shared" si="2"/>
        <v>0</v>
      </c>
      <c r="G736" t="str">
        <f t="shared" si="3"/>
        <v/>
      </c>
      <c r="H736" t="b">
        <f t="shared" si="4"/>
        <v>0</v>
      </c>
      <c r="I736" s="439">
        <f>IF(OR(ISBLANK(A736),ISNA(MATCH(A736&amp;"",AthleteNumbers,0))),0,MATCH(A736&amp;"",AthleteNumbers,0))</f>
        <v>0</v>
      </c>
      <c r="J736" s="209">
        <f t="array" ref="J736">IF(I736&gt;0,INDEX(DB,$I736,6),0)</f>
        <v>0</v>
      </c>
      <c r="K736" s="446">
        <f t="shared" si="5"/>
        <v>0</v>
      </c>
      <c r="L736" s="440">
        <f t="shared" si="6"/>
        <v>0</v>
      </c>
      <c r="M736" s="441">
        <f>IF(AND(L736&gt;O736,O736&gt;0),MinPoints,IF(AND(L736&lt;N736,O736&gt;0),100,+INT((O736-$L736)/P736)+MinPoints))</f>
        <v>100</v>
      </c>
      <c r="N736" s="440">
        <f t="shared" si="7"/>
        <v>90</v>
      </c>
      <c r="O736" s="440">
        <f t="shared" si="8"/>
        <v>180</v>
      </c>
      <c r="P736" s="440">
        <f t="shared" si="9"/>
        <v>1</v>
      </c>
      <c r="Q736">
        <f t="array" ref="Q736">IF(I736&gt;0,INDEX(DB,I736,9),EventIndex)</f>
        <v>6</v>
      </c>
      <c r="S736">
        <f t="array" ref="S736">(INT(INDEX(MINVALUES,$Q736,$K$1))*60)+(MOD(INDEX(MINVALUES,$Q736,$K$1),1)*100)</f>
        <v>180</v>
      </c>
      <c r="T736">
        <f t="array" ref="T736">(INDEX(INCVALUES,$Q736,$K$1)*100)</f>
        <v>1</v>
      </c>
      <c r="V736">
        <f t="array" ref="V736">+J736+(4*(INDEX(MatchScoreTable,$Q736,20)-1))</f>
        <v>4</v>
      </c>
      <c r="W736">
        <f t="array" ref="W736">INDEX(INC_MINVALUES,$V736,$K$1)</f>
        <v>480</v>
      </c>
      <c r="X736" s="212">
        <f t="array" ref="X736">INDEX(INC_INCVALUES,$V736,$K$1)</f>
        <v>4</v>
      </c>
    </row>
    <row r="737" ht="15.75" customHeight="1">
      <c r="A737" s="435"/>
      <c r="B737" s="436"/>
      <c r="C737" s="95" t="str">
        <f t="array" ref="C737">IF(I737&gt;0,INDEX(DB,I737,8),"")</f>
        <v/>
      </c>
      <c r="D737" s="437">
        <f t="shared" si="1"/>
        <v>0</v>
      </c>
      <c r="F737" s="438">
        <f t="shared" si="2"/>
        <v>0</v>
      </c>
      <c r="G737" t="str">
        <f t="shared" si="3"/>
        <v/>
      </c>
      <c r="H737" t="b">
        <f t="shared" si="4"/>
        <v>0</v>
      </c>
      <c r="I737" s="439">
        <f>IF(OR(ISBLANK(A737),ISNA(MATCH(A737&amp;"",AthleteNumbers,0))),0,MATCH(A737&amp;"",AthleteNumbers,0))</f>
        <v>0</v>
      </c>
      <c r="J737" s="209">
        <f t="array" ref="J737">IF(I737&gt;0,INDEX(DB,$I737,6),0)</f>
        <v>0</v>
      </c>
      <c r="K737" s="446">
        <f t="shared" si="5"/>
        <v>0</v>
      </c>
      <c r="L737" s="440">
        <f t="shared" si="6"/>
        <v>0</v>
      </c>
      <c r="M737" s="441">
        <f>IF(AND(L737&gt;O737,O737&gt;0),MinPoints,IF(AND(L737&lt;N737,O737&gt;0),100,+INT((O737-$L737)/P737)+MinPoints))</f>
        <v>100</v>
      </c>
      <c r="N737" s="440">
        <f t="shared" si="7"/>
        <v>90</v>
      </c>
      <c r="O737" s="440">
        <f t="shared" si="8"/>
        <v>180</v>
      </c>
      <c r="P737" s="440">
        <f t="shared" si="9"/>
        <v>1</v>
      </c>
      <c r="Q737">
        <f t="array" ref="Q737">IF(I737&gt;0,INDEX(DB,I737,9),EventIndex)</f>
        <v>6</v>
      </c>
      <c r="S737">
        <f t="array" ref="S737">(INT(INDEX(MINVALUES,$Q737,$K$1))*60)+(MOD(INDEX(MINVALUES,$Q737,$K$1),1)*100)</f>
        <v>180</v>
      </c>
      <c r="T737">
        <f t="array" ref="T737">(INDEX(INCVALUES,$Q737,$K$1)*100)</f>
        <v>1</v>
      </c>
      <c r="V737">
        <f t="array" ref="V737">+J737+(4*(INDEX(MatchScoreTable,$Q737,20)-1))</f>
        <v>4</v>
      </c>
      <c r="W737">
        <f t="array" ref="W737">INDEX(INC_MINVALUES,$V737,$K$1)</f>
        <v>480</v>
      </c>
      <c r="X737" s="212">
        <f t="array" ref="X737">INDEX(INC_INCVALUES,$V737,$K$1)</f>
        <v>4</v>
      </c>
    </row>
    <row r="738" ht="15.75" customHeight="1">
      <c r="A738" s="435"/>
      <c r="B738" s="436"/>
      <c r="C738" s="95" t="str">
        <f t="array" ref="C738">IF(I738&gt;0,INDEX(DB,I738,8),"")</f>
        <v/>
      </c>
      <c r="D738" s="437">
        <f t="shared" si="1"/>
        <v>0</v>
      </c>
      <c r="F738" s="438">
        <f t="shared" si="2"/>
        <v>0</v>
      </c>
      <c r="G738" t="str">
        <f t="shared" si="3"/>
        <v/>
      </c>
      <c r="H738" t="b">
        <f t="shared" si="4"/>
        <v>0</v>
      </c>
      <c r="I738" s="439">
        <f>IF(OR(ISBLANK(A738),ISNA(MATCH(A738&amp;"",AthleteNumbers,0))),0,MATCH(A738&amp;"",AthleteNumbers,0))</f>
        <v>0</v>
      </c>
      <c r="J738" s="209">
        <f t="array" ref="J738">IF(I738&gt;0,INDEX(DB,$I738,6),0)</f>
        <v>0</v>
      </c>
      <c r="K738" s="446">
        <f t="shared" si="5"/>
        <v>0</v>
      </c>
      <c r="L738" s="440">
        <f t="shared" si="6"/>
        <v>0</v>
      </c>
      <c r="M738" s="441">
        <f>IF(AND(L738&gt;O738,O738&gt;0),MinPoints,IF(AND(L738&lt;N738,O738&gt;0),100,+INT((O738-$L738)/P738)+MinPoints))</f>
        <v>100</v>
      </c>
      <c r="N738" s="440">
        <f t="shared" si="7"/>
        <v>90</v>
      </c>
      <c r="O738" s="440">
        <f t="shared" si="8"/>
        <v>180</v>
      </c>
      <c r="P738" s="440">
        <f t="shared" si="9"/>
        <v>1</v>
      </c>
      <c r="Q738">
        <f t="array" ref="Q738">IF(I738&gt;0,INDEX(DB,I738,9),EventIndex)</f>
        <v>6</v>
      </c>
      <c r="S738">
        <f t="array" ref="S738">(INT(INDEX(MINVALUES,$Q738,$K$1))*60)+(MOD(INDEX(MINVALUES,$Q738,$K$1),1)*100)</f>
        <v>180</v>
      </c>
      <c r="T738">
        <f t="array" ref="T738">(INDEX(INCVALUES,$Q738,$K$1)*100)</f>
        <v>1</v>
      </c>
      <c r="V738">
        <f t="array" ref="V738">+J738+(4*(INDEX(MatchScoreTable,$Q738,20)-1))</f>
        <v>4</v>
      </c>
      <c r="W738">
        <f t="array" ref="W738">INDEX(INC_MINVALUES,$V738,$K$1)</f>
        <v>480</v>
      </c>
      <c r="X738" s="212">
        <f t="array" ref="X738">INDEX(INC_INCVALUES,$V738,$K$1)</f>
        <v>4</v>
      </c>
    </row>
    <row r="739" ht="15.75" customHeight="1">
      <c r="A739" s="435"/>
      <c r="B739" s="436"/>
      <c r="C739" s="95" t="str">
        <f t="array" ref="C739">IF(I739&gt;0,INDEX(DB,I739,8),"")</f>
        <v/>
      </c>
      <c r="D739" s="437">
        <f t="shared" si="1"/>
        <v>0</v>
      </c>
      <c r="F739" s="438">
        <f t="shared" si="2"/>
        <v>0</v>
      </c>
      <c r="G739" t="str">
        <f t="shared" si="3"/>
        <v/>
      </c>
      <c r="H739" t="b">
        <f t="shared" si="4"/>
        <v>0</v>
      </c>
      <c r="I739" s="439">
        <f>IF(OR(ISBLANK(A739),ISNA(MATCH(A739&amp;"",AthleteNumbers,0))),0,MATCH(A739&amp;"",AthleteNumbers,0))</f>
        <v>0</v>
      </c>
      <c r="J739" s="209">
        <f t="array" ref="J739">IF(I739&gt;0,INDEX(DB,$I739,6),0)</f>
        <v>0</v>
      </c>
      <c r="K739" s="446">
        <f t="shared" si="5"/>
        <v>0</v>
      </c>
      <c r="L739" s="440">
        <f t="shared" si="6"/>
        <v>0</v>
      </c>
      <c r="M739" s="441">
        <f>IF(AND(L739&gt;O739,O739&gt;0),MinPoints,IF(AND(L739&lt;N739,O739&gt;0),100,+INT((O739-$L739)/P739)+MinPoints))</f>
        <v>100</v>
      </c>
      <c r="N739" s="440">
        <f t="shared" si="7"/>
        <v>90</v>
      </c>
      <c r="O739" s="440">
        <f t="shared" si="8"/>
        <v>180</v>
      </c>
      <c r="P739" s="440">
        <f t="shared" si="9"/>
        <v>1</v>
      </c>
      <c r="Q739">
        <f t="array" ref="Q739">IF(I739&gt;0,INDEX(DB,I739,9),EventIndex)</f>
        <v>6</v>
      </c>
      <c r="S739">
        <f t="array" ref="S739">(INT(INDEX(MINVALUES,$Q739,$K$1))*60)+(MOD(INDEX(MINVALUES,$Q739,$K$1),1)*100)</f>
        <v>180</v>
      </c>
      <c r="T739">
        <f t="array" ref="T739">(INDEX(INCVALUES,$Q739,$K$1)*100)</f>
        <v>1</v>
      </c>
      <c r="V739">
        <f t="array" ref="V739">+J739+(4*(INDEX(MatchScoreTable,$Q739,20)-1))</f>
        <v>4</v>
      </c>
      <c r="W739">
        <f t="array" ref="W739">INDEX(INC_MINVALUES,$V739,$K$1)</f>
        <v>480</v>
      </c>
      <c r="X739" s="212">
        <f t="array" ref="X739">INDEX(INC_INCVALUES,$V739,$K$1)</f>
        <v>4</v>
      </c>
    </row>
    <row r="740" ht="15.75" customHeight="1">
      <c r="A740" s="435"/>
      <c r="B740" s="436"/>
      <c r="C740" s="95" t="str">
        <f t="array" ref="C740">IF(I740&gt;0,INDEX(DB,I740,8),"")</f>
        <v/>
      </c>
      <c r="D740" s="437">
        <f t="shared" si="1"/>
        <v>0</v>
      </c>
      <c r="F740" s="438">
        <f t="shared" si="2"/>
        <v>0</v>
      </c>
      <c r="G740" t="str">
        <f t="shared" si="3"/>
        <v/>
      </c>
      <c r="H740" t="b">
        <f t="shared" si="4"/>
        <v>0</v>
      </c>
      <c r="I740" s="439">
        <f>IF(OR(ISBLANK(A740),ISNA(MATCH(A740&amp;"",AthleteNumbers,0))),0,MATCH(A740&amp;"",AthleteNumbers,0))</f>
        <v>0</v>
      </c>
      <c r="J740" s="209">
        <f t="array" ref="J740">IF(I740&gt;0,INDEX(DB,$I740,6),0)</f>
        <v>0</v>
      </c>
      <c r="K740" s="446">
        <f t="shared" si="5"/>
        <v>0</v>
      </c>
      <c r="L740" s="440">
        <f t="shared" si="6"/>
        <v>0</v>
      </c>
      <c r="M740" s="441">
        <f>IF(AND(L740&gt;O740,O740&gt;0),MinPoints,IF(AND(L740&lt;N740,O740&gt;0),100,+INT((O740-$L740)/P740)+MinPoints))</f>
        <v>100</v>
      </c>
      <c r="N740" s="440">
        <f t="shared" si="7"/>
        <v>90</v>
      </c>
      <c r="O740" s="440">
        <f t="shared" si="8"/>
        <v>180</v>
      </c>
      <c r="P740" s="440">
        <f t="shared" si="9"/>
        <v>1</v>
      </c>
      <c r="Q740">
        <f t="array" ref="Q740">IF(I740&gt;0,INDEX(DB,I740,9),EventIndex)</f>
        <v>6</v>
      </c>
      <c r="S740">
        <f t="array" ref="S740">(INT(INDEX(MINVALUES,$Q740,$K$1))*60)+(MOD(INDEX(MINVALUES,$Q740,$K$1),1)*100)</f>
        <v>180</v>
      </c>
      <c r="T740">
        <f t="array" ref="T740">(INDEX(INCVALUES,$Q740,$K$1)*100)</f>
        <v>1</v>
      </c>
      <c r="V740">
        <f t="array" ref="V740">+J740+(4*(INDEX(MatchScoreTable,$Q740,20)-1))</f>
        <v>4</v>
      </c>
      <c r="W740">
        <f t="array" ref="W740">INDEX(INC_MINVALUES,$V740,$K$1)</f>
        <v>480</v>
      </c>
      <c r="X740" s="212">
        <f t="array" ref="X740">INDEX(INC_INCVALUES,$V740,$K$1)</f>
        <v>4</v>
      </c>
    </row>
    <row r="741" ht="15.75" customHeight="1">
      <c r="A741" s="435"/>
      <c r="B741" s="436"/>
      <c r="C741" s="95" t="str">
        <f t="array" ref="C741">IF(I741&gt;0,INDEX(DB,I741,8),"")</f>
        <v/>
      </c>
      <c r="D741" s="437">
        <f t="shared" si="1"/>
        <v>0</v>
      </c>
      <c r="F741" s="438">
        <f t="shared" si="2"/>
        <v>0</v>
      </c>
      <c r="G741" t="str">
        <f t="shared" si="3"/>
        <v/>
      </c>
      <c r="H741" t="b">
        <f t="shared" si="4"/>
        <v>0</v>
      </c>
      <c r="I741" s="439">
        <f>IF(OR(ISBLANK(A741),ISNA(MATCH(A741&amp;"",AthleteNumbers,0))),0,MATCH(A741&amp;"",AthleteNumbers,0))</f>
        <v>0</v>
      </c>
      <c r="J741" s="209">
        <f t="array" ref="J741">IF(I741&gt;0,INDEX(DB,$I741,6),0)</f>
        <v>0</v>
      </c>
      <c r="K741" s="446">
        <f t="shared" si="5"/>
        <v>0</v>
      </c>
      <c r="L741" s="440">
        <f t="shared" si="6"/>
        <v>0</v>
      </c>
      <c r="M741" s="441">
        <f>IF(AND(L741&gt;O741,O741&gt;0),MinPoints,IF(AND(L741&lt;N741,O741&gt;0),100,+INT((O741-$L741)/P741)+MinPoints))</f>
        <v>100</v>
      </c>
      <c r="N741" s="440">
        <f t="shared" si="7"/>
        <v>90</v>
      </c>
      <c r="O741" s="440">
        <f t="shared" si="8"/>
        <v>180</v>
      </c>
      <c r="P741" s="440">
        <f t="shared" si="9"/>
        <v>1</v>
      </c>
      <c r="Q741">
        <f t="array" ref="Q741">IF(I741&gt;0,INDEX(DB,I741,9),EventIndex)</f>
        <v>6</v>
      </c>
      <c r="S741">
        <f t="array" ref="S741">(INT(INDEX(MINVALUES,$Q741,$K$1))*60)+(MOD(INDEX(MINVALUES,$Q741,$K$1),1)*100)</f>
        <v>180</v>
      </c>
      <c r="T741">
        <f t="array" ref="T741">(INDEX(INCVALUES,$Q741,$K$1)*100)</f>
        <v>1</v>
      </c>
      <c r="V741">
        <f t="array" ref="V741">+J741+(4*(INDEX(MatchScoreTable,$Q741,20)-1))</f>
        <v>4</v>
      </c>
      <c r="W741">
        <f t="array" ref="W741">INDEX(INC_MINVALUES,$V741,$K$1)</f>
        <v>480</v>
      </c>
      <c r="X741" s="212">
        <f t="array" ref="X741">INDEX(INC_INCVALUES,$V741,$K$1)</f>
        <v>4</v>
      </c>
    </row>
    <row r="742" ht="15.75" customHeight="1">
      <c r="A742" s="435"/>
      <c r="B742" s="436"/>
      <c r="C742" s="95" t="str">
        <f t="array" ref="C742">IF(I742&gt;0,INDEX(DB,I742,8),"")</f>
        <v/>
      </c>
      <c r="D742" s="437">
        <f t="shared" si="1"/>
        <v>0</v>
      </c>
      <c r="F742" s="438">
        <f t="shared" si="2"/>
        <v>0</v>
      </c>
      <c r="G742" t="str">
        <f t="shared" si="3"/>
        <v/>
      </c>
      <c r="H742" t="b">
        <f t="shared" si="4"/>
        <v>0</v>
      </c>
      <c r="I742" s="439">
        <f>IF(OR(ISBLANK(A742),ISNA(MATCH(A742&amp;"",AthleteNumbers,0))),0,MATCH(A742&amp;"",AthleteNumbers,0))</f>
        <v>0</v>
      </c>
      <c r="J742" s="209">
        <f t="array" ref="J742">IF(I742&gt;0,INDEX(DB,$I742,6),0)</f>
        <v>0</v>
      </c>
      <c r="K742" s="446">
        <f t="shared" si="5"/>
        <v>0</v>
      </c>
      <c r="L742" s="440">
        <f t="shared" si="6"/>
        <v>0</v>
      </c>
      <c r="M742" s="441">
        <f>IF(AND(L742&gt;O742,O742&gt;0),MinPoints,IF(AND(L742&lt;N742,O742&gt;0),100,+INT((O742-$L742)/P742)+MinPoints))</f>
        <v>100</v>
      </c>
      <c r="N742" s="440">
        <f t="shared" si="7"/>
        <v>90</v>
      </c>
      <c r="O742" s="440">
        <f t="shared" si="8"/>
        <v>180</v>
      </c>
      <c r="P742" s="440">
        <f t="shared" si="9"/>
        <v>1</v>
      </c>
      <c r="Q742">
        <f t="array" ref="Q742">IF(I742&gt;0,INDEX(DB,I742,9),EventIndex)</f>
        <v>6</v>
      </c>
      <c r="S742">
        <f t="array" ref="S742">(INT(INDEX(MINVALUES,$Q742,$K$1))*60)+(MOD(INDEX(MINVALUES,$Q742,$K$1),1)*100)</f>
        <v>180</v>
      </c>
      <c r="T742">
        <f t="array" ref="T742">(INDEX(INCVALUES,$Q742,$K$1)*100)</f>
        <v>1</v>
      </c>
      <c r="V742">
        <f t="array" ref="V742">+J742+(4*(INDEX(MatchScoreTable,$Q742,20)-1))</f>
        <v>4</v>
      </c>
      <c r="W742">
        <f t="array" ref="W742">INDEX(INC_MINVALUES,$V742,$K$1)</f>
        <v>480</v>
      </c>
      <c r="X742" s="212">
        <f t="array" ref="X742">INDEX(INC_INCVALUES,$V742,$K$1)</f>
        <v>4</v>
      </c>
    </row>
    <row r="743" ht="15.75" customHeight="1">
      <c r="A743" s="435"/>
      <c r="B743" s="436"/>
      <c r="C743" s="95" t="str">
        <f t="array" ref="C743">IF(I743&gt;0,INDEX(DB,I743,8),"")</f>
        <v/>
      </c>
      <c r="D743" s="437">
        <f t="shared" si="1"/>
        <v>0</v>
      </c>
      <c r="F743" s="438">
        <f t="shared" si="2"/>
        <v>0</v>
      </c>
      <c r="G743" t="str">
        <f t="shared" si="3"/>
        <v/>
      </c>
      <c r="H743" t="b">
        <f t="shared" si="4"/>
        <v>0</v>
      </c>
      <c r="I743" s="439">
        <f>IF(OR(ISBLANK(A743),ISNA(MATCH(A743&amp;"",AthleteNumbers,0))),0,MATCH(A743&amp;"",AthleteNumbers,0))</f>
        <v>0</v>
      </c>
      <c r="J743" s="209">
        <f t="array" ref="J743">IF(I743&gt;0,INDEX(DB,$I743,6),0)</f>
        <v>0</v>
      </c>
      <c r="K743" s="446">
        <f t="shared" si="5"/>
        <v>0</v>
      </c>
      <c r="L743" s="440">
        <f t="shared" si="6"/>
        <v>0</v>
      </c>
      <c r="M743" s="441">
        <f>IF(AND(L743&gt;O743,O743&gt;0),MinPoints,IF(AND(L743&lt;N743,O743&gt;0),100,+INT((O743-$L743)/P743)+MinPoints))</f>
        <v>100</v>
      </c>
      <c r="N743" s="440">
        <f t="shared" si="7"/>
        <v>90</v>
      </c>
      <c r="O743" s="440">
        <f t="shared" si="8"/>
        <v>180</v>
      </c>
      <c r="P743" s="440">
        <f t="shared" si="9"/>
        <v>1</v>
      </c>
      <c r="Q743">
        <f t="array" ref="Q743">IF(I743&gt;0,INDEX(DB,I743,9),EventIndex)</f>
        <v>6</v>
      </c>
      <c r="S743">
        <f t="array" ref="S743">(INT(INDEX(MINVALUES,$Q743,$K$1))*60)+(MOD(INDEX(MINVALUES,$Q743,$K$1),1)*100)</f>
        <v>180</v>
      </c>
      <c r="T743">
        <f t="array" ref="T743">(INDEX(INCVALUES,$Q743,$K$1)*100)</f>
        <v>1</v>
      </c>
      <c r="V743">
        <f t="array" ref="V743">+J743+(4*(INDEX(MatchScoreTable,$Q743,20)-1))</f>
        <v>4</v>
      </c>
      <c r="W743">
        <f t="array" ref="W743">INDEX(INC_MINVALUES,$V743,$K$1)</f>
        <v>480</v>
      </c>
      <c r="X743" s="212">
        <f t="array" ref="X743">INDEX(INC_INCVALUES,$V743,$K$1)</f>
        <v>4</v>
      </c>
    </row>
    <row r="744" ht="15.75" customHeight="1">
      <c r="A744" s="435"/>
      <c r="B744" s="436"/>
      <c r="C744" s="95" t="str">
        <f t="array" ref="C744">IF(I744&gt;0,INDEX(DB,I744,8),"")</f>
        <v/>
      </c>
      <c r="D744" s="437">
        <f t="shared" si="1"/>
        <v>0</v>
      </c>
      <c r="F744" s="438">
        <f t="shared" si="2"/>
        <v>0</v>
      </c>
      <c r="G744" t="str">
        <f t="shared" si="3"/>
        <v/>
      </c>
      <c r="H744" t="b">
        <f t="shared" si="4"/>
        <v>0</v>
      </c>
      <c r="I744" s="439">
        <f>IF(OR(ISBLANK(A744),ISNA(MATCH(A744&amp;"",AthleteNumbers,0))),0,MATCH(A744&amp;"",AthleteNumbers,0))</f>
        <v>0</v>
      </c>
      <c r="J744" s="209">
        <f t="array" ref="J744">IF(I744&gt;0,INDEX(DB,$I744,6),0)</f>
        <v>0</v>
      </c>
      <c r="K744" s="446">
        <f t="shared" si="5"/>
        <v>0</v>
      </c>
      <c r="L744" s="440">
        <f t="shared" si="6"/>
        <v>0</v>
      </c>
      <c r="M744" s="441">
        <f>IF(AND(L744&gt;O744,O744&gt;0),MinPoints,IF(AND(L744&lt;N744,O744&gt;0),100,+INT((O744-$L744)/P744)+MinPoints))</f>
        <v>100</v>
      </c>
      <c r="N744" s="440">
        <f t="shared" si="7"/>
        <v>90</v>
      </c>
      <c r="O744" s="440">
        <f t="shared" si="8"/>
        <v>180</v>
      </c>
      <c r="P744" s="440">
        <f t="shared" si="9"/>
        <v>1</v>
      </c>
      <c r="Q744">
        <f t="array" ref="Q744">IF(I744&gt;0,INDEX(DB,I744,9),EventIndex)</f>
        <v>6</v>
      </c>
      <c r="S744">
        <f t="array" ref="S744">(INT(INDEX(MINVALUES,$Q744,$K$1))*60)+(MOD(INDEX(MINVALUES,$Q744,$K$1),1)*100)</f>
        <v>180</v>
      </c>
      <c r="T744">
        <f t="array" ref="T744">(INDEX(INCVALUES,$Q744,$K$1)*100)</f>
        <v>1</v>
      </c>
      <c r="V744">
        <f t="array" ref="V744">+J744+(4*(INDEX(MatchScoreTable,$Q744,20)-1))</f>
        <v>4</v>
      </c>
      <c r="W744">
        <f t="array" ref="W744">INDEX(INC_MINVALUES,$V744,$K$1)</f>
        <v>480</v>
      </c>
      <c r="X744" s="212">
        <f t="array" ref="X744">INDEX(INC_INCVALUES,$V744,$K$1)</f>
        <v>4</v>
      </c>
    </row>
    <row r="745" ht="15.75" customHeight="1">
      <c r="A745" s="435"/>
      <c r="B745" s="436"/>
      <c r="C745" s="95" t="str">
        <f t="array" ref="C745">IF(I745&gt;0,INDEX(DB,I745,8),"")</f>
        <v/>
      </c>
      <c r="D745" s="437">
        <f t="shared" si="1"/>
        <v>0</v>
      </c>
      <c r="F745" s="438">
        <f t="shared" si="2"/>
        <v>0</v>
      </c>
      <c r="G745" t="str">
        <f t="shared" si="3"/>
        <v/>
      </c>
      <c r="H745" t="b">
        <f t="shared" si="4"/>
        <v>0</v>
      </c>
      <c r="I745" s="439">
        <f>IF(OR(ISBLANK(A745),ISNA(MATCH(A745&amp;"",AthleteNumbers,0))),0,MATCH(A745&amp;"",AthleteNumbers,0))</f>
        <v>0</v>
      </c>
      <c r="J745" s="209">
        <f t="array" ref="J745">IF(I745&gt;0,INDEX(DB,$I745,6),0)</f>
        <v>0</v>
      </c>
      <c r="K745" s="446">
        <f t="shared" si="5"/>
        <v>0</v>
      </c>
      <c r="L745" s="440">
        <f t="shared" si="6"/>
        <v>0</v>
      </c>
      <c r="M745" s="441">
        <f>IF(AND(L745&gt;O745,O745&gt;0),MinPoints,IF(AND(L745&lt;N745,O745&gt;0),100,+INT((O745-$L745)/P745)+MinPoints))</f>
        <v>100</v>
      </c>
      <c r="N745" s="440">
        <f t="shared" si="7"/>
        <v>90</v>
      </c>
      <c r="O745" s="440">
        <f t="shared" si="8"/>
        <v>180</v>
      </c>
      <c r="P745" s="440">
        <f t="shared" si="9"/>
        <v>1</v>
      </c>
      <c r="Q745">
        <f t="array" ref="Q745">IF(I745&gt;0,INDEX(DB,I745,9),EventIndex)</f>
        <v>6</v>
      </c>
      <c r="S745">
        <f t="array" ref="S745">(INT(INDEX(MINVALUES,$Q745,$K$1))*60)+(MOD(INDEX(MINVALUES,$Q745,$K$1),1)*100)</f>
        <v>180</v>
      </c>
      <c r="T745">
        <f t="array" ref="T745">(INDEX(INCVALUES,$Q745,$K$1)*100)</f>
        <v>1</v>
      </c>
      <c r="V745">
        <f t="array" ref="V745">+J745+(4*(INDEX(MatchScoreTable,$Q745,20)-1))</f>
        <v>4</v>
      </c>
      <c r="W745">
        <f t="array" ref="W745">INDEX(INC_MINVALUES,$V745,$K$1)</f>
        <v>480</v>
      </c>
      <c r="X745" s="212">
        <f t="array" ref="X745">INDEX(INC_INCVALUES,$V745,$K$1)</f>
        <v>4</v>
      </c>
    </row>
    <row r="746" ht="15.75" customHeight="1">
      <c r="A746" s="435"/>
      <c r="B746" s="436"/>
      <c r="C746" s="95" t="str">
        <f t="array" ref="C746">IF(I746&gt;0,INDEX(DB,I746,8),"")</f>
        <v/>
      </c>
      <c r="D746" s="437">
        <f t="shared" si="1"/>
        <v>0</v>
      </c>
      <c r="F746" s="438">
        <f t="shared" si="2"/>
        <v>0</v>
      </c>
      <c r="G746" t="str">
        <f t="shared" si="3"/>
        <v/>
      </c>
      <c r="H746" t="b">
        <f t="shared" si="4"/>
        <v>0</v>
      </c>
      <c r="I746" s="439">
        <f>IF(OR(ISBLANK(A746),ISNA(MATCH(A746&amp;"",AthleteNumbers,0))),0,MATCH(A746&amp;"",AthleteNumbers,0))</f>
        <v>0</v>
      </c>
      <c r="J746" s="209">
        <f t="array" ref="J746">IF(I746&gt;0,INDEX(DB,$I746,6),0)</f>
        <v>0</v>
      </c>
      <c r="K746" s="446">
        <f t="shared" si="5"/>
        <v>0</v>
      </c>
      <c r="L746" s="440">
        <f t="shared" si="6"/>
        <v>0</v>
      </c>
      <c r="M746" s="441">
        <f>IF(AND(L746&gt;O746,O746&gt;0),MinPoints,IF(AND(L746&lt;N746,O746&gt;0),100,+INT((O746-$L746)/P746)+MinPoints))</f>
        <v>100</v>
      </c>
      <c r="N746" s="440">
        <f t="shared" si="7"/>
        <v>90</v>
      </c>
      <c r="O746" s="440">
        <f t="shared" si="8"/>
        <v>180</v>
      </c>
      <c r="P746" s="440">
        <f t="shared" si="9"/>
        <v>1</v>
      </c>
      <c r="Q746">
        <f t="array" ref="Q746">IF(I746&gt;0,INDEX(DB,I746,9),EventIndex)</f>
        <v>6</v>
      </c>
      <c r="S746">
        <f t="array" ref="S746">(INT(INDEX(MINVALUES,$Q746,$K$1))*60)+(MOD(INDEX(MINVALUES,$Q746,$K$1),1)*100)</f>
        <v>180</v>
      </c>
      <c r="T746">
        <f t="array" ref="T746">(INDEX(INCVALUES,$Q746,$K$1)*100)</f>
        <v>1</v>
      </c>
      <c r="V746">
        <f t="array" ref="V746">+J746+(4*(INDEX(MatchScoreTable,$Q746,20)-1))</f>
        <v>4</v>
      </c>
      <c r="W746">
        <f t="array" ref="W746">INDEX(INC_MINVALUES,$V746,$K$1)</f>
        <v>480</v>
      </c>
      <c r="X746" s="212">
        <f t="array" ref="X746">INDEX(INC_INCVALUES,$V746,$K$1)</f>
        <v>4</v>
      </c>
    </row>
    <row r="747" ht="15.75" customHeight="1">
      <c r="A747" s="435"/>
      <c r="B747" s="436"/>
      <c r="C747" s="95" t="str">
        <f t="array" ref="C747">IF(I747&gt;0,INDEX(DB,I747,8),"")</f>
        <v/>
      </c>
      <c r="D747" s="437">
        <f t="shared" si="1"/>
        <v>0</v>
      </c>
      <c r="F747" s="438">
        <f t="shared" si="2"/>
        <v>0</v>
      </c>
      <c r="G747" t="str">
        <f t="shared" si="3"/>
        <v/>
      </c>
      <c r="H747" t="b">
        <f t="shared" si="4"/>
        <v>0</v>
      </c>
      <c r="I747" s="439">
        <f>IF(OR(ISBLANK(A747),ISNA(MATCH(A747&amp;"",AthleteNumbers,0))),0,MATCH(A747&amp;"",AthleteNumbers,0))</f>
        <v>0</v>
      </c>
      <c r="J747" s="209">
        <f t="array" ref="J747">IF(I747&gt;0,INDEX(DB,$I747,6),0)</f>
        <v>0</v>
      </c>
      <c r="K747" s="446">
        <f t="shared" si="5"/>
        <v>0</v>
      </c>
      <c r="L747" s="440">
        <f t="shared" si="6"/>
        <v>0</v>
      </c>
      <c r="M747" s="441">
        <f>IF(AND(L747&gt;O747,O747&gt;0),MinPoints,IF(AND(L747&lt;N747,O747&gt;0),100,+INT((O747-$L747)/P747)+MinPoints))</f>
        <v>100</v>
      </c>
      <c r="N747" s="440">
        <f t="shared" si="7"/>
        <v>90</v>
      </c>
      <c r="O747" s="440">
        <f t="shared" si="8"/>
        <v>180</v>
      </c>
      <c r="P747" s="440">
        <f t="shared" si="9"/>
        <v>1</v>
      </c>
      <c r="Q747">
        <f t="array" ref="Q747">IF(I747&gt;0,INDEX(DB,I747,9),EventIndex)</f>
        <v>6</v>
      </c>
      <c r="S747">
        <f t="array" ref="S747">(INT(INDEX(MINVALUES,$Q747,$K$1))*60)+(MOD(INDEX(MINVALUES,$Q747,$K$1),1)*100)</f>
        <v>180</v>
      </c>
      <c r="T747">
        <f t="array" ref="T747">(INDEX(INCVALUES,$Q747,$K$1)*100)</f>
        <v>1</v>
      </c>
      <c r="V747">
        <f t="array" ref="V747">+J747+(4*(INDEX(MatchScoreTable,$Q747,20)-1))</f>
        <v>4</v>
      </c>
      <c r="W747">
        <f t="array" ref="W747">INDEX(INC_MINVALUES,$V747,$K$1)</f>
        <v>480</v>
      </c>
      <c r="X747" s="212">
        <f t="array" ref="X747">INDEX(INC_INCVALUES,$V747,$K$1)</f>
        <v>4</v>
      </c>
    </row>
    <row r="748" ht="15.75" customHeight="1">
      <c r="A748" s="435"/>
      <c r="B748" s="436"/>
      <c r="C748" s="95" t="str">
        <f t="array" ref="C748">IF(I748&gt;0,INDEX(DB,I748,8),"")</f>
        <v/>
      </c>
      <c r="D748" s="437">
        <f t="shared" si="1"/>
        <v>0</v>
      </c>
      <c r="F748" s="438">
        <f t="shared" si="2"/>
        <v>0</v>
      </c>
      <c r="G748" t="str">
        <f t="shared" si="3"/>
        <v/>
      </c>
      <c r="H748" t="b">
        <f t="shared" si="4"/>
        <v>0</v>
      </c>
      <c r="I748" s="439">
        <f>IF(OR(ISBLANK(A748),ISNA(MATCH(A748&amp;"",AthleteNumbers,0))),0,MATCH(A748&amp;"",AthleteNumbers,0))</f>
        <v>0</v>
      </c>
      <c r="J748" s="209">
        <f t="array" ref="J748">IF(I748&gt;0,INDEX(DB,$I748,6),0)</f>
        <v>0</v>
      </c>
      <c r="K748" s="446">
        <f t="shared" si="5"/>
        <v>0</v>
      </c>
      <c r="L748" s="440">
        <f t="shared" si="6"/>
        <v>0</v>
      </c>
      <c r="M748" s="441">
        <f>IF(AND(L748&gt;O748,O748&gt;0),MinPoints,IF(AND(L748&lt;N748,O748&gt;0),100,+INT((O748-$L748)/P748)+MinPoints))</f>
        <v>100</v>
      </c>
      <c r="N748" s="440">
        <f t="shared" si="7"/>
        <v>90</v>
      </c>
      <c r="O748" s="440">
        <f t="shared" si="8"/>
        <v>180</v>
      </c>
      <c r="P748" s="440">
        <f t="shared" si="9"/>
        <v>1</v>
      </c>
      <c r="Q748">
        <f t="array" ref="Q748">IF(I748&gt;0,INDEX(DB,I748,9),EventIndex)</f>
        <v>6</v>
      </c>
      <c r="S748">
        <f t="array" ref="S748">(INT(INDEX(MINVALUES,$Q748,$K$1))*60)+(MOD(INDEX(MINVALUES,$Q748,$K$1),1)*100)</f>
        <v>180</v>
      </c>
      <c r="T748">
        <f t="array" ref="T748">(INDEX(INCVALUES,$Q748,$K$1)*100)</f>
        <v>1</v>
      </c>
      <c r="V748">
        <f t="array" ref="V748">+J748+(4*(INDEX(MatchScoreTable,$Q748,20)-1))</f>
        <v>4</v>
      </c>
      <c r="W748">
        <f t="array" ref="W748">INDEX(INC_MINVALUES,$V748,$K$1)</f>
        <v>480</v>
      </c>
      <c r="X748" s="212">
        <f t="array" ref="X748">INDEX(INC_INCVALUES,$V748,$K$1)</f>
        <v>4</v>
      </c>
    </row>
    <row r="749" ht="15.75" customHeight="1">
      <c r="A749" s="435"/>
      <c r="B749" s="436"/>
      <c r="C749" s="95" t="str">
        <f t="array" ref="C749">IF(I749&gt;0,INDEX(DB,I749,8),"")</f>
        <v/>
      </c>
      <c r="D749" s="437">
        <f t="shared" si="1"/>
        <v>0</v>
      </c>
      <c r="F749" s="438">
        <f t="shared" si="2"/>
        <v>0</v>
      </c>
      <c r="G749" t="str">
        <f t="shared" si="3"/>
        <v/>
      </c>
      <c r="H749" t="b">
        <f t="shared" si="4"/>
        <v>0</v>
      </c>
      <c r="I749" s="439">
        <f>IF(OR(ISBLANK(A749),ISNA(MATCH(A749&amp;"",AthleteNumbers,0))),0,MATCH(A749&amp;"",AthleteNumbers,0))</f>
        <v>0</v>
      </c>
      <c r="J749" s="209">
        <f t="array" ref="J749">IF(I749&gt;0,INDEX(DB,$I749,6),0)</f>
        <v>0</v>
      </c>
      <c r="K749" s="446">
        <f t="shared" si="5"/>
        <v>0</v>
      </c>
      <c r="L749" s="440">
        <f t="shared" si="6"/>
        <v>0</v>
      </c>
      <c r="M749" s="441">
        <f>IF(AND(L749&gt;O749,O749&gt;0),MinPoints,IF(AND(L749&lt;N749,O749&gt;0),100,+INT((O749-$L749)/P749)+MinPoints))</f>
        <v>100</v>
      </c>
      <c r="N749" s="440">
        <f t="shared" si="7"/>
        <v>90</v>
      </c>
      <c r="O749" s="440">
        <f t="shared" si="8"/>
        <v>180</v>
      </c>
      <c r="P749" s="440">
        <f t="shared" si="9"/>
        <v>1</v>
      </c>
      <c r="Q749">
        <f t="array" ref="Q749">IF(I749&gt;0,INDEX(DB,I749,9),EventIndex)</f>
        <v>6</v>
      </c>
      <c r="S749">
        <f t="array" ref="S749">(INT(INDEX(MINVALUES,$Q749,$K$1))*60)+(MOD(INDEX(MINVALUES,$Q749,$K$1),1)*100)</f>
        <v>180</v>
      </c>
      <c r="T749">
        <f t="array" ref="T749">(INDEX(INCVALUES,$Q749,$K$1)*100)</f>
        <v>1</v>
      </c>
      <c r="V749">
        <f t="array" ref="V749">+J749+(4*(INDEX(MatchScoreTable,$Q749,20)-1))</f>
        <v>4</v>
      </c>
      <c r="W749">
        <f t="array" ref="W749">INDEX(INC_MINVALUES,$V749,$K$1)</f>
        <v>480</v>
      </c>
      <c r="X749" s="212">
        <f t="array" ref="X749">INDEX(INC_INCVALUES,$V749,$K$1)</f>
        <v>4</v>
      </c>
    </row>
    <row r="750" ht="15.75" customHeight="1">
      <c r="A750" s="435"/>
      <c r="B750" s="436"/>
      <c r="C750" s="95" t="str">
        <f t="array" ref="C750">IF(I750&gt;0,INDEX(DB,I750,8),"")</f>
        <v/>
      </c>
      <c r="D750" s="437">
        <f t="shared" si="1"/>
        <v>0</v>
      </c>
      <c r="F750" s="438">
        <f t="shared" si="2"/>
        <v>0</v>
      </c>
      <c r="G750" t="str">
        <f t="shared" si="3"/>
        <v/>
      </c>
      <c r="H750" t="b">
        <f t="shared" si="4"/>
        <v>0</v>
      </c>
      <c r="I750" s="439">
        <f>IF(OR(ISBLANK(A750),ISNA(MATCH(A750&amp;"",AthleteNumbers,0))),0,MATCH(A750&amp;"",AthleteNumbers,0))</f>
        <v>0</v>
      </c>
      <c r="J750" s="209">
        <f t="array" ref="J750">IF(I750&gt;0,INDEX(DB,$I750,6),0)</f>
        <v>0</v>
      </c>
      <c r="K750" s="446">
        <f t="shared" si="5"/>
        <v>0</v>
      </c>
      <c r="L750" s="440">
        <f t="shared" si="6"/>
        <v>0</v>
      </c>
      <c r="M750" s="441">
        <f>IF(AND(L750&gt;O750,O750&gt;0),MinPoints,IF(AND(L750&lt;N750,O750&gt;0),100,+INT((O750-$L750)/P750)+MinPoints))</f>
        <v>100</v>
      </c>
      <c r="N750" s="440">
        <f t="shared" si="7"/>
        <v>90</v>
      </c>
      <c r="O750" s="440">
        <f t="shared" si="8"/>
        <v>180</v>
      </c>
      <c r="P750" s="440">
        <f t="shared" si="9"/>
        <v>1</v>
      </c>
      <c r="Q750">
        <f t="array" ref="Q750">IF(I750&gt;0,INDEX(DB,I750,9),EventIndex)</f>
        <v>6</v>
      </c>
      <c r="S750">
        <f t="array" ref="S750">(INT(INDEX(MINVALUES,$Q750,$K$1))*60)+(MOD(INDEX(MINVALUES,$Q750,$K$1),1)*100)</f>
        <v>180</v>
      </c>
      <c r="T750">
        <f t="array" ref="T750">(INDEX(INCVALUES,$Q750,$K$1)*100)</f>
        <v>1</v>
      </c>
      <c r="V750">
        <f t="array" ref="V750">+J750+(4*(INDEX(MatchScoreTable,$Q750,20)-1))</f>
        <v>4</v>
      </c>
      <c r="W750">
        <f t="array" ref="W750">INDEX(INC_MINVALUES,$V750,$K$1)</f>
        <v>480</v>
      </c>
      <c r="X750" s="212">
        <f t="array" ref="X750">INDEX(INC_INCVALUES,$V750,$K$1)</f>
        <v>4</v>
      </c>
    </row>
    <row r="751" ht="15.75" customHeight="1">
      <c r="A751" s="435"/>
      <c r="B751" s="436"/>
      <c r="C751" s="95" t="str">
        <f t="array" ref="C751">IF(I751&gt;0,INDEX(DB,I751,8),"")</f>
        <v/>
      </c>
      <c r="D751" s="437">
        <f t="shared" si="1"/>
        <v>0</v>
      </c>
      <c r="F751" s="438">
        <f t="shared" si="2"/>
        <v>0</v>
      </c>
      <c r="G751" t="str">
        <f t="shared" si="3"/>
        <v/>
      </c>
      <c r="H751" t="b">
        <f t="shared" si="4"/>
        <v>0</v>
      </c>
      <c r="I751" s="439">
        <f>IF(OR(ISBLANK(A751),ISNA(MATCH(A751&amp;"",AthleteNumbers,0))),0,MATCH(A751&amp;"",AthleteNumbers,0))</f>
        <v>0</v>
      </c>
      <c r="J751" s="209">
        <f t="array" ref="J751">IF(I751&gt;0,INDEX(DB,$I751,6),0)</f>
        <v>0</v>
      </c>
      <c r="K751" s="446">
        <f t="shared" si="5"/>
        <v>0</v>
      </c>
      <c r="L751" s="440">
        <f t="shared" si="6"/>
        <v>0</v>
      </c>
      <c r="M751" s="441">
        <f>IF(AND(L751&gt;O751,O751&gt;0),MinPoints,IF(AND(L751&lt;N751,O751&gt;0),100,+INT((O751-$L751)/P751)+MinPoints))</f>
        <v>100</v>
      </c>
      <c r="N751" s="440">
        <f t="shared" si="7"/>
        <v>90</v>
      </c>
      <c r="O751" s="440">
        <f t="shared" si="8"/>
        <v>180</v>
      </c>
      <c r="P751" s="440">
        <f t="shared" si="9"/>
        <v>1</v>
      </c>
      <c r="Q751">
        <f t="array" ref="Q751">IF(I751&gt;0,INDEX(DB,I751,9),EventIndex)</f>
        <v>6</v>
      </c>
      <c r="S751">
        <f t="array" ref="S751">(INT(INDEX(MINVALUES,$Q751,$K$1))*60)+(MOD(INDEX(MINVALUES,$Q751,$K$1),1)*100)</f>
        <v>180</v>
      </c>
      <c r="T751">
        <f t="array" ref="T751">(INDEX(INCVALUES,$Q751,$K$1)*100)</f>
        <v>1</v>
      </c>
      <c r="V751">
        <f t="array" ref="V751">+J751+(4*(INDEX(MatchScoreTable,$Q751,20)-1))</f>
        <v>4</v>
      </c>
      <c r="W751">
        <f t="array" ref="W751">INDEX(INC_MINVALUES,$V751,$K$1)</f>
        <v>480</v>
      </c>
      <c r="X751" s="212">
        <f t="array" ref="X751">INDEX(INC_INCVALUES,$V751,$K$1)</f>
        <v>4</v>
      </c>
    </row>
    <row r="752" ht="15.75" customHeight="1">
      <c r="A752" s="435"/>
      <c r="B752" s="436"/>
      <c r="C752" s="95" t="str">
        <f t="array" ref="C752">IF(I752&gt;0,INDEX(DB,I752,8),"")</f>
        <v/>
      </c>
      <c r="D752" s="437">
        <f t="shared" si="1"/>
        <v>0</v>
      </c>
      <c r="F752" s="438">
        <f t="shared" si="2"/>
        <v>0</v>
      </c>
      <c r="G752" t="str">
        <f t="shared" si="3"/>
        <v/>
      </c>
      <c r="H752" t="b">
        <f t="shared" si="4"/>
        <v>0</v>
      </c>
      <c r="I752" s="439">
        <f>IF(OR(ISBLANK(A752),ISNA(MATCH(A752&amp;"",AthleteNumbers,0))),0,MATCH(A752&amp;"",AthleteNumbers,0))</f>
        <v>0</v>
      </c>
      <c r="J752" s="209">
        <f t="array" ref="J752">IF(I752&gt;0,INDEX(DB,$I752,6),0)</f>
        <v>0</v>
      </c>
      <c r="K752" s="446">
        <f t="shared" si="5"/>
        <v>0</v>
      </c>
      <c r="L752" s="440">
        <f t="shared" si="6"/>
        <v>0</v>
      </c>
      <c r="M752" s="441">
        <f>IF(AND(L752&gt;O752,O752&gt;0),MinPoints,IF(AND(L752&lt;N752,O752&gt;0),100,+INT((O752-$L752)/P752)+MinPoints))</f>
        <v>100</v>
      </c>
      <c r="N752" s="440">
        <f t="shared" si="7"/>
        <v>90</v>
      </c>
      <c r="O752" s="440">
        <f t="shared" si="8"/>
        <v>180</v>
      </c>
      <c r="P752" s="440">
        <f t="shared" si="9"/>
        <v>1</v>
      </c>
      <c r="Q752">
        <f t="array" ref="Q752">IF(I752&gt;0,INDEX(DB,I752,9),EventIndex)</f>
        <v>6</v>
      </c>
      <c r="S752">
        <f t="array" ref="S752">(INT(INDEX(MINVALUES,$Q752,$K$1))*60)+(MOD(INDEX(MINVALUES,$Q752,$K$1),1)*100)</f>
        <v>180</v>
      </c>
      <c r="T752">
        <f t="array" ref="T752">(INDEX(INCVALUES,$Q752,$K$1)*100)</f>
        <v>1</v>
      </c>
      <c r="V752">
        <f t="array" ref="V752">+J752+(4*(INDEX(MatchScoreTable,$Q752,20)-1))</f>
        <v>4</v>
      </c>
      <c r="W752">
        <f t="array" ref="W752">INDEX(INC_MINVALUES,$V752,$K$1)</f>
        <v>480</v>
      </c>
      <c r="X752" s="212">
        <f t="array" ref="X752">INDEX(INC_INCVALUES,$V752,$K$1)</f>
        <v>4</v>
      </c>
    </row>
    <row r="753" ht="15.75" customHeight="1">
      <c r="A753" s="435"/>
      <c r="B753" s="436"/>
      <c r="C753" s="95" t="str">
        <f t="array" ref="C753">IF(I753&gt;0,INDEX(DB,I753,8),"")</f>
        <v/>
      </c>
      <c r="D753" s="437">
        <f t="shared" si="1"/>
        <v>0</v>
      </c>
      <c r="F753" s="438">
        <f t="shared" si="2"/>
        <v>0</v>
      </c>
      <c r="G753" t="str">
        <f t="shared" si="3"/>
        <v/>
      </c>
      <c r="H753" t="b">
        <f t="shared" si="4"/>
        <v>0</v>
      </c>
      <c r="I753" s="439">
        <f>IF(OR(ISBLANK(A753),ISNA(MATCH(A753&amp;"",AthleteNumbers,0))),0,MATCH(A753&amp;"",AthleteNumbers,0))</f>
        <v>0</v>
      </c>
      <c r="J753" s="209">
        <f t="array" ref="J753">IF(I753&gt;0,INDEX(DB,$I753,6),0)</f>
        <v>0</v>
      </c>
      <c r="K753" s="446">
        <f t="shared" si="5"/>
        <v>0</v>
      </c>
      <c r="L753" s="440">
        <f t="shared" si="6"/>
        <v>0</v>
      </c>
      <c r="M753" s="441">
        <f>IF(AND(L753&gt;O753,O753&gt;0),MinPoints,IF(AND(L753&lt;N753,O753&gt;0),100,+INT((O753-$L753)/P753)+MinPoints))</f>
        <v>100</v>
      </c>
      <c r="N753" s="440">
        <f t="shared" si="7"/>
        <v>90</v>
      </c>
      <c r="O753" s="440">
        <f t="shared" si="8"/>
        <v>180</v>
      </c>
      <c r="P753" s="440">
        <f t="shared" si="9"/>
        <v>1</v>
      </c>
      <c r="Q753">
        <f t="array" ref="Q753">IF(I753&gt;0,INDEX(DB,I753,9),EventIndex)</f>
        <v>6</v>
      </c>
      <c r="S753">
        <f t="array" ref="S753">(INT(INDEX(MINVALUES,$Q753,$K$1))*60)+(MOD(INDEX(MINVALUES,$Q753,$K$1),1)*100)</f>
        <v>180</v>
      </c>
      <c r="T753">
        <f t="array" ref="T753">(INDEX(INCVALUES,$Q753,$K$1)*100)</f>
        <v>1</v>
      </c>
      <c r="V753">
        <f t="array" ref="V753">+J753+(4*(INDEX(MatchScoreTable,$Q753,20)-1))</f>
        <v>4</v>
      </c>
      <c r="W753">
        <f t="array" ref="W753">INDEX(INC_MINVALUES,$V753,$K$1)</f>
        <v>480</v>
      </c>
      <c r="X753" s="212">
        <f t="array" ref="X753">INDEX(INC_INCVALUES,$V753,$K$1)</f>
        <v>4</v>
      </c>
    </row>
    <row r="754" ht="15.75" customHeight="1">
      <c r="A754" s="435"/>
      <c r="B754" s="436"/>
      <c r="C754" s="95" t="str">
        <f t="array" ref="C754">IF(I754&gt;0,INDEX(DB,I754,8),"")</f>
        <v/>
      </c>
      <c r="D754" s="437">
        <f t="shared" si="1"/>
        <v>0</v>
      </c>
      <c r="F754" s="438">
        <f t="shared" si="2"/>
        <v>0</v>
      </c>
      <c r="G754" t="str">
        <f t="shared" si="3"/>
        <v/>
      </c>
      <c r="H754" t="b">
        <f t="shared" si="4"/>
        <v>0</v>
      </c>
      <c r="I754" s="439">
        <f>IF(OR(ISBLANK(A754),ISNA(MATCH(A754&amp;"",AthleteNumbers,0))),0,MATCH(A754&amp;"",AthleteNumbers,0))</f>
        <v>0</v>
      </c>
      <c r="J754" s="209">
        <f t="array" ref="J754">IF(I754&gt;0,INDEX(DB,$I754,6),0)</f>
        <v>0</v>
      </c>
      <c r="K754" s="446">
        <f t="shared" si="5"/>
        <v>0</v>
      </c>
      <c r="L754" s="440">
        <f t="shared" si="6"/>
        <v>0</v>
      </c>
      <c r="M754" s="441">
        <f>IF(AND(L754&gt;O754,O754&gt;0),MinPoints,IF(AND(L754&lt;N754,O754&gt;0),100,+INT((O754-$L754)/P754)+MinPoints))</f>
        <v>100</v>
      </c>
      <c r="N754" s="440">
        <f t="shared" si="7"/>
        <v>90</v>
      </c>
      <c r="O754" s="440">
        <f t="shared" si="8"/>
        <v>180</v>
      </c>
      <c r="P754" s="440">
        <f t="shared" si="9"/>
        <v>1</v>
      </c>
      <c r="Q754">
        <f t="array" ref="Q754">IF(I754&gt;0,INDEX(DB,I754,9),EventIndex)</f>
        <v>6</v>
      </c>
      <c r="S754">
        <f t="array" ref="S754">(INT(INDEX(MINVALUES,$Q754,$K$1))*60)+(MOD(INDEX(MINVALUES,$Q754,$K$1),1)*100)</f>
        <v>180</v>
      </c>
      <c r="T754">
        <f t="array" ref="T754">(INDEX(INCVALUES,$Q754,$K$1)*100)</f>
        <v>1</v>
      </c>
      <c r="V754">
        <f t="array" ref="V754">+J754+(4*(INDEX(MatchScoreTable,$Q754,20)-1))</f>
        <v>4</v>
      </c>
      <c r="W754">
        <f t="array" ref="W754">INDEX(INC_MINVALUES,$V754,$K$1)</f>
        <v>480</v>
      </c>
      <c r="X754" s="212">
        <f t="array" ref="X754">INDEX(INC_INCVALUES,$V754,$K$1)</f>
        <v>4</v>
      </c>
    </row>
    <row r="755" ht="15.75" customHeight="1">
      <c r="A755" s="435"/>
      <c r="B755" s="436"/>
      <c r="C755" s="95" t="str">
        <f t="array" ref="C755">IF(I755&gt;0,INDEX(DB,I755,8),"")</f>
        <v/>
      </c>
      <c r="D755" s="437">
        <f t="shared" si="1"/>
        <v>0</v>
      </c>
      <c r="F755" s="438">
        <f t="shared" si="2"/>
        <v>0</v>
      </c>
      <c r="G755" t="str">
        <f t="shared" si="3"/>
        <v/>
      </c>
      <c r="H755" t="b">
        <f t="shared" si="4"/>
        <v>0</v>
      </c>
      <c r="I755" s="439">
        <f>IF(OR(ISBLANK(A755),ISNA(MATCH(A755&amp;"",AthleteNumbers,0))),0,MATCH(A755&amp;"",AthleteNumbers,0))</f>
        <v>0</v>
      </c>
      <c r="J755" s="209">
        <f t="array" ref="J755">IF(I755&gt;0,INDEX(DB,$I755,6),0)</f>
        <v>0</v>
      </c>
      <c r="K755" s="446">
        <f t="shared" si="5"/>
        <v>0</v>
      </c>
      <c r="L755" s="440">
        <f t="shared" si="6"/>
        <v>0</v>
      </c>
      <c r="M755" s="441">
        <f>IF(AND(L755&gt;O755,O755&gt;0),MinPoints,IF(AND(L755&lt;N755,O755&gt;0),100,+INT((O755-$L755)/P755)+MinPoints))</f>
        <v>100</v>
      </c>
      <c r="N755" s="440">
        <f t="shared" si="7"/>
        <v>90</v>
      </c>
      <c r="O755" s="440">
        <f t="shared" si="8"/>
        <v>180</v>
      </c>
      <c r="P755" s="440">
        <f t="shared" si="9"/>
        <v>1</v>
      </c>
      <c r="Q755">
        <f t="array" ref="Q755">IF(I755&gt;0,INDEX(DB,I755,9),EventIndex)</f>
        <v>6</v>
      </c>
      <c r="S755">
        <f t="array" ref="S755">(INT(INDEX(MINVALUES,$Q755,$K$1))*60)+(MOD(INDEX(MINVALUES,$Q755,$K$1),1)*100)</f>
        <v>180</v>
      </c>
      <c r="T755">
        <f t="array" ref="T755">(INDEX(INCVALUES,$Q755,$K$1)*100)</f>
        <v>1</v>
      </c>
      <c r="V755">
        <f t="array" ref="V755">+J755+(4*(INDEX(MatchScoreTable,$Q755,20)-1))</f>
        <v>4</v>
      </c>
      <c r="W755">
        <f t="array" ref="W755">INDEX(INC_MINVALUES,$V755,$K$1)</f>
        <v>480</v>
      </c>
      <c r="X755" s="212">
        <f t="array" ref="X755">INDEX(INC_INCVALUES,$V755,$K$1)</f>
        <v>4</v>
      </c>
    </row>
    <row r="756" ht="15.75" customHeight="1">
      <c r="A756" s="435"/>
      <c r="B756" s="436"/>
      <c r="C756" s="95" t="str">
        <f t="array" ref="C756">IF(I756&gt;0,INDEX(DB,I756,8),"")</f>
        <v/>
      </c>
      <c r="D756" s="437">
        <f t="shared" si="1"/>
        <v>0</v>
      </c>
      <c r="F756" s="438">
        <f t="shared" si="2"/>
        <v>0</v>
      </c>
      <c r="G756" t="str">
        <f t="shared" si="3"/>
        <v/>
      </c>
      <c r="H756" t="b">
        <f t="shared" si="4"/>
        <v>0</v>
      </c>
      <c r="I756" s="439">
        <f>IF(OR(ISBLANK(A756),ISNA(MATCH(A756&amp;"",AthleteNumbers,0))),0,MATCH(A756&amp;"",AthleteNumbers,0))</f>
        <v>0</v>
      </c>
      <c r="J756" s="209">
        <f t="array" ref="J756">IF(I756&gt;0,INDEX(DB,$I756,6),0)</f>
        <v>0</v>
      </c>
      <c r="K756" s="446">
        <f t="shared" si="5"/>
        <v>0</v>
      </c>
      <c r="L756" s="440">
        <f t="shared" si="6"/>
        <v>0</v>
      </c>
      <c r="M756" s="441">
        <f>IF(AND(L756&gt;O756,O756&gt;0),MinPoints,IF(AND(L756&lt;N756,O756&gt;0),100,+INT((O756-$L756)/P756)+MinPoints))</f>
        <v>100</v>
      </c>
      <c r="N756" s="440">
        <f t="shared" si="7"/>
        <v>90</v>
      </c>
      <c r="O756" s="440">
        <f t="shared" si="8"/>
        <v>180</v>
      </c>
      <c r="P756" s="440">
        <f t="shared" si="9"/>
        <v>1</v>
      </c>
      <c r="Q756">
        <f t="array" ref="Q756">IF(I756&gt;0,INDEX(DB,I756,9),EventIndex)</f>
        <v>6</v>
      </c>
      <c r="S756">
        <f t="array" ref="S756">(INT(INDEX(MINVALUES,$Q756,$K$1))*60)+(MOD(INDEX(MINVALUES,$Q756,$K$1),1)*100)</f>
        <v>180</v>
      </c>
      <c r="T756">
        <f t="array" ref="T756">(INDEX(INCVALUES,$Q756,$K$1)*100)</f>
        <v>1</v>
      </c>
      <c r="V756">
        <f t="array" ref="V756">+J756+(4*(INDEX(MatchScoreTable,$Q756,20)-1))</f>
        <v>4</v>
      </c>
      <c r="W756">
        <f t="array" ref="W756">INDEX(INC_MINVALUES,$V756,$K$1)</f>
        <v>480</v>
      </c>
      <c r="X756" s="212">
        <f t="array" ref="X756">INDEX(INC_INCVALUES,$V756,$K$1)</f>
        <v>4</v>
      </c>
    </row>
    <row r="757" ht="15.75" customHeight="1">
      <c r="A757" s="435"/>
      <c r="B757" s="436"/>
      <c r="C757" s="95" t="str">
        <f t="array" ref="C757">IF(I757&gt;0,INDEX(DB,I757,8),"")</f>
        <v/>
      </c>
      <c r="D757" s="437">
        <f t="shared" si="1"/>
        <v>0</v>
      </c>
      <c r="F757" s="438">
        <f t="shared" si="2"/>
        <v>0</v>
      </c>
      <c r="G757" t="str">
        <f t="shared" si="3"/>
        <v/>
      </c>
      <c r="H757" t="b">
        <f t="shared" si="4"/>
        <v>0</v>
      </c>
      <c r="I757" s="439">
        <f>IF(OR(ISBLANK(A757),ISNA(MATCH(A757&amp;"",AthleteNumbers,0))),0,MATCH(A757&amp;"",AthleteNumbers,0))</f>
        <v>0</v>
      </c>
      <c r="J757" s="209">
        <f t="array" ref="J757">IF(I757&gt;0,INDEX(DB,$I757,6),0)</f>
        <v>0</v>
      </c>
      <c r="K757" s="446">
        <f t="shared" si="5"/>
        <v>0</v>
      </c>
      <c r="L757" s="440">
        <f t="shared" si="6"/>
        <v>0</v>
      </c>
      <c r="M757" s="441">
        <f>IF(AND(L757&gt;O757,O757&gt;0),MinPoints,IF(AND(L757&lt;N757,O757&gt;0),100,+INT((O757-$L757)/P757)+MinPoints))</f>
        <v>100</v>
      </c>
      <c r="N757" s="440">
        <f t="shared" si="7"/>
        <v>90</v>
      </c>
      <c r="O757" s="440">
        <f t="shared" si="8"/>
        <v>180</v>
      </c>
      <c r="P757" s="440">
        <f t="shared" si="9"/>
        <v>1</v>
      </c>
      <c r="Q757">
        <f t="array" ref="Q757">IF(I757&gt;0,INDEX(DB,I757,9),EventIndex)</f>
        <v>6</v>
      </c>
      <c r="S757">
        <f t="array" ref="S757">(INT(INDEX(MINVALUES,$Q757,$K$1))*60)+(MOD(INDEX(MINVALUES,$Q757,$K$1),1)*100)</f>
        <v>180</v>
      </c>
      <c r="T757">
        <f t="array" ref="T757">(INDEX(INCVALUES,$Q757,$K$1)*100)</f>
        <v>1</v>
      </c>
      <c r="V757">
        <f t="array" ref="V757">+J757+(4*(INDEX(MatchScoreTable,$Q757,20)-1))</f>
        <v>4</v>
      </c>
      <c r="W757">
        <f t="array" ref="W757">INDEX(INC_MINVALUES,$V757,$K$1)</f>
        <v>480</v>
      </c>
      <c r="X757" s="212">
        <f t="array" ref="X757">INDEX(INC_INCVALUES,$V757,$K$1)</f>
        <v>4</v>
      </c>
    </row>
    <row r="758" ht="15.75" customHeight="1">
      <c r="A758" s="435"/>
      <c r="B758" s="436"/>
      <c r="C758" s="95" t="str">
        <f t="array" ref="C758">IF(I758&gt;0,INDEX(DB,I758,8),"")</f>
        <v/>
      </c>
      <c r="D758" s="437">
        <f t="shared" si="1"/>
        <v>0</v>
      </c>
      <c r="F758" s="438">
        <f t="shared" si="2"/>
        <v>0</v>
      </c>
      <c r="G758" t="str">
        <f t="shared" si="3"/>
        <v/>
      </c>
      <c r="H758" t="b">
        <f t="shared" si="4"/>
        <v>0</v>
      </c>
      <c r="I758" s="439">
        <f>IF(OR(ISBLANK(A758),ISNA(MATCH(A758&amp;"",AthleteNumbers,0))),0,MATCH(A758&amp;"",AthleteNumbers,0))</f>
        <v>0</v>
      </c>
      <c r="J758" s="209">
        <f t="array" ref="J758">IF(I758&gt;0,INDEX(DB,$I758,6),0)</f>
        <v>0</v>
      </c>
      <c r="K758" s="446">
        <f t="shared" si="5"/>
        <v>0</v>
      </c>
      <c r="L758" s="440">
        <f t="shared" si="6"/>
        <v>0</v>
      </c>
      <c r="M758" s="441">
        <f>IF(AND(L758&gt;O758,O758&gt;0),MinPoints,IF(AND(L758&lt;N758,O758&gt;0),100,+INT((O758-$L758)/P758)+MinPoints))</f>
        <v>100</v>
      </c>
      <c r="N758" s="440">
        <f t="shared" si="7"/>
        <v>90</v>
      </c>
      <c r="O758" s="440">
        <f t="shared" si="8"/>
        <v>180</v>
      </c>
      <c r="P758" s="440">
        <f t="shared" si="9"/>
        <v>1</v>
      </c>
      <c r="Q758">
        <f t="array" ref="Q758">IF(I758&gt;0,INDEX(DB,I758,9),EventIndex)</f>
        <v>6</v>
      </c>
      <c r="S758">
        <f t="array" ref="S758">(INT(INDEX(MINVALUES,$Q758,$K$1))*60)+(MOD(INDEX(MINVALUES,$Q758,$K$1),1)*100)</f>
        <v>180</v>
      </c>
      <c r="T758">
        <f t="array" ref="T758">(INDEX(INCVALUES,$Q758,$K$1)*100)</f>
        <v>1</v>
      </c>
      <c r="V758">
        <f t="array" ref="V758">+J758+(4*(INDEX(MatchScoreTable,$Q758,20)-1))</f>
        <v>4</v>
      </c>
      <c r="W758">
        <f t="array" ref="W758">INDEX(INC_MINVALUES,$V758,$K$1)</f>
        <v>480</v>
      </c>
      <c r="X758" s="212">
        <f t="array" ref="X758">INDEX(INC_INCVALUES,$V758,$K$1)</f>
        <v>4</v>
      </c>
    </row>
    <row r="759" ht="15.75" customHeight="1">
      <c r="A759" s="435"/>
      <c r="B759" s="436"/>
      <c r="C759" s="95" t="str">
        <f t="array" ref="C759">IF(I759&gt;0,INDEX(DB,I759,8),"")</f>
        <v/>
      </c>
      <c r="D759" s="437">
        <f t="shared" si="1"/>
        <v>0</v>
      </c>
      <c r="F759" s="438">
        <f t="shared" si="2"/>
        <v>0</v>
      </c>
      <c r="G759" t="str">
        <f t="shared" si="3"/>
        <v/>
      </c>
      <c r="H759" t="b">
        <f t="shared" si="4"/>
        <v>0</v>
      </c>
      <c r="I759" s="439">
        <f>IF(OR(ISBLANK(A759),ISNA(MATCH(A759&amp;"",AthleteNumbers,0))),0,MATCH(A759&amp;"",AthleteNumbers,0))</f>
        <v>0</v>
      </c>
      <c r="J759" s="209">
        <f t="array" ref="J759">IF(I759&gt;0,INDEX(DB,$I759,6),0)</f>
        <v>0</v>
      </c>
      <c r="K759" s="446">
        <f t="shared" si="5"/>
        <v>0</v>
      </c>
      <c r="L759" s="440">
        <f t="shared" si="6"/>
        <v>0</v>
      </c>
      <c r="M759" s="441">
        <f>IF(AND(L759&gt;O759,O759&gt;0),MinPoints,IF(AND(L759&lt;N759,O759&gt;0),100,+INT((O759-$L759)/P759)+MinPoints))</f>
        <v>100</v>
      </c>
      <c r="N759" s="440">
        <f t="shared" si="7"/>
        <v>90</v>
      </c>
      <c r="O759" s="440">
        <f t="shared" si="8"/>
        <v>180</v>
      </c>
      <c r="P759" s="440">
        <f t="shared" si="9"/>
        <v>1</v>
      </c>
      <c r="Q759">
        <f t="array" ref="Q759">IF(I759&gt;0,INDEX(DB,I759,9),EventIndex)</f>
        <v>6</v>
      </c>
      <c r="S759">
        <f t="array" ref="S759">(INT(INDEX(MINVALUES,$Q759,$K$1))*60)+(MOD(INDEX(MINVALUES,$Q759,$K$1),1)*100)</f>
        <v>180</v>
      </c>
      <c r="T759">
        <f t="array" ref="T759">(INDEX(INCVALUES,$Q759,$K$1)*100)</f>
        <v>1</v>
      </c>
      <c r="V759">
        <f t="array" ref="V759">+J759+(4*(INDEX(MatchScoreTable,$Q759,20)-1))</f>
        <v>4</v>
      </c>
      <c r="W759">
        <f t="array" ref="W759">INDEX(INC_MINVALUES,$V759,$K$1)</f>
        <v>480</v>
      </c>
      <c r="X759" s="212">
        <f t="array" ref="X759">INDEX(INC_INCVALUES,$V759,$K$1)</f>
        <v>4</v>
      </c>
    </row>
    <row r="760" ht="15.75" customHeight="1">
      <c r="A760" s="435"/>
      <c r="B760" s="436"/>
      <c r="C760" s="95" t="str">
        <f t="array" ref="C760">IF(I760&gt;0,INDEX(DB,I760,8),"")</f>
        <v/>
      </c>
      <c r="D760" s="437">
        <f t="shared" si="1"/>
        <v>0</v>
      </c>
      <c r="F760" s="438">
        <f t="shared" si="2"/>
        <v>0</v>
      </c>
      <c r="G760" t="str">
        <f t="shared" si="3"/>
        <v/>
      </c>
      <c r="H760" t="b">
        <f t="shared" si="4"/>
        <v>0</v>
      </c>
      <c r="I760" s="439">
        <f>IF(OR(ISBLANK(A760),ISNA(MATCH(A760&amp;"",AthleteNumbers,0))),0,MATCH(A760&amp;"",AthleteNumbers,0))</f>
        <v>0</v>
      </c>
      <c r="J760" s="209">
        <f t="array" ref="J760">IF(I760&gt;0,INDEX(DB,$I760,6),0)</f>
        <v>0</v>
      </c>
      <c r="K760" s="446">
        <f t="shared" si="5"/>
        <v>0</v>
      </c>
      <c r="L760" s="440">
        <f t="shared" si="6"/>
        <v>0</v>
      </c>
      <c r="M760" s="441">
        <f>IF(AND(L760&gt;O760,O760&gt;0),MinPoints,IF(AND(L760&lt;N760,O760&gt;0),100,+INT((O760-$L760)/P760)+MinPoints))</f>
        <v>100</v>
      </c>
      <c r="N760" s="440">
        <f t="shared" si="7"/>
        <v>90</v>
      </c>
      <c r="O760" s="440">
        <f t="shared" si="8"/>
        <v>180</v>
      </c>
      <c r="P760" s="440">
        <f t="shared" si="9"/>
        <v>1</v>
      </c>
      <c r="Q760">
        <f t="array" ref="Q760">IF(I760&gt;0,INDEX(DB,I760,9),EventIndex)</f>
        <v>6</v>
      </c>
      <c r="S760">
        <f t="array" ref="S760">(INT(INDEX(MINVALUES,$Q760,$K$1))*60)+(MOD(INDEX(MINVALUES,$Q760,$K$1),1)*100)</f>
        <v>180</v>
      </c>
      <c r="T760">
        <f t="array" ref="T760">(INDEX(INCVALUES,$Q760,$K$1)*100)</f>
        <v>1</v>
      </c>
      <c r="V760">
        <f t="array" ref="V760">+J760+(4*(INDEX(MatchScoreTable,$Q760,20)-1))</f>
        <v>4</v>
      </c>
      <c r="W760">
        <f t="array" ref="W760">INDEX(INC_MINVALUES,$V760,$K$1)</f>
        <v>480</v>
      </c>
      <c r="X760" s="212">
        <f t="array" ref="X760">INDEX(INC_INCVALUES,$V760,$K$1)</f>
        <v>4</v>
      </c>
    </row>
    <row r="761" ht="15.75" customHeight="1">
      <c r="A761" s="435"/>
      <c r="B761" s="436"/>
      <c r="C761" s="95" t="str">
        <f t="array" ref="C761">IF(I761&gt;0,INDEX(DB,I761,8),"")</f>
        <v/>
      </c>
      <c r="D761" s="437">
        <f t="shared" si="1"/>
        <v>0</v>
      </c>
      <c r="F761" s="438">
        <f t="shared" si="2"/>
        <v>0</v>
      </c>
      <c r="G761" t="str">
        <f t="shared" si="3"/>
        <v/>
      </c>
      <c r="H761" t="b">
        <f t="shared" si="4"/>
        <v>0</v>
      </c>
      <c r="I761" s="439">
        <f>IF(OR(ISBLANK(A761),ISNA(MATCH(A761&amp;"",AthleteNumbers,0))),0,MATCH(A761&amp;"",AthleteNumbers,0))</f>
        <v>0</v>
      </c>
      <c r="J761" s="209">
        <f t="array" ref="J761">IF(I761&gt;0,INDEX(DB,$I761,6),0)</f>
        <v>0</v>
      </c>
      <c r="K761" s="446">
        <f t="shared" si="5"/>
        <v>0</v>
      </c>
      <c r="L761" s="440">
        <f t="shared" si="6"/>
        <v>0</v>
      </c>
      <c r="M761" s="441">
        <f>IF(AND(L761&gt;O761,O761&gt;0),MinPoints,IF(AND(L761&lt;N761,O761&gt;0),100,+INT((O761-$L761)/P761)+MinPoints))</f>
        <v>100</v>
      </c>
      <c r="N761" s="440">
        <f t="shared" si="7"/>
        <v>90</v>
      </c>
      <c r="O761" s="440">
        <f t="shared" si="8"/>
        <v>180</v>
      </c>
      <c r="P761" s="440">
        <f t="shared" si="9"/>
        <v>1</v>
      </c>
      <c r="Q761">
        <f t="array" ref="Q761">IF(I761&gt;0,INDEX(DB,I761,9),EventIndex)</f>
        <v>6</v>
      </c>
      <c r="S761">
        <f t="array" ref="S761">(INT(INDEX(MINVALUES,$Q761,$K$1))*60)+(MOD(INDEX(MINVALUES,$Q761,$K$1),1)*100)</f>
        <v>180</v>
      </c>
      <c r="T761">
        <f t="array" ref="T761">(INDEX(INCVALUES,$Q761,$K$1)*100)</f>
        <v>1</v>
      </c>
      <c r="V761">
        <f t="array" ref="V761">+J761+(4*(INDEX(MatchScoreTable,$Q761,20)-1))</f>
        <v>4</v>
      </c>
      <c r="W761">
        <f t="array" ref="W761">INDEX(INC_MINVALUES,$V761,$K$1)</f>
        <v>480</v>
      </c>
      <c r="X761" s="212">
        <f t="array" ref="X761">INDEX(INC_INCVALUES,$V761,$K$1)</f>
        <v>4</v>
      </c>
    </row>
    <row r="762" ht="15.75" customHeight="1">
      <c r="A762" s="435"/>
      <c r="B762" s="436"/>
      <c r="C762" s="95" t="str">
        <f t="array" ref="C762">IF(I762&gt;0,INDEX(DB,I762,8),"")</f>
        <v/>
      </c>
      <c r="D762" s="437">
        <f t="shared" si="1"/>
        <v>0</v>
      </c>
      <c r="F762" s="438">
        <f t="shared" si="2"/>
        <v>0</v>
      </c>
      <c r="G762" t="str">
        <f t="shared" si="3"/>
        <v/>
      </c>
      <c r="H762" t="b">
        <f t="shared" si="4"/>
        <v>0</v>
      </c>
      <c r="I762" s="439">
        <f>IF(OR(ISBLANK(A762),ISNA(MATCH(A762&amp;"",AthleteNumbers,0))),0,MATCH(A762&amp;"",AthleteNumbers,0))</f>
        <v>0</v>
      </c>
      <c r="J762" s="209">
        <f t="array" ref="J762">IF(I762&gt;0,INDEX(DB,$I762,6),0)</f>
        <v>0</v>
      </c>
      <c r="K762" s="446">
        <f t="shared" si="5"/>
        <v>0</v>
      </c>
      <c r="L762" s="440">
        <f t="shared" si="6"/>
        <v>0</v>
      </c>
      <c r="M762" s="441">
        <f>IF(AND(L762&gt;O762,O762&gt;0),MinPoints,IF(AND(L762&lt;N762,O762&gt;0),100,+INT((O762-$L762)/P762)+MinPoints))</f>
        <v>100</v>
      </c>
      <c r="N762" s="440">
        <f t="shared" si="7"/>
        <v>90</v>
      </c>
      <c r="O762" s="440">
        <f t="shared" si="8"/>
        <v>180</v>
      </c>
      <c r="P762" s="440">
        <f t="shared" si="9"/>
        <v>1</v>
      </c>
      <c r="Q762">
        <f t="array" ref="Q762">IF(I762&gt;0,INDEX(DB,I762,9),EventIndex)</f>
        <v>6</v>
      </c>
      <c r="S762">
        <f t="array" ref="S762">(INT(INDEX(MINVALUES,$Q762,$K$1))*60)+(MOD(INDEX(MINVALUES,$Q762,$K$1),1)*100)</f>
        <v>180</v>
      </c>
      <c r="T762">
        <f t="array" ref="T762">(INDEX(INCVALUES,$Q762,$K$1)*100)</f>
        <v>1</v>
      </c>
      <c r="V762">
        <f t="array" ref="V762">+J762+(4*(INDEX(MatchScoreTable,$Q762,20)-1))</f>
        <v>4</v>
      </c>
      <c r="W762">
        <f t="array" ref="W762">INDEX(INC_MINVALUES,$V762,$K$1)</f>
        <v>480</v>
      </c>
      <c r="X762" s="212">
        <f t="array" ref="X762">INDEX(INC_INCVALUES,$V762,$K$1)</f>
        <v>4</v>
      </c>
    </row>
    <row r="763" ht="15.75" customHeight="1">
      <c r="A763" s="435"/>
      <c r="B763" s="436"/>
      <c r="C763" s="95" t="str">
        <f t="array" ref="C763">IF(I763&gt;0,INDEX(DB,I763,8),"")</f>
        <v/>
      </c>
      <c r="D763" s="437">
        <f t="shared" si="1"/>
        <v>0</v>
      </c>
      <c r="F763" s="438">
        <f t="shared" si="2"/>
        <v>0</v>
      </c>
      <c r="G763" t="str">
        <f t="shared" si="3"/>
        <v/>
      </c>
      <c r="H763" t="b">
        <f t="shared" si="4"/>
        <v>0</v>
      </c>
      <c r="I763" s="439">
        <f>IF(OR(ISBLANK(A763),ISNA(MATCH(A763&amp;"",AthleteNumbers,0))),0,MATCH(A763&amp;"",AthleteNumbers,0))</f>
        <v>0</v>
      </c>
      <c r="J763" s="209">
        <f t="array" ref="J763">IF(I763&gt;0,INDEX(DB,$I763,6),0)</f>
        <v>0</v>
      </c>
      <c r="K763" s="446">
        <f t="shared" si="5"/>
        <v>0</v>
      </c>
      <c r="L763" s="440">
        <f t="shared" si="6"/>
        <v>0</v>
      </c>
      <c r="M763" s="441">
        <f>IF(AND(L763&gt;O763,O763&gt;0),MinPoints,IF(AND(L763&lt;N763,O763&gt;0),100,+INT((O763-$L763)/P763)+MinPoints))</f>
        <v>100</v>
      </c>
      <c r="N763" s="440">
        <f t="shared" si="7"/>
        <v>90</v>
      </c>
      <c r="O763" s="440">
        <f t="shared" si="8"/>
        <v>180</v>
      </c>
      <c r="P763" s="440">
        <f t="shared" si="9"/>
        <v>1</v>
      </c>
      <c r="Q763">
        <f t="array" ref="Q763">IF(I763&gt;0,INDEX(DB,I763,9),EventIndex)</f>
        <v>6</v>
      </c>
      <c r="S763">
        <f t="array" ref="S763">(INT(INDEX(MINVALUES,$Q763,$K$1))*60)+(MOD(INDEX(MINVALUES,$Q763,$K$1),1)*100)</f>
        <v>180</v>
      </c>
      <c r="T763">
        <f t="array" ref="T763">(INDEX(INCVALUES,$Q763,$K$1)*100)</f>
        <v>1</v>
      </c>
      <c r="V763">
        <f t="array" ref="V763">+J763+(4*(INDEX(MatchScoreTable,$Q763,20)-1))</f>
        <v>4</v>
      </c>
      <c r="W763">
        <f t="array" ref="W763">INDEX(INC_MINVALUES,$V763,$K$1)</f>
        <v>480</v>
      </c>
      <c r="X763" s="212">
        <f t="array" ref="X763">INDEX(INC_INCVALUES,$V763,$K$1)</f>
        <v>4</v>
      </c>
    </row>
    <row r="764" ht="15.75" customHeight="1">
      <c r="A764" s="435"/>
      <c r="B764" s="436"/>
      <c r="C764" s="95" t="str">
        <f t="array" ref="C764">IF(I764&gt;0,INDEX(DB,I764,8),"")</f>
        <v/>
      </c>
      <c r="D764" s="437">
        <f t="shared" si="1"/>
        <v>0</v>
      </c>
      <c r="F764" s="438">
        <f t="shared" si="2"/>
        <v>0</v>
      </c>
      <c r="G764" t="str">
        <f t="shared" si="3"/>
        <v/>
      </c>
      <c r="H764" t="b">
        <f t="shared" si="4"/>
        <v>0</v>
      </c>
      <c r="I764" s="439">
        <f>IF(OR(ISBLANK(A764),ISNA(MATCH(A764&amp;"",AthleteNumbers,0))),0,MATCH(A764&amp;"",AthleteNumbers,0))</f>
        <v>0</v>
      </c>
      <c r="J764" s="209">
        <f t="array" ref="J764">IF(I764&gt;0,INDEX(DB,$I764,6),0)</f>
        <v>0</v>
      </c>
      <c r="K764" s="446">
        <f t="shared" si="5"/>
        <v>0</v>
      </c>
      <c r="L764" s="440">
        <f t="shared" si="6"/>
        <v>0</v>
      </c>
      <c r="M764" s="441">
        <f>IF(AND(L764&gt;O764,O764&gt;0),MinPoints,IF(AND(L764&lt;N764,O764&gt;0),100,+INT((O764-$L764)/P764)+MinPoints))</f>
        <v>100</v>
      </c>
      <c r="N764" s="440">
        <f t="shared" si="7"/>
        <v>90</v>
      </c>
      <c r="O764" s="440">
        <f t="shared" si="8"/>
        <v>180</v>
      </c>
      <c r="P764" s="440">
        <f t="shared" si="9"/>
        <v>1</v>
      </c>
      <c r="Q764">
        <f t="array" ref="Q764">IF(I764&gt;0,INDEX(DB,I764,9),EventIndex)</f>
        <v>6</v>
      </c>
      <c r="S764">
        <f t="array" ref="S764">(INT(INDEX(MINVALUES,$Q764,$K$1))*60)+(MOD(INDEX(MINVALUES,$Q764,$K$1),1)*100)</f>
        <v>180</v>
      </c>
      <c r="T764">
        <f t="array" ref="T764">(INDEX(INCVALUES,$Q764,$K$1)*100)</f>
        <v>1</v>
      </c>
      <c r="V764">
        <f t="array" ref="V764">+J764+(4*(INDEX(MatchScoreTable,$Q764,20)-1))</f>
        <v>4</v>
      </c>
      <c r="W764">
        <f t="array" ref="W764">INDEX(INC_MINVALUES,$V764,$K$1)</f>
        <v>480</v>
      </c>
      <c r="X764" s="212">
        <f t="array" ref="X764">INDEX(INC_INCVALUES,$V764,$K$1)</f>
        <v>4</v>
      </c>
    </row>
    <row r="765" ht="15.75" customHeight="1">
      <c r="A765" s="435"/>
      <c r="B765" s="436"/>
      <c r="C765" s="95" t="str">
        <f t="array" ref="C765">IF(I765&gt;0,INDEX(DB,I765,8),"")</f>
        <v/>
      </c>
      <c r="D765" s="437">
        <f t="shared" si="1"/>
        <v>0</v>
      </c>
      <c r="F765" s="438">
        <f t="shared" si="2"/>
        <v>0</v>
      </c>
      <c r="G765" t="str">
        <f t="shared" si="3"/>
        <v/>
      </c>
      <c r="H765" t="b">
        <f t="shared" si="4"/>
        <v>0</v>
      </c>
      <c r="I765" s="439">
        <f>IF(OR(ISBLANK(A765),ISNA(MATCH(A765&amp;"",AthleteNumbers,0))),0,MATCH(A765&amp;"",AthleteNumbers,0))</f>
        <v>0</v>
      </c>
      <c r="J765" s="209">
        <f t="array" ref="J765">IF(I765&gt;0,INDEX(DB,$I765,6),0)</f>
        <v>0</v>
      </c>
      <c r="K765" s="446">
        <f t="shared" si="5"/>
        <v>0</v>
      </c>
      <c r="L765" s="440">
        <f t="shared" si="6"/>
        <v>0</v>
      </c>
      <c r="M765" s="441">
        <f>IF(AND(L765&gt;O765,O765&gt;0),MinPoints,IF(AND(L765&lt;N765,O765&gt;0),100,+INT((O765-$L765)/P765)+MinPoints))</f>
        <v>100</v>
      </c>
      <c r="N765" s="440">
        <f t="shared" si="7"/>
        <v>90</v>
      </c>
      <c r="O765" s="440">
        <f t="shared" si="8"/>
        <v>180</v>
      </c>
      <c r="P765" s="440">
        <f t="shared" si="9"/>
        <v>1</v>
      </c>
      <c r="Q765">
        <f t="array" ref="Q765">IF(I765&gt;0,INDEX(DB,I765,9),EventIndex)</f>
        <v>6</v>
      </c>
      <c r="S765">
        <f t="array" ref="S765">(INT(INDEX(MINVALUES,$Q765,$K$1))*60)+(MOD(INDEX(MINVALUES,$Q765,$K$1),1)*100)</f>
        <v>180</v>
      </c>
      <c r="T765">
        <f t="array" ref="T765">(INDEX(INCVALUES,$Q765,$K$1)*100)</f>
        <v>1</v>
      </c>
      <c r="V765">
        <f t="array" ref="V765">+J765+(4*(INDEX(MatchScoreTable,$Q765,20)-1))</f>
        <v>4</v>
      </c>
      <c r="W765">
        <f t="array" ref="W765">INDEX(INC_MINVALUES,$V765,$K$1)</f>
        <v>480</v>
      </c>
      <c r="X765" s="212">
        <f t="array" ref="X765">INDEX(INC_INCVALUES,$V765,$K$1)</f>
        <v>4</v>
      </c>
    </row>
    <row r="766" ht="15.75" customHeight="1">
      <c r="A766" s="435"/>
      <c r="B766" s="436"/>
      <c r="C766" s="95" t="str">
        <f t="array" ref="C766">IF(I766&gt;0,INDEX(DB,I766,8),"")</f>
        <v/>
      </c>
      <c r="D766" s="437">
        <f t="shared" si="1"/>
        <v>0</v>
      </c>
      <c r="F766" s="438">
        <f t="shared" si="2"/>
        <v>0</v>
      </c>
      <c r="G766" t="str">
        <f t="shared" si="3"/>
        <v/>
      </c>
      <c r="H766" t="b">
        <f t="shared" si="4"/>
        <v>0</v>
      </c>
      <c r="I766" s="439">
        <f>IF(OR(ISBLANK(A766),ISNA(MATCH(A766&amp;"",AthleteNumbers,0))),0,MATCH(A766&amp;"",AthleteNumbers,0))</f>
        <v>0</v>
      </c>
      <c r="J766" s="209">
        <f t="array" ref="J766">IF(I766&gt;0,INDEX(DB,$I766,6),0)</f>
        <v>0</v>
      </c>
      <c r="K766" s="446">
        <f t="shared" si="5"/>
        <v>0</v>
      </c>
      <c r="L766" s="440">
        <f t="shared" si="6"/>
        <v>0</v>
      </c>
      <c r="M766" s="441">
        <f>IF(AND(L766&gt;O766,O766&gt;0),MinPoints,IF(AND(L766&lt;N766,O766&gt;0),100,+INT((O766-$L766)/P766)+MinPoints))</f>
        <v>100</v>
      </c>
      <c r="N766" s="440">
        <f t="shared" si="7"/>
        <v>90</v>
      </c>
      <c r="O766" s="440">
        <f t="shared" si="8"/>
        <v>180</v>
      </c>
      <c r="P766" s="440">
        <f t="shared" si="9"/>
        <v>1</v>
      </c>
      <c r="Q766">
        <f t="array" ref="Q766">IF(I766&gt;0,INDEX(DB,I766,9),EventIndex)</f>
        <v>6</v>
      </c>
      <c r="S766">
        <f t="array" ref="S766">(INT(INDEX(MINVALUES,$Q766,$K$1))*60)+(MOD(INDEX(MINVALUES,$Q766,$K$1),1)*100)</f>
        <v>180</v>
      </c>
      <c r="T766">
        <f t="array" ref="T766">(INDEX(INCVALUES,$Q766,$K$1)*100)</f>
        <v>1</v>
      </c>
      <c r="V766">
        <f t="array" ref="V766">+J766+(4*(INDEX(MatchScoreTable,$Q766,20)-1))</f>
        <v>4</v>
      </c>
      <c r="W766">
        <f t="array" ref="W766">INDEX(INC_MINVALUES,$V766,$K$1)</f>
        <v>480</v>
      </c>
      <c r="X766" s="212">
        <f t="array" ref="X766">INDEX(INC_INCVALUES,$V766,$K$1)</f>
        <v>4</v>
      </c>
    </row>
    <row r="767" ht="15.75" customHeight="1">
      <c r="A767" s="435"/>
      <c r="B767" s="436"/>
      <c r="C767" s="95" t="str">
        <f t="array" ref="C767">IF(I767&gt;0,INDEX(DB,I767,8),"")</f>
        <v/>
      </c>
      <c r="D767" s="437">
        <f t="shared" si="1"/>
        <v>0</v>
      </c>
      <c r="F767" s="438">
        <f t="shared" si="2"/>
        <v>0</v>
      </c>
      <c r="G767" t="str">
        <f t="shared" si="3"/>
        <v/>
      </c>
      <c r="H767" t="b">
        <f t="shared" si="4"/>
        <v>0</v>
      </c>
      <c r="I767" s="439">
        <f>IF(OR(ISBLANK(A767),ISNA(MATCH(A767&amp;"",AthleteNumbers,0))),0,MATCH(A767&amp;"",AthleteNumbers,0))</f>
        <v>0</v>
      </c>
      <c r="J767" s="209">
        <f t="array" ref="J767">IF(I767&gt;0,INDEX(DB,$I767,6),0)</f>
        <v>0</v>
      </c>
      <c r="K767" s="446">
        <f t="shared" si="5"/>
        <v>0</v>
      </c>
      <c r="L767" s="440">
        <f t="shared" si="6"/>
        <v>0</v>
      </c>
      <c r="M767" s="441">
        <f>IF(AND(L767&gt;O767,O767&gt;0),MinPoints,IF(AND(L767&lt;N767,O767&gt;0),100,+INT((O767-$L767)/P767)+MinPoints))</f>
        <v>100</v>
      </c>
      <c r="N767" s="440">
        <f t="shared" si="7"/>
        <v>90</v>
      </c>
      <c r="O767" s="440">
        <f t="shared" si="8"/>
        <v>180</v>
      </c>
      <c r="P767" s="440">
        <f t="shared" si="9"/>
        <v>1</v>
      </c>
      <c r="Q767">
        <f t="array" ref="Q767">IF(I767&gt;0,INDEX(DB,I767,9),EventIndex)</f>
        <v>6</v>
      </c>
      <c r="S767">
        <f t="array" ref="S767">(INT(INDEX(MINVALUES,$Q767,$K$1))*60)+(MOD(INDEX(MINVALUES,$Q767,$K$1),1)*100)</f>
        <v>180</v>
      </c>
      <c r="T767">
        <f t="array" ref="T767">(INDEX(INCVALUES,$Q767,$K$1)*100)</f>
        <v>1</v>
      </c>
      <c r="V767">
        <f t="array" ref="V767">+J767+(4*(INDEX(MatchScoreTable,$Q767,20)-1))</f>
        <v>4</v>
      </c>
      <c r="W767">
        <f t="array" ref="W767">INDEX(INC_MINVALUES,$V767,$K$1)</f>
        <v>480</v>
      </c>
      <c r="X767" s="212">
        <f t="array" ref="X767">INDEX(INC_INCVALUES,$V767,$K$1)</f>
        <v>4</v>
      </c>
    </row>
    <row r="768" ht="15.75" customHeight="1">
      <c r="A768" s="435"/>
      <c r="B768" s="436"/>
      <c r="C768" s="95" t="str">
        <f t="array" ref="C768">IF(I768&gt;0,INDEX(DB,I768,8),"")</f>
        <v/>
      </c>
      <c r="D768" s="437">
        <f t="shared" si="1"/>
        <v>0</v>
      </c>
      <c r="F768" s="438">
        <f t="shared" si="2"/>
        <v>0</v>
      </c>
      <c r="G768" t="str">
        <f t="shared" si="3"/>
        <v/>
      </c>
      <c r="H768" t="b">
        <f t="shared" si="4"/>
        <v>0</v>
      </c>
      <c r="I768" s="439">
        <f>IF(OR(ISBLANK(A768),ISNA(MATCH(A768&amp;"",AthleteNumbers,0))),0,MATCH(A768&amp;"",AthleteNumbers,0))</f>
        <v>0</v>
      </c>
      <c r="J768" s="209">
        <f t="array" ref="J768">IF(I768&gt;0,INDEX(DB,$I768,6),0)</f>
        <v>0</v>
      </c>
      <c r="K768" s="446">
        <f t="shared" si="5"/>
        <v>0</v>
      </c>
      <c r="L768" s="440">
        <f t="shared" si="6"/>
        <v>0</v>
      </c>
      <c r="M768" s="441">
        <f>IF(AND(L768&gt;O768,O768&gt;0),MinPoints,IF(AND(L768&lt;N768,O768&gt;0),100,+INT((O768-$L768)/P768)+MinPoints))</f>
        <v>100</v>
      </c>
      <c r="N768" s="440">
        <f t="shared" si="7"/>
        <v>90</v>
      </c>
      <c r="O768" s="440">
        <f t="shared" si="8"/>
        <v>180</v>
      </c>
      <c r="P768" s="440">
        <f t="shared" si="9"/>
        <v>1</v>
      </c>
      <c r="Q768">
        <f t="array" ref="Q768">IF(I768&gt;0,INDEX(DB,I768,9),EventIndex)</f>
        <v>6</v>
      </c>
      <c r="S768">
        <f t="array" ref="S768">(INT(INDEX(MINVALUES,$Q768,$K$1))*60)+(MOD(INDEX(MINVALUES,$Q768,$K$1),1)*100)</f>
        <v>180</v>
      </c>
      <c r="T768">
        <f t="array" ref="T768">(INDEX(INCVALUES,$Q768,$K$1)*100)</f>
        <v>1</v>
      </c>
      <c r="V768">
        <f t="array" ref="V768">+J768+(4*(INDEX(MatchScoreTable,$Q768,20)-1))</f>
        <v>4</v>
      </c>
      <c r="W768">
        <f t="array" ref="W768">INDEX(INC_MINVALUES,$V768,$K$1)</f>
        <v>480</v>
      </c>
      <c r="X768" s="212">
        <f t="array" ref="X768">INDEX(INC_INCVALUES,$V768,$K$1)</f>
        <v>4</v>
      </c>
    </row>
    <row r="769" ht="15.75" customHeight="1">
      <c r="A769" s="435"/>
      <c r="B769" s="436"/>
      <c r="C769" s="95" t="str">
        <f t="array" ref="C769">IF(I769&gt;0,INDEX(DB,I769,8),"")</f>
        <v/>
      </c>
      <c r="D769" s="437">
        <f t="shared" si="1"/>
        <v>0</v>
      </c>
      <c r="F769" s="438">
        <f t="shared" si="2"/>
        <v>0</v>
      </c>
      <c r="G769" t="str">
        <f t="shared" si="3"/>
        <v/>
      </c>
      <c r="H769" t="b">
        <f t="shared" si="4"/>
        <v>0</v>
      </c>
      <c r="I769" s="439">
        <f>IF(OR(ISBLANK(A769),ISNA(MATCH(A769&amp;"",AthleteNumbers,0))),0,MATCH(A769&amp;"",AthleteNumbers,0))</f>
        <v>0</v>
      </c>
      <c r="J769" s="209">
        <f t="array" ref="J769">IF(I769&gt;0,INDEX(DB,$I769,6),0)</f>
        <v>0</v>
      </c>
      <c r="K769" s="446">
        <f t="shared" si="5"/>
        <v>0</v>
      </c>
      <c r="L769" s="440">
        <f t="shared" si="6"/>
        <v>0</v>
      </c>
      <c r="M769" s="441">
        <f>IF(AND(L769&gt;O769,O769&gt;0),MinPoints,IF(AND(L769&lt;N769,O769&gt;0),100,+INT((O769-$L769)/P769)+MinPoints))</f>
        <v>100</v>
      </c>
      <c r="N769" s="440">
        <f t="shared" si="7"/>
        <v>90</v>
      </c>
      <c r="O769" s="440">
        <f t="shared" si="8"/>
        <v>180</v>
      </c>
      <c r="P769" s="440">
        <f t="shared" si="9"/>
        <v>1</v>
      </c>
      <c r="Q769">
        <f t="array" ref="Q769">IF(I769&gt;0,INDEX(DB,I769,9),EventIndex)</f>
        <v>6</v>
      </c>
      <c r="S769">
        <f t="array" ref="S769">(INT(INDEX(MINVALUES,$Q769,$K$1))*60)+(MOD(INDEX(MINVALUES,$Q769,$K$1),1)*100)</f>
        <v>180</v>
      </c>
      <c r="T769">
        <f t="array" ref="T769">(INDEX(INCVALUES,$Q769,$K$1)*100)</f>
        <v>1</v>
      </c>
      <c r="V769">
        <f t="array" ref="V769">+J769+(4*(INDEX(MatchScoreTable,$Q769,20)-1))</f>
        <v>4</v>
      </c>
      <c r="W769">
        <f t="array" ref="W769">INDEX(INC_MINVALUES,$V769,$K$1)</f>
        <v>480</v>
      </c>
      <c r="X769" s="212">
        <f t="array" ref="X769">INDEX(INC_INCVALUES,$V769,$K$1)</f>
        <v>4</v>
      </c>
    </row>
    <row r="770" ht="15.75" customHeight="1">
      <c r="A770" s="435"/>
      <c r="B770" s="436"/>
      <c r="C770" s="95" t="str">
        <f t="array" ref="C770">IF(I770&gt;0,INDEX(DB,I770,8),"")</f>
        <v/>
      </c>
      <c r="D770" s="437">
        <f t="shared" si="1"/>
        <v>0</v>
      </c>
      <c r="F770" s="438">
        <f t="shared" si="2"/>
        <v>0</v>
      </c>
      <c r="G770" t="str">
        <f t="shared" si="3"/>
        <v/>
      </c>
      <c r="H770" t="b">
        <f t="shared" si="4"/>
        <v>0</v>
      </c>
      <c r="I770" s="439">
        <f>IF(OR(ISBLANK(A770),ISNA(MATCH(A770&amp;"",AthleteNumbers,0))),0,MATCH(A770&amp;"",AthleteNumbers,0))</f>
        <v>0</v>
      </c>
      <c r="J770" s="209">
        <f t="array" ref="J770">IF(I770&gt;0,INDEX(DB,$I770,6),0)</f>
        <v>0</v>
      </c>
      <c r="K770" s="446">
        <f t="shared" si="5"/>
        <v>0</v>
      </c>
      <c r="L770" s="440">
        <f t="shared" si="6"/>
        <v>0</v>
      </c>
      <c r="M770" s="441">
        <f>IF(AND(L770&gt;O770,O770&gt;0),MinPoints,IF(AND(L770&lt;N770,O770&gt;0),100,+INT((O770-$L770)/P770)+MinPoints))</f>
        <v>100</v>
      </c>
      <c r="N770" s="440">
        <f t="shared" si="7"/>
        <v>90</v>
      </c>
      <c r="O770" s="440">
        <f t="shared" si="8"/>
        <v>180</v>
      </c>
      <c r="P770" s="440">
        <f t="shared" si="9"/>
        <v>1</v>
      </c>
      <c r="Q770">
        <f t="array" ref="Q770">IF(I770&gt;0,INDEX(DB,I770,9),EventIndex)</f>
        <v>6</v>
      </c>
      <c r="S770">
        <f t="array" ref="S770">(INT(INDEX(MINVALUES,$Q770,$K$1))*60)+(MOD(INDEX(MINVALUES,$Q770,$K$1),1)*100)</f>
        <v>180</v>
      </c>
      <c r="T770">
        <f t="array" ref="T770">(INDEX(INCVALUES,$Q770,$K$1)*100)</f>
        <v>1</v>
      </c>
      <c r="V770">
        <f t="array" ref="V770">+J770+(4*(INDEX(MatchScoreTable,$Q770,20)-1))</f>
        <v>4</v>
      </c>
      <c r="W770">
        <f t="array" ref="W770">INDEX(INC_MINVALUES,$V770,$K$1)</f>
        <v>480</v>
      </c>
      <c r="X770" s="212">
        <f t="array" ref="X770">INDEX(INC_INCVALUES,$V770,$K$1)</f>
        <v>4</v>
      </c>
    </row>
    <row r="771" ht="15.75" customHeight="1">
      <c r="A771" s="435"/>
      <c r="B771" s="436"/>
      <c r="C771" s="95" t="str">
        <f t="array" ref="C771">IF(I771&gt;0,INDEX(DB,I771,8),"")</f>
        <v/>
      </c>
      <c r="D771" s="437">
        <f t="shared" si="1"/>
        <v>0</v>
      </c>
      <c r="F771" s="438">
        <f t="shared" si="2"/>
        <v>0</v>
      </c>
      <c r="G771" t="str">
        <f t="shared" si="3"/>
        <v/>
      </c>
      <c r="H771" t="b">
        <f t="shared" si="4"/>
        <v>0</v>
      </c>
      <c r="I771" s="439">
        <f>IF(OR(ISBLANK(A771),ISNA(MATCH(A771&amp;"",AthleteNumbers,0))),0,MATCH(A771&amp;"",AthleteNumbers,0))</f>
        <v>0</v>
      </c>
      <c r="J771" s="209">
        <f t="array" ref="J771">IF(I771&gt;0,INDEX(DB,$I771,6),0)</f>
        <v>0</v>
      </c>
      <c r="K771" s="446">
        <f t="shared" si="5"/>
        <v>0</v>
      </c>
      <c r="L771" s="440">
        <f t="shared" si="6"/>
        <v>0</v>
      </c>
      <c r="M771" s="441">
        <f>IF(AND(L771&gt;O771,O771&gt;0),MinPoints,IF(AND(L771&lt;N771,O771&gt;0),100,+INT((O771-$L771)/P771)+MinPoints))</f>
        <v>100</v>
      </c>
      <c r="N771" s="440">
        <f t="shared" si="7"/>
        <v>90</v>
      </c>
      <c r="O771" s="440">
        <f t="shared" si="8"/>
        <v>180</v>
      </c>
      <c r="P771" s="440">
        <f t="shared" si="9"/>
        <v>1</v>
      </c>
      <c r="Q771">
        <f t="array" ref="Q771">IF(I771&gt;0,INDEX(DB,I771,9),EventIndex)</f>
        <v>6</v>
      </c>
      <c r="S771">
        <f t="array" ref="S771">(INT(INDEX(MINVALUES,$Q771,$K$1))*60)+(MOD(INDEX(MINVALUES,$Q771,$K$1),1)*100)</f>
        <v>180</v>
      </c>
      <c r="T771">
        <f t="array" ref="T771">(INDEX(INCVALUES,$Q771,$K$1)*100)</f>
        <v>1</v>
      </c>
      <c r="V771">
        <f t="array" ref="V771">+J771+(4*(INDEX(MatchScoreTable,$Q771,20)-1))</f>
        <v>4</v>
      </c>
      <c r="W771">
        <f t="array" ref="W771">INDEX(INC_MINVALUES,$V771,$K$1)</f>
        <v>480</v>
      </c>
      <c r="X771" s="212">
        <f t="array" ref="X771">INDEX(INC_INCVALUES,$V771,$K$1)</f>
        <v>4</v>
      </c>
    </row>
    <row r="772" ht="15.75" customHeight="1">
      <c r="A772" s="435"/>
      <c r="B772" s="436"/>
      <c r="C772" s="95" t="str">
        <f t="array" ref="C772">IF(I772&gt;0,INDEX(DB,I772,8),"")</f>
        <v/>
      </c>
      <c r="D772" s="437">
        <f t="shared" si="1"/>
        <v>0</v>
      </c>
      <c r="F772" s="438">
        <f t="shared" si="2"/>
        <v>0</v>
      </c>
      <c r="G772" t="str">
        <f t="shared" si="3"/>
        <v/>
      </c>
      <c r="H772" t="b">
        <f t="shared" si="4"/>
        <v>0</v>
      </c>
      <c r="I772" s="439">
        <f>IF(OR(ISBLANK(A772),ISNA(MATCH(A772&amp;"",AthleteNumbers,0))),0,MATCH(A772&amp;"",AthleteNumbers,0))</f>
        <v>0</v>
      </c>
      <c r="J772" s="209">
        <f t="array" ref="J772">IF(I772&gt;0,INDEX(DB,$I772,6),0)</f>
        <v>0</v>
      </c>
      <c r="K772" s="446">
        <f t="shared" si="5"/>
        <v>0</v>
      </c>
      <c r="L772" s="440">
        <f t="shared" si="6"/>
        <v>0</v>
      </c>
      <c r="M772" s="441">
        <f>IF(AND(L772&gt;O772,O772&gt;0),MinPoints,IF(AND(L772&lt;N772,O772&gt;0),100,+INT((O772-$L772)/P772)+MinPoints))</f>
        <v>100</v>
      </c>
      <c r="N772" s="440">
        <f t="shared" si="7"/>
        <v>90</v>
      </c>
      <c r="O772" s="440">
        <f t="shared" si="8"/>
        <v>180</v>
      </c>
      <c r="P772" s="440">
        <f t="shared" si="9"/>
        <v>1</v>
      </c>
      <c r="Q772">
        <f t="array" ref="Q772">IF(I772&gt;0,INDEX(DB,I772,9),EventIndex)</f>
        <v>6</v>
      </c>
      <c r="S772">
        <f t="array" ref="S772">(INT(INDEX(MINVALUES,$Q772,$K$1))*60)+(MOD(INDEX(MINVALUES,$Q772,$K$1),1)*100)</f>
        <v>180</v>
      </c>
      <c r="T772">
        <f t="array" ref="T772">(INDEX(INCVALUES,$Q772,$K$1)*100)</f>
        <v>1</v>
      </c>
      <c r="V772">
        <f t="array" ref="V772">+J772+(4*(INDEX(MatchScoreTable,$Q772,20)-1))</f>
        <v>4</v>
      </c>
      <c r="W772">
        <f t="array" ref="W772">INDEX(INC_MINVALUES,$V772,$K$1)</f>
        <v>480</v>
      </c>
      <c r="X772" s="212">
        <f t="array" ref="X772">INDEX(INC_INCVALUES,$V772,$K$1)</f>
        <v>4</v>
      </c>
    </row>
    <row r="773" ht="15.75" customHeight="1">
      <c r="A773" s="435"/>
      <c r="B773" s="436"/>
      <c r="C773" s="95" t="str">
        <f t="array" ref="C773">IF(I773&gt;0,INDEX(DB,I773,8),"")</f>
        <v/>
      </c>
      <c r="D773" s="437">
        <f t="shared" si="1"/>
        <v>0</v>
      </c>
      <c r="F773" s="438">
        <f t="shared" si="2"/>
        <v>0</v>
      </c>
      <c r="G773" t="str">
        <f t="shared" si="3"/>
        <v/>
      </c>
      <c r="H773" t="b">
        <f t="shared" si="4"/>
        <v>0</v>
      </c>
      <c r="I773" s="439">
        <f>IF(OR(ISBLANK(A773),ISNA(MATCH(A773&amp;"",AthleteNumbers,0))),0,MATCH(A773&amp;"",AthleteNumbers,0))</f>
        <v>0</v>
      </c>
      <c r="J773" s="209">
        <f t="array" ref="J773">IF(I773&gt;0,INDEX(DB,$I773,6),0)</f>
        <v>0</v>
      </c>
      <c r="K773" s="446">
        <f t="shared" si="5"/>
        <v>0</v>
      </c>
      <c r="L773" s="440">
        <f t="shared" si="6"/>
        <v>0</v>
      </c>
      <c r="M773" s="441">
        <f>IF(AND(L773&gt;O773,O773&gt;0),MinPoints,IF(AND(L773&lt;N773,O773&gt;0),100,+INT((O773-$L773)/P773)+MinPoints))</f>
        <v>100</v>
      </c>
      <c r="N773" s="440">
        <f t="shared" si="7"/>
        <v>90</v>
      </c>
      <c r="O773" s="440">
        <f t="shared" si="8"/>
        <v>180</v>
      </c>
      <c r="P773" s="440">
        <f t="shared" si="9"/>
        <v>1</v>
      </c>
      <c r="Q773">
        <f t="array" ref="Q773">IF(I773&gt;0,INDEX(DB,I773,9),EventIndex)</f>
        <v>6</v>
      </c>
      <c r="S773">
        <f t="array" ref="S773">(INT(INDEX(MINVALUES,$Q773,$K$1))*60)+(MOD(INDEX(MINVALUES,$Q773,$K$1),1)*100)</f>
        <v>180</v>
      </c>
      <c r="T773">
        <f t="array" ref="T773">(INDEX(INCVALUES,$Q773,$K$1)*100)</f>
        <v>1</v>
      </c>
      <c r="V773">
        <f t="array" ref="V773">+J773+(4*(INDEX(MatchScoreTable,$Q773,20)-1))</f>
        <v>4</v>
      </c>
      <c r="W773">
        <f t="array" ref="W773">INDEX(INC_MINVALUES,$V773,$K$1)</f>
        <v>480</v>
      </c>
      <c r="X773" s="212">
        <f t="array" ref="X773">INDEX(INC_INCVALUES,$V773,$K$1)</f>
        <v>4</v>
      </c>
    </row>
    <row r="774" ht="15.75" customHeight="1">
      <c r="A774" s="435"/>
      <c r="B774" s="436"/>
      <c r="C774" s="95" t="str">
        <f t="array" ref="C774">IF(I774&gt;0,INDEX(DB,I774,8),"")</f>
        <v/>
      </c>
      <c r="D774" s="437">
        <f t="shared" si="1"/>
        <v>0</v>
      </c>
      <c r="F774" s="438">
        <f t="shared" si="2"/>
        <v>0</v>
      </c>
      <c r="G774" t="str">
        <f t="shared" si="3"/>
        <v/>
      </c>
      <c r="H774" t="b">
        <f t="shared" si="4"/>
        <v>0</v>
      </c>
      <c r="I774" s="439">
        <f>IF(OR(ISBLANK(A774),ISNA(MATCH(A774&amp;"",AthleteNumbers,0))),0,MATCH(A774&amp;"",AthleteNumbers,0))</f>
        <v>0</v>
      </c>
      <c r="J774" s="209">
        <f t="array" ref="J774">IF(I774&gt;0,INDEX(DB,$I774,6),0)</f>
        <v>0</v>
      </c>
      <c r="K774" s="446">
        <f t="shared" si="5"/>
        <v>0</v>
      </c>
      <c r="L774" s="440">
        <f t="shared" si="6"/>
        <v>0</v>
      </c>
      <c r="M774" s="441">
        <f>IF(AND(L774&gt;O774,O774&gt;0),MinPoints,IF(AND(L774&lt;N774,O774&gt;0),100,+INT((O774-$L774)/P774)+MinPoints))</f>
        <v>100</v>
      </c>
      <c r="N774" s="440">
        <f t="shared" si="7"/>
        <v>90</v>
      </c>
      <c r="O774" s="440">
        <f t="shared" si="8"/>
        <v>180</v>
      </c>
      <c r="P774" s="440">
        <f t="shared" si="9"/>
        <v>1</v>
      </c>
      <c r="Q774">
        <f t="array" ref="Q774">IF(I774&gt;0,INDEX(DB,I774,9),EventIndex)</f>
        <v>6</v>
      </c>
      <c r="S774">
        <f t="array" ref="S774">(INT(INDEX(MINVALUES,$Q774,$K$1))*60)+(MOD(INDEX(MINVALUES,$Q774,$K$1),1)*100)</f>
        <v>180</v>
      </c>
      <c r="T774">
        <f t="array" ref="T774">(INDEX(INCVALUES,$Q774,$K$1)*100)</f>
        <v>1</v>
      </c>
      <c r="V774">
        <f t="array" ref="V774">+J774+(4*(INDEX(MatchScoreTable,$Q774,20)-1))</f>
        <v>4</v>
      </c>
      <c r="W774">
        <f t="array" ref="W774">INDEX(INC_MINVALUES,$V774,$K$1)</f>
        <v>480</v>
      </c>
      <c r="X774" s="212">
        <f t="array" ref="X774">INDEX(INC_INCVALUES,$V774,$K$1)</f>
        <v>4</v>
      </c>
    </row>
    <row r="775" ht="15.75" customHeight="1">
      <c r="A775" s="435"/>
      <c r="B775" s="436"/>
      <c r="C775" s="95" t="str">
        <f t="array" ref="C775">IF(I775&gt;0,INDEX(DB,I775,8),"")</f>
        <v/>
      </c>
      <c r="D775" s="437">
        <f t="shared" si="1"/>
        <v>0</v>
      </c>
      <c r="F775" s="438">
        <f t="shared" si="2"/>
        <v>0</v>
      </c>
      <c r="G775" t="str">
        <f t="shared" si="3"/>
        <v/>
      </c>
      <c r="H775" t="b">
        <f t="shared" si="4"/>
        <v>0</v>
      </c>
      <c r="I775" s="439">
        <f>IF(OR(ISBLANK(A775),ISNA(MATCH(A775&amp;"",AthleteNumbers,0))),0,MATCH(A775&amp;"",AthleteNumbers,0))</f>
        <v>0</v>
      </c>
      <c r="J775" s="209">
        <f t="array" ref="J775">IF(I775&gt;0,INDEX(DB,$I775,6),0)</f>
        <v>0</v>
      </c>
      <c r="K775" s="446">
        <f t="shared" si="5"/>
        <v>0</v>
      </c>
      <c r="L775" s="440">
        <f t="shared" si="6"/>
        <v>0</v>
      </c>
      <c r="M775" s="441">
        <f>IF(AND(L775&gt;O775,O775&gt;0),MinPoints,IF(AND(L775&lt;N775,O775&gt;0),100,+INT((O775-$L775)/P775)+MinPoints))</f>
        <v>100</v>
      </c>
      <c r="N775" s="440">
        <f t="shared" si="7"/>
        <v>90</v>
      </c>
      <c r="O775" s="440">
        <f t="shared" si="8"/>
        <v>180</v>
      </c>
      <c r="P775" s="440">
        <f t="shared" si="9"/>
        <v>1</v>
      </c>
      <c r="Q775">
        <f t="array" ref="Q775">IF(I775&gt;0,INDEX(DB,I775,9),EventIndex)</f>
        <v>6</v>
      </c>
      <c r="S775">
        <f t="array" ref="S775">(INT(INDEX(MINVALUES,$Q775,$K$1))*60)+(MOD(INDEX(MINVALUES,$Q775,$K$1),1)*100)</f>
        <v>180</v>
      </c>
      <c r="T775">
        <f t="array" ref="T775">(INDEX(INCVALUES,$Q775,$K$1)*100)</f>
        <v>1</v>
      </c>
      <c r="V775">
        <f t="array" ref="V775">+J775+(4*(INDEX(MatchScoreTable,$Q775,20)-1))</f>
        <v>4</v>
      </c>
      <c r="W775">
        <f t="array" ref="W775">INDEX(INC_MINVALUES,$V775,$K$1)</f>
        <v>480</v>
      </c>
      <c r="X775" s="212">
        <f t="array" ref="X775">INDEX(INC_INCVALUES,$V775,$K$1)</f>
        <v>4</v>
      </c>
    </row>
    <row r="776" ht="15.75" customHeight="1">
      <c r="A776" s="435"/>
      <c r="B776" s="436"/>
      <c r="C776" s="95" t="str">
        <f t="array" ref="C776">IF(I776&gt;0,INDEX(DB,I776,8),"")</f>
        <v/>
      </c>
      <c r="D776" s="437">
        <f t="shared" si="1"/>
        <v>0</v>
      </c>
      <c r="F776" s="438">
        <f t="shared" si="2"/>
        <v>0</v>
      </c>
      <c r="G776" t="str">
        <f t="shared" si="3"/>
        <v/>
      </c>
      <c r="H776" t="b">
        <f t="shared" si="4"/>
        <v>0</v>
      </c>
      <c r="I776" s="439">
        <f>IF(OR(ISBLANK(A776),ISNA(MATCH(A776&amp;"",AthleteNumbers,0))),0,MATCH(A776&amp;"",AthleteNumbers,0))</f>
        <v>0</v>
      </c>
      <c r="J776" s="209">
        <f t="array" ref="J776">IF(I776&gt;0,INDEX(DB,$I776,6),0)</f>
        <v>0</v>
      </c>
      <c r="K776" s="446">
        <f t="shared" si="5"/>
        <v>0</v>
      </c>
      <c r="L776" s="440">
        <f t="shared" si="6"/>
        <v>0</v>
      </c>
      <c r="M776" s="441">
        <f>IF(AND(L776&gt;O776,O776&gt;0),MinPoints,IF(AND(L776&lt;N776,O776&gt;0),100,+INT((O776-$L776)/P776)+MinPoints))</f>
        <v>100</v>
      </c>
      <c r="N776" s="440">
        <f t="shared" si="7"/>
        <v>90</v>
      </c>
      <c r="O776" s="440">
        <f t="shared" si="8"/>
        <v>180</v>
      </c>
      <c r="P776" s="440">
        <f t="shared" si="9"/>
        <v>1</v>
      </c>
      <c r="Q776">
        <f t="array" ref="Q776">IF(I776&gt;0,INDEX(DB,I776,9),EventIndex)</f>
        <v>6</v>
      </c>
      <c r="S776">
        <f t="array" ref="S776">(INT(INDEX(MINVALUES,$Q776,$K$1))*60)+(MOD(INDEX(MINVALUES,$Q776,$K$1),1)*100)</f>
        <v>180</v>
      </c>
      <c r="T776">
        <f t="array" ref="T776">(INDEX(INCVALUES,$Q776,$K$1)*100)</f>
        <v>1</v>
      </c>
      <c r="V776">
        <f t="array" ref="V776">+J776+(4*(INDEX(MatchScoreTable,$Q776,20)-1))</f>
        <v>4</v>
      </c>
      <c r="W776">
        <f t="array" ref="W776">INDEX(INC_MINVALUES,$V776,$K$1)</f>
        <v>480</v>
      </c>
      <c r="X776" s="212">
        <f t="array" ref="X776">INDEX(INC_INCVALUES,$V776,$K$1)</f>
        <v>4</v>
      </c>
    </row>
    <row r="777" ht="15.75" customHeight="1">
      <c r="A777" s="435"/>
      <c r="B777" s="436"/>
      <c r="C777" s="95" t="str">
        <f t="array" ref="C777">IF(I777&gt;0,INDEX(DB,I777,8),"")</f>
        <v/>
      </c>
      <c r="D777" s="437">
        <f t="shared" si="1"/>
        <v>0</v>
      </c>
      <c r="F777" s="438">
        <f t="shared" si="2"/>
        <v>0</v>
      </c>
      <c r="G777" t="str">
        <f t="shared" si="3"/>
        <v/>
      </c>
      <c r="H777" t="b">
        <f t="shared" si="4"/>
        <v>0</v>
      </c>
      <c r="I777" s="439">
        <f>IF(OR(ISBLANK(A777),ISNA(MATCH(A777&amp;"",AthleteNumbers,0))),0,MATCH(A777&amp;"",AthleteNumbers,0))</f>
        <v>0</v>
      </c>
      <c r="J777" s="209">
        <f t="array" ref="J777">IF(I777&gt;0,INDEX(DB,$I777,6),0)</f>
        <v>0</v>
      </c>
      <c r="K777" s="446">
        <f t="shared" si="5"/>
        <v>0</v>
      </c>
      <c r="L777" s="440">
        <f t="shared" si="6"/>
        <v>0</v>
      </c>
      <c r="M777" s="441">
        <f>IF(AND(L777&gt;O777,O777&gt;0),MinPoints,IF(AND(L777&lt;N777,O777&gt;0),100,+INT((O777-$L777)/P777)+MinPoints))</f>
        <v>100</v>
      </c>
      <c r="N777" s="440">
        <f t="shared" si="7"/>
        <v>90</v>
      </c>
      <c r="O777" s="440">
        <f t="shared" si="8"/>
        <v>180</v>
      </c>
      <c r="P777" s="440">
        <f t="shared" si="9"/>
        <v>1</v>
      </c>
      <c r="Q777">
        <f t="array" ref="Q777">IF(I777&gt;0,INDEX(DB,I777,9),EventIndex)</f>
        <v>6</v>
      </c>
      <c r="S777">
        <f t="array" ref="S777">(INT(INDEX(MINVALUES,$Q777,$K$1))*60)+(MOD(INDEX(MINVALUES,$Q777,$K$1),1)*100)</f>
        <v>180</v>
      </c>
      <c r="T777">
        <f t="array" ref="T777">(INDEX(INCVALUES,$Q777,$K$1)*100)</f>
        <v>1</v>
      </c>
      <c r="V777">
        <f t="array" ref="V777">+J777+(4*(INDEX(MatchScoreTable,$Q777,20)-1))</f>
        <v>4</v>
      </c>
      <c r="W777">
        <f t="array" ref="W777">INDEX(INC_MINVALUES,$V777,$K$1)</f>
        <v>480</v>
      </c>
      <c r="X777" s="212">
        <f t="array" ref="X777">INDEX(INC_INCVALUES,$V777,$K$1)</f>
        <v>4</v>
      </c>
    </row>
    <row r="778" ht="15.75" customHeight="1">
      <c r="A778" s="435"/>
      <c r="B778" s="436"/>
      <c r="C778" s="95" t="str">
        <f t="array" ref="C778">IF(I778&gt;0,INDEX(DB,I778,8),"")</f>
        <v/>
      </c>
      <c r="D778" s="437">
        <f t="shared" si="1"/>
        <v>0</v>
      </c>
      <c r="F778" s="438">
        <f t="shared" si="2"/>
        <v>0</v>
      </c>
      <c r="G778" t="str">
        <f t="shared" si="3"/>
        <v/>
      </c>
      <c r="H778" t="b">
        <f t="shared" si="4"/>
        <v>0</v>
      </c>
      <c r="I778" s="439">
        <f>IF(OR(ISBLANK(A778),ISNA(MATCH(A778&amp;"",AthleteNumbers,0))),0,MATCH(A778&amp;"",AthleteNumbers,0))</f>
        <v>0</v>
      </c>
      <c r="J778" s="209">
        <f t="array" ref="J778">IF(I778&gt;0,INDEX(DB,$I778,6),0)</f>
        <v>0</v>
      </c>
      <c r="K778" s="446">
        <f t="shared" si="5"/>
        <v>0</v>
      </c>
      <c r="L778" s="440">
        <f t="shared" si="6"/>
        <v>0</v>
      </c>
      <c r="M778" s="441">
        <f>IF(AND(L778&gt;O778,O778&gt;0),MinPoints,IF(AND(L778&lt;N778,O778&gt;0),100,+INT((O778-$L778)/P778)+MinPoints))</f>
        <v>100</v>
      </c>
      <c r="N778" s="440">
        <f t="shared" si="7"/>
        <v>90</v>
      </c>
      <c r="O778" s="440">
        <f t="shared" si="8"/>
        <v>180</v>
      </c>
      <c r="P778" s="440">
        <f t="shared" si="9"/>
        <v>1</v>
      </c>
      <c r="Q778">
        <f t="array" ref="Q778">IF(I778&gt;0,INDEX(DB,I778,9),EventIndex)</f>
        <v>6</v>
      </c>
      <c r="S778">
        <f t="array" ref="S778">(INT(INDEX(MINVALUES,$Q778,$K$1))*60)+(MOD(INDEX(MINVALUES,$Q778,$K$1),1)*100)</f>
        <v>180</v>
      </c>
      <c r="T778">
        <f t="array" ref="T778">(INDEX(INCVALUES,$Q778,$K$1)*100)</f>
        <v>1</v>
      </c>
      <c r="V778">
        <f t="array" ref="V778">+J778+(4*(INDEX(MatchScoreTable,$Q778,20)-1))</f>
        <v>4</v>
      </c>
      <c r="W778">
        <f t="array" ref="W778">INDEX(INC_MINVALUES,$V778,$K$1)</f>
        <v>480</v>
      </c>
      <c r="X778" s="212">
        <f t="array" ref="X778">INDEX(INC_INCVALUES,$V778,$K$1)</f>
        <v>4</v>
      </c>
    </row>
    <row r="779" ht="15.75" customHeight="1">
      <c r="A779" s="435"/>
      <c r="B779" s="436"/>
      <c r="C779" s="95" t="str">
        <f t="array" ref="C779">IF(I779&gt;0,INDEX(DB,I779,8),"")</f>
        <v/>
      </c>
      <c r="D779" s="437">
        <f t="shared" si="1"/>
        <v>0</v>
      </c>
      <c r="F779" s="438">
        <f t="shared" si="2"/>
        <v>0</v>
      </c>
      <c r="G779" t="str">
        <f t="shared" si="3"/>
        <v/>
      </c>
      <c r="H779" t="b">
        <f t="shared" si="4"/>
        <v>0</v>
      </c>
      <c r="I779" s="439">
        <f>IF(OR(ISBLANK(A779),ISNA(MATCH(A779&amp;"",AthleteNumbers,0))),0,MATCH(A779&amp;"",AthleteNumbers,0))</f>
        <v>0</v>
      </c>
      <c r="J779" s="209">
        <f t="array" ref="J779">IF(I779&gt;0,INDEX(DB,$I779,6),0)</f>
        <v>0</v>
      </c>
      <c r="K779" s="446">
        <f t="shared" si="5"/>
        <v>0</v>
      </c>
      <c r="L779" s="440">
        <f t="shared" si="6"/>
        <v>0</v>
      </c>
      <c r="M779" s="441">
        <f>IF(AND(L779&gt;O779,O779&gt;0),MinPoints,IF(AND(L779&lt;N779,O779&gt;0),100,+INT((O779-$L779)/P779)+MinPoints))</f>
        <v>100</v>
      </c>
      <c r="N779" s="440">
        <f t="shared" si="7"/>
        <v>90</v>
      </c>
      <c r="O779" s="440">
        <f t="shared" si="8"/>
        <v>180</v>
      </c>
      <c r="P779" s="440">
        <f t="shared" si="9"/>
        <v>1</v>
      </c>
      <c r="Q779">
        <f t="array" ref="Q779">IF(I779&gt;0,INDEX(DB,I779,9),EventIndex)</f>
        <v>6</v>
      </c>
      <c r="S779">
        <f t="array" ref="S779">(INT(INDEX(MINVALUES,$Q779,$K$1))*60)+(MOD(INDEX(MINVALUES,$Q779,$K$1),1)*100)</f>
        <v>180</v>
      </c>
      <c r="T779">
        <f t="array" ref="T779">(INDEX(INCVALUES,$Q779,$K$1)*100)</f>
        <v>1</v>
      </c>
      <c r="V779">
        <f t="array" ref="V779">+J779+(4*(INDEX(MatchScoreTable,$Q779,20)-1))</f>
        <v>4</v>
      </c>
      <c r="W779">
        <f t="array" ref="W779">INDEX(INC_MINVALUES,$V779,$K$1)</f>
        <v>480</v>
      </c>
      <c r="X779" s="212">
        <f t="array" ref="X779">INDEX(INC_INCVALUES,$V779,$K$1)</f>
        <v>4</v>
      </c>
    </row>
    <row r="780" ht="15.75" customHeight="1">
      <c r="A780" s="435"/>
      <c r="B780" s="436"/>
      <c r="C780" s="95" t="str">
        <f t="array" ref="C780">IF(I780&gt;0,INDEX(DB,I780,8),"")</f>
        <v/>
      </c>
      <c r="D780" s="437">
        <f t="shared" si="1"/>
        <v>0</v>
      </c>
      <c r="F780" s="438">
        <f t="shared" si="2"/>
        <v>0</v>
      </c>
      <c r="G780" t="str">
        <f t="shared" si="3"/>
        <v/>
      </c>
      <c r="H780" t="b">
        <f t="shared" si="4"/>
        <v>0</v>
      </c>
      <c r="I780" s="439">
        <f>IF(OR(ISBLANK(A780),ISNA(MATCH(A780&amp;"",AthleteNumbers,0))),0,MATCH(A780&amp;"",AthleteNumbers,0))</f>
        <v>0</v>
      </c>
      <c r="J780" s="209">
        <f t="array" ref="J780">IF(I780&gt;0,INDEX(DB,$I780,6),0)</f>
        <v>0</v>
      </c>
      <c r="K780" s="446">
        <f t="shared" si="5"/>
        <v>0</v>
      </c>
      <c r="L780" s="440">
        <f t="shared" si="6"/>
        <v>0</v>
      </c>
      <c r="M780" s="441">
        <f>IF(AND(L780&gt;O780,O780&gt;0),MinPoints,IF(AND(L780&lt;N780,O780&gt;0),100,+INT((O780-$L780)/P780)+MinPoints))</f>
        <v>100</v>
      </c>
      <c r="N780" s="440">
        <f t="shared" si="7"/>
        <v>90</v>
      </c>
      <c r="O780" s="440">
        <f t="shared" si="8"/>
        <v>180</v>
      </c>
      <c r="P780" s="440">
        <f t="shared" si="9"/>
        <v>1</v>
      </c>
      <c r="Q780">
        <f t="array" ref="Q780">IF(I780&gt;0,INDEX(DB,I780,9),EventIndex)</f>
        <v>6</v>
      </c>
      <c r="S780">
        <f t="array" ref="S780">(INT(INDEX(MINVALUES,$Q780,$K$1))*60)+(MOD(INDEX(MINVALUES,$Q780,$K$1),1)*100)</f>
        <v>180</v>
      </c>
      <c r="T780">
        <f t="array" ref="T780">(INDEX(INCVALUES,$Q780,$K$1)*100)</f>
        <v>1</v>
      </c>
      <c r="V780">
        <f t="array" ref="V780">+J780+(4*(INDEX(MatchScoreTable,$Q780,20)-1))</f>
        <v>4</v>
      </c>
      <c r="W780">
        <f t="array" ref="W780">INDEX(INC_MINVALUES,$V780,$K$1)</f>
        <v>480</v>
      </c>
      <c r="X780" s="212">
        <f t="array" ref="X780">INDEX(INC_INCVALUES,$V780,$K$1)</f>
        <v>4</v>
      </c>
    </row>
    <row r="781" ht="15.75" customHeight="1">
      <c r="A781" s="435"/>
      <c r="B781" s="436"/>
      <c r="C781" s="95" t="str">
        <f t="array" ref="C781">IF(I781&gt;0,INDEX(DB,I781,8),"")</f>
        <v/>
      </c>
      <c r="D781" s="437">
        <f t="shared" si="1"/>
        <v>0</v>
      </c>
      <c r="F781" s="438">
        <f t="shared" si="2"/>
        <v>0</v>
      </c>
      <c r="G781" t="str">
        <f t="shared" si="3"/>
        <v/>
      </c>
      <c r="H781" t="b">
        <f t="shared" si="4"/>
        <v>0</v>
      </c>
      <c r="I781" s="439">
        <f>IF(OR(ISBLANK(A781),ISNA(MATCH(A781&amp;"",AthleteNumbers,0))),0,MATCH(A781&amp;"",AthleteNumbers,0))</f>
        <v>0</v>
      </c>
      <c r="J781" s="209">
        <f t="array" ref="J781">IF(I781&gt;0,INDEX(DB,$I781,6),0)</f>
        <v>0</v>
      </c>
      <c r="K781" s="446">
        <f t="shared" si="5"/>
        <v>0</v>
      </c>
      <c r="L781" s="440">
        <f t="shared" si="6"/>
        <v>0</v>
      </c>
      <c r="M781" s="441">
        <f>IF(AND(L781&gt;O781,O781&gt;0),MinPoints,IF(AND(L781&lt;N781,O781&gt;0),100,+INT((O781-$L781)/P781)+MinPoints))</f>
        <v>100</v>
      </c>
      <c r="N781" s="440">
        <f t="shared" si="7"/>
        <v>90</v>
      </c>
      <c r="O781" s="440">
        <f t="shared" si="8"/>
        <v>180</v>
      </c>
      <c r="P781" s="440">
        <f t="shared" si="9"/>
        <v>1</v>
      </c>
      <c r="Q781">
        <f t="array" ref="Q781">IF(I781&gt;0,INDEX(DB,I781,9),EventIndex)</f>
        <v>6</v>
      </c>
      <c r="S781">
        <f t="array" ref="S781">(INT(INDEX(MINVALUES,$Q781,$K$1))*60)+(MOD(INDEX(MINVALUES,$Q781,$K$1),1)*100)</f>
        <v>180</v>
      </c>
      <c r="T781">
        <f t="array" ref="T781">(INDEX(INCVALUES,$Q781,$K$1)*100)</f>
        <v>1</v>
      </c>
      <c r="V781">
        <f t="array" ref="V781">+J781+(4*(INDEX(MatchScoreTable,$Q781,20)-1))</f>
        <v>4</v>
      </c>
      <c r="W781">
        <f t="array" ref="W781">INDEX(INC_MINVALUES,$V781,$K$1)</f>
        <v>480</v>
      </c>
      <c r="X781" s="212">
        <f t="array" ref="X781">INDEX(INC_INCVALUES,$V781,$K$1)</f>
        <v>4</v>
      </c>
    </row>
    <row r="782" ht="15.75" customHeight="1">
      <c r="A782" s="435"/>
      <c r="B782" s="436"/>
      <c r="C782" s="95" t="str">
        <f t="array" ref="C782">IF(I782&gt;0,INDEX(DB,I782,8),"")</f>
        <v/>
      </c>
      <c r="D782" s="437">
        <f t="shared" si="1"/>
        <v>0</v>
      </c>
      <c r="F782" s="438">
        <f t="shared" si="2"/>
        <v>0</v>
      </c>
      <c r="G782" t="str">
        <f t="shared" si="3"/>
        <v/>
      </c>
      <c r="H782" t="b">
        <f t="shared" si="4"/>
        <v>0</v>
      </c>
      <c r="I782" s="439">
        <f>IF(OR(ISBLANK(A782),ISNA(MATCH(A782&amp;"",AthleteNumbers,0))),0,MATCH(A782&amp;"",AthleteNumbers,0))</f>
        <v>0</v>
      </c>
      <c r="J782" s="209">
        <f t="array" ref="J782">IF(I782&gt;0,INDEX(DB,$I782,6),0)</f>
        <v>0</v>
      </c>
      <c r="K782" s="446">
        <f t="shared" si="5"/>
        <v>0</v>
      </c>
      <c r="L782" s="440">
        <f t="shared" si="6"/>
        <v>0</v>
      </c>
      <c r="M782" s="441">
        <f>IF(AND(L782&gt;O782,O782&gt;0),MinPoints,IF(AND(L782&lt;N782,O782&gt;0),100,+INT((O782-$L782)/P782)+MinPoints))</f>
        <v>100</v>
      </c>
      <c r="N782" s="440">
        <f t="shared" si="7"/>
        <v>90</v>
      </c>
      <c r="O782" s="440">
        <f t="shared" si="8"/>
        <v>180</v>
      </c>
      <c r="P782" s="440">
        <f t="shared" si="9"/>
        <v>1</v>
      </c>
      <c r="Q782">
        <f t="array" ref="Q782">IF(I782&gt;0,INDEX(DB,I782,9),EventIndex)</f>
        <v>6</v>
      </c>
      <c r="S782">
        <f t="array" ref="S782">(INT(INDEX(MINVALUES,$Q782,$K$1))*60)+(MOD(INDEX(MINVALUES,$Q782,$K$1),1)*100)</f>
        <v>180</v>
      </c>
      <c r="T782">
        <f t="array" ref="T782">(INDEX(INCVALUES,$Q782,$K$1)*100)</f>
        <v>1</v>
      </c>
      <c r="V782">
        <f t="array" ref="V782">+J782+(4*(INDEX(MatchScoreTable,$Q782,20)-1))</f>
        <v>4</v>
      </c>
      <c r="W782">
        <f t="array" ref="W782">INDEX(INC_MINVALUES,$V782,$K$1)</f>
        <v>480</v>
      </c>
      <c r="X782" s="212">
        <f t="array" ref="X782">INDEX(INC_INCVALUES,$V782,$K$1)</f>
        <v>4</v>
      </c>
    </row>
    <row r="783" ht="15.75" customHeight="1">
      <c r="A783" s="435"/>
      <c r="B783" s="436"/>
      <c r="C783" s="95" t="str">
        <f t="array" ref="C783">IF(I783&gt;0,INDEX(DB,I783,8),"")</f>
        <v/>
      </c>
      <c r="D783" s="437">
        <f t="shared" si="1"/>
        <v>0</v>
      </c>
      <c r="F783" s="438">
        <f t="shared" si="2"/>
        <v>0</v>
      </c>
      <c r="G783" t="str">
        <f t="shared" si="3"/>
        <v/>
      </c>
      <c r="H783" t="b">
        <f t="shared" si="4"/>
        <v>0</v>
      </c>
      <c r="I783" s="439">
        <f>IF(OR(ISBLANK(A783),ISNA(MATCH(A783&amp;"",AthleteNumbers,0))),0,MATCH(A783&amp;"",AthleteNumbers,0))</f>
        <v>0</v>
      </c>
      <c r="J783" s="209">
        <f t="array" ref="J783">IF(I783&gt;0,INDEX(DB,$I783,6),0)</f>
        <v>0</v>
      </c>
      <c r="K783" s="446">
        <f t="shared" si="5"/>
        <v>0</v>
      </c>
      <c r="L783" s="440">
        <f t="shared" si="6"/>
        <v>0</v>
      </c>
      <c r="M783" s="441">
        <f>IF(AND(L783&gt;O783,O783&gt;0),MinPoints,IF(AND(L783&lt;N783,O783&gt;0),100,+INT((O783-$L783)/P783)+MinPoints))</f>
        <v>100</v>
      </c>
      <c r="N783" s="440">
        <f t="shared" si="7"/>
        <v>90</v>
      </c>
      <c r="O783" s="440">
        <f t="shared" si="8"/>
        <v>180</v>
      </c>
      <c r="P783" s="440">
        <f t="shared" si="9"/>
        <v>1</v>
      </c>
      <c r="Q783">
        <f t="array" ref="Q783">IF(I783&gt;0,INDEX(DB,I783,9),EventIndex)</f>
        <v>6</v>
      </c>
      <c r="S783">
        <f t="array" ref="S783">(INT(INDEX(MINVALUES,$Q783,$K$1))*60)+(MOD(INDEX(MINVALUES,$Q783,$K$1),1)*100)</f>
        <v>180</v>
      </c>
      <c r="T783">
        <f t="array" ref="T783">(INDEX(INCVALUES,$Q783,$K$1)*100)</f>
        <v>1</v>
      </c>
      <c r="V783">
        <f t="array" ref="V783">+J783+(4*(INDEX(MatchScoreTable,$Q783,20)-1))</f>
        <v>4</v>
      </c>
      <c r="W783">
        <f t="array" ref="W783">INDEX(INC_MINVALUES,$V783,$K$1)</f>
        <v>480</v>
      </c>
      <c r="X783" s="212">
        <f t="array" ref="X783">INDEX(INC_INCVALUES,$V783,$K$1)</f>
        <v>4</v>
      </c>
    </row>
    <row r="784" ht="15.75" customHeight="1">
      <c r="A784" s="435"/>
      <c r="B784" s="436"/>
      <c r="C784" s="95" t="str">
        <f t="array" ref="C784">IF(I784&gt;0,INDEX(DB,I784,8),"")</f>
        <v/>
      </c>
      <c r="D784" s="437">
        <f t="shared" si="1"/>
        <v>0</v>
      </c>
      <c r="F784" s="438">
        <f t="shared" si="2"/>
        <v>0</v>
      </c>
      <c r="G784" t="str">
        <f t="shared" si="3"/>
        <v/>
      </c>
      <c r="H784" t="b">
        <f t="shared" si="4"/>
        <v>0</v>
      </c>
      <c r="I784" s="439">
        <f>IF(OR(ISBLANK(A784),ISNA(MATCH(A784&amp;"",AthleteNumbers,0))),0,MATCH(A784&amp;"",AthleteNumbers,0))</f>
        <v>0</v>
      </c>
      <c r="J784" s="209">
        <f t="array" ref="J784">IF(I784&gt;0,INDEX(DB,$I784,6),0)</f>
        <v>0</v>
      </c>
      <c r="K784" s="446">
        <f t="shared" si="5"/>
        <v>0</v>
      </c>
      <c r="L784" s="440">
        <f t="shared" si="6"/>
        <v>0</v>
      </c>
      <c r="M784" s="441">
        <f>IF(AND(L784&gt;O784,O784&gt;0),MinPoints,IF(AND(L784&lt;N784,O784&gt;0),100,+INT((O784-$L784)/P784)+MinPoints))</f>
        <v>100</v>
      </c>
      <c r="N784" s="440">
        <f t="shared" si="7"/>
        <v>90</v>
      </c>
      <c r="O784" s="440">
        <f t="shared" si="8"/>
        <v>180</v>
      </c>
      <c r="P784" s="440">
        <f t="shared" si="9"/>
        <v>1</v>
      </c>
      <c r="Q784">
        <f t="array" ref="Q784">IF(I784&gt;0,INDEX(DB,I784,9),EventIndex)</f>
        <v>6</v>
      </c>
      <c r="S784">
        <f t="array" ref="S784">(INT(INDEX(MINVALUES,$Q784,$K$1))*60)+(MOD(INDEX(MINVALUES,$Q784,$K$1),1)*100)</f>
        <v>180</v>
      </c>
      <c r="T784">
        <f t="array" ref="T784">(INDEX(INCVALUES,$Q784,$K$1)*100)</f>
        <v>1</v>
      </c>
      <c r="V784">
        <f t="array" ref="V784">+J784+(4*(INDEX(MatchScoreTable,$Q784,20)-1))</f>
        <v>4</v>
      </c>
      <c r="W784">
        <f t="array" ref="W784">INDEX(INC_MINVALUES,$V784,$K$1)</f>
        <v>480</v>
      </c>
      <c r="X784" s="212">
        <f t="array" ref="X784">INDEX(INC_INCVALUES,$V784,$K$1)</f>
        <v>4</v>
      </c>
    </row>
    <row r="785" ht="15.75" customHeight="1">
      <c r="A785" s="435"/>
      <c r="B785" s="436"/>
      <c r="C785" s="95" t="str">
        <f t="array" ref="C785">IF(I785&gt;0,INDEX(DB,I785,8),"")</f>
        <v/>
      </c>
      <c r="D785" s="437">
        <f t="shared" si="1"/>
        <v>0</v>
      </c>
      <c r="F785" s="438">
        <f t="shared" si="2"/>
        <v>0</v>
      </c>
      <c r="G785" t="str">
        <f t="shared" si="3"/>
        <v/>
      </c>
      <c r="H785" t="b">
        <f t="shared" si="4"/>
        <v>0</v>
      </c>
      <c r="I785" s="439">
        <f>IF(OR(ISBLANK(A785),ISNA(MATCH(A785&amp;"",AthleteNumbers,0))),0,MATCH(A785&amp;"",AthleteNumbers,0))</f>
        <v>0</v>
      </c>
      <c r="J785" s="209">
        <f t="array" ref="J785">IF(I785&gt;0,INDEX(DB,$I785,6),0)</f>
        <v>0</v>
      </c>
      <c r="K785" s="446">
        <f t="shared" si="5"/>
        <v>0</v>
      </c>
      <c r="L785" s="440">
        <f t="shared" si="6"/>
        <v>0</v>
      </c>
      <c r="M785" s="441">
        <f>IF(AND(L785&gt;O785,O785&gt;0),MinPoints,IF(AND(L785&lt;N785,O785&gt;0),100,+INT((O785-$L785)/P785)+MinPoints))</f>
        <v>100</v>
      </c>
      <c r="N785" s="440">
        <f t="shared" si="7"/>
        <v>90</v>
      </c>
      <c r="O785" s="440">
        <f t="shared" si="8"/>
        <v>180</v>
      </c>
      <c r="P785" s="440">
        <f t="shared" si="9"/>
        <v>1</v>
      </c>
      <c r="Q785">
        <f t="array" ref="Q785">IF(I785&gt;0,INDEX(DB,I785,9),EventIndex)</f>
        <v>6</v>
      </c>
      <c r="S785">
        <f t="array" ref="S785">(INT(INDEX(MINVALUES,$Q785,$K$1))*60)+(MOD(INDEX(MINVALUES,$Q785,$K$1),1)*100)</f>
        <v>180</v>
      </c>
      <c r="T785">
        <f t="array" ref="T785">(INDEX(INCVALUES,$Q785,$K$1)*100)</f>
        <v>1</v>
      </c>
      <c r="V785">
        <f t="array" ref="V785">+J785+(4*(INDEX(MatchScoreTable,$Q785,20)-1))</f>
        <v>4</v>
      </c>
      <c r="W785">
        <f t="array" ref="W785">INDEX(INC_MINVALUES,$V785,$K$1)</f>
        <v>480</v>
      </c>
      <c r="X785" s="212">
        <f t="array" ref="X785">INDEX(INC_INCVALUES,$V785,$K$1)</f>
        <v>4</v>
      </c>
    </row>
    <row r="786" ht="15.75" customHeight="1">
      <c r="A786" s="435"/>
      <c r="B786" s="436"/>
      <c r="C786" s="95" t="str">
        <f t="array" ref="C786">IF(I786&gt;0,INDEX(DB,I786,8),"")</f>
        <v/>
      </c>
      <c r="D786" s="437">
        <f t="shared" si="1"/>
        <v>0</v>
      </c>
      <c r="F786" s="438">
        <f t="shared" si="2"/>
        <v>0</v>
      </c>
      <c r="G786" t="str">
        <f t="shared" si="3"/>
        <v/>
      </c>
      <c r="H786" t="b">
        <f t="shared" si="4"/>
        <v>0</v>
      </c>
      <c r="I786" s="439">
        <f>IF(OR(ISBLANK(A786),ISNA(MATCH(A786&amp;"",AthleteNumbers,0))),0,MATCH(A786&amp;"",AthleteNumbers,0))</f>
        <v>0</v>
      </c>
      <c r="J786" s="209">
        <f t="array" ref="J786">IF(I786&gt;0,INDEX(DB,$I786,6),0)</f>
        <v>0</v>
      </c>
      <c r="K786" s="446">
        <f t="shared" si="5"/>
        <v>0</v>
      </c>
      <c r="L786" s="440">
        <f t="shared" si="6"/>
        <v>0</v>
      </c>
      <c r="M786" s="441">
        <f>IF(AND(L786&gt;O786,O786&gt;0),MinPoints,IF(AND(L786&lt;N786,O786&gt;0),100,+INT((O786-$L786)/P786)+MinPoints))</f>
        <v>100</v>
      </c>
      <c r="N786" s="440">
        <f t="shared" si="7"/>
        <v>90</v>
      </c>
      <c r="O786" s="440">
        <f t="shared" si="8"/>
        <v>180</v>
      </c>
      <c r="P786" s="440">
        <f t="shared" si="9"/>
        <v>1</v>
      </c>
      <c r="Q786">
        <f t="array" ref="Q786">IF(I786&gt;0,INDEX(DB,I786,9),EventIndex)</f>
        <v>6</v>
      </c>
      <c r="S786">
        <f t="array" ref="S786">(INT(INDEX(MINVALUES,$Q786,$K$1))*60)+(MOD(INDEX(MINVALUES,$Q786,$K$1),1)*100)</f>
        <v>180</v>
      </c>
      <c r="T786">
        <f t="array" ref="T786">(INDEX(INCVALUES,$Q786,$K$1)*100)</f>
        <v>1</v>
      </c>
      <c r="V786">
        <f t="array" ref="V786">+J786+(4*(INDEX(MatchScoreTable,$Q786,20)-1))</f>
        <v>4</v>
      </c>
      <c r="W786">
        <f t="array" ref="W786">INDEX(INC_MINVALUES,$V786,$K$1)</f>
        <v>480</v>
      </c>
      <c r="X786" s="212">
        <f t="array" ref="X786">INDEX(INC_INCVALUES,$V786,$K$1)</f>
        <v>4</v>
      </c>
    </row>
    <row r="787" ht="15.75" customHeight="1">
      <c r="A787" s="435"/>
      <c r="B787" s="436"/>
      <c r="C787" s="95" t="str">
        <f t="array" ref="C787">IF(I787&gt;0,INDEX(DB,I787,8),"")</f>
        <v/>
      </c>
      <c r="D787" s="437">
        <f t="shared" si="1"/>
        <v>0</v>
      </c>
      <c r="F787" s="438">
        <f t="shared" si="2"/>
        <v>0</v>
      </c>
      <c r="G787" t="str">
        <f t="shared" si="3"/>
        <v/>
      </c>
      <c r="H787" t="b">
        <f t="shared" si="4"/>
        <v>0</v>
      </c>
      <c r="I787" s="439">
        <f>IF(OR(ISBLANK(A787),ISNA(MATCH(A787&amp;"",AthleteNumbers,0))),0,MATCH(A787&amp;"",AthleteNumbers,0))</f>
        <v>0</v>
      </c>
      <c r="J787" s="209">
        <f t="array" ref="J787">IF(I787&gt;0,INDEX(DB,$I787,6),0)</f>
        <v>0</v>
      </c>
      <c r="K787" s="446">
        <f t="shared" si="5"/>
        <v>0</v>
      </c>
      <c r="L787" s="440">
        <f t="shared" si="6"/>
        <v>0</v>
      </c>
      <c r="M787" s="441">
        <f>IF(AND(L787&gt;O787,O787&gt;0),MinPoints,IF(AND(L787&lt;N787,O787&gt;0),100,+INT((O787-$L787)/P787)+MinPoints))</f>
        <v>100</v>
      </c>
      <c r="N787" s="440">
        <f t="shared" si="7"/>
        <v>90</v>
      </c>
      <c r="O787" s="440">
        <f t="shared" si="8"/>
        <v>180</v>
      </c>
      <c r="P787" s="440">
        <f t="shared" si="9"/>
        <v>1</v>
      </c>
      <c r="Q787">
        <f t="array" ref="Q787">IF(I787&gt;0,INDEX(DB,I787,9),EventIndex)</f>
        <v>6</v>
      </c>
      <c r="S787">
        <f t="array" ref="S787">(INT(INDEX(MINVALUES,$Q787,$K$1))*60)+(MOD(INDEX(MINVALUES,$Q787,$K$1),1)*100)</f>
        <v>180</v>
      </c>
      <c r="T787">
        <f t="array" ref="T787">(INDEX(INCVALUES,$Q787,$K$1)*100)</f>
        <v>1</v>
      </c>
      <c r="V787">
        <f t="array" ref="V787">+J787+(4*(INDEX(MatchScoreTable,$Q787,20)-1))</f>
        <v>4</v>
      </c>
      <c r="W787">
        <f t="array" ref="W787">INDEX(INC_MINVALUES,$V787,$K$1)</f>
        <v>480</v>
      </c>
      <c r="X787" s="212">
        <f t="array" ref="X787">INDEX(INC_INCVALUES,$V787,$K$1)</f>
        <v>4</v>
      </c>
    </row>
    <row r="788" ht="15.75" customHeight="1">
      <c r="A788" s="435"/>
      <c r="B788" s="436"/>
      <c r="C788" s="95" t="str">
        <f t="array" ref="C788">IF(I788&gt;0,INDEX(DB,I788,8),"")</f>
        <v/>
      </c>
      <c r="D788" s="437">
        <f t="shared" si="1"/>
        <v>0</v>
      </c>
      <c r="F788" s="438">
        <f t="shared" si="2"/>
        <v>0</v>
      </c>
      <c r="G788" t="str">
        <f t="shared" si="3"/>
        <v/>
      </c>
      <c r="H788" t="b">
        <f t="shared" si="4"/>
        <v>0</v>
      </c>
      <c r="I788" s="439">
        <f>IF(OR(ISBLANK(A788),ISNA(MATCH(A788&amp;"",AthleteNumbers,0))),0,MATCH(A788&amp;"",AthleteNumbers,0))</f>
        <v>0</v>
      </c>
      <c r="J788" s="209">
        <f t="array" ref="J788">IF(I788&gt;0,INDEX(DB,$I788,6),0)</f>
        <v>0</v>
      </c>
      <c r="K788" s="446">
        <f t="shared" si="5"/>
        <v>0</v>
      </c>
      <c r="L788" s="440">
        <f t="shared" si="6"/>
        <v>0</v>
      </c>
      <c r="M788" s="441">
        <f>IF(AND(L788&gt;O788,O788&gt;0),MinPoints,IF(AND(L788&lt;N788,O788&gt;0),100,+INT((O788-$L788)/P788)+MinPoints))</f>
        <v>100</v>
      </c>
      <c r="N788" s="440">
        <f t="shared" si="7"/>
        <v>90</v>
      </c>
      <c r="O788" s="440">
        <f t="shared" si="8"/>
        <v>180</v>
      </c>
      <c r="P788" s="440">
        <f t="shared" si="9"/>
        <v>1</v>
      </c>
      <c r="Q788">
        <f t="array" ref="Q788">IF(I788&gt;0,INDEX(DB,I788,9),EventIndex)</f>
        <v>6</v>
      </c>
      <c r="S788">
        <f t="array" ref="S788">(INT(INDEX(MINVALUES,$Q788,$K$1))*60)+(MOD(INDEX(MINVALUES,$Q788,$K$1),1)*100)</f>
        <v>180</v>
      </c>
      <c r="T788">
        <f t="array" ref="T788">(INDEX(INCVALUES,$Q788,$K$1)*100)</f>
        <v>1</v>
      </c>
      <c r="V788">
        <f t="array" ref="V788">+J788+(4*(INDEX(MatchScoreTable,$Q788,20)-1))</f>
        <v>4</v>
      </c>
      <c r="W788">
        <f t="array" ref="W788">INDEX(INC_MINVALUES,$V788,$K$1)</f>
        <v>480</v>
      </c>
      <c r="X788" s="212">
        <f t="array" ref="X788">INDEX(INC_INCVALUES,$V788,$K$1)</f>
        <v>4</v>
      </c>
    </row>
    <row r="789" ht="15.75" customHeight="1">
      <c r="A789" s="435"/>
      <c r="B789" s="436"/>
      <c r="C789" s="95" t="str">
        <f t="array" ref="C789">IF(I789&gt;0,INDEX(DB,I789,8),"")</f>
        <v/>
      </c>
      <c r="D789" s="437">
        <f t="shared" si="1"/>
        <v>0</v>
      </c>
      <c r="F789" s="438">
        <f t="shared" si="2"/>
        <v>0</v>
      </c>
      <c r="G789" t="str">
        <f t="shared" si="3"/>
        <v/>
      </c>
      <c r="H789" t="b">
        <f t="shared" si="4"/>
        <v>0</v>
      </c>
      <c r="I789" s="439">
        <f>IF(OR(ISBLANK(A789),ISNA(MATCH(A789&amp;"",AthleteNumbers,0))),0,MATCH(A789&amp;"",AthleteNumbers,0))</f>
        <v>0</v>
      </c>
      <c r="J789" s="209">
        <f t="array" ref="J789">IF(I789&gt;0,INDEX(DB,$I789,6),0)</f>
        <v>0</v>
      </c>
      <c r="K789" s="446">
        <f t="shared" si="5"/>
        <v>0</v>
      </c>
      <c r="L789" s="440">
        <f t="shared" si="6"/>
        <v>0</v>
      </c>
      <c r="M789" s="441">
        <f>IF(AND(L789&gt;O789,O789&gt;0),MinPoints,IF(AND(L789&lt;N789,O789&gt;0),100,+INT((O789-$L789)/P789)+MinPoints))</f>
        <v>100</v>
      </c>
      <c r="N789" s="440">
        <f t="shared" si="7"/>
        <v>90</v>
      </c>
      <c r="O789" s="440">
        <f t="shared" si="8"/>
        <v>180</v>
      </c>
      <c r="P789" s="440">
        <f t="shared" si="9"/>
        <v>1</v>
      </c>
      <c r="Q789">
        <f t="array" ref="Q789">IF(I789&gt;0,INDEX(DB,I789,9),EventIndex)</f>
        <v>6</v>
      </c>
      <c r="S789">
        <f t="array" ref="S789">(INT(INDEX(MINVALUES,$Q789,$K$1))*60)+(MOD(INDEX(MINVALUES,$Q789,$K$1),1)*100)</f>
        <v>180</v>
      </c>
      <c r="T789">
        <f t="array" ref="T789">(INDEX(INCVALUES,$Q789,$K$1)*100)</f>
        <v>1</v>
      </c>
      <c r="V789">
        <f t="array" ref="V789">+J789+(4*(INDEX(MatchScoreTable,$Q789,20)-1))</f>
        <v>4</v>
      </c>
      <c r="W789">
        <f t="array" ref="W789">INDEX(INC_MINVALUES,$V789,$K$1)</f>
        <v>480</v>
      </c>
      <c r="X789" s="212">
        <f t="array" ref="X789">INDEX(INC_INCVALUES,$V789,$K$1)</f>
        <v>4</v>
      </c>
    </row>
    <row r="790" ht="15.75" customHeight="1">
      <c r="A790" s="435"/>
      <c r="B790" s="436"/>
      <c r="C790" s="95" t="str">
        <f t="array" ref="C790">IF(I790&gt;0,INDEX(DB,I790,8),"")</f>
        <v/>
      </c>
      <c r="D790" s="437">
        <f t="shared" si="1"/>
        <v>0</v>
      </c>
      <c r="F790" s="438">
        <f t="shared" si="2"/>
        <v>0</v>
      </c>
      <c r="G790" t="str">
        <f t="shared" si="3"/>
        <v/>
      </c>
      <c r="H790" t="b">
        <f t="shared" si="4"/>
        <v>0</v>
      </c>
      <c r="I790" s="439">
        <f>IF(OR(ISBLANK(A790),ISNA(MATCH(A790&amp;"",AthleteNumbers,0))),0,MATCH(A790&amp;"",AthleteNumbers,0))</f>
        <v>0</v>
      </c>
      <c r="J790" s="209">
        <f t="array" ref="J790">IF(I790&gt;0,INDEX(DB,$I790,6),0)</f>
        <v>0</v>
      </c>
      <c r="K790" s="446">
        <f t="shared" si="5"/>
        <v>0</v>
      </c>
      <c r="L790" s="440">
        <f t="shared" si="6"/>
        <v>0</v>
      </c>
      <c r="M790" s="441">
        <f>IF(AND(L790&gt;O790,O790&gt;0),MinPoints,IF(AND(L790&lt;N790,O790&gt;0),100,+INT((O790-$L790)/P790)+MinPoints))</f>
        <v>100</v>
      </c>
      <c r="N790" s="440">
        <f t="shared" si="7"/>
        <v>90</v>
      </c>
      <c r="O790" s="440">
        <f t="shared" si="8"/>
        <v>180</v>
      </c>
      <c r="P790" s="440">
        <f t="shared" si="9"/>
        <v>1</v>
      </c>
      <c r="Q790">
        <f t="array" ref="Q790">IF(I790&gt;0,INDEX(DB,I790,9),EventIndex)</f>
        <v>6</v>
      </c>
      <c r="S790">
        <f t="array" ref="S790">(INT(INDEX(MINVALUES,$Q790,$K$1))*60)+(MOD(INDEX(MINVALUES,$Q790,$K$1),1)*100)</f>
        <v>180</v>
      </c>
      <c r="T790">
        <f t="array" ref="T790">(INDEX(INCVALUES,$Q790,$K$1)*100)</f>
        <v>1</v>
      </c>
      <c r="V790">
        <f t="array" ref="V790">+J790+(4*(INDEX(MatchScoreTable,$Q790,20)-1))</f>
        <v>4</v>
      </c>
      <c r="W790">
        <f t="array" ref="W790">INDEX(INC_MINVALUES,$V790,$K$1)</f>
        <v>480</v>
      </c>
      <c r="X790" s="212">
        <f t="array" ref="X790">INDEX(INC_INCVALUES,$V790,$K$1)</f>
        <v>4</v>
      </c>
    </row>
    <row r="791" ht="15.75" customHeight="1">
      <c r="A791" s="435"/>
      <c r="B791" s="436"/>
      <c r="C791" s="95" t="str">
        <f t="array" ref="C791">IF(I791&gt;0,INDEX(DB,I791,8),"")</f>
        <v/>
      </c>
      <c r="D791" s="437">
        <f t="shared" si="1"/>
        <v>0</v>
      </c>
      <c r="F791" s="438">
        <f t="shared" si="2"/>
        <v>0</v>
      </c>
      <c r="G791" t="str">
        <f t="shared" si="3"/>
        <v/>
      </c>
      <c r="H791" t="b">
        <f t="shared" si="4"/>
        <v>0</v>
      </c>
      <c r="I791" s="439">
        <f>IF(OR(ISBLANK(A791),ISNA(MATCH(A791&amp;"",AthleteNumbers,0))),0,MATCH(A791&amp;"",AthleteNumbers,0))</f>
        <v>0</v>
      </c>
      <c r="J791" s="209">
        <f t="array" ref="J791">IF(I791&gt;0,INDEX(DB,$I791,6),0)</f>
        <v>0</v>
      </c>
      <c r="K791" s="446">
        <f t="shared" si="5"/>
        <v>0</v>
      </c>
      <c r="L791" s="440">
        <f t="shared" si="6"/>
        <v>0</v>
      </c>
      <c r="M791" s="441">
        <f>IF(AND(L791&gt;O791,O791&gt;0),MinPoints,IF(AND(L791&lt;N791,O791&gt;0),100,+INT((O791-$L791)/P791)+MinPoints))</f>
        <v>100</v>
      </c>
      <c r="N791" s="440">
        <f t="shared" si="7"/>
        <v>90</v>
      </c>
      <c r="O791" s="440">
        <f t="shared" si="8"/>
        <v>180</v>
      </c>
      <c r="P791" s="440">
        <f t="shared" si="9"/>
        <v>1</v>
      </c>
      <c r="Q791">
        <f t="array" ref="Q791">IF(I791&gt;0,INDEX(DB,I791,9),EventIndex)</f>
        <v>6</v>
      </c>
      <c r="S791">
        <f t="array" ref="S791">(INT(INDEX(MINVALUES,$Q791,$K$1))*60)+(MOD(INDEX(MINVALUES,$Q791,$K$1),1)*100)</f>
        <v>180</v>
      </c>
      <c r="T791">
        <f t="array" ref="T791">(INDEX(INCVALUES,$Q791,$K$1)*100)</f>
        <v>1</v>
      </c>
      <c r="V791">
        <f t="array" ref="V791">+J791+(4*(INDEX(MatchScoreTable,$Q791,20)-1))</f>
        <v>4</v>
      </c>
      <c r="W791">
        <f t="array" ref="W791">INDEX(INC_MINVALUES,$V791,$K$1)</f>
        <v>480</v>
      </c>
      <c r="X791" s="212">
        <f t="array" ref="X791">INDEX(INC_INCVALUES,$V791,$K$1)</f>
        <v>4</v>
      </c>
    </row>
    <row r="792" ht="15.75" customHeight="1">
      <c r="A792" s="435"/>
      <c r="B792" s="436"/>
      <c r="C792" s="95" t="str">
        <f t="array" ref="C792">IF(I792&gt;0,INDEX(DB,I792,8),"")</f>
        <v/>
      </c>
      <c r="D792" s="437">
        <f t="shared" si="1"/>
        <v>0</v>
      </c>
      <c r="F792" s="438">
        <f t="shared" si="2"/>
        <v>0</v>
      </c>
      <c r="G792" t="str">
        <f t="shared" si="3"/>
        <v/>
      </c>
      <c r="H792" t="b">
        <f t="shared" si="4"/>
        <v>0</v>
      </c>
      <c r="I792" s="439">
        <f>IF(OR(ISBLANK(A792),ISNA(MATCH(A792&amp;"",AthleteNumbers,0))),0,MATCH(A792&amp;"",AthleteNumbers,0))</f>
        <v>0</v>
      </c>
      <c r="J792" s="209">
        <f t="array" ref="J792">IF(I792&gt;0,INDEX(DB,$I792,6),0)</f>
        <v>0</v>
      </c>
      <c r="K792" s="446">
        <f t="shared" si="5"/>
        <v>0</v>
      </c>
      <c r="L792" s="440">
        <f t="shared" si="6"/>
        <v>0</v>
      </c>
      <c r="M792" s="441">
        <f>IF(AND(L792&gt;O792,O792&gt;0),MinPoints,IF(AND(L792&lt;N792,O792&gt;0),100,+INT((O792-$L792)/P792)+MinPoints))</f>
        <v>100</v>
      </c>
      <c r="N792" s="440">
        <f t="shared" si="7"/>
        <v>90</v>
      </c>
      <c r="O792" s="440">
        <f t="shared" si="8"/>
        <v>180</v>
      </c>
      <c r="P792" s="440">
        <f t="shared" si="9"/>
        <v>1</v>
      </c>
      <c r="Q792">
        <f t="array" ref="Q792">IF(I792&gt;0,INDEX(DB,I792,9),EventIndex)</f>
        <v>6</v>
      </c>
      <c r="S792">
        <f t="array" ref="S792">(INT(INDEX(MINVALUES,$Q792,$K$1))*60)+(MOD(INDEX(MINVALUES,$Q792,$K$1),1)*100)</f>
        <v>180</v>
      </c>
      <c r="T792">
        <f t="array" ref="T792">(INDEX(INCVALUES,$Q792,$K$1)*100)</f>
        <v>1</v>
      </c>
      <c r="V792">
        <f t="array" ref="V792">+J792+(4*(INDEX(MatchScoreTable,$Q792,20)-1))</f>
        <v>4</v>
      </c>
      <c r="W792">
        <f t="array" ref="W792">INDEX(INC_MINVALUES,$V792,$K$1)</f>
        <v>480</v>
      </c>
      <c r="X792" s="212">
        <f t="array" ref="X792">INDEX(INC_INCVALUES,$V792,$K$1)</f>
        <v>4</v>
      </c>
    </row>
    <row r="793" ht="15.75" customHeight="1">
      <c r="A793" s="435"/>
      <c r="B793" s="436"/>
      <c r="C793" s="95" t="str">
        <f t="array" ref="C793">IF(I793&gt;0,INDEX(DB,I793,8),"")</f>
        <v/>
      </c>
      <c r="D793" s="437">
        <f t="shared" si="1"/>
        <v>0</v>
      </c>
      <c r="F793" s="438">
        <f t="shared" si="2"/>
        <v>0</v>
      </c>
      <c r="G793" t="str">
        <f t="shared" si="3"/>
        <v/>
      </c>
      <c r="H793" t="b">
        <f t="shared" si="4"/>
        <v>0</v>
      </c>
      <c r="I793" s="439">
        <f>IF(OR(ISBLANK(A793),ISNA(MATCH(A793&amp;"",AthleteNumbers,0))),0,MATCH(A793&amp;"",AthleteNumbers,0))</f>
        <v>0</v>
      </c>
      <c r="J793" s="209">
        <f t="array" ref="J793">IF(I793&gt;0,INDEX(DB,$I793,6),0)</f>
        <v>0</v>
      </c>
      <c r="K793" s="446">
        <f t="shared" si="5"/>
        <v>0</v>
      </c>
      <c r="L793" s="440">
        <f t="shared" si="6"/>
        <v>0</v>
      </c>
      <c r="M793" s="441">
        <f>IF(AND(L793&gt;O793,O793&gt;0),MinPoints,IF(AND(L793&lt;N793,O793&gt;0),100,+INT((O793-$L793)/P793)+MinPoints))</f>
        <v>100</v>
      </c>
      <c r="N793" s="440">
        <f t="shared" si="7"/>
        <v>90</v>
      </c>
      <c r="O793" s="440">
        <f t="shared" si="8"/>
        <v>180</v>
      </c>
      <c r="P793" s="440">
        <f t="shared" si="9"/>
        <v>1</v>
      </c>
      <c r="Q793">
        <f t="array" ref="Q793">IF(I793&gt;0,INDEX(DB,I793,9),EventIndex)</f>
        <v>6</v>
      </c>
      <c r="S793">
        <f t="array" ref="S793">(INT(INDEX(MINVALUES,$Q793,$K$1))*60)+(MOD(INDEX(MINVALUES,$Q793,$K$1),1)*100)</f>
        <v>180</v>
      </c>
      <c r="T793">
        <f t="array" ref="T793">(INDEX(INCVALUES,$Q793,$K$1)*100)</f>
        <v>1</v>
      </c>
      <c r="V793">
        <f t="array" ref="V793">+J793+(4*(INDEX(MatchScoreTable,$Q793,20)-1))</f>
        <v>4</v>
      </c>
      <c r="W793">
        <f t="array" ref="W793">INDEX(INC_MINVALUES,$V793,$K$1)</f>
        <v>480</v>
      </c>
      <c r="X793" s="212">
        <f t="array" ref="X793">INDEX(INC_INCVALUES,$V793,$K$1)</f>
        <v>4</v>
      </c>
    </row>
    <row r="794" ht="15.75" customHeight="1">
      <c r="A794" s="435"/>
      <c r="B794" s="436"/>
      <c r="C794" s="95" t="str">
        <f t="array" ref="C794">IF(I794&gt;0,INDEX(DB,I794,8),"")</f>
        <v/>
      </c>
      <c r="D794" s="437">
        <f t="shared" si="1"/>
        <v>0</v>
      </c>
      <c r="F794" s="438">
        <f t="shared" si="2"/>
        <v>0</v>
      </c>
      <c r="G794" t="str">
        <f t="shared" si="3"/>
        <v/>
      </c>
      <c r="H794" t="b">
        <f t="shared" si="4"/>
        <v>0</v>
      </c>
      <c r="I794" s="439">
        <f>IF(OR(ISBLANK(A794),ISNA(MATCH(A794&amp;"",AthleteNumbers,0))),0,MATCH(A794&amp;"",AthleteNumbers,0))</f>
        <v>0</v>
      </c>
      <c r="J794" s="209">
        <f t="array" ref="J794">IF(I794&gt;0,INDEX(DB,$I794,6),0)</f>
        <v>0</v>
      </c>
      <c r="K794" s="446">
        <f t="shared" si="5"/>
        <v>0</v>
      </c>
      <c r="L794" s="440">
        <f t="shared" si="6"/>
        <v>0</v>
      </c>
      <c r="M794" s="441">
        <f>IF(AND(L794&gt;O794,O794&gt;0),MinPoints,IF(AND(L794&lt;N794,O794&gt;0),100,+INT((O794-$L794)/P794)+MinPoints))</f>
        <v>100</v>
      </c>
      <c r="N794" s="440">
        <f t="shared" si="7"/>
        <v>90</v>
      </c>
      <c r="O794" s="440">
        <f t="shared" si="8"/>
        <v>180</v>
      </c>
      <c r="P794" s="440">
        <f t="shared" si="9"/>
        <v>1</v>
      </c>
      <c r="Q794">
        <f t="array" ref="Q794">IF(I794&gt;0,INDEX(DB,I794,9),EventIndex)</f>
        <v>6</v>
      </c>
      <c r="S794">
        <f t="array" ref="S794">(INT(INDEX(MINVALUES,$Q794,$K$1))*60)+(MOD(INDEX(MINVALUES,$Q794,$K$1),1)*100)</f>
        <v>180</v>
      </c>
      <c r="T794">
        <f t="array" ref="T794">(INDEX(INCVALUES,$Q794,$K$1)*100)</f>
        <v>1</v>
      </c>
      <c r="V794">
        <f t="array" ref="V794">+J794+(4*(INDEX(MatchScoreTable,$Q794,20)-1))</f>
        <v>4</v>
      </c>
      <c r="W794">
        <f t="array" ref="W794">INDEX(INC_MINVALUES,$V794,$K$1)</f>
        <v>480</v>
      </c>
      <c r="X794" s="212">
        <f t="array" ref="X794">INDEX(INC_INCVALUES,$V794,$K$1)</f>
        <v>4</v>
      </c>
    </row>
    <row r="795" ht="15.75" customHeight="1">
      <c r="A795" s="435"/>
      <c r="B795" s="436"/>
      <c r="C795" s="95" t="str">
        <f t="array" ref="C795">IF(I795&gt;0,INDEX(DB,I795,8),"")</f>
        <v/>
      </c>
      <c r="D795" s="437">
        <f t="shared" si="1"/>
        <v>0</v>
      </c>
      <c r="F795" s="438">
        <f t="shared" si="2"/>
        <v>0</v>
      </c>
      <c r="G795" t="str">
        <f t="shared" si="3"/>
        <v/>
      </c>
      <c r="H795" t="b">
        <f t="shared" si="4"/>
        <v>0</v>
      </c>
      <c r="I795" s="439">
        <f>IF(OR(ISBLANK(A795),ISNA(MATCH(A795&amp;"",AthleteNumbers,0))),0,MATCH(A795&amp;"",AthleteNumbers,0))</f>
        <v>0</v>
      </c>
      <c r="J795" s="209">
        <f t="array" ref="J795">IF(I795&gt;0,INDEX(DB,$I795,6),0)</f>
        <v>0</v>
      </c>
      <c r="K795" s="446">
        <f t="shared" si="5"/>
        <v>0</v>
      </c>
      <c r="L795" s="440">
        <f t="shared" si="6"/>
        <v>0</v>
      </c>
      <c r="M795" s="441">
        <f>IF(AND(L795&gt;O795,O795&gt;0),MinPoints,IF(AND(L795&lt;N795,O795&gt;0),100,+INT((O795-$L795)/P795)+MinPoints))</f>
        <v>100</v>
      </c>
      <c r="N795" s="440">
        <f t="shared" si="7"/>
        <v>90</v>
      </c>
      <c r="O795" s="440">
        <f t="shared" si="8"/>
        <v>180</v>
      </c>
      <c r="P795" s="440">
        <f t="shared" si="9"/>
        <v>1</v>
      </c>
      <c r="Q795">
        <f t="array" ref="Q795">IF(I795&gt;0,INDEX(DB,I795,9),EventIndex)</f>
        <v>6</v>
      </c>
      <c r="S795">
        <f t="array" ref="S795">(INT(INDEX(MINVALUES,$Q795,$K$1))*60)+(MOD(INDEX(MINVALUES,$Q795,$K$1),1)*100)</f>
        <v>180</v>
      </c>
      <c r="T795">
        <f t="array" ref="T795">(INDEX(INCVALUES,$Q795,$K$1)*100)</f>
        <v>1</v>
      </c>
      <c r="V795">
        <f t="array" ref="V795">+J795+(4*(INDEX(MatchScoreTable,$Q795,20)-1))</f>
        <v>4</v>
      </c>
      <c r="W795">
        <f t="array" ref="W795">INDEX(INC_MINVALUES,$V795,$K$1)</f>
        <v>480</v>
      </c>
      <c r="X795" s="212">
        <f t="array" ref="X795">INDEX(INC_INCVALUES,$V795,$K$1)</f>
        <v>4</v>
      </c>
    </row>
    <row r="796" ht="15.75" customHeight="1">
      <c r="A796" s="435"/>
      <c r="B796" s="436"/>
      <c r="C796" s="95" t="str">
        <f t="array" ref="C796">IF(I796&gt;0,INDEX(DB,I796,8),"")</f>
        <v/>
      </c>
      <c r="D796" s="437">
        <f t="shared" si="1"/>
        <v>0</v>
      </c>
      <c r="F796" s="438">
        <f t="shared" si="2"/>
        <v>0</v>
      </c>
      <c r="G796" t="str">
        <f t="shared" si="3"/>
        <v/>
      </c>
      <c r="H796" t="b">
        <f t="shared" si="4"/>
        <v>0</v>
      </c>
      <c r="I796" s="439">
        <f>IF(OR(ISBLANK(A796),ISNA(MATCH(A796&amp;"",AthleteNumbers,0))),0,MATCH(A796&amp;"",AthleteNumbers,0))</f>
        <v>0</v>
      </c>
      <c r="J796" s="209">
        <f t="array" ref="J796">IF(I796&gt;0,INDEX(DB,$I796,6),0)</f>
        <v>0</v>
      </c>
      <c r="K796" s="446">
        <f t="shared" si="5"/>
        <v>0</v>
      </c>
      <c r="L796" s="440">
        <f t="shared" si="6"/>
        <v>0</v>
      </c>
      <c r="M796" s="441">
        <f>IF(AND(L796&gt;O796,O796&gt;0),MinPoints,IF(AND(L796&lt;N796,O796&gt;0),100,+INT((O796-$L796)/P796)+MinPoints))</f>
        <v>100</v>
      </c>
      <c r="N796" s="440">
        <f t="shared" si="7"/>
        <v>90</v>
      </c>
      <c r="O796" s="440">
        <f t="shared" si="8"/>
        <v>180</v>
      </c>
      <c r="P796" s="440">
        <f t="shared" si="9"/>
        <v>1</v>
      </c>
      <c r="Q796">
        <f t="array" ref="Q796">IF(I796&gt;0,INDEX(DB,I796,9),EventIndex)</f>
        <v>6</v>
      </c>
      <c r="S796">
        <f t="array" ref="S796">(INT(INDEX(MINVALUES,$Q796,$K$1))*60)+(MOD(INDEX(MINVALUES,$Q796,$K$1),1)*100)</f>
        <v>180</v>
      </c>
      <c r="T796">
        <f t="array" ref="T796">(INDEX(INCVALUES,$Q796,$K$1)*100)</f>
        <v>1</v>
      </c>
      <c r="V796">
        <f t="array" ref="V796">+J796+(4*(INDEX(MatchScoreTable,$Q796,20)-1))</f>
        <v>4</v>
      </c>
      <c r="W796">
        <f t="array" ref="W796">INDEX(INC_MINVALUES,$V796,$K$1)</f>
        <v>480</v>
      </c>
      <c r="X796" s="212">
        <f t="array" ref="X796">INDEX(INC_INCVALUES,$V796,$K$1)</f>
        <v>4</v>
      </c>
    </row>
    <row r="797" ht="15.75" customHeight="1">
      <c r="A797" s="435"/>
      <c r="B797" s="436"/>
      <c r="C797" s="95" t="str">
        <f t="array" ref="C797">IF(I797&gt;0,INDEX(DB,I797,8),"")</f>
        <v/>
      </c>
      <c r="D797" s="437">
        <f t="shared" si="1"/>
        <v>0</v>
      </c>
      <c r="F797" s="438">
        <f t="shared" si="2"/>
        <v>0</v>
      </c>
      <c r="G797" t="str">
        <f t="shared" si="3"/>
        <v/>
      </c>
      <c r="H797" t="b">
        <f t="shared" si="4"/>
        <v>0</v>
      </c>
      <c r="I797" s="439">
        <f>IF(OR(ISBLANK(A797),ISNA(MATCH(A797&amp;"",AthleteNumbers,0))),0,MATCH(A797&amp;"",AthleteNumbers,0))</f>
        <v>0</v>
      </c>
      <c r="J797" s="209">
        <f t="array" ref="J797">IF(I797&gt;0,INDEX(DB,$I797,6),0)</f>
        <v>0</v>
      </c>
      <c r="K797" s="446">
        <f t="shared" si="5"/>
        <v>0</v>
      </c>
      <c r="L797" s="440">
        <f t="shared" si="6"/>
        <v>0</v>
      </c>
      <c r="M797" s="441">
        <f>IF(AND(L797&gt;O797,O797&gt;0),MinPoints,IF(AND(L797&lt;N797,O797&gt;0),100,+INT((O797-$L797)/P797)+MinPoints))</f>
        <v>100</v>
      </c>
      <c r="N797" s="440">
        <f t="shared" si="7"/>
        <v>90</v>
      </c>
      <c r="O797" s="440">
        <f t="shared" si="8"/>
        <v>180</v>
      </c>
      <c r="P797" s="440">
        <f t="shared" si="9"/>
        <v>1</v>
      </c>
      <c r="Q797">
        <f t="array" ref="Q797">IF(I797&gt;0,INDEX(DB,I797,9),EventIndex)</f>
        <v>6</v>
      </c>
      <c r="S797">
        <f t="array" ref="S797">(INT(INDEX(MINVALUES,$Q797,$K$1))*60)+(MOD(INDEX(MINVALUES,$Q797,$K$1),1)*100)</f>
        <v>180</v>
      </c>
      <c r="T797">
        <f t="array" ref="T797">(INDEX(INCVALUES,$Q797,$K$1)*100)</f>
        <v>1</v>
      </c>
      <c r="V797">
        <f t="array" ref="V797">+J797+(4*(INDEX(MatchScoreTable,$Q797,20)-1))</f>
        <v>4</v>
      </c>
      <c r="W797">
        <f t="array" ref="W797">INDEX(INC_MINVALUES,$V797,$K$1)</f>
        <v>480</v>
      </c>
      <c r="X797" s="212">
        <f t="array" ref="X797">INDEX(INC_INCVALUES,$V797,$K$1)</f>
        <v>4</v>
      </c>
    </row>
    <row r="798" ht="15.75" customHeight="1">
      <c r="A798" s="435"/>
      <c r="B798" s="436"/>
      <c r="C798" s="95" t="str">
        <f t="array" ref="C798">IF(I798&gt;0,INDEX(DB,I798,8),"")</f>
        <v/>
      </c>
      <c r="D798" s="437">
        <f t="shared" si="1"/>
        <v>0</v>
      </c>
      <c r="F798" s="438">
        <f t="shared" si="2"/>
        <v>0</v>
      </c>
      <c r="G798" t="str">
        <f t="shared" si="3"/>
        <v/>
      </c>
      <c r="H798" t="b">
        <f t="shared" si="4"/>
        <v>0</v>
      </c>
      <c r="I798" s="439">
        <f>IF(OR(ISBLANK(A798),ISNA(MATCH(A798&amp;"",AthleteNumbers,0))),0,MATCH(A798&amp;"",AthleteNumbers,0))</f>
        <v>0</v>
      </c>
      <c r="J798" s="209">
        <f t="array" ref="J798">IF(I798&gt;0,INDEX(DB,$I798,6),0)</f>
        <v>0</v>
      </c>
      <c r="K798" s="446">
        <f t="shared" si="5"/>
        <v>0</v>
      </c>
      <c r="L798" s="440">
        <f t="shared" si="6"/>
        <v>0</v>
      </c>
      <c r="M798" s="441">
        <f>IF(AND(L798&gt;O798,O798&gt;0),MinPoints,IF(AND(L798&lt;N798,O798&gt;0),100,+INT((O798-$L798)/P798)+MinPoints))</f>
        <v>100</v>
      </c>
      <c r="N798" s="440">
        <f t="shared" si="7"/>
        <v>90</v>
      </c>
      <c r="O798" s="440">
        <f t="shared" si="8"/>
        <v>180</v>
      </c>
      <c r="P798" s="440">
        <f t="shared" si="9"/>
        <v>1</v>
      </c>
      <c r="Q798">
        <f t="array" ref="Q798">IF(I798&gt;0,INDEX(DB,I798,9),EventIndex)</f>
        <v>6</v>
      </c>
      <c r="S798">
        <f t="array" ref="S798">(INT(INDEX(MINVALUES,$Q798,$K$1))*60)+(MOD(INDEX(MINVALUES,$Q798,$K$1),1)*100)</f>
        <v>180</v>
      </c>
      <c r="T798">
        <f t="array" ref="T798">(INDEX(INCVALUES,$Q798,$K$1)*100)</f>
        <v>1</v>
      </c>
      <c r="V798">
        <f t="array" ref="V798">+J798+(4*(INDEX(MatchScoreTable,$Q798,20)-1))</f>
        <v>4</v>
      </c>
      <c r="W798">
        <f t="array" ref="W798">INDEX(INC_MINVALUES,$V798,$K$1)</f>
        <v>480</v>
      </c>
      <c r="X798" s="212">
        <f t="array" ref="X798">INDEX(INC_INCVALUES,$V798,$K$1)</f>
        <v>4</v>
      </c>
    </row>
    <row r="799" ht="15.75" customHeight="1">
      <c r="A799" s="435"/>
      <c r="B799" s="436"/>
      <c r="C799" s="95" t="str">
        <f t="array" ref="C799">IF(I799&gt;0,INDEX(DB,I799,8),"")</f>
        <v/>
      </c>
      <c r="D799" s="437">
        <f t="shared" si="1"/>
        <v>0</v>
      </c>
      <c r="F799" s="438">
        <f t="shared" si="2"/>
        <v>0</v>
      </c>
      <c r="G799" t="str">
        <f t="shared" si="3"/>
        <v/>
      </c>
      <c r="H799" t="b">
        <f t="shared" si="4"/>
        <v>0</v>
      </c>
      <c r="I799" s="439">
        <f>IF(OR(ISBLANK(A799),ISNA(MATCH(A799&amp;"",AthleteNumbers,0))),0,MATCH(A799&amp;"",AthleteNumbers,0))</f>
        <v>0</v>
      </c>
      <c r="J799" s="209">
        <f t="array" ref="J799">IF(I799&gt;0,INDEX(DB,$I799,6),0)</f>
        <v>0</v>
      </c>
      <c r="K799" s="446">
        <f t="shared" si="5"/>
        <v>0</v>
      </c>
      <c r="L799" s="440">
        <f t="shared" si="6"/>
        <v>0</v>
      </c>
      <c r="M799" s="441">
        <f>IF(AND(L799&gt;O799,O799&gt;0),MinPoints,IF(AND(L799&lt;N799,O799&gt;0),100,+INT((O799-$L799)/P799)+MinPoints))</f>
        <v>100</v>
      </c>
      <c r="N799" s="440">
        <f t="shared" si="7"/>
        <v>90</v>
      </c>
      <c r="O799" s="440">
        <f t="shared" si="8"/>
        <v>180</v>
      </c>
      <c r="P799" s="440">
        <f t="shared" si="9"/>
        <v>1</v>
      </c>
      <c r="Q799">
        <f t="array" ref="Q799">IF(I799&gt;0,INDEX(DB,I799,9),EventIndex)</f>
        <v>6</v>
      </c>
      <c r="S799">
        <f t="array" ref="S799">(INT(INDEX(MINVALUES,$Q799,$K$1))*60)+(MOD(INDEX(MINVALUES,$Q799,$K$1),1)*100)</f>
        <v>180</v>
      </c>
      <c r="T799">
        <f t="array" ref="T799">(INDEX(INCVALUES,$Q799,$K$1)*100)</f>
        <v>1</v>
      </c>
      <c r="V799">
        <f t="array" ref="V799">+J799+(4*(INDEX(MatchScoreTable,$Q799,20)-1))</f>
        <v>4</v>
      </c>
      <c r="W799">
        <f t="array" ref="W799">INDEX(INC_MINVALUES,$V799,$K$1)</f>
        <v>480</v>
      </c>
      <c r="X799" s="212">
        <f t="array" ref="X799">INDEX(INC_INCVALUES,$V799,$K$1)</f>
        <v>4</v>
      </c>
    </row>
    <row r="800" ht="15.75" customHeight="1">
      <c r="A800" s="435"/>
      <c r="B800" s="436"/>
      <c r="C800" s="95" t="str">
        <f t="array" ref="C800">IF(I800&gt;0,INDEX(DB,I800,8),"")</f>
        <v/>
      </c>
      <c r="D800" s="437">
        <f t="shared" si="1"/>
        <v>0</v>
      </c>
      <c r="F800" s="438">
        <f t="shared" si="2"/>
        <v>0</v>
      </c>
      <c r="G800" t="str">
        <f t="shared" si="3"/>
        <v/>
      </c>
      <c r="H800" t="b">
        <f t="shared" si="4"/>
        <v>0</v>
      </c>
      <c r="I800" s="439">
        <f>IF(OR(ISBLANK(A800),ISNA(MATCH(A800&amp;"",AthleteNumbers,0))),0,MATCH(A800&amp;"",AthleteNumbers,0))</f>
        <v>0</v>
      </c>
      <c r="J800" s="209">
        <f t="array" ref="J800">IF(I800&gt;0,INDEX(DB,$I800,6),0)</f>
        <v>0</v>
      </c>
      <c r="K800" s="446">
        <f t="shared" si="5"/>
        <v>0</v>
      </c>
      <c r="L800" s="440">
        <f t="shared" si="6"/>
        <v>0</v>
      </c>
      <c r="M800" s="441">
        <f>IF(AND(L800&gt;O800,O800&gt;0),MinPoints,IF(AND(L800&lt;N800,O800&gt;0),100,+INT((O800-$L800)/P800)+MinPoints))</f>
        <v>100</v>
      </c>
      <c r="N800" s="440">
        <f t="shared" si="7"/>
        <v>90</v>
      </c>
      <c r="O800" s="440">
        <f t="shared" si="8"/>
        <v>180</v>
      </c>
      <c r="P800" s="440">
        <f t="shared" si="9"/>
        <v>1</v>
      </c>
      <c r="Q800">
        <f t="array" ref="Q800">IF(I800&gt;0,INDEX(DB,I800,9),EventIndex)</f>
        <v>6</v>
      </c>
      <c r="S800">
        <f t="array" ref="S800">(INT(INDEX(MINVALUES,$Q800,$K$1))*60)+(MOD(INDEX(MINVALUES,$Q800,$K$1),1)*100)</f>
        <v>180</v>
      </c>
      <c r="T800">
        <f t="array" ref="T800">(INDEX(INCVALUES,$Q800,$K$1)*100)</f>
        <v>1</v>
      </c>
      <c r="V800">
        <f t="array" ref="V800">+J800+(4*(INDEX(MatchScoreTable,$Q800,20)-1))</f>
        <v>4</v>
      </c>
      <c r="W800">
        <f t="array" ref="W800">INDEX(INC_MINVALUES,$V800,$K$1)</f>
        <v>480</v>
      </c>
      <c r="X800" s="212">
        <f t="array" ref="X800">INDEX(INC_INCVALUES,$V800,$K$1)</f>
        <v>4</v>
      </c>
    </row>
    <row r="801" ht="15.75" customHeight="1">
      <c r="A801" s="435"/>
      <c r="B801" s="436"/>
      <c r="C801" s="95" t="str">
        <f t="array" ref="C801">IF(I801&gt;0,INDEX(DB,I801,8),"")</f>
        <v/>
      </c>
      <c r="D801" s="437">
        <f t="shared" si="1"/>
        <v>0</v>
      </c>
      <c r="F801" s="438">
        <f t="shared" si="2"/>
        <v>0</v>
      </c>
      <c r="G801" t="str">
        <f t="shared" si="3"/>
        <v/>
      </c>
      <c r="H801" t="b">
        <f t="shared" si="4"/>
        <v>0</v>
      </c>
      <c r="I801" s="439">
        <f>IF(OR(ISBLANK(A801),ISNA(MATCH(A801&amp;"",AthleteNumbers,0))),0,MATCH(A801&amp;"",AthleteNumbers,0))</f>
        <v>0</v>
      </c>
      <c r="J801" s="209">
        <f t="array" ref="J801">IF(I801&gt;0,INDEX(DB,$I801,6),0)</f>
        <v>0</v>
      </c>
      <c r="K801" s="446">
        <f t="shared" si="5"/>
        <v>0</v>
      </c>
      <c r="L801" s="440">
        <f t="shared" si="6"/>
        <v>0</v>
      </c>
      <c r="M801" s="441">
        <f>IF(AND(L801&gt;O801,O801&gt;0),MinPoints,IF(AND(L801&lt;N801,O801&gt;0),100,+INT((O801-$L801)/P801)+MinPoints))</f>
        <v>100</v>
      </c>
      <c r="N801" s="440">
        <f t="shared" si="7"/>
        <v>90</v>
      </c>
      <c r="O801" s="440">
        <f t="shared" si="8"/>
        <v>180</v>
      </c>
      <c r="P801" s="440">
        <f t="shared" si="9"/>
        <v>1</v>
      </c>
      <c r="Q801">
        <f t="array" ref="Q801">IF(I801&gt;0,INDEX(DB,I801,9),EventIndex)</f>
        <v>6</v>
      </c>
      <c r="S801">
        <f t="array" ref="S801">(INT(INDEX(MINVALUES,$Q801,$K$1))*60)+(MOD(INDEX(MINVALUES,$Q801,$K$1),1)*100)</f>
        <v>180</v>
      </c>
      <c r="T801">
        <f t="array" ref="T801">(INDEX(INCVALUES,$Q801,$K$1)*100)</f>
        <v>1</v>
      </c>
      <c r="V801">
        <f t="array" ref="V801">+J801+(4*(INDEX(MatchScoreTable,$Q801,20)-1))</f>
        <v>4</v>
      </c>
      <c r="W801">
        <f t="array" ref="W801">INDEX(INC_MINVALUES,$V801,$K$1)</f>
        <v>480</v>
      </c>
      <c r="X801" s="212">
        <f t="array" ref="X801">INDEX(INC_INCVALUES,$V801,$K$1)</f>
        <v>4</v>
      </c>
    </row>
    <row r="802" ht="15.75" customHeight="1">
      <c r="A802" s="435"/>
      <c r="B802" s="436"/>
      <c r="C802" s="95" t="str">
        <f t="array" ref="C802">IF(I802&gt;0,INDEX(DB,I802,8),"")</f>
        <v/>
      </c>
      <c r="D802" s="437">
        <f t="shared" si="1"/>
        <v>0</v>
      </c>
      <c r="F802" s="438">
        <f t="shared" si="2"/>
        <v>0</v>
      </c>
      <c r="G802" t="str">
        <f t="shared" si="3"/>
        <v/>
      </c>
      <c r="H802" t="b">
        <f t="shared" si="4"/>
        <v>0</v>
      </c>
      <c r="I802" s="439">
        <f>IF(OR(ISBLANK(A802),ISNA(MATCH(A802&amp;"",AthleteNumbers,0))),0,MATCH(A802&amp;"",AthleteNumbers,0))</f>
        <v>0</v>
      </c>
      <c r="J802" s="209">
        <f t="array" ref="J802">IF(I802&gt;0,INDEX(DB,$I802,6),0)</f>
        <v>0</v>
      </c>
      <c r="K802" s="446">
        <f t="shared" si="5"/>
        <v>0</v>
      </c>
      <c r="L802" s="440">
        <f t="shared" si="6"/>
        <v>0</v>
      </c>
      <c r="M802" s="441">
        <f>IF(AND(L802&gt;O802,O802&gt;0),MinPoints,IF(AND(L802&lt;N802,O802&gt;0),100,+INT((O802-$L802)/P802)+MinPoints))</f>
        <v>100</v>
      </c>
      <c r="N802" s="440">
        <f t="shared" si="7"/>
        <v>90</v>
      </c>
      <c r="O802" s="440">
        <f t="shared" si="8"/>
        <v>180</v>
      </c>
      <c r="P802" s="440">
        <f t="shared" si="9"/>
        <v>1</v>
      </c>
      <c r="Q802">
        <f t="array" ref="Q802">IF(I802&gt;0,INDEX(DB,I802,9),EventIndex)</f>
        <v>6</v>
      </c>
      <c r="S802">
        <f t="array" ref="S802">(INT(INDEX(MINVALUES,$Q802,$K$1))*60)+(MOD(INDEX(MINVALUES,$Q802,$K$1),1)*100)</f>
        <v>180</v>
      </c>
      <c r="T802">
        <f t="array" ref="T802">(INDEX(INCVALUES,$Q802,$K$1)*100)</f>
        <v>1</v>
      </c>
      <c r="V802">
        <f t="array" ref="V802">+J802+(4*(INDEX(MatchScoreTable,$Q802,20)-1))</f>
        <v>4</v>
      </c>
      <c r="W802">
        <f t="array" ref="W802">INDEX(INC_MINVALUES,$V802,$K$1)</f>
        <v>480</v>
      </c>
      <c r="X802" s="212">
        <f t="array" ref="X802">INDEX(INC_INCVALUES,$V802,$K$1)</f>
        <v>4</v>
      </c>
    </row>
    <row r="803" ht="15.75" customHeight="1">
      <c r="A803" s="435"/>
      <c r="B803" s="436"/>
      <c r="C803" s="95" t="str">
        <f t="array" ref="C803">IF(I803&gt;0,INDEX(DB,I803,8),"")</f>
        <v/>
      </c>
      <c r="D803" s="437">
        <f t="shared" si="1"/>
        <v>0</v>
      </c>
      <c r="F803" s="438">
        <f t="shared" si="2"/>
        <v>0</v>
      </c>
      <c r="G803" t="str">
        <f t="shared" si="3"/>
        <v/>
      </c>
      <c r="H803" t="b">
        <f t="shared" si="4"/>
        <v>0</v>
      </c>
      <c r="I803" s="439">
        <f>IF(OR(ISBLANK(A803),ISNA(MATCH(A803&amp;"",AthleteNumbers,0))),0,MATCH(A803&amp;"",AthleteNumbers,0))</f>
        <v>0</v>
      </c>
      <c r="J803" s="209">
        <f t="array" ref="J803">IF(I803&gt;0,INDEX(DB,$I803,6),0)</f>
        <v>0</v>
      </c>
      <c r="K803" s="446">
        <f t="shared" si="5"/>
        <v>0</v>
      </c>
      <c r="L803" s="440">
        <f t="shared" si="6"/>
        <v>0</v>
      </c>
      <c r="M803" s="441">
        <f>IF(AND(L803&gt;O803,O803&gt;0),MinPoints,IF(AND(L803&lt;N803,O803&gt;0),100,+INT((O803-$L803)/P803)+MinPoints))</f>
        <v>100</v>
      </c>
      <c r="N803" s="440">
        <f t="shared" si="7"/>
        <v>90</v>
      </c>
      <c r="O803" s="440">
        <f t="shared" si="8"/>
        <v>180</v>
      </c>
      <c r="P803" s="440">
        <f t="shared" si="9"/>
        <v>1</v>
      </c>
      <c r="Q803">
        <f t="array" ref="Q803">IF(I803&gt;0,INDEX(DB,I803,9),EventIndex)</f>
        <v>6</v>
      </c>
      <c r="S803">
        <f t="array" ref="S803">(INT(INDEX(MINVALUES,$Q803,$K$1))*60)+(MOD(INDEX(MINVALUES,$Q803,$K$1),1)*100)</f>
        <v>180</v>
      </c>
      <c r="T803">
        <f t="array" ref="T803">(INDEX(INCVALUES,$Q803,$K$1)*100)</f>
        <v>1</v>
      </c>
      <c r="V803">
        <f t="array" ref="V803">+J803+(4*(INDEX(MatchScoreTable,$Q803,20)-1))</f>
        <v>4</v>
      </c>
      <c r="W803">
        <f t="array" ref="W803">INDEX(INC_MINVALUES,$V803,$K$1)</f>
        <v>480</v>
      </c>
      <c r="X803" s="212">
        <f t="array" ref="X803">INDEX(INC_INCVALUES,$V803,$K$1)</f>
        <v>4</v>
      </c>
    </row>
    <row r="804" ht="15.75" customHeight="1">
      <c r="A804" s="435"/>
      <c r="B804" s="436"/>
      <c r="C804" s="95" t="str">
        <f t="array" ref="C804">IF(I804&gt;0,INDEX(DB,I804,8),"")</f>
        <v/>
      </c>
      <c r="D804" s="437">
        <f t="shared" si="1"/>
        <v>0</v>
      </c>
      <c r="F804" s="438">
        <f t="shared" si="2"/>
        <v>0</v>
      </c>
      <c r="G804" t="str">
        <f t="shared" si="3"/>
        <v/>
      </c>
      <c r="H804" t="b">
        <f t="shared" si="4"/>
        <v>0</v>
      </c>
      <c r="I804" s="439">
        <f>IF(OR(ISBLANK(A804),ISNA(MATCH(A804&amp;"",AthleteNumbers,0))),0,MATCH(A804&amp;"",AthleteNumbers,0))</f>
        <v>0</v>
      </c>
      <c r="J804" s="209">
        <f t="array" ref="J804">IF(I804&gt;0,INDEX(DB,$I804,6),0)</f>
        <v>0</v>
      </c>
      <c r="K804" s="446">
        <f t="shared" si="5"/>
        <v>0</v>
      </c>
      <c r="L804" s="440">
        <f t="shared" si="6"/>
        <v>0</v>
      </c>
      <c r="M804" s="441">
        <f>IF(AND(L804&gt;O804,O804&gt;0),MinPoints,IF(AND(L804&lt;N804,O804&gt;0),100,+INT((O804-$L804)/P804)+MinPoints))</f>
        <v>100</v>
      </c>
      <c r="N804" s="440">
        <f t="shared" si="7"/>
        <v>90</v>
      </c>
      <c r="O804" s="440">
        <f t="shared" si="8"/>
        <v>180</v>
      </c>
      <c r="P804" s="440">
        <f t="shared" si="9"/>
        <v>1</v>
      </c>
      <c r="Q804">
        <f t="array" ref="Q804">IF(I804&gt;0,INDEX(DB,I804,9),EventIndex)</f>
        <v>6</v>
      </c>
      <c r="S804">
        <f t="array" ref="S804">(INT(INDEX(MINVALUES,$Q804,$K$1))*60)+(MOD(INDEX(MINVALUES,$Q804,$K$1),1)*100)</f>
        <v>180</v>
      </c>
      <c r="T804">
        <f t="array" ref="T804">(INDEX(INCVALUES,$Q804,$K$1)*100)</f>
        <v>1</v>
      </c>
      <c r="V804">
        <f t="array" ref="V804">+J804+(4*(INDEX(MatchScoreTable,$Q804,20)-1))</f>
        <v>4</v>
      </c>
      <c r="W804">
        <f t="array" ref="W804">INDEX(INC_MINVALUES,$V804,$K$1)</f>
        <v>480</v>
      </c>
      <c r="X804" s="212">
        <f t="array" ref="X804">INDEX(INC_INCVALUES,$V804,$K$1)</f>
        <v>4</v>
      </c>
    </row>
    <row r="805" ht="15.75" customHeight="1">
      <c r="A805" s="435"/>
      <c r="B805" s="436"/>
      <c r="C805" s="95" t="str">
        <f t="array" ref="C805">IF(I805&gt;0,INDEX(DB,I805,8),"")</f>
        <v/>
      </c>
      <c r="D805" s="437">
        <f t="shared" si="1"/>
        <v>0</v>
      </c>
      <c r="F805" s="438">
        <f t="shared" si="2"/>
        <v>0</v>
      </c>
      <c r="G805" t="str">
        <f t="shared" si="3"/>
        <v/>
      </c>
      <c r="H805" t="b">
        <f t="shared" si="4"/>
        <v>0</v>
      </c>
      <c r="I805" s="439">
        <f>IF(OR(ISBLANK(A805),ISNA(MATCH(A805&amp;"",AthleteNumbers,0))),0,MATCH(A805&amp;"",AthleteNumbers,0))</f>
        <v>0</v>
      </c>
      <c r="J805" s="209">
        <f t="array" ref="J805">IF(I805&gt;0,INDEX(DB,$I805,6),0)</f>
        <v>0</v>
      </c>
      <c r="K805" s="446">
        <f t="shared" si="5"/>
        <v>0</v>
      </c>
      <c r="L805" s="440">
        <f t="shared" si="6"/>
        <v>0</v>
      </c>
      <c r="M805" s="441">
        <f>IF(AND(L805&gt;O805,O805&gt;0),MinPoints,IF(AND(L805&lt;N805,O805&gt;0),100,+INT((O805-$L805)/P805)+MinPoints))</f>
        <v>100</v>
      </c>
      <c r="N805" s="440">
        <f t="shared" si="7"/>
        <v>90</v>
      </c>
      <c r="O805" s="440">
        <f t="shared" si="8"/>
        <v>180</v>
      </c>
      <c r="P805" s="440">
        <f t="shared" si="9"/>
        <v>1</v>
      </c>
      <c r="Q805">
        <f t="array" ref="Q805">IF(I805&gt;0,INDEX(DB,I805,9),EventIndex)</f>
        <v>6</v>
      </c>
      <c r="S805">
        <f t="array" ref="S805">(INT(INDEX(MINVALUES,$Q805,$K$1))*60)+(MOD(INDEX(MINVALUES,$Q805,$K$1),1)*100)</f>
        <v>180</v>
      </c>
      <c r="T805">
        <f t="array" ref="T805">(INDEX(INCVALUES,$Q805,$K$1)*100)</f>
        <v>1</v>
      </c>
      <c r="V805">
        <f t="array" ref="V805">+J805+(4*(INDEX(MatchScoreTable,$Q805,20)-1))</f>
        <v>4</v>
      </c>
      <c r="W805">
        <f t="array" ref="W805">INDEX(INC_MINVALUES,$V805,$K$1)</f>
        <v>480</v>
      </c>
      <c r="X805" s="212">
        <f t="array" ref="X805">INDEX(INC_INCVALUES,$V805,$K$1)</f>
        <v>4</v>
      </c>
    </row>
    <row r="806" ht="15.75" customHeight="1">
      <c r="A806" s="435"/>
      <c r="B806" s="436"/>
      <c r="C806" s="95" t="str">
        <f t="array" ref="C806">IF(I806&gt;0,INDEX(DB,I806,8),"")</f>
        <v/>
      </c>
      <c r="D806" s="437">
        <f t="shared" si="1"/>
        <v>0</v>
      </c>
      <c r="F806" s="438">
        <f t="shared" si="2"/>
        <v>0</v>
      </c>
      <c r="G806" t="str">
        <f t="shared" si="3"/>
        <v/>
      </c>
      <c r="H806" t="b">
        <f t="shared" si="4"/>
        <v>0</v>
      </c>
      <c r="I806" s="439">
        <f>IF(OR(ISBLANK(A806),ISNA(MATCH(A806&amp;"",AthleteNumbers,0))),0,MATCH(A806&amp;"",AthleteNumbers,0))</f>
        <v>0</v>
      </c>
      <c r="J806" s="209">
        <f t="array" ref="J806">IF(I806&gt;0,INDEX(DB,$I806,6),0)</f>
        <v>0</v>
      </c>
      <c r="K806" s="446">
        <f t="shared" si="5"/>
        <v>0</v>
      </c>
      <c r="L806" s="440">
        <f t="shared" si="6"/>
        <v>0</v>
      </c>
      <c r="M806" s="441">
        <f>IF(AND(L806&gt;O806,O806&gt;0),MinPoints,IF(AND(L806&lt;N806,O806&gt;0),100,+INT((O806-$L806)/P806)+MinPoints))</f>
        <v>100</v>
      </c>
      <c r="N806" s="440">
        <f t="shared" si="7"/>
        <v>90</v>
      </c>
      <c r="O806" s="440">
        <f t="shared" si="8"/>
        <v>180</v>
      </c>
      <c r="P806" s="440">
        <f t="shared" si="9"/>
        <v>1</v>
      </c>
      <c r="Q806">
        <f t="array" ref="Q806">IF(I806&gt;0,INDEX(DB,I806,9),EventIndex)</f>
        <v>6</v>
      </c>
      <c r="S806">
        <f t="array" ref="S806">(INT(INDEX(MINVALUES,$Q806,$K$1))*60)+(MOD(INDEX(MINVALUES,$Q806,$K$1),1)*100)</f>
        <v>180</v>
      </c>
      <c r="T806">
        <f t="array" ref="T806">(INDEX(INCVALUES,$Q806,$K$1)*100)</f>
        <v>1</v>
      </c>
      <c r="V806">
        <f t="array" ref="V806">+J806+(4*(INDEX(MatchScoreTable,$Q806,20)-1))</f>
        <v>4</v>
      </c>
      <c r="W806">
        <f t="array" ref="W806">INDEX(INC_MINVALUES,$V806,$K$1)</f>
        <v>480</v>
      </c>
      <c r="X806" s="212">
        <f t="array" ref="X806">INDEX(INC_INCVALUES,$V806,$K$1)</f>
        <v>4</v>
      </c>
    </row>
    <row r="807" ht="15.75" customHeight="1">
      <c r="A807" s="435"/>
      <c r="B807" s="436"/>
      <c r="C807" s="95" t="str">
        <f t="array" ref="C807">IF(I807&gt;0,INDEX(DB,I807,8),"")</f>
        <v/>
      </c>
      <c r="D807" s="437">
        <f t="shared" si="1"/>
        <v>0</v>
      </c>
      <c r="F807" s="438">
        <f t="shared" si="2"/>
        <v>0</v>
      </c>
      <c r="G807" t="str">
        <f t="shared" si="3"/>
        <v/>
      </c>
      <c r="H807" t="b">
        <f t="shared" si="4"/>
        <v>0</v>
      </c>
      <c r="I807" s="439">
        <f>IF(OR(ISBLANK(A807),ISNA(MATCH(A807&amp;"",AthleteNumbers,0))),0,MATCH(A807&amp;"",AthleteNumbers,0))</f>
        <v>0</v>
      </c>
      <c r="J807" s="209">
        <f t="array" ref="J807">IF(I807&gt;0,INDEX(DB,$I807,6),0)</f>
        <v>0</v>
      </c>
      <c r="K807" s="446">
        <f t="shared" si="5"/>
        <v>0</v>
      </c>
      <c r="L807" s="440">
        <f t="shared" si="6"/>
        <v>0</v>
      </c>
      <c r="M807" s="441">
        <f>IF(AND(L807&gt;O807,O807&gt;0),MinPoints,IF(AND(L807&lt;N807,O807&gt;0),100,+INT((O807-$L807)/P807)+MinPoints))</f>
        <v>100</v>
      </c>
      <c r="N807" s="440">
        <f t="shared" si="7"/>
        <v>90</v>
      </c>
      <c r="O807" s="440">
        <f t="shared" si="8"/>
        <v>180</v>
      </c>
      <c r="P807" s="440">
        <f t="shared" si="9"/>
        <v>1</v>
      </c>
      <c r="Q807">
        <f t="array" ref="Q807">IF(I807&gt;0,INDEX(DB,I807,9),EventIndex)</f>
        <v>6</v>
      </c>
      <c r="S807">
        <f t="array" ref="S807">(INT(INDEX(MINVALUES,$Q807,$K$1))*60)+(MOD(INDEX(MINVALUES,$Q807,$K$1),1)*100)</f>
        <v>180</v>
      </c>
      <c r="T807">
        <f t="array" ref="T807">(INDEX(INCVALUES,$Q807,$K$1)*100)</f>
        <v>1</v>
      </c>
      <c r="V807">
        <f t="array" ref="V807">+J807+(4*(INDEX(MatchScoreTable,$Q807,20)-1))</f>
        <v>4</v>
      </c>
      <c r="W807">
        <f t="array" ref="W807">INDEX(INC_MINVALUES,$V807,$K$1)</f>
        <v>480</v>
      </c>
      <c r="X807" s="212">
        <f t="array" ref="X807">INDEX(INC_INCVALUES,$V807,$K$1)</f>
        <v>4</v>
      </c>
    </row>
    <row r="808" ht="15.75" customHeight="1">
      <c r="A808" s="435"/>
      <c r="B808" s="436"/>
      <c r="C808" s="95" t="str">
        <f t="array" ref="C808">IF(I808&gt;0,INDEX(DB,I808,8),"")</f>
        <v/>
      </c>
      <c r="D808" s="437">
        <f t="shared" si="1"/>
        <v>0</v>
      </c>
      <c r="F808" s="438">
        <f t="shared" si="2"/>
        <v>0</v>
      </c>
      <c r="G808" t="str">
        <f t="shared" si="3"/>
        <v/>
      </c>
      <c r="H808" t="b">
        <f t="shared" si="4"/>
        <v>0</v>
      </c>
      <c r="I808" s="439">
        <f>IF(OR(ISBLANK(A808),ISNA(MATCH(A808&amp;"",AthleteNumbers,0))),0,MATCH(A808&amp;"",AthleteNumbers,0))</f>
        <v>0</v>
      </c>
      <c r="J808" s="209">
        <f t="array" ref="J808">IF(I808&gt;0,INDEX(DB,$I808,6),0)</f>
        <v>0</v>
      </c>
      <c r="K808" s="446">
        <f t="shared" si="5"/>
        <v>0</v>
      </c>
      <c r="L808" s="440">
        <f t="shared" si="6"/>
        <v>0</v>
      </c>
      <c r="M808" s="441">
        <f>IF(AND(L808&gt;O808,O808&gt;0),MinPoints,IF(AND(L808&lt;N808,O808&gt;0),100,+INT((O808-$L808)/P808)+MinPoints))</f>
        <v>100</v>
      </c>
      <c r="N808" s="440">
        <f t="shared" si="7"/>
        <v>90</v>
      </c>
      <c r="O808" s="440">
        <f t="shared" si="8"/>
        <v>180</v>
      </c>
      <c r="P808" s="440">
        <f t="shared" si="9"/>
        <v>1</v>
      </c>
      <c r="Q808">
        <f t="array" ref="Q808">IF(I808&gt;0,INDEX(DB,I808,9),EventIndex)</f>
        <v>6</v>
      </c>
      <c r="S808">
        <f t="array" ref="S808">(INT(INDEX(MINVALUES,$Q808,$K$1))*60)+(MOD(INDEX(MINVALUES,$Q808,$K$1),1)*100)</f>
        <v>180</v>
      </c>
      <c r="T808">
        <f t="array" ref="T808">(INDEX(INCVALUES,$Q808,$K$1)*100)</f>
        <v>1</v>
      </c>
      <c r="V808">
        <f t="array" ref="V808">+J808+(4*(INDEX(MatchScoreTable,$Q808,20)-1))</f>
        <v>4</v>
      </c>
      <c r="W808">
        <f t="array" ref="W808">INDEX(INC_MINVALUES,$V808,$K$1)</f>
        <v>480</v>
      </c>
      <c r="X808" s="212">
        <f t="array" ref="X808">INDEX(INC_INCVALUES,$V808,$K$1)</f>
        <v>4</v>
      </c>
    </row>
    <row r="809" ht="15.75" customHeight="1">
      <c r="A809" s="435"/>
      <c r="B809" s="436"/>
      <c r="C809" s="95" t="str">
        <f t="array" ref="C809">IF(I809&gt;0,INDEX(DB,I809,8),"")</f>
        <v/>
      </c>
      <c r="D809" s="437">
        <f t="shared" si="1"/>
        <v>0</v>
      </c>
      <c r="F809" s="438">
        <f t="shared" si="2"/>
        <v>0</v>
      </c>
      <c r="G809" t="str">
        <f t="shared" si="3"/>
        <v/>
      </c>
      <c r="H809" t="b">
        <f t="shared" si="4"/>
        <v>0</v>
      </c>
      <c r="I809" s="439">
        <f>IF(OR(ISBLANK(A809),ISNA(MATCH(A809&amp;"",AthleteNumbers,0))),0,MATCH(A809&amp;"",AthleteNumbers,0))</f>
        <v>0</v>
      </c>
      <c r="J809" s="209">
        <f t="array" ref="J809">IF(I809&gt;0,INDEX(DB,$I809,6),0)</f>
        <v>0</v>
      </c>
      <c r="K809" s="446">
        <f t="shared" si="5"/>
        <v>0</v>
      </c>
      <c r="L809" s="440">
        <f t="shared" si="6"/>
        <v>0</v>
      </c>
      <c r="M809" s="441">
        <f>IF(AND(L809&gt;O809,O809&gt;0),MinPoints,IF(AND(L809&lt;N809,O809&gt;0),100,+INT((O809-$L809)/P809)+MinPoints))</f>
        <v>100</v>
      </c>
      <c r="N809" s="440">
        <f t="shared" si="7"/>
        <v>90</v>
      </c>
      <c r="O809" s="440">
        <f t="shared" si="8"/>
        <v>180</v>
      </c>
      <c r="P809" s="440">
        <f t="shared" si="9"/>
        <v>1</v>
      </c>
      <c r="Q809">
        <f t="array" ref="Q809">IF(I809&gt;0,INDEX(DB,I809,9),EventIndex)</f>
        <v>6</v>
      </c>
      <c r="S809">
        <f t="array" ref="S809">(INT(INDEX(MINVALUES,$Q809,$K$1))*60)+(MOD(INDEX(MINVALUES,$Q809,$K$1),1)*100)</f>
        <v>180</v>
      </c>
      <c r="T809">
        <f t="array" ref="T809">(INDEX(INCVALUES,$Q809,$K$1)*100)</f>
        <v>1</v>
      </c>
      <c r="V809">
        <f t="array" ref="V809">+J809+(4*(INDEX(MatchScoreTable,$Q809,20)-1))</f>
        <v>4</v>
      </c>
      <c r="W809">
        <f t="array" ref="W809">INDEX(INC_MINVALUES,$V809,$K$1)</f>
        <v>480</v>
      </c>
      <c r="X809" s="212">
        <f t="array" ref="X809">INDEX(INC_INCVALUES,$V809,$K$1)</f>
        <v>4</v>
      </c>
    </row>
    <row r="810" ht="15.75" customHeight="1">
      <c r="A810" s="435"/>
      <c r="B810" s="436"/>
      <c r="C810" s="95" t="str">
        <f t="array" ref="C810">IF(I810&gt;0,INDEX(DB,I810,8),"")</f>
        <v/>
      </c>
      <c r="D810" s="437">
        <f t="shared" si="1"/>
        <v>0</v>
      </c>
      <c r="F810" s="438">
        <f t="shared" si="2"/>
        <v>0</v>
      </c>
      <c r="G810" t="str">
        <f t="shared" si="3"/>
        <v/>
      </c>
      <c r="H810" t="b">
        <f t="shared" si="4"/>
        <v>0</v>
      </c>
      <c r="I810" s="439">
        <f>IF(OR(ISBLANK(A810),ISNA(MATCH(A810&amp;"",AthleteNumbers,0))),0,MATCH(A810&amp;"",AthleteNumbers,0))</f>
        <v>0</v>
      </c>
      <c r="J810" s="209">
        <f t="array" ref="J810">IF(I810&gt;0,INDEX(DB,$I810,6),0)</f>
        <v>0</v>
      </c>
      <c r="K810" s="446">
        <f t="shared" si="5"/>
        <v>0</v>
      </c>
      <c r="L810" s="440">
        <f t="shared" si="6"/>
        <v>0</v>
      </c>
      <c r="M810" s="441">
        <f>IF(AND(L810&gt;O810,O810&gt;0),MinPoints,IF(AND(L810&lt;N810,O810&gt;0),100,+INT((O810-$L810)/P810)+MinPoints))</f>
        <v>100</v>
      </c>
      <c r="N810" s="440">
        <f t="shared" si="7"/>
        <v>90</v>
      </c>
      <c r="O810" s="440">
        <f t="shared" si="8"/>
        <v>180</v>
      </c>
      <c r="P810" s="440">
        <f t="shared" si="9"/>
        <v>1</v>
      </c>
      <c r="Q810">
        <f t="array" ref="Q810">IF(I810&gt;0,INDEX(DB,I810,9),EventIndex)</f>
        <v>6</v>
      </c>
      <c r="S810">
        <f t="array" ref="S810">(INT(INDEX(MINVALUES,$Q810,$K$1))*60)+(MOD(INDEX(MINVALUES,$Q810,$K$1),1)*100)</f>
        <v>180</v>
      </c>
      <c r="T810">
        <f t="array" ref="T810">(INDEX(INCVALUES,$Q810,$K$1)*100)</f>
        <v>1</v>
      </c>
      <c r="V810">
        <f t="array" ref="V810">+J810+(4*(INDEX(MatchScoreTable,$Q810,20)-1))</f>
        <v>4</v>
      </c>
      <c r="W810">
        <f t="array" ref="W810">INDEX(INC_MINVALUES,$V810,$K$1)</f>
        <v>480</v>
      </c>
      <c r="X810" s="212">
        <f t="array" ref="X810">INDEX(INC_INCVALUES,$V810,$K$1)</f>
        <v>4</v>
      </c>
    </row>
    <row r="811" ht="15.75" customHeight="1">
      <c r="A811" s="435"/>
      <c r="B811" s="436"/>
      <c r="C811" s="95" t="str">
        <f t="array" ref="C811">IF(I811&gt;0,INDEX(DB,I811,8),"")</f>
        <v/>
      </c>
      <c r="D811" s="437">
        <f t="shared" si="1"/>
        <v>0</v>
      </c>
      <c r="F811" s="438">
        <f t="shared" si="2"/>
        <v>0</v>
      </c>
      <c r="G811" t="str">
        <f t="shared" si="3"/>
        <v/>
      </c>
      <c r="H811" t="b">
        <f t="shared" si="4"/>
        <v>0</v>
      </c>
      <c r="I811" s="439">
        <f>IF(OR(ISBLANK(A811),ISNA(MATCH(A811&amp;"",AthleteNumbers,0))),0,MATCH(A811&amp;"",AthleteNumbers,0))</f>
        <v>0</v>
      </c>
      <c r="J811" s="209">
        <f t="array" ref="J811">IF(I811&gt;0,INDEX(DB,$I811,6),0)</f>
        <v>0</v>
      </c>
      <c r="K811" s="446">
        <f t="shared" si="5"/>
        <v>0</v>
      </c>
      <c r="L811" s="440">
        <f t="shared" si="6"/>
        <v>0</v>
      </c>
      <c r="M811" s="441">
        <f>IF(AND(L811&gt;O811,O811&gt;0),MinPoints,IF(AND(L811&lt;N811,O811&gt;0),100,+INT((O811-$L811)/P811)+MinPoints))</f>
        <v>100</v>
      </c>
      <c r="N811" s="440">
        <f t="shared" si="7"/>
        <v>90</v>
      </c>
      <c r="O811" s="440">
        <f t="shared" si="8"/>
        <v>180</v>
      </c>
      <c r="P811" s="440">
        <f t="shared" si="9"/>
        <v>1</v>
      </c>
      <c r="Q811">
        <f t="array" ref="Q811">IF(I811&gt;0,INDEX(DB,I811,9),EventIndex)</f>
        <v>6</v>
      </c>
      <c r="S811">
        <f t="array" ref="S811">(INT(INDEX(MINVALUES,$Q811,$K$1))*60)+(MOD(INDEX(MINVALUES,$Q811,$K$1),1)*100)</f>
        <v>180</v>
      </c>
      <c r="T811">
        <f t="array" ref="T811">(INDEX(INCVALUES,$Q811,$K$1)*100)</f>
        <v>1</v>
      </c>
      <c r="V811">
        <f t="array" ref="V811">+J811+(4*(INDEX(MatchScoreTable,$Q811,20)-1))</f>
        <v>4</v>
      </c>
      <c r="W811">
        <f t="array" ref="W811">INDEX(INC_MINVALUES,$V811,$K$1)</f>
        <v>480</v>
      </c>
      <c r="X811" s="212">
        <f t="array" ref="X811">INDEX(INC_INCVALUES,$V811,$K$1)</f>
        <v>4</v>
      </c>
    </row>
    <row r="812" ht="15.75" customHeight="1">
      <c r="A812" s="435"/>
      <c r="B812" s="436"/>
      <c r="C812" s="95" t="str">
        <f t="array" ref="C812">IF(I812&gt;0,INDEX(DB,I812,8),"")</f>
        <v/>
      </c>
      <c r="D812" s="437">
        <f t="shared" si="1"/>
        <v>0</v>
      </c>
      <c r="F812" s="438">
        <f t="shared" si="2"/>
        <v>0</v>
      </c>
      <c r="G812" t="str">
        <f t="shared" si="3"/>
        <v/>
      </c>
      <c r="H812" t="b">
        <f t="shared" si="4"/>
        <v>0</v>
      </c>
      <c r="I812" s="439">
        <f>IF(OR(ISBLANK(A812),ISNA(MATCH(A812&amp;"",AthleteNumbers,0))),0,MATCH(A812&amp;"",AthleteNumbers,0))</f>
        <v>0</v>
      </c>
      <c r="J812" s="209">
        <f t="array" ref="J812">IF(I812&gt;0,INDEX(DB,$I812,6),0)</f>
        <v>0</v>
      </c>
      <c r="K812" s="446">
        <f t="shared" si="5"/>
        <v>0</v>
      </c>
      <c r="L812" s="440">
        <f t="shared" si="6"/>
        <v>0</v>
      </c>
      <c r="M812" s="441">
        <f>IF(AND(L812&gt;O812,O812&gt;0),MinPoints,IF(AND(L812&lt;N812,O812&gt;0),100,+INT((O812-$L812)/P812)+MinPoints))</f>
        <v>100</v>
      </c>
      <c r="N812" s="440">
        <f t="shared" si="7"/>
        <v>90</v>
      </c>
      <c r="O812" s="440">
        <f t="shared" si="8"/>
        <v>180</v>
      </c>
      <c r="P812" s="440">
        <f t="shared" si="9"/>
        <v>1</v>
      </c>
      <c r="Q812">
        <f t="array" ref="Q812">IF(I812&gt;0,INDEX(DB,I812,9),EventIndex)</f>
        <v>6</v>
      </c>
      <c r="S812">
        <f t="array" ref="S812">(INT(INDEX(MINVALUES,$Q812,$K$1))*60)+(MOD(INDEX(MINVALUES,$Q812,$K$1),1)*100)</f>
        <v>180</v>
      </c>
      <c r="T812">
        <f t="array" ref="T812">(INDEX(INCVALUES,$Q812,$K$1)*100)</f>
        <v>1</v>
      </c>
      <c r="V812">
        <f t="array" ref="V812">+J812+(4*(INDEX(MatchScoreTable,$Q812,20)-1))</f>
        <v>4</v>
      </c>
      <c r="W812">
        <f t="array" ref="W812">INDEX(INC_MINVALUES,$V812,$K$1)</f>
        <v>480</v>
      </c>
      <c r="X812" s="212">
        <f t="array" ref="X812">INDEX(INC_INCVALUES,$V812,$K$1)</f>
        <v>4</v>
      </c>
    </row>
    <row r="813" ht="15.75" customHeight="1">
      <c r="A813" s="435"/>
      <c r="B813" s="436"/>
      <c r="C813" s="95" t="str">
        <f t="array" ref="C813">IF(I813&gt;0,INDEX(DB,I813,8),"")</f>
        <v/>
      </c>
      <c r="D813" s="437">
        <f t="shared" si="1"/>
        <v>0</v>
      </c>
      <c r="F813" s="438">
        <f t="shared" si="2"/>
        <v>0</v>
      </c>
      <c r="G813" t="str">
        <f t="shared" si="3"/>
        <v/>
      </c>
      <c r="H813" t="b">
        <f t="shared" si="4"/>
        <v>0</v>
      </c>
      <c r="I813" s="439">
        <f>IF(OR(ISBLANK(A813),ISNA(MATCH(A813&amp;"",AthleteNumbers,0))),0,MATCH(A813&amp;"",AthleteNumbers,0))</f>
        <v>0</v>
      </c>
      <c r="J813" s="209">
        <f t="array" ref="J813">IF(I813&gt;0,INDEX(DB,$I813,6),0)</f>
        <v>0</v>
      </c>
      <c r="K813" s="446">
        <f t="shared" si="5"/>
        <v>0</v>
      </c>
      <c r="L813" s="440">
        <f t="shared" si="6"/>
        <v>0</v>
      </c>
      <c r="M813" s="441">
        <f>IF(AND(L813&gt;O813,O813&gt;0),MinPoints,IF(AND(L813&lt;N813,O813&gt;0),100,+INT((O813-$L813)/P813)+MinPoints))</f>
        <v>100</v>
      </c>
      <c r="N813" s="440">
        <f t="shared" si="7"/>
        <v>90</v>
      </c>
      <c r="O813" s="440">
        <f t="shared" si="8"/>
        <v>180</v>
      </c>
      <c r="P813" s="440">
        <f t="shared" si="9"/>
        <v>1</v>
      </c>
      <c r="Q813">
        <f t="array" ref="Q813">IF(I813&gt;0,INDEX(DB,I813,9),EventIndex)</f>
        <v>6</v>
      </c>
      <c r="S813">
        <f t="array" ref="S813">(INT(INDEX(MINVALUES,$Q813,$K$1))*60)+(MOD(INDEX(MINVALUES,$Q813,$K$1),1)*100)</f>
        <v>180</v>
      </c>
      <c r="T813">
        <f t="array" ref="T813">(INDEX(INCVALUES,$Q813,$K$1)*100)</f>
        <v>1</v>
      </c>
      <c r="V813">
        <f t="array" ref="V813">+J813+(4*(INDEX(MatchScoreTable,$Q813,20)-1))</f>
        <v>4</v>
      </c>
      <c r="W813">
        <f t="array" ref="W813">INDEX(INC_MINVALUES,$V813,$K$1)</f>
        <v>480</v>
      </c>
      <c r="X813" s="212">
        <f t="array" ref="X813">INDEX(INC_INCVALUES,$V813,$K$1)</f>
        <v>4</v>
      </c>
    </row>
    <row r="814" ht="15.75" customHeight="1">
      <c r="A814" s="435"/>
      <c r="B814" s="436"/>
      <c r="C814" s="95" t="str">
        <f t="array" ref="C814">IF(I814&gt;0,INDEX(DB,I814,8),"")</f>
        <v/>
      </c>
      <c r="D814" s="437">
        <f t="shared" si="1"/>
        <v>0</v>
      </c>
      <c r="F814" s="438">
        <f t="shared" si="2"/>
        <v>0</v>
      </c>
      <c r="G814" t="str">
        <f t="shared" si="3"/>
        <v/>
      </c>
      <c r="H814" t="b">
        <f t="shared" si="4"/>
        <v>0</v>
      </c>
      <c r="I814" s="439">
        <f>IF(OR(ISBLANK(A814),ISNA(MATCH(A814&amp;"",AthleteNumbers,0))),0,MATCH(A814&amp;"",AthleteNumbers,0))</f>
        <v>0</v>
      </c>
      <c r="J814" s="209">
        <f t="array" ref="J814">IF(I814&gt;0,INDEX(DB,$I814,6),0)</f>
        <v>0</v>
      </c>
      <c r="K814" s="446">
        <f t="shared" si="5"/>
        <v>0</v>
      </c>
      <c r="L814" s="440">
        <f t="shared" si="6"/>
        <v>0</v>
      </c>
      <c r="M814" s="441">
        <f>IF(AND(L814&gt;O814,O814&gt;0),MinPoints,IF(AND(L814&lt;N814,O814&gt;0),100,+INT((O814-$L814)/P814)+MinPoints))</f>
        <v>100</v>
      </c>
      <c r="N814" s="440">
        <f t="shared" si="7"/>
        <v>90</v>
      </c>
      <c r="O814" s="440">
        <f t="shared" si="8"/>
        <v>180</v>
      </c>
      <c r="P814" s="440">
        <f t="shared" si="9"/>
        <v>1</v>
      </c>
      <c r="Q814">
        <f t="array" ref="Q814">IF(I814&gt;0,INDEX(DB,I814,9),EventIndex)</f>
        <v>6</v>
      </c>
      <c r="S814">
        <f t="array" ref="S814">(INT(INDEX(MINVALUES,$Q814,$K$1))*60)+(MOD(INDEX(MINVALUES,$Q814,$K$1),1)*100)</f>
        <v>180</v>
      </c>
      <c r="T814">
        <f t="array" ref="T814">(INDEX(INCVALUES,$Q814,$K$1)*100)</f>
        <v>1</v>
      </c>
      <c r="V814">
        <f t="array" ref="V814">+J814+(4*(INDEX(MatchScoreTable,$Q814,20)-1))</f>
        <v>4</v>
      </c>
      <c r="W814">
        <f t="array" ref="W814">INDEX(INC_MINVALUES,$V814,$K$1)</f>
        <v>480</v>
      </c>
      <c r="X814" s="212">
        <f t="array" ref="X814">INDEX(INC_INCVALUES,$V814,$K$1)</f>
        <v>4</v>
      </c>
    </row>
    <row r="815" ht="15.75" customHeight="1">
      <c r="A815" s="435"/>
      <c r="B815" s="436"/>
      <c r="C815" s="95" t="str">
        <f t="array" ref="C815">IF(I815&gt;0,INDEX(DB,I815,8),"")</f>
        <v/>
      </c>
      <c r="D815" s="437">
        <f t="shared" si="1"/>
        <v>0</v>
      </c>
      <c r="F815" s="438">
        <f t="shared" si="2"/>
        <v>0</v>
      </c>
      <c r="G815" t="str">
        <f t="shared" si="3"/>
        <v/>
      </c>
      <c r="H815" t="b">
        <f t="shared" si="4"/>
        <v>0</v>
      </c>
      <c r="I815" s="439">
        <f>IF(OR(ISBLANK(A815),ISNA(MATCH(A815&amp;"",AthleteNumbers,0))),0,MATCH(A815&amp;"",AthleteNumbers,0))</f>
        <v>0</v>
      </c>
      <c r="J815" s="209">
        <f t="array" ref="J815">IF(I815&gt;0,INDEX(DB,$I815,6),0)</f>
        <v>0</v>
      </c>
      <c r="K815" s="446">
        <f t="shared" si="5"/>
        <v>0</v>
      </c>
      <c r="L815" s="440">
        <f t="shared" si="6"/>
        <v>0</v>
      </c>
      <c r="M815" s="441">
        <f>IF(AND(L815&gt;O815,O815&gt;0),MinPoints,IF(AND(L815&lt;N815,O815&gt;0),100,+INT((O815-$L815)/P815)+MinPoints))</f>
        <v>100</v>
      </c>
      <c r="N815" s="440">
        <f t="shared" si="7"/>
        <v>90</v>
      </c>
      <c r="O815" s="440">
        <f t="shared" si="8"/>
        <v>180</v>
      </c>
      <c r="P815" s="440">
        <f t="shared" si="9"/>
        <v>1</v>
      </c>
      <c r="Q815">
        <f t="array" ref="Q815">IF(I815&gt;0,INDEX(DB,I815,9),EventIndex)</f>
        <v>6</v>
      </c>
      <c r="S815">
        <f t="array" ref="S815">(INT(INDEX(MINVALUES,$Q815,$K$1))*60)+(MOD(INDEX(MINVALUES,$Q815,$K$1),1)*100)</f>
        <v>180</v>
      </c>
      <c r="T815">
        <f t="array" ref="T815">(INDEX(INCVALUES,$Q815,$K$1)*100)</f>
        <v>1</v>
      </c>
      <c r="V815">
        <f t="array" ref="V815">+J815+(4*(INDEX(MatchScoreTable,$Q815,20)-1))</f>
        <v>4</v>
      </c>
      <c r="W815">
        <f t="array" ref="W815">INDEX(INC_MINVALUES,$V815,$K$1)</f>
        <v>480</v>
      </c>
      <c r="X815" s="212">
        <f t="array" ref="X815">INDEX(INC_INCVALUES,$V815,$K$1)</f>
        <v>4</v>
      </c>
    </row>
    <row r="816" ht="15.75" customHeight="1">
      <c r="A816" s="435"/>
      <c r="B816" s="436"/>
      <c r="C816" s="95" t="str">
        <f t="array" ref="C816">IF(I816&gt;0,INDEX(DB,I816,8),"")</f>
        <v/>
      </c>
      <c r="D816" s="437">
        <f t="shared" si="1"/>
        <v>0</v>
      </c>
      <c r="F816" s="438">
        <f t="shared" si="2"/>
        <v>0</v>
      </c>
      <c r="G816" t="str">
        <f t="shared" si="3"/>
        <v/>
      </c>
      <c r="H816" t="b">
        <f t="shared" si="4"/>
        <v>0</v>
      </c>
      <c r="I816" s="439">
        <f>IF(OR(ISBLANK(A816),ISNA(MATCH(A816&amp;"",AthleteNumbers,0))),0,MATCH(A816&amp;"",AthleteNumbers,0))</f>
        <v>0</v>
      </c>
      <c r="J816" s="209">
        <f t="array" ref="J816">IF(I816&gt;0,INDEX(DB,$I816,6),0)</f>
        <v>0</v>
      </c>
      <c r="K816" s="446">
        <f t="shared" si="5"/>
        <v>0</v>
      </c>
      <c r="L816" s="440">
        <f t="shared" si="6"/>
        <v>0</v>
      </c>
      <c r="M816" s="441">
        <f>IF(AND(L816&gt;O816,O816&gt;0),MinPoints,IF(AND(L816&lt;N816,O816&gt;0),100,+INT((O816-$L816)/P816)+MinPoints))</f>
        <v>100</v>
      </c>
      <c r="N816" s="440">
        <f t="shared" si="7"/>
        <v>90</v>
      </c>
      <c r="O816" s="440">
        <f t="shared" si="8"/>
        <v>180</v>
      </c>
      <c r="P816" s="440">
        <f t="shared" si="9"/>
        <v>1</v>
      </c>
      <c r="Q816">
        <f t="array" ref="Q816">IF(I816&gt;0,INDEX(DB,I816,9),EventIndex)</f>
        <v>6</v>
      </c>
      <c r="S816">
        <f t="array" ref="S816">(INT(INDEX(MINVALUES,$Q816,$K$1))*60)+(MOD(INDEX(MINVALUES,$Q816,$K$1),1)*100)</f>
        <v>180</v>
      </c>
      <c r="T816">
        <f t="array" ref="T816">(INDEX(INCVALUES,$Q816,$K$1)*100)</f>
        <v>1</v>
      </c>
      <c r="V816">
        <f t="array" ref="V816">+J816+(4*(INDEX(MatchScoreTable,$Q816,20)-1))</f>
        <v>4</v>
      </c>
      <c r="W816">
        <f t="array" ref="W816">INDEX(INC_MINVALUES,$V816,$K$1)</f>
        <v>480</v>
      </c>
      <c r="X816" s="212">
        <f t="array" ref="X816">INDEX(INC_INCVALUES,$V816,$K$1)</f>
        <v>4</v>
      </c>
    </row>
    <row r="817" ht="15.75" customHeight="1">
      <c r="A817" s="435"/>
      <c r="B817" s="436"/>
      <c r="C817" s="95" t="str">
        <f t="array" ref="C817">IF(I817&gt;0,INDEX(DB,I817,8),"")</f>
        <v/>
      </c>
      <c r="D817" s="437">
        <f t="shared" si="1"/>
        <v>0</v>
      </c>
      <c r="F817" s="438">
        <f t="shared" si="2"/>
        <v>0</v>
      </c>
      <c r="G817" t="str">
        <f t="shared" si="3"/>
        <v/>
      </c>
      <c r="H817" t="b">
        <f t="shared" si="4"/>
        <v>0</v>
      </c>
      <c r="I817" s="439">
        <f>IF(OR(ISBLANK(A817),ISNA(MATCH(A817&amp;"",AthleteNumbers,0))),0,MATCH(A817&amp;"",AthleteNumbers,0))</f>
        <v>0</v>
      </c>
      <c r="J817" s="209">
        <f t="array" ref="J817">IF(I817&gt;0,INDEX(DB,$I817,6),0)</f>
        <v>0</v>
      </c>
      <c r="K817" s="446">
        <f t="shared" si="5"/>
        <v>0</v>
      </c>
      <c r="L817" s="440">
        <f t="shared" si="6"/>
        <v>0</v>
      </c>
      <c r="M817" s="441">
        <f>IF(AND(L817&gt;O817,O817&gt;0),MinPoints,IF(AND(L817&lt;N817,O817&gt;0),100,+INT((O817-$L817)/P817)+MinPoints))</f>
        <v>100</v>
      </c>
      <c r="N817" s="440">
        <f t="shared" si="7"/>
        <v>90</v>
      </c>
      <c r="O817" s="440">
        <f t="shared" si="8"/>
        <v>180</v>
      </c>
      <c r="P817" s="440">
        <f t="shared" si="9"/>
        <v>1</v>
      </c>
      <c r="Q817">
        <f t="array" ref="Q817">IF(I817&gt;0,INDEX(DB,I817,9),EventIndex)</f>
        <v>6</v>
      </c>
      <c r="S817">
        <f t="array" ref="S817">(INT(INDEX(MINVALUES,$Q817,$K$1))*60)+(MOD(INDEX(MINVALUES,$Q817,$K$1),1)*100)</f>
        <v>180</v>
      </c>
      <c r="T817">
        <f t="array" ref="T817">(INDEX(INCVALUES,$Q817,$K$1)*100)</f>
        <v>1</v>
      </c>
      <c r="V817">
        <f t="array" ref="V817">+J817+(4*(INDEX(MatchScoreTable,$Q817,20)-1))</f>
        <v>4</v>
      </c>
      <c r="W817">
        <f t="array" ref="W817">INDEX(INC_MINVALUES,$V817,$K$1)</f>
        <v>480</v>
      </c>
      <c r="X817" s="212">
        <f t="array" ref="X817">INDEX(INC_INCVALUES,$V817,$K$1)</f>
        <v>4</v>
      </c>
    </row>
    <row r="818" ht="15.75" customHeight="1">
      <c r="A818" s="435"/>
      <c r="B818" s="436"/>
      <c r="C818" s="95" t="str">
        <f t="array" ref="C818">IF(I818&gt;0,INDEX(DB,I818,8),"")</f>
        <v/>
      </c>
      <c r="D818" s="437">
        <f t="shared" si="1"/>
        <v>0</v>
      </c>
      <c r="F818" s="438">
        <f t="shared" si="2"/>
        <v>0</v>
      </c>
      <c r="G818" t="str">
        <f t="shared" si="3"/>
        <v/>
      </c>
      <c r="H818" t="b">
        <f t="shared" si="4"/>
        <v>0</v>
      </c>
      <c r="I818" s="439">
        <f>IF(OR(ISBLANK(A818),ISNA(MATCH(A818&amp;"",AthleteNumbers,0))),0,MATCH(A818&amp;"",AthleteNumbers,0))</f>
        <v>0</v>
      </c>
      <c r="J818" s="209">
        <f t="array" ref="J818">IF(I818&gt;0,INDEX(DB,$I818,6),0)</f>
        <v>0</v>
      </c>
      <c r="K818" s="446">
        <f t="shared" si="5"/>
        <v>0</v>
      </c>
      <c r="L818" s="440">
        <f t="shared" si="6"/>
        <v>0</v>
      </c>
      <c r="M818" s="441">
        <f>IF(AND(L818&gt;O818,O818&gt;0),MinPoints,IF(AND(L818&lt;N818,O818&gt;0),100,+INT((O818-$L818)/P818)+MinPoints))</f>
        <v>100</v>
      </c>
      <c r="N818" s="440">
        <f t="shared" si="7"/>
        <v>90</v>
      </c>
      <c r="O818" s="440">
        <f t="shared" si="8"/>
        <v>180</v>
      </c>
      <c r="P818" s="440">
        <f t="shared" si="9"/>
        <v>1</v>
      </c>
      <c r="Q818">
        <f t="array" ref="Q818">IF(I818&gt;0,INDEX(DB,I818,9),EventIndex)</f>
        <v>6</v>
      </c>
      <c r="S818">
        <f t="array" ref="S818">(INT(INDEX(MINVALUES,$Q818,$K$1))*60)+(MOD(INDEX(MINVALUES,$Q818,$K$1),1)*100)</f>
        <v>180</v>
      </c>
      <c r="T818">
        <f t="array" ref="T818">(INDEX(INCVALUES,$Q818,$K$1)*100)</f>
        <v>1</v>
      </c>
      <c r="V818">
        <f t="array" ref="V818">+J818+(4*(INDEX(MatchScoreTable,$Q818,20)-1))</f>
        <v>4</v>
      </c>
      <c r="W818">
        <f t="array" ref="W818">INDEX(INC_MINVALUES,$V818,$K$1)</f>
        <v>480</v>
      </c>
      <c r="X818" s="212">
        <f t="array" ref="X818">INDEX(INC_INCVALUES,$V818,$K$1)</f>
        <v>4</v>
      </c>
    </row>
    <row r="819" ht="15.75" customHeight="1">
      <c r="A819" s="435"/>
      <c r="B819" s="436"/>
      <c r="C819" s="95" t="str">
        <f t="array" ref="C819">IF(I819&gt;0,INDEX(DB,I819,8),"")</f>
        <v/>
      </c>
      <c r="D819" s="437">
        <f t="shared" si="1"/>
        <v>0</v>
      </c>
      <c r="F819" s="438">
        <f t="shared" si="2"/>
        <v>0</v>
      </c>
      <c r="G819" t="str">
        <f t="shared" si="3"/>
        <v/>
      </c>
      <c r="H819" t="b">
        <f t="shared" si="4"/>
        <v>0</v>
      </c>
      <c r="I819" s="439">
        <f>IF(OR(ISBLANK(A819),ISNA(MATCH(A819&amp;"",AthleteNumbers,0))),0,MATCH(A819&amp;"",AthleteNumbers,0))</f>
        <v>0</v>
      </c>
      <c r="J819" s="209">
        <f t="array" ref="J819">IF(I819&gt;0,INDEX(DB,$I819,6),0)</f>
        <v>0</v>
      </c>
      <c r="K819" s="446">
        <f t="shared" si="5"/>
        <v>0</v>
      </c>
      <c r="L819" s="440">
        <f t="shared" si="6"/>
        <v>0</v>
      </c>
      <c r="M819" s="441">
        <f>IF(AND(L819&gt;O819,O819&gt;0),MinPoints,IF(AND(L819&lt;N819,O819&gt;0),100,+INT((O819-$L819)/P819)+MinPoints))</f>
        <v>100</v>
      </c>
      <c r="N819" s="440">
        <f t="shared" si="7"/>
        <v>90</v>
      </c>
      <c r="O819" s="440">
        <f t="shared" si="8"/>
        <v>180</v>
      </c>
      <c r="P819" s="440">
        <f t="shared" si="9"/>
        <v>1</v>
      </c>
      <c r="Q819">
        <f t="array" ref="Q819">IF(I819&gt;0,INDEX(DB,I819,9),EventIndex)</f>
        <v>6</v>
      </c>
      <c r="S819">
        <f t="array" ref="S819">(INT(INDEX(MINVALUES,$Q819,$K$1))*60)+(MOD(INDEX(MINVALUES,$Q819,$K$1),1)*100)</f>
        <v>180</v>
      </c>
      <c r="T819">
        <f t="array" ref="T819">(INDEX(INCVALUES,$Q819,$K$1)*100)</f>
        <v>1</v>
      </c>
      <c r="V819">
        <f t="array" ref="V819">+J819+(4*(INDEX(MatchScoreTable,$Q819,20)-1))</f>
        <v>4</v>
      </c>
      <c r="W819">
        <f t="array" ref="W819">INDEX(INC_MINVALUES,$V819,$K$1)</f>
        <v>480</v>
      </c>
      <c r="X819" s="212">
        <f t="array" ref="X819">INDEX(INC_INCVALUES,$V819,$K$1)</f>
        <v>4</v>
      </c>
    </row>
    <row r="820" ht="15.75" customHeight="1">
      <c r="A820" s="435"/>
      <c r="B820" s="436"/>
      <c r="C820" s="95" t="str">
        <f t="array" ref="C820">IF(I820&gt;0,INDEX(DB,I820,8),"")</f>
        <v/>
      </c>
      <c r="D820" s="437">
        <f t="shared" si="1"/>
        <v>0</v>
      </c>
      <c r="F820" s="438">
        <f t="shared" si="2"/>
        <v>0</v>
      </c>
      <c r="G820" t="str">
        <f t="shared" si="3"/>
        <v/>
      </c>
      <c r="H820" t="b">
        <f t="shared" si="4"/>
        <v>0</v>
      </c>
      <c r="I820" s="439">
        <f>IF(OR(ISBLANK(A820),ISNA(MATCH(A820&amp;"",AthleteNumbers,0))),0,MATCH(A820&amp;"",AthleteNumbers,0))</f>
        <v>0</v>
      </c>
      <c r="J820" s="209">
        <f t="array" ref="J820">IF(I820&gt;0,INDEX(DB,$I820,6),0)</f>
        <v>0</v>
      </c>
      <c r="K820" s="446">
        <f t="shared" si="5"/>
        <v>0</v>
      </c>
      <c r="L820" s="440">
        <f t="shared" si="6"/>
        <v>0</v>
      </c>
      <c r="M820" s="441">
        <f>IF(AND(L820&gt;O820,O820&gt;0),MinPoints,IF(AND(L820&lt;N820,O820&gt;0),100,+INT((O820-$L820)/P820)+MinPoints))</f>
        <v>100</v>
      </c>
      <c r="N820" s="440">
        <f t="shared" si="7"/>
        <v>90</v>
      </c>
      <c r="O820" s="440">
        <f t="shared" si="8"/>
        <v>180</v>
      </c>
      <c r="P820" s="440">
        <f t="shared" si="9"/>
        <v>1</v>
      </c>
      <c r="Q820">
        <f t="array" ref="Q820">IF(I820&gt;0,INDEX(DB,I820,9),EventIndex)</f>
        <v>6</v>
      </c>
      <c r="S820">
        <f t="array" ref="S820">(INT(INDEX(MINVALUES,$Q820,$K$1))*60)+(MOD(INDEX(MINVALUES,$Q820,$K$1),1)*100)</f>
        <v>180</v>
      </c>
      <c r="T820">
        <f t="array" ref="T820">(INDEX(INCVALUES,$Q820,$K$1)*100)</f>
        <v>1</v>
      </c>
      <c r="V820">
        <f t="array" ref="V820">+J820+(4*(INDEX(MatchScoreTable,$Q820,20)-1))</f>
        <v>4</v>
      </c>
      <c r="W820">
        <f t="array" ref="W820">INDEX(INC_MINVALUES,$V820,$K$1)</f>
        <v>480</v>
      </c>
      <c r="X820" s="212">
        <f t="array" ref="X820">INDEX(INC_INCVALUES,$V820,$K$1)</f>
        <v>4</v>
      </c>
    </row>
    <row r="821" ht="15.75" customHeight="1">
      <c r="A821" s="435"/>
      <c r="B821" s="436"/>
      <c r="C821" s="95" t="str">
        <f t="array" ref="C821">IF(I821&gt;0,INDEX(DB,I821,8),"")</f>
        <v/>
      </c>
      <c r="D821" s="437">
        <f t="shared" si="1"/>
        <v>0</v>
      </c>
      <c r="F821" s="438">
        <f t="shared" si="2"/>
        <v>0</v>
      </c>
      <c r="G821" t="str">
        <f t="shared" si="3"/>
        <v/>
      </c>
      <c r="H821" t="b">
        <f t="shared" si="4"/>
        <v>0</v>
      </c>
      <c r="I821" s="439">
        <f>IF(OR(ISBLANK(A821),ISNA(MATCH(A821&amp;"",AthleteNumbers,0))),0,MATCH(A821&amp;"",AthleteNumbers,0))</f>
        <v>0</v>
      </c>
      <c r="J821" s="209">
        <f t="array" ref="J821">IF(I821&gt;0,INDEX(DB,$I821,6),0)</f>
        <v>0</v>
      </c>
      <c r="K821" s="446">
        <f t="shared" si="5"/>
        <v>0</v>
      </c>
      <c r="L821" s="440">
        <f t="shared" si="6"/>
        <v>0</v>
      </c>
      <c r="M821" s="441">
        <f>IF(AND(L821&gt;O821,O821&gt;0),MinPoints,IF(AND(L821&lt;N821,O821&gt;0),100,+INT((O821-$L821)/P821)+MinPoints))</f>
        <v>100</v>
      </c>
      <c r="N821" s="440">
        <f t="shared" si="7"/>
        <v>90</v>
      </c>
      <c r="O821" s="440">
        <f t="shared" si="8"/>
        <v>180</v>
      </c>
      <c r="P821" s="440">
        <f t="shared" si="9"/>
        <v>1</v>
      </c>
      <c r="Q821">
        <f t="array" ref="Q821">IF(I821&gt;0,INDEX(DB,I821,9),EventIndex)</f>
        <v>6</v>
      </c>
      <c r="S821">
        <f t="array" ref="S821">(INT(INDEX(MINVALUES,$Q821,$K$1))*60)+(MOD(INDEX(MINVALUES,$Q821,$K$1),1)*100)</f>
        <v>180</v>
      </c>
      <c r="T821">
        <f t="array" ref="T821">(INDEX(INCVALUES,$Q821,$K$1)*100)</f>
        <v>1</v>
      </c>
      <c r="V821">
        <f t="array" ref="V821">+J821+(4*(INDEX(MatchScoreTable,$Q821,20)-1))</f>
        <v>4</v>
      </c>
      <c r="W821">
        <f t="array" ref="W821">INDEX(INC_MINVALUES,$V821,$K$1)</f>
        <v>480</v>
      </c>
      <c r="X821" s="212">
        <f t="array" ref="X821">INDEX(INC_INCVALUES,$V821,$K$1)</f>
        <v>4</v>
      </c>
    </row>
    <row r="822" ht="15.75" customHeight="1">
      <c r="A822" s="435"/>
      <c r="B822" s="436"/>
      <c r="C822" s="95" t="str">
        <f t="array" ref="C822">IF(I822&gt;0,INDEX(DB,I822,8),"")</f>
        <v/>
      </c>
      <c r="D822" s="437">
        <f t="shared" si="1"/>
        <v>0</v>
      </c>
      <c r="F822" s="438">
        <f t="shared" si="2"/>
        <v>0</v>
      </c>
      <c r="G822" t="str">
        <f t="shared" si="3"/>
        <v/>
      </c>
      <c r="H822" t="b">
        <f t="shared" si="4"/>
        <v>0</v>
      </c>
      <c r="I822" s="439">
        <f>IF(OR(ISBLANK(A822),ISNA(MATCH(A822&amp;"",AthleteNumbers,0))),0,MATCH(A822&amp;"",AthleteNumbers,0))</f>
        <v>0</v>
      </c>
      <c r="J822" s="209">
        <f t="array" ref="J822">IF(I822&gt;0,INDEX(DB,$I822,6),0)</f>
        <v>0</v>
      </c>
      <c r="K822" s="446">
        <f t="shared" si="5"/>
        <v>0</v>
      </c>
      <c r="L822" s="440">
        <f t="shared" si="6"/>
        <v>0</v>
      </c>
      <c r="M822" s="441">
        <f>IF(AND(L822&gt;O822,O822&gt;0),MinPoints,IF(AND(L822&lt;N822,O822&gt;0),100,+INT((O822-$L822)/P822)+MinPoints))</f>
        <v>100</v>
      </c>
      <c r="N822" s="440">
        <f t="shared" si="7"/>
        <v>90</v>
      </c>
      <c r="O822" s="440">
        <f t="shared" si="8"/>
        <v>180</v>
      </c>
      <c r="P822" s="440">
        <f t="shared" si="9"/>
        <v>1</v>
      </c>
      <c r="Q822">
        <f t="array" ref="Q822">IF(I822&gt;0,INDEX(DB,I822,9),EventIndex)</f>
        <v>6</v>
      </c>
      <c r="S822">
        <f t="array" ref="S822">(INT(INDEX(MINVALUES,$Q822,$K$1))*60)+(MOD(INDEX(MINVALUES,$Q822,$K$1),1)*100)</f>
        <v>180</v>
      </c>
      <c r="T822">
        <f t="array" ref="T822">(INDEX(INCVALUES,$Q822,$K$1)*100)</f>
        <v>1</v>
      </c>
      <c r="V822">
        <f t="array" ref="V822">+J822+(4*(INDEX(MatchScoreTable,$Q822,20)-1))</f>
        <v>4</v>
      </c>
      <c r="W822">
        <f t="array" ref="W822">INDEX(INC_MINVALUES,$V822,$K$1)</f>
        <v>480</v>
      </c>
      <c r="X822" s="212">
        <f t="array" ref="X822">INDEX(INC_INCVALUES,$V822,$K$1)</f>
        <v>4</v>
      </c>
    </row>
    <row r="823" ht="15.75" customHeight="1">
      <c r="A823" s="435"/>
      <c r="B823" s="436"/>
      <c r="C823" s="95" t="str">
        <f t="array" ref="C823">IF(I823&gt;0,INDEX(DB,I823,8),"")</f>
        <v/>
      </c>
      <c r="D823" s="437">
        <f t="shared" si="1"/>
        <v>0</v>
      </c>
      <c r="F823" s="438">
        <f t="shared" si="2"/>
        <v>0</v>
      </c>
      <c r="G823" t="str">
        <f t="shared" si="3"/>
        <v/>
      </c>
      <c r="H823" t="b">
        <f t="shared" si="4"/>
        <v>0</v>
      </c>
      <c r="I823" s="439">
        <f>IF(OR(ISBLANK(A823),ISNA(MATCH(A823&amp;"",AthleteNumbers,0))),0,MATCH(A823&amp;"",AthleteNumbers,0))</f>
        <v>0</v>
      </c>
      <c r="J823" s="209">
        <f t="array" ref="J823">IF(I823&gt;0,INDEX(DB,$I823,6),0)</f>
        <v>0</v>
      </c>
      <c r="K823" s="446">
        <f t="shared" si="5"/>
        <v>0</v>
      </c>
      <c r="L823" s="440">
        <f t="shared" si="6"/>
        <v>0</v>
      </c>
      <c r="M823" s="441">
        <f>IF(AND(L823&gt;O823,O823&gt;0),MinPoints,IF(AND(L823&lt;N823,O823&gt;0),100,+INT((O823-$L823)/P823)+MinPoints))</f>
        <v>100</v>
      </c>
      <c r="N823" s="440">
        <f t="shared" si="7"/>
        <v>90</v>
      </c>
      <c r="O823" s="440">
        <f t="shared" si="8"/>
        <v>180</v>
      </c>
      <c r="P823" s="440">
        <f t="shared" si="9"/>
        <v>1</v>
      </c>
      <c r="Q823">
        <f t="array" ref="Q823">IF(I823&gt;0,INDEX(DB,I823,9),EventIndex)</f>
        <v>6</v>
      </c>
      <c r="S823">
        <f t="array" ref="S823">(INT(INDEX(MINVALUES,$Q823,$K$1))*60)+(MOD(INDEX(MINVALUES,$Q823,$K$1),1)*100)</f>
        <v>180</v>
      </c>
      <c r="T823">
        <f t="array" ref="T823">(INDEX(INCVALUES,$Q823,$K$1)*100)</f>
        <v>1</v>
      </c>
      <c r="V823">
        <f t="array" ref="V823">+J823+(4*(INDEX(MatchScoreTable,$Q823,20)-1))</f>
        <v>4</v>
      </c>
      <c r="W823">
        <f t="array" ref="W823">INDEX(INC_MINVALUES,$V823,$K$1)</f>
        <v>480</v>
      </c>
      <c r="X823" s="212">
        <f t="array" ref="X823">INDEX(INC_INCVALUES,$V823,$K$1)</f>
        <v>4</v>
      </c>
    </row>
    <row r="824" ht="15.75" customHeight="1">
      <c r="A824" s="435"/>
      <c r="B824" s="436"/>
      <c r="C824" s="95" t="str">
        <f t="array" ref="C824">IF(I824&gt;0,INDEX(DB,I824,8),"")</f>
        <v/>
      </c>
      <c r="D824" s="437">
        <f t="shared" si="1"/>
        <v>0</v>
      </c>
      <c r="F824" s="438">
        <f t="shared" si="2"/>
        <v>0</v>
      </c>
      <c r="G824" t="str">
        <f t="shared" si="3"/>
        <v/>
      </c>
      <c r="H824" t="b">
        <f t="shared" si="4"/>
        <v>0</v>
      </c>
      <c r="I824" s="439">
        <f>IF(OR(ISBLANK(A824),ISNA(MATCH(A824&amp;"",AthleteNumbers,0))),0,MATCH(A824&amp;"",AthleteNumbers,0))</f>
        <v>0</v>
      </c>
      <c r="J824" s="209">
        <f t="array" ref="J824">IF(I824&gt;0,INDEX(DB,$I824,6),0)</f>
        <v>0</v>
      </c>
      <c r="K824" s="446">
        <f t="shared" si="5"/>
        <v>0</v>
      </c>
      <c r="L824" s="440">
        <f t="shared" si="6"/>
        <v>0</v>
      </c>
      <c r="M824" s="441">
        <f>IF(AND(L824&gt;O824,O824&gt;0),MinPoints,IF(AND(L824&lt;N824,O824&gt;0),100,+INT((O824-$L824)/P824)+MinPoints))</f>
        <v>100</v>
      </c>
      <c r="N824" s="440">
        <f t="shared" si="7"/>
        <v>90</v>
      </c>
      <c r="O824" s="440">
        <f t="shared" si="8"/>
        <v>180</v>
      </c>
      <c r="P824" s="440">
        <f t="shared" si="9"/>
        <v>1</v>
      </c>
      <c r="Q824">
        <f t="array" ref="Q824">IF(I824&gt;0,INDEX(DB,I824,9),EventIndex)</f>
        <v>6</v>
      </c>
      <c r="S824">
        <f t="array" ref="S824">(INT(INDEX(MINVALUES,$Q824,$K$1))*60)+(MOD(INDEX(MINVALUES,$Q824,$K$1),1)*100)</f>
        <v>180</v>
      </c>
      <c r="T824">
        <f t="array" ref="T824">(INDEX(INCVALUES,$Q824,$K$1)*100)</f>
        <v>1</v>
      </c>
      <c r="V824">
        <f t="array" ref="V824">+J824+(4*(INDEX(MatchScoreTable,$Q824,20)-1))</f>
        <v>4</v>
      </c>
      <c r="W824">
        <f t="array" ref="W824">INDEX(INC_MINVALUES,$V824,$K$1)</f>
        <v>480</v>
      </c>
      <c r="X824" s="212">
        <f t="array" ref="X824">INDEX(INC_INCVALUES,$V824,$K$1)</f>
        <v>4</v>
      </c>
    </row>
    <row r="825" ht="15.75" customHeight="1">
      <c r="A825" s="435"/>
      <c r="B825" s="436"/>
      <c r="C825" s="95" t="str">
        <f t="array" ref="C825">IF(I825&gt;0,INDEX(DB,I825,8),"")</f>
        <v/>
      </c>
      <c r="D825" s="437">
        <f t="shared" si="1"/>
        <v>0</v>
      </c>
      <c r="F825" s="438">
        <f t="shared" si="2"/>
        <v>0</v>
      </c>
      <c r="G825" t="str">
        <f t="shared" si="3"/>
        <v/>
      </c>
      <c r="H825" t="b">
        <f t="shared" si="4"/>
        <v>0</v>
      </c>
      <c r="I825" s="439">
        <f>IF(OR(ISBLANK(A825),ISNA(MATCH(A825&amp;"",AthleteNumbers,0))),0,MATCH(A825&amp;"",AthleteNumbers,0))</f>
        <v>0</v>
      </c>
      <c r="J825" s="209">
        <f t="array" ref="J825">IF(I825&gt;0,INDEX(DB,$I825,6),0)</f>
        <v>0</v>
      </c>
      <c r="K825" s="446">
        <f t="shared" si="5"/>
        <v>0</v>
      </c>
      <c r="L825" s="440">
        <f t="shared" si="6"/>
        <v>0</v>
      </c>
      <c r="M825" s="441">
        <f>IF(AND(L825&gt;O825,O825&gt;0),MinPoints,IF(AND(L825&lt;N825,O825&gt;0),100,+INT((O825-$L825)/P825)+MinPoints))</f>
        <v>100</v>
      </c>
      <c r="N825" s="440">
        <f t="shared" si="7"/>
        <v>90</v>
      </c>
      <c r="O825" s="440">
        <f t="shared" si="8"/>
        <v>180</v>
      </c>
      <c r="P825" s="440">
        <f t="shared" si="9"/>
        <v>1</v>
      </c>
      <c r="Q825">
        <f t="array" ref="Q825">IF(I825&gt;0,INDEX(DB,I825,9),EventIndex)</f>
        <v>6</v>
      </c>
      <c r="S825">
        <f t="array" ref="S825">(INT(INDEX(MINVALUES,$Q825,$K$1))*60)+(MOD(INDEX(MINVALUES,$Q825,$K$1),1)*100)</f>
        <v>180</v>
      </c>
      <c r="T825">
        <f t="array" ref="T825">(INDEX(INCVALUES,$Q825,$K$1)*100)</f>
        <v>1</v>
      </c>
      <c r="V825">
        <f t="array" ref="V825">+J825+(4*(INDEX(MatchScoreTable,$Q825,20)-1))</f>
        <v>4</v>
      </c>
      <c r="W825">
        <f t="array" ref="W825">INDEX(INC_MINVALUES,$V825,$K$1)</f>
        <v>480</v>
      </c>
      <c r="X825" s="212">
        <f t="array" ref="X825">INDEX(INC_INCVALUES,$V825,$K$1)</f>
        <v>4</v>
      </c>
    </row>
    <row r="826" ht="15.75" customHeight="1">
      <c r="A826" s="435"/>
      <c r="B826" s="436"/>
      <c r="C826" s="95" t="str">
        <f t="array" ref="C826">IF(I826&gt;0,INDEX(DB,I826,8),"")</f>
        <v/>
      </c>
      <c r="D826" s="437">
        <f t="shared" si="1"/>
        <v>0</v>
      </c>
      <c r="F826" s="438">
        <f t="shared" si="2"/>
        <v>0</v>
      </c>
      <c r="G826" t="str">
        <f t="shared" si="3"/>
        <v/>
      </c>
      <c r="H826" t="b">
        <f t="shared" si="4"/>
        <v>0</v>
      </c>
      <c r="I826" s="439">
        <f>IF(OR(ISBLANK(A826),ISNA(MATCH(A826&amp;"",AthleteNumbers,0))),0,MATCH(A826&amp;"",AthleteNumbers,0))</f>
        <v>0</v>
      </c>
      <c r="J826" s="209">
        <f t="array" ref="J826">IF(I826&gt;0,INDEX(DB,$I826,6),0)</f>
        <v>0</v>
      </c>
      <c r="K826" s="446">
        <f t="shared" si="5"/>
        <v>0</v>
      </c>
      <c r="L826" s="440">
        <f t="shared" si="6"/>
        <v>0</v>
      </c>
      <c r="M826" s="441">
        <f>IF(AND(L826&gt;O826,O826&gt;0),MinPoints,IF(AND(L826&lt;N826,O826&gt;0),100,+INT((O826-$L826)/P826)+MinPoints))</f>
        <v>100</v>
      </c>
      <c r="N826" s="440">
        <f t="shared" si="7"/>
        <v>90</v>
      </c>
      <c r="O826" s="440">
        <f t="shared" si="8"/>
        <v>180</v>
      </c>
      <c r="P826" s="440">
        <f t="shared" si="9"/>
        <v>1</v>
      </c>
      <c r="Q826">
        <f t="array" ref="Q826">IF(I826&gt;0,INDEX(DB,I826,9),EventIndex)</f>
        <v>6</v>
      </c>
      <c r="S826">
        <f t="array" ref="S826">(INT(INDEX(MINVALUES,$Q826,$K$1))*60)+(MOD(INDEX(MINVALUES,$Q826,$K$1),1)*100)</f>
        <v>180</v>
      </c>
      <c r="T826">
        <f t="array" ref="T826">(INDEX(INCVALUES,$Q826,$K$1)*100)</f>
        <v>1</v>
      </c>
      <c r="V826">
        <f t="array" ref="V826">+J826+(4*(INDEX(MatchScoreTable,$Q826,20)-1))</f>
        <v>4</v>
      </c>
      <c r="W826">
        <f t="array" ref="W826">INDEX(INC_MINVALUES,$V826,$K$1)</f>
        <v>480</v>
      </c>
      <c r="X826" s="212">
        <f t="array" ref="X826">INDEX(INC_INCVALUES,$V826,$K$1)</f>
        <v>4</v>
      </c>
    </row>
    <row r="827" ht="15.75" customHeight="1">
      <c r="A827" s="435"/>
      <c r="B827" s="436"/>
      <c r="C827" s="95" t="str">
        <f t="array" ref="C827">IF(I827&gt;0,INDEX(DB,I827,8),"")</f>
        <v/>
      </c>
      <c r="D827" s="437">
        <f t="shared" si="1"/>
        <v>0</v>
      </c>
      <c r="F827" s="438">
        <f t="shared" si="2"/>
        <v>0</v>
      </c>
      <c r="G827" t="str">
        <f t="shared" si="3"/>
        <v/>
      </c>
      <c r="H827" t="b">
        <f t="shared" si="4"/>
        <v>0</v>
      </c>
      <c r="I827" s="439">
        <f>IF(OR(ISBLANK(A827),ISNA(MATCH(A827&amp;"",AthleteNumbers,0))),0,MATCH(A827&amp;"",AthleteNumbers,0))</f>
        <v>0</v>
      </c>
      <c r="J827" s="209">
        <f t="array" ref="J827">IF(I827&gt;0,INDEX(DB,$I827,6),0)</f>
        <v>0</v>
      </c>
      <c r="K827" s="446">
        <f t="shared" si="5"/>
        <v>0</v>
      </c>
      <c r="L827" s="440">
        <f t="shared" si="6"/>
        <v>0</v>
      </c>
      <c r="M827" s="441">
        <f>IF(AND(L827&gt;O827,O827&gt;0),MinPoints,IF(AND(L827&lt;N827,O827&gt;0),100,+INT((O827-$L827)/P827)+MinPoints))</f>
        <v>100</v>
      </c>
      <c r="N827" s="440">
        <f t="shared" si="7"/>
        <v>90</v>
      </c>
      <c r="O827" s="440">
        <f t="shared" si="8"/>
        <v>180</v>
      </c>
      <c r="P827" s="440">
        <f t="shared" si="9"/>
        <v>1</v>
      </c>
      <c r="Q827">
        <f t="array" ref="Q827">IF(I827&gt;0,INDEX(DB,I827,9),EventIndex)</f>
        <v>6</v>
      </c>
      <c r="S827">
        <f t="array" ref="S827">(INT(INDEX(MINVALUES,$Q827,$K$1))*60)+(MOD(INDEX(MINVALUES,$Q827,$K$1),1)*100)</f>
        <v>180</v>
      </c>
      <c r="T827">
        <f t="array" ref="T827">(INDEX(INCVALUES,$Q827,$K$1)*100)</f>
        <v>1</v>
      </c>
      <c r="V827">
        <f t="array" ref="V827">+J827+(4*(INDEX(MatchScoreTable,$Q827,20)-1))</f>
        <v>4</v>
      </c>
      <c r="W827">
        <f t="array" ref="W827">INDEX(INC_MINVALUES,$V827,$K$1)</f>
        <v>480</v>
      </c>
      <c r="X827" s="212">
        <f t="array" ref="X827">INDEX(INC_INCVALUES,$V827,$K$1)</f>
        <v>4</v>
      </c>
    </row>
    <row r="828" ht="15.75" customHeight="1">
      <c r="A828" s="435"/>
      <c r="B828" s="436"/>
      <c r="C828" s="95" t="str">
        <f t="array" ref="C828">IF(I828&gt;0,INDEX(DB,I828,8),"")</f>
        <v/>
      </c>
      <c r="D828" s="437">
        <f t="shared" si="1"/>
        <v>0</v>
      </c>
      <c r="F828" s="438">
        <f t="shared" si="2"/>
        <v>0</v>
      </c>
      <c r="G828" t="str">
        <f t="shared" si="3"/>
        <v/>
      </c>
      <c r="H828" t="b">
        <f t="shared" si="4"/>
        <v>0</v>
      </c>
      <c r="I828" s="439">
        <f>IF(OR(ISBLANK(A828),ISNA(MATCH(A828&amp;"",AthleteNumbers,0))),0,MATCH(A828&amp;"",AthleteNumbers,0))</f>
        <v>0</v>
      </c>
      <c r="J828" s="209">
        <f t="array" ref="J828">IF(I828&gt;0,INDEX(DB,$I828,6),0)</f>
        <v>0</v>
      </c>
      <c r="K828" s="446">
        <f t="shared" si="5"/>
        <v>0</v>
      </c>
      <c r="L828" s="440">
        <f t="shared" si="6"/>
        <v>0</v>
      </c>
      <c r="M828" s="441">
        <f>IF(AND(L828&gt;O828,O828&gt;0),MinPoints,IF(AND(L828&lt;N828,O828&gt;0),100,+INT((O828-$L828)/P828)+MinPoints))</f>
        <v>100</v>
      </c>
      <c r="N828" s="440">
        <f t="shared" si="7"/>
        <v>90</v>
      </c>
      <c r="O828" s="440">
        <f t="shared" si="8"/>
        <v>180</v>
      </c>
      <c r="P828" s="440">
        <f t="shared" si="9"/>
        <v>1</v>
      </c>
      <c r="Q828">
        <f t="array" ref="Q828">IF(I828&gt;0,INDEX(DB,I828,9),EventIndex)</f>
        <v>6</v>
      </c>
      <c r="S828">
        <f t="array" ref="S828">(INT(INDEX(MINVALUES,$Q828,$K$1))*60)+(MOD(INDEX(MINVALUES,$Q828,$K$1),1)*100)</f>
        <v>180</v>
      </c>
      <c r="T828">
        <f t="array" ref="T828">(INDEX(INCVALUES,$Q828,$K$1)*100)</f>
        <v>1</v>
      </c>
      <c r="V828">
        <f t="array" ref="V828">+J828+(4*(INDEX(MatchScoreTable,$Q828,20)-1))</f>
        <v>4</v>
      </c>
      <c r="W828">
        <f t="array" ref="W828">INDEX(INC_MINVALUES,$V828,$K$1)</f>
        <v>480</v>
      </c>
      <c r="X828" s="212">
        <f t="array" ref="X828">INDEX(INC_INCVALUES,$V828,$K$1)</f>
        <v>4</v>
      </c>
    </row>
    <row r="829" ht="15.75" customHeight="1">
      <c r="A829" s="435"/>
      <c r="B829" s="436"/>
      <c r="C829" s="95" t="str">
        <f t="array" ref="C829">IF(I829&gt;0,INDEX(DB,I829,8),"")</f>
        <v/>
      </c>
      <c r="D829" s="437">
        <f t="shared" si="1"/>
        <v>0</v>
      </c>
      <c r="F829" s="438">
        <f t="shared" si="2"/>
        <v>0</v>
      </c>
      <c r="G829" t="str">
        <f t="shared" si="3"/>
        <v/>
      </c>
      <c r="H829" t="b">
        <f t="shared" si="4"/>
        <v>0</v>
      </c>
      <c r="I829" s="439">
        <f>IF(OR(ISBLANK(A829),ISNA(MATCH(A829&amp;"",AthleteNumbers,0))),0,MATCH(A829&amp;"",AthleteNumbers,0))</f>
        <v>0</v>
      </c>
      <c r="J829" s="209">
        <f t="array" ref="J829">IF(I829&gt;0,INDEX(DB,$I829,6),0)</f>
        <v>0</v>
      </c>
      <c r="K829" s="446">
        <f t="shared" si="5"/>
        <v>0</v>
      </c>
      <c r="L829" s="440">
        <f t="shared" si="6"/>
        <v>0</v>
      </c>
      <c r="M829" s="441">
        <f>IF(AND(L829&gt;O829,O829&gt;0),MinPoints,IF(AND(L829&lt;N829,O829&gt;0),100,+INT((O829-$L829)/P829)+MinPoints))</f>
        <v>100</v>
      </c>
      <c r="N829" s="440">
        <f t="shared" si="7"/>
        <v>90</v>
      </c>
      <c r="O829" s="440">
        <f t="shared" si="8"/>
        <v>180</v>
      </c>
      <c r="P829" s="440">
        <f t="shared" si="9"/>
        <v>1</v>
      </c>
      <c r="Q829">
        <f t="array" ref="Q829">IF(I829&gt;0,INDEX(DB,I829,9),EventIndex)</f>
        <v>6</v>
      </c>
      <c r="S829">
        <f t="array" ref="S829">(INT(INDEX(MINVALUES,$Q829,$K$1))*60)+(MOD(INDEX(MINVALUES,$Q829,$K$1),1)*100)</f>
        <v>180</v>
      </c>
      <c r="T829">
        <f t="array" ref="T829">(INDEX(INCVALUES,$Q829,$K$1)*100)</f>
        <v>1</v>
      </c>
      <c r="V829">
        <f t="array" ref="V829">+J829+(4*(INDEX(MatchScoreTable,$Q829,20)-1))</f>
        <v>4</v>
      </c>
      <c r="W829">
        <f t="array" ref="W829">INDEX(INC_MINVALUES,$V829,$K$1)</f>
        <v>480</v>
      </c>
      <c r="X829" s="212">
        <f t="array" ref="X829">INDEX(INC_INCVALUES,$V829,$K$1)</f>
        <v>4</v>
      </c>
    </row>
    <row r="830" ht="15.75" customHeight="1">
      <c r="A830" s="435"/>
      <c r="B830" s="436"/>
      <c r="C830" s="95" t="str">
        <f t="array" ref="C830">IF(I830&gt;0,INDEX(DB,I830,8),"")</f>
        <v/>
      </c>
      <c r="D830" s="437">
        <f t="shared" si="1"/>
        <v>0</v>
      </c>
      <c r="F830" s="438">
        <f t="shared" si="2"/>
        <v>0</v>
      </c>
      <c r="G830" t="str">
        <f t="shared" si="3"/>
        <v/>
      </c>
      <c r="H830" t="b">
        <f t="shared" si="4"/>
        <v>0</v>
      </c>
      <c r="I830" s="439">
        <f>IF(OR(ISBLANK(A830),ISNA(MATCH(A830&amp;"",AthleteNumbers,0))),0,MATCH(A830&amp;"",AthleteNumbers,0))</f>
        <v>0</v>
      </c>
      <c r="J830" s="209">
        <f t="array" ref="J830">IF(I830&gt;0,INDEX(DB,$I830,6),0)</f>
        <v>0</v>
      </c>
      <c r="K830" s="446">
        <f t="shared" si="5"/>
        <v>0</v>
      </c>
      <c r="L830" s="440">
        <f t="shared" si="6"/>
        <v>0</v>
      </c>
      <c r="M830" s="441">
        <f>IF(AND(L830&gt;O830,O830&gt;0),MinPoints,IF(AND(L830&lt;N830,O830&gt;0),100,+INT((O830-$L830)/P830)+MinPoints))</f>
        <v>100</v>
      </c>
      <c r="N830" s="440">
        <f t="shared" si="7"/>
        <v>90</v>
      </c>
      <c r="O830" s="440">
        <f t="shared" si="8"/>
        <v>180</v>
      </c>
      <c r="P830" s="440">
        <f t="shared" si="9"/>
        <v>1</v>
      </c>
      <c r="Q830">
        <f t="array" ref="Q830">IF(I830&gt;0,INDEX(DB,I830,9),EventIndex)</f>
        <v>6</v>
      </c>
      <c r="S830">
        <f t="array" ref="S830">(INT(INDEX(MINVALUES,$Q830,$K$1))*60)+(MOD(INDEX(MINVALUES,$Q830,$K$1),1)*100)</f>
        <v>180</v>
      </c>
      <c r="T830">
        <f t="array" ref="T830">(INDEX(INCVALUES,$Q830,$K$1)*100)</f>
        <v>1</v>
      </c>
      <c r="V830">
        <f t="array" ref="V830">+J830+(4*(INDEX(MatchScoreTable,$Q830,20)-1))</f>
        <v>4</v>
      </c>
      <c r="W830">
        <f t="array" ref="W830">INDEX(INC_MINVALUES,$V830,$K$1)</f>
        <v>480</v>
      </c>
      <c r="X830" s="212">
        <f t="array" ref="X830">INDEX(INC_INCVALUES,$V830,$K$1)</f>
        <v>4</v>
      </c>
    </row>
    <row r="831" ht="15.75" customHeight="1">
      <c r="A831" s="435"/>
      <c r="B831" s="436"/>
      <c r="C831" s="95" t="str">
        <f t="array" ref="C831">IF(I831&gt;0,INDEX(DB,I831,8),"")</f>
        <v/>
      </c>
      <c r="D831" s="437">
        <f t="shared" si="1"/>
        <v>0</v>
      </c>
      <c r="F831" s="438">
        <f t="shared" si="2"/>
        <v>0</v>
      </c>
      <c r="G831" t="str">
        <f t="shared" si="3"/>
        <v/>
      </c>
      <c r="H831" t="b">
        <f t="shared" si="4"/>
        <v>0</v>
      </c>
      <c r="I831" s="439">
        <f>IF(OR(ISBLANK(A831),ISNA(MATCH(A831&amp;"",AthleteNumbers,0))),0,MATCH(A831&amp;"",AthleteNumbers,0))</f>
        <v>0</v>
      </c>
      <c r="J831" s="209">
        <f t="array" ref="J831">IF(I831&gt;0,INDEX(DB,$I831,6),0)</f>
        <v>0</v>
      </c>
      <c r="K831" s="446">
        <f t="shared" si="5"/>
        <v>0</v>
      </c>
      <c r="L831" s="440">
        <f t="shared" si="6"/>
        <v>0</v>
      </c>
      <c r="M831" s="441">
        <f>IF(AND(L831&gt;O831,O831&gt;0),MinPoints,IF(AND(L831&lt;N831,O831&gt;0),100,+INT((O831-$L831)/P831)+MinPoints))</f>
        <v>100</v>
      </c>
      <c r="N831" s="440">
        <f t="shared" si="7"/>
        <v>90</v>
      </c>
      <c r="O831" s="440">
        <f t="shared" si="8"/>
        <v>180</v>
      </c>
      <c r="P831" s="440">
        <f t="shared" si="9"/>
        <v>1</v>
      </c>
      <c r="Q831">
        <f t="array" ref="Q831">IF(I831&gt;0,INDEX(DB,I831,9),EventIndex)</f>
        <v>6</v>
      </c>
      <c r="S831">
        <f t="array" ref="S831">(INT(INDEX(MINVALUES,$Q831,$K$1))*60)+(MOD(INDEX(MINVALUES,$Q831,$K$1),1)*100)</f>
        <v>180</v>
      </c>
      <c r="T831">
        <f t="array" ref="T831">(INDEX(INCVALUES,$Q831,$K$1)*100)</f>
        <v>1</v>
      </c>
      <c r="V831">
        <f t="array" ref="V831">+J831+(4*(INDEX(MatchScoreTable,$Q831,20)-1))</f>
        <v>4</v>
      </c>
      <c r="W831">
        <f t="array" ref="W831">INDEX(INC_MINVALUES,$V831,$K$1)</f>
        <v>480</v>
      </c>
      <c r="X831" s="212">
        <f t="array" ref="X831">INDEX(INC_INCVALUES,$V831,$K$1)</f>
        <v>4</v>
      </c>
    </row>
    <row r="832" ht="15.75" customHeight="1">
      <c r="A832" s="435"/>
      <c r="B832" s="436"/>
      <c r="C832" s="95" t="str">
        <f t="array" ref="C832">IF(I832&gt;0,INDEX(DB,I832,8),"")</f>
        <v/>
      </c>
      <c r="D832" s="437">
        <f t="shared" si="1"/>
        <v>0</v>
      </c>
      <c r="F832" s="438">
        <f t="shared" si="2"/>
        <v>0</v>
      </c>
      <c r="G832" t="str">
        <f t="shared" si="3"/>
        <v/>
      </c>
      <c r="H832" t="b">
        <f t="shared" si="4"/>
        <v>0</v>
      </c>
      <c r="I832" s="439">
        <f>IF(OR(ISBLANK(A832),ISNA(MATCH(A832&amp;"",AthleteNumbers,0))),0,MATCH(A832&amp;"",AthleteNumbers,0))</f>
        <v>0</v>
      </c>
      <c r="J832" s="209">
        <f t="array" ref="J832">IF(I832&gt;0,INDEX(DB,$I832,6),0)</f>
        <v>0</v>
      </c>
      <c r="K832" s="446">
        <f t="shared" si="5"/>
        <v>0</v>
      </c>
      <c r="L832" s="440">
        <f t="shared" si="6"/>
        <v>0</v>
      </c>
      <c r="M832" s="441">
        <f>IF(AND(L832&gt;O832,O832&gt;0),MinPoints,IF(AND(L832&lt;N832,O832&gt;0),100,+INT((O832-$L832)/P832)+MinPoints))</f>
        <v>100</v>
      </c>
      <c r="N832" s="440">
        <f t="shared" si="7"/>
        <v>90</v>
      </c>
      <c r="O832" s="440">
        <f t="shared" si="8"/>
        <v>180</v>
      </c>
      <c r="P832" s="440">
        <f t="shared" si="9"/>
        <v>1</v>
      </c>
      <c r="Q832">
        <f t="array" ref="Q832">IF(I832&gt;0,INDEX(DB,I832,9),EventIndex)</f>
        <v>6</v>
      </c>
      <c r="S832">
        <f t="array" ref="S832">(INT(INDEX(MINVALUES,$Q832,$K$1))*60)+(MOD(INDEX(MINVALUES,$Q832,$K$1),1)*100)</f>
        <v>180</v>
      </c>
      <c r="T832">
        <f t="array" ref="T832">(INDEX(INCVALUES,$Q832,$K$1)*100)</f>
        <v>1</v>
      </c>
      <c r="V832">
        <f t="array" ref="V832">+J832+(4*(INDEX(MatchScoreTable,$Q832,20)-1))</f>
        <v>4</v>
      </c>
      <c r="W832">
        <f t="array" ref="W832">INDEX(INC_MINVALUES,$V832,$K$1)</f>
        <v>480</v>
      </c>
      <c r="X832" s="212">
        <f t="array" ref="X832">INDEX(INC_INCVALUES,$V832,$K$1)</f>
        <v>4</v>
      </c>
    </row>
    <row r="833" ht="15.75" customHeight="1">
      <c r="A833" s="435"/>
      <c r="B833" s="436"/>
      <c r="C833" s="95" t="str">
        <f t="array" ref="C833">IF(I833&gt;0,INDEX(DB,I833,8),"")</f>
        <v/>
      </c>
      <c r="D833" s="437">
        <f t="shared" si="1"/>
        <v>0</v>
      </c>
      <c r="F833" s="438">
        <f t="shared" si="2"/>
        <v>0</v>
      </c>
      <c r="G833" t="str">
        <f t="shared" si="3"/>
        <v/>
      </c>
      <c r="H833" t="b">
        <f t="shared" si="4"/>
        <v>0</v>
      </c>
      <c r="I833" s="439">
        <f>IF(OR(ISBLANK(A833),ISNA(MATCH(A833&amp;"",AthleteNumbers,0))),0,MATCH(A833&amp;"",AthleteNumbers,0))</f>
        <v>0</v>
      </c>
      <c r="J833" s="209">
        <f t="array" ref="J833">IF(I833&gt;0,INDEX(DB,$I833,6),0)</f>
        <v>0</v>
      </c>
      <c r="K833" s="446">
        <f t="shared" si="5"/>
        <v>0</v>
      </c>
      <c r="L833" s="440">
        <f t="shared" si="6"/>
        <v>0</v>
      </c>
      <c r="M833" s="441">
        <f>IF(AND(L833&gt;O833,O833&gt;0),MinPoints,IF(AND(L833&lt;N833,O833&gt;0),100,+INT((O833-$L833)/P833)+MinPoints))</f>
        <v>100</v>
      </c>
      <c r="N833" s="440">
        <f t="shared" si="7"/>
        <v>90</v>
      </c>
      <c r="O833" s="440">
        <f t="shared" si="8"/>
        <v>180</v>
      </c>
      <c r="P833" s="440">
        <f t="shared" si="9"/>
        <v>1</v>
      </c>
      <c r="Q833">
        <f t="array" ref="Q833">IF(I833&gt;0,INDEX(DB,I833,9),EventIndex)</f>
        <v>6</v>
      </c>
      <c r="S833">
        <f t="array" ref="S833">(INT(INDEX(MINVALUES,$Q833,$K$1))*60)+(MOD(INDEX(MINVALUES,$Q833,$K$1),1)*100)</f>
        <v>180</v>
      </c>
      <c r="T833">
        <f t="array" ref="T833">(INDEX(INCVALUES,$Q833,$K$1)*100)</f>
        <v>1</v>
      </c>
      <c r="V833">
        <f t="array" ref="V833">+J833+(4*(INDEX(MatchScoreTable,$Q833,20)-1))</f>
        <v>4</v>
      </c>
      <c r="W833">
        <f t="array" ref="W833">INDEX(INC_MINVALUES,$V833,$K$1)</f>
        <v>480</v>
      </c>
      <c r="X833" s="212">
        <f t="array" ref="X833">INDEX(INC_INCVALUES,$V833,$K$1)</f>
        <v>4</v>
      </c>
    </row>
    <row r="834" ht="15.75" customHeight="1">
      <c r="A834" s="435"/>
      <c r="B834" s="436"/>
      <c r="C834" s="95" t="str">
        <f t="array" ref="C834">IF(I834&gt;0,INDEX(DB,I834,8),"")</f>
        <v/>
      </c>
      <c r="D834" s="437">
        <f t="shared" si="1"/>
        <v>0</v>
      </c>
      <c r="F834" s="438">
        <f t="shared" si="2"/>
        <v>0</v>
      </c>
      <c r="G834" t="str">
        <f t="shared" si="3"/>
        <v/>
      </c>
      <c r="H834" t="b">
        <f t="shared" si="4"/>
        <v>0</v>
      </c>
      <c r="I834" s="439">
        <f>IF(OR(ISBLANK(A834),ISNA(MATCH(A834&amp;"",AthleteNumbers,0))),0,MATCH(A834&amp;"",AthleteNumbers,0))</f>
        <v>0</v>
      </c>
      <c r="J834" s="209">
        <f t="array" ref="J834">IF(I834&gt;0,INDEX(DB,$I834,6),0)</f>
        <v>0</v>
      </c>
      <c r="K834" s="446">
        <f t="shared" si="5"/>
        <v>0</v>
      </c>
      <c r="L834" s="440">
        <f t="shared" si="6"/>
        <v>0</v>
      </c>
      <c r="M834" s="441">
        <f>IF(AND(L834&gt;O834,O834&gt;0),MinPoints,IF(AND(L834&lt;N834,O834&gt;0),100,+INT((O834-$L834)/P834)+MinPoints))</f>
        <v>100</v>
      </c>
      <c r="N834" s="440">
        <f t="shared" si="7"/>
        <v>90</v>
      </c>
      <c r="O834" s="440">
        <f t="shared" si="8"/>
        <v>180</v>
      </c>
      <c r="P834" s="440">
        <f t="shared" si="9"/>
        <v>1</v>
      </c>
      <c r="Q834">
        <f t="array" ref="Q834">IF(I834&gt;0,INDEX(DB,I834,9),EventIndex)</f>
        <v>6</v>
      </c>
      <c r="S834">
        <f t="array" ref="S834">(INT(INDEX(MINVALUES,$Q834,$K$1))*60)+(MOD(INDEX(MINVALUES,$Q834,$K$1),1)*100)</f>
        <v>180</v>
      </c>
      <c r="T834">
        <f t="array" ref="T834">(INDEX(INCVALUES,$Q834,$K$1)*100)</f>
        <v>1</v>
      </c>
      <c r="V834">
        <f t="array" ref="V834">+J834+(4*(INDEX(MatchScoreTable,$Q834,20)-1))</f>
        <v>4</v>
      </c>
      <c r="W834">
        <f t="array" ref="W834">INDEX(INC_MINVALUES,$V834,$K$1)</f>
        <v>480</v>
      </c>
      <c r="X834" s="212">
        <f t="array" ref="X834">INDEX(INC_INCVALUES,$V834,$K$1)</f>
        <v>4</v>
      </c>
    </row>
    <row r="835" ht="15.75" customHeight="1">
      <c r="A835" s="435"/>
      <c r="B835" s="436"/>
      <c r="C835" s="95" t="str">
        <f t="array" ref="C835">IF(I835&gt;0,INDEX(DB,I835,8),"")</f>
        <v/>
      </c>
      <c r="D835" s="437">
        <f t="shared" si="1"/>
        <v>0</v>
      </c>
      <c r="F835" s="438">
        <f t="shared" si="2"/>
        <v>0</v>
      </c>
      <c r="G835" t="str">
        <f t="shared" si="3"/>
        <v/>
      </c>
      <c r="H835" t="b">
        <f t="shared" si="4"/>
        <v>0</v>
      </c>
      <c r="I835" s="439">
        <f>IF(OR(ISBLANK(A835),ISNA(MATCH(A835&amp;"",AthleteNumbers,0))),0,MATCH(A835&amp;"",AthleteNumbers,0))</f>
        <v>0</v>
      </c>
      <c r="J835" s="209">
        <f t="array" ref="J835">IF(I835&gt;0,INDEX(DB,$I835,6),0)</f>
        <v>0</v>
      </c>
      <c r="K835" s="446">
        <f t="shared" si="5"/>
        <v>0</v>
      </c>
      <c r="L835" s="440">
        <f t="shared" si="6"/>
        <v>0</v>
      </c>
      <c r="M835" s="441">
        <f>IF(AND(L835&gt;O835,O835&gt;0),MinPoints,IF(AND(L835&lt;N835,O835&gt;0),100,+INT((O835-$L835)/P835)+MinPoints))</f>
        <v>100</v>
      </c>
      <c r="N835" s="440">
        <f t="shared" si="7"/>
        <v>90</v>
      </c>
      <c r="O835" s="440">
        <f t="shared" si="8"/>
        <v>180</v>
      </c>
      <c r="P835" s="440">
        <f t="shared" si="9"/>
        <v>1</v>
      </c>
      <c r="Q835">
        <f t="array" ref="Q835">IF(I835&gt;0,INDEX(DB,I835,9),EventIndex)</f>
        <v>6</v>
      </c>
      <c r="S835">
        <f t="array" ref="S835">(INT(INDEX(MINVALUES,$Q835,$K$1))*60)+(MOD(INDEX(MINVALUES,$Q835,$K$1),1)*100)</f>
        <v>180</v>
      </c>
      <c r="T835">
        <f t="array" ref="T835">(INDEX(INCVALUES,$Q835,$K$1)*100)</f>
        <v>1</v>
      </c>
      <c r="V835">
        <f t="array" ref="V835">+J835+(4*(INDEX(MatchScoreTable,$Q835,20)-1))</f>
        <v>4</v>
      </c>
      <c r="W835">
        <f t="array" ref="W835">INDEX(INC_MINVALUES,$V835,$K$1)</f>
        <v>480</v>
      </c>
      <c r="X835" s="212">
        <f t="array" ref="X835">INDEX(INC_INCVALUES,$V835,$K$1)</f>
        <v>4</v>
      </c>
    </row>
    <row r="836" ht="15.75" customHeight="1">
      <c r="A836" s="435"/>
      <c r="B836" s="436"/>
      <c r="C836" s="95" t="str">
        <f t="array" ref="C836">IF(I836&gt;0,INDEX(DB,I836,8),"")</f>
        <v/>
      </c>
      <c r="D836" s="437">
        <f t="shared" si="1"/>
        <v>0</v>
      </c>
      <c r="F836" s="438">
        <f t="shared" si="2"/>
        <v>0</v>
      </c>
      <c r="G836" t="str">
        <f t="shared" si="3"/>
        <v/>
      </c>
      <c r="H836" t="b">
        <f t="shared" si="4"/>
        <v>0</v>
      </c>
      <c r="I836" s="439">
        <f>IF(OR(ISBLANK(A836),ISNA(MATCH(A836&amp;"",AthleteNumbers,0))),0,MATCH(A836&amp;"",AthleteNumbers,0))</f>
        <v>0</v>
      </c>
      <c r="J836" s="209">
        <f t="array" ref="J836">IF(I836&gt;0,INDEX(DB,$I836,6),0)</f>
        <v>0</v>
      </c>
      <c r="K836" s="446">
        <f t="shared" si="5"/>
        <v>0</v>
      </c>
      <c r="L836" s="440">
        <f t="shared" si="6"/>
        <v>0</v>
      </c>
      <c r="M836" s="441">
        <f>IF(AND(L836&gt;O836,O836&gt;0),MinPoints,IF(AND(L836&lt;N836,O836&gt;0),100,+INT((O836-$L836)/P836)+MinPoints))</f>
        <v>100</v>
      </c>
      <c r="N836" s="440">
        <f t="shared" si="7"/>
        <v>90</v>
      </c>
      <c r="O836" s="440">
        <f t="shared" si="8"/>
        <v>180</v>
      </c>
      <c r="P836" s="440">
        <f t="shared" si="9"/>
        <v>1</v>
      </c>
      <c r="Q836">
        <f t="array" ref="Q836">IF(I836&gt;0,INDEX(DB,I836,9),EventIndex)</f>
        <v>6</v>
      </c>
      <c r="S836">
        <f t="array" ref="S836">(INT(INDEX(MINVALUES,$Q836,$K$1))*60)+(MOD(INDEX(MINVALUES,$Q836,$K$1),1)*100)</f>
        <v>180</v>
      </c>
      <c r="T836">
        <f t="array" ref="T836">(INDEX(INCVALUES,$Q836,$K$1)*100)</f>
        <v>1</v>
      </c>
      <c r="V836">
        <f t="array" ref="V836">+J836+(4*(INDEX(MatchScoreTable,$Q836,20)-1))</f>
        <v>4</v>
      </c>
      <c r="W836">
        <f t="array" ref="W836">INDEX(INC_MINVALUES,$V836,$K$1)</f>
        <v>480</v>
      </c>
      <c r="X836" s="212">
        <f t="array" ref="X836">INDEX(INC_INCVALUES,$V836,$K$1)</f>
        <v>4</v>
      </c>
    </row>
    <row r="837" ht="15.75" customHeight="1">
      <c r="A837" s="435"/>
      <c r="B837" s="436"/>
      <c r="C837" s="95" t="str">
        <f t="array" ref="C837">IF(I837&gt;0,INDEX(DB,I837,8),"")</f>
        <v/>
      </c>
      <c r="D837" s="437">
        <f t="shared" si="1"/>
        <v>0</v>
      </c>
      <c r="F837" s="438">
        <f t="shared" si="2"/>
        <v>0</v>
      </c>
      <c r="G837" t="str">
        <f t="shared" si="3"/>
        <v/>
      </c>
      <c r="H837" t="b">
        <f t="shared" si="4"/>
        <v>0</v>
      </c>
      <c r="I837" s="439">
        <f>IF(OR(ISBLANK(A837),ISNA(MATCH(A837&amp;"",AthleteNumbers,0))),0,MATCH(A837&amp;"",AthleteNumbers,0))</f>
        <v>0</v>
      </c>
      <c r="J837" s="209">
        <f t="array" ref="J837">IF(I837&gt;0,INDEX(DB,$I837,6),0)</f>
        <v>0</v>
      </c>
      <c r="K837" s="446">
        <f t="shared" si="5"/>
        <v>0</v>
      </c>
      <c r="L837" s="440">
        <f t="shared" si="6"/>
        <v>0</v>
      </c>
      <c r="M837" s="441">
        <f>IF(AND(L837&gt;O837,O837&gt;0),MinPoints,IF(AND(L837&lt;N837,O837&gt;0),100,+INT((O837-$L837)/P837)+MinPoints))</f>
        <v>100</v>
      </c>
      <c r="N837" s="440">
        <f t="shared" si="7"/>
        <v>90</v>
      </c>
      <c r="O837" s="440">
        <f t="shared" si="8"/>
        <v>180</v>
      </c>
      <c r="P837" s="440">
        <f t="shared" si="9"/>
        <v>1</v>
      </c>
      <c r="Q837">
        <f t="array" ref="Q837">IF(I837&gt;0,INDEX(DB,I837,9),EventIndex)</f>
        <v>6</v>
      </c>
      <c r="S837">
        <f t="array" ref="S837">(INT(INDEX(MINVALUES,$Q837,$K$1))*60)+(MOD(INDEX(MINVALUES,$Q837,$K$1),1)*100)</f>
        <v>180</v>
      </c>
      <c r="T837">
        <f t="array" ref="T837">(INDEX(INCVALUES,$Q837,$K$1)*100)</f>
        <v>1</v>
      </c>
      <c r="V837">
        <f t="array" ref="V837">+J837+(4*(INDEX(MatchScoreTable,$Q837,20)-1))</f>
        <v>4</v>
      </c>
      <c r="W837">
        <f t="array" ref="W837">INDEX(INC_MINVALUES,$V837,$K$1)</f>
        <v>480</v>
      </c>
      <c r="X837" s="212">
        <f t="array" ref="X837">INDEX(INC_INCVALUES,$V837,$K$1)</f>
        <v>4</v>
      </c>
    </row>
    <row r="838" ht="15.75" customHeight="1">
      <c r="A838" s="435"/>
      <c r="B838" s="436"/>
      <c r="C838" s="95" t="str">
        <f t="array" ref="C838">IF(I838&gt;0,INDEX(DB,I838,8),"")</f>
        <v/>
      </c>
      <c r="D838" s="437">
        <f t="shared" si="1"/>
        <v>0</v>
      </c>
      <c r="F838" s="438">
        <f t="shared" si="2"/>
        <v>0</v>
      </c>
      <c r="G838" t="str">
        <f t="shared" si="3"/>
        <v/>
      </c>
      <c r="H838" t="b">
        <f t="shared" si="4"/>
        <v>0</v>
      </c>
      <c r="I838" s="439">
        <f>IF(OR(ISBLANK(A838),ISNA(MATCH(A838&amp;"",AthleteNumbers,0))),0,MATCH(A838&amp;"",AthleteNumbers,0))</f>
        <v>0</v>
      </c>
      <c r="J838" s="209">
        <f t="array" ref="J838">IF(I838&gt;0,INDEX(DB,$I838,6),0)</f>
        <v>0</v>
      </c>
      <c r="K838" s="446">
        <f t="shared" si="5"/>
        <v>0</v>
      </c>
      <c r="L838" s="440">
        <f t="shared" si="6"/>
        <v>0</v>
      </c>
      <c r="M838" s="441">
        <f>IF(AND(L838&gt;O838,O838&gt;0),MinPoints,IF(AND(L838&lt;N838,O838&gt;0),100,+INT((O838-$L838)/P838)+MinPoints))</f>
        <v>100</v>
      </c>
      <c r="N838" s="440">
        <f t="shared" si="7"/>
        <v>90</v>
      </c>
      <c r="O838" s="440">
        <f t="shared" si="8"/>
        <v>180</v>
      </c>
      <c r="P838" s="440">
        <f t="shared" si="9"/>
        <v>1</v>
      </c>
      <c r="Q838">
        <f t="array" ref="Q838">IF(I838&gt;0,INDEX(DB,I838,9),EventIndex)</f>
        <v>6</v>
      </c>
      <c r="S838">
        <f t="array" ref="S838">(INT(INDEX(MINVALUES,$Q838,$K$1))*60)+(MOD(INDEX(MINVALUES,$Q838,$K$1),1)*100)</f>
        <v>180</v>
      </c>
      <c r="T838">
        <f t="array" ref="T838">(INDEX(INCVALUES,$Q838,$K$1)*100)</f>
        <v>1</v>
      </c>
      <c r="V838">
        <f t="array" ref="V838">+J838+(4*(INDEX(MatchScoreTable,$Q838,20)-1))</f>
        <v>4</v>
      </c>
      <c r="W838">
        <f t="array" ref="W838">INDEX(INC_MINVALUES,$V838,$K$1)</f>
        <v>480</v>
      </c>
      <c r="X838" s="212">
        <f t="array" ref="X838">INDEX(INC_INCVALUES,$V838,$K$1)</f>
        <v>4</v>
      </c>
    </row>
    <row r="839" ht="15.75" customHeight="1">
      <c r="A839" s="435"/>
      <c r="B839" s="436"/>
      <c r="C839" s="95" t="str">
        <f t="array" ref="C839">IF(I839&gt;0,INDEX(DB,I839,8),"")</f>
        <v/>
      </c>
      <c r="D839" s="437">
        <f t="shared" si="1"/>
        <v>0</v>
      </c>
      <c r="F839" s="438">
        <f t="shared" si="2"/>
        <v>0</v>
      </c>
      <c r="G839" t="str">
        <f t="shared" si="3"/>
        <v/>
      </c>
      <c r="H839" t="b">
        <f t="shared" si="4"/>
        <v>0</v>
      </c>
      <c r="I839" s="439">
        <f>IF(OR(ISBLANK(A839),ISNA(MATCH(A839&amp;"",AthleteNumbers,0))),0,MATCH(A839&amp;"",AthleteNumbers,0))</f>
        <v>0</v>
      </c>
      <c r="J839" s="209">
        <f t="array" ref="J839">IF(I839&gt;0,INDEX(DB,$I839,6),0)</f>
        <v>0</v>
      </c>
      <c r="K839" s="446">
        <f t="shared" si="5"/>
        <v>0</v>
      </c>
      <c r="L839" s="440">
        <f t="shared" si="6"/>
        <v>0</v>
      </c>
      <c r="M839" s="441">
        <f>IF(AND(L839&gt;O839,O839&gt;0),MinPoints,IF(AND(L839&lt;N839,O839&gt;0),100,+INT((O839-$L839)/P839)+MinPoints))</f>
        <v>100</v>
      </c>
      <c r="N839" s="440">
        <f t="shared" si="7"/>
        <v>90</v>
      </c>
      <c r="O839" s="440">
        <f t="shared" si="8"/>
        <v>180</v>
      </c>
      <c r="P839" s="440">
        <f t="shared" si="9"/>
        <v>1</v>
      </c>
      <c r="Q839">
        <f t="array" ref="Q839">IF(I839&gt;0,INDEX(DB,I839,9),EventIndex)</f>
        <v>6</v>
      </c>
      <c r="S839">
        <f t="array" ref="S839">(INT(INDEX(MINVALUES,$Q839,$K$1))*60)+(MOD(INDEX(MINVALUES,$Q839,$K$1),1)*100)</f>
        <v>180</v>
      </c>
      <c r="T839">
        <f t="array" ref="T839">(INDEX(INCVALUES,$Q839,$K$1)*100)</f>
        <v>1</v>
      </c>
      <c r="V839">
        <f t="array" ref="V839">+J839+(4*(INDEX(MatchScoreTable,$Q839,20)-1))</f>
        <v>4</v>
      </c>
      <c r="W839">
        <f t="array" ref="W839">INDEX(INC_MINVALUES,$V839,$K$1)</f>
        <v>480</v>
      </c>
      <c r="X839" s="212">
        <f t="array" ref="X839">INDEX(INC_INCVALUES,$V839,$K$1)</f>
        <v>4</v>
      </c>
    </row>
    <row r="840" ht="15.75" customHeight="1">
      <c r="A840" s="435"/>
      <c r="B840" s="436"/>
      <c r="C840" s="95" t="str">
        <f t="array" ref="C840">IF(I840&gt;0,INDEX(DB,I840,8),"")</f>
        <v/>
      </c>
      <c r="D840" s="437">
        <f t="shared" si="1"/>
        <v>0</v>
      </c>
      <c r="F840" s="438">
        <f t="shared" si="2"/>
        <v>0</v>
      </c>
      <c r="G840" t="str">
        <f t="shared" si="3"/>
        <v/>
      </c>
      <c r="H840" t="b">
        <f t="shared" si="4"/>
        <v>0</v>
      </c>
      <c r="I840" s="439">
        <f>IF(OR(ISBLANK(A840),ISNA(MATCH(A840&amp;"",AthleteNumbers,0))),0,MATCH(A840&amp;"",AthleteNumbers,0))</f>
        <v>0</v>
      </c>
      <c r="J840" s="209">
        <f t="array" ref="J840">IF(I840&gt;0,INDEX(DB,$I840,6),0)</f>
        <v>0</v>
      </c>
      <c r="K840" s="446">
        <f t="shared" si="5"/>
        <v>0</v>
      </c>
      <c r="L840" s="440">
        <f t="shared" si="6"/>
        <v>0</v>
      </c>
      <c r="M840" s="441">
        <f>IF(AND(L840&gt;O840,O840&gt;0),MinPoints,IF(AND(L840&lt;N840,O840&gt;0),100,+INT((O840-$L840)/P840)+MinPoints))</f>
        <v>100</v>
      </c>
      <c r="N840" s="440">
        <f t="shared" si="7"/>
        <v>90</v>
      </c>
      <c r="O840" s="440">
        <f t="shared" si="8"/>
        <v>180</v>
      </c>
      <c r="P840" s="440">
        <f t="shared" si="9"/>
        <v>1</v>
      </c>
      <c r="Q840">
        <f t="array" ref="Q840">IF(I840&gt;0,INDEX(DB,I840,9),EventIndex)</f>
        <v>6</v>
      </c>
      <c r="S840">
        <f t="array" ref="S840">(INT(INDEX(MINVALUES,$Q840,$K$1))*60)+(MOD(INDEX(MINVALUES,$Q840,$K$1),1)*100)</f>
        <v>180</v>
      </c>
      <c r="T840">
        <f t="array" ref="T840">(INDEX(INCVALUES,$Q840,$K$1)*100)</f>
        <v>1</v>
      </c>
      <c r="V840">
        <f t="array" ref="V840">+J840+(4*(INDEX(MatchScoreTable,$Q840,20)-1))</f>
        <v>4</v>
      </c>
      <c r="W840">
        <f t="array" ref="W840">INDEX(INC_MINVALUES,$V840,$K$1)</f>
        <v>480</v>
      </c>
      <c r="X840" s="212">
        <f t="array" ref="X840">INDEX(INC_INCVALUES,$V840,$K$1)</f>
        <v>4</v>
      </c>
    </row>
    <row r="841" ht="15.75" customHeight="1">
      <c r="A841" s="435"/>
      <c r="B841" s="436"/>
      <c r="C841" s="95" t="str">
        <f t="array" ref="C841">IF(I841&gt;0,INDEX(DB,I841,8),"")</f>
        <v/>
      </c>
      <c r="D841" s="437">
        <f t="shared" si="1"/>
        <v>0</v>
      </c>
      <c r="F841" s="438">
        <f t="shared" si="2"/>
        <v>0</v>
      </c>
      <c r="G841" t="str">
        <f t="shared" si="3"/>
        <v/>
      </c>
      <c r="H841" t="b">
        <f t="shared" si="4"/>
        <v>0</v>
      </c>
      <c r="I841" s="439">
        <f>IF(OR(ISBLANK(A841),ISNA(MATCH(A841&amp;"",AthleteNumbers,0))),0,MATCH(A841&amp;"",AthleteNumbers,0))</f>
        <v>0</v>
      </c>
      <c r="J841" s="209">
        <f t="array" ref="J841">IF(I841&gt;0,INDEX(DB,$I841,6),0)</f>
        <v>0</v>
      </c>
      <c r="K841" s="446">
        <f t="shared" si="5"/>
        <v>0</v>
      </c>
      <c r="L841" s="440">
        <f t="shared" si="6"/>
        <v>0</v>
      </c>
      <c r="M841" s="441">
        <f>IF(AND(L841&gt;O841,O841&gt;0),MinPoints,IF(AND(L841&lt;N841,O841&gt;0),100,+INT((O841-$L841)/P841)+MinPoints))</f>
        <v>100</v>
      </c>
      <c r="N841" s="440">
        <f t="shared" si="7"/>
        <v>90</v>
      </c>
      <c r="O841" s="440">
        <f t="shared" si="8"/>
        <v>180</v>
      </c>
      <c r="P841" s="440">
        <f t="shared" si="9"/>
        <v>1</v>
      </c>
      <c r="Q841">
        <f t="array" ref="Q841">IF(I841&gt;0,INDEX(DB,I841,9),EventIndex)</f>
        <v>6</v>
      </c>
      <c r="S841">
        <f t="array" ref="S841">(INT(INDEX(MINVALUES,$Q841,$K$1))*60)+(MOD(INDEX(MINVALUES,$Q841,$K$1),1)*100)</f>
        <v>180</v>
      </c>
      <c r="T841">
        <f t="array" ref="T841">(INDEX(INCVALUES,$Q841,$K$1)*100)</f>
        <v>1</v>
      </c>
      <c r="V841">
        <f t="array" ref="V841">+J841+(4*(INDEX(MatchScoreTable,$Q841,20)-1))</f>
        <v>4</v>
      </c>
      <c r="W841">
        <f t="array" ref="W841">INDEX(INC_MINVALUES,$V841,$K$1)</f>
        <v>480</v>
      </c>
      <c r="X841" s="212">
        <f t="array" ref="X841">INDEX(INC_INCVALUES,$V841,$K$1)</f>
        <v>4</v>
      </c>
    </row>
    <row r="842" ht="15.75" customHeight="1">
      <c r="A842" s="435"/>
      <c r="B842" s="436"/>
      <c r="C842" s="95" t="str">
        <f t="array" ref="C842">IF(I842&gt;0,INDEX(DB,I842,8),"")</f>
        <v/>
      </c>
      <c r="D842" s="437">
        <f t="shared" si="1"/>
        <v>0</v>
      </c>
      <c r="F842" s="438">
        <f t="shared" si="2"/>
        <v>0</v>
      </c>
      <c r="G842" t="str">
        <f t="shared" si="3"/>
        <v/>
      </c>
      <c r="H842" t="b">
        <f t="shared" si="4"/>
        <v>0</v>
      </c>
      <c r="I842" s="439">
        <f>IF(OR(ISBLANK(A842),ISNA(MATCH(A842&amp;"",AthleteNumbers,0))),0,MATCH(A842&amp;"",AthleteNumbers,0))</f>
        <v>0</v>
      </c>
      <c r="J842" s="209">
        <f t="array" ref="J842">IF(I842&gt;0,INDEX(DB,$I842,6),0)</f>
        <v>0</v>
      </c>
      <c r="K842" s="446">
        <f t="shared" si="5"/>
        <v>0</v>
      </c>
      <c r="L842" s="440">
        <f t="shared" si="6"/>
        <v>0</v>
      </c>
      <c r="M842" s="441">
        <f>IF(AND(L842&gt;O842,O842&gt;0),MinPoints,IF(AND(L842&lt;N842,O842&gt;0),100,+INT((O842-$L842)/P842)+MinPoints))</f>
        <v>100</v>
      </c>
      <c r="N842" s="440">
        <f t="shared" si="7"/>
        <v>90</v>
      </c>
      <c r="O842" s="440">
        <f t="shared" si="8"/>
        <v>180</v>
      </c>
      <c r="P842" s="440">
        <f t="shared" si="9"/>
        <v>1</v>
      </c>
      <c r="Q842">
        <f t="array" ref="Q842">IF(I842&gt;0,INDEX(DB,I842,9),EventIndex)</f>
        <v>6</v>
      </c>
      <c r="S842">
        <f t="array" ref="S842">(INT(INDEX(MINVALUES,$Q842,$K$1))*60)+(MOD(INDEX(MINVALUES,$Q842,$K$1),1)*100)</f>
        <v>180</v>
      </c>
      <c r="T842">
        <f t="array" ref="T842">(INDEX(INCVALUES,$Q842,$K$1)*100)</f>
        <v>1</v>
      </c>
      <c r="V842">
        <f t="array" ref="V842">+J842+(4*(INDEX(MatchScoreTable,$Q842,20)-1))</f>
        <v>4</v>
      </c>
      <c r="W842">
        <f t="array" ref="W842">INDEX(INC_MINVALUES,$V842,$K$1)</f>
        <v>480</v>
      </c>
      <c r="X842" s="212">
        <f t="array" ref="X842">INDEX(INC_INCVALUES,$V842,$K$1)</f>
        <v>4</v>
      </c>
    </row>
    <row r="843" ht="15.75" customHeight="1">
      <c r="A843" s="435"/>
      <c r="B843" s="436"/>
      <c r="C843" s="95" t="str">
        <f t="array" ref="C843">IF(I843&gt;0,INDEX(DB,I843,8),"")</f>
        <v/>
      </c>
      <c r="D843" s="437">
        <f t="shared" si="1"/>
        <v>0</v>
      </c>
      <c r="F843" s="438">
        <f t="shared" si="2"/>
        <v>0</v>
      </c>
      <c r="G843" t="str">
        <f t="shared" si="3"/>
        <v/>
      </c>
      <c r="H843" t="b">
        <f t="shared" si="4"/>
        <v>0</v>
      </c>
      <c r="I843" s="439">
        <f>IF(OR(ISBLANK(A843),ISNA(MATCH(A843&amp;"",AthleteNumbers,0))),0,MATCH(A843&amp;"",AthleteNumbers,0))</f>
        <v>0</v>
      </c>
      <c r="J843" s="209">
        <f t="array" ref="J843">IF(I843&gt;0,INDEX(DB,$I843,6),0)</f>
        <v>0</v>
      </c>
      <c r="K843" s="446">
        <f t="shared" si="5"/>
        <v>0</v>
      </c>
      <c r="L843" s="440">
        <f t="shared" si="6"/>
        <v>0</v>
      </c>
      <c r="M843" s="441">
        <f>IF(AND(L843&gt;O843,O843&gt;0),MinPoints,IF(AND(L843&lt;N843,O843&gt;0),100,+INT((O843-$L843)/P843)+MinPoints))</f>
        <v>100</v>
      </c>
      <c r="N843" s="440">
        <f t="shared" si="7"/>
        <v>90</v>
      </c>
      <c r="O843" s="440">
        <f t="shared" si="8"/>
        <v>180</v>
      </c>
      <c r="P843" s="440">
        <f t="shared" si="9"/>
        <v>1</v>
      </c>
      <c r="Q843">
        <f t="array" ref="Q843">IF(I843&gt;0,INDEX(DB,I843,9),EventIndex)</f>
        <v>6</v>
      </c>
      <c r="S843">
        <f t="array" ref="S843">(INT(INDEX(MINVALUES,$Q843,$K$1))*60)+(MOD(INDEX(MINVALUES,$Q843,$K$1),1)*100)</f>
        <v>180</v>
      </c>
      <c r="T843">
        <f t="array" ref="T843">(INDEX(INCVALUES,$Q843,$K$1)*100)</f>
        <v>1</v>
      </c>
      <c r="V843">
        <f t="array" ref="V843">+J843+(4*(INDEX(MatchScoreTable,$Q843,20)-1))</f>
        <v>4</v>
      </c>
      <c r="W843">
        <f t="array" ref="W843">INDEX(INC_MINVALUES,$V843,$K$1)</f>
        <v>480</v>
      </c>
      <c r="X843" s="212">
        <f t="array" ref="X843">INDEX(INC_INCVALUES,$V843,$K$1)</f>
        <v>4</v>
      </c>
    </row>
    <row r="844" ht="15.75" customHeight="1">
      <c r="A844" s="435"/>
      <c r="B844" s="436"/>
      <c r="C844" s="95" t="str">
        <f t="array" ref="C844">IF(I844&gt;0,INDEX(DB,I844,8),"")</f>
        <v/>
      </c>
      <c r="D844" s="437">
        <f t="shared" si="1"/>
        <v>0</v>
      </c>
      <c r="F844" s="438">
        <f t="shared" si="2"/>
        <v>0</v>
      </c>
      <c r="G844" t="str">
        <f t="shared" si="3"/>
        <v/>
      </c>
      <c r="H844" t="b">
        <f t="shared" si="4"/>
        <v>0</v>
      </c>
      <c r="I844" s="439">
        <f>IF(OR(ISBLANK(A844),ISNA(MATCH(A844&amp;"",AthleteNumbers,0))),0,MATCH(A844&amp;"",AthleteNumbers,0))</f>
        <v>0</v>
      </c>
      <c r="J844" s="209">
        <f t="array" ref="J844">IF(I844&gt;0,INDEX(DB,$I844,6),0)</f>
        <v>0</v>
      </c>
      <c r="K844" s="446">
        <f t="shared" si="5"/>
        <v>0</v>
      </c>
      <c r="L844" s="440">
        <f t="shared" si="6"/>
        <v>0</v>
      </c>
      <c r="M844" s="441">
        <f>IF(AND(L844&gt;O844,O844&gt;0),MinPoints,IF(AND(L844&lt;N844,O844&gt;0),100,+INT((O844-$L844)/P844)+MinPoints))</f>
        <v>100</v>
      </c>
      <c r="N844" s="440">
        <f t="shared" si="7"/>
        <v>90</v>
      </c>
      <c r="O844" s="440">
        <f t="shared" si="8"/>
        <v>180</v>
      </c>
      <c r="P844" s="440">
        <f t="shared" si="9"/>
        <v>1</v>
      </c>
      <c r="Q844">
        <f t="array" ref="Q844">IF(I844&gt;0,INDEX(DB,I844,9),EventIndex)</f>
        <v>6</v>
      </c>
      <c r="S844">
        <f t="array" ref="S844">(INT(INDEX(MINVALUES,$Q844,$K$1))*60)+(MOD(INDEX(MINVALUES,$Q844,$K$1),1)*100)</f>
        <v>180</v>
      </c>
      <c r="T844">
        <f t="array" ref="T844">(INDEX(INCVALUES,$Q844,$K$1)*100)</f>
        <v>1</v>
      </c>
      <c r="V844">
        <f t="array" ref="V844">+J844+(4*(INDEX(MatchScoreTable,$Q844,20)-1))</f>
        <v>4</v>
      </c>
      <c r="W844">
        <f t="array" ref="W844">INDEX(INC_MINVALUES,$V844,$K$1)</f>
        <v>480</v>
      </c>
      <c r="X844" s="212">
        <f t="array" ref="X844">INDEX(INC_INCVALUES,$V844,$K$1)</f>
        <v>4</v>
      </c>
    </row>
    <row r="845" ht="15.75" customHeight="1">
      <c r="A845" s="435"/>
      <c r="B845" s="436"/>
      <c r="C845" s="95" t="str">
        <f t="array" ref="C845">IF(I845&gt;0,INDEX(DB,I845,8),"")</f>
        <v/>
      </c>
      <c r="D845" s="437">
        <f t="shared" si="1"/>
        <v>0</v>
      </c>
      <c r="F845" s="438">
        <f t="shared" si="2"/>
        <v>0</v>
      </c>
      <c r="G845" t="str">
        <f t="shared" si="3"/>
        <v/>
      </c>
      <c r="H845" t="b">
        <f t="shared" si="4"/>
        <v>0</v>
      </c>
      <c r="I845" s="439">
        <f>IF(OR(ISBLANK(A845),ISNA(MATCH(A845&amp;"",AthleteNumbers,0))),0,MATCH(A845&amp;"",AthleteNumbers,0))</f>
        <v>0</v>
      </c>
      <c r="J845" s="209">
        <f t="array" ref="J845">IF(I845&gt;0,INDEX(DB,$I845,6),0)</f>
        <v>0</v>
      </c>
      <c r="K845" s="446">
        <f t="shared" si="5"/>
        <v>0</v>
      </c>
      <c r="L845" s="440">
        <f t="shared" si="6"/>
        <v>0</v>
      </c>
      <c r="M845" s="441">
        <f>IF(AND(L845&gt;O845,O845&gt;0),MinPoints,IF(AND(L845&lt;N845,O845&gt;0),100,+INT((O845-$L845)/P845)+MinPoints))</f>
        <v>100</v>
      </c>
      <c r="N845" s="440">
        <f t="shared" si="7"/>
        <v>90</v>
      </c>
      <c r="O845" s="440">
        <f t="shared" si="8"/>
        <v>180</v>
      </c>
      <c r="P845" s="440">
        <f t="shared" si="9"/>
        <v>1</v>
      </c>
      <c r="Q845">
        <f t="array" ref="Q845">IF(I845&gt;0,INDEX(DB,I845,9),EventIndex)</f>
        <v>6</v>
      </c>
      <c r="S845">
        <f t="array" ref="S845">(INT(INDEX(MINVALUES,$Q845,$K$1))*60)+(MOD(INDEX(MINVALUES,$Q845,$K$1),1)*100)</f>
        <v>180</v>
      </c>
      <c r="T845">
        <f t="array" ref="T845">(INDEX(INCVALUES,$Q845,$K$1)*100)</f>
        <v>1</v>
      </c>
      <c r="V845">
        <f t="array" ref="V845">+J845+(4*(INDEX(MatchScoreTable,$Q845,20)-1))</f>
        <v>4</v>
      </c>
      <c r="W845">
        <f t="array" ref="W845">INDEX(INC_MINVALUES,$V845,$K$1)</f>
        <v>480</v>
      </c>
      <c r="X845" s="212">
        <f t="array" ref="X845">INDEX(INC_INCVALUES,$V845,$K$1)</f>
        <v>4</v>
      </c>
    </row>
    <row r="846" ht="15.75" customHeight="1">
      <c r="A846" s="435"/>
      <c r="B846" s="436"/>
      <c r="C846" s="95" t="str">
        <f t="array" ref="C846">IF(I846&gt;0,INDEX(DB,I846,8),"")</f>
        <v/>
      </c>
      <c r="D846" s="437">
        <f t="shared" si="1"/>
        <v>0</v>
      </c>
      <c r="F846" s="438">
        <f t="shared" si="2"/>
        <v>0</v>
      </c>
      <c r="G846" t="str">
        <f t="shared" si="3"/>
        <v/>
      </c>
      <c r="H846" t="b">
        <f t="shared" si="4"/>
        <v>0</v>
      </c>
      <c r="I846" s="439">
        <f>IF(OR(ISBLANK(A846),ISNA(MATCH(A846&amp;"",AthleteNumbers,0))),0,MATCH(A846&amp;"",AthleteNumbers,0))</f>
        <v>0</v>
      </c>
      <c r="J846" s="209">
        <f t="array" ref="J846">IF(I846&gt;0,INDEX(DB,$I846,6),0)</f>
        <v>0</v>
      </c>
      <c r="K846" s="446">
        <f t="shared" si="5"/>
        <v>0</v>
      </c>
      <c r="L846" s="440">
        <f t="shared" si="6"/>
        <v>0</v>
      </c>
      <c r="M846" s="441">
        <f>IF(AND(L846&gt;O846,O846&gt;0),MinPoints,IF(AND(L846&lt;N846,O846&gt;0),100,+INT((O846-$L846)/P846)+MinPoints))</f>
        <v>100</v>
      </c>
      <c r="N846" s="440">
        <f t="shared" si="7"/>
        <v>90</v>
      </c>
      <c r="O846" s="440">
        <f t="shared" si="8"/>
        <v>180</v>
      </c>
      <c r="P846" s="440">
        <f t="shared" si="9"/>
        <v>1</v>
      </c>
      <c r="Q846">
        <f t="array" ref="Q846">IF(I846&gt;0,INDEX(DB,I846,9),EventIndex)</f>
        <v>6</v>
      </c>
      <c r="S846">
        <f t="array" ref="S846">(INT(INDEX(MINVALUES,$Q846,$K$1))*60)+(MOD(INDEX(MINVALUES,$Q846,$K$1),1)*100)</f>
        <v>180</v>
      </c>
      <c r="T846">
        <f t="array" ref="T846">(INDEX(INCVALUES,$Q846,$K$1)*100)</f>
        <v>1</v>
      </c>
      <c r="V846">
        <f t="array" ref="V846">+J846+(4*(INDEX(MatchScoreTable,$Q846,20)-1))</f>
        <v>4</v>
      </c>
      <c r="W846">
        <f t="array" ref="W846">INDEX(INC_MINVALUES,$V846,$K$1)</f>
        <v>480</v>
      </c>
      <c r="X846" s="212">
        <f t="array" ref="X846">INDEX(INC_INCVALUES,$V846,$K$1)</f>
        <v>4</v>
      </c>
    </row>
    <row r="847" ht="15.75" customHeight="1">
      <c r="A847" s="435"/>
      <c r="B847" s="436"/>
      <c r="C847" s="95" t="str">
        <f t="array" ref="C847">IF(I847&gt;0,INDEX(DB,I847,8),"")</f>
        <v/>
      </c>
      <c r="D847" s="437">
        <f t="shared" si="1"/>
        <v>0</v>
      </c>
      <c r="F847" s="438">
        <f t="shared" si="2"/>
        <v>0</v>
      </c>
      <c r="G847" t="str">
        <f t="shared" si="3"/>
        <v/>
      </c>
      <c r="H847" t="b">
        <f t="shared" si="4"/>
        <v>0</v>
      </c>
      <c r="I847" s="439">
        <f>IF(OR(ISBLANK(A847),ISNA(MATCH(A847&amp;"",AthleteNumbers,0))),0,MATCH(A847&amp;"",AthleteNumbers,0))</f>
        <v>0</v>
      </c>
      <c r="J847" s="209">
        <f t="array" ref="J847">IF(I847&gt;0,INDEX(DB,$I847,6),0)</f>
        <v>0</v>
      </c>
      <c r="K847" s="446">
        <f t="shared" si="5"/>
        <v>0</v>
      </c>
      <c r="L847" s="440">
        <f t="shared" si="6"/>
        <v>0</v>
      </c>
      <c r="M847" s="441">
        <f>IF(AND(L847&gt;O847,O847&gt;0),MinPoints,IF(AND(L847&lt;N847,O847&gt;0),100,+INT((O847-$L847)/P847)+MinPoints))</f>
        <v>100</v>
      </c>
      <c r="N847" s="440">
        <f t="shared" si="7"/>
        <v>90</v>
      </c>
      <c r="O847" s="440">
        <f t="shared" si="8"/>
        <v>180</v>
      </c>
      <c r="P847" s="440">
        <f t="shared" si="9"/>
        <v>1</v>
      </c>
      <c r="Q847">
        <f t="array" ref="Q847">IF(I847&gt;0,INDEX(DB,I847,9),EventIndex)</f>
        <v>6</v>
      </c>
      <c r="S847">
        <f t="array" ref="S847">(INT(INDEX(MINVALUES,$Q847,$K$1))*60)+(MOD(INDEX(MINVALUES,$Q847,$K$1),1)*100)</f>
        <v>180</v>
      </c>
      <c r="T847">
        <f t="array" ref="T847">(INDEX(INCVALUES,$Q847,$K$1)*100)</f>
        <v>1</v>
      </c>
      <c r="V847">
        <f t="array" ref="V847">+J847+(4*(INDEX(MatchScoreTable,$Q847,20)-1))</f>
        <v>4</v>
      </c>
      <c r="W847">
        <f t="array" ref="W847">INDEX(INC_MINVALUES,$V847,$K$1)</f>
        <v>480</v>
      </c>
      <c r="X847" s="212">
        <f t="array" ref="X847">INDEX(INC_INCVALUES,$V847,$K$1)</f>
        <v>4</v>
      </c>
    </row>
    <row r="848" ht="15.75" customHeight="1">
      <c r="A848" s="435"/>
      <c r="B848" s="436"/>
      <c r="C848" s="95" t="str">
        <f t="array" ref="C848">IF(I848&gt;0,INDEX(DB,I848,8),"")</f>
        <v/>
      </c>
      <c r="D848" s="437">
        <f t="shared" si="1"/>
        <v>0</v>
      </c>
      <c r="F848" s="438">
        <f t="shared" si="2"/>
        <v>0</v>
      </c>
      <c r="G848" t="str">
        <f t="shared" si="3"/>
        <v/>
      </c>
      <c r="H848" t="b">
        <f t="shared" si="4"/>
        <v>0</v>
      </c>
      <c r="I848" s="439">
        <f>IF(OR(ISBLANK(A848),ISNA(MATCH(A848&amp;"",AthleteNumbers,0))),0,MATCH(A848&amp;"",AthleteNumbers,0))</f>
        <v>0</v>
      </c>
      <c r="J848" s="209">
        <f t="array" ref="J848">IF(I848&gt;0,INDEX(DB,$I848,6),0)</f>
        <v>0</v>
      </c>
      <c r="K848" s="446">
        <f t="shared" si="5"/>
        <v>0</v>
      </c>
      <c r="L848" s="440">
        <f t="shared" si="6"/>
        <v>0</v>
      </c>
      <c r="M848" s="441">
        <f>IF(AND(L848&gt;O848,O848&gt;0),MinPoints,IF(AND(L848&lt;N848,O848&gt;0),100,+INT((O848-$L848)/P848)+MinPoints))</f>
        <v>100</v>
      </c>
      <c r="N848" s="440">
        <f t="shared" si="7"/>
        <v>90</v>
      </c>
      <c r="O848" s="440">
        <f t="shared" si="8"/>
        <v>180</v>
      </c>
      <c r="P848" s="440">
        <f t="shared" si="9"/>
        <v>1</v>
      </c>
      <c r="Q848">
        <f t="array" ref="Q848">IF(I848&gt;0,INDEX(DB,I848,9),EventIndex)</f>
        <v>6</v>
      </c>
      <c r="S848">
        <f t="array" ref="S848">(INT(INDEX(MINVALUES,$Q848,$K$1))*60)+(MOD(INDEX(MINVALUES,$Q848,$K$1),1)*100)</f>
        <v>180</v>
      </c>
      <c r="T848">
        <f t="array" ref="T848">(INDEX(INCVALUES,$Q848,$K$1)*100)</f>
        <v>1</v>
      </c>
      <c r="V848">
        <f t="array" ref="V848">+J848+(4*(INDEX(MatchScoreTable,$Q848,20)-1))</f>
        <v>4</v>
      </c>
      <c r="W848">
        <f t="array" ref="W848">INDEX(INC_MINVALUES,$V848,$K$1)</f>
        <v>480</v>
      </c>
      <c r="X848" s="212">
        <f t="array" ref="X848">INDEX(INC_INCVALUES,$V848,$K$1)</f>
        <v>4</v>
      </c>
    </row>
    <row r="849" ht="15.75" customHeight="1">
      <c r="A849" s="435"/>
      <c r="B849" s="436"/>
      <c r="C849" s="95" t="str">
        <f t="array" ref="C849">IF(I849&gt;0,INDEX(DB,I849,8),"")</f>
        <v/>
      </c>
      <c r="D849" s="437">
        <f t="shared" si="1"/>
        <v>0</v>
      </c>
      <c r="F849" s="438">
        <f t="shared" si="2"/>
        <v>0</v>
      </c>
      <c r="G849" t="str">
        <f t="shared" si="3"/>
        <v/>
      </c>
      <c r="H849" t="b">
        <f t="shared" si="4"/>
        <v>0</v>
      </c>
      <c r="I849" s="439">
        <f>IF(OR(ISBLANK(A849),ISNA(MATCH(A849&amp;"",AthleteNumbers,0))),0,MATCH(A849&amp;"",AthleteNumbers,0))</f>
        <v>0</v>
      </c>
      <c r="J849" s="209">
        <f t="array" ref="J849">IF(I849&gt;0,INDEX(DB,$I849,6),0)</f>
        <v>0</v>
      </c>
      <c r="K849" s="446">
        <f t="shared" si="5"/>
        <v>0</v>
      </c>
      <c r="L849" s="440">
        <f t="shared" si="6"/>
        <v>0</v>
      </c>
      <c r="M849" s="441">
        <f>IF(AND(L849&gt;O849,O849&gt;0),MinPoints,IF(AND(L849&lt;N849,O849&gt;0),100,+INT((O849-$L849)/P849)+MinPoints))</f>
        <v>100</v>
      </c>
      <c r="N849" s="440">
        <f t="shared" si="7"/>
        <v>90</v>
      </c>
      <c r="O849" s="440">
        <f t="shared" si="8"/>
        <v>180</v>
      </c>
      <c r="P849" s="440">
        <f t="shared" si="9"/>
        <v>1</v>
      </c>
      <c r="Q849">
        <f t="array" ref="Q849">IF(I849&gt;0,INDEX(DB,I849,9),EventIndex)</f>
        <v>6</v>
      </c>
      <c r="S849">
        <f t="array" ref="S849">(INT(INDEX(MINVALUES,$Q849,$K$1))*60)+(MOD(INDEX(MINVALUES,$Q849,$K$1),1)*100)</f>
        <v>180</v>
      </c>
      <c r="T849">
        <f t="array" ref="T849">(INDEX(INCVALUES,$Q849,$K$1)*100)</f>
        <v>1</v>
      </c>
      <c r="V849">
        <f t="array" ref="V849">+J849+(4*(INDEX(MatchScoreTable,$Q849,20)-1))</f>
        <v>4</v>
      </c>
      <c r="W849">
        <f t="array" ref="W849">INDEX(INC_MINVALUES,$V849,$K$1)</f>
        <v>480</v>
      </c>
      <c r="X849" s="212">
        <f t="array" ref="X849">INDEX(INC_INCVALUES,$V849,$K$1)</f>
        <v>4</v>
      </c>
    </row>
    <row r="850" ht="15.75" customHeight="1">
      <c r="A850" s="435"/>
      <c r="B850" s="436"/>
      <c r="C850" s="95" t="str">
        <f t="array" ref="C850">IF(I850&gt;0,INDEX(DB,I850,8),"")</f>
        <v/>
      </c>
      <c r="D850" s="437">
        <f t="shared" si="1"/>
        <v>0</v>
      </c>
      <c r="F850" s="438">
        <f t="shared" si="2"/>
        <v>0</v>
      </c>
      <c r="G850" t="str">
        <f t="shared" si="3"/>
        <v/>
      </c>
      <c r="H850" t="b">
        <f t="shared" si="4"/>
        <v>0</v>
      </c>
      <c r="I850" s="439">
        <f>IF(OR(ISBLANK(A850),ISNA(MATCH(A850&amp;"",AthleteNumbers,0))),0,MATCH(A850&amp;"",AthleteNumbers,0))</f>
        <v>0</v>
      </c>
      <c r="J850" s="209">
        <f t="array" ref="J850">IF(I850&gt;0,INDEX(DB,$I850,6),0)</f>
        <v>0</v>
      </c>
      <c r="K850" s="446">
        <f t="shared" si="5"/>
        <v>0</v>
      </c>
      <c r="L850" s="440">
        <f t="shared" si="6"/>
        <v>0</v>
      </c>
      <c r="M850" s="441">
        <f>IF(AND(L850&gt;O850,O850&gt;0),MinPoints,IF(AND(L850&lt;N850,O850&gt;0),100,+INT((O850-$L850)/P850)+MinPoints))</f>
        <v>100</v>
      </c>
      <c r="N850" s="440">
        <f t="shared" si="7"/>
        <v>90</v>
      </c>
      <c r="O850" s="440">
        <f t="shared" si="8"/>
        <v>180</v>
      </c>
      <c r="P850" s="440">
        <f t="shared" si="9"/>
        <v>1</v>
      </c>
      <c r="Q850">
        <f t="array" ref="Q850">IF(I850&gt;0,INDEX(DB,I850,9),EventIndex)</f>
        <v>6</v>
      </c>
      <c r="S850">
        <f t="array" ref="S850">(INT(INDEX(MINVALUES,$Q850,$K$1))*60)+(MOD(INDEX(MINVALUES,$Q850,$K$1),1)*100)</f>
        <v>180</v>
      </c>
      <c r="T850">
        <f t="array" ref="T850">(INDEX(INCVALUES,$Q850,$K$1)*100)</f>
        <v>1</v>
      </c>
      <c r="V850">
        <f t="array" ref="V850">+J850+(4*(INDEX(MatchScoreTable,$Q850,20)-1))</f>
        <v>4</v>
      </c>
      <c r="W850">
        <f t="array" ref="W850">INDEX(INC_MINVALUES,$V850,$K$1)</f>
        <v>480</v>
      </c>
      <c r="X850" s="212">
        <f t="array" ref="X850">INDEX(INC_INCVALUES,$V850,$K$1)</f>
        <v>4</v>
      </c>
    </row>
    <row r="851" ht="15.75" customHeight="1">
      <c r="A851" s="435"/>
      <c r="B851" s="436"/>
      <c r="C851" s="95" t="str">
        <f t="array" ref="C851">IF(I851&gt;0,INDEX(DB,I851,8),"")</f>
        <v/>
      </c>
      <c r="D851" s="437">
        <f t="shared" si="1"/>
        <v>0</v>
      </c>
      <c r="F851" s="438">
        <f t="shared" si="2"/>
        <v>0</v>
      </c>
      <c r="G851" t="str">
        <f t="shared" si="3"/>
        <v/>
      </c>
      <c r="H851" t="b">
        <f t="shared" si="4"/>
        <v>0</v>
      </c>
      <c r="I851" s="439">
        <f>IF(OR(ISBLANK(A851),ISNA(MATCH(A851&amp;"",AthleteNumbers,0))),0,MATCH(A851&amp;"",AthleteNumbers,0))</f>
        <v>0</v>
      </c>
      <c r="J851" s="209">
        <f t="array" ref="J851">IF(I851&gt;0,INDEX(DB,$I851,6),0)</f>
        <v>0</v>
      </c>
      <c r="K851" s="446">
        <f t="shared" si="5"/>
        <v>0</v>
      </c>
      <c r="L851" s="440">
        <f t="shared" si="6"/>
        <v>0</v>
      </c>
      <c r="M851" s="441">
        <f>IF(AND(L851&gt;O851,O851&gt;0),MinPoints,IF(AND(L851&lt;N851,O851&gt;0),100,+INT((O851-$L851)/P851)+MinPoints))</f>
        <v>100</v>
      </c>
      <c r="N851" s="440">
        <f t="shared" si="7"/>
        <v>90</v>
      </c>
      <c r="O851" s="440">
        <f t="shared" si="8"/>
        <v>180</v>
      </c>
      <c r="P851" s="440">
        <f t="shared" si="9"/>
        <v>1</v>
      </c>
      <c r="Q851">
        <f t="array" ref="Q851">IF(I851&gt;0,INDEX(DB,I851,9),EventIndex)</f>
        <v>6</v>
      </c>
      <c r="S851">
        <f t="array" ref="S851">(INT(INDEX(MINVALUES,$Q851,$K$1))*60)+(MOD(INDEX(MINVALUES,$Q851,$K$1),1)*100)</f>
        <v>180</v>
      </c>
      <c r="T851">
        <f t="array" ref="T851">(INDEX(INCVALUES,$Q851,$K$1)*100)</f>
        <v>1</v>
      </c>
      <c r="V851">
        <f t="array" ref="V851">+J851+(4*(INDEX(MatchScoreTable,$Q851,20)-1))</f>
        <v>4</v>
      </c>
      <c r="W851">
        <f t="array" ref="W851">INDEX(INC_MINVALUES,$V851,$K$1)</f>
        <v>480</v>
      </c>
      <c r="X851" s="212">
        <f t="array" ref="X851">INDEX(INC_INCVALUES,$V851,$K$1)</f>
        <v>4</v>
      </c>
    </row>
    <row r="852" ht="15.75" customHeight="1">
      <c r="A852" s="435"/>
      <c r="B852" s="436"/>
      <c r="C852" s="95" t="str">
        <f t="array" ref="C852">IF(I852&gt;0,INDEX(DB,I852,8),"")</f>
        <v/>
      </c>
      <c r="D852" s="437">
        <f t="shared" si="1"/>
        <v>0</v>
      </c>
      <c r="F852" s="438">
        <f t="shared" si="2"/>
        <v>0</v>
      </c>
      <c r="G852" t="str">
        <f t="shared" si="3"/>
        <v/>
      </c>
      <c r="H852" t="b">
        <f t="shared" si="4"/>
        <v>0</v>
      </c>
      <c r="I852" s="439">
        <f>IF(OR(ISBLANK(A852),ISNA(MATCH(A852&amp;"",AthleteNumbers,0))),0,MATCH(A852&amp;"",AthleteNumbers,0))</f>
        <v>0</v>
      </c>
      <c r="J852" s="209">
        <f t="array" ref="J852">IF(I852&gt;0,INDEX(DB,$I852,6),0)</f>
        <v>0</v>
      </c>
      <c r="K852" s="446">
        <f t="shared" si="5"/>
        <v>0</v>
      </c>
      <c r="L852" s="440">
        <f t="shared" si="6"/>
        <v>0</v>
      </c>
      <c r="M852" s="441">
        <f>IF(AND(L852&gt;O852,O852&gt;0),MinPoints,IF(AND(L852&lt;N852,O852&gt;0),100,+INT((O852-$L852)/P852)+MinPoints))</f>
        <v>100</v>
      </c>
      <c r="N852" s="440">
        <f t="shared" si="7"/>
        <v>90</v>
      </c>
      <c r="O852" s="440">
        <f t="shared" si="8"/>
        <v>180</v>
      </c>
      <c r="P852" s="440">
        <f t="shared" si="9"/>
        <v>1</v>
      </c>
      <c r="Q852">
        <f t="array" ref="Q852">IF(I852&gt;0,INDEX(DB,I852,9),EventIndex)</f>
        <v>6</v>
      </c>
      <c r="S852">
        <f t="array" ref="S852">(INT(INDEX(MINVALUES,$Q852,$K$1))*60)+(MOD(INDEX(MINVALUES,$Q852,$K$1),1)*100)</f>
        <v>180</v>
      </c>
      <c r="T852">
        <f t="array" ref="T852">(INDEX(INCVALUES,$Q852,$K$1)*100)</f>
        <v>1</v>
      </c>
      <c r="V852">
        <f t="array" ref="V852">+J852+(4*(INDEX(MatchScoreTable,$Q852,20)-1))</f>
        <v>4</v>
      </c>
      <c r="W852">
        <f t="array" ref="W852">INDEX(INC_MINVALUES,$V852,$K$1)</f>
        <v>480</v>
      </c>
      <c r="X852" s="212">
        <f t="array" ref="X852">INDEX(INC_INCVALUES,$V852,$K$1)</f>
        <v>4</v>
      </c>
    </row>
    <row r="853" ht="15.75" customHeight="1">
      <c r="A853" s="435"/>
      <c r="B853" s="436"/>
      <c r="C853" s="95" t="str">
        <f t="array" ref="C853">IF(I853&gt;0,INDEX(DB,I853,8),"")</f>
        <v/>
      </c>
      <c r="D853" s="437">
        <f t="shared" si="1"/>
        <v>0</v>
      </c>
      <c r="F853" s="438">
        <f t="shared" si="2"/>
        <v>0</v>
      </c>
      <c r="G853" t="str">
        <f t="shared" si="3"/>
        <v/>
      </c>
      <c r="H853" t="b">
        <f t="shared" si="4"/>
        <v>0</v>
      </c>
      <c r="I853" s="439">
        <f>IF(OR(ISBLANK(A853),ISNA(MATCH(A853&amp;"",AthleteNumbers,0))),0,MATCH(A853&amp;"",AthleteNumbers,0))</f>
        <v>0</v>
      </c>
      <c r="J853" s="209">
        <f t="array" ref="J853">IF(I853&gt;0,INDEX(DB,$I853,6),0)</f>
        <v>0</v>
      </c>
      <c r="K853" s="446">
        <f t="shared" si="5"/>
        <v>0</v>
      </c>
      <c r="L853" s="440">
        <f t="shared" si="6"/>
        <v>0</v>
      </c>
      <c r="M853" s="441">
        <f>IF(AND(L853&gt;O853,O853&gt;0),MinPoints,IF(AND(L853&lt;N853,O853&gt;0),100,+INT((O853-$L853)/P853)+MinPoints))</f>
        <v>100</v>
      </c>
      <c r="N853" s="440">
        <f t="shared" si="7"/>
        <v>90</v>
      </c>
      <c r="O853" s="440">
        <f t="shared" si="8"/>
        <v>180</v>
      </c>
      <c r="P853" s="440">
        <f t="shared" si="9"/>
        <v>1</v>
      </c>
      <c r="Q853">
        <f t="array" ref="Q853">IF(I853&gt;0,INDEX(DB,I853,9),EventIndex)</f>
        <v>6</v>
      </c>
      <c r="S853">
        <f t="array" ref="S853">(INT(INDEX(MINVALUES,$Q853,$K$1))*60)+(MOD(INDEX(MINVALUES,$Q853,$K$1),1)*100)</f>
        <v>180</v>
      </c>
      <c r="T853">
        <f t="array" ref="T853">(INDEX(INCVALUES,$Q853,$K$1)*100)</f>
        <v>1</v>
      </c>
      <c r="V853">
        <f t="array" ref="V853">+J853+(4*(INDEX(MatchScoreTable,$Q853,20)-1))</f>
        <v>4</v>
      </c>
      <c r="W853">
        <f t="array" ref="W853">INDEX(INC_MINVALUES,$V853,$K$1)</f>
        <v>480</v>
      </c>
      <c r="X853" s="212">
        <f t="array" ref="X853">INDEX(INC_INCVALUES,$V853,$K$1)</f>
        <v>4</v>
      </c>
    </row>
    <row r="854" ht="15.75" customHeight="1">
      <c r="A854" s="435"/>
      <c r="B854" s="436"/>
      <c r="C854" s="95" t="str">
        <f t="array" ref="C854">IF(I854&gt;0,INDEX(DB,I854,8),"")</f>
        <v/>
      </c>
      <c r="D854" s="437">
        <f t="shared" si="1"/>
        <v>0</v>
      </c>
      <c r="F854" s="438">
        <f t="shared" si="2"/>
        <v>0</v>
      </c>
      <c r="G854" t="str">
        <f t="shared" si="3"/>
        <v/>
      </c>
      <c r="H854" t="b">
        <f t="shared" si="4"/>
        <v>0</v>
      </c>
      <c r="I854" s="439">
        <f>IF(OR(ISBLANK(A854),ISNA(MATCH(A854&amp;"",AthleteNumbers,0))),0,MATCH(A854&amp;"",AthleteNumbers,0))</f>
        <v>0</v>
      </c>
      <c r="J854" s="209">
        <f t="array" ref="J854">IF(I854&gt;0,INDEX(DB,$I854,6),0)</f>
        <v>0</v>
      </c>
      <c r="K854" s="446">
        <f t="shared" si="5"/>
        <v>0</v>
      </c>
      <c r="L854" s="440">
        <f t="shared" si="6"/>
        <v>0</v>
      </c>
      <c r="M854" s="441">
        <f>IF(AND(L854&gt;O854,O854&gt;0),MinPoints,IF(AND(L854&lt;N854,O854&gt;0),100,+INT((O854-$L854)/P854)+MinPoints))</f>
        <v>100</v>
      </c>
      <c r="N854" s="440">
        <f t="shared" si="7"/>
        <v>90</v>
      </c>
      <c r="O854" s="440">
        <f t="shared" si="8"/>
        <v>180</v>
      </c>
      <c r="P854" s="440">
        <f t="shared" si="9"/>
        <v>1</v>
      </c>
      <c r="Q854">
        <f t="array" ref="Q854">IF(I854&gt;0,INDEX(DB,I854,9),EventIndex)</f>
        <v>6</v>
      </c>
      <c r="S854">
        <f t="array" ref="S854">(INT(INDEX(MINVALUES,$Q854,$K$1))*60)+(MOD(INDEX(MINVALUES,$Q854,$K$1),1)*100)</f>
        <v>180</v>
      </c>
      <c r="T854">
        <f t="array" ref="T854">(INDEX(INCVALUES,$Q854,$K$1)*100)</f>
        <v>1</v>
      </c>
      <c r="V854">
        <f t="array" ref="V854">+J854+(4*(INDEX(MatchScoreTable,$Q854,20)-1))</f>
        <v>4</v>
      </c>
      <c r="W854">
        <f t="array" ref="W854">INDEX(INC_MINVALUES,$V854,$K$1)</f>
        <v>480</v>
      </c>
      <c r="X854" s="212">
        <f t="array" ref="X854">INDEX(INC_INCVALUES,$V854,$K$1)</f>
        <v>4</v>
      </c>
    </row>
    <row r="855" ht="15.75" customHeight="1">
      <c r="A855" s="435"/>
      <c r="B855" s="436"/>
      <c r="C855" s="95" t="str">
        <f t="array" ref="C855">IF(I855&gt;0,INDEX(DB,I855,8),"")</f>
        <v/>
      </c>
      <c r="D855" s="437">
        <f t="shared" si="1"/>
        <v>0</v>
      </c>
      <c r="F855" s="438">
        <f t="shared" si="2"/>
        <v>0</v>
      </c>
      <c r="G855" t="str">
        <f t="shared" si="3"/>
        <v/>
      </c>
      <c r="H855" t="b">
        <f t="shared" si="4"/>
        <v>0</v>
      </c>
      <c r="I855" s="439">
        <f>IF(OR(ISBLANK(A855),ISNA(MATCH(A855&amp;"",AthleteNumbers,0))),0,MATCH(A855&amp;"",AthleteNumbers,0))</f>
        <v>0</v>
      </c>
      <c r="J855" s="209">
        <f t="array" ref="J855">IF(I855&gt;0,INDEX(DB,$I855,6),0)</f>
        <v>0</v>
      </c>
      <c r="K855" s="446">
        <f t="shared" si="5"/>
        <v>0</v>
      </c>
      <c r="L855" s="440">
        <f t="shared" si="6"/>
        <v>0</v>
      </c>
      <c r="M855" s="441">
        <f>IF(AND(L855&gt;O855,O855&gt;0),MinPoints,IF(AND(L855&lt;N855,O855&gt;0),100,+INT((O855-$L855)/P855)+MinPoints))</f>
        <v>100</v>
      </c>
      <c r="N855" s="440">
        <f t="shared" si="7"/>
        <v>90</v>
      </c>
      <c r="O855" s="440">
        <f t="shared" si="8"/>
        <v>180</v>
      </c>
      <c r="P855" s="440">
        <f t="shared" si="9"/>
        <v>1</v>
      </c>
      <c r="Q855">
        <f t="array" ref="Q855">IF(I855&gt;0,INDEX(DB,I855,9),EventIndex)</f>
        <v>6</v>
      </c>
      <c r="S855">
        <f t="array" ref="S855">(INT(INDEX(MINVALUES,$Q855,$K$1))*60)+(MOD(INDEX(MINVALUES,$Q855,$K$1),1)*100)</f>
        <v>180</v>
      </c>
      <c r="T855">
        <f t="array" ref="T855">(INDEX(INCVALUES,$Q855,$K$1)*100)</f>
        <v>1</v>
      </c>
      <c r="V855">
        <f t="array" ref="V855">+J855+(4*(INDEX(MatchScoreTable,$Q855,20)-1))</f>
        <v>4</v>
      </c>
      <c r="W855">
        <f t="array" ref="W855">INDEX(INC_MINVALUES,$V855,$K$1)</f>
        <v>480</v>
      </c>
      <c r="X855" s="212">
        <f t="array" ref="X855">INDEX(INC_INCVALUES,$V855,$K$1)</f>
        <v>4</v>
      </c>
    </row>
    <row r="856" ht="15.75" customHeight="1">
      <c r="A856" s="435"/>
      <c r="B856" s="436"/>
      <c r="C856" s="95" t="str">
        <f t="array" ref="C856">IF(I856&gt;0,INDEX(DB,I856,8),"")</f>
        <v/>
      </c>
      <c r="D856" s="437">
        <f t="shared" si="1"/>
        <v>0</v>
      </c>
      <c r="F856" s="438">
        <f t="shared" si="2"/>
        <v>0</v>
      </c>
      <c r="G856" t="str">
        <f t="shared" si="3"/>
        <v/>
      </c>
      <c r="H856" t="b">
        <f t="shared" si="4"/>
        <v>0</v>
      </c>
      <c r="I856" s="439">
        <f>IF(OR(ISBLANK(A856),ISNA(MATCH(A856&amp;"",AthleteNumbers,0))),0,MATCH(A856&amp;"",AthleteNumbers,0))</f>
        <v>0</v>
      </c>
      <c r="J856" s="209">
        <f t="array" ref="J856">IF(I856&gt;0,INDEX(DB,$I856,6),0)</f>
        <v>0</v>
      </c>
      <c r="K856" s="446">
        <f t="shared" si="5"/>
        <v>0</v>
      </c>
      <c r="L856" s="440">
        <f t="shared" si="6"/>
        <v>0</v>
      </c>
      <c r="M856" s="441">
        <f>IF(AND(L856&gt;O856,O856&gt;0),MinPoints,IF(AND(L856&lt;N856,O856&gt;0),100,+INT((O856-$L856)/P856)+MinPoints))</f>
        <v>100</v>
      </c>
      <c r="N856" s="440">
        <f t="shared" si="7"/>
        <v>90</v>
      </c>
      <c r="O856" s="440">
        <f t="shared" si="8"/>
        <v>180</v>
      </c>
      <c r="P856" s="440">
        <f t="shared" si="9"/>
        <v>1</v>
      </c>
      <c r="Q856">
        <f t="array" ref="Q856">IF(I856&gt;0,INDEX(DB,I856,9),EventIndex)</f>
        <v>6</v>
      </c>
      <c r="S856">
        <f t="array" ref="S856">(INT(INDEX(MINVALUES,$Q856,$K$1))*60)+(MOD(INDEX(MINVALUES,$Q856,$K$1),1)*100)</f>
        <v>180</v>
      </c>
      <c r="T856">
        <f t="array" ref="T856">(INDEX(INCVALUES,$Q856,$K$1)*100)</f>
        <v>1</v>
      </c>
      <c r="V856">
        <f t="array" ref="V856">+J856+(4*(INDEX(MatchScoreTable,$Q856,20)-1))</f>
        <v>4</v>
      </c>
      <c r="W856">
        <f t="array" ref="W856">INDEX(INC_MINVALUES,$V856,$K$1)</f>
        <v>480</v>
      </c>
      <c r="X856" s="212">
        <f t="array" ref="X856">INDEX(INC_INCVALUES,$V856,$K$1)</f>
        <v>4</v>
      </c>
    </row>
    <row r="857" ht="15.75" customHeight="1">
      <c r="A857" s="435"/>
      <c r="B857" s="436"/>
      <c r="C857" s="95" t="str">
        <f t="array" ref="C857">IF(I857&gt;0,INDEX(DB,I857,8),"")</f>
        <v/>
      </c>
      <c r="D857" s="437">
        <f t="shared" si="1"/>
        <v>0</v>
      </c>
      <c r="F857" s="438">
        <f t="shared" si="2"/>
        <v>0</v>
      </c>
      <c r="G857" t="str">
        <f t="shared" si="3"/>
        <v/>
      </c>
      <c r="H857" t="b">
        <f t="shared" si="4"/>
        <v>0</v>
      </c>
      <c r="I857" s="439">
        <f>IF(OR(ISBLANK(A857),ISNA(MATCH(A857&amp;"",AthleteNumbers,0))),0,MATCH(A857&amp;"",AthleteNumbers,0))</f>
        <v>0</v>
      </c>
      <c r="J857" s="209">
        <f t="array" ref="J857">IF(I857&gt;0,INDEX(DB,$I857,6),0)</f>
        <v>0</v>
      </c>
      <c r="K857" s="446">
        <f t="shared" si="5"/>
        <v>0</v>
      </c>
      <c r="L857" s="440">
        <f t="shared" si="6"/>
        <v>0</v>
      </c>
      <c r="M857" s="441">
        <f>IF(AND(L857&gt;O857,O857&gt;0),MinPoints,IF(AND(L857&lt;N857,O857&gt;0),100,+INT((O857-$L857)/P857)+MinPoints))</f>
        <v>100</v>
      </c>
      <c r="N857" s="440">
        <f t="shared" si="7"/>
        <v>90</v>
      </c>
      <c r="O857" s="440">
        <f t="shared" si="8"/>
        <v>180</v>
      </c>
      <c r="P857" s="440">
        <f t="shared" si="9"/>
        <v>1</v>
      </c>
      <c r="Q857">
        <f t="array" ref="Q857">IF(I857&gt;0,INDEX(DB,I857,9),EventIndex)</f>
        <v>6</v>
      </c>
      <c r="S857">
        <f t="array" ref="S857">(INT(INDEX(MINVALUES,$Q857,$K$1))*60)+(MOD(INDEX(MINVALUES,$Q857,$K$1),1)*100)</f>
        <v>180</v>
      </c>
      <c r="T857">
        <f t="array" ref="T857">(INDEX(INCVALUES,$Q857,$K$1)*100)</f>
        <v>1</v>
      </c>
      <c r="V857">
        <f t="array" ref="V857">+J857+(4*(INDEX(MatchScoreTable,$Q857,20)-1))</f>
        <v>4</v>
      </c>
      <c r="W857">
        <f t="array" ref="W857">INDEX(INC_MINVALUES,$V857,$K$1)</f>
        <v>480</v>
      </c>
      <c r="X857" s="212">
        <f t="array" ref="X857">INDEX(INC_INCVALUES,$V857,$K$1)</f>
        <v>4</v>
      </c>
    </row>
    <row r="858" ht="15.75" customHeight="1">
      <c r="A858" s="435"/>
      <c r="B858" s="436"/>
      <c r="C858" s="95" t="str">
        <f t="array" ref="C858">IF(I858&gt;0,INDEX(DB,I858,8),"")</f>
        <v/>
      </c>
      <c r="D858" s="437">
        <f t="shared" si="1"/>
        <v>0</v>
      </c>
      <c r="F858" s="438">
        <f t="shared" si="2"/>
        <v>0</v>
      </c>
      <c r="G858" t="str">
        <f t="shared" si="3"/>
        <v/>
      </c>
      <c r="H858" t="b">
        <f t="shared" si="4"/>
        <v>0</v>
      </c>
      <c r="I858" s="439">
        <f>IF(OR(ISBLANK(A858),ISNA(MATCH(A858&amp;"",AthleteNumbers,0))),0,MATCH(A858&amp;"",AthleteNumbers,0))</f>
        <v>0</v>
      </c>
      <c r="J858" s="209">
        <f t="array" ref="J858">IF(I858&gt;0,INDEX(DB,$I858,6),0)</f>
        <v>0</v>
      </c>
      <c r="K858" s="446">
        <f t="shared" si="5"/>
        <v>0</v>
      </c>
      <c r="L858" s="440">
        <f t="shared" si="6"/>
        <v>0</v>
      </c>
      <c r="M858" s="441">
        <f>IF(AND(L858&gt;O858,O858&gt;0),MinPoints,IF(AND(L858&lt;N858,O858&gt;0),100,+INT((O858-$L858)/P858)+MinPoints))</f>
        <v>100</v>
      </c>
      <c r="N858" s="440">
        <f t="shared" si="7"/>
        <v>90</v>
      </c>
      <c r="O858" s="440">
        <f t="shared" si="8"/>
        <v>180</v>
      </c>
      <c r="P858" s="440">
        <f t="shared" si="9"/>
        <v>1</v>
      </c>
      <c r="Q858">
        <f t="array" ref="Q858">IF(I858&gt;0,INDEX(DB,I858,9),EventIndex)</f>
        <v>6</v>
      </c>
      <c r="S858">
        <f t="array" ref="S858">(INT(INDEX(MINVALUES,$Q858,$K$1))*60)+(MOD(INDEX(MINVALUES,$Q858,$K$1),1)*100)</f>
        <v>180</v>
      </c>
      <c r="T858">
        <f t="array" ref="T858">(INDEX(INCVALUES,$Q858,$K$1)*100)</f>
        <v>1</v>
      </c>
      <c r="V858">
        <f t="array" ref="V858">+J858+(4*(INDEX(MatchScoreTable,$Q858,20)-1))</f>
        <v>4</v>
      </c>
      <c r="W858">
        <f t="array" ref="W858">INDEX(INC_MINVALUES,$V858,$K$1)</f>
        <v>480</v>
      </c>
      <c r="X858" s="212">
        <f t="array" ref="X858">INDEX(INC_INCVALUES,$V858,$K$1)</f>
        <v>4</v>
      </c>
    </row>
    <row r="859" ht="15.75" customHeight="1">
      <c r="A859" s="435"/>
      <c r="B859" s="436"/>
      <c r="C859" s="95" t="str">
        <f t="array" ref="C859">IF(I859&gt;0,INDEX(DB,I859,8),"")</f>
        <v/>
      </c>
      <c r="D859" s="437">
        <f t="shared" si="1"/>
        <v>0</v>
      </c>
      <c r="F859" s="438">
        <f t="shared" si="2"/>
        <v>0</v>
      </c>
      <c r="G859" t="str">
        <f t="shared" si="3"/>
        <v/>
      </c>
      <c r="H859" t="b">
        <f t="shared" si="4"/>
        <v>0</v>
      </c>
      <c r="I859" s="439">
        <f>IF(OR(ISBLANK(A859),ISNA(MATCH(A859&amp;"",AthleteNumbers,0))),0,MATCH(A859&amp;"",AthleteNumbers,0))</f>
        <v>0</v>
      </c>
      <c r="J859" s="209">
        <f t="array" ref="J859">IF(I859&gt;0,INDEX(DB,$I859,6),0)</f>
        <v>0</v>
      </c>
      <c r="K859" s="446">
        <f t="shared" si="5"/>
        <v>0</v>
      </c>
      <c r="L859" s="440">
        <f t="shared" si="6"/>
        <v>0</v>
      </c>
      <c r="M859" s="441">
        <f>IF(AND(L859&gt;O859,O859&gt;0),MinPoints,IF(AND(L859&lt;N859,O859&gt;0),100,+INT((O859-$L859)/P859)+MinPoints))</f>
        <v>100</v>
      </c>
      <c r="N859" s="440">
        <f t="shared" si="7"/>
        <v>90</v>
      </c>
      <c r="O859" s="440">
        <f t="shared" si="8"/>
        <v>180</v>
      </c>
      <c r="P859" s="440">
        <f t="shared" si="9"/>
        <v>1</v>
      </c>
      <c r="Q859">
        <f t="array" ref="Q859">IF(I859&gt;0,INDEX(DB,I859,9),EventIndex)</f>
        <v>6</v>
      </c>
      <c r="S859">
        <f t="array" ref="S859">(INT(INDEX(MINVALUES,$Q859,$K$1))*60)+(MOD(INDEX(MINVALUES,$Q859,$K$1),1)*100)</f>
        <v>180</v>
      </c>
      <c r="T859">
        <f t="array" ref="T859">(INDEX(INCVALUES,$Q859,$K$1)*100)</f>
        <v>1</v>
      </c>
      <c r="V859">
        <f t="array" ref="V859">+J859+(4*(INDEX(MatchScoreTable,$Q859,20)-1))</f>
        <v>4</v>
      </c>
      <c r="W859">
        <f t="array" ref="W859">INDEX(INC_MINVALUES,$V859,$K$1)</f>
        <v>480</v>
      </c>
      <c r="X859" s="212">
        <f t="array" ref="X859">INDEX(INC_INCVALUES,$V859,$K$1)</f>
        <v>4</v>
      </c>
    </row>
    <row r="860" ht="15.75" customHeight="1">
      <c r="A860" s="435"/>
      <c r="B860" s="436"/>
      <c r="C860" s="95" t="str">
        <f t="array" ref="C860">IF(I860&gt;0,INDEX(DB,I860,8),"")</f>
        <v/>
      </c>
      <c r="D860" s="437">
        <f t="shared" si="1"/>
        <v>0</v>
      </c>
      <c r="F860" s="438">
        <f t="shared" si="2"/>
        <v>0</v>
      </c>
      <c r="G860" t="str">
        <f t="shared" si="3"/>
        <v/>
      </c>
      <c r="H860" t="b">
        <f t="shared" si="4"/>
        <v>0</v>
      </c>
      <c r="I860" s="439">
        <f>IF(OR(ISBLANK(A860),ISNA(MATCH(A860&amp;"",AthleteNumbers,0))),0,MATCH(A860&amp;"",AthleteNumbers,0))</f>
        <v>0</v>
      </c>
      <c r="J860" s="209">
        <f t="array" ref="J860">IF(I860&gt;0,INDEX(DB,$I860,6),0)</f>
        <v>0</v>
      </c>
      <c r="K860" s="446">
        <f t="shared" si="5"/>
        <v>0</v>
      </c>
      <c r="L860" s="440">
        <f t="shared" si="6"/>
        <v>0</v>
      </c>
      <c r="M860" s="441">
        <f>IF(AND(L860&gt;O860,O860&gt;0),MinPoints,IF(AND(L860&lt;N860,O860&gt;0),100,+INT((O860-$L860)/P860)+MinPoints))</f>
        <v>100</v>
      </c>
      <c r="N860" s="440">
        <f t="shared" si="7"/>
        <v>90</v>
      </c>
      <c r="O860" s="440">
        <f t="shared" si="8"/>
        <v>180</v>
      </c>
      <c r="P860" s="440">
        <f t="shared" si="9"/>
        <v>1</v>
      </c>
      <c r="Q860">
        <f t="array" ref="Q860">IF(I860&gt;0,INDEX(DB,I860,9),EventIndex)</f>
        <v>6</v>
      </c>
      <c r="S860">
        <f t="array" ref="S860">(INT(INDEX(MINVALUES,$Q860,$K$1))*60)+(MOD(INDEX(MINVALUES,$Q860,$K$1),1)*100)</f>
        <v>180</v>
      </c>
      <c r="T860">
        <f t="array" ref="T860">(INDEX(INCVALUES,$Q860,$K$1)*100)</f>
        <v>1</v>
      </c>
      <c r="V860">
        <f t="array" ref="V860">+J860+(4*(INDEX(MatchScoreTable,$Q860,20)-1))</f>
        <v>4</v>
      </c>
      <c r="W860">
        <f t="array" ref="W860">INDEX(INC_MINVALUES,$V860,$K$1)</f>
        <v>480</v>
      </c>
      <c r="X860" s="212">
        <f t="array" ref="X860">INDEX(INC_INCVALUES,$V860,$K$1)</f>
        <v>4</v>
      </c>
    </row>
    <row r="861" ht="15.75" customHeight="1">
      <c r="A861" s="435"/>
      <c r="B861" s="436"/>
      <c r="C861" s="95" t="str">
        <f t="array" ref="C861">IF(I861&gt;0,INDEX(DB,I861,8),"")</f>
        <v/>
      </c>
      <c r="D861" s="437">
        <f t="shared" si="1"/>
        <v>0</v>
      </c>
      <c r="F861" s="438">
        <f t="shared" si="2"/>
        <v>0</v>
      </c>
      <c r="G861" t="str">
        <f t="shared" si="3"/>
        <v/>
      </c>
      <c r="H861" t="b">
        <f t="shared" si="4"/>
        <v>0</v>
      </c>
      <c r="I861" s="439">
        <f>IF(OR(ISBLANK(A861),ISNA(MATCH(A861&amp;"",AthleteNumbers,0))),0,MATCH(A861&amp;"",AthleteNumbers,0))</f>
        <v>0</v>
      </c>
      <c r="J861" s="209">
        <f t="array" ref="J861">IF(I861&gt;0,INDEX(DB,$I861,6),0)</f>
        <v>0</v>
      </c>
      <c r="K861" s="446">
        <f t="shared" si="5"/>
        <v>0</v>
      </c>
      <c r="L861" s="440">
        <f t="shared" si="6"/>
        <v>0</v>
      </c>
      <c r="M861" s="441">
        <f>IF(AND(L861&gt;O861,O861&gt;0),MinPoints,IF(AND(L861&lt;N861,O861&gt;0),100,+INT((O861-$L861)/P861)+MinPoints))</f>
        <v>100</v>
      </c>
      <c r="N861" s="440">
        <f t="shared" si="7"/>
        <v>90</v>
      </c>
      <c r="O861" s="440">
        <f t="shared" si="8"/>
        <v>180</v>
      </c>
      <c r="P861" s="440">
        <f t="shared" si="9"/>
        <v>1</v>
      </c>
      <c r="Q861">
        <f t="array" ref="Q861">IF(I861&gt;0,INDEX(DB,I861,9),EventIndex)</f>
        <v>6</v>
      </c>
      <c r="S861">
        <f t="array" ref="S861">(INT(INDEX(MINVALUES,$Q861,$K$1))*60)+(MOD(INDEX(MINVALUES,$Q861,$K$1),1)*100)</f>
        <v>180</v>
      </c>
      <c r="T861">
        <f t="array" ref="T861">(INDEX(INCVALUES,$Q861,$K$1)*100)</f>
        <v>1</v>
      </c>
      <c r="V861">
        <f t="array" ref="V861">+J861+(4*(INDEX(MatchScoreTable,$Q861,20)-1))</f>
        <v>4</v>
      </c>
      <c r="W861">
        <f t="array" ref="W861">INDEX(INC_MINVALUES,$V861,$K$1)</f>
        <v>480</v>
      </c>
      <c r="X861" s="212">
        <f t="array" ref="X861">INDEX(INC_INCVALUES,$V861,$K$1)</f>
        <v>4</v>
      </c>
    </row>
    <row r="862" ht="15.75" customHeight="1">
      <c r="A862" s="435"/>
      <c r="B862" s="436"/>
      <c r="C862" s="95" t="str">
        <f t="array" ref="C862">IF(I862&gt;0,INDEX(DB,I862,8),"")</f>
        <v/>
      </c>
      <c r="D862" s="437">
        <f t="shared" si="1"/>
        <v>0</v>
      </c>
      <c r="F862" s="438">
        <f t="shared" si="2"/>
        <v>0</v>
      </c>
      <c r="G862" t="str">
        <f t="shared" si="3"/>
        <v/>
      </c>
      <c r="H862" t="b">
        <f t="shared" si="4"/>
        <v>0</v>
      </c>
      <c r="I862" s="439">
        <f>IF(OR(ISBLANK(A862),ISNA(MATCH(A862&amp;"",AthleteNumbers,0))),0,MATCH(A862&amp;"",AthleteNumbers,0))</f>
        <v>0</v>
      </c>
      <c r="J862" s="209">
        <f t="array" ref="J862">IF(I862&gt;0,INDEX(DB,$I862,6),0)</f>
        <v>0</v>
      </c>
      <c r="K862" s="446">
        <f t="shared" si="5"/>
        <v>0</v>
      </c>
      <c r="L862" s="440">
        <f t="shared" si="6"/>
        <v>0</v>
      </c>
      <c r="M862" s="441">
        <f>IF(AND(L862&gt;O862,O862&gt;0),MinPoints,IF(AND(L862&lt;N862,O862&gt;0),100,+INT((O862-$L862)/P862)+MinPoints))</f>
        <v>100</v>
      </c>
      <c r="N862" s="440">
        <f t="shared" si="7"/>
        <v>90</v>
      </c>
      <c r="O862" s="440">
        <f t="shared" si="8"/>
        <v>180</v>
      </c>
      <c r="P862" s="440">
        <f t="shared" si="9"/>
        <v>1</v>
      </c>
      <c r="Q862">
        <f t="array" ref="Q862">IF(I862&gt;0,INDEX(DB,I862,9),EventIndex)</f>
        <v>6</v>
      </c>
      <c r="S862">
        <f t="array" ref="S862">(INT(INDEX(MINVALUES,$Q862,$K$1))*60)+(MOD(INDEX(MINVALUES,$Q862,$K$1),1)*100)</f>
        <v>180</v>
      </c>
      <c r="T862">
        <f t="array" ref="T862">(INDEX(INCVALUES,$Q862,$K$1)*100)</f>
        <v>1</v>
      </c>
      <c r="V862">
        <f t="array" ref="V862">+J862+(4*(INDEX(MatchScoreTable,$Q862,20)-1))</f>
        <v>4</v>
      </c>
      <c r="W862">
        <f t="array" ref="W862">INDEX(INC_MINVALUES,$V862,$K$1)</f>
        <v>480</v>
      </c>
      <c r="X862" s="212">
        <f t="array" ref="X862">INDEX(INC_INCVALUES,$V862,$K$1)</f>
        <v>4</v>
      </c>
    </row>
    <row r="863" ht="15.75" customHeight="1">
      <c r="A863" s="435"/>
      <c r="B863" s="436"/>
      <c r="C863" s="95" t="str">
        <f t="array" ref="C863">IF(I863&gt;0,INDEX(DB,I863,8),"")</f>
        <v/>
      </c>
      <c r="D863" s="437">
        <f t="shared" si="1"/>
        <v>0</v>
      </c>
      <c r="F863" s="438">
        <f t="shared" si="2"/>
        <v>0</v>
      </c>
      <c r="G863" t="str">
        <f t="shared" si="3"/>
        <v/>
      </c>
      <c r="H863" t="b">
        <f t="shared" si="4"/>
        <v>0</v>
      </c>
      <c r="I863" s="439">
        <f>IF(OR(ISBLANK(A863),ISNA(MATCH(A863&amp;"",AthleteNumbers,0))),0,MATCH(A863&amp;"",AthleteNumbers,0))</f>
        <v>0</v>
      </c>
      <c r="J863" s="209">
        <f t="array" ref="J863">IF(I863&gt;0,INDEX(DB,$I863,6),0)</f>
        <v>0</v>
      </c>
      <c r="K863" s="446">
        <f t="shared" si="5"/>
        <v>0</v>
      </c>
      <c r="L863" s="440">
        <f t="shared" si="6"/>
        <v>0</v>
      </c>
      <c r="M863" s="441">
        <f>IF(AND(L863&gt;O863,O863&gt;0),MinPoints,IF(AND(L863&lt;N863,O863&gt;0),100,+INT((O863-$L863)/P863)+MinPoints))</f>
        <v>100</v>
      </c>
      <c r="N863" s="440">
        <f t="shared" si="7"/>
        <v>90</v>
      </c>
      <c r="O863" s="440">
        <f t="shared" si="8"/>
        <v>180</v>
      </c>
      <c r="P863" s="440">
        <f t="shared" si="9"/>
        <v>1</v>
      </c>
      <c r="Q863">
        <f t="array" ref="Q863">IF(I863&gt;0,INDEX(DB,I863,9),EventIndex)</f>
        <v>6</v>
      </c>
      <c r="S863">
        <f t="array" ref="S863">(INT(INDEX(MINVALUES,$Q863,$K$1))*60)+(MOD(INDEX(MINVALUES,$Q863,$K$1),1)*100)</f>
        <v>180</v>
      </c>
      <c r="T863">
        <f t="array" ref="T863">(INDEX(INCVALUES,$Q863,$K$1)*100)</f>
        <v>1</v>
      </c>
      <c r="V863">
        <f t="array" ref="V863">+J863+(4*(INDEX(MatchScoreTable,$Q863,20)-1))</f>
        <v>4</v>
      </c>
      <c r="W863">
        <f t="array" ref="W863">INDEX(INC_MINVALUES,$V863,$K$1)</f>
        <v>480</v>
      </c>
      <c r="X863" s="212">
        <f t="array" ref="X863">INDEX(INC_INCVALUES,$V863,$K$1)</f>
        <v>4</v>
      </c>
    </row>
    <row r="864" ht="15.75" customHeight="1">
      <c r="A864" s="435"/>
      <c r="B864" s="436"/>
      <c r="C864" s="95" t="str">
        <f t="array" ref="C864">IF(I864&gt;0,INDEX(DB,I864,8),"")</f>
        <v/>
      </c>
      <c r="D864" s="437">
        <f t="shared" si="1"/>
        <v>0</v>
      </c>
      <c r="F864" s="438">
        <f t="shared" si="2"/>
        <v>0</v>
      </c>
      <c r="G864" t="str">
        <f t="shared" si="3"/>
        <v/>
      </c>
      <c r="H864" t="b">
        <f t="shared" si="4"/>
        <v>0</v>
      </c>
      <c r="I864" s="439">
        <f>IF(OR(ISBLANK(A864),ISNA(MATCH(A864&amp;"",AthleteNumbers,0))),0,MATCH(A864&amp;"",AthleteNumbers,0))</f>
        <v>0</v>
      </c>
      <c r="J864" s="209">
        <f t="array" ref="J864">IF(I864&gt;0,INDEX(DB,$I864,6),0)</f>
        <v>0</v>
      </c>
      <c r="K864" s="446">
        <f t="shared" si="5"/>
        <v>0</v>
      </c>
      <c r="L864" s="440">
        <f t="shared" si="6"/>
        <v>0</v>
      </c>
      <c r="M864" s="441">
        <f>IF(AND(L864&gt;O864,O864&gt;0),MinPoints,IF(AND(L864&lt;N864,O864&gt;0),100,+INT((O864-$L864)/P864)+MinPoints))</f>
        <v>100</v>
      </c>
      <c r="N864" s="440">
        <f t="shared" si="7"/>
        <v>90</v>
      </c>
      <c r="O864" s="440">
        <f t="shared" si="8"/>
        <v>180</v>
      </c>
      <c r="P864" s="440">
        <f t="shared" si="9"/>
        <v>1</v>
      </c>
      <c r="Q864">
        <f t="array" ref="Q864">IF(I864&gt;0,INDEX(DB,I864,9),EventIndex)</f>
        <v>6</v>
      </c>
      <c r="S864">
        <f t="array" ref="S864">(INT(INDEX(MINVALUES,$Q864,$K$1))*60)+(MOD(INDEX(MINVALUES,$Q864,$K$1),1)*100)</f>
        <v>180</v>
      </c>
      <c r="T864">
        <f t="array" ref="T864">(INDEX(INCVALUES,$Q864,$K$1)*100)</f>
        <v>1</v>
      </c>
      <c r="V864">
        <f t="array" ref="V864">+J864+(4*(INDEX(MatchScoreTable,$Q864,20)-1))</f>
        <v>4</v>
      </c>
      <c r="W864">
        <f t="array" ref="W864">INDEX(INC_MINVALUES,$V864,$K$1)</f>
        <v>480</v>
      </c>
      <c r="X864" s="212">
        <f t="array" ref="X864">INDEX(INC_INCVALUES,$V864,$K$1)</f>
        <v>4</v>
      </c>
    </row>
    <row r="865" ht="15.75" customHeight="1">
      <c r="A865" s="435"/>
      <c r="B865" s="436"/>
      <c r="C865" s="95" t="str">
        <f t="array" ref="C865">IF(I865&gt;0,INDEX(DB,I865,8),"")</f>
        <v/>
      </c>
      <c r="D865" s="437">
        <f t="shared" si="1"/>
        <v>0</v>
      </c>
      <c r="F865" s="438">
        <f t="shared" si="2"/>
        <v>0</v>
      </c>
      <c r="G865" t="str">
        <f t="shared" si="3"/>
        <v/>
      </c>
      <c r="H865" t="b">
        <f t="shared" si="4"/>
        <v>0</v>
      </c>
      <c r="I865" s="439">
        <f>IF(OR(ISBLANK(A865),ISNA(MATCH(A865&amp;"",AthleteNumbers,0))),0,MATCH(A865&amp;"",AthleteNumbers,0))</f>
        <v>0</v>
      </c>
      <c r="J865" s="209">
        <f t="array" ref="J865">IF(I865&gt;0,INDEX(DB,$I865,6),0)</f>
        <v>0</v>
      </c>
      <c r="K865" s="446">
        <f t="shared" si="5"/>
        <v>0</v>
      </c>
      <c r="L865" s="440">
        <f t="shared" si="6"/>
        <v>0</v>
      </c>
      <c r="M865" s="441">
        <f>IF(AND(L865&gt;O865,O865&gt;0),MinPoints,IF(AND(L865&lt;N865,O865&gt;0),100,+INT((O865-$L865)/P865)+MinPoints))</f>
        <v>100</v>
      </c>
      <c r="N865" s="440">
        <f t="shared" si="7"/>
        <v>90</v>
      </c>
      <c r="O865" s="440">
        <f t="shared" si="8"/>
        <v>180</v>
      </c>
      <c r="P865" s="440">
        <f t="shared" si="9"/>
        <v>1</v>
      </c>
      <c r="Q865">
        <f t="array" ref="Q865">IF(I865&gt;0,INDEX(DB,I865,9),EventIndex)</f>
        <v>6</v>
      </c>
      <c r="S865">
        <f t="array" ref="S865">(INT(INDEX(MINVALUES,$Q865,$K$1))*60)+(MOD(INDEX(MINVALUES,$Q865,$K$1),1)*100)</f>
        <v>180</v>
      </c>
      <c r="T865">
        <f t="array" ref="T865">(INDEX(INCVALUES,$Q865,$K$1)*100)</f>
        <v>1</v>
      </c>
      <c r="V865">
        <f t="array" ref="V865">+J865+(4*(INDEX(MatchScoreTable,$Q865,20)-1))</f>
        <v>4</v>
      </c>
      <c r="W865">
        <f t="array" ref="W865">INDEX(INC_MINVALUES,$V865,$K$1)</f>
        <v>480</v>
      </c>
      <c r="X865" s="212">
        <f t="array" ref="X865">INDEX(INC_INCVALUES,$V865,$K$1)</f>
        <v>4</v>
      </c>
    </row>
    <row r="866" ht="15.75" customHeight="1">
      <c r="A866" s="435"/>
      <c r="B866" s="436"/>
      <c r="C866" s="95" t="str">
        <f t="array" ref="C866">IF(I866&gt;0,INDEX(DB,I866,8),"")</f>
        <v/>
      </c>
      <c r="D866" s="437">
        <f t="shared" si="1"/>
        <v>0</v>
      </c>
      <c r="F866" s="438">
        <f t="shared" si="2"/>
        <v>0</v>
      </c>
      <c r="G866" t="str">
        <f t="shared" si="3"/>
        <v/>
      </c>
      <c r="H866" t="b">
        <f t="shared" si="4"/>
        <v>0</v>
      </c>
      <c r="I866" s="439">
        <f>IF(OR(ISBLANK(A866),ISNA(MATCH(A866&amp;"",AthleteNumbers,0))),0,MATCH(A866&amp;"",AthleteNumbers,0))</f>
        <v>0</v>
      </c>
      <c r="J866" s="209">
        <f t="array" ref="J866">IF(I866&gt;0,INDEX(DB,$I866,6),0)</f>
        <v>0</v>
      </c>
      <c r="K866" s="446">
        <f t="shared" si="5"/>
        <v>0</v>
      </c>
      <c r="L866" s="440">
        <f t="shared" si="6"/>
        <v>0</v>
      </c>
      <c r="M866" s="441">
        <f>IF(AND(L866&gt;O866,O866&gt;0),MinPoints,IF(AND(L866&lt;N866,O866&gt;0),100,+INT((O866-$L866)/P866)+MinPoints))</f>
        <v>100</v>
      </c>
      <c r="N866" s="440">
        <f t="shared" si="7"/>
        <v>90</v>
      </c>
      <c r="O866" s="440">
        <f t="shared" si="8"/>
        <v>180</v>
      </c>
      <c r="P866" s="440">
        <f t="shared" si="9"/>
        <v>1</v>
      </c>
      <c r="Q866">
        <f t="array" ref="Q866">IF(I866&gt;0,INDEX(DB,I866,9),EventIndex)</f>
        <v>6</v>
      </c>
      <c r="S866">
        <f t="array" ref="S866">(INT(INDEX(MINVALUES,$Q866,$K$1))*60)+(MOD(INDEX(MINVALUES,$Q866,$K$1),1)*100)</f>
        <v>180</v>
      </c>
      <c r="T866">
        <f t="array" ref="T866">(INDEX(INCVALUES,$Q866,$K$1)*100)</f>
        <v>1</v>
      </c>
      <c r="V866">
        <f t="array" ref="V866">+J866+(4*(INDEX(MatchScoreTable,$Q866,20)-1))</f>
        <v>4</v>
      </c>
      <c r="W866">
        <f t="array" ref="W866">INDEX(INC_MINVALUES,$V866,$K$1)</f>
        <v>480</v>
      </c>
      <c r="X866" s="212">
        <f t="array" ref="X866">INDEX(INC_INCVALUES,$V866,$K$1)</f>
        <v>4</v>
      </c>
    </row>
    <row r="867" ht="15.75" customHeight="1">
      <c r="A867" s="435"/>
      <c r="B867" s="436"/>
      <c r="C867" s="95" t="str">
        <f t="array" ref="C867">IF(I867&gt;0,INDEX(DB,I867,8),"")</f>
        <v/>
      </c>
      <c r="D867" s="437">
        <f t="shared" si="1"/>
        <v>0</v>
      </c>
      <c r="F867" s="438">
        <f t="shared" si="2"/>
        <v>0</v>
      </c>
      <c r="G867" t="str">
        <f t="shared" si="3"/>
        <v/>
      </c>
      <c r="H867" t="b">
        <f t="shared" si="4"/>
        <v>0</v>
      </c>
      <c r="I867" s="439">
        <f>IF(OR(ISBLANK(A867),ISNA(MATCH(A867&amp;"",AthleteNumbers,0))),0,MATCH(A867&amp;"",AthleteNumbers,0))</f>
        <v>0</v>
      </c>
      <c r="J867" s="209">
        <f t="array" ref="J867">IF(I867&gt;0,INDEX(DB,$I867,6),0)</f>
        <v>0</v>
      </c>
      <c r="K867" s="446">
        <f t="shared" si="5"/>
        <v>0</v>
      </c>
      <c r="L867" s="440">
        <f t="shared" si="6"/>
        <v>0</v>
      </c>
      <c r="M867" s="441">
        <f>IF(AND(L867&gt;O867,O867&gt;0),MinPoints,IF(AND(L867&lt;N867,O867&gt;0),100,+INT((O867-$L867)/P867)+MinPoints))</f>
        <v>100</v>
      </c>
      <c r="N867" s="440">
        <f t="shared" si="7"/>
        <v>90</v>
      </c>
      <c r="O867" s="440">
        <f t="shared" si="8"/>
        <v>180</v>
      </c>
      <c r="P867" s="440">
        <f t="shared" si="9"/>
        <v>1</v>
      </c>
      <c r="Q867">
        <f t="array" ref="Q867">IF(I867&gt;0,INDEX(DB,I867,9),EventIndex)</f>
        <v>6</v>
      </c>
      <c r="S867">
        <f t="array" ref="S867">(INT(INDEX(MINVALUES,$Q867,$K$1))*60)+(MOD(INDEX(MINVALUES,$Q867,$K$1),1)*100)</f>
        <v>180</v>
      </c>
      <c r="T867">
        <f t="array" ref="T867">(INDEX(INCVALUES,$Q867,$K$1)*100)</f>
        <v>1</v>
      </c>
      <c r="V867">
        <f t="array" ref="V867">+J867+(4*(INDEX(MatchScoreTable,$Q867,20)-1))</f>
        <v>4</v>
      </c>
      <c r="W867">
        <f t="array" ref="W867">INDEX(INC_MINVALUES,$V867,$K$1)</f>
        <v>480</v>
      </c>
      <c r="X867" s="212">
        <f t="array" ref="X867">INDEX(INC_INCVALUES,$V867,$K$1)</f>
        <v>4</v>
      </c>
    </row>
    <row r="868" ht="15.75" customHeight="1">
      <c r="A868" s="435"/>
      <c r="B868" s="436"/>
      <c r="C868" s="95" t="str">
        <f t="array" ref="C868">IF(I868&gt;0,INDEX(DB,I868,8),"")</f>
        <v/>
      </c>
      <c r="D868" s="437">
        <f t="shared" si="1"/>
        <v>0</v>
      </c>
      <c r="F868" s="438">
        <f t="shared" si="2"/>
        <v>0</v>
      </c>
      <c r="G868" t="str">
        <f t="shared" si="3"/>
        <v/>
      </c>
      <c r="H868" t="b">
        <f t="shared" si="4"/>
        <v>0</v>
      </c>
      <c r="I868" s="439">
        <f>IF(OR(ISBLANK(A868),ISNA(MATCH(A868&amp;"",AthleteNumbers,0))),0,MATCH(A868&amp;"",AthleteNumbers,0))</f>
        <v>0</v>
      </c>
      <c r="J868" s="209">
        <f t="array" ref="J868">IF(I868&gt;0,INDEX(DB,$I868,6),0)</f>
        <v>0</v>
      </c>
      <c r="K868" s="446">
        <f t="shared" si="5"/>
        <v>0</v>
      </c>
      <c r="L868" s="440">
        <f t="shared" si="6"/>
        <v>0</v>
      </c>
      <c r="M868" s="441">
        <f>IF(AND(L868&gt;O868,O868&gt;0),MinPoints,IF(AND(L868&lt;N868,O868&gt;0),100,+INT((O868-$L868)/P868)+MinPoints))</f>
        <v>100</v>
      </c>
      <c r="N868" s="440">
        <f t="shared" si="7"/>
        <v>90</v>
      </c>
      <c r="O868" s="440">
        <f t="shared" si="8"/>
        <v>180</v>
      </c>
      <c r="P868" s="440">
        <f t="shared" si="9"/>
        <v>1</v>
      </c>
      <c r="Q868">
        <f t="array" ref="Q868">IF(I868&gt;0,INDEX(DB,I868,9),EventIndex)</f>
        <v>6</v>
      </c>
      <c r="S868">
        <f t="array" ref="S868">(INT(INDEX(MINVALUES,$Q868,$K$1))*60)+(MOD(INDEX(MINVALUES,$Q868,$K$1),1)*100)</f>
        <v>180</v>
      </c>
      <c r="T868">
        <f t="array" ref="T868">(INDEX(INCVALUES,$Q868,$K$1)*100)</f>
        <v>1</v>
      </c>
      <c r="V868">
        <f t="array" ref="V868">+J868+(4*(INDEX(MatchScoreTable,$Q868,20)-1))</f>
        <v>4</v>
      </c>
      <c r="W868">
        <f t="array" ref="W868">INDEX(INC_MINVALUES,$V868,$K$1)</f>
        <v>480</v>
      </c>
      <c r="X868" s="212">
        <f t="array" ref="X868">INDEX(INC_INCVALUES,$V868,$K$1)</f>
        <v>4</v>
      </c>
    </row>
    <row r="869" ht="15.75" customHeight="1">
      <c r="A869" s="435"/>
      <c r="B869" s="436"/>
      <c r="C869" s="95" t="str">
        <f t="array" ref="C869">IF(I869&gt;0,INDEX(DB,I869,8),"")</f>
        <v/>
      </c>
      <c r="D869" s="437">
        <f t="shared" si="1"/>
        <v>0</v>
      </c>
      <c r="F869" s="438">
        <f t="shared" si="2"/>
        <v>0</v>
      </c>
      <c r="G869" t="str">
        <f t="shared" si="3"/>
        <v/>
      </c>
      <c r="H869" t="b">
        <f t="shared" si="4"/>
        <v>0</v>
      </c>
      <c r="I869" s="439">
        <f>IF(OR(ISBLANK(A869),ISNA(MATCH(A869&amp;"",AthleteNumbers,0))),0,MATCH(A869&amp;"",AthleteNumbers,0))</f>
        <v>0</v>
      </c>
      <c r="J869" s="209">
        <f t="array" ref="J869">IF(I869&gt;0,INDEX(DB,$I869,6),0)</f>
        <v>0</v>
      </c>
      <c r="K869" s="446">
        <f t="shared" si="5"/>
        <v>0</v>
      </c>
      <c r="L869" s="440">
        <f t="shared" si="6"/>
        <v>0</v>
      </c>
      <c r="M869" s="441">
        <f>IF(AND(L869&gt;O869,O869&gt;0),MinPoints,IF(AND(L869&lt;N869,O869&gt;0),100,+INT((O869-$L869)/P869)+MinPoints))</f>
        <v>100</v>
      </c>
      <c r="N869" s="440">
        <f t="shared" si="7"/>
        <v>90</v>
      </c>
      <c r="O869" s="440">
        <f t="shared" si="8"/>
        <v>180</v>
      </c>
      <c r="P869" s="440">
        <f t="shared" si="9"/>
        <v>1</v>
      </c>
      <c r="Q869">
        <f t="array" ref="Q869">IF(I869&gt;0,INDEX(DB,I869,9),EventIndex)</f>
        <v>6</v>
      </c>
      <c r="S869">
        <f t="array" ref="S869">(INT(INDEX(MINVALUES,$Q869,$K$1))*60)+(MOD(INDEX(MINVALUES,$Q869,$K$1),1)*100)</f>
        <v>180</v>
      </c>
      <c r="T869">
        <f t="array" ref="T869">(INDEX(INCVALUES,$Q869,$K$1)*100)</f>
        <v>1</v>
      </c>
      <c r="V869">
        <f t="array" ref="V869">+J869+(4*(INDEX(MatchScoreTable,$Q869,20)-1))</f>
        <v>4</v>
      </c>
      <c r="W869">
        <f t="array" ref="W869">INDEX(INC_MINVALUES,$V869,$K$1)</f>
        <v>480</v>
      </c>
      <c r="X869" s="212">
        <f t="array" ref="X869">INDEX(INC_INCVALUES,$V869,$K$1)</f>
        <v>4</v>
      </c>
    </row>
    <row r="870" ht="15.75" customHeight="1">
      <c r="A870" s="435"/>
      <c r="B870" s="436"/>
      <c r="C870" s="95" t="str">
        <f t="array" ref="C870">IF(I870&gt;0,INDEX(DB,I870,8),"")</f>
        <v/>
      </c>
      <c r="D870" s="437">
        <f t="shared" si="1"/>
        <v>0</v>
      </c>
      <c r="F870" s="438">
        <f t="shared" si="2"/>
        <v>0</v>
      </c>
      <c r="G870" t="str">
        <f t="shared" si="3"/>
        <v/>
      </c>
      <c r="H870" t="b">
        <f t="shared" si="4"/>
        <v>0</v>
      </c>
      <c r="I870" s="439">
        <f>IF(OR(ISBLANK(A870),ISNA(MATCH(A870&amp;"",AthleteNumbers,0))),0,MATCH(A870&amp;"",AthleteNumbers,0))</f>
        <v>0</v>
      </c>
      <c r="J870" s="209">
        <f t="array" ref="J870">IF(I870&gt;0,INDEX(DB,$I870,6),0)</f>
        <v>0</v>
      </c>
      <c r="K870" s="446">
        <f t="shared" si="5"/>
        <v>0</v>
      </c>
      <c r="L870" s="440">
        <f t="shared" si="6"/>
        <v>0</v>
      </c>
      <c r="M870" s="441">
        <f>IF(AND(L870&gt;O870,O870&gt;0),MinPoints,IF(AND(L870&lt;N870,O870&gt;0),100,+INT((O870-$L870)/P870)+MinPoints))</f>
        <v>100</v>
      </c>
      <c r="N870" s="440">
        <f t="shared" si="7"/>
        <v>90</v>
      </c>
      <c r="O870" s="440">
        <f t="shared" si="8"/>
        <v>180</v>
      </c>
      <c r="P870" s="440">
        <f t="shared" si="9"/>
        <v>1</v>
      </c>
      <c r="Q870">
        <f t="array" ref="Q870">IF(I870&gt;0,INDEX(DB,I870,9),EventIndex)</f>
        <v>6</v>
      </c>
      <c r="S870">
        <f t="array" ref="S870">(INT(INDEX(MINVALUES,$Q870,$K$1))*60)+(MOD(INDEX(MINVALUES,$Q870,$K$1),1)*100)</f>
        <v>180</v>
      </c>
      <c r="T870">
        <f t="array" ref="T870">(INDEX(INCVALUES,$Q870,$K$1)*100)</f>
        <v>1</v>
      </c>
      <c r="V870">
        <f t="array" ref="V870">+J870+(4*(INDEX(MatchScoreTable,$Q870,20)-1))</f>
        <v>4</v>
      </c>
      <c r="W870">
        <f t="array" ref="W870">INDEX(INC_MINVALUES,$V870,$K$1)</f>
        <v>480</v>
      </c>
      <c r="X870" s="212">
        <f t="array" ref="X870">INDEX(INC_INCVALUES,$V870,$K$1)</f>
        <v>4</v>
      </c>
    </row>
    <row r="871" ht="15.75" customHeight="1">
      <c r="A871" s="435"/>
      <c r="B871" s="436"/>
      <c r="C871" s="95" t="str">
        <f t="array" ref="C871">IF(I871&gt;0,INDEX(DB,I871,8),"")</f>
        <v/>
      </c>
      <c r="D871" s="437">
        <f t="shared" si="1"/>
        <v>0</v>
      </c>
      <c r="F871" s="438">
        <f t="shared" si="2"/>
        <v>0</v>
      </c>
      <c r="G871" t="str">
        <f t="shared" si="3"/>
        <v/>
      </c>
      <c r="H871" t="b">
        <f t="shared" si="4"/>
        <v>0</v>
      </c>
      <c r="I871" s="439">
        <f>IF(OR(ISBLANK(A871),ISNA(MATCH(A871&amp;"",AthleteNumbers,0))),0,MATCH(A871&amp;"",AthleteNumbers,0))</f>
        <v>0</v>
      </c>
      <c r="J871" s="209">
        <f t="array" ref="J871">IF(I871&gt;0,INDEX(DB,$I871,6),0)</f>
        <v>0</v>
      </c>
      <c r="K871" s="446">
        <f t="shared" si="5"/>
        <v>0</v>
      </c>
      <c r="L871" s="440">
        <f t="shared" si="6"/>
        <v>0</v>
      </c>
      <c r="M871" s="441">
        <f>IF(AND(L871&gt;O871,O871&gt;0),MinPoints,IF(AND(L871&lt;N871,O871&gt;0),100,+INT((O871-$L871)/P871)+MinPoints))</f>
        <v>100</v>
      </c>
      <c r="N871" s="440">
        <f t="shared" si="7"/>
        <v>90</v>
      </c>
      <c r="O871" s="440">
        <f t="shared" si="8"/>
        <v>180</v>
      </c>
      <c r="P871" s="440">
        <f t="shared" si="9"/>
        <v>1</v>
      </c>
      <c r="Q871">
        <f t="array" ref="Q871">IF(I871&gt;0,INDEX(DB,I871,9),EventIndex)</f>
        <v>6</v>
      </c>
      <c r="S871">
        <f t="array" ref="S871">(INT(INDEX(MINVALUES,$Q871,$K$1))*60)+(MOD(INDEX(MINVALUES,$Q871,$K$1),1)*100)</f>
        <v>180</v>
      </c>
      <c r="T871">
        <f t="array" ref="T871">(INDEX(INCVALUES,$Q871,$K$1)*100)</f>
        <v>1</v>
      </c>
      <c r="V871">
        <f t="array" ref="V871">+J871+(4*(INDEX(MatchScoreTable,$Q871,20)-1))</f>
        <v>4</v>
      </c>
      <c r="W871">
        <f t="array" ref="W871">INDEX(INC_MINVALUES,$V871,$K$1)</f>
        <v>480</v>
      </c>
      <c r="X871" s="212">
        <f t="array" ref="X871">INDEX(INC_INCVALUES,$V871,$K$1)</f>
        <v>4</v>
      </c>
    </row>
    <row r="872" ht="15.75" customHeight="1">
      <c r="A872" s="435"/>
      <c r="B872" s="436"/>
      <c r="C872" s="95" t="str">
        <f t="array" ref="C872">IF(I872&gt;0,INDEX(DB,I872,8),"")</f>
        <v/>
      </c>
      <c r="D872" s="437">
        <f t="shared" si="1"/>
        <v>0</v>
      </c>
      <c r="F872" s="438">
        <f t="shared" si="2"/>
        <v>0</v>
      </c>
      <c r="G872" t="str">
        <f t="shared" si="3"/>
        <v/>
      </c>
      <c r="H872" t="b">
        <f t="shared" si="4"/>
        <v>0</v>
      </c>
      <c r="I872" s="439">
        <f>IF(OR(ISBLANK(A872),ISNA(MATCH(A872&amp;"",AthleteNumbers,0))),0,MATCH(A872&amp;"",AthleteNumbers,0))</f>
        <v>0</v>
      </c>
      <c r="J872" s="209">
        <f t="array" ref="J872">IF(I872&gt;0,INDEX(DB,$I872,6),0)</f>
        <v>0</v>
      </c>
      <c r="K872" s="446">
        <f t="shared" si="5"/>
        <v>0</v>
      </c>
      <c r="L872" s="440">
        <f t="shared" si="6"/>
        <v>0</v>
      </c>
      <c r="M872" s="441">
        <f>IF(AND(L872&gt;O872,O872&gt;0),MinPoints,IF(AND(L872&lt;N872,O872&gt;0),100,+INT((O872-$L872)/P872)+MinPoints))</f>
        <v>100</v>
      </c>
      <c r="N872" s="440">
        <f t="shared" si="7"/>
        <v>90</v>
      </c>
      <c r="O872" s="440">
        <f t="shared" si="8"/>
        <v>180</v>
      </c>
      <c r="P872" s="440">
        <f t="shared" si="9"/>
        <v>1</v>
      </c>
      <c r="Q872">
        <f t="array" ref="Q872">IF(I872&gt;0,INDEX(DB,I872,9),EventIndex)</f>
        <v>6</v>
      </c>
      <c r="S872">
        <f t="array" ref="S872">(INT(INDEX(MINVALUES,$Q872,$K$1))*60)+(MOD(INDEX(MINVALUES,$Q872,$K$1),1)*100)</f>
        <v>180</v>
      </c>
      <c r="T872">
        <f t="array" ref="T872">(INDEX(INCVALUES,$Q872,$K$1)*100)</f>
        <v>1</v>
      </c>
      <c r="V872">
        <f t="array" ref="V872">+J872+(4*(INDEX(MatchScoreTable,$Q872,20)-1))</f>
        <v>4</v>
      </c>
      <c r="W872">
        <f t="array" ref="W872">INDEX(INC_MINVALUES,$V872,$K$1)</f>
        <v>480</v>
      </c>
      <c r="X872" s="212">
        <f t="array" ref="X872">INDEX(INC_INCVALUES,$V872,$K$1)</f>
        <v>4</v>
      </c>
    </row>
    <row r="873" ht="15.75" customHeight="1">
      <c r="A873" s="435"/>
      <c r="B873" s="436"/>
      <c r="C873" s="95" t="str">
        <f t="array" ref="C873">IF(I873&gt;0,INDEX(DB,I873,8),"")</f>
        <v/>
      </c>
      <c r="D873" s="437">
        <f t="shared" si="1"/>
        <v>0</v>
      </c>
      <c r="F873" s="438">
        <f t="shared" si="2"/>
        <v>0</v>
      </c>
      <c r="G873" t="str">
        <f t="shared" si="3"/>
        <v/>
      </c>
      <c r="H873" t="b">
        <f t="shared" si="4"/>
        <v>0</v>
      </c>
      <c r="I873" s="439">
        <f>IF(OR(ISBLANK(A873),ISNA(MATCH(A873&amp;"",AthleteNumbers,0))),0,MATCH(A873&amp;"",AthleteNumbers,0))</f>
        <v>0</v>
      </c>
      <c r="J873" s="209">
        <f t="array" ref="J873">IF(I873&gt;0,INDEX(DB,$I873,6),0)</f>
        <v>0</v>
      </c>
      <c r="K873" s="446">
        <f t="shared" si="5"/>
        <v>0</v>
      </c>
      <c r="L873" s="440">
        <f t="shared" si="6"/>
        <v>0</v>
      </c>
      <c r="M873" s="441">
        <f>IF(AND(L873&gt;O873,O873&gt;0),MinPoints,IF(AND(L873&lt;N873,O873&gt;0),100,+INT((O873-$L873)/P873)+MinPoints))</f>
        <v>100</v>
      </c>
      <c r="N873" s="440">
        <f t="shared" si="7"/>
        <v>90</v>
      </c>
      <c r="O873" s="440">
        <f t="shared" si="8"/>
        <v>180</v>
      </c>
      <c r="P873" s="440">
        <f t="shared" si="9"/>
        <v>1</v>
      </c>
      <c r="Q873">
        <f t="array" ref="Q873">IF(I873&gt;0,INDEX(DB,I873,9),EventIndex)</f>
        <v>6</v>
      </c>
      <c r="S873">
        <f t="array" ref="S873">(INT(INDEX(MINVALUES,$Q873,$K$1))*60)+(MOD(INDEX(MINVALUES,$Q873,$K$1),1)*100)</f>
        <v>180</v>
      </c>
      <c r="T873">
        <f t="array" ref="T873">(INDEX(INCVALUES,$Q873,$K$1)*100)</f>
        <v>1</v>
      </c>
      <c r="V873">
        <f t="array" ref="V873">+J873+(4*(INDEX(MatchScoreTable,$Q873,20)-1))</f>
        <v>4</v>
      </c>
      <c r="W873">
        <f t="array" ref="W873">INDEX(INC_MINVALUES,$V873,$K$1)</f>
        <v>480</v>
      </c>
      <c r="X873" s="212">
        <f t="array" ref="X873">INDEX(INC_INCVALUES,$V873,$K$1)</f>
        <v>4</v>
      </c>
    </row>
    <row r="874" ht="15.75" customHeight="1">
      <c r="A874" s="435"/>
      <c r="B874" s="436"/>
      <c r="C874" s="95" t="str">
        <f t="array" ref="C874">IF(I874&gt;0,INDEX(DB,I874,8),"")</f>
        <v/>
      </c>
      <c r="D874" s="437">
        <f t="shared" si="1"/>
        <v>0</v>
      </c>
      <c r="F874" s="438">
        <f t="shared" si="2"/>
        <v>0</v>
      </c>
      <c r="G874" t="str">
        <f t="shared" si="3"/>
        <v/>
      </c>
      <c r="H874" t="b">
        <f t="shared" si="4"/>
        <v>0</v>
      </c>
      <c r="I874" s="439">
        <f>IF(OR(ISBLANK(A874),ISNA(MATCH(A874&amp;"",AthleteNumbers,0))),0,MATCH(A874&amp;"",AthleteNumbers,0))</f>
        <v>0</v>
      </c>
      <c r="J874" s="209">
        <f t="array" ref="J874">IF(I874&gt;0,INDEX(DB,$I874,6),0)</f>
        <v>0</v>
      </c>
      <c r="K874" s="446">
        <f t="shared" si="5"/>
        <v>0</v>
      </c>
      <c r="L874" s="440">
        <f t="shared" si="6"/>
        <v>0</v>
      </c>
      <c r="M874" s="441">
        <f>IF(AND(L874&gt;O874,O874&gt;0),MinPoints,IF(AND(L874&lt;N874,O874&gt;0),100,+INT((O874-$L874)/P874)+MinPoints))</f>
        <v>100</v>
      </c>
      <c r="N874" s="440">
        <f t="shared" si="7"/>
        <v>90</v>
      </c>
      <c r="O874" s="440">
        <f t="shared" si="8"/>
        <v>180</v>
      </c>
      <c r="P874" s="440">
        <f t="shared" si="9"/>
        <v>1</v>
      </c>
      <c r="Q874">
        <f t="array" ref="Q874">IF(I874&gt;0,INDEX(DB,I874,9),EventIndex)</f>
        <v>6</v>
      </c>
      <c r="S874">
        <f t="array" ref="S874">(INT(INDEX(MINVALUES,$Q874,$K$1))*60)+(MOD(INDEX(MINVALUES,$Q874,$K$1),1)*100)</f>
        <v>180</v>
      </c>
      <c r="T874">
        <f t="array" ref="T874">(INDEX(INCVALUES,$Q874,$K$1)*100)</f>
        <v>1</v>
      </c>
      <c r="V874">
        <f t="array" ref="V874">+J874+(4*(INDEX(MatchScoreTable,$Q874,20)-1))</f>
        <v>4</v>
      </c>
      <c r="W874">
        <f t="array" ref="W874">INDEX(INC_MINVALUES,$V874,$K$1)</f>
        <v>480</v>
      </c>
      <c r="X874" s="212">
        <f t="array" ref="X874">INDEX(INC_INCVALUES,$V874,$K$1)</f>
        <v>4</v>
      </c>
    </row>
    <row r="875" ht="15.75" customHeight="1">
      <c r="A875" s="435"/>
      <c r="B875" s="436"/>
      <c r="C875" s="95" t="str">
        <f t="array" ref="C875">IF(I875&gt;0,INDEX(DB,I875,8),"")</f>
        <v/>
      </c>
      <c r="D875" s="437">
        <f t="shared" si="1"/>
        <v>0</v>
      </c>
      <c r="F875" s="438">
        <f t="shared" si="2"/>
        <v>0</v>
      </c>
      <c r="G875" t="str">
        <f t="shared" si="3"/>
        <v/>
      </c>
      <c r="H875" t="b">
        <f t="shared" si="4"/>
        <v>0</v>
      </c>
      <c r="I875" s="439">
        <f>IF(OR(ISBLANK(A875),ISNA(MATCH(A875&amp;"",AthleteNumbers,0))),0,MATCH(A875&amp;"",AthleteNumbers,0))</f>
        <v>0</v>
      </c>
      <c r="J875" s="209">
        <f t="array" ref="J875">IF(I875&gt;0,INDEX(DB,$I875,6),0)</f>
        <v>0</v>
      </c>
      <c r="K875" s="446">
        <f t="shared" si="5"/>
        <v>0</v>
      </c>
      <c r="L875" s="440">
        <f t="shared" si="6"/>
        <v>0</v>
      </c>
      <c r="M875" s="441">
        <f>IF(AND(L875&gt;O875,O875&gt;0),MinPoints,IF(AND(L875&lt;N875,O875&gt;0),100,+INT((O875-$L875)/P875)+MinPoints))</f>
        <v>100</v>
      </c>
      <c r="N875" s="440">
        <f t="shared" si="7"/>
        <v>90</v>
      </c>
      <c r="O875" s="440">
        <f t="shared" si="8"/>
        <v>180</v>
      </c>
      <c r="P875" s="440">
        <f t="shared" si="9"/>
        <v>1</v>
      </c>
      <c r="Q875">
        <f t="array" ref="Q875">IF(I875&gt;0,INDEX(DB,I875,9),EventIndex)</f>
        <v>6</v>
      </c>
      <c r="S875">
        <f t="array" ref="S875">(INT(INDEX(MINVALUES,$Q875,$K$1))*60)+(MOD(INDEX(MINVALUES,$Q875,$K$1),1)*100)</f>
        <v>180</v>
      </c>
      <c r="T875">
        <f t="array" ref="T875">(INDEX(INCVALUES,$Q875,$K$1)*100)</f>
        <v>1</v>
      </c>
      <c r="V875">
        <f t="array" ref="V875">+J875+(4*(INDEX(MatchScoreTable,$Q875,20)-1))</f>
        <v>4</v>
      </c>
      <c r="W875">
        <f t="array" ref="W875">INDEX(INC_MINVALUES,$V875,$K$1)</f>
        <v>480</v>
      </c>
      <c r="X875" s="212">
        <f t="array" ref="X875">INDEX(INC_INCVALUES,$V875,$K$1)</f>
        <v>4</v>
      </c>
    </row>
    <row r="876" ht="15.75" customHeight="1">
      <c r="A876" s="435"/>
      <c r="B876" s="436"/>
      <c r="C876" s="95" t="str">
        <f t="array" ref="C876">IF(I876&gt;0,INDEX(DB,I876,8),"")</f>
        <v/>
      </c>
      <c r="D876" s="437">
        <f t="shared" si="1"/>
        <v>0</v>
      </c>
      <c r="F876" s="438">
        <f t="shared" si="2"/>
        <v>0</v>
      </c>
      <c r="G876" t="str">
        <f t="shared" si="3"/>
        <v/>
      </c>
      <c r="H876" t="b">
        <f t="shared" si="4"/>
        <v>0</v>
      </c>
      <c r="I876" s="439">
        <f>IF(OR(ISBLANK(A876),ISNA(MATCH(A876&amp;"",AthleteNumbers,0))),0,MATCH(A876&amp;"",AthleteNumbers,0))</f>
        <v>0</v>
      </c>
      <c r="J876" s="209">
        <f t="array" ref="J876">IF(I876&gt;0,INDEX(DB,$I876,6),0)</f>
        <v>0</v>
      </c>
      <c r="K876" s="446">
        <f t="shared" si="5"/>
        <v>0</v>
      </c>
      <c r="L876" s="440">
        <f t="shared" si="6"/>
        <v>0</v>
      </c>
      <c r="M876" s="441">
        <f>IF(AND(L876&gt;O876,O876&gt;0),MinPoints,IF(AND(L876&lt;N876,O876&gt;0),100,+INT((O876-$L876)/P876)+MinPoints))</f>
        <v>100</v>
      </c>
      <c r="N876" s="440">
        <f t="shared" si="7"/>
        <v>90</v>
      </c>
      <c r="O876" s="440">
        <f t="shared" si="8"/>
        <v>180</v>
      </c>
      <c r="P876" s="440">
        <f t="shared" si="9"/>
        <v>1</v>
      </c>
      <c r="Q876">
        <f t="array" ref="Q876">IF(I876&gt;0,INDEX(DB,I876,9),EventIndex)</f>
        <v>6</v>
      </c>
      <c r="S876">
        <f t="array" ref="S876">(INT(INDEX(MINVALUES,$Q876,$K$1))*60)+(MOD(INDEX(MINVALUES,$Q876,$K$1),1)*100)</f>
        <v>180</v>
      </c>
      <c r="T876">
        <f t="array" ref="T876">(INDEX(INCVALUES,$Q876,$K$1)*100)</f>
        <v>1</v>
      </c>
      <c r="V876">
        <f t="array" ref="V876">+J876+(4*(INDEX(MatchScoreTable,$Q876,20)-1))</f>
        <v>4</v>
      </c>
      <c r="W876">
        <f t="array" ref="W876">INDEX(INC_MINVALUES,$V876,$K$1)</f>
        <v>480</v>
      </c>
      <c r="X876" s="212">
        <f t="array" ref="X876">INDEX(INC_INCVALUES,$V876,$K$1)</f>
        <v>4</v>
      </c>
    </row>
    <row r="877" ht="15.75" customHeight="1">
      <c r="A877" s="435"/>
      <c r="B877" s="436"/>
      <c r="C877" s="95" t="str">
        <f t="array" ref="C877">IF(I877&gt;0,INDEX(DB,I877,8),"")</f>
        <v/>
      </c>
      <c r="D877" s="437">
        <f t="shared" si="1"/>
        <v>0</v>
      </c>
      <c r="F877" s="438">
        <f t="shared" si="2"/>
        <v>0</v>
      </c>
      <c r="G877" t="str">
        <f t="shared" si="3"/>
        <v/>
      </c>
      <c r="H877" t="b">
        <f t="shared" si="4"/>
        <v>0</v>
      </c>
      <c r="I877" s="439">
        <f>IF(OR(ISBLANK(A877),ISNA(MATCH(A877&amp;"",AthleteNumbers,0))),0,MATCH(A877&amp;"",AthleteNumbers,0))</f>
        <v>0</v>
      </c>
      <c r="J877" s="209">
        <f t="array" ref="J877">IF(I877&gt;0,INDEX(DB,$I877,6),0)</f>
        <v>0</v>
      </c>
      <c r="K877" s="446">
        <f t="shared" si="5"/>
        <v>0</v>
      </c>
      <c r="L877" s="440">
        <f t="shared" si="6"/>
        <v>0</v>
      </c>
      <c r="M877" s="441">
        <f>IF(AND(L877&gt;O877,O877&gt;0),MinPoints,IF(AND(L877&lt;N877,O877&gt;0),100,+INT((O877-$L877)/P877)+MinPoints))</f>
        <v>100</v>
      </c>
      <c r="N877" s="440">
        <f t="shared" si="7"/>
        <v>90</v>
      </c>
      <c r="O877" s="440">
        <f t="shared" si="8"/>
        <v>180</v>
      </c>
      <c r="P877" s="440">
        <f t="shared" si="9"/>
        <v>1</v>
      </c>
      <c r="Q877">
        <f t="array" ref="Q877">IF(I877&gt;0,INDEX(DB,I877,9),EventIndex)</f>
        <v>6</v>
      </c>
      <c r="S877">
        <f t="array" ref="S877">(INT(INDEX(MINVALUES,$Q877,$K$1))*60)+(MOD(INDEX(MINVALUES,$Q877,$K$1),1)*100)</f>
        <v>180</v>
      </c>
      <c r="T877">
        <f t="array" ref="T877">(INDEX(INCVALUES,$Q877,$K$1)*100)</f>
        <v>1</v>
      </c>
      <c r="V877">
        <f t="array" ref="V877">+J877+(4*(INDEX(MatchScoreTable,$Q877,20)-1))</f>
        <v>4</v>
      </c>
      <c r="W877">
        <f t="array" ref="W877">INDEX(INC_MINVALUES,$V877,$K$1)</f>
        <v>480</v>
      </c>
      <c r="X877" s="212">
        <f t="array" ref="X877">INDEX(INC_INCVALUES,$V877,$K$1)</f>
        <v>4</v>
      </c>
    </row>
    <row r="878" ht="15.75" customHeight="1">
      <c r="A878" s="435"/>
      <c r="B878" s="436"/>
      <c r="C878" s="95" t="str">
        <f t="array" ref="C878">IF(I878&gt;0,INDEX(DB,I878,8),"")</f>
        <v/>
      </c>
      <c r="D878" s="437">
        <f t="shared" si="1"/>
        <v>0</v>
      </c>
      <c r="F878" s="438">
        <f t="shared" si="2"/>
        <v>0</v>
      </c>
      <c r="G878" t="str">
        <f t="shared" si="3"/>
        <v/>
      </c>
      <c r="H878" t="b">
        <f t="shared" si="4"/>
        <v>0</v>
      </c>
      <c r="I878" s="439">
        <f>IF(OR(ISBLANK(A878),ISNA(MATCH(A878&amp;"",AthleteNumbers,0))),0,MATCH(A878&amp;"",AthleteNumbers,0))</f>
        <v>0</v>
      </c>
      <c r="J878" s="209">
        <f t="array" ref="J878">IF(I878&gt;0,INDEX(DB,$I878,6),0)</f>
        <v>0</v>
      </c>
      <c r="K878" s="446">
        <f t="shared" si="5"/>
        <v>0</v>
      </c>
      <c r="L878" s="440">
        <f t="shared" si="6"/>
        <v>0</v>
      </c>
      <c r="M878" s="441">
        <f>IF(AND(L878&gt;O878,O878&gt;0),MinPoints,IF(AND(L878&lt;N878,O878&gt;0),100,+INT((O878-$L878)/P878)+MinPoints))</f>
        <v>100</v>
      </c>
      <c r="N878" s="440">
        <f t="shared" si="7"/>
        <v>90</v>
      </c>
      <c r="O878" s="440">
        <f t="shared" si="8"/>
        <v>180</v>
      </c>
      <c r="P878" s="440">
        <f t="shared" si="9"/>
        <v>1</v>
      </c>
      <c r="Q878">
        <f t="array" ref="Q878">IF(I878&gt;0,INDEX(DB,I878,9),EventIndex)</f>
        <v>6</v>
      </c>
      <c r="S878">
        <f t="array" ref="S878">(INT(INDEX(MINVALUES,$Q878,$K$1))*60)+(MOD(INDEX(MINVALUES,$Q878,$K$1),1)*100)</f>
        <v>180</v>
      </c>
      <c r="T878">
        <f t="array" ref="T878">(INDEX(INCVALUES,$Q878,$K$1)*100)</f>
        <v>1</v>
      </c>
      <c r="V878">
        <f t="array" ref="V878">+J878+(4*(INDEX(MatchScoreTable,$Q878,20)-1))</f>
        <v>4</v>
      </c>
      <c r="W878">
        <f t="array" ref="W878">INDEX(INC_MINVALUES,$V878,$K$1)</f>
        <v>480</v>
      </c>
      <c r="X878" s="212">
        <f t="array" ref="X878">INDEX(INC_INCVALUES,$V878,$K$1)</f>
        <v>4</v>
      </c>
    </row>
    <row r="879" ht="15.75" customHeight="1">
      <c r="A879" s="435"/>
      <c r="B879" s="436"/>
      <c r="C879" s="95" t="str">
        <f t="array" ref="C879">IF(I879&gt;0,INDEX(DB,I879,8),"")</f>
        <v/>
      </c>
      <c r="D879" s="437">
        <f t="shared" si="1"/>
        <v>0</v>
      </c>
      <c r="F879" s="438">
        <f t="shared" si="2"/>
        <v>0</v>
      </c>
      <c r="G879" t="str">
        <f t="shared" si="3"/>
        <v/>
      </c>
      <c r="H879" t="b">
        <f t="shared" si="4"/>
        <v>0</v>
      </c>
      <c r="I879" s="439">
        <f>IF(OR(ISBLANK(A879),ISNA(MATCH(A879&amp;"",AthleteNumbers,0))),0,MATCH(A879&amp;"",AthleteNumbers,0))</f>
        <v>0</v>
      </c>
      <c r="J879" s="209">
        <f t="array" ref="J879">IF(I879&gt;0,INDEX(DB,$I879,6),0)</f>
        <v>0</v>
      </c>
      <c r="K879" s="446">
        <f t="shared" si="5"/>
        <v>0</v>
      </c>
      <c r="L879" s="440">
        <f t="shared" si="6"/>
        <v>0</v>
      </c>
      <c r="M879" s="441">
        <f>IF(AND(L879&gt;O879,O879&gt;0),MinPoints,IF(AND(L879&lt;N879,O879&gt;0),100,+INT((O879-$L879)/P879)+MinPoints))</f>
        <v>100</v>
      </c>
      <c r="N879" s="440">
        <f t="shared" si="7"/>
        <v>90</v>
      </c>
      <c r="O879" s="440">
        <f t="shared" si="8"/>
        <v>180</v>
      </c>
      <c r="P879" s="440">
        <f t="shared" si="9"/>
        <v>1</v>
      </c>
      <c r="Q879">
        <f t="array" ref="Q879">IF(I879&gt;0,INDEX(DB,I879,9),EventIndex)</f>
        <v>6</v>
      </c>
      <c r="S879">
        <f t="array" ref="S879">(INT(INDEX(MINVALUES,$Q879,$K$1))*60)+(MOD(INDEX(MINVALUES,$Q879,$K$1),1)*100)</f>
        <v>180</v>
      </c>
      <c r="T879">
        <f t="array" ref="T879">(INDEX(INCVALUES,$Q879,$K$1)*100)</f>
        <v>1</v>
      </c>
      <c r="V879">
        <f t="array" ref="V879">+J879+(4*(INDEX(MatchScoreTable,$Q879,20)-1))</f>
        <v>4</v>
      </c>
      <c r="W879">
        <f t="array" ref="W879">INDEX(INC_MINVALUES,$V879,$K$1)</f>
        <v>480</v>
      </c>
      <c r="X879" s="212">
        <f t="array" ref="X879">INDEX(INC_INCVALUES,$V879,$K$1)</f>
        <v>4</v>
      </c>
    </row>
    <row r="880" ht="15.75" customHeight="1">
      <c r="A880" s="435"/>
      <c r="B880" s="436"/>
      <c r="C880" s="95" t="str">
        <f t="array" ref="C880">IF(I880&gt;0,INDEX(DB,I880,8),"")</f>
        <v/>
      </c>
      <c r="D880" s="437">
        <f t="shared" si="1"/>
        <v>0</v>
      </c>
      <c r="F880" s="438">
        <f t="shared" si="2"/>
        <v>0</v>
      </c>
      <c r="G880" t="str">
        <f t="shared" si="3"/>
        <v/>
      </c>
      <c r="H880" t="b">
        <f t="shared" si="4"/>
        <v>0</v>
      </c>
      <c r="I880" s="439">
        <f>IF(OR(ISBLANK(A880),ISNA(MATCH(A880&amp;"",AthleteNumbers,0))),0,MATCH(A880&amp;"",AthleteNumbers,0))</f>
        <v>0</v>
      </c>
      <c r="J880" s="209">
        <f t="array" ref="J880">IF(I880&gt;0,INDEX(DB,$I880,6),0)</f>
        <v>0</v>
      </c>
      <c r="K880" s="446">
        <f t="shared" si="5"/>
        <v>0</v>
      </c>
      <c r="L880" s="440">
        <f t="shared" si="6"/>
        <v>0</v>
      </c>
      <c r="M880" s="441">
        <f>IF(AND(L880&gt;O880,O880&gt;0),MinPoints,IF(AND(L880&lt;N880,O880&gt;0),100,+INT((O880-$L880)/P880)+MinPoints))</f>
        <v>100</v>
      </c>
      <c r="N880" s="440">
        <f t="shared" si="7"/>
        <v>90</v>
      </c>
      <c r="O880" s="440">
        <f t="shared" si="8"/>
        <v>180</v>
      </c>
      <c r="P880" s="440">
        <f t="shared" si="9"/>
        <v>1</v>
      </c>
      <c r="Q880">
        <f t="array" ref="Q880">IF(I880&gt;0,INDEX(DB,I880,9),EventIndex)</f>
        <v>6</v>
      </c>
      <c r="S880">
        <f t="array" ref="S880">(INT(INDEX(MINVALUES,$Q880,$K$1))*60)+(MOD(INDEX(MINVALUES,$Q880,$K$1),1)*100)</f>
        <v>180</v>
      </c>
      <c r="T880">
        <f t="array" ref="T880">(INDEX(INCVALUES,$Q880,$K$1)*100)</f>
        <v>1</v>
      </c>
      <c r="V880">
        <f t="array" ref="V880">+J880+(4*(INDEX(MatchScoreTable,$Q880,20)-1))</f>
        <v>4</v>
      </c>
      <c r="W880">
        <f t="array" ref="W880">INDEX(INC_MINVALUES,$V880,$K$1)</f>
        <v>480</v>
      </c>
      <c r="X880" s="212">
        <f t="array" ref="X880">INDEX(INC_INCVALUES,$V880,$K$1)</f>
        <v>4</v>
      </c>
    </row>
    <row r="881" ht="15.75" customHeight="1">
      <c r="A881" s="435"/>
      <c r="B881" s="436"/>
      <c r="C881" s="95" t="str">
        <f t="array" ref="C881">IF(I881&gt;0,INDEX(DB,I881,8),"")</f>
        <v/>
      </c>
      <c r="D881" s="437">
        <f t="shared" si="1"/>
        <v>0</v>
      </c>
      <c r="F881" s="438">
        <f t="shared" si="2"/>
        <v>0</v>
      </c>
      <c r="G881" t="str">
        <f t="shared" si="3"/>
        <v/>
      </c>
      <c r="H881" t="b">
        <f t="shared" si="4"/>
        <v>0</v>
      </c>
      <c r="I881" s="439">
        <f>IF(OR(ISBLANK(A881),ISNA(MATCH(A881&amp;"",AthleteNumbers,0))),0,MATCH(A881&amp;"",AthleteNumbers,0))</f>
        <v>0</v>
      </c>
      <c r="J881" s="209">
        <f t="array" ref="J881">IF(I881&gt;0,INDEX(DB,$I881,6),0)</f>
        <v>0</v>
      </c>
      <c r="K881" s="446">
        <f t="shared" si="5"/>
        <v>0</v>
      </c>
      <c r="L881" s="440">
        <f t="shared" si="6"/>
        <v>0</v>
      </c>
      <c r="M881" s="441">
        <f>IF(AND(L881&gt;O881,O881&gt;0),MinPoints,IF(AND(L881&lt;N881,O881&gt;0),100,+INT((O881-$L881)/P881)+MinPoints))</f>
        <v>100</v>
      </c>
      <c r="N881" s="440">
        <f t="shared" si="7"/>
        <v>90</v>
      </c>
      <c r="O881" s="440">
        <f t="shared" si="8"/>
        <v>180</v>
      </c>
      <c r="P881" s="440">
        <f t="shared" si="9"/>
        <v>1</v>
      </c>
      <c r="Q881">
        <f t="array" ref="Q881">IF(I881&gt;0,INDEX(DB,I881,9),EventIndex)</f>
        <v>6</v>
      </c>
      <c r="S881">
        <f t="array" ref="S881">(INT(INDEX(MINVALUES,$Q881,$K$1))*60)+(MOD(INDEX(MINVALUES,$Q881,$K$1),1)*100)</f>
        <v>180</v>
      </c>
      <c r="T881">
        <f t="array" ref="T881">(INDEX(INCVALUES,$Q881,$K$1)*100)</f>
        <v>1</v>
      </c>
      <c r="V881">
        <f t="array" ref="V881">+J881+(4*(INDEX(MatchScoreTable,$Q881,20)-1))</f>
        <v>4</v>
      </c>
      <c r="W881">
        <f t="array" ref="W881">INDEX(INC_MINVALUES,$V881,$K$1)</f>
        <v>480</v>
      </c>
      <c r="X881" s="212">
        <f t="array" ref="X881">INDEX(INC_INCVALUES,$V881,$K$1)</f>
        <v>4</v>
      </c>
    </row>
    <row r="882" ht="15.75" customHeight="1">
      <c r="A882" s="435"/>
      <c r="B882" s="436"/>
      <c r="C882" s="95" t="str">
        <f t="array" ref="C882">IF(I882&gt;0,INDEX(DB,I882,8),"")</f>
        <v/>
      </c>
      <c r="D882" s="437">
        <f t="shared" si="1"/>
        <v>0</v>
      </c>
      <c r="F882" s="438">
        <f t="shared" si="2"/>
        <v>0</v>
      </c>
      <c r="G882" t="str">
        <f t="shared" si="3"/>
        <v/>
      </c>
      <c r="H882" t="b">
        <f t="shared" si="4"/>
        <v>0</v>
      </c>
      <c r="I882" s="439">
        <f>IF(OR(ISBLANK(A882),ISNA(MATCH(A882&amp;"",AthleteNumbers,0))),0,MATCH(A882&amp;"",AthleteNumbers,0))</f>
        <v>0</v>
      </c>
      <c r="J882" s="209">
        <f t="array" ref="J882">IF(I882&gt;0,INDEX(DB,$I882,6),0)</f>
        <v>0</v>
      </c>
      <c r="K882" s="446">
        <f t="shared" si="5"/>
        <v>0</v>
      </c>
      <c r="L882" s="440">
        <f t="shared" si="6"/>
        <v>0</v>
      </c>
      <c r="M882" s="441">
        <f>IF(AND(L882&gt;O882,O882&gt;0),MinPoints,IF(AND(L882&lt;N882,O882&gt;0),100,+INT((O882-$L882)/P882)+MinPoints))</f>
        <v>100</v>
      </c>
      <c r="N882" s="440">
        <f t="shared" si="7"/>
        <v>90</v>
      </c>
      <c r="O882" s="440">
        <f t="shared" si="8"/>
        <v>180</v>
      </c>
      <c r="P882" s="440">
        <f t="shared" si="9"/>
        <v>1</v>
      </c>
      <c r="Q882">
        <f t="array" ref="Q882">IF(I882&gt;0,INDEX(DB,I882,9),EventIndex)</f>
        <v>6</v>
      </c>
      <c r="S882">
        <f t="array" ref="S882">(INT(INDEX(MINVALUES,$Q882,$K$1))*60)+(MOD(INDEX(MINVALUES,$Q882,$K$1),1)*100)</f>
        <v>180</v>
      </c>
      <c r="T882">
        <f t="array" ref="T882">(INDEX(INCVALUES,$Q882,$K$1)*100)</f>
        <v>1</v>
      </c>
      <c r="V882">
        <f t="array" ref="V882">+J882+(4*(INDEX(MatchScoreTable,$Q882,20)-1))</f>
        <v>4</v>
      </c>
      <c r="W882">
        <f t="array" ref="W882">INDEX(INC_MINVALUES,$V882,$K$1)</f>
        <v>480</v>
      </c>
      <c r="X882" s="212">
        <f t="array" ref="X882">INDEX(INC_INCVALUES,$V882,$K$1)</f>
        <v>4</v>
      </c>
    </row>
    <row r="883" ht="15.75" customHeight="1">
      <c r="A883" s="435"/>
      <c r="B883" s="436"/>
      <c r="C883" s="95" t="str">
        <f t="array" ref="C883">IF(I883&gt;0,INDEX(DB,I883,8),"")</f>
        <v/>
      </c>
      <c r="D883" s="437">
        <f t="shared" si="1"/>
        <v>0</v>
      </c>
      <c r="F883" s="438">
        <f t="shared" si="2"/>
        <v>0</v>
      </c>
      <c r="G883" t="str">
        <f t="shared" si="3"/>
        <v/>
      </c>
      <c r="H883" t="b">
        <f t="shared" si="4"/>
        <v>0</v>
      </c>
      <c r="I883" s="439">
        <f>IF(OR(ISBLANK(A883),ISNA(MATCH(A883&amp;"",AthleteNumbers,0))),0,MATCH(A883&amp;"",AthleteNumbers,0))</f>
        <v>0</v>
      </c>
      <c r="J883" s="209">
        <f t="array" ref="J883">IF(I883&gt;0,INDEX(DB,$I883,6),0)</f>
        <v>0</v>
      </c>
      <c r="K883" s="446">
        <f t="shared" si="5"/>
        <v>0</v>
      </c>
      <c r="L883" s="440">
        <f t="shared" si="6"/>
        <v>0</v>
      </c>
      <c r="M883" s="441">
        <f>IF(AND(L883&gt;O883,O883&gt;0),MinPoints,IF(AND(L883&lt;N883,O883&gt;0),100,+INT((O883-$L883)/P883)+MinPoints))</f>
        <v>100</v>
      </c>
      <c r="N883" s="440">
        <f t="shared" si="7"/>
        <v>90</v>
      </c>
      <c r="O883" s="440">
        <f t="shared" si="8"/>
        <v>180</v>
      </c>
      <c r="P883" s="440">
        <f t="shared" si="9"/>
        <v>1</v>
      </c>
      <c r="Q883">
        <f t="array" ref="Q883">IF(I883&gt;0,INDEX(DB,I883,9),EventIndex)</f>
        <v>6</v>
      </c>
      <c r="S883">
        <f t="array" ref="S883">(INT(INDEX(MINVALUES,$Q883,$K$1))*60)+(MOD(INDEX(MINVALUES,$Q883,$K$1),1)*100)</f>
        <v>180</v>
      </c>
      <c r="T883">
        <f t="array" ref="T883">(INDEX(INCVALUES,$Q883,$K$1)*100)</f>
        <v>1</v>
      </c>
      <c r="V883">
        <f t="array" ref="V883">+J883+(4*(INDEX(MatchScoreTable,$Q883,20)-1))</f>
        <v>4</v>
      </c>
      <c r="W883">
        <f t="array" ref="W883">INDEX(INC_MINVALUES,$V883,$K$1)</f>
        <v>480</v>
      </c>
      <c r="X883" s="212">
        <f t="array" ref="X883">INDEX(INC_INCVALUES,$V883,$K$1)</f>
        <v>4</v>
      </c>
    </row>
    <row r="884" ht="15.75" customHeight="1">
      <c r="A884" s="435"/>
      <c r="B884" s="436"/>
      <c r="C884" s="95" t="str">
        <f t="array" ref="C884">IF(I884&gt;0,INDEX(DB,I884,8),"")</f>
        <v/>
      </c>
      <c r="D884" s="437">
        <f t="shared" si="1"/>
        <v>0</v>
      </c>
      <c r="F884" s="438">
        <f t="shared" si="2"/>
        <v>0</v>
      </c>
      <c r="G884" t="str">
        <f t="shared" si="3"/>
        <v/>
      </c>
      <c r="H884" t="b">
        <f t="shared" si="4"/>
        <v>0</v>
      </c>
      <c r="I884" s="439">
        <f>IF(OR(ISBLANK(A884),ISNA(MATCH(A884&amp;"",AthleteNumbers,0))),0,MATCH(A884&amp;"",AthleteNumbers,0))</f>
        <v>0</v>
      </c>
      <c r="J884" s="209">
        <f t="array" ref="J884">IF(I884&gt;0,INDEX(DB,$I884,6),0)</f>
        <v>0</v>
      </c>
      <c r="K884" s="446">
        <f t="shared" si="5"/>
        <v>0</v>
      </c>
      <c r="L884" s="440">
        <f t="shared" si="6"/>
        <v>0</v>
      </c>
      <c r="M884" s="441">
        <f>IF(AND(L884&gt;O884,O884&gt;0),MinPoints,IF(AND(L884&lt;N884,O884&gt;0),100,+INT((O884-$L884)/P884)+MinPoints))</f>
        <v>100</v>
      </c>
      <c r="N884" s="440">
        <f t="shared" si="7"/>
        <v>90</v>
      </c>
      <c r="O884" s="440">
        <f t="shared" si="8"/>
        <v>180</v>
      </c>
      <c r="P884" s="440">
        <f t="shared" si="9"/>
        <v>1</v>
      </c>
      <c r="Q884">
        <f t="array" ref="Q884">IF(I884&gt;0,INDEX(DB,I884,9),EventIndex)</f>
        <v>6</v>
      </c>
      <c r="S884">
        <f t="array" ref="S884">(INT(INDEX(MINVALUES,$Q884,$K$1))*60)+(MOD(INDEX(MINVALUES,$Q884,$K$1),1)*100)</f>
        <v>180</v>
      </c>
      <c r="T884">
        <f t="array" ref="T884">(INDEX(INCVALUES,$Q884,$K$1)*100)</f>
        <v>1</v>
      </c>
      <c r="V884">
        <f t="array" ref="V884">+J884+(4*(INDEX(MatchScoreTable,$Q884,20)-1))</f>
        <v>4</v>
      </c>
      <c r="W884">
        <f t="array" ref="W884">INDEX(INC_MINVALUES,$V884,$K$1)</f>
        <v>480</v>
      </c>
      <c r="X884" s="212">
        <f t="array" ref="X884">INDEX(INC_INCVALUES,$V884,$K$1)</f>
        <v>4</v>
      </c>
    </row>
    <row r="885" ht="15.75" customHeight="1">
      <c r="A885" s="435"/>
      <c r="B885" s="436"/>
      <c r="C885" s="95" t="str">
        <f t="array" ref="C885">IF(I885&gt;0,INDEX(DB,I885,8),"")</f>
        <v/>
      </c>
      <c r="D885" s="437">
        <f t="shared" si="1"/>
        <v>0</v>
      </c>
      <c r="F885" s="438">
        <f t="shared" si="2"/>
        <v>0</v>
      </c>
      <c r="G885" t="str">
        <f t="shared" si="3"/>
        <v/>
      </c>
      <c r="H885" t="b">
        <f t="shared" si="4"/>
        <v>0</v>
      </c>
      <c r="I885" s="439">
        <f>IF(OR(ISBLANK(A885),ISNA(MATCH(A885&amp;"",AthleteNumbers,0))),0,MATCH(A885&amp;"",AthleteNumbers,0))</f>
        <v>0</v>
      </c>
      <c r="J885" s="209">
        <f t="array" ref="J885">IF(I885&gt;0,INDEX(DB,$I885,6),0)</f>
        <v>0</v>
      </c>
      <c r="K885" s="446">
        <f t="shared" si="5"/>
        <v>0</v>
      </c>
      <c r="L885" s="440">
        <f t="shared" si="6"/>
        <v>0</v>
      </c>
      <c r="M885" s="441">
        <f>IF(AND(L885&gt;O885,O885&gt;0),MinPoints,IF(AND(L885&lt;N885,O885&gt;0),100,+INT((O885-$L885)/P885)+MinPoints))</f>
        <v>100</v>
      </c>
      <c r="N885" s="440">
        <f t="shared" si="7"/>
        <v>90</v>
      </c>
      <c r="O885" s="440">
        <f t="shared" si="8"/>
        <v>180</v>
      </c>
      <c r="P885" s="440">
        <f t="shared" si="9"/>
        <v>1</v>
      </c>
      <c r="Q885">
        <f t="array" ref="Q885">IF(I885&gt;0,INDEX(DB,I885,9),EventIndex)</f>
        <v>6</v>
      </c>
      <c r="S885">
        <f t="array" ref="S885">(INT(INDEX(MINVALUES,$Q885,$K$1))*60)+(MOD(INDEX(MINVALUES,$Q885,$K$1),1)*100)</f>
        <v>180</v>
      </c>
      <c r="T885">
        <f t="array" ref="T885">(INDEX(INCVALUES,$Q885,$K$1)*100)</f>
        <v>1</v>
      </c>
      <c r="V885">
        <f t="array" ref="V885">+J885+(4*(INDEX(MatchScoreTable,$Q885,20)-1))</f>
        <v>4</v>
      </c>
      <c r="W885">
        <f t="array" ref="W885">INDEX(INC_MINVALUES,$V885,$K$1)</f>
        <v>480</v>
      </c>
      <c r="X885" s="212">
        <f t="array" ref="X885">INDEX(INC_INCVALUES,$V885,$K$1)</f>
        <v>4</v>
      </c>
    </row>
    <row r="886" ht="15.75" customHeight="1">
      <c r="A886" s="435"/>
      <c r="B886" s="436"/>
      <c r="C886" s="95" t="str">
        <f t="array" ref="C886">IF(I886&gt;0,INDEX(DB,I886,8),"")</f>
        <v/>
      </c>
      <c r="D886" s="437">
        <f t="shared" si="1"/>
        <v>0</v>
      </c>
      <c r="F886" s="438">
        <f t="shared" si="2"/>
        <v>0</v>
      </c>
      <c r="G886" t="str">
        <f t="shared" si="3"/>
        <v/>
      </c>
      <c r="H886" t="b">
        <f t="shared" si="4"/>
        <v>0</v>
      </c>
      <c r="I886" s="439">
        <f>IF(OR(ISBLANK(A886),ISNA(MATCH(A886&amp;"",AthleteNumbers,0))),0,MATCH(A886&amp;"",AthleteNumbers,0))</f>
        <v>0</v>
      </c>
      <c r="J886" s="209">
        <f t="array" ref="J886">IF(I886&gt;0,INDEX(DB,$I886,6),0)</f>
        <v>0</v>
      </c>
      <c r="K886" s="446">
        <f t="shared" si="5"/>
        <v>0</v>
      </c>
      <c r="L886" s="440">
        <f t="shared" si="6"/>
        <v>0</v>
      </c>
      <c r="M886" s="441">
        <f>IF(AND(L886&gt;O886,O886&gt;0),MinPoints,IF(AND(L886&lt;N886,O886&gt;0),100,+INT((O886-$L886)/P886)+MinPoints))</f>
        <v>100</v>
      </c>
      <c r="N886" s="440">
        <f t="shared" si="7"/>
        <v>90</v>
      </c>
      <c r="O886" s="440">
        <f t="shared" si="8"/>
        <v>180</v>
      </c>
      <c r="P886" s="440">
        <f t="shared" si="9"/>
        <v>1</v>
      </c>
      <c r="Q886">
        <f t="array" ref="Q886">IF(I886&gt;0,INDEX(DB,I886,9),EventIndex)</f>
        <v>6</v>
      </c>
      <c r="S886">
        <f t="array" ref="S886">(INT(INDEX(MINVALUES,$Q886,$K$1))*60)+(MOD(INDEX(MINVALUES,$Q886,$K$1),1)*100)</f>
        <v>180</v>
      </c>
      <c r="T886">
        <f t="array" ref="T886">(INDEX(INCVALUES,$Q886,$K$1)*100)</f>
        <v>1</v>
      </c>
      <c r="V886">
        <f t="array" ref="V886">+J886+(4*(INDEX(MatchScoreTable,$Q886,20)-1))</f>
        <v>4</v>
      </c>
      <c r="W886">
        <f t="array" ref="W886">INDEX(INC_MINVALUES,$V886,$K$1)</f>
        <v>480</v>
      </c>
      <c r="X886" s="212">
        <f t="array" ref="X886">INDEX(INC_INCVALUES,$V886,$K$1)</f>
        <v>4</v>
      </c>
    </row>
    <row r="887" ht="15.75" customHeight="1">
      <c r="A887" s="435"/>
      <c r="B887" s="436"/>
      <c r="C887" s="95" t="str">
        <f t="array" ref="C887">IF(I887&gt;0,INDEX(DB,I887,8),"")</f>
        <v/>
      </c>
      <c r="D887" s="437">
        <f t="shared" si="1"/>
        <v>0</v>
      </c>
      <c r="F887" s="438">
        <f t="shared" si="2"/>
        <v>0</v>
      </c>
      <c r="G887" t="str">
        <f t="shared" si="3"/>
        <v/>
      </c>
      <c r="H887" t="b">
        <f t="shared" si="4"/>
        <v>0</v>
      </c>
      <c r="I887" s="439">
        <f>IF(OR(ISBLANK(A887),ISNA(MATCH(A887&amp;"",AthleteNumbers,0))),0,MATCH(A887&amp;"",AthleteNumbers,0))</f>
        <v>0</v>
      </c>
      <c r="J887" s="209">
        <f t="array" ref="J887">IF(I887&gt;0,INDEX(DB,$I887,6),0)</f>
        <v>0</v>
      </c>
      <c r="K887" s="446">
        <f t="shared" si="5"/>
        <v>0</v>
      </c>
      <c r="L887" s="440">
        <f t="shared" si="6"/>
        <v>0</v>
      </c>
      <c r="M887" s="441">
        <f>IF(AND(L887&gt;O887,O887&gt;0),MinPoints,IF(AND(L887&lt;N887,O887&gt;0),100,+INT((O887-$L887)/P887)+MinPoints))</f>
        <v>100</v>
      </c>
      <c r="N887" s="440">
        <f t="shared" si="7"/>
        <v>90</v>
      </c>
      <c r="O887" s="440">
        <f t="shared" si="8"/>
        <v>180</v>
      </c>
      <c r="P887" s="440">
        <f t="shared" si="9"/>
        <v>1</v>
      </c>
      <c r="Q887">
        <f t="array" ref="Q887">IF(I887&gt;0,INDEX(DB,I887,9),EventIndex)</f>
        <v>6</v>
      </c>
      <c r="S887">
        <f t="array" ref="S887">(INT(INDEX(MINVALUES,$Q887,$K$1))*60)+(MOD(INDEX(MINVALUES,$Q887,$K$1),1)*100)</f>
        <v>180</v>
      </c>
      <c r="T887">
        <f t="array" ref="T887">(INDEX(INCVALUES,$Q887,$K$1)*100)</f>
        <v>1</v>
      </c>
      <c r="V887">
        <f t="array" ref="V887">+J887+(4*(INDEX(MatchScoreTable,$Q887,20)-1))</f>
        <v>4</v>
      </c>
      <c r="W887">
        <f t="array" ref="W887">INDEX(INC_MINVALUES,$V887,$K$1)</f>
        <v>480</v>
      </c>
      <c r="X887" s="212">
        <f t="array" ref="X887">INDEX(INC_INCVALUES,$V887,$K$1)</f>
        <v>4</v>
      </c>
    </row>
    <row r="888" ht="15.75" customHeight="1">
      <c r="A888" s="435"/>
      <c r="B888" s="436"/>
      <c r="C888" s="95" t="str">
        <f t="array" ref="C888">IF(I888&gt;0,INDEX(DB,I888,8),"")</f>
        <v/>
      </c>
      <c r="D888" s="437">
        <f t="shared" si="1"/>
        <v>0</v>
      </c>
      <c r="F888" s="438">
        <f t="shared" si="2"/>
        <v>0</v>
      </c>
      <c r="G888" t="str">
        <f t="shared" si="3"/>
        <v/>
      </c>
      <c r="H888" t="b">
        <f t="shared" si="4"/>
        <v>0</v>
      </c>
      <c r="I888" s="439">
        <f>IF(OR(ISBLANK(A888),ISNA(MATCH(A888&amp;"",AthleteNumbers,0))),0,MATCH(A888&amp;"",AthleteNumbers,0))</f>
        <v>0</v>
      </c>
      <c r="J888" s="209">
        <f t="array" ref="J888">IF(I888&gt;0,INDEX(DB,$I888,6),0)</f>
        <v>0</v>
      </c>
      <c r="K888" s="446">
        <f t="shared" si="5"/>
        <v>0</v>
      </c>
      <c r="L888" s="440">
        <f t="shared" si="6"/>
        <v>0</v>
      </c>
      <c r="M888" s="441">
        <f>IF(AND(L888&gt;O888,O888&gt;0),MinPoints,IF(AND(L888&lt;N888,O888&gt;0),100,+INT((O888-$L888)/P888)+MinPoints))</f>
        <v>100</v>
      </c>
      <c r="N888" s="440">
        <f t="shared" si="7"/>
        <v>90</v>
      </c>
      <c r="O888" s="440">
        <f t="shared" si="8"/>
        <v>180</v>
      </c>
      <c r="P888" s="440">
        <f t="shared" si="9"/>
        <v>1</v>
      </c>
      <c r="Q888">
        <f t="array" ref="Q888">IF(I888&gt;0,INDEX(DB,I888,9),EventIndex)</f>
        <v>6</v>
      </c>
      <c r="S888">
        <f t="array" ref="S888">(INT(INDEX(MINVALUES,$Q888,$K$1))*60)+(MOD(INDEX(MINVALUES,$Q888,$K$1),1)*100)</f>
        <v>180</v>
      </c>
      <c r="T888">
        <f t="array" ref="T888">(INDEX(INCVALUES,$Q888,$K$1)*100)</f>
        <v>1</v>
      </c>
      <c r="V888">
        <f t="array" ref="V888">+J888+(4*(INDEX(MatchScoreTable,$Q888,20)-1))</f>
        <v>4</v>
      </c>
      <c r="W888">
        <f t="array" ref="W888">INDEX(INC_MINVALUES,$V888,$K$1)</f>
        <v>480</v>
      </c>
      <c r="X888" s="212">
        <f t="array" ref="X888">INDEX(INC_INCVALUES,$V888,$K$1)</f>
        <v>4</v>
      </c>
    </row>
    <row r="889" ht="15.75" customHeight="1">
      <c r="A889" s="435"/>
      <c r="B889" s="436"/>
      <c r="C889" s="95" t="str">
        <f t="array" ref="C889">IF(I889&gt;0,INDEX(DB,I889,8),"")</f>
        <v/>
      </c>
      <c r="D889" s="437">
        <f t="shared" si="1"/>
        <v>0</v>
      </c>
      <c r="F889" s="438">
        <f t="shared" si="2"/>
        <v>0</v>
      </c>
      <c r="G889" t="str">
        <f t="shared" si="3"/>
        <v/>
      </c>
      <c r="H889" t="b">
        <f t="shared" si="4"/>
        <v>0</v>
      </c>
      <c r="I889" s="439">
        <f>IF(OR(ISBLANK(A889),ISNA(MATCH(A889&amp;"",AthleteNumbers,0))),0,MATCH(A889&amp;"",AthleteNumbers,0))</f>
        <v>0</v>
      </c>
      <c r="J889" s="209">
        <f t="array" ref="J889">IF(I889&gt;0,INDEX(DB,$I889,6),0)</f>
        <v>0</v>
      </c>
      <c r="K889" s="446">
        <f t="shared" si="5"/>
        <v>0</v>
      </c>
      <c r="L889" s="440">
        <f t="shared" si="6"/>
        <v>0</v>
      </c>
      <c r="M889" s="441">
        <f>IF(AND(L889&gt;O889,O889&gt;0),MinPoints,IF(AND(L889&lt;N889,O889&gt;0),100,+INT((O889-$L889)/P889)+MinPoints))</f>
        <v>100</v>
      </c>
      <c r="N889" s="440">
        <f t="shared" si="7"/>
        <v>90</v>
      </c>
      <c r="O889" s="440">
        <f t="shared" si="8"/>
        <v>180</v>
      </c>
      <c r="P889" s="440">
        <f t="shared" si="9"/>
        <v>1</v>
      </c>
      <c r="Q889">
        <f t="array" ref="Q889">IF(I889&gt;0,INDEX(DB,I889,9),EventIndex)</f>
        <v>6</v>
      </c>
      <c r="S889">
        <f t="array" ref="S889">(INT(INDEX(MINVALUES,$Q889,$K$1))*60)+(MOD(INDEX(MINVALUES,$Q889,$K$1),1)*100)</f>
        <v>180</v>
      </c>
      <c r="T889">
        <f t="array" ref="T889">(INDEX(INCVALUES,$Q889,$K$1)*100)</f>
        <v>1</v>
      </c>
      <c r="V889">
        <f t="array" ref="V889">+J889+(4*(INDEX(MatchScoreTable,$Q889,20)-1))</f>
        <v>4</v>
      </c>
      <c r="W889">
        <f t="array" ref="W889">INDEX(INC_MINVALUES,$V889,$K$1)</f>
        <v>480</v>
      </c>
      <c r="X889" s="212">
        <f t="array" ref="X889">INDEX(INC_INCVALUES,$V889,$K$1)</f>
        <v>4</v>
      </c>
    </row>
    <row r="890" ht="15.75" customHeight="1">
      <c r="A890" s="435"/>
      <c r="B890" s="436"/>
      <c r="C890" s="95" t="str">
        <f t="array" ref="C890">IF(I890&gt;0,INDEX(DB,I890,8),"")</f>
        <v/>
      </c>
      <c r="D890" s="437">
        <f t="shared" si="1"/>
        <v>0</v>
      </c>
      <c r="F890" s="438">
        <f t="shared" si="2"/>
        <v>0</v>
      </c>
      <c r="G890" t="str">
        <f t="shared" si="3"/>
        <v/>
      </c>
      <c r="H890" t="b">
        <f t="shared" si="4"/>
        <v>0</v>
      </c>
      <c r="I890" s="439">
        <f>IF(OR(ISBLANK(A890),ISNA(MATCH(A890&amp;"",AthleteNumbers,0))),0,MATCH(A890&amp;"",AthleteNumbers,0))</f>
        <v>0</v>
      </c>
      <c r="J890" s="209">
        <f t="array" ref="J890">IF(I890&gt;0,INDEX(DB,$I890,6),0)</f>
        <v>0</v>
      </c>
      <c r="K890" s="446">
        <f t="shared" si="5"/>
        <v>0</v>
      </c>
      <c r="L890" s="440">
        <f t="shared" si="6"/>
        <v>0</v>
      </c>
      <c r="M890" s="441">
        <f>IF(AND(L890&gt;O890,O890&gt;0),MinPoints,IF(AND(L890&lt;N890,O890&gt;0),100,+INT((O890-$L890)/P890)+MinPoints))</f>
        <v>100</v>
      </c>
      <c r="N890" s="440">
        <f t="shared" si="7"/>
        <v>90</v>
      </c>
      <c r="O890" s="440">
        <f t="shared" si="8"/>
        <v>180</v>
      </c>
      <c r="P890" s="440">
        <f t="shared" si="9"/>
        <v>1</v>
      </c>
      <c r="Q890">
        <f t="array" ref="Q890">IF(I890&gt;0,INDEX(DB,I890,9),EventIndex)</f>
        <v>6</v>
      </c>
      <c r="S890">
        <f t="array" ref="S890">(INT(INDEX(MINVALUES,$Q890,$K$1))*60)+(MOD(INDEX(MINVALUES,$Q890,$K$1),1)*100)</f>
        <v>180</v>
      </c>
      <c r="T890">
        <f t="array" ref="T890">(INDEX(INCVALUES,$Q890,$K$1)*100)</f>
        <v>1</v>
      </c>
      <c r="V890">
        <f t="array" ref="V890">+J890+(4*(INDEX(MatchScoreTable,$Q890,20)-1))</f>
        <v>4</v>
      </c>
      <c r="W890">
        <f t="array" ref="W890">INDEX(INC_MINVALUES,$V890,$K$1)</f>
        <v>480</v>
      </c>
      <c r="X890" s="212">
        <f t="array" ref="X890">INDEX(INC_INCVALUES,$V890,$K$1)</f>
        <v>4</v>
      </c>
    </row>
    <row r="891" ht="15.75" customHeight="1">
      <c r="A891" s="435"/>
      <c r="B891" s="436"/>
      <c r="C891" s="95" t="str">
        <f t="array" ref="C891">IF(I891&gt;0,INDEX(DB,I891,8),"")</f>
        <v/>
      </c>
      <c r="D891" s="437">
        <f t="shared" si="1"/>
        <v>0</v>
      </c>
      <c r="F891" s="438">
        <f t="shared" si="2"/>
        <v>0</v>
      </c>
      <c r="G891" t="str">
        <f t="shared" si="3"/>
        <v/>
      </c>
      <c r="H891" t="b">
        <f t="shared" si="4"/>
        <v>0</v>
      </c>
      <c r="I891" s="439">
        <f>IF(OR(ISBLANK(A891),ISNA(MATCH(A891&amp;"",AthleteNumbers,0))),0,MATCH(A891&amp;"",AthleteNumbers,0))</f>
        <v>0</v>
      </c>
      <c r="J891" s="209">
        <f t="array" ref="J891">IF(I891&gt;0,INDEX(DB,$I891,6),0)</f>
        <v>0</v>
      </c>
      <c r="K891" s="446">
        <f t="shared" si="5"/>
        <v>0</v>
      </c>
      <c r="L891" s="440">
        <f t="shared" si="6"/>
        <v>0</v>
      </c>
      <c r="M891" s="441">
        <f>IF(AND(L891&gt;O891,O891&gt;0),MinPoints,IF(AND(L891&lt;N891,O891&gt;0),100,+INT((O891-$L891)/P891)+MinPoints))</f>
        <v>100</v>
      </c>
      <c r="N891" s="440">
        <f t="shared" si="7"/>
        <v>90</v>
      </c>
      <c r="O891" s="440">
        <f t="shared" si="8"/>
        <v>180</v>
      </c>
      <c r="P891" s="440">
        <f t="shared" si="9"/>
        <v>1</v>
      </c>
      <c r="Q891">
        <f t="array" ref="Q891">IF(I891&gt;0,INDEX(DB,I891,9),EventIndex)</f>
        <v>6</v>
      </c>
      <c r="S891">
        <f t="array" ref="S891">(INT(INDEX(MINVALUES,$Q891,$K$1))*60)+(MOD(INDEX(MINVALUES,$Q891,$K$1),1)*100)</f>
        <v>180</v>
      </c>
      <c r="T891">
        <f t="array" ref="T891">(INDEX(INCVALUES,$Q891,$K$1)*100)</f>
        <v>1</v>
      </c>
      <c r="V891">
        <f t="array" ref="V891">+J891+(4*(INDEX(MatchScoreTable,$Q891,20)-1))</f>
        <v>4</v>
      </c>
      <c r="W891">
        <f t="array" ref="W891">INDEX(INC_MINVALUES,$V891,$K$1)</f>
        <v>480</v>
      </c>
      <c r="X891" s="212">
        <f t="array" ref="X891">INDEX(INC_INCVALUES,$V891,$K$1)</f>
        <v>4</v>
      </c>
    </row>
    <row r="892" ht="15.75" customHeight="1">
      <c r="A892" s="435"/>
      <c r="B892" s="436"/>
      <c r="C892" s="95" t="str">
        <f t="array" ref="C892">IF(I892&gt;0,INDEX(DB,I892,8),"")</f>
        <v/>
      </c>
      <c r="D892" s="437">
        <f t="shared" si="1"/>
        <v>0</v>
      </c>
      <c r="F892" s="438">
        <f t="shared" si="2"/>
        <v>0</v>
      </c>
      <c r="G892" t="str">
        <f t="shared" si="3"/>
        <v/>
      </c>
      <c r="H892" t="b">
        <f t="shared" si="4"/>
        <v>0</v>
      </c>
      <c r="I892" s="439">
        <f>IF(OR(ISBLANK(A892),ISNA(MATCH(A892&amp;"",AthleteNumbers,0))),0,MATCH(A892&amp;"",AthleteNumbers,0))</f>
        <v>0</v>
      </c>
      <c r="J892" s="209">
        <f t="array" ref="J892">IF(I892&gt;0,INDEX(DB,$I892,6),0)</f>
        <v>0</v>
      </c>
      <c r="K892" s="446">
        <f t="shared" si="5"/>
        <v>0</v>
      </c>
      <c r="L892" s="440">
        <f t="shared" si="6"/>
        <v>0</v>
      </c>
      <c r="M892" s="441">
        <f>IF(AND(L892&gt;O892,O892&gt;0),MinPoints,IF(AND(L892&lt;N892,O892&gt;0),100,+INT((O892-$L892)/P892)+MinPoints))</f>
        <v>100</v>
      </c>
      <c r="N892" s="440">
        <f t="shared" si="7"/>
        <v>90</v>
      </c>
      <c r="O892" s="440">
        <f t="shared" si="8"/>
        <v>180</v>
      </c>
      <c r="P892" s="440">
        <f t="shared" si="9"/>
        <v>1</v>
      </c>
      <c r="Q892">
        <f t="array" ref="Q892">IF(I892&gt;0,INDEX(DB,I892,9),EventIndex)</f>
        <v>6</v>
      </c>
      <c r="S892">
        <f t="array" ref="S892">(INT(INDEX(MINVALUES,$Q892,$K$1))*60)+(MOD(INDEX(MINVALUES,$Q892,$K$1),1)*100)</f>
        <v>180</v>
      </c>
      <c r="T892">
        <f t="array" ref="T892">(INDEX(INCVALUES,$Q892,$K$1)*100)</f>
        <v>1</v>
      </c>
      <c r="V892">
        <f t="array" ref="V892">+J892+(4*(INDEX(MatchScoreTable,$Q892,20)-1))</f>
        <v>4</v>
      </c>
      <c r="W892">
        <f t="array" ref="W892">INDEX(INC_MINVALUES,$V892,$K$1)</f>
        <v>480</v>
      </c>
      <c r="X892" s="212">
        <f t="array" ref="X892">INDEX(INC_INCVALUES,$V892,$K$1)</f>
        <v>4</v>
      </c>
    </row>
    <row r="893" ht="15.75" customHeight="1">
      <c r="A893" s="435"/>
      <c r="B893" s="436"/>
      <c r="C893" s="95" t="str">
        <f t="array" ref="C893">IF(I893&gt;0,INDEX(DB,I893,8),"")</f>
        <v/>
      </c>
      <c r="D893" s="437">
        <f t="shared" si="1"/>
        <v>0</v>
      </c>
      <c r="F893" s="438">
        <f t="shared" si="2"/>
        <v>0</v>
      </c>
      <c r="G893" t="str">
        <f t="shared" si="3"/>
        <v/>
      </c>
      <c r="H893" t="b">
        <f t="shared" si="4"/>
        <v>0</v>
      </c>
      <c r="I893" s="439">
        <f>IF(OR(ISBLANK(A893),ISNA(MATCH(A893&amp;"",AthleteNumbers,0))),0,MATCH(A893&amp;"",AthleteNumbers,0))</f>
        <v>0</v>
      </c>
      <c r="J893" s="209">
        <f t="array" ref="J893">IF(I893&gt;0,INDEX(DB,$I893,6),0)</f>
        <v>0</v>
      </c>
      <c r="K893" s="446">
        <f t="shared" si="5"/>
        <v>0</v>
      </c>
      <c r="L893" s="440">
        <f t="shared" si="6"/>
        <v>0</v>
      </c>
      <c r="M893" s="441">
        <f>IF(AND(L893&gt;O893,O893&gt;0),MinPoints,IF(AND(L893&lt;N893,O893&gt;0),100,+INT((O893-$L893)/P893)+MinPoints))</f>
        <v>100</v>
      </c>
      <c r="N893" s="440">
        <f t="shared" si="7"/>
        <v>90</v>
      </c>
      <c r="O893" s="440">
        <f t="shared" si="8"/>
        <v>180</v>
      </c>
      <c r="P893" s="440">
        <f t="shared" si="9"/>
        <v>1</v>
      </c>
      <c r="Q893">
        <f t="array" ref="Q893">IF(I893&gt;0,INDEX(DB,I893,9),EventIndex)</f>
        <v>6</v>
      </c>
      <c r="S893">
        <f t="array" ref="S893">(INT(INDEX(MINVALUES,$Q893,$K$1))*60)+(MOD(INDEX(MINVALUES,$Q893,$K$1),1)*100)</f>
        <v>180</v>
      </c>
      <c r="T893">
        <f t="array" ref="T893">(INDEX(INCVALUES,$Q893,$K$1)*100)</f>
        <v>1</v>
      </c>
      <c r="V893">
        <f t="array" ref="V893">+J893+(4*(INDEX(MatchScoreTable,$Q893,20)-1))</f>
        <v>4</v>
      </c>
      <c r="W893">
        <f t="array" ref="W893">INDEX(INC_MINVALUES,$V893,$K$1)</f>
        <v>480</v>
      </c>
      <c r="X893" s="212">
        <f t="array" ref="X893">INDEX(INC_INCVALUES,$V893,$K$1)</f>
        <v>4</v>
      </c>
    </row>
    <row r="894" ht="15.75" customHeight="1">
      <c r="A894" s="435"/>
      <c r="B894" s="436"/>
      <c r="C894" s="95" t="str">
        <f t="array" ref="C894">IF(I894&gt;0,INDEX(DB,I894,8),"")</f>
        <v/>
      </c>
      <c r="D894" s="437">
        <f t="shared" si="1"/>
        <v>0</v>
      </c>
      <c r="F894" s="438">
        <f t="shared" si="2"/>
        <v>0</v>
      </c>
      <c r="G894" t="str">
        <f t="shared" si="3"/>
        <v/>
      </c>
      <c r="H894" t="b">
        <f t="shared" si="4"/>
        <v>0</v>
      </c>
      <c r="I894" s="439">
        <f>IF(OR(ISBLANK(A894),ISNA(MATCH(A894&amp;"",AthleteNumbers,0))),0,MATCH(A894&amp;"",AthleteNumbers,0))</f>
        <v>0</v>
      </c>
      <c r="J894" s="209">
        <f t="array" ref="J894">IF(I894&gt;0,INDEX(DB,$I894,6),0)</f>
        <v>0</v>
      </c>
      <c r="K894" s="446">
        <f t="shared" si="5"/>
        <v>0</v>
      </c>
      <c r="L894" s="440">
        <f t="shared" si="6"/>
        <v>0</v>
      </c>
      <c r="M894" s="441">
        <f>IF(AND(L894&gt;O894,O894&gt;0),MinPoints,IF(AND(L894&lt;N894,O894&gt;0),100,+INT((O894-$L894)/P894)+MinPoints))</f>
        <v>100</v>
      </c>
      <c r="N894" s="440">
        <f t="shared" si="7"/>
        <v>90</v>
      </c>
      <c r="O894" s="440">
        <f t="shared" si="8"/>
        <v>180</v>
      </c>
      <c r="P894" s="440">
        <f t="shared" si="9"/>
        <v>1</v>
      </c>
      <c r="Q894">
        <f t="array" ref="Q894">IF(I894&gt;0,INDEX(DB,I894,9),EventIndex)</f>
        <v>6</v>
      </c>
      <c r="S894">
        <f t="array" ref="S894">(INT(INDEX(MINVALUES,$Q894,$K$1))*60)+(MOD(INDEX(MINVALUES,$Q894,$K$1),1)*100)</f>
        <v>180</v>
      </c>
      <c r="T894">
        <f t="array" ref="T894">(INDEX(INCVALUES,$Q894,$K$1)*100)</f>
        <v>1</v>
      </c>
      <c r="V894">
        <f t="array" ref="V894">+J894+(4*(INDEX(MatchScoreTable,$Q894,20)-1))</f>
        <v>4</v>
      </c>
      <c r="W894">
        <f t="array" ref="W894">INDEX(INC_MINVALUES,$V894,$K$1)</f>
        <v>480</v>
      </c>
      <c r="X894" s="212">
        <f t="array" ref="X894">INDEX(INC_INCVALUES,$V894,$K$1)</f>
        <v>4</v>
      </c>
    </row>
    <row r="895" ht="15.75" customHeight="1">
      <c r="A895" s="435"/>
      <c r="B895" s="436"/>
      <c r="C895" s="95" t="str">
        <f t="array" ref="C895">IF(I895&gt;0,INDEX(DB,I895,8),"")</f>
        <v/>
      </c>
      <c r="D895" s="437">
        <f t="shared" si="1"/>
        <v>0</v>
      </c>
      <c r="F895" s="438">
        <f t="shared" si="2"/>
        <v>0</v>
      </c>
      <c r="G895" t="str">
        <f t="shared" si="3"/>
        <v/>
      </c>
      <c r="H895" t="b">
        <f t="shared" si="4"/>
        <v>0</v>
      </c>
      <c r="I895" s="439">
        <f>IF(OR(ISBLANK(A895),ISNA(MATCH(A895&amp;"",AthleteNumbers,0))),0,MATCH(A895&amp;"",AthleteNumbers,0))</f>
        <v>0</v>
      </c>
      <c r="J895" s="209">
        <f t="array" ref="J895">IF(I895&gt;0,INDEX(DB,$I895,6),0)</f>
        <v>0</v>
      </c>
      <c r="K895" s="446">
        <f t="shared" si="5"/>
        <v>0</v>
      </c>
      <c r="L895" s="440">
        <f t="shared" si="6"/>
        <v>0</v>
      </c>
      <c r="M895" s="441">
        <f>IF(AND(L895&gt;O895,O895&gt;0),MinPoints,IF(AND(L895&lt;N895,O895&gt;0),100,+INT((O895-$L895)/P895)+MinPoints))</f>
        <v>100</v>
      </c>
      <c r="N895" s="440">
        <f t="shared" si="7"/>
        <v>90</v>
      </c>
      <c r="O895" s="440">
        <f t="shared" si="8"/>
        <v>180</v>
      </c>
      <c r="P895" s="440">
        <f t="shared" si="9"/>
        <v>1</v>
      </c>
      <c r="Q895">
        <f t="array" ref="Q895">IF(I895&gt;0,INDEX(DB,I895,9),EventIndex)</f>
        <v>6</v>
      </c>
      <c r="S895">
        <f t="array" ref="S895">(INT(INDEX(MINVALUES,$Q895,$K$1))*60)+(MOD(INDEX(MINVALUES,$Q895,$K$1),1)*100)</f>
        <v>180</v>
      </c>
      <c r="T895">
        <f t="array" ref="T895">(INDEX(INCVALUES,$Q895,$K$1)*100)</f>
        <v>1</v>
      </c>
      <c r="V895">
        <f t="array" ref="V895">+J895+(4*(INDEX(MatchScoreTable,$Q895,20)-1))</f>
        <v>4</v>
      </c>
      <c r="W895">
        <f t="array" ref="W895">INDEX(INC_MINVALUES,$V895,$K$1)</f>
        <v>480</v>
      </c>
      <c r="X895" s="212">
        <f t="array" ref="X895">INDEX(INC_INCVALUES,$V895,$K$1)</f>
        <v>4</v>
      </c>
    </row>
    <row r="896" ht="15.75" customHeight="1">
      <c r="A896" s="435"/>
      <c r="B896" s="436"/>
      <c r="C896" s="95" t="str">
        <f t="array" ref="C896">IF(I896&gt;0,INDEX(DB,I896,8),"")</f>
        <v/>
      </c>
      <c r="D896" s="437">
        <f t="shared" si="1"/>
        <v>0</v>
      </c>
      <c r="F896" s="438">
        <f t="shared" si="2"/>
        <v>0</v>
      </c>
      <c r="G896" t="str">
        <f t="shared" si="3"/>
        <v/>
      </c>
      <c r="H896" t="b">
        <f t="shared" si="4"/>
        <v>0</v>
      </c>
      <c r="I896" s="439">
        <f>IF(OR(ISBLANK(A896),ISNA(MATCH(A896&amp;"",AthleteNumbers,0))),0,MATCH(A896&amp;"",AthleteNumbers,0))</f>
        <v>0</v>
      </c>
      <c r="J896" s="209">
        <f t="array" ref="J896">IF(I896&gt;0,INDEX(DB,$I896,6),0)</f>
        <v>0</v>
      </c>
      <c r="K896" s="446">
        <f t="shared" si="5"/>
        <v>0</v>
      </c>
      <c r="L896" s="440">
        <f t="shared" si="6"/>
        <v>0</v>
      </c>
      <c r="M896" s="441">
        <f>IF(AND(L896&gt;O896,O896&gt;0),MinPoints,IF(AND(L896&lt;N896,O896&gt;0),100,+INT((O896-$L896)/P896)+MinPoints))</f>
        <v>100</v>
      </c>
      <c r="N896" s="440">
        <f t="shared" si="7"/>
        <v>90</v>
      </c>
      <c r="O896" s="440">
        <f t="shared" si="8"/>
        <v>180</v>
      </c>
      <c r="P896" s="440">
        <f t="shared" si="9"/>
        <v>1</v>
      </c>
      <c r="Q896">
        <f t="array" ref="Q896">IF(I896&gt;0,INDEX(DB,I896,9),EventIndex)</f>
        <v>6</v>
      </c>
      <c r="S896">
        <f t="array" ref="S896">(INT(INDEX(MINVALUES,$Q896,$K$1))*60)+(MOD(INDEX(MINVALUES,$Q896,$K$1),1)*100)</f>
        <v>180</v>
      </c>
      <c r="T896">
        <f t="array" ref="T896">(INDEX(INCVALUES,$Q896,$K$1)*100)</f>
        <v>1</v>
      </c>
      <c r="V896">
        <f t="array" ref="V896">+J896+(4*(INDEX(MatchScoreTable,$Q896,20)-1))</f>
        <v>4</v>
      </c>
      <c r="W896">
        <f t="array" ref="W896">INDEX(INC_MINVALUES,$V896,$K$1)</f>
        <v>480</v>
      </c>
      <c r="X896" s="212">
        <f t="array" ref="X896">INDEX(INC_INCVALUES,$V896,$K$1)</f>
        <v>4</v>
      </c>
    </row>
    <row r="897" ht="15.75" customHeight="1">
      <c r="A897" s="435"/>
      <c r="B897" s="436"/>
      <c r="C897" s="95" t="str">
        <f t="array" ref="C897">IF(I897&gt;0,INDEX(DB,I897,8),"")</f>
        <v/>
      </c>
      <c r="D897" s="437">
        <f t="shared" si="1"/>
        <v>0</v>
      </c>
      <c r="F897" s="438">
        <f t="shared" si="2"/>
        <v>0</v>
      </c>
      <c r="G897" t="str">
        <f t="shared" si="3"/>
        <v/>
      </c>
      <c r="H897" t="b">
        <f t="shared" si="4"/>
        <v>0</v>
      </c>
      <c r="I897" s="439">
        <f>IF(OR(ISBLANK(A897),ISNA(MATCH(A897&amp;"",AthleteNumbers,0))),0,MATCH(A897&amp;"",AthleteNumbers,0))</f>
        <v>0</v>
      </c>
      <c r="J897" s="209">
        <f t="array" ref="J897">IF(I897&gt;0,INDEX(DB,$I897,6),0)</f>
        <v>0</v>
      </c>
      <c r="K897" s="446">
        <f t="shared" si="5"/>
        <v>0</v>
      </c>
      <c r="L897" s="440">
        <f t="shared" si="6"/>
        <v>0</v>
      </c>
      <c r="M897" s="441">
        <f>IF(AND(L897&gt;O897,O897&gt;0),MinPoints,IF(AND(L897&lt;N897,O897&gt;0),100,+INT((O897-$L897)/P897)+MinPoints))</f>
        <v>100</v>
      </c>
      <c r="N897" s="440">
        <f t="shared" si="7"/>
        <v>90</v>
      </c>
      <c r="O897" s="440">
        <f t="shared" si="8"/>
        <v>180</v>
      </c>
      <c r="P897" s="440">
        <f t="shared" si="9"/>
        <v>1</v>
      </c>
      <c r="Q897">
        <f t="array" ref="Q897">IF(I897&gt;0,INDEX(DB,I897,9),EventIndex)</f>
        <v>6</v>
      </c>
      <c r="S897">
        <f t="array" ref="S897">(INT(INDEX(MINVALUES,$Q897,$K$1))*60)+(MOD(INDEX(MINVALUES,$Q897,$K$1),1)*100)</f>
        <v>180</v>
      </c>
      <c r="T897">
        <f t="array" ref="T897">(INDEX(INCVALUES,$Q897,$K$1)*100)</f>
        <v>1</v>
      </c>
      <c r="V897">
        <f t="array" ref="V897">+J897+(4*(INDEX(MatchScoreTable,$Q897,20)-1))</f>
        <v>4</v>
      </c>
      <c r="W897">
        <f t="array" ref="W897">INDEX(INC_MINVALUES,$V897,$K$1)</f>
        <v>480</v>
      </c>
      <c r="X897" s="212">
        <f t="array" ref="X897">INDEX(INC_INCVALUES,$V897,$K$1)</f>
        <v>4</v>
      </c>
    </row>
    <row r="898" ht="15.75" customHeight="1">
      <c r="A898" s="435"/>
      <c r="B898" s="436"/>
      <c r="C898" s="95" t="str">
        <f t="array" ref="C898">IF(I898&gt;0,INDEX(DB,I898,8),"")</f>
        <v/>
      </c>
      <c r="D898" s="437">
        <f t="shared" si="1"/>
        <v>0</v>
      </c>
      <c r="F898" s="438">
        <f t="shared" si="2"/>
        <v>0</v>
      </c>
      <c r="G898" t="str">
        <f t="shared" si="3"/>
        <v/>
      </c>
      <c r="H898" t="b">
        <f t="shared" si="4"/>
        <v>0</v>
      </c>
      <c r="I898" s="439">
        <f>IF(OR(ISBLANK(A898),ISNA(MATCH(A898&amp;"",AthleteNumbers,0))),0,MATCH(A898&amp;"",AthleteNumbers,0))</f>
        <v>0</v>
      </c>
      <c r="J898" s="209">
        <f t="array" ref="J898">IF(I898&gt;0,INDEX(DB,$I898,6),0)</f>
        <v>0</v>
      </c>
      <c r="K898" s="446">
        <f t="shared" si="5"/>
        <v>0</v>
      </c>
      <c r="L898" s="440">
        <f t="shared" si="6"/>
        <v>0</v>
      </c>
      <c r="M898" s="441">
        <f>IF(AND(L898&gt;O898,O898&gt;0),MinPoints,IF(AND(L898&lt;N898,O898&gt;0),100,+INT((O898-$L898)/P898)+MinPoints))</f>
        <v>100</v>
      </c>
      <c r="N898" s="440">
        <f t="shared" si="7"/>
        <v>90</v>
      </c>
      <c r="O898" s="440">
        <f t="shared" si="8"/>
        <v>180</v>
      </c>
      <c r="P898" s="440">
        <f t="shared" si="9"/>
        <v>1</v>
      </c>
      <c r="Q898">
        <f t="array" ref="Q898">IF(I898&gt;0,INDEX(DB,I898,9),EventIndex)</f>
        <v>6</v>
      </c>
      <c r="S898">
        <f t="array" ref="S898">(INT(INDEX(MINVALUES,$Q898,$K$1))*60)+(MOD(INDEX(MINVALUES,$Q898,$K$1),1)*100)</f>
        <v>180</v>
      </c>
      <c r="T898">
        <f t="array" ref="T898">(INDEX(INCVALUES,$Q898,$K$1)*100)</f>
        <v>1</v>
      </c>
      <c r="V898">
        <f t="array" ref="V898">+J898+(4*(INDEX(MatchScoreTable,$Q898,20)-1))</f>
        <v>4</v>
      </c>
      <c r="W898">
        <f t="array" ref="W898">INDEX(INC_MINVALUES,$V898,$K$1)</f>
        <v>480</v>
      </c>
      <c r="X898" s="212">
        <f t="array" ref="X898">INDEX(INC_INCVALUES,$V898,$K$1)</f>
        <v>4</v>
      </c>
    </row>
    <row r="899" ht="15.75" customHeight="1">
      <c r="A899" s="435"/>
      <c r="B899" s="436"/>
      <c r="C899" s="95" t="str">
        <f t="array" ref="C899">IF(I899&gt;0,INDEX(DB,I899,8),"")</f>
        <v/>
      </c>
      <c r="D899" s="437">
        <f t="shared" si="1"/>
        <v>0</v>
      </c>
      <c r="F899" s="438">
        <f t="shared" si="2"/>
        <v>0</v>
      </c>
      <c r="G899" t="str">
        <f t="shared" si="3"/>
        <v/>
      </c>
      <c r="H899" t="b">
        <f t="shared" si="4"/>
        <v>0</v>
      </c>
      <c r="I899" s="439">
        <f>IF(OR(ISBLANK(A899),ISNA(MATCH(A899&amp;"",AthleteNumbers,0))),0,MATCH(A899&amp;"",AthleteNumbers,0))</f>
        <v>0</v>
      </c>
      <c r="J899" s="209">
        <f t="array" ref="J899">IF(I899&gt;0,INDEX(DB,$I899,6),0)</f>
        <v>0</v>
      </c>
      <c r="K899" s="446">
        <f t="shared" si="5"/>
        <v>0</v>
      </c>
      <c r="L899" s="440">
        <f t="shared" si="6"/>
        <v>0</v>
      </c>
      <c r="M899" s="441">
        <f>IF(AND(L899&gt;O899,O899&gt;0),MinPoints,IF(AND(L899&lt;N899,O899&gt;0),100,+INT((O899-$L899)/P899)+MinPoints))</f>
        <v>100</v>
      </c>
      <c r="N899" s="440">
        <f t="shared" si="7"/>
        <v>90</v>
      </c>
      <c r="O899" s="440">
        <f t="shared" si="8"/>
        <v>180</v>
      </c>
      <c r="P899" s="440">
        <f t="shared" si="9"/>
        <v>1</v>
      </c>
      <c r="Q899">
        <f t="array" ref="Q899">IF(I899&gt;0,INDEX(DB,I899,9),EventIndex)</f>
        <v>6</v>
      </c>
      <c r="S899">
        <f t="array" ref="S899">(INT(INDEX(MINVALUES,$Q899,$K$1))*60)+(MOD(INDEX(MINVALUES,$Q899,$K$1),1)*100)</f>
        <v>180</v>
      </c>
      <c r="T899">
        <f t="array" ref="T899">(INDEX(INCVALUES,$Q899,$K$1)*100)</f>
        <v>1</v>
      </c>
      <c r="V899">
        <f t="array" ref="V899">+J899+(4*(INDEX(MatchScoreTable,$Q899,20)-1))</f>
        <v>4</v>
      </c>
      <c r="W899">
        <f t="array" ref="W899">INDEX(INC_MINVALUES,$V899,$K$1)</f>
        <v>480</v>
      </c>
      <c r="X899" s="212">
        <f t="array" ref="X899">INDEX(INC_INCVALUES,$V899,$K$1)</f>
        <v>4</v>
      </c>
    </row>
    <row r="900" ht="15.75" customHeight="1">
      <c r="A900" s="435"/>
      <c r="B900" s="436"/>
      <c r="C900" s="95" t="str">
        <f t="array" ref="C900">IF(I900&gt;0,INDEX(DB,I900,8),"")</f>
        <v/>
      </c>
      <c r="D900" s="437">
        <f t="shared" si="1"/>
        <v>0</v>
      </c>
      <c r="F900" s="438">
        <f t="shared" si="2"/>
        <v>0</v>
      </c>
      <c r="G900" t="str">
        <f t="shared" si="3"/>
        <v/>
      </c>
      <c r="H900" t="b">
        <f t="shared" si="4"/>
        <v>0</v>
      </c>
      <c r="I900" s="439">
        <f>IF(OR(ISBLANK(A900),ISNA(MATCH(A900&amp;"",AthleteNumbers,0))),0,MATCH(A900&amp;"",AthleteNumbers,0))</f>
        <v>0</v>
      </c>
      <c r="J900" s="209">
        <f t="array" ref="J900">IF(I900&gt;0,INDEX(DB,$I900,6),0)</f>
        <v>0</v>
      </c>
      <c r="K900" s="446">
        <f t="shared" si="5"/>
        <v>0</v>
      </c>
      <c r="L900" s="440">
        <f t="shared" si="6"/>
        <v>0</v>
      </c>
      <c r="M900" s="441">
        <f>IF(AND(L900&gt;O900,O900&gt;0),MinPoints,IF(AND(L900&lt;N900,O900&gt;0),100,+INT((O900-$L900)/P900)+MinPoints))</f>
        <v>100</v>
      </c>
      <c r="N900" s="440">
        <f t="shared" si="7"/>
        <v>90</v>
      </c>
      <c r="O900" s="440">
        <f t="shared" si="8"/>
        <v>180</v>
      </c>
      <c r="P900" s="440">
        <f t="shared" si="9"/>
        <v>1</v>
      </c>
      <c r="Q900">
        <f t="array" ref="Q900">IF(I900&gt;0,INDEX(DB,I900,9),EventIndex)</f>
        <v>6</v>
      </c>
      <c r="S900">
        <f t="array" ref="S900">(INT(INDEX(MINVALUES,$Q900,$K$1))*60)+(MOD(INDEX(MINVALUES,$Q900,$K$1),1)*100)</f>
        <v>180</v>
      </c>
      <c r="T900">
        <f t="array" ref="T900">(INDEX(INCVALUES,$Q900,$K$1)*100)</f>
        <v>1</v>
      </c>
      <c r="V900">
        <f t="array" ref="V900">+J900+(4*(INDEX(MatchScoreTable,$Q900,20)-1))</f>
        <v>4</v>
      </c>
      <c r="W900">
        <f t="array" ref="W900">INDEX(INC_MINVALUES,$V900,$K$1)</f>
        <v>480</v>
      </c>
      <c r="X900" s="212">
        <f t="array" ref="X900">INDEX(INC_INCVALUES,$V900,$K$1)</f>
        <v>4</v>
      </c>
    </row>
    <row r="901" ht="15.75" customHeight="1">
      <c r="A901" s="435"/>
      <c r="B901" s="436"/>
      <c r="C901" s="95" t="str">
        <f t="array" ref="C901">IF(I901&gt;0,INDEX(DB,I901,8),"")</f>
        <v/>
      </c>
      <c r="D901" s="437">
        <f t="shared" si="1"/>
        <v>0</v>
      </c>
      <c r="F901" s="438">
        <f t="shared" si="2"/>
        <v>0</v>
      </c>
      <c r="G901" t="str">
        <f t="shared" si="3"/>
        <v/>
      </c>
      <c r="H901" t="b">
        <f t="shared" si="4"/>
        <v>0</v>
      </c>
      <c r="I901" s="439">
        <f>IF(OR(ISBLANK(A901),ISNA(MATCH(A901&amp;"",AthleteNumbers,0))),0,MATCH(A901&amp;"",AthleteNumbers,0))</f>
        <v>0</v>
      </c>
      <c r="J901" s="209">
        <f t="array" ref="J901">IF(I901&gt;0,INDEX(DB,$I901,6),0)</f>
        <v>0</v>
      </c>
      <c r="K901" s="446">
        <f t="shared" si="5"/>
        <v>0</v>
      </c>
      <c r="L901" s="440">
        <f t="shared" si="6"/>
        <v>0</v>
      </c>
      <c r="M901" s="441">
        <f>IF(AND(L901&gt;O901,O901&gt;0),MinPoints,IF(AND(L901&lt;N901,O901&gt;0),100,+INT((O901-$L901)/P901)+MinPoints))</f>
        <v>100</v>
      </c>
      <c r="N901" s="440">
        <f t="shared" si="7"/>
        <v>90</v>
      </c>
      <c r="O901" s="440">
        <f t="shared" si="8"/>
        <v>180</v>
      </c>
      <c r="P901" s="440">
        <f t="shared" si="9"/>
        <v>1</v>
      </c>
      <c r="Q901">
        <f t="array" ref="Q901">IF(I901&gt;0,INDEX(DB,I901,9),EventIndex)</f>
        <v>6</v>
      </c>
      <c r="S901">
        <f t="array" ref="S901">(INT(INDEX(MINVALUES,$Q901,$K$1))*60)+(MOD(INDEX(MINVALUES,$Q901,$K$1),1)*100)</f>
        <v>180</v>
      </c>
      <c r="T901">
        <f t="array" ref="T901">(INDEX(INCVALUES,$Q901,$K$1)*100)</f>
        <v>1</v>
      </c>
      <c r="V901">
        <f t="array" ref="V901">+J901+(4*(INDEX(MatchScoreTable,$Q901,20)-1))</f>
        <v>4</v>
      </c>
      <c r="W901">
        <f t="array" ref="W901">INDEX(INC_MINVALUES,$V901,$K$1)</f>
        <v>480</v>
      </c>
      <c r="X901" s="212">
        <f t="array" ref="X901">INDEX(INC_INCVALUES,$V901,$K$1)</f>
        <v>4</v>
      </c>
    </row>
    <row r="902" ht="15.75" customHeight="1">
      <c r="A902" s="435"/>
      <c r="B902" s="436"/>
      <c r="C902" s="95" t="str">
        <f t="array" ref="C902">IF(I902&gt;0,INDEX(DB,I902,8),"")</f>
        <v/>
      </c>
      <c r="D902" s="437">
        <f t="shared" si="1"/>
        <v>0</v>
      </c>
      <c r="F902" s="438">
        <f t="shared" si="2"/>
        <v>0</v>
      </c>
      <c r="G902" t="str">
        <f t="shared" si="3"/>
        <v/>
      </c>
      <c r="H902" t="b">
        <f t="shared" si="4"/>
        <v>0</v>
      </c>
      <c r="I902" s="439">
        <f>IF(OR(ISBLANK(A902),ISNA(MATCH(A902&amp;"",AthleteNumbers,0))),0,MATCH(A902&amp;"",AthleteNumbers,0))</f>
        <v>0</v>
      </c>
      <c r="J902" s="209">
        <f t="array" ref="J902">IF(I902&gt;0,INDEX(DB,$I902,6),0)</f>
        <v>0</v>
      </c>
      <c r="K902" s="446">
        <f t="shared" si="5"/>
        <v>0</v>
      </c>
      <c r="L902" s="440">
        <f t="shared" si="6"/>
        <v>0</v>
      </c>
      <c r="M902" s="441">
        <f>IF(AND(L902&gt;O902,O902&gt;0),MinPoints,IF(AND(L902&lt;N902,O902&gt;0),100,+INT((O902-$L902)/P902)+MinPoints))</f>
        <v>100</v>
      </c>
      <c r="N902" s="440">
        <f t="shared" si="7"/>
        <v>90</v>
      </c>
      <c r="O902" s="440">
        <f t="shared" si="8"/>
        <v>180</v>
      </c>
      <c r="P902" s="440">
        <f t="shared" si="9"/>
        <v>1</v>
      </c>
      <c r="Q902">
        <f t="array" ref="Q902">IF(I902&gt;0,INDEX(DB,I902,9),EventIndex)</f>
        <v>6</v>
      </c>
      <c r="S902">
        <f t="array" ref="S902">(INT(INDEX(MINVALUES,$Q902,$K$1))*60)+(MOD(INDEX(MINVALUES,$Q902,$K$1),1)*100)</f>
        <v>180</v>
      </c>
      <c r="T902">
        <f t="array" ref="T902">(INDEX(INCVALUES,$Q902,$K$1)*100)</f>
        <v>1</v>
      </c>
      <c r="V902">
        <f t="array" ref="V902">+J902+(4*(INDEX(MatchScoreTable,$Q902,20)-1))</f>
        <v>4</v>
      </c>
      <c r="W902">
        <f t="array" ref="W902">INDEX(INC_MINVALUES,$V902,$K$1)</f>
        <v>480</v>
      </c>
      <c r="X902" s="212">
        <f t="array" ref="X902">INDEX(INC_INCVALUES,$V902,$K$1)</f>
        <v>4</v>
      </c>
    </row>
    <row r="903" ht="15.75" customHeight="1">
      <c r="A903" s="435"/>
      <c r="B903" s="436"/>
      <c r="C903" s="95" t="str">
        <f t="array" ref="C903">IF(I903&gt;0,INDEX(DB,I903,8),"")</f>
        <v/>
      </c>
      <c r="D903" s="437">
        <f t="shared" si="1"/>
        <v>0</v>
      </c>
      <c r="F903" s="438">
        <f t="shared" si="2"/>
        <v>0</v>
      </c>
      <c r="G903" t="str">
        <f t="shared" si="3"/>
        <v/>
      </c>
      <c r="H903" t="b">
        <f t="shared" si="4"/>
        <v>0</v>
      </c>
      <c r="I903" s="439">
        <f>IF(OR(ISBLANK(A903),ISNA(MATCH(A903&amp;"",AthleteNumbers,0))),0,MATCH(A903&amp;"",AthleteNumbers,0))</f>
        <v>0</v>
      </c>
      <c r="J903" s="209">
        <f t="array" ref="J903">IF(I903&gt;0,INDEX(DB,$I903,6),0)</f>
        <v>0</v>
      </c>
      <c r="K903" s="446">
        <f t="shared" si="5"/>
        <v>0</v>
      </c>
      <c r="L903" s="440">
        <f t="shared" si="6"/>
        <v>0</v>
      </c>
      <c r="M903" s="441">
        <f>IF(AND(L903&gt;O903,O903&gt;0),MinPoints,IF(AND(L903&lt;N903,O903&gt;0),100,+INT((O903-$L903)/P903)+MinPoints))</f>
        <v>100</v>
      </c>
      <c r="N903" s="440">
        <f t="shared" si="7"/>
        <v>90</v>
      </c>
      <c r="O903" s="440">
        <f t="shared" si="8"/>
        <v>180</v>
      </c>
      <c r="P903" s="440">
        <f t="shared" si="9"/>
        <v>1</v>
      </c>
      <c r="Q903">
        <f t="array" ref="Q903">IF(I903&gt;0,INDEX(DB,I903,9),EventIndex)</f>
        <v>6</v>
      </c>
      <c r="S903">
        <f t="array" ref="S903">(INT(INDEX(MINVALUES,$Q903,$K$1))*60)+(MOD(INDEX(MINVALUES,$Q903,$K$1),1)*100)</f>
        <v>180</v>
      </c>
      <c r="T903">
        <f t="array" ref="T903">(INDEX(INCVALUES,$Q903,$K$1)*100)</f>
        <v>1</v>
      </c>
      <c r="V903">
        <f t="array" ref="V903">+J903+(4*(INDEX(MatchScoreTable,$Q903,20)-1))</f>
        <v>4</v>
      </c>
      <c r="W903">
        <f t="array" ref="W903">INDEX(INC_MINVALUES,$V903,$K$1)</f>
        <v>480</v>
      </c>
      <c r="X903" s="212">
        <f t="array" ref="X903">INDEX(INC_INCVALUES,$V903,$K$1)</f>
        <v>4</v>
      </c>
    </row>
    <row r="904" ht="15.75" customHeight="1">
      <c r="A904" s="435"/>
      <c r="B904" s="436"/>
      <c r="C904" s="95" t="str">
        <f t="array" ref="C904">IF(I904&gt;0,INDEX(DB,I904,8),"")</f>
        <v/>
      </c>
      <c r="D904" s="437">
        <f t="shared" si="1"/>
        <v>0</v>
      </c>
      <c r="F904" s="438">
        <f t="shared" si="2"/>
        <v>0</v>
      </c>
      <c r="G904" t="str">
        <f t="shared" si="3"/>
        <v/>
      </c>
      <c r="H904" t="b">
        <f t="shared" si="4"/>
        <v>0</v>
      </c>
      <c r="I904" s="439">
        <f>IF(OR(ISBLANK(A904),ISNA(MATCH(A904&amp;"",AthleteNumbers,0))),0,MATCH(A904&amp;"",AthleteNumbers,0))</f>
        <v>0</v>
      </c>
      <c r="J904" s="209">
        <f t="array" ref="J904">IF(I904&gt;0,INDEX(DB,$I904,6),0)</f>
        <v>0</v>
      </c>
      <c r="K904" s="446">
        <f t="shared" si="5"/>
        <v>0</v>
      </c>
      <c r="L904" s="440">
        <f t="shared" si="6"/>
        <v>0</v>
      </c>
      <c r="M904" s="441">
        <f>IF(AND(L904&gt;O904,O904&gt;0),MinPoints,IF(AND(L904&lt;N904,O904&gt;0),100,+INT((O904-$L904)/P904)+MinPoints))</f>
        <v>100</v>
      </c>
      <c r="N904" s="440">
        <f t="shared" si="7"/>
        <v>90</v>
      </c>
      <c r="O904" s="440">
        <f t="shared" si="8"/>
        <v>180</v>
      </c>
      <c r="P904" s="440">
        <f t="shared" si="9"/>
        <v>1</v>
      </c>
      <c r="Q904">
        <f t="array" ref="Q904">IF(I904&gt;0,INDEX(DB,I904,9),EventIndex)</f>
        <v>6</v>
      </c>
      <c r="S904">
        <f t="array" ref="S904">(INT(INDEX(MINVALUES,$Q904,$K$1))*60)+(MOD(INDEX(MINVALUES,$Q904,$K$1),1)*100)</f>
        <v>180</v>
      </c>
      <c r="T904">
        <f t="array" ref="T904">(INDEX(INCVALUES,$Q904,$K$1)*100)</f>
        <v>1</v>
      </c>
      <c r="V904">
        <f t="array" ref="V904">+J904+(4*(INDEX(MatchScoreTable,$Q904,20)-1))</f>
        <v>4</v>
      </c>
      <c r="W904">
        <f t="array" ref="W904">INDEX(INC_MINVALUES,$V904,$K$1)</f>
        <v>480</v>
      </c>
      <c r="X904" s="212">
        <f t="array" ref="X904">INDEX(INC_INCVALUES,$V904,$K$1)</f>
        <v>4</v>
      </c>
    </row>
    <row r="905" ht="15.75" customHeight="1">
      <c r="A905" s="435"/>
      <c r="B905" s="436"/>
      <c r="C905" s="95" t="str">
        <f t="array" ref="C905">IF(I905&gt;0,INDEX(DB,I905,8),"")</f>
        <v/>
      </c>
      <c r="D905" s="437">
        <f t="shared" si="1"/>
        <v>0</v>
      </c>
      <c r="F905" s="438">
        <f t="shared" si="2"/>
        <v>0</v>
      </c>
      <c r="G905" t="str">
        <f t="shared" si="3"/>
        <v/>
      </c>
      <c r="H905" t="b">
        <f t="shared" si="4"/>
        <v>0</v>
      </c>
      <c r="I905" s="439">
        <f>IF(OR(ISBLANK(A905),ISNA(MATCH(A905&amp;"",AthleteNumbers,0))),0,MATCH(A905&amp;"",AthleteNumbers,0))</f>
        <v>0</v>
      </c>
      <c r="J905" s="209">
        <f t="array" ref="J905">IF(I905&gt;0,INDEX(DB,$I905,6),0)</f>
        <v>0</v>
      </c>
      <c r="K905" s="446">
        <f t="shared" si="5"/>
        <v>0</v>
      </c>
      <c r="L905" s="440">
        <f t="shared" si="6"/>
        <v>0</v>
      </c>
      <c r="M905" s="441">
        <f>IF(AND(L905&gt;O905,O905&gt;0),MinPoints,IF(AND(L905&lt;N905,O905&gt;0),100,+INT((O905-$L905)/P905)+MinPoints))</f>
        <v>100</v>
      </c>
      <c r="N905" s="440">
        <f t="shared" si="7"/>
        <v>90</v>
      </c>
      <c r="O905" s="440">
        <f t="shared" si="8"/>
        <v>180</v>
      </c>
      <c r="P905" s="440">
        <f t="shared" si="9"/>
        <v>1</v>
      </c>
      <c r="Q905">
        <f t="array" ref="Q905">IF(I905&gt;0,INDEX(DB,I905,9),EventIndex)</f>
        <v>6</v>
      </c>
      <c r="S905">
        <f t="array" ref="S905">(INT(INDEX(MINVALUES,$Q905,$K$1))*60)+(MOD(INDEX(MINVALUES,$Q905,$K$1),1)*100)</f>
        <v>180</v>
      </c>
      <c r="T905">
        <f t="array" ref="T905">(INDEX(INCVALUES,$Q905,$K$1)*100)</f>
        <v>1</v>
      </c>
      <c r="V905">
        <f t="array" ref="V905">+J905+(4*(INDEX(MatchScoreTable,$Q905,20)-1))</f>
        <v>4</v>
      </c>
      <c r="W905">
        <f t="array" ref="W905">INDEX(INC_MINVALUES,$V905,$K$1)</f>
        <v>480</v>
      </c>
      <c r="X905" s="212">
        <f t="array" ref="X905">INDEX(INC_INCVALUES,$V905,$K$1)</f>
        <v>4</v>
      </c>
    </row>
    <row r="906" ht="15.75" customHeight="1">
      <c r="A906" s="435"/>
      <c r="B906" s="436"/>
      <c r="C906" s="95" t="str">
        <f t="array" ref="C906">IF(I906&gt;0,INDEX(DB,I906,8),"")</f>
        <v/>
      </c>
      <c r="D906" s="437">
        <f t="shared" si="1"/>
        <v>0</v>
      </c>
      <c r="F906" s="438">
        <f t="shared" si="2"/>
        <v>0</v>
      </c>
      <c r="G906" t="str">
        <f t="shared" si="3"/>
        <v/>
      </c>
      <c r="H906" t="b">
        <f t="shared" si="4"/>
        <v>0</v>
      </c>
      <c r="I906" s="439">
        <f>IF(OR(ISBLANK(A906),ISNA(MATCH(A906&amp;"",AthleteNumbers,0))),0,MATCH(A906&amp;"",AthleteNumbers,0))</f>
        <v>0</v>
      </c>
      <c r="J906" s="209">
        <f t="array" ref="J906">IF(I906&gt;0,INDEX(DB,$I906,6),0)</f>
        <v>0</v>
      </c>
      <c r="K906" s="446">
        <f t="shared" si="5"/>
        <v>0</v>
      </c>
      <c r="L906" s="440">
        <f t="shared" si="6"/>
        <v>0</v>
      </c>
      <c r="M906" s="441">
        <f>IF(AND(L906&gt;O906,O906&gt;0),MinPoints,IF(AND(L906&lt;N906,O906&gt;0),100,+INT((O906-$L906)/P906)+MinPoints))</f>
        <v>100</v>
      </c>
      <c r="N906" s="440">
        <f t="shared" si="7"/>
        <v>90</v>
      </c>
      <c r="O906" s="440">
        <f t="shared" si="8"/>
        <v>180</v>
      </c>
      <c r="P906" s="440">
        <f t="shared" si="9"/>
        <v>1</v>
      </c>
      <c r="Q906">
        <f t="array" ref="Q906">IF(I906&gt;0,INDEX(DB,I906,9),EventIndex)</f>
        <v>6</v>
      </c>
      <c r="S906">
        <f t="array" ref="S906">(INT(INDEX(MINVALUES,$Q906,$K$1))*60)+(MOD(INDEX(MINVALUES,$Q906,$K$1),1)*100)</f>
        <v>180</v>
      </c>
      <c r="T906">
        <f t="array" ref="T906">(INDEX(INCVALUES,$Q906,$K$1)*100)</f>
        <v>1</v>
      </c>
      <c r="V906">
        <f t="array" ref="V906">+J906+(4*(INDEX(MatchScoreTable,$Q906,20)-1))</f>
        <v>4</v>
      </c>
      <c r="W906">
        <f t="array" ref="W906">INDEX(INC_MINVALUES,$V906,$K$1)</f>
        <v>480</v>
      </c>
      <c r="X906" s="212">
        <f t="array" ref="X906">INDEX(INC_INCVALUES,$V906,$K$1)</f>
        <v>4</v>
      </c>
    </row>
    <row r="907" ht="15.75" customHeight="1">
      <c r="A907" s="435"/>
      <c r="B907" s="436"/>
      <c r="C907" s="95" t="str">
        <f t="array" ref="C907">IF(I907&gt;0,INDEX(DB,I907,8),"")</f>
        <v/>
      </c>
      <c r="D907" s="437">
        <f t="shared" si="1"/>
        <v>0</v>
      </c>
      <c r="F907" s="438">
        <f t="shared" si="2"/>
        <v>0</v>
      </c>
      <c r="G907" t="str">
        <f t="shared" si="3"/>
        <v/>
      </c>
      <c r="H907" t="b">
        <f t="shared" si="4"/>
        <v>0</v>
      </c>
      <c r="I907" s="439">
        <f>IF(OR(ISBLANK(A907),ISNA(MATCH(A907&amp;"",AthleteNumbers,0))),0,MATCH(A907&amp;"",AthleteNumbers,0))</f>
        <v>0</v>
      </c>
      <c r="J907" s="209">
        <f t="array" ref="J907">IF(I907&gt;0,INDEX(DB,$I907,6),0)</f>
        <v>0</v>
      </c>
      <c r="K907" s="446">
        <f t="shared" si="5"/>
        <v>0</v>
      </c>
      <c r="L907" s="440">
        <f t="shared" si="6"/>
        <v>0</v>
      </c>
      <c r="M907" s="441">
        <f>IF(AND(L907&gt;O907,O907&gt;0),MinPoints,IF(AND(L907&lt;N907,O907&gt;0),100,+INT((O907-$L907)/P907)+MinPoints))</f>
        <v>100</v>
      </c>
      <c r="N907" s="440">
        <f t="shared" si="7"/>
        <v>90</v>
      </c>
      <c r="O907" s="440">
        <f t="shared" si="8"/>
        <v>180</v>
      </c>
      <c r="P907" s="440">
        <f t="shared" si="9"/>
        <v>1</v>
      </c>
      <c r="Q907">
        <f t="array" ref="Q907">IF(I907&gt;0,INDEX(DB,I907,9),EventIndex)</f>
        <v>6</v>
      </c>
      <c r="S907">
        <f t="array" ref="S907">(INT(INDEX(MINVALUES,$Q907,$K$1))*60)+(MOD(INDEX(MINVALUES,$Q907,$K$1),1)*100)</f>
        <v>180</v>
      </c>
      <c r="T907">
        <f t="array" ref="T907">(INDEX(INCVALUES,$Q907,$K$1)*100)</f>
        <v>1</v>
      </c>
      <c r="V907">
        <f t="array" ref="V907">+J907+(4*(INDEX(MatchScoreTable,$Q907,20)-1))</f>
        <v>4</v>
      </c>
      <c r="W907">
        <f t="array" ref="W907">INDEX(INC_MINVALUES,$V907,$K$1)</f>
        <v>480</v>
      </c>
      <c r="X907" s="212">
        <f t="array" ref="X907">INDEX(INC_INCVALUES,$V907,$K$1)</f>
        <v>4</v>
      </c>
    </row>
    <row r="908" ht="15.75" customHeight="1">
      <c r="A908" s="435"/>
      <c r="B908" s="436"/>
      <c r="C908" s="95" t="str">
        <f t="array" ref="C908">IF(I908&gt;0,INDEX(DB,I908,8),"")</f>
        <v/>
      </c>
      <c r="D908" s="437">
        <f t="shared" si="1"/>
        <v>0</v>
      </c>
      <c r="F908" s="438">
        <f t="shared" si="2"/>
        <v>0</v>
      </c>
      <c r="G908" t="str">
        <f t="shared" si="3"/>
        <v/>
      </c>
      <c r="H908" t="b">
        <f t="shared" si="4"/>
        <v>0</v>
      </c>
      <c r="I908" s="439">
        <f>IF(OR(ISBLANK(A908),ISNA(MATCH(A908&amp;"",AthleteNumbers,0))),0,MATCH(A908&amp;"",AthleteNumbers,0))</f>
        <v>0</v>
      </c>
      <c r="J908" s="209">
        <f t="array" ref="J908">IF(I908&gt;0,INDEX(DB,$I908,6),0)</f>
        <v>0</v>
      </c>
      <c r="K908" s="446">
        <f t="shared" si="5"/>
        <v>0</v>
      </c>
      <c r="L908" s="440">
        <f t="shared" si="6"/>
        <v>0</v>
      </c>
      <c r="M908" s="441">
        <f>IF(AND(L908&gt;O908,O908&gt;0),MinPoints,IF(AND(L908&lt;N908,O908&gt;0),100,+INT((O908-$L908)/P908)+MinPoints))</f>
        <v>100</v>
      </c>
      <c r="N908" s="440">
        <f t="shared" si="7"/>
        <v>90</v>
      </c>
      <c r="O908" s="440">
        <f t="shared" si="8"/>
        <v>180</v>
      </c>
      <c r="P908" s="440">
        <f t="shared" si="9"/>
        <v>1</v>
      </c>
      <c r="Q908">
        <f t="array" ref="Q908">IF(I908&gt;0,INDEX(DB,I908,9),EventIndex)</f>
        <v>6</v>
      </c>
      <c r="S908">
        <f t="array" ref="S908">(INT(INDEX(MINVALUES,$Q908,$K$1))*60)+(MOD(INDEX(MINVALUES,$Q908,$K$1),1)*100)</f>
        <v>180</v>
      </c>
      <c r="T908">
        <f t="array" ref="T908">(INDEX(INCVALUES,$Q908,$K$1)*100)</f>
        <v>1</v>
      </c>
      <c r="V908">
        <f t="array" ref="V908">+J908+(4*(INDEX(MatchScoreTable,$Q908,20)-1))</f>
        <v>4</v>
      </c>
      <c r="W908">
        <f t="array" ref="W908">INDEX(INC_MINVALUES,$V908,$K$1)</f>
        <v>480</v>
      </c>
      <c r="X908" s="212">
        <f t="array" ref="X908">INDEX(INC_INCVALUES,$V908,$K$1)</f>
        <v>4</v>
      </c>
    </row>
    <row r="909" ht="15.75" customHeight="1">
      <c r="A909" s="435"/>
      <c r="B909" s="436"/>
      <c r="C909" s="95" t="str">
        <f t="array" ref="C909">IF(I909&gt;0,INDEX(DB,I909,8),"")</f>
        <v/>
      </c>
      <c r="D909" s="437">
        <f t="shared" si="1"/>
        <v>0</v>
      </c>
      <c r="F909" s="438">
        <f t="shared" si="2"/>
        <v>0</v>
      </c>
      <c r="G909" t="str">
        <f t="shared" si="3"/>
        <v/>
      </c>
      <c r="H909" t="b">
        <f t="shared" si="4"/>
        <v>0</v>
      </c>
      <c r="I909" s="439">
        <f>IF(OR(ISBLANK(A909),ISNA(MATCH(A909&amp;"",AthleteNumbers,0))),0,MATCH(A909&amp;"",AthleteNumbers,0))</f>
        <v>0</v>
      </c>
      <c r="J909" s="209">
        <f t="array" ref="J909">IF(I909&gt;0,INDEX(DB,$I909,6),0)</f>
        <v>0</v>
      </c>
      <c r="K909" s="446">
        <f t="shared" si="5"/>
        <v>0</v>
      </c>
      <c r="L909" s="440">
        <f t="shared" si="6"/>
        <v>0</v>
      </c>
      <c r="M909" s="441">
        <f>IF(AND(L909&gt;O909,O909&gt;0),MinPoints,IF(AND(L909&lt;N909,O909&gt;0),100,+INT((O909-$L909)/P909)+MinPoints))</f>
        <v>100</v>
      </c>
      <c r="N909" s="440">
        <f t="shared" si="7"/>
        <v>90</v>
      </c>
      <c r="O909" s="440">
        <f t="shared" si="8"/>
        <v>180</v>
      </c>
      <c r="P909" s="440">
        <f t="shared" si="9"/>
        <v>1</v>
      </c>
      <c r="Q909">
        <f t="array" ref="Q909">IF(I909&gt;0,INDEX(DB,I909,9),EventIndex)</f>
        <v>6</v>
      </c>
      <c r="S909">
        <f t="array" ref="S909">(INT(INDEX(MINVALUES,$Q909,$K$1))*60)+(MOD(INDEX(MINVALUES,$Q909,$K$1),1)*100)</f>
        <v>180</v>
      </c>
      <c r="T909">
        <f t="array" ref="T909">(INDEX(INCVALUES,$Q909,$K$1)*100)</f>
        <v>1</v>
      </c>
      <c r="V909">
        <f t="array" ref="V909">+J909+(4*(INDEX(MatchScoreTable,$Q909,20)-1))</f>
        <v>4</v>
      </c>
      <c r="W909">
        <f t="array" ref="W909">INDEX(INC_MINVALUES,$V909,$K$1)</f>
        <v>480</v>
      </c>
      <c r="X909" s="212">
        <f t="array" ref="X909">INDEX(INC_INCVALUES,$V909,$K$1)</f>
        <v>4</v>
      </c>
    </row>
    <row r="910" ht="15.75" customHeight="1">
      <c r="A910" s="435"/>
      <c r="B910" s="436"/>
      <c r="C910" s="95" t="str">
        <f t="array" ref="C910">IF(I910&gt;0,INDEX(DB,I910,8),"")</f>
        <v/>
      </c>
      <c r="D910" s="437">
        <f t="shared" si="1"/>
        <v>0</v>
      </c>
      <c r="F910" s="438">
        <f t="shared" si="2"/>
        <v>0</v>
      </c>
      <c r="G910" t="str">
        <f t="shared" si="3"/>
        <v/>
      </c>
      <c r="H910" t="b">
        <f t="shared" si="4"/>
        <v>0</v>
      </c>
      <c r="I910" s="439">
        <f>IF(OR(ISBLANK(A910),ISNA(MATCH(A910&amp;"",AthleteNumbers,0))),0,MATCH(A910&amp;"",AthleteNumbers,0))</f>
        <v>0</v>
      </c>
      <c r="J910" s="209">
        <f t="array" ref="J910">IF(I910&gt;0,INDEX(DB,$I910,6),0)</f>
        <v>0</v>
      </c>
      <c r="K910" s="446">
        <f t="shared" si="5"/>
        <v>0</v>
      </c>
      <c r="L910" s="440">
        <f t="shared" si="6"/>
        <v>0</v>
      </c>
      <c r="M910" s="441">
        <f>IF(AND(L910&gt;O910,O910&gt;0),MinPoints,IF(AND(L910&lt;N910,O910&gt;0),100,+INT((O910-$L910)/P910)+MinPoints))</f>
        <v>100</v>
      </c>
      <c r="N910" s="440">
        <f t="shared" si="7"/>
        <v>90</v>
      </c>
      <c r="O910" s="440">
        <f t="shared" si="8"/>
        <v>180</v>
      </c>
      <c r="P910" s="440">
        <f t="shared" si="9"/>
        <v>1</v>
      </c>
      <c r="Q910">
        <f t="array" ref="Q910">IF(I910&gt;0,INDEX(DB,I910,9),EventIndex)</f>
        <v>6</v>
      </c>
      <c r="S910">
        <f t="array" ref="S910">(INT(INDEX(MINVALUES,$Q910,$K$1))*60)+(MOD(INDEX(MINVALUES,$Q910,$K$1),1)*100)</f>
        <v>180</v>
      </c>
      <c r="T910">
        <f t="array" ref="T910">(INDEX(INCVALUES,$Q910,$K$1)*100)</f>
        <v>1</v>
      </c>
      <c r="V910">
        <f t="array" ref="V910">+J910+(4*(INDEX(MatchScoreTable,$Q910,20)-1))</f>
        <v>4</v>
      </c>
      <c r="W910">
        <f t="array" ref="W910">INDEX(INC_MINVALUES,$V910,$K$1)</f>
        <v>480</v>
      </c>
      <c r="X910" s="212">
        <f t="array" ref="X910">INDEX(INC_INCVALUES,$V910,$K$1)</f>
        <v>4</v>
      </c>
    </row>
    <row r="911" ht="15.75" customHeight="1">
      <c r="A911" s="435"/>
      <c r="B911" s="436"/>
      <c r="C911" s="95" t="str">
        <f t="array" ref="C911">IF(I911&gt;0,INDEX(DB,I911,8),"")</f>
        <v/>
      </c>
      <c r="D911" s="437">
        <f t="shared" si="1"/>
        <v>0</v>
      </c>
      <c r="F911" s="438">
        <f t="shared" si="2"/>
        <v>0</v>
      </c>
      <c r="G911" t="str">
        <f t="shared" si="3"/>
        <v/>
      </c>
      <c r="H911" t="b">
        <f t="shared" si="4"/>
        <v>0</v>
      </c>
      <c r="I911" s="439">
        <f>IF(OR(ISBLANK(A911),ISNA(MATCH(A911&amp;"",AthleteNumbers,0))),0,MATCH(A911&amp;"",AthleteNumbers,0))</f>
        <v>0</v>
      </c>
      <c r="J911" s="209">
        <f t="array" ref="J911">IF(I911&gt;0,INDEX(DB,$I911,6),0)</f>
        <v>0</v>
      </c>
      <c r="K911" s="446">
        <f t="shared" si="5"/>
        <v>0</v>
      </c>
      <c r="L911" s="440">
        <f t="shared" si="6"/>
        <v>0</v>
      </c>
      <c r="M911" s="441">
        <f>IF(AND(L911&gt;O911,O911&gt;0),MinPoints,IF(AND(L911&lt;N911,O911&gt;0),100,+INT((O911-$L911)/P911)+MinPoints))</f>
        <v>100</v>
      </c>
      <c r="N911" s="440">
        <f t="shared" si="7"/>
        <v>90</v>
      </c>
      <c r="O911" s="440">
        <f t="shared" si="8"/>
        <v>180</v>
      </c>
      <c r="P911" s="440">
        <f t="shared" si="9"/>
        <v>1</v>
      </c>
      <c r="Q911">
        <f t="array" ref="Q911">IF(I911&gt;0,INDEX(DB,I911,9),EventIndex)</f>
        <v>6</v>
      </c>
      <c r="S911">
        <f t="array" ref="S911">(INT(INDEX(MINVALUES,$Q911,$K$1))*60)+(MOD(INDEX(MINVALUES,$Q911,$K$1),1)*100)</f>
        <v>180</v>
      </c>
      <c r="T911">
        <f t="array" ref="T911">(INDEX(INCVALUES,$Q911,$K$1)*100)</f>
        <v>1</v>
      </c>
      <c r="V911">
        <f t="array" ref="V911">+J911+(4*(INDEX(MatchScoreTable,$Q911,20)-1))</f>
        <v>4</v>
      </c>
      <c r="W911">
        <f t="array" ref="W911">INDEX(INC_MINVALUES,$V911,$K$1)</f>
        <v>480</v>
      </c>
      <c r="X911" s="212">
        <f t="array" ref="X911">INDEX(INC_INCVALUES,$V911,$K$1)</f>
        <v>4</v>
      </c>
    </row>
    <row r="912" ht="15.75" customHeight="1">
      <c r="A912" s="435"/>
      <c r="B912" s="436"/>
      <c r="C912" s="95" t="str">
        <f t="array" ref="C912">IF(I912&gt;0,INDEX(DB,I912,8),"")</f>
        <v/>
      </c>
      <c r="D912" s="437">
        <f t="shared" si="1"/>
        <v>0</v>
      </c>
      <c r="F912" s="438">
        <f t="shared" si="2"/>
        <v>0</v>
      </c>
      <c r="G912" t="str">
        <f t="shared" si="3"/>
        <v/>
      </c>
      <c r="H912" t="b">
        <f t="shared" si="4"/>
        <v>0</v>
      </c>
      <c r="I912" s="439">
        <f>IF(OR(ISBLANK(A912),ISNA(MATCH(A912&amp;"",AthleteNumbers,0))),0,MATCH(A912&amp;"",AthleteNumbers,0))</f>
        <v>0</v>
      </c>
      <c r="J912" s="209">
        <f t="array" ref="J912">IF(I912&gt;0,INDEX(DB,$I912,6),0)</f>
        <v>0</v>
      </c>
      <c r="K912" s="446">
        <f t="shared" si="5"/>
        <v>0</v>
      </c>
      <c r="L912" s="440">
        <f t="shared" si="6"/>
        <v>0</v>
      </c>
      <c r="M912" s="441">
        <f>IF(AND(L912&gt;O912,O912&gt;0),MinPoints,IF(AND(L912&lt;N912,O912&gt;0),100,+INT((O912-$L912)/P912)+MinPoints))</f>
        <v>100</v>
      </c>
      <c r="N912" s="440">
        <f t="shared" si="7"/>
        <v>90</v>
      </c>
      <c r="O912" s="440">
        <f t="shared" si="8"/>
        <v>180</v>
      </c>
      <c r="P912" s="440">
        <f t="shared" si="9"/>
        <v>1</v>
      </c>
      <c r="Q912">
        <f t="array" ref="Q912">IF(I912&gt;0,INDEX(DB,I912,9),EventIndex)</f>
        <v>6</v>
      </c>
      <c r="S912">
        <f t="array" ref="S912">(INT(INDEX(MINVALUES,$Q912,$K$1))*60)+(MOD(INDEX(MINVALUES,$Q912,$K$1),1)*100)</f>
        <v>180</v>
      </c>
      <c r="T912">
        <f t="array" ref="T912">(INDEX(INCVALUES,$Q912,$K$1)*100)</f>
        <v>1</v>
      </c>
      <c r="V912">
        <f t="array" ref="V912">+J912+(4*(INDEX(MatchScoreTable,$Q912,20)-1))</f>
        <v>4</v>
      </c>
      <c r="W912">
        <f t="array" ref="W912">INDEX(INC_MINVALUES,$V912,$K$1)</f>
        <v>480</v>
      </c>
      <c r="X912" s="212">
        <f t="array" ref="X912">INDEX(INC_INCVALUES,$V912,$K$1)</f>
        <v>4</v>
      </c>
    </row>
    <row r="913" ht="15.75" customHeight="1">
      <c r="A913" s="435"/>
      <c r="B913" s="436"/>
      <c r="C913" s="95" t="str">
        <f t="array" ref="C913">IF(I913&gt;0,INDEX(DB,I913,8),"")</f>
        <v/>
      </c>
      <c r="D913" s="437">
        <f t="shared" si="1"/>
        <v>0</v>
      </c>
      <c r="F913" s="438">
        <f t="shared" si="2"/>
        <v>0</v>
      </c>
      <c r="G913" t="str">
        <f t="shared" si="3"/>
        <v/>
      </c>
      <c r="H913" t="b">
        <f t="shared" si="4"/>
        <v>0</v>
      </c>
      <c r="I913" s="439">
        <f>IF(OR(ISBLANK(A913),ISNA(MATCH(A913&amp;"",AthleteNumbers,0))),0,MATCH(A913&amp;"",AthleteNumbers,0))</f>
        <v>0</v>
      </c>
      <c r="J913" s="209">
        <f t="array" ref="J913">IF(I913&gt;0,INDEX(DB,$I913,6),0)</f>
        <v>0</v>
      </c>
      <c r="K913" s="446">
        <f t="shared" si="5"/>
        <v>0</v>
      </c>
      <c r="L913" s="440">
        <f t="shared" si="6"/>
        <v>0</v>
      </c>
      <c r="M913" s="441">
        <f>IF(AND(L913&gt;O913,O913&gt;0),MinPoints,IF(AND(L913&lt;N913,O913&gt;0),100,+INT((O913-$L913)/P913)+MinPoints))</f>
        <v>100</v>
      </c>
      <c r="N913" s="440">
        <f t="shared" si="7"/>
        <v>90</v>
      </c>
      <c r="O913" s="440">
        <f t="shared" si="8"/>
        <v>180</v>
      </c>
      <c r="P913" s="440">
        <f t="shared" si="9"/>
        <v>1</v>
      </c>
      <c r="Q913">
        <f t="array" ref="Q913">IF(I913&gt;0,INDEX(DB,I913,9),EventIndex)</f>
        <v>6</v>
      </c>
      <c r="S913">
        <f t="array" ref="S913">(INT(INDEX(MINVALUES,$Q913,$K$1))*60)+(MOD(INDEX(MINVALUES,$Q913,$K$1),1)*100)</f>
        <v>180</v>
      </c>
      <c r="T913">
        <f t="array" ref="T913">(INDEX(INCVALUES,$Q913,$K$1)*100)</f>
        <v>1</v>
      </c>
      <c r="V913">
        <f t="array" ref="V913">+J913+(4*(INDEX(MatchScoreTable,$Q913,20)-1))</f>
        <v>4</v>
      </c>
      <c r="W913">
        <f t="array" ref="W913">INDEX(INC_MINVALUES,$V913,$K$1)</f>
        <v>480</v>
      </c>
      <c r="X913" s="212">
        <f t="array" ref="X913">INDEX(INC_INCVALUES,$V913,$K$1)</f>
        <v>4</v>
      </c>
    </row>
    <row r="914" ht="15.75" customHeight="1">
      <c r="A914" s="435"/>
      <c r="B914" s="436"/>
      <c r="C914" s="95" t="str">
        <f t="array" ref="C914">IF(I914&gt;0,INDEX(DB,I914,8),"")</f>
        <v/>
      </c>
      <c r="D914" s="437">
        <f t="shared" si="1"/>
        <v>0</v>
      </c>
      <c r="F914" s="438">
        <f t="shared" si="2"/>
        <v>0</v>
      </c>
      <c r="G914" t="str">
        <f t="shared" si="3"/>
        <v/>
      </c>
      <c r="H914" t="b">
        <f t="shared" si="4"/>
        <v>0</v>
      </c>
      <c r="I914" s="439">
        <f>IF(OR(ISBLANK(A914),ISNA(MATCH(A914&amp;"",AthleteNumbers,0))),0,MATCH(A914&amp;"",AthleteNumbers,0))</f>
        <v>0</v>
      </c>
      <c r="J914" s="209">
        <f t="array" ref="J914">IF(I914&gt;0,INDEX(DB,$I914,6),0)</f>
        <v>0</v>
      </c>
      <c r="K914" s="446">
        <f t="shared" si="5"/>
        <v>0</v>
      </c>
      <c r="L914" s="440">
        <f t="shared" si="6"/>
        <v>0</v>
      </c>
      <c r="M914" s="441">
        <f>IF(AND(L914&gt;O914,O914&gt;0),MinPoints,IF(AND(L914&lt;N914,O914&gt;0),100,+INT((O914-$L914)/P914)+MinPoints))</f>
        <v>100</v>
      </c>
      <c r="N914" s="440">
        <f t="shared" si="7"/>
        <v>90</v>
      </c>
      <c r="O914" s="440">
        <f t="shared" si="8"/>
        <v>180</v>
      </c>
      <c r="P914" s="440">
        <f t="shared" si="9"/>
        <v>1</v>
      </c>
      <c r="Q914">
        <f t="array" ref="Q914">IF(I914&gt;0,INDEX(DB,I914,9),EventIndex)</f>
        <v>6</v>
      </c>
      <c r="S914">
        <f t="array" ref="S914">(INT(INDEX(MINVALUES,$Q914,$K$1))*60)+(MOD(INDEX(MINVALUES,$Q914,$K$1),1)*100)</f>
        <v>180</v>
      </c>
      <c r="T914">
        <f t="array" ref="T914">(INDEX(INCVALUES,$Q914,$K$1)*100)</f>
        <v>1</v>
      </c>
      <c r="V914">
        <f t="array" ref="V914">+J914+(4*(INDEX(MatchScoreTable,$Q914,20)-1))</f>
        <v>4</v>
      </c>
      <c r="W914">
        <f t="array" ref="W914">INDEX(INC_MINVALUES,$V914,$K$1)</f>
        <v>480</v>
      </c>
      <c r="X914" s="212">
        <f t="array" ref="X914">INDEX(INC_INCVALUES,$V914,$K$1)</f>
        <v>4</v>
      </c>
    </row>
    <row r="915" ht="15.75" customHeight="1">
      <c r="A915" s="435"/>
      <c r="B915" s="436"/>
      <c r="C915" s="95" t="str">
        <f t="array" ref="C915">IF(I915&gt;0,INDEX(DB,I915,8),"")</f>
        <v/>
      </c>
      <c r="D915" s="437">
        <f t="shared" si="1"/>
        <v>0</v>
      </c>
      <c r="F915" s="438">
        <f t="shared" si="2"/>
        <v>0</v>
      </c>
      <c r="G915" t="str">
        <f t="shared" si="3"/>
        <v/>
      </c>
      <c r="H915" t="b">
        <f t="shared" si="4"/>
        <v>0</v>
      </c>
      <c r="I915" s="439">
        <f>IF(OR(ISBLANK(A915),ISNA(MATCH(A915&amp;"",AthleteNumbers,0))),0,MATCH(A915&amp;"",AthleteNumbers,0))</f>
        <v>0</v>
      </c>
      <c r="J915" s="209">
        <f t="array" ref="J915">IF(I915&gt;0,INDEX(DB,$I915,6),0)</f>
        <v>0</v>
      </c>
      <c r="K915" s="446">
        <f t="shared" si="5"/>
        <v>0</v>
      </c>
      <c r="L915" s="440">
        <f t="shared" si="6"/>
        <v>0</v>
      </c>
      <c r="M915" s="441">
        <f>IF(AND(L915&gt;O915,O915&gt;0),MinPoints,IF(AND(L915&lt;N915,O915&gt;0),100,+INT((O915-$L915)/P915)+MinPoints))</f>
        <v>100</v>
      </c>
      <c r="N915" s="440">
        <f t="shared" si="7"/>
        <v>90</v>
      </c>
      <c r="O915" s="440">
        <f t="shared" si="8"/>
        <v>180</v>
      </c>
      <c r="P915" s="440">
        <f t="shared" si="9"/>
        <v>1</v>
      </c>
      <c r="Q915">
        <f t="array" ref="Q915">IF(I915&gt;0,INDEX(DB,I915,9),EventIndex)</f>
        <v>6</v>
      </c>
      <c r="S915">
        <f t="array" ref="S915">(INT(INDEX(MINVALUES,$Q915,$K$1))*60)+(MOD(INDEX(MINVALUES,$Q915,$K$1),1)*100)</f>
        <v>180</v>
      </c>
      <c r="T915">
        <f t="array" ref="T915">(INDEX(INCVALUES,$Q915,$K$1)*100)</f>
        <v>1</v>
      </c>
      <c r="V915">
        <f t="array" ref="V915">+J915+(4*(INDEX(MatchScoreTable,$Q915,20)-1))</f>
        <v>4</v>
      </c>
      <c r="W915">
        <f t="array" ref="W915">INDEX(INC_MINVALUES,$V915,$K$1)</f>
        <v>480</v>
      </c>
      <c r="X915" s="212">
        <f t="array" ref="X915">INDEX(INC_INCVALUES,$V915,$K$1)</f>
        <v>4</v>
      </c>
    </row>
    <row r="916" ht="15.75" customHeight="1">
      <c r="A916" s="435"/>
      <c r="B916" s="436"/>
      <c r="C916" s="95" t="str">
        <f t="array" ref="C916">IF(I916&gt;0,INDEX(DB,I916,8),"")</f>
        <v/>
      </c>
      <c r="D916" s="437">
        <f t="shared" si="1"/>
        <v>0</v>
      </c>
      <c r="F916" s="438">
        <f t="shared" si="2"/>
        <v>0</v>
      </c>
      <c r="G916" t="str">
        <f t="shared" si="3"/>
        <v/>
      </c>
      <c r="H916" t="b">
        <f t="shared" si="4"/>
        <v>0</v>
      </c>
      <c r="I916" s="439">
        <f>IF(OR(ISBLANK(A916),ISNA(MATCH(A916&amp;"",AthleteNumbers,0))),0,MATCH(A916&amp;"",AthleteNumbers,0))</f>
        <v>0</v>
      </c>
      <c r="J916" s="209">
        <f t="array" ref="J916">IF(I916&gt;0,INDEX(DB,$I916,6),0)</f>
        <v>0</v>
      </c>
      <c r="K916" s="446">
        <f t="shared" si="5"/>
        <v>0</v>
      </c>
      <c r="L916" s="440">
        <f t="shared" si="6"/>
        <v>0</v>
      </c>
      <c r="M916" s="441">
        <f>IF(AND(L916&gt;O916,O916&gt;0),MinPoints,IF(AND(L916&lt;N916,O916&gt;0),100,+INT((O916-$L916)/P916)+MinPoints))</f>
        <v>100</v>
      </c>
      <c r="N916" s="440">
        <f t="shared" si="7"/>
        <v>90</v>
      </c>
      <c r="O916" s="440">
        <f t="shared" si="8"/>
        <v>180</v>
      </c>
      <c r="P916" s="440">
        <f t="shared" si="9"/>
        <v>1</v>
      </c>
      <c r="Q916">
        <f t="array" ref="Q916">IF(I916&gt;0,INDEX(DB,I916,9),EventIndex)</f>
        <v>6</v>
      </c>
      <c r="S916">
        <f t="array" ref="S916">(INT(INDEX(MINVALUES,$Q916,$K$1))*60)+(MOD(INDEX(MINVALUES,$Q916,$K$1),1)*100)</f>
        <v>180</v>
      </c>
      <c r="T916">
        <f t="array" ref="T916">(INDEX(INCVALUES,$Q916,$K$1)*100)</f>
        <v>1</v>
      </c>
      <c r="V916">
        <f t="array" ref="V916">+J916+(4*(INDEX(MatchScoreTable,$Q916,20)-1))</f>
        <v>4</v>
      </c>
      <c r="W916">
        <f t="array" ref="W916">INDEX(INC_MINVALUES,$V916,$K$1)</f>
        <v>480</v>
      </c>
      <c r="X916" s="212">
        <f t="array" ref="X916">INDEX(INC_INCVALUES,$V916,$K$1)</f>
        <v>4</v>
      </c>
    </row>
    <row r="917" ht="15.75" customHeight="1">
      <c r="A917" s="435"/>
      <c r="B917" s="436"/>
      <c r="C917" s="95" t="str">
        <f t="array" ref="C917">IF(I917&gt;0,INDEX(DB,I917,8),"")</f>
        <v/>
      </c>
      <c r="D917" s="437">
        <f t="shared" si="1"/>
        <v>0</v>
      </c>
      <c r="F917" s="438">
        <f t="shared" si="2"/>
        <v>0</v>
      </c>
      <c r="G917" t="str">
        <f t="shared" si="3"/>
        <v/>
      </c>
      <c r="H917" t="b">
        <f t="shared" si="4"/>
        <v>0</v>
      </c>
      <c r="I917" s="439">
        <f>IF(OR(ISBLANK(A917),ISNA(MATCH(A917&amp;"",AthleteNumbers,0))),0,MATCH(A917&amp;"",AthleteNumbers,0))</f>
        <v>0</v>
      </c>
      <c r="J917" s="209">
        <f t="array" ref="J917">IF(I917&gt;0,INDEX(DB,$I917,6),0)</f>
        <v>0</v>
      </c>
      <c r="K917" s="446">
        <f t="shared" si="5"/>
        <v>0</v>
      </c>
      <c r="L917" s="440">
        <f t="shared" si="6"/>
        <v>0</v>
      </c>
      <c r="M917" s="441">
        <f>IF(AND(L917&gt;O917,O917&gt;0),MinPoints,IF(AND(L917&lt;N917,O917&gt;0),100,+INT((O917-$L917)/P917)+MinPoints))</f>
        <v>100</v>
      </c>
      <c r="N917" s="440">
        <f t="shared" si="7"/>
        <v>90</v>
      </c>
      <c r="O917" s="440">
        <f t="shared" si="8"/>
        <v>180</v>
      </c>
      <c r="P917" s="440">
        <f t="shared" si="9"/>
        <v>1</v>
      </c>
      <c r="Q917">
        <f t="array" ref="Q917">IF(I917&gt;0,INDEX(DB,I917,9),EventIndex)</f>
        <v>6</v>
      </c>
      <c r="S917">
        <f t="array" ref="S917">(INT(INDEX(MINVALUES,$Q917,$K$1))*60)+(MOD(INDEX(MINVALUES,$Q917,$K$1),1)*100)</f>
        <v>180</v>
      </c>
      <c r="T917">
        <f t="array" ref="T917">(INDEX(INCVALUES,$Q917,$K$1)*100)</f>
        <v>1</v>
      </c>
      <c r="V917">
        <f t="array" ref="V917">+J917+(4*(INDEX(MatchScoreTable,$Q917,20)-1))</f>
        <v>4</v>
      </c>
      <c r="W917">
        <f t="array" ref="W917">INDEX(INC_MINVALUES,$V917,$K$1)</f>
        <v>480</v>
      </c>
      <c r="X917" s="212">
        <f t="array" ref="X917">INDEX(INC_INCVALUES,$V917,$K$1)</f>
        <v>4</v>
      </c>
    </row>
    <row r="918" ht="15.75" customHeight="1">
      <c r="A918" s="435"/>
      <c r="B918" s="436"/>
      <c r="C918" s="95" t="str">
        <f t="array" ref="C918">IF(I918&gt;0,INDEX(DB,I918,8),"")</f>
        <v/>
      </c>
      <c r="D918" s="437">
        <f t="shared" si="1"/>
        <v>0</v>
      </c>
      <c r="F918" s="438">
        <f t="shared" si="2"/>
        <v>0</v>
      </c>
      <c r="G918" t="str">
        <f t="shared" si="3"/>
        <v/>
      </c>
      <c r="H918" t="b">
        <f t="shared" si="4"/>
        <v>0</v>
      </c>
      <c r="I918" s="439">
        <f>IF(OR(ISBLANK(A918),ISNA(MATCH(A918&amp;"",AthleteNumbers,0))),0,MATCH(A918&amp;"",AthleteNumbers,0))</f>
        <v>0</v>
      </c>
      <c r="J918" s="209">
        <f t="array" ref="J918">IF(I918&gt;0,INDEX(DB,$I918,6),0)</f>
        <v>0</v>
      </c>
      <c r="K918" s="446">
        <f t="shared" si="5"/>
        <v>0</v>
      </c>
      <c r="L918" s="440">
        <f t="shared" si="6"/>
        <v>0</v>
      </c>
      <c r="M918" s="441">
        <f>IF(AND(L918&gt;O918,O918&gt;0),MinPoints,IF(AND(L918&lt;N918,O918&gt;0),100,+INT((O918-$L918)/P918)+MinPoints))</f>
        <v>100</v>
      </c>
      <c r="N918" s="440">
        <f t="shared" si="7"/>
        <v>90</v>
      </c>
      <c r="O918" s="440">
        <f t="shared" si="8"/>
        <v>180</v>
      </c>
      <c r="P918" s="440">
        <f t="shared" si="9"/>
        <v>1</v>
      </c>
      <c r="Q918">
        <f t="array" ref="Q918">IF(I918&gt;0,INDEX(DB,I918,9),EventIndex)</f>
        <v>6</v>
      </c>
      <c r="S918">
        <f t="array" ref="S918">(INT(INDEX(MINVALUES,$Q918,$K$1))*60)+(MOD(INDEX(MINVALUES,$Q918,$K$1),1)*100)</f>
        <v>180</v>
      </c>
      <c r="T918">
        <f t="array" ref="T918">(INDEX(INCVALUES,$Q918,$K$1)*100)</f>
        <v>1</v>
      </c>
      <c r="V918">
        <f t="array" ref="V918">+J918+(4*(INDEX(MatchScoreTable,$Q918,20)-1))</f>
        <v>4</v>
      </c>
      <c r="W918">
        <f t="array" ref="W918">INDEX(INC_MINVALUES,$V918,$K$1)</f>
        <v>480</v>
      </c>
      <c r="X918" s="212">
        <f t="array" ref="X918">INDEX(INC_INCVALUES,$V918,$K$1)</f>
        <v>4</v>
      </c>
    </row>
    <row r="919" ht="15.75" customHeight="1">
      <c r="A919" s="435"/>
      <c r="B919" s="436"/>
      <c r="C919" s="95" t="str">
        <f t="array" ref="C919">IF(I919&gt;0,INDEX(DB,I919,8),"")</f>
        <v/>
      </c>
      <c r="D919" s="437">
        <f t="shared" si="1"/>
        <v>0</v>
      </c>
      <c r="F919" s="438">
        <f t="shared" si="2"/>
        <v>0</v>
      </c>
      <c r="G919" t="str">
        <f t="shared" si="3"/>
        <v/>
      </c>
      <c r="H919" t="b">
        <f t="shared" si="4"/>
        <v>0</v>
      </c>
      <c r="I919" s="439">
        <f>IF(OR(ISBLANK(A919),ISNA(MATCH(A919&amp;"",AthleteNumbers,0))),0,MATCH(A919&amp;"",AthleteNumbers,0))</f>
        <v>0</v>
      </c>
      <c r="J919" s="209">
        <f t="array" ref="J919">IF(I919&gt;0,INDEX(DB,$I919,6),0)</f>
        <v>0</v>
      </c>
      <c r="K919" s="446">
        <f t="shared" si="5"/>
        <v>0</v>
      </c>
      <c r="L919" s="440">
        <f t="shared" si="6"/>
        <v>0</v>
      </c>
      <c r="M919" s="441">
        <f>IF(AND(L919&gt;O919,O919&gt;0),MinPoints,IF(AND(L919&lt;N919,O919&gt;0),100,+INT((O919-$L919)/P919)+MinPoints))</f>
        <v>100</v>
      </c>
      <c r="N919" s="440">
        <f t="shared" si="7"/>
        <v>90</v>
      </c>
      <c r="O919" s="440">
        <f t="shared" si="8"/>
        <v>180</v>
      </c>
      <c r="P919" s="440">
        <f t="shared" si="9"/>
        <v>1</v>
      </c>
      <c r="Q919">
        <f t="array" ref="Q919">IF(I919&gt;0,INDEX(DB,I919,9),EventIndex)</f>
        <v>6</v>
      </c>
      <c r="S919">
        <f t="array" ref="S919">(INT(INDEX(MINVALUES,$Q919,$K$1))*60)+(MOD(INDEX(MINVALUES,$Q919,$K$1),1)*100)</f>
        <v>180</v>
      </c>
      <c r="T919">
        <f t="array" ref="T919">(INDEX(INCVALUES,$Q919,$K$1)*100)</f>
        <v>1</v>
      </c>
      <c r="V919">
        <f t="array" ref="V919">+J919+(4*(INDEX(MatchScoreTable,$Q919,20)-1))</f>
        <v>4</v>
      </c>
      <c r="W919">
        <f t="array" ref="W919">INDEX(INC_MINVALUES,$V919,$K$1)</f>
        <v>480</v>
      </c>
      <c r="X919" s="212">
        <f t="array" ref="X919">INDEX(INC_INCVALUES,$V919,$K$1)</f>
        <v>4</v>
      </c>
    </row>
    <row r="920" ht="15.75" customHeight="1">
      <c r="A920" s="435"/>
      <c r="B920" s="436"/>
      <c r="C920" s="95" t="str">
        <f t="array" ref="C920">IF(I920&gt;0,INDEX(DB,I920,8),"")</f>
        <v/>
      </c>
      <c r="D920" s="437">
        <f t="shared" si="1"/>
        <v>0</v>
      </c>
      <c r="F920" s="438">
        <f t="shared" si="2"/>
        <v>0</v>
      </c>
      <c r="G920" t="str">
        <f t="shared" si="3"/>
        <v/>
      </c>
      <c r="H920" t="b">
        <f t="shared" si="4"/>
        <v>0</v>
      </c>
      <c r="I920" s="439">
        <f>IF(OR(ISBLANK(A920),ISNA(MATCH(A920&amp;"",AthleteNumbers,0))),0,MATCH(A920&amp;"",AthleteNumbers,0))</f>
        <v>0</v>
      </c>
      <c r="J920" s="209">
        <f t="array" ref="J920">IF(I920&gt;0,INDEX(DB,$I920,6),0)</f>
        <v>0</v>
      </c>
      <c r="K920" s="446">
        <f t="shared" si="5"/>
        <v>0</v>
      </c>
      <c r="L920" s="440">
        <f t="shared" si="6"/>
        <v>0</v>
      </c>
      <c r="M920" s="441">
        <f>IF(AND(L920&gt;O920,O920&gt;0),MinPoints,IF(AND(L920&lt;N920,O920&gt;0),100,+INT((O920-$L920)/P920)+MinPoints))</f>
        <v>100</v>
      </c>
      <c r="N920" s="440">
        <f t="shared" si="7"/>
        <v>90</v>
      </c>
      <c r="O920" s="440">
        <f t="shared" si="8"/>
        <v>180</v>
      </c>
      <c r="P920" s="440">
        <f t="shared" si="9"/>
        <v>1</v>
      </c>
      <c r="Q920">
        <f t="array" ref="Q920">IF(I920&gt;0,INDEX(DB,I920,9),EventIndex)</f>
        <v>6</v>
      </c>
      <c r="S920">
        <f t="array" ref="S920">(INT(INDEX(MINVALUES,$Q920,$K$1))*60)+(MOD(INDEX(MINVALUES,$Q920,$K$1),1)*100)</f>
        <v>180</v>
      </c>
      <c r="T920">
        <f t="array" ref="T920">(INDEX(INCVALUES,$Q920,$K$1)*100)</f>
        <v>1</v>
      </c>
      <c r="V920">
        <f t="array" ref="V920">+J920+(4*(INDEX(MatchScoreTable,$Q920,20)-1))</f>
        <v>4</v>
      </c>
      <c r="W920">
        <f t="array" ref="W920">INDEX(INC_MINVALUES,$V920,$K$1)</f>
        <v>480</v>
      </c>
      <c r="X920" s="212">
        <f t="array" ref="X920">INDEX(INC_INCVALUES,$V920,$K$1)</f>
        <v>4</v>
      </c>
    </row>
    <row r="921" ht="15.75" customHeight="1">
      <c r="A921" s="435"/>
      <c r="B921" s="436"/>
      <c r="C921" s="95" t="str">
        <f t="array" ref="C921">IF(I921&gt;0,INDEX(DB,I921,8),"")</f>
        <v/>
      </c>
      <c r="D921" s="437">
        <f t="shared" si="1"/>
        <v>0</v>
      </c>
      <c r="F921" s="438">
        <f t="shared" si="2"/>
        <v>0</v>
      </c>
      <c r="G921" t="str">
        <f t="shared" si="3"/>
        <v/>
      </c>
      <c r="H921" t="b">
        <f t="shared" si="4"/>
        <v>0</v>
      </c>
      <c r="I921" s="439">
        <f>IF(OR(ISBLANK(A921),ISNA(MATCH(A921&amp;"",AthleteNumbers,0))),0,MATCH(A921&amp;"",AthleteNumbers,0))</f>
        <v>0</v>
      </c>
      <c r="J921" s="209">
        <f t="array" ref="J921">IF(I921&gt;0,INDEX(DB,$I921,6),0)</f>
        <v>0</v>
      </c>
      <c r="K921" s="446">
        <f t="shared" si="5"/>
        <v>0</v>
      </c>
      <c r="L921" s="440">
        <f t="shared" si="6"/>
        <v>0</v>
      </c>
      <c r="M921" s="441">
        <f>IF(AND(L921&gt;O921,O921&gt;0),MinPoints,IF(AND(L921&lt;N921,O921&gt;0),100,+INT((O921-$L921)/P921)+MinPoints))</f>
        <v>100</v>
      </c>
      <c r="N921" s="440">
        <f t="shared" si="7"/>
        <v>90</v>
      </c>
      <c r="O921" s="440">
        <f t="shared" si="8"/>
        <v>180</v>
      </c>
      <c r="P921" s="440">
        <f t="shared" si="9"/>
        <v>1</v>
      </c>
      <c r="Q921">
        <f t="array" ref="Q921">IF(I921&gt;0,INDEX(DB,I921,9),EventIndex)</f>
        <v>6</v>
      </c>
      <c r="S921">
        <f t="array" ref="S921">(INT(INDEX(MINVALUES,$Q921,$K$1))*60)+(MOD(INDEX(MINVALUES,$Q921,$K$1),1)*100)</f>
        <v>180</v>
      </c>
      <c r="T921">
        <f t="array" ref="T921">(INDEX(INCVALUES,$Q921,$K$1)*100)</f>
        <v>1</v>
      </c>
      <c r="V921">
        <f t="array" ref="V921">+J921+(4*(INDEX(MatchScoreTable,$Q921,20)-1))</f>
        <v>4</v>
      </c>
      <c r="W921">
        <f t="array" ref="W921">INDEX(INC_MINVALUES,$V921,$K$1)</f>
        <v>480</v>
      </c>
      <c r="X921" s="212">
        <f t="array" ref="X921">INDEX(INC_INCVALUES,$V921,$K$1)</f>
        <v>4</v>
      </c>
    </row>
    <row r="922" ht="15.75" customHeight="1">
      <c r="A922" s="435"/>
      <c r="B922" s="436"/>
      <c r="C922" s="95" t="str">
        <f t="array" ref="C922">IF(I922&gt;0,INDEX(DB,I922,8),"")</f>
        <v/>
      </c>
      <c r="D922" s="437">
        <f t="shared" si="1"/>
        <v>0</v>
      </c>
      <c r="F922" s="438">
        <f t="shared" si="2"/>
        <v>0</v>
      </c>
      <c r="G922" t="str">
        <f t="shared" si="3"/>
        <v/>
      </c>
      <c r="H922" t="b">
        <f t="shared" si="4"/>
        <v>0</v>
      </c>
      <c r="I922" s="439">
        <f>IF(OR(ISBLANK(A922),ISNA(MATCH(A922&amp;"",AthleteNumbers,0))),0,MATCH(A922&amp;"",AthleteNumbers,0))</f>
        <v>0</v>
      </c>
      <c r="J922" s="209">
        <f t="array" ref="J922">IF(I922&gt;0,INDEX(DB,$I922,6),0)</f>
        <v>0</v>
      </c>
      <c r="K922" s="446">
        <f t="shared" si="5"/>
        <v>0</v>
      </c>
      <c r="L922" s="440">
        <f t="shared" si="6"/>
        <v>0</v>
      </c>
      <c r="M922" s="441">
        <f>IF(AND(L922&gt;O922,O922&gt;0),MinPoints,IF(AND(L922&lt;N922,O922&gt;0),100,+INT((O922-$L922)/P922)+MinPoints))</f>
        <v>100</v>
      </c>
      <c r="N922" s="440">
        <f t="shared" si="7"/>
        <v>90</v>
      </c>
      <c r="O922" s="440">
        <f t="shared" si="8"/>
        <v>180</v>
      </c>
      <c r="P922" s="440">
        <f t="shared" si="9"/>
        <v>1</v>
      </c>
      <c r="Q922">
        <f t="array" ref="Q922">IF(I922&gt;0,INDEX(DB,I922,9),EventIndex)</f>
        <v>6</v>
      </c>
      <c r="S922">
        <f t="array" ref="S922">(INT(INDEX(MINVALUES,$Q922,$K$1))*60)+(MOD(INDEX(MINVALUES,$Q922,$K$1),1)*100)</f>
        <v>180</v>
      </c>
      <c r="T922">
        <f t="array" ref="T922">(INDEX(INCVALUES,$Q922,$K$1)*100)</f>
        <v>1</v>
      </c>
      <c r="V922">
        <f t="array" ref="V922">+J922+(4*(INDEX(MatchScoreTable,$Q922,20)-1))</f>
        <v>4</v>
      </c>
      <c r="W922">
        <f t="array" ref="W922">INDEX(INC_MINVALUES,$V922,$K$1)</f>
        <v>480</v>
      </c>
      <c r="X922" s="212">
        <f t="array" ref="X922">INDEX(INC_INCVALUES,$V922,$K$1)</f>
        <v>4</v>
      </c>
    </row>
    <row r="923" ht="15.75" customHeight="1">
      <c r="A923" s="435"/>
      <c r="B923" s="436"/>
      <c r="C923" s="95" t="str">
        <f t="array" ref="C923">IF(I923&gt;0,INDEX(DB,I923,8),"")</f>
        <v/>
      </c>
      <c r="D923" s="437">
        <f t="shared" si="1"/>
        <v>0</v>
      </c>
      <c r="F923" s="438">
        <f t="shared" si="2"/>
        <v>0</v>
      </c>
      <c r="G923" t="str">
        <f t="shared" si="3"/>
        <v/>
      </c>
      <c r="H923" t="b">
        <f t="shared" si="4"/>
        <v>0</v>
      </c>
      <c r="I923" s="439">
        <f>IF(OR(ISBLANK(A923),ISNA(MATCH(A923&amp;"",AthleteNumbers,0))),0,MATCH(A923&amp;"",AthleteNumbers,0))</f>
        <v>0</v>
      </c>
      <c r="J923" s="209">
        <f t="array" ref="J923">IF(I923&gt;0,INDEX(DB,$I923,6),0)</f>
        <v>0</v>
      </c>
      <c r="K923" s="446">
        <f t="shared" si="5"/>
        <v>0</v>
      </c>
      <c r="L923" s="440">
        <f t="shared" si="6"/>
        <v>0</v>
      </c>
      <c r="M923" s="441">
        <f>IF(AND(L923&gt;O923,O923&gt;0),MinPoints,IF(AND(L923&lt;N923,O923&gt;0),100,+INT((O923-$L923)/P923)+MinPoints))</f>
        <v>100</v>
      </c>
      <c r="N923" s="440">
        <f t="shared" si="7"/>
        <v>90</v>
      </c>
      <c r="O923" s="440">
        <f t="shared" si="8"/>
        <v>180</v>
      </c>
      <c r="P923" s="440">
        <f t="shared" si="9"/>
        <v>1</v>
      </c>
      <c r="Q923">
        <f t="array" ref="Q923">IF(I923&gt;0,INDEX(DB,I923,9),EventIndex)</f>
        <v>6</v>
      </c>
      <c r="S923">
        <f t="array" ref="S923">(INT(INDEX(MINVALUES,$Q923,$K$1))*60)+(MOD(INDEX(MINVALUES,$Q923,$K$1),1)*100)</f>
        <v>180</v>
      </c>
      <c r="T923">
        <f t="array" ref="T923">(INDEX(INCVALUES,$Q923,$K$1)*100)</f>
        <v>1</v>
      </c>
      <c r="V923">
        <f t="array" ref="V923">+J923+(4*(INDEX(MatchScoreTable,$Q923,20)-1))</f>
        <v>4</v>
      </c>
      <c r="W923">
        <f t="array" ref="W923">INDEX(INC_MINVALUES,$V923,$K$1)</f>
        <v>480</v>
      </c>
      <c r="X923" s="212">
        <f t="array" ref="X923">INDEX(INC_INCVALUES,$V923,$K$1)</f>
        <v>4</v>
      </c>
    </row>
    <row r="924" ht="15.75" customHeight="1">
      <c r="A924" s="435"/>
      <c r="B924" s="436"/>
      <c r="C924" s="95" t="str">
        <f t="array" ref="C924">IF(I924&gt;0,INDEX(DB,I924,8),"")</f>
        <v/>
      </c>
      <c r="D924" s="437">
        <f t="shared" si="1"/>
        <v>0</v>
      </c>
      <c r="F924" s="438">
        <f t="shared" si="2"/>
        <v>0</v>
      </c>
      <c r="G924" t="str">
        <f t="shared" si="3"/>
        <v/>
      </c>
      <c r="H924" t="b">
        <f t="shared" si="4"/>
        <v>0</v>
      </c>
      <c r="I924" s="439">
        <f>IF(OR(ISBLANK(A924),ISNA(MATCH(A924&amp;"",AthleteNumbers,0))),0,MATCH(A924&amp;"",AthleteNumbers,0))</f>
        <v>0</v>
      </c>
      <c r="J924" s="209">
        <f t="array" ref="J924">IF(I924&gt;0,INDEX(DB,$I924,6),0)</f>
        <v>0</v>
      </c>
      <c r="K924" s="446">
        <f t="shared" si="5"/>
        <v>0</v>
      </c>
      <c r="L924" s="440">
        <f t="shared" si="6"/>
        <v>0</v>
      </c>
      <c r="M924" s="441">
        <f>IF(AND(L924&gt;O924,O924&gt;0),MinPoints,IF(AND(L924&lt;N924,O924&gt;0),100,+INT((O924-$L924)/P924)+MinPoints))</f>
        <v>100</v>
      </c>
      <c r="N924" s="440">
        <f t="shared" si="7"/>
        <v>90</v>
      </c>
      <c r="O924" s="440">
        <f t="shared" si="8"/>
        <v>180</v>
      </c>
      <c r="P924" s="440">
        <f t="shared" si="9"/>
        <v>1</v>
      </c>
      <c r="Q924">
        <f t="array" ref="Q924">IF(I924&gt;0,INDEX(DB,I924,9),EventIndex)</f>
        <v>6</v>
      </c>
      <c r="S924">
        <f t="array" ref="S924">(INT(INDEX(MINVALUES,$Q924,$K$1))*60)+(MOD(INDEX(MINVALUES,$Q924,$K$1),1)*100)</f>
        <v>180</v>
      </c>
      <c r="T924">
        <f t="array" ref="T924">(INDEX(INCVALUES,$Q924,$K$1)*100)</f>
        <v>1</v>
      </c>
      <c r="V924">
        <f t="array" ref="V924">+J924+(4*(INDEX(MatchScoreTable,$Q924,20)-1))</f>
        <v>4</v>
      </c>
      <c r="W924">
        <f t="array" ref="W924">INDEX(INC_MINVALUES,$V924,$K$1)</f>
        <v>480</v>
      </c>
      <c r="X924" s="212">
        <f t="array" ref="X924">INDEX(INC_INCVALUES,$V924,$K$1)</f>
        <v>4</v>
      </c>
    </row>
    <row r="925" ht="15.75" customHeight="1">
      <c r="A925" s="435"/>
      <c r="B925" s="436"/>
      <c r="C925" s="95" t="str">
        <f t="array" ref="C925">IF(I925&gt;0,INDEX(DB,I925,8),"")</f>
        <v/>
      </c>
      <c r="D925" s="437">
        <f t="shared" si="1"/>
        <v>0</v>
      </c>
      <c r="F925" s="438">
        <f t="shared" si="2"/>
        <v>0</v>
      </c>
      <c r="G925" t="str">
        <f t="shared" si="3"/>
        <v/>
      </c>
      <c r="H925" t="b">
        <f t="shared" si="4"/>
        <v>0</v>
      </c>
      <c r="I925" s="439">
        <f>IF(OR(ISBLANK(A925),ISNA(MATCH(A925&amp;"",AthleteNumbers,0))),0,MATCH(A925&amp;"",AthleteNumbers,0))</f>
        <v>0</v>
      </c>
      <c r="J925" s="209">
        <f t="array" ref="J925">IF(I925&gt;0,INDEX(DB,$I925,6),0)</f>
        <v>0</v>
      </c>
      <c r="K925" s="446">
        <f t="shared" si="5"/>
        <v>0</v>
      </c>
      <c r="L925" s="440">
        <f t="shared" si="6"/>
        <v>0</v>
      </c>
      <c r="M925" s="441">
        <f>IF(AND(L925&gt;O925,O925&gt;0),MinPoints,IF(AND(L925&lt;N925,O925&gt;0),100,+INT((O925-$L925)/P925)+MinPoints))</f>
        <v>100</v>
      </c>
      <c r="N925" s="440">
        <f t="shared" si="7"/>
        <v>90</v>
      </c>
      <c r="O925" s="440">
        <f t="shared" si="8"/>
        <v>180</v>
      </c>
      <c r="P925" s="440">
        <f t="shared" si="9"/>
        <v>1</v>
      </c>
      <c r="Q925">
        <f t="array" ref="Q925">IF(I925&gt;0,INDEX(DB,I925,9),EventIndex)</f>
        <v>6</v>
      </c>
      <c r="S925">
        <f t="array" ref="S925">(INT(INDEX(MINVALUES,$Q925,$K$1))*60)+(MOD(INDEX(MINVALUES,$Q925,$K$1),1)*100)</f>
        <v>180</v>
      </c>
      <c r="T925">
        <f t="array" ref="T925">(INDEX(INCVALUES,$Q925,$K$1)*100)</f>
        <v>1</v>
      </c>
      <c r="V925">
        <f t="array" ref="V925">+J925+(4*(INDEX(MatchScoreTable,$Q925,20)-1))</f>
        <v>4</v>
      </c>
      <c r="W925">
        <f t="array" ref="W925">INDEX(INC_MINVALUES,$V925,$K$1)</f>
        <v>480</v>
      </c>
      <c r="X925" s="212">
        <f t="array" ref="X925">INDEX(INC_INCVALUES,$V925,$K$1)</f>
        <v>4</v>
      </c>
    </row>
    <row r="926" ht="15.75" customHeight="1">
      <c r="A926" s="435"/>
      <c r="B926" s="436"/>
      <c r="C926" s="95" t="str">
        <f t="array" ref="C926">IF(I926&gt;0,INDEX(DB,I926,8),"")</f>
        <v/>
      </c>
      <c r="D926" s="437">
        <f t="shared" si="1"/>
        <v>0</v>
      </c>
      <c r="F926" s="438">
        <f t="shared" si="2"/>
        <v>0</v>
      </c>
      <c r="G926" t="str">
        <f t="shared" si="3"/>
        <v/>
      </c>
      <c r="H926" t="b">
        <f t="shared" si="4"/>
        <v>0</v>
      </c>
      <c r="I926" s="439">
        <f>IF(OR(ISBLANK(A926),ISNA(MATCH(A926&amp;"",AthleteNumbers,0))),0,MATCH(A926&amp;"",AthleteNumbers,0))</f>
        <v>0</v>
      </c>
      <c r="J926" s="209">
        <f t="array" ref="J926">IF(I926&gt;0,INDEX(DB,$I926,6),0)</f>
        <v>0</v>
      </c>
      <c r="K926" s="446">
        <f t="shared" si="5"/>
        <v>0</v>
      </c>
      <c r="L926" s="440">
        <f t="shared" si="6"/>
        <v>0</v>
      </c>
      <c r="M926" s="441">
        <f>IF(AND(L926&gt;O926,O926&gt;0),MinPoints,IF(AND(L926&lt;N926,O926&gt;0),100,+INT((O926-$L926)/P926)+MinPoints))</f>
        <v>100</v>
      </c>
      <c r="N926" s="440">
        <f t="shared" si="7"/>
        <v>90</v>
      </c>
      <c r="O926" s="440">
        <f t="shared" si="8"/>
        <v>180</v>
      </c>
      <c r="P926" s="440">
        <f t="shared" si="9"/>
        <v>1</v>
      </c>
      <c r="Q926">
        <f t="array" ref="Q926">IF(I926&gt;0,INDEX(DB,I926,9),EventIndex)</f>
        <v>6</v>
      </c>
      <c r="S926">
        <f t="array" ref="S926">(INT(INDEX(MINVALUES,$Q926,$K$1))*60)+(MOD(INDEX(MINVALUES,$Q926,$K$1),1)*100)</f>
        <v>180</v>
      </c>
      <c r="T926">
        <f t="array" ref="T926">(INDEX(INCVALUES,$Q926,$K$1)*100)</f>
        <v>1</v>
      </c>
      <c r="V926">
        <f t="array" ref="V926">+J926+(4*(INDEX(MatchScoreTable,$Q926,20)-1))</f>
        <v>4</v>
      </c>
      <c r="W926">
        <f t="array" ref="W926">INDEX(INC_MINVALUES,$V926,$K$1)</f>
        <v>480</v>
      </c>
      <c r="X926" s="212">
        <f t="array" ref="X926">INDEX(INC_INCVALUES,$V926,$K$1)</f>
        <v>4</v>
      </c>
    </row>
    <row r="927" ht="15.75" customHeight="1">
      <c r="A927" s="435"/>
      <c r="B927" s="436"/>
      <c r="C927" s="95" t="str">
        <f t="array" ref="C927">IF(I927&gt;0,INDEX(DB,I927,8),"")</f>
        <v/>
      </c>
      <c r="D927" s="437">
        <f t="shared" si="1"/>
        <v>0</v>
      </c>
      <c r="F927" s="438">
        <f t="shared" si="2"/>
        <v>0</v>
      </c>
      <c r="G927" t="str">
        <f t="shared" si="3"/>
        <v/>
      </c>
      <c r="H927" t="b">
        <f t="shared" si="4"/>
        <v>0</v>
      </c>
      <c r="I927" s="439">
        <f>IF(OR(ISBLANK(A927),ISNA(MATCH(A927&amp;"",AthleteNumbers,0))),0,MATCH(A927&amp;"",AthleteNumbers,0))</f>
        <v>0</v>
      </c>
      <c r="J927" s="209">
        <f t="array" ref="J927">IF(I927&gt;0,INDEX(DB,$I927,6),0)</f>
        <v>0</v>
      </c>
      <c r="K927" s="446">
        <f t="shared" si="5"/>
        <v>0</v>
      </c>
      <c r="L927" s="440">
        <f t="shared" si="6"/>
        <v>0</v>
      </c>
      <c r="M927" s="441">
        <f>IF(AND(L927&gt;O927,O927&gt;0),MinPoints,IF(AND(L927&lt;N927,O927&gt;0),100,+INT((O927-$L927)/P927)+MinPoints))</f>
        <v>100</v>
      </c>
      <c r="N927" s="440">
        <f t="shared" si="7"/>
        <v>90</v>
      </c>
      <c r="O927" s="440">
        <f t="shared" si="8"/>
        <v>180</v>
      </c>
      <c r="P927" s="440">
        <f t="shared" si="9"/>
        <v>1</v>
      </c>
      <c r="Q927">
        <f t="array" ref="Q927">IF(I927&gt;0,INDEX(DB,I927,9),EventIndex)</f>
        <v>6</v>
      </c>
      <c r="S927">
        <f t="array" ref="S927">(INT(INDEX(MINVALUES,$Q927,$K$1))*60)+(MOD(INDEX(MINVALUES,$Q927,$K$1),1)*100)</f>
        <v>180</v>
      </c>
      <c r="T927">
        <f t="array" ref="T927">(INDEX(INCVALUES,$Q927,$K$1)*100)</f>
        <v>1</v>
      </c>
      <c r="V927">
        <f t="array" ref="V927">+J927+(4*(INDEX(MatchScoreTable,$Q927,20)-1))</f>
        <v>4</v>
      </c>
      <c r="W927">
        <f t="array" ref="W927">INDEX(INC_MINVALUES,$V927,$K$1)</f>
        <v>480</v>
      </c>
      <c r="X927" s="212">
        <f t="array" ref="X927">INDEX(INC_INCVALUES,$V927,$K$1)</f>
        <v>4</v>
      </c>
    </row>
    <row r="928" ht="15.75" customHeight="1">
      <c r="A928" s="435"/>
      <c r="B928" s="436"/>
      <c r="C928" s="95" t="str">
        <f t="array" ref="C928">IF(I928&gt;0,INDEX(DB,I928,8),"")</f>
        <v/>
      </c>
      <c r="D928" s="437">
        <f t="shared" si="1"/>
        <v>0</v>
      </c>
      <c r="F928" s="438">
        <f t="shared" si="2"/>
        <v>0</v>
      </c>
      <c r="G928" t="str">
        <f t="shared" si="3"/>
        <v/>
      </c>
      <c r="H928" t="b">
        <f t="shared" si="4"/>
        <v>0</v>
      </c>
      <c r="I928" s="439">
        <f>IF(OR(ISBLANK(A928),ISNA(MATCH(A928&amp;"",AthleteNumbers,0))),0,MATCH(A928&amp;"",AthleteNumbers,0))</f>
        <v>0</v>
      </c>
      <c r="J928" s="209">
        <f t="array" ref="J928">IF(I928&gt;0,INDEX(DB,$I928,6),0)</f>
        <v>0</v>
      </c>
      <c r="K928" s="446">
        <f t="shared" si="5"/>
        <v>0</v>
      </c>
      <c r="L928" s="440">
        <f t="shared" si="6"/>
        <v>0</v>
      </c>
      <c r="M928" s="441">
        <f>IF(AND(L928&gt;O928,O928&gt;0),MinPoints,IF(AND(L928&lt;N928,O928&gt;0),100,+INT((O928-$L928)/P928)+MinPoints))</f>
        <v>100</v>
      </c>
      <c r="N928" s="440">
        <f t="shared" si="7"/>
        <v>90</v>
      </c>
      <c r="O928" s="440">
        <f t="shared" si="8"/>
        <v>180</v>
      </c>
      <c r="P928" s="440">
        <f t="shared" si="9"/>
        <v>1</v>
      </c>
      <c r="Q928">
        <f t="array" ref="Q928">IF(I928&gt;0,INDEX(DB,I928,9),EventIndex)</f>
        <v>6</v>
      </c>
      <c r="S928">
        <f t="array" ref="S928">(INT(INDEX(MINVALUES,$Q928,$K$1))*60)+(MOD(INDEX(MINVALUES,$Q928,$K$1),1)*100)</f>
        <v>180</v>
      </c>
      <c r="T928">
        <f t="array" ref="T928">(INDEX(INCVALUES,$Q928,$K$1)*100)</f>
        <v>1</v>
      </c>
      <c r="V928">
        <f t="array" ref="V928">+J928+(4*(INDEX(MatchScoreTable,$Q928,20)-1))</f>
        <v>4</v>
      </c>
      <c r="W928">
        <f t="array" ref="W928">INDEX(INC_MINVALUES,$V928,$K$1)</f>
        <v>480</v>
      </c>
      <c r="X928" s="212">
        <f t="array" ref="X928">INDEX(INC_INCVALUES,$V928,$K$1)</f>
        <v>4</v>
      </c>
    </row>
    <row r="929" ht="15.75" customHeight="1">
      <c r="A929" s="435"/>
      <c r="B929" s="436"/>
      <c r="C929" s="95" t="str">
        <f t="array" ref="C929">IF(I929&gt;0,INDEX(DB,I929,8),"")</f>
        <v/>
      </c>
      <c r="D929" s="437">
        <f t="shared" si="1"/>
        <v>0</v>
      </c>
      <c r="F929" s="438">
        <f t="shared" si="2"/>
        <v>0</v>
      </c>
      <c r="G929" t="str">
        <f t="shared" si="3"/>
        <v/>
      </c>
      <c r="H929" t="b">
        <f t="shared" si="4"/>
        <v>0</v>
      </c>
      <c r="I929" s="439">
        <f>IF(OR(ISBLANK(A929),ISNA(MATCH(A929&amp;"",AthleteNumbers,0))),0,MATCH(A929&amp;"",AthleteNumbers,0))</f>
        <v>0</v>
      </c>
      <c r="J929" s="209">
        <f t="array" ref="J929">IF(I929&gt;0,INDEX(DB,$I929,6),0)</f>
        <v>0</v>
      </c>
      <c r="K929" s="446">
        <f t="shared" si="5"/>
        <v>0</v>
      </c>
      <c r="L929" s="440">
        <f t="shared" si="6"/>
        <v>0</v>
      </c>
      <c r="M929" s="441">
        <f>IF(AND(L929&gt;O929,O929&gt;0),MinPoints,IF(AND(L929&lt;N929,O929&gt;0),100,+INT((O929-$L929)/P929)+MinPoints))</f>
        <v>100</v>
      </c>
      <c r="N929" s="440">
        <f t="shared" si="7"/>
        <v>90</v>
      </c>
      <c r="O929" s="440">
        <f t="shared" si="8"/>
        <v>180</v>
      </c>
      <c r="P929" s="440">
        <f t="shared" si="9"/>
        <v>1</v>
      </c>
      <c r="Q929">
        <f t="array" ref="Q929">IF(I929&gt;0,INDEX(DB,I929,9),EventIndex)</f>
        <v>6</v>
      </c>
      <c r="S929">
        <f t="array" ref="S929">(INT(INDEX(MINVALUES,$Q929,$K$1))*60)+(MOD(INDEX(MINVALUES,$Q929,$K$1),1)*100)</f>
        <v>180</v>
      </c>
      <c r="T929">
        <f t="array" ref="T929">(INDEX(INCVALUES,$Q929,$K$1)*100)</f>
        <v>1</v>
      </c>
      <c r="V929">
        <f t="array" ref="V929">+J929+(4*(INDEX(MatchScoreTable,$Q929,20)-1))</f>
        <v>4</v>
      </c>
      <c r="W929">
        <f t="array" ref="W929">INDEX(INC_MINVALUES,$V929,$K$1)</f>
        <v>480</v>
      </c>
      <c r="X929" s="212">
        <f t="array" ref="X929">INDEX(INC_INCVALUES,$V929,$K$1)</f>
        <v>4</v>
      </c>
    </row>
    <row r="930" ht="15.75" customHeight="1">
      <c r="A930" s="435"/>
      <c r="B930" s="436"/>
      <c r="C930" s="95" t="str">
        <f t="array" ref="C930">IF(I930&gt;0,INDEX(DB,I930,8),"")</f>
        <v/>
      </c>
      <c r="D930" s="437">
        <f t="shared" si="1"/>
        <v>0</v>
      </c>
      <c r="F930" s="438">
        <f t="shared" si="2"/>
        <v>0</v>
      </c>
      <c r="G930" t="str">
        <f t="shared" si="3"/>
        <v/>
      </c>
      <c r="H930" t="b">
        <f t="shared" si="4"/>
        <v>0</v>
      </c>
      <c r="I930" s="439">
        <f>IF(OR(ISBLANK(A930),ISNA(MATCH(A930&amp;"",AthleteNumbers,0))),0,MATCH(A930&amp;"",AthleteNumbers,0))</f>
        <v>0</v>
      </c>
      <c r="J930" s="209">
        <f t="array" ref="J930">IF(I930&gt;0,INDEX(DB,$I930,6),0)</f>
        <v>0</v>
      </c>
      <c r="K930" s="446">
        <f t="shared" si="5"/>
        <v>0</v>
      </c>
      <c r="L930" s="440">
        <f t="shared" si="6"/>
        <v>0</v>
      </c>
      <c r="M930" s="441">
        <f>IF(AND(L930&gt;O930,O930&gt;0),MinPoints,IF(AND(L930&lt;N930,O930&gt;0),100,+INT((O930-$L930)/P930)+MinPoints))</f>
        <v>100</v>
      </c>
      <c r="N930" s="440">
        <f t="shared" si="7"/>
        <v>90</v>
      </c>
      <c r="O930" s="440">
        <f t="shared" si="8"/>
        <v>180</v>
      </c>
      <c r="P930" s="440">
        <f t="shared" si="9"/>
        <v>1</v>
      </c>
      <c r="Q930">
        <f t="array" ref="Q930">IF(I930&gt;0,INDEX(DB,I930,9),EventIndex)</f>
        <v>6</v>
      </c>
      <c r="S930">
        <f t="array" ref="S930">(INT(INDEX(MINVALUES,$Q930,$K$1))*60)+(MOD(INDEX(MINVALUES,$Q930,$K$1),1)*100)</f>
        <v>180</v>
      </c>
      <c r="T930">
        <f t="array" ref="T930">(INDEX(INCVALUES,$Q930,$K$1)*100)</f>
        <v>1</v>
      </c>
      <c r="V930">
        <f t="array" ref="V930">+J930+(4*(INDEX(MatchScoreTable,$Q930,20)-1))</f>
        <v>4</v>
      </c>
      <c r="W930">
        <f t="array" ref="W930">INDEX(INC_MINVALUES,$V930,$K$1)</f>
        <v>480</v>
      </c>
      <c r="X930" s="212">
        <f t="array" ref="X930">INDEX(INC_INCVALUES,$V930,$K$1)</f>
        <v>4</v>
      </c>
    </row>
    <row r="931" ht="15.75" customHeight="1">
      <c r="A931" s="435"/>
      <c r="B931" s="436"/>
      <c r="C931" s="95" t="str">
        <f t="array" ref="C931">IF(I931&gt;0,INDEX(DB,I931,8),"")</f>
        <v/>
      </c>
      <c r="D931" s="437">
        <f t="shared" si="1"/>
        <v>0</v>
      </c>
      <c r="F931" s="438">
        <f t="shared" si="2"/>
        <v>0</v>
      </c>
      <c r="G931" t="str">
        <f t="shared" si="3"/>
        <v/>
      </c>
      <c r="H931" t="b">
        <f t="shared" si="4"/>
        <v>0</v>
      </c>
      <c r="I931" s="439">
        <f>IF(OR(ISBLANK(A931),ISNA(MATCH(A931&amp;"",AthleteNumbers,0))),0,MATCH(A931&amp;"",AthleteNumbers,0))</f>
        <v>0</v>
      </c>
      <c r="J931" s="209">
        <f t="array" ref="J931">IF(I931&gt;0,INDEX(DB,$I931,6),0)</f>
        <v>0</v>
      </c>
      <c r="K931" s="446">
        <f t="shared" si="5"/>
        <v>0</v>
      </c>
      <c r="L931" s="440">
        <f t="shared" si="6"/>
        <v>0</v>
      </c>
      <c r="M931" s="441">
        <f>IF(AND(L931&gt;O931,O931&gt;0),MinPoints,IF(AND(L931&lt;N931,O931&gt;0),100,+INT((O931-$L931)/P931)+MinPoints))</f>
        <v>100</v>
      </c>
      <c r="N931" s="440">
        <f t="shared" si="7"/>
        <v>90</v>
      </c>
      <c r="O931" s="440">
        <f t="shared" si="8"/>
        <v>180</v>
      </c>
      <c r="P931" s="440">
        <f t="shared" si="9"/>
        <v>1</v>
      </c>
      <c r="Q931">
        <f t="array" ref="Q931">IF(I931&gt;0,INDEX(DB,I931,9),EventIndex)</f>
        <v>6</v>
      </c>
      <c r="S931">
        <f t="array" ref="S931">(INT(INDEX(MINVALUES,$Q931,$K$1))*60)+(MOD(INDEX(MINVALUES,$Q931,$K$1),1)*100)</f>
        <v>180</v>
      </c>
      <c r="T931">
        <f t="array" ref="T931">(INDEX(INCVALUES,$Q931,$K$1)*100)</f>
        <v>1</v>
      </c>
      <c r="V931">
        <f t="array" ref="V931">+J931+(4*(INDEX(MatchScoreTable,$Q931,20)-1))</f>
        <v>4</v>
      </c>
      <c r="W931">
        <f t="array" ref="W931">INDEX(INC_MINVALUES,$V931,$K$1)</f>
        <v>480</v>
      </c>
      <c r="X931" s="212">
        <f t="array" ref="X931">INDEX(INC_INCVALUES,$V931,$K$1)</f>
        <v>4</v>
      </c>
    </row>
    <row r="932" ht="15.75" customHeight="1">
      <c r="A932" s="435"/>
      <c r="B932" s="436"/>
      <c r="C932" s="95" t="str">
        <f t="array" ref="C932">IF(I932&gt;0,INDEX(DB,I932,8),"")</f>
        <v/>
      </c>
      <c r="D932" s="437">
        <f t="shared" si="1"/>
        <v>0</v>
      </c>
      <c r="F932" s="438">
        <f t="shared" si="2"/>
        <v>0</v>
      </c>
      <c r="G932" t="str">
        <f t="shared" si="3"/>
        <v/>
      </c>
      <c r="H932" t="b">
        <f t="shared" si="4"/>
        <v>0</v>
      </c>
      <c r="I932" s="439">
        <f>IF(OR(ISBLANK(A932),ISNA(MATCH(A932&amp;"",AthleteNumbers,0))),0,MATCH(A932&amp;"",AthleteNumbers,0))</f>
        <v>0</v>
      </c>
      <c r="J932" s="209">
        <f t="array" ref="J932">IF(I932&gt;0,INDEX(DB,$I932,6),0)</f>
        <v>0</v>
      </c>
      <c r="K932" s="446">
        <f t="shared" si="5"/>
        <v>0</v>
      </c>
      <c r="L932" s="440">
        <f t="shared" si="6"/>
        <v>0</v>
      </c>
      <c r="M932" s="441">
        <f>IF(AND(L932&gt;O932,O932&gt;0),MinPoints,IF(AND(L932&lt;N932,O932&gt;0),100,+INT((O932-$L932)/P932)+MinPoints))</f>
        <v>100</v>
      </c>
      <c r="N932" s="440">
        <f t="shared" si="7"/>
        <v>90</v>
      </c>
      <c r="O932" s="440">
        <f t="shared" si="8"/>
        <v>180</v>
      </c>
      <c r="P932" s="440">
        <f t="shared" si="9"/>
        <v>1</v>
      </c>
      <c r="Q932">
        <f t="array" ref="Q932">IF(I932&gt;0,INDEX(DB,I932,9),EventIndex)</f>
        <v>6</v>
      </c>
      <c r="S932">
        <f t="array" ref="S932">(INT(INDEX(MINVALUES,$Q932,$K$1))*60)+(MOD(INDEX(MINVALUES,$Q932,$K$1),1)*100)</f>
        <v>180</v>
      </c>
      <c r="T932">
        <f t="array" ref="T932">(INDEX(INCVALUES,$Q932,$K$1)*100)</f>
        <v>1</v>
      </c>
      <c r="V932">
        <f t="array" ref="V932">+J932+(4*(INDEX(MatchScoreTable,$Q932,20)-1))</f>
        <v>4</v>
      </c>
      <c r="W932">
        <f t="array" ref="W932">INDEX(INC_MINVALUES,$V932,$K$1)</f>
        <v>480</v>
      </c>
      <c r="X932" s="212">
        <f t="array" ref="X932">INDEX(INC_INCVALUES,$V932,$K$1)</f>
        <v>4</v>
      </c>
    </row>
    <row r="933" ht="15.75" customHeight="1">
      <c r="A933" s="435"/>
      <c r="B933" s="436"/>
      <c r="C933" s="95" t="str">
        <f t="array" ref="C933">IF(I933&gt;0,INDEX(DB,I933,8),"")</f>
        <v/>
      </c>
      <c r="D933" s="437">
        <f t="shared" si="1"/>
        <v>0</v>
      </c>
      <c r="F933" s="438">
        <f t="shared" si="2"/>
        <v>0</v>
      </c>
      <c r="G933" t="str">
        <f t="shared" si="3"/>
        <v/>
      </c>
      <c r="H933" t="b">
        <f t="shared" si="4"/>
        <v>0</v>
      </c>
      <c r="I933" s="439">
        <f>IF(OR(ISBLANK(A933),ISNA(MATCH(A933&amp;"",AthleteNumbers,0))),0,MATCH(A933&amp;"",AthleteNumbers,0))</f>
        <v>0</v>
      </c>
      <c r="J933" s="209">
        <f t="array" ref="J933">IF(I933&gt;0,INDEX(DB,$I933,6),0)</f>
        <v>0</v>
      </c>
      <c r="K933" s="446">
        <f t="shared" si="5"/>
        <v>0</v>
      </c>
      <c r="L933" s="440">
        <f t="shared" si="6"/>
        <v>0</v>
      </c>
      <c r="M933" s="441">
        <f>IF(AND(L933&gt;O933,O933&gt;0),MinPoints,IF(AND(L933&lt;N933,O933&gt;0),100,+INT((O933-$L933)/P933)+MinPoints))</f>
        <v>100</v>
      </c>
      <c r="N933" s="440">
        <f t="shared" si="7"/>
        <v>90</v>
      </c>
      <c r="O933" s="440">
        <f t="shared" si="8"/>
        <v>180</v>
      </c>
      <c r="P933" s="440">
        <f t="shared" si="9"/>
        <v>1</v>
      </c>
      <c r="Q933">
        <f t="array" ref="Q933">IF(I933&gt;0,INDEX(DB,I933,9),EventIndex)</f>
        <v>6</v>
      </c>
      <c r="S933">
        <f t="array" ref="S933">(INT(INDEX(MINVALUES,$Q933,$K$1))*60)+(MOD(INDEX(MINVALUES,$Q933,$K$1),1)*100)</f>
        <v>180</v>
      </c>
      <c r="T933">
        <f t="array" ref="T933">(INDEX(INCVALUES,$Q933,$K$1)*100)</f>
        <v>1</v>
      </c>
      <c r="V933">
        <f t="array" ref="V933">+J933+(4*(INDEX(MatchScoreTable,$Q933,20)-1))</f>
        <v>4</v>
      </c>
      <c r="W933">
        <f t="array" ref="W933">INDEX(INC_MINVALUES,$V933,$K$1)</f>
        <v>480</v>
      </c>
      <c r="X933" s="212">
        <f t="array" ref="X933">INDEX(INC_INCVALUES,$V933,$K$1)</f>
        <v>4</v>
      </c>
    </row>
    <row r="934" ht="15.75" customHeight="1">
      <c r="A934" s="435"/>
      <c r="B934" s="436"/>
      <c r="C934" s="95" t="str">
        <f t="array" ref="C934">IF(I934&gt;0,INDEX(DB,I934,8),"")</f>
        <v/>
      </c>
      <c r="D934" s="437">
        <f t="shared" si="1"/>
        <v>0</v>
      </c>
      <c r="F934" s="438">
        <f t="shared" si="2"/>
        <v>0</v>
      </c>
      <c r="G934" t="str">
        <f t="shared" si="3"/>
        <v/>
      </c>
      <c r="H934" t="b">
        <f t="shared" si="4"/>
        <v>0</v>
      </c>
      <c r="I934" s="439">
        <f>IF(OR(ISBLANK(A934),ISNA(MATCH(A934&amp;"",AthleteNumbers,0))),0,MATCH(A934&amp;"",AthleteNumbers,0))</f>
        <v>0</v>
      </c>
      <c r="J934" s="209">
        <f t="array" ref="J934">IF(I934&gt;0,INDEX(DB,$I934,6),0)</f>
        <v>0</v>
      </c>
      <c r="K934" s="446">
        <f t="shared" si="5"/>
        <v>0</v>
      </c>
      <c r="L934" s="440">
        <f t="shared" si="6"/>
        <v>0</v>
      </c>
      <c r="M934" s="441">
        <f>IF(AND(L934&gt;O934,O934&gt;0),MinPoints,IF(AND(L934&lt;N934,O934&gt;0),100,+INT((O934-$L934)/P934)+MinPoints))</f>
        <v>100</v>
      </c>
      <c r="N934" s="440">
        <f t="shared" si="7"/>
        <v>90</v>
      </c>
      <c r="O934" s="440">
        <f t="shared" si="8"/>
        <v>180</v>
      </c>
      <c r="P934" s="440">
        <f t="shared" si="9"/>
        <v>1</v>
      </c>
      <c r="Q934">
        <f t="array" ref="Q934">IF(I934&gt;0,INDEX(DB,I934,9),EventIndex)</f>
        <v>6</v>
      </c>
      <c r="S934">
        <f t="array" ref="S934">(INT(INDEX(MINVALUES,$Q934,$K$1))*60)+(MOD(INDEX(MINVALUES,$Q934,$K$1),1)*100)</f>
        <v>180</v>
      </c>
      <c r="T934">
        <f t="array" ref="T934">(INDEX(INCVALUES,$Q934,$K$1)*100)</f>
        <v>1</v>
      </c>
      <c r="V934">
        <f t="array" ref="V934">+J934+(4*(INDEX(MatchScoreTable,$Q934,20)-1))</f>
        <v>4</v>
      </c>
      <c r="W934">
        <f t="array" ref="W934">INDEX(INC_MINVALUES,$V934,$K$1)</f>
        <v>480</v>
      </c>
      <c r="X934" s="212">
        <f t="array" ref="X934">INDEX(INC_INCVALUES,$V934,$K$1)</f>
        <v>4</v>
      </c>
    </row>
    <row r="935" ht="15.75" customHeight="1">
      <c r="A935" s="435"/>
      <c r="B935" s="436"/>
      <c r="C935" s="95" t="str">
        <f t="array" ref="C935">IF(I935&gt;0,INDEX(DB,I935,8),"")</f>
        <v/>
      </c>
      <c r="D935" s="437">
        <f t="shared" si="1"/>
        <v>0</v>
      </c>
      <c r="F935" s="438">
        <f t="shared" si="2"/>
        <v>0</v>
      </c>
      <c r="G935" t="str">
        <f t="shared" si="3"/>
        <v/>
      </c>
      <c r="H935" t="b">
        <f t="shared" si="4"/>
        <v>0</v>
      </c>
      <c r="I935" s="439">
        <f>IF(OR(ISBLANK(A935),ISNA(MATCH(A935&amp;"",AthleteNumbers,0))),0,MATCH(A935&amp;"",AthleteNumbers,0))</f>
        <v>0</v>
      </c>
      <c r="J935" s="209">
        <f t="array" ref="J935">IF(I935&gt;0,INDEX(DB,$I935,6),0)</f>
        <v>0</v>
      </c>
      <c r="K935" s="446">
        <f t="shared" si="5"/>
        <v>0</v>
      </c>
      <c r="L935" s="440">
        <f t="shared" si="6"/>
        <v>0</v>
      </c>
      <c r="M935" s="441">
        <f>IF(AND(L935&gt;O935,O935&gt;0),MinPoints,IF(AND(L935&lt;N935,O935&gt;0),100,+INT((O935-$L935)/P935)+MinPoints))</f>
        <v>100</v>
      </c>
      <c r="N935" s="440">
        <f t="shared" si="7"/>
        <v>90</v>
      </c>
      <c r="O935" s="440">
        <f t="shared" si="8"/>
        <v>180</v>
      </c>
      <c r="P935" s="440">
        <f t="shared" si="9"/>
        <v>1</v>
      </c>
      <c r="Q935">
        <f t="array" ref="Q935">IF(I935&gt;0,INDEX(DB,I935,9),EventIndex)</f>
        <v>6</v>
      </c>
      <c r="S935">
        <f t="array" ref="S935">(INT(INDEX(MINVALUES,$Q935,$K$1))*60)+(MOD(INDEX(MINVALUES,$Q935,$K$1),1)*100)</f>
        <v>180</v>
      </c>
      <c r="T935">
        <f t="array" ref="T935">(INDEX(INCVALUES,$Q935,$K$1)*100)</f>
        <v>1</v>
      </c>
      <c r="V935">
        <f t="array" ref="V935">+J935+(4*(INDEX(MatchScoreTable,$Q935,20)-1))</f>
        <v>4</v>
      </c>
      <c r="W935">
        <f t="array" ref="W935">INDEX(INC_MINVALUES,$V935,$K$1)</f>
        <v>480</v>
      </c>
      <c r="X935" s="212">
        <f t="array" ref="X935">INDEX(INC_INCVALUES,$V935,$K$1)</f>
        <v>4</v>
      </c>
    </row>
    <row r="936" ht="15.75" customHeight="1">
      <c r="A936" s="435"/>
      <c r="B936" s="436"/>
      <c r="C936" s="95" t="str">
        <f t="array" ref="C936">IF(I936&gt;0,INDEX(DB,I936,8),"")</f>
        <v/>
      </c>
      <c r="D936" s="437">
        <f t="shared" si="1"/>
        <v>0</v>
      </c>
      <c r="F936" s="438">
        <f t="shared" si="2"/>
        <v>0</v>
      </c>
      <c r="G936" t="str">
        <f t="shared" si="3"/>
        <v/>
      </c>
      <c r="H936" t="b">
        <f t="shared" si="4"/>
        <v>0</v>
      </c>
      <c r="I936" s="439">
        <f>IF(OR(ISBLANK(A936),ISNA(MATCH(A936&amp;"",AthleteNumbers,0))),0,MATCH(A936&amp;"",AthleteNumbers,0))</f>
        <v>0</v>
      </c>
      <c r="J936" s="209">
        <f t="array" ref="J936">IF(I936&gt;0,INDEX(DB,$I936,6),0)</f>
        <v>0</v>
      </c>
      <c r="K936" s="446">
        <f t="shared" si="5"/>
        <v>0</v>
      </c>
      <c r="L936" s="440">
        <f t="shared" si="6"/>
        <v>0</v>
      </c>
      <c r="M936" s="441">
        <f>IF(AND(L936&gt;O936,O936&gt;0),MinPoints,IF(AND(L936&lt;N936,O936&gt;0),100,+INT((O936-$L936)/P936)+MinPoints))</f>
        <v>100</v>
      </c>
      <c r="N936" s="440">
        <f t="shared" si="7"/>
        <v>90</v>
      </c>
      <c r="O936" s="440">
        <f t="shared" si="8"/>
        <v>180</v>
      </c>
      <c r="P936" s="440">
        <f t="shared" si="9"/>
        <v>1</v>
      </c>
      <c r="Q936">
        <f t="array" ref="Q936">IF(I936&gt;0,INDEX(DB,I936,9),EventIndex)</f>
        <v>6</v>
      </c>
      <c r="S936">
        <f t="array" ref="S936">(INT(INDEX(MINVALUES,$Q936,$K$1))*60)+(MOD(INDEX(MINVALUES,$Q936,$K$1),1)*100)</f>
        <v>180</v>
      </c>
      <c r="T936">
        <f t="array" ref="T936">(INDEX(INCVALUES,$Q936,$K$1)*100)</f>
        <v>1</v>
      </c>
      <c r="V936">
        <f t="array" ref="V936">+J936+(4*(INDEX(MatchScoreTable,$Q936,20)-1))</f>
        <v>4</v>
      </c>
      <c r="W936">
        <f t="array" ref="W936">INDEX(INC_MINVALUES,$V936,$K$1)</f>
        <v>480</v>
      </c>
      <c r="X936" s="212">
        <f t="array" ref="X936">INDEX(INC_INCVALUES,$V936,$K$1)</f>
        <v>4</v>
      </c>
    </row>
    <row r="937" ht="15.75" customHeight="1">
      <c r="A937" s="435"/>
      <c r="B937" s="436"/>
      <c r="C937" s="95" t="str">
        <f t="array" ref="C937">IF(I937&gt;0,INDEX(DB,I937,8),"")</f>
        <v/>
      </c>
      <c r="D937" s="437">
        <f t="shared" si="1"/>
        <v>0</v>
      </c>
      <c r="F937" s="438">
        <f t="shared" si="2"/>
        <v>0</v>
      </c>
      <c r="G937" t="str">
        <f t="shared" si="3"/>
        <v/>
      </c>
      <c r="H937" t="b">
        <f t="shared" si="4"/>
        <v>0</v>
      </c>
      <c r="I937" s="439">
        <f>IF(OR(ISBLANK(A937),ISNA(MATCH(A937&amp;"",AthleteNumbers,0))),0,MATCH(A937&amp;"",AthleteNumbers,0))</f>
        <v>0</v>
      </c>
      <c r="J937" s="209">
        <f t="array" ref="J937">IF(I937&gt;0,INDEX(DB,$I937,6),0)</f>
        <v>0</v>
      </c>
      <c r="K937" s="446">
        <f t="shared" si="5"/>
        <v>0</v>
      </c>
      <c r="L937" s="440">
        <f t="shared" si="6"/>
        <v>0</v>
      </c>
      <c r="M937" s="441">
        <f>IF(AND(L937&gt;O937,O937&gt;0),MinPoints,IF(AND(L937&lt;N937,O937&gt;0),100,+INT((O937-$L937)/P937)+MinPoints))</f>
        <v>100</v>
      </c>
      <c r="N937" s="440">
        <f t="shared" si="7"/>
        <v>90</v>
      </c>
      <c r="O937" s="440">
        <f t="shared" si="8"/>
        <v>180</v>
      </c>
      <c r="P937" s="440">
        <f t="shared" si="9"/>
        <v>1</v>
      </c>
      <c r="Q937">
        <f t="array" ref="Q937">IF(I937&gt;0,INDEX(DB,I937,9),EventIndex)</f>
        <v>6</v>
      </c>
      <c r="S937">
        <f t="array" ref="S937">(INT(INDEX(MINVALUES,$Q937,$K$1))*60)+(MOD(INDEX(MINVALUES,$Q937,$K$1),1)*100)</f>
        <v>180</v>
      </c>
      <c r="T937">
        <f t="array" ref="T937">(INDEX(INCVALUES,$Q937,$K$1)*100)</f>
        <v>1</v>
      </c>
      <c r="V937">
        <f t="array" ref="V937">+J937+(4*(INDEX(MatchScoreTable,$Q937,20)-1))</f>
        <v>4</v>
      </c>
      <c r="W937">
        <f t="array" ref="W937">INDEX(INC_MINVALUES,$V937,$K$1)</f>
        <v>480</v>
      </c>
      <c r="X937" s="212">
        <f t="array" ref="X937">INDEX(INC_INCVALUES,$V937,$K$1)</f>
        <v>4</v>
      </c>
    </row>
    <row r="938" ht="15.75" customHeight="1">
      <c r="A938" s="435"/>
      <c r="B938" s="436"/>
      <c r="C938" s="95" t="str">
        <f t="array" ref="C938">IF(I938&gt;0,INDEX(DB,I938,8),"")</f>
        <v/>
      </c>
      <c r="D938" s="437">
        <f t="shared" si="1"/>
        <v>0</v>
      </c>
      <c r="F938" s="438">
        <f t="shared" si="2"/>
        <v>0</v>
      </c>
      <c r="G938" t="str">
        <f t="shared" si="3"/>
        <v/>
      </c>
      <c r="H938" t="b">
        <f t="shared" si="4"/>
        <v>0</v>
      </c>
      <c r="I938" s="439">
        <f>IF(OR(ISBLANK(A938),ISNA(MATCH(A938&amp;"",AthleteNumbers,0))),0,MATCH(A938&amp;"",AthleteNumbers,0))</f>
        <v>0</v>
      </c>
      <c r="J938" s="209">
        <f t="array" ref="J938">IF(I938&gt;0,INDEX(DB,$I938,6),0)</f>
        <v>0</v>
      </c>
      <c r="K938" s="446">
        <f t="shared" si="5"/>
        <v>0</v>
      </c>
      <c r="L938" s="440">
        <f t="shared" si="6"/>
        <v>0</v>
      </c>
      <c r="M938" s="441">
        <f>IF(AND(L938&gt;O938,O938&gt;0),MinPoints,IF(AND(L938&lt;N938,O938&gt;0),100,+INT((O938-$L938)/P938)+MinPoints))</f>
        <v>100</v>
      </c>
      <c r="N938" s="440">
        <f t="shared" si="7"/>
        <v>90</v>
      </c>
      <c r="O938" s="440">
        <f t="shared" si="8"/>
        <v>180</v>
      </c>
      <c r="P938" s="440">
        <f t="shared" si="9"/>
        <v>1</v>
      </c>
      <c r="Q938">
        <f t="array" ref="Q938">IF(I938&gt;0,INDEX(DB,I938,9),EventIndex)</f>
        <v>6</v>
      </c>
      <c r="S938">
        <f t="array" ref="S938">(INT(INDEX(MINVALUES,$Q938,$K$1))*60)+(MOD(INDEX(MINVALUES,$Q938,$K$1),1)*100)</f>
        <v>180</v>
      </c>
      <c r="T938">
        <f t="array" ref="T938">(INDEX(INCVALUES,$Q938,$K$1)*100)</f>
        <v>1</v>
      </c>
      <c r="V938">
        <f t="array" ref="V938">+J938+(4*(INDEX(MatchScoreTable,$Q938,20)-1))</f>
        <v>4</v>
      </c>
      <c r="W938">
        <f t="array" ref="W938">INDEX(INC_MINVALUES,$V938,$K$1)</f>
        <v>480</v>
      </c>
      <c r="X938" s="212">
        <f t="array" ref="X938">INDEX(INC_INCVALUES,$V938,$K$1)</f>
        <v>4</v>
      </c>
    </row>
    <row r="939" ht="15.75" customHeight="1">
      <c r="A939" s="435"/>
      <c r="B939" s="436"/>
      <c r="C939" s="95" t="str">
        <f t="array" ref="C939">IF(I939&gt;0,INDEX(DB,I939,8),"")</f>
        <v/>
      </c>
      <c r="D939" s="437">
        <f t="shared" si="1"/>
        <v>0</v>
      </c>
      <c r="F939" s="438">
        <f t="shared" si="2"/>
        <v>0</v>
      </c>
      <c r="G939" t="str">
        <f t="shared" si="3"/>
        <v/>
      </c>
      <c r="H939" t="b">
        <f t="shared" si="4"/>
        <v>0</v>
      </c>
      <c r="I939" s="439">
        <f>IF(OR(ISBLANK(A939),ISNA(MATCH(A939&amp;"",AthleteNumbers,0))),0,MATCH(A939&amp;"",AthleteNumbers,0))</f>
        <v>0</v>
      </c>
      <c r="J939" s="209">
        <f t="array" ref="J939">IF(I939&gt;0,INDEX(DB,$I939,6),0)</f>
        <v>0</v>
      </c>
      <c r="K939" s="446">
        <f t="shared" si="5"/>
        <v>0</v>
      </c>
      <c r="L939" s="440">
        <f t="shared" si="6"/>
        <v>0</v>
      </c>
      <c r="M939" s="441">
        <f>IF(AND(L939&gt;O939,O939&gt;0),MinPoints,IF(AND(L939&lt;N939,O939&gt;0),100,+INT((O939-$L939)/P939)+MinPoints))</f>
        <v>100</v>
      </c>
      <c r="N939" s="440">
        <f t="shared" si="7"/>
        <v>90</v>
      </c>
      <c r="O939" s="440">
        <f t="shared" si="8"/>
        <v>180</v>
      </c>
      <c r="P939" s="440">
        <f t="shared" si="9"/>
        <v>1</v>
      </c>
      <c r="Q939">
        <f t="array" ref="Q939">IF(I939&gt;0,INDEX(DB,I939,9),EventIndex)</f>
        <v>6</v>
      </c>
      <c r="S939">
        <f t="array" ref="S939">(INT(INDEX(MINVALUES,$Q939,$K$1))*60)+(MOD(INDEX(MINVALUES,$Q939,$K$1),1)*100)</f>
        <v>180</v>
      </c>
      <c r="T939">
        <f t="array" ref="T939">(INDEX(INCVALUES,$Q939,$K$1)*100)</f>
        <v>1</v>
      </c>
      <c r="V939">
        <f t="array" ref="V939">+J939+(4*(INDEX(MatchScoreTable,$Q939,20)-1))</f>
        <v>4</v>
      </c>
      <c r="W939">
        <f t="array" ref="W939">INDEX(INC_MINVALUES,$V939,$K$1)</f>
        <v>480</v>
      </c>
      <c r="X939" s="212">
        <f t="array" ref="X939">INDEX(INC_INCVALUES,$V939,$K$1)</f>
        <v>4</v>
      </c>
    </row>
    <row r="940" ht="15.75" customHeight="1">
      <c r="A940" s="435"/>
      <c r="B940" s="436"/>
      <c r="C940" s="95" t="str">
        <f t="array" ref="C940">IF(I940&gt;0,INDEX(DB,I940,8),"")</f>
        <v/>
      </c>
      <c r="D940" s="437">
        <f t="shared" si="1"/>
        <v>0</v>
      </c>
      <c r="F940" s="438">
        <f t="shared" si="2"/>
        <v>0</v>
      </c>
      <c r="G940" t="str">
        <f t="shared" si="3"/>
        <v/>
      </c>
      <c r="H940" t="b">
        <f t="shared" si="4"/>
        <v>0</v>
      </c>
      <c r="I940" s="439">
        <f>IF(OR(ISBLANK(A940),ISNA(MATCH(A940&amp;"",AthleteNumbers,0))),0,MATCH(A940&amp;"",AthleteNumbers,0))</f>
        <v>0</v>
      </c>
      <c r="J940" s="209">
        <f t="array" ref="J940">IF(I940&gt;0,INDEX(DB,$I940,6),0)</f>
        <v>0</v>
      </c>
      <c r="K940" s="446">
        <f t="shared" si="5"/>
        <v>0</v>
      </c>
      <c r="L940" s="440">
        <f t="shared" si="6"/>
        <v>0</v>
      </c>
      <c r="M940" s="441">
        <f>IF(AND(L940&gt;O940,O940&gt;0),MinPoints,IF(AND(L940&lt;N940,O940&gt;0),100,+INT((O940-$L940)/P940)+MinPoints))</f>
        <v>100</v>
      </c>
      <c r="N940" s="440">
        <f t="shared" si="7"/>
        <v>90</v>
      </c>
      <c r="O940" s="440">
        <f t="shared" si="8"/>
        <v>180</v>
      </c>
      <c r="P940" s="440">
        <f t="shared" si="9"/>
        <v>1</v>
      </c>
      <c r="Q940">
        <f t="array" ref="Q940">IF(I940&gt;0,INDEX(DB,I940,9),EventIndex)</f>
        <v>6</v>
      </c>
      <c r="S940">
        <f t="array" ref="S940">(INT(INDEX(MINVALUES,$Q940,$K$1))*60)+(MOD(INDEX(MINVALUES,$Q940,$K$1),1)*100)</f>
        <v>180</v>
      </c>
      <c r="T940">
        <f t="array" ref="T940">(INDEX(INCVALUES,$Q940,$K$1)*100)</f>
        <v>1</v>
      </c>
      <c r="V940">
        <f t="array" ref="V940">+J940+(4*(INDEX(MatchScoreTable,$Q940,20)-1))</f>
        <v>4</v>
      </c>
      <c r="W940">
        <f t="array" ref="W940">INDEX(INC_MINVALUES,$V940,$K$1)</f>
        <v>480</v>
      </c>
      <c r="X940" s="212">
        <f t="array" ref="X940">INDEX(INC_INCVALUES,$V940,$K$1)</f>
        <v>4</v>
      </c>
    </row>
    <row r="941" ht="15.75" customHeight="1">
      <c r="A941" s="435"/>
      <c r="B941" s="436"/>
      <c r="C941" s="95" t="str">
        <f t="array" ref="C941">IF(I941&gt;0,INDEX(DB,I941,8),"")</f>
        <v/>
      </c>
      <c r="D941" s="437">
        <f t="shared" si="1"/>
        <v>0</v>
      </c>
      <c r="F941" s="438">
        <f t="shared" si="2"/>
        <v>0</v>
      </c>
      <c r="G941" t="str">
        <f t="shared" si="3"/>
        <v/>
      </c>
      <c r="H941" t="b">
        <f t="shared" si="4"/>
        <v>0</v>
      </c>
      <c r="I941" s="439">
        <f>IF(OR(ISBLANK(A941),ISNA(MATCH(A941&amp;"",AthleteNumbers,0))),0,MATCH(A941&amp;"",AthleteNumbers,0))</f>
        <v>0</v>
      </c>
      <c r="J941" s="209">
        <f t="array" ref="J941">IF(I941&gt;0,INDEX(DB,$I941,6),0)</f>
        <v>0</v>
      </c>
      <c r="K941" s="446">
        <f t="shared" si="5"/>
        <v>0</v>
      </c>
      <c r="L941" s="440">
        <f t="shared" si="6"/>
        <v>0</v>
      </c>
      <c r="M941" s="441">
        <f>IF(AND(L941&gt;O941,O941&gt;0),MinPoints,IF(AND(L941&lt;N941,O941&gt;0),100,+INT((O941-$L941)/P941)+MinPoints))</f>
        <v>100</v>
      </c>
      <c r="N941" s="440">
        <f t="shared" si="7"/>
        <v>90</v>
      </c>
      <c r="O941" s="440">
        <f t="shared" si="8"/>
        <v>180</v>
      </c>
      <c r="P941" s="440">
        <f t="shared" si="9"/>
        <v>1</v>
      </c>
      <c r="Q941">
        <f t="array" ref="Q941">IF(I941&gt;0,INDEX(DB,I941,9),EventIndex)</f>
        <v>6</v>
      </c>
      <c r="S941">
        <f t="array" ref="S941">(INT(INDEX(MINVALUES,$Q941,$K$1))*60)+(MOD(INDEX(MINVALUES,$Q941,$K$1),1)*100)</f>
        <v>180</v>
      </c>
      <c r="T941">
        <f t="array" ref="T941">(INDEX(INCVALUES,$Q941,$K$1)*100)</f>
        <v>1</v>
      </c>
      <c r="V941">
        <f t="array" ref="V941">+J941+(4*(INDEX(MatchScoreTable,$Q941,20)-1))</f>
        <v>4</v>
      </c>
      <c r="W941">
        <f t="array" ref="W941">INDEX(INC_MINVALUES,$V941,$K$1)</f>
        <v>480</v>
      </c>
      <c r="X941" s="212">
        <f t="array" ref="X941">INDEX(INC_INCVALUES,$V941,$K$1)</f>
        <v>4</v>
      </c>
    </row>
    <row r="942" ht="15.75" customHeight="1">
      <c r="A942" s="435"/>
      <c r="B942" s="436"/>
      <c r="C942" s="95" t="str">
        <f t="array" ref="C942">IF(I942&gt;0,INDEX(DB,I942,8),"")</f>
        <v/>
      </c>
      <c r="D942" s="437">
        <f t="shared" si="1"/>
        <v>0</v>
      </c>
      <c r="F942" s="438">
        <f t="shared" si="2"/>
        <v>0</v>
      </c>
      <c r="G942" t="str">
        <f t="shared" si="3"/>
        <v/>
      </c>
      <c r="H942" t="b">
        <f t="shared" si="4"/>
        <v>0</v>
      </c>
      <c r="I942" s="439">
        <f>IF(OR(ISBLANK(A942),ISNA(MATCH(A942&amp;"",AthleteNumbers,0))),0,MATCH(A942&amp;"",AthleteNumbers,0))</f>
        <v>0</v>
      </c>
      <c r="J942" s="209">
        <f t="array" ref="J942">IF(I942&gt;0,INDEX(DB,$I942,6),0)</f>
        <v>0</v>
      </c>
      <c r="K942" s="446">
        <f t="shared" si="5"/>
        <v>0</v>
      </c>
      <c r="L942" s="440">
        <f t="shared" si="6"/>
        <v>0</v>
      </c>
      <c r="M942" s="441">
        <f>IF(AND(L942&gt;O942,O942&gt;0),MinPoints,IF(AND(L942&lt;N942,O942&gt;0),100,+INT((O942-$L942)/P942)+MinPoints))</f>
        <v>100</v>
      </c>
      <c r="N942" s="440">
        <f t="shared" si="7"/>
        <v>90</v>
      </c>
      <c r="O942" s="440">
        <f t="shared" si="8"/>
        <v>180</v>
      </c>
      <c r="P942" s="440">
        <f t="shared" si="9"/>
        <v>1</v>
      </c>
      <c r="Q942">
        <f t="array" ref="Q942">IF(I942&gt;0,INDEX(DB,I942,9),EventIndex)</f>
        <v>6</v>
      </c>
      <c r="S942">
        <f t="array" ref="S942">(INT(INDEX(MINVALUES,$Q942,$K$1))*60)+(MOD(INDEX(MINVALUES,$Q942,$K$1),1)*100)</f>
        <v>180</v>
      </c>
      <c r="T942">
        <f t="array" ref="T942">(INDEX(INCVALUES,$Q942,$K$1)*100)</f>
        <v>1</v>
      </c>
      <c r="V942">
        <f t="array" ref="V942">+J942+(4*(INDEX(MatchScoreTable,$Q942,20)-1))</f>
        <v>4</v>
      </c>
      <c r="W942">
        <f t="array" ref="W942">INDEX(INC_MINVALUES,$V942,$K$1)</f>
        <v>480</v>
      </c>
      <c r="X942" s="212">
        <f t="array" ref="X942">INDEX(INC_INCVALUES,$V942,$K$1)</f>
        <v>4</v>
      </c>
    </row>
    <row r="943" ht="15.75" customHeight="1">
      <c r="A943" s="435"/>
      <c r="B943" s="436"/>
      <c r="C943" s="95" t="str">
        <f t="array" ref="C943">IF(I943&gt;0,INDEX(DB,I943,8),"")</f>
        <v/>
      </c>
      <c r="D943" s="437">
        <f t="shared" si="1"/>
        <v>0</v>
      </c>
      <c r="F943" s="438">
        <f t="shared" si="2"/>
        <v>0</v>
      </c>
      <c r="G943" t="str">
        <f t="shared" si="3"/>
        <v/>
      </c>
      <c r="H943" t="b">
        <f t="shared" si="4"/>
        <v>0</v>
      </c>
      <c r="I943" s="439">
        <f>IF(OR(ISBLANK(A943),ISNA(MATCH(A943&amp;"",AthleteNumbers,0))),0,MATCH(A943&amp;"",AthleteNumbers,0))</f>
        <v>0</v>
      </c>
      <c r="J943" s="209">
        <f t="array" ref="J943">IF(I943&gt;0,INDEX(DB,$I943,6),0)</f>
        <v>0</v>
      </c>
      <c r="K943" s="446">
        <f t="shared" si="5"/>
        <v>0</v>
      </c>
      <c r="L943" s="440">
        <f t="shared" si="6"/>
        <v>0</v>
      </c>
      <c r="M943" s="441">
        <f>IF(AND(L943&gt;O943,O943&gt;0),MinPoints,IF(AND(L943&lt;N943,O943&gt;0),100,+INT((O943-$L943)/P943)+MinPoints))</f>
        <v>100</v>
      </c>
      <c r="N943" s="440">
        <f t="shared" si="7"/>
        <v>90</v>
      </c>
      <c r="O943" s="440">
        <f t="shared" si="8"/>
        <v>180</v>
      </c>
      <c r="P943" s="440">
        <f t="shared" si="9"/>
        <v>1</v>
      </c>
      <c r="Q943">
        <f t="array" ref="Q943">IF(I943&gt;0,INDEX(DB,I943,9),EventIndex)</f>
        <v>6</v>
      </c>
      <c r="S943">
        <f t="array" ref="S943">(INT(INDEX(MINVALUES,$Q943,$K$1))*60)+(MOD(INDEX(MINVALUES,$Q943,$K$1),1)*100)</f>
        <v>180</v>
      </c>
      <c r="T943">
        <f t="array" ref="T943">(INDEX(INCVALUES,$Q943,$K$1)*100)</f>
        <v>1</v>
      </c>
      <c r="V943">
        <f t="array" ref="V943">+J943+(4*(INDEX(MatchScoreTable,$Q943,20)-1))</f>
        <v>4</v>
      </c>
      <c r="W943">
        <f t="array" ref="W943">INDEX(INC_MINVALUES,$V943,$K$1)</f>
        <v>480</v>
      </c>
      <c r="X943" s="212">
        <f t="array" ref="X943">INDEX(INC_INCVALUES,$V943,$K$1)</f>
        <v>4</v>
      </c>
    </row>
    <row r="944" ht="15.75" customHeight="1">
      <c r="A944" s="435"/>
      <c r="B944" s="436"/>
      <c r="C944" s="95" t="str">
        <f t="array" ref="C944">IF(I944&gt;0,INDEX(DB,I944,8),"")</f>
        <v/>
      </c>
      <c r="D944" s="437">
        <f t="shared" si="1"/>
        <v>0</v>
      </c>
      <c r="F944" s="438">
        <f t="shared" si="2"/>
        <v>0</v>
      </c>
      <c r="G944" t="str">
        <f t="shared" si="3"/>
        <v/>
      </c>
      <c r="H944" t="b">
        <f t="shared" si="4"/>
        <v>0</v>
      </c>
      <c r="I944" s="439">
        <f>IF(OR(ISBLANK(A944),ISNA(MATCH(A944&amp;"",AthleteNumbers,0))),0,MATCH(A944&amp;"",AthleteNumbers,0))</f>
        <v>0</v>
      </c>
      <c r="J944" s="209">
        <f t="array" ref="J944">IF(I944&gt;0,INDEX(DB,$I944,6),0)</f>
        <v>0</v>
      </c>
      <c r="K944" s="446">
        <f t="shared" si="5"/>
        <v>0</v>
      </c>
      <c r="L944" s="440">
        <f t="shared" si="6"/>
        <v>0</v>
      </c>
      <c r="M944" s="441">
        <f>IF(AND(L944&gt;O944,O944&gt;0),MinPoints,IF(AND(L944&lt;N944,O944&gt;0),100,+INT((O944-$L944)/P944)+MinPoints))</f>
        <v>100</v>
      </c>
      <c r="N944" s="440">
        <f t="shared" si="7"/>
        <v>90</v>
      </c>
      <c r="O944" s="440">
        <f t="shared" si="8"/>
        <v>180</v>
      </c>
      <c r="P944" s="440">
        <f t="shared" si="9"/>
        <v>1</v>
      </c>
      <c r="Q944">
        <f t="array" ref="Q944">IF(I944&gt;0,INDEX(DB,I944,9),EventIndex)</f>
        <v>6</v>
      </c>
      <c r="S944">
        <f t="array" ref="S944">(INT(INDEX(MINVALUES,$Q944,$K$1))*60)+(MOD(INDEX(MINVALUES,$Q944,$K$1),1)*100)</f>
        <v>180</v>
      </c>
      <c r="T944">
        <f t="array" ref="T944">(INDEX(INCVALUES,$Q944,$K$1)*100)</f>
        <v>1</v>
      </c>
      <c r="V944">
        <f t="array" ref="V944">+J944+(4*(INDEX(MatchScoreTable,$Q944,20)-1))</f>
        <v>4</v>
      </c>
      <c r="W944">
        <f t="array" ref="W944">INDEX(INC_MINVALUES,$V944,$K$1)</f>
        <v>480</v>
      </c>
      <c r="X944" s="212">
        <f t="array" ref="X944">INDEX(INC_INCVALUES,$V944,$K$1)</f>
        <v>4</v>
      </c>
    </row>
    <row r="945" ht="15.75" customHeight="1">
      <c r="A945" s="435"/>
      <c r="B945" s="436"/>
      <c r="C945" s="95" t="str">
        <f t="array" ref="C945">IF(I945&gt;0,INDEX(DB,I945,8),"")</f>
        <v/>
      </c>
      <c r="D945" s="437">
        <f t="shared" si="1"/>
        <v>0</v>
      </c>
      <c r="F945" s="438">
        <f t="shared" si="2"/>
        <v>0</v>
      </c>
      <c r="G945" t="str">
        <f t="shared" si="3"/>
        <v/>
      </c>
      <c r="H945" t="b">
        <f t="shared" si="4"/>
        <v>0</v>
      </c>
      <c r="I945" s="439">
        <f>IF(OR(ISBLANK(A945),ISNA(MATCH(A945&amp;"",AthleteNumbers,0))),0,MATCH(A945&amp;"",AthleteNumbers,0))</f>
        <v>0</v>
      </c>
      <c r="J945" s="209">
        <f t="array" ref="J945">IF(I945&gt;0,INDEX(DB,$I945,6),0)</f>
        <v>0</v>
      </c>
      <c r="K945" s="446">
        <f t="shared" si="5"/>
        <v>0</v>
      </c>
      <c r="L945" s="440">
        <f t="shared" si="6"/>
        <v>0</v>
      </c>
      <c r="M945" s="441">
        <f>IF(AND(L945&gt;O945,O945&gt;0),MinPoints,IF(AND(L945&lt;N945,O945&gt;0),100,+INT((O945-$L945)/P945)+MinPoints))</f>
        <v>100</v>
      </c>
      <c r="N945" s="440">
        <f t="shared" si="7"/>
        <v>90</v>
      </c>
      <c r="O945" s="440">
        <f t="shared" si="8"/>
        <v>180</v>
      </c>
      <c r="P945" s="440">
        <f t="shared" si="9"/>
        <v>1</v>
      </c>
      <c r="Q945">
        <f t="array" ref="Q945">IF(I945&gt;0,INDEX(DB,I945,9),EventIndex)</f>
        <v>6</v>
      </c>
      <c r="S945">
        <f t="array" ref="S945">(INT(INDEX(MINVALUES,$Q945,$K$1))*60)+(MOD(INDEX(MINVALUES,$Q945,$K$1),1)*100)</f>
        <v>180</v>
      </c>
      <c r="T945">
        <f t="array" ref="T945">(INDEX(INCVALUES,$Q945,$K$1)*100)</f>
        <v>1</v>
      </c>
      <c r="V945">
        <f t="array" ref="V945">+J945+(4*(INDEX(MatchScoreTable,$Q945,20)-1))</f>
        <v>4</v>
      </c>
      <c r="W945">
        <f t="array" ref="W945">INDEX(INC_MINVALUES,$V945,$K$1)</f>
        <v>480</v>
      </c>
      <c r="X945" s="212">
        <f t="array" ref="X945">INDEX(INC_INCVALUES,$V945,$K$1)</f>
        <v>4</v>
      </c>
    </row>
    <row r="946" ht="15.75" customHeight="1">
      <c r="A946" s="435"/>
      <c r="B946" s="436"/>
      <c r="C946" s="95" t="str">
        <f t="array" ref="C946">IF(I946&gt;0,INDEX(DB,I946,8),"")</f>
        <v/>
      </c>
      <c r="D946" s="437">
        <f t="shared" si="1"/>
        <v>0</v>
      </c>
      <c r="F946" s="438">
        <f t="shared" si="2"/>
        <v>0</v>
      </c>
      <c r="G946" t="str">
        <f t="shared" si="3"/>
        <v/>
      </c>
      <c r="H946" t="b">
        <f t="shared" si="4"/>
        <v>0</v>
      </c>
      <c r="I946" s="439">
        <f>IF(OR(ISBLANK(A946),ISNA(MATCH(A946&amp;"",AthleteNumbers,0))),0,MATCH(A946&amp;"",AthleteNumbers,0))</f>
        <v>0</v>
      </c>
      <c r="J946" s="209">
        <f t="array" ref="J946">IF(I946&gt;0,INDEX(DB,$I946,6),0)</f>
        <v>0</v>
      </c>
      <c r="K946" s="446">
        <f t="shared" si="5"/>
        <v>0</v>
      </c>
      <c r="L946" s="440">
        <f t="shared" si="6"/>
        <v>0</v>
      </c>
      <c r="M946" s="441">
        <f>IF(AND(L946&gt;O946,O946&gt;0),MinPoints,IF(AND(L946&lt;N946,O946&gt;0),100,+INT((O946-$L946)/P946)+MinPoints))</f>
        <v>100</v>
      </c>
      <c r="N946" s="440">
        <f t="shared" si="7"/>
        <v>90</v>
      </c>
      <c r="O946" s="440">
        <f t="shared" si="8"/>
        <v>180</v>
      </c>
      <c r="P946" s="440">
        <f t="shared" si="9"/>
        <v>1</v>
      </c>
      <c r="Q946">
        <f t="array" ref="Q946">IF(I946&gt;0,INDEX(DB,I946,9),EventIndex)</f>
        <v>6</v>
      </c>
      <c r="S946">
        <f t="array" ref="S946">(INT(INDEX(MINVALUES,$Q946,$K$1))*60)+(MOD(INDEX(MINVALUES,$Q946,$K$1),1)*100)</f>
        <v>180</v>
      </c>
      <c r="T946">
        <f t="array" ref="T946">(INDEX(INCVALUES,$Q946,$K$1)*100)</f>
        <v>1</v>
      </c>
      <c r="V946">
        <f t="array" ref="V946">+J946+(4*(INDEX(MatchScoreTable,$Q946,20)-1))</f>
        <v>4</v>
      </c>
      <c r="W946">
        <f t="array" ref="W946">INDEX(INC_MINVALUES,$V946,$K$1)</f>
        <v>480</v>
      </c>
      <c r="X946" s="212">
        <f t="array" ref="X946">INDEX(INC_INCVALUES,$V946,$K$1)</f>
        <v>4</v>
      </c>
    </row>
    <row r="947" ht="15.75" customHeight="1">
      <c r="A947" s="435"/>
      <c r="B947" s="436"/>
      <c r="C947" s="95" t="str">
        <f t="array" ref="C947">IF(I947&gt;0,INDEX(DB,I947,8),"")</f>
        <v/>
      </c>
      <c r="D947" s="437">
        <f t="shared" si="1"/>
        <v>0</v>
      </c>
      <c r="F947" s="438">
        <f t="shared" si="2"/>
        <v>0</v>
      </c>
      <c r="G947" t="str">
        <f t="shared" si="3"/>
        <v/>
      </c>
      <c r="H947" t="b">
        <f t="shared" si="4"/>
        <v>0</v>
      </c>
      <c r="I947" s="439">
        <f>IF(OR(ISBLANK(A947),ISNA(MATCH(A947&amp;"",AthleteNumbers,0))),0,MATCH(A947&amp;"",AthleteNumbers,0))</f>
        <v>0</v>
      </c>
      <c r="J947" s="209">
        <f t="array" ref="J947">IF(I947&gt;0,INDEX(DB,$I947,6),0)</f>
        <v>0</v>
      </c>
      <c r="K947" s="446">
        <f t="shared" si="5"/>
        <v>0</v>
      </c>
      <c r="L947" s="440">
        <f t="shared" si="6"/>
        <v>0</v>
      </c>
      <c r="M947" s="441">
        <f>IF(AND(L947&gt;O947,O947&gt;0),MinPoints,IF(AND(L947&lt;N947,O947&gt;0),100,+INT((O947-$L947)/P947)+MinPoints))</f>
        <v>100</v>
      </c>
      <c r="N947" s="440">
        <f t="shared" si="7"/>
        <v>90</v>
      </c>
      <c r="O947" s="440">
        <f t="shared" si="8"/>
        <v>180</v>
      </c>
      <c r="P947" s="440">
        <f t="shared" si="9"/>
        <v>1</v>
      </c>
      <c r="Q947">
        <f t="array" ref="Q947">IF(I947&gt;0,INDEX(DB,I947,9),EventIndex)</f>
        <v>6</v>
      </c>
      <c r="S947">
        <f t="array" ref="S947">(INT(INDEX(MINVALUES,$Q947,$K$1))*60)+(MOD(INDEX(MINVALUES,$Q947,$K$1),1)*100)</f>
        <v>180</v>
      </c>
      <c r="T947">
        <f t="array" ref="T947">(INDEX(INCVALUES,$Q947,$K$1)*100)</f>
        <v>1</v>
      </c>
      <c r="V947">
        <f t="array" ref="V947">+J947+(4*(INDEX(MatchScoreTable,$Q947,20)-1))</f>
        <v>4</v>
      </c>
      <c r="W947">
        <f t="array" ref="W947">INDEX(INC_MINVALUES,$V947,$K$1)</f>
        <v>480</v>
      </c>
      <c r="X947" s="212">
        <f t="array" ref="X947">INDEX(INC_INCVALUES,$V947,$K$1)</f>
        <v>4</v>
      </c>
    </row>
    <row r="948" ht="15.75" customHeight="1">
      <c r="A948" s="435"/>
      <c r="B948" s="436"/>
      <c r="C948" s="95" t="str">
        <f t="array" ref="C948">IF(I948&gt;0,INDEX(DB,I948,8),"")</f>
        <v/>
      </c>
      <c r="D948" s="437">
        <f t="shared" si="1"/>
        <v>0</v>
      </c>
      <c r="F948" s="438">
        <f t="shared" si="2"/>
        <v>0</v>
      </c>
      <c r="G948" t="str">
        <f t="shared" si="3"/>
        <v/>
      </c>
      <c r="H948" t="b">
        <f t="shared" si="4"/>
        <v>0</v>
      </c>
      <c r="I948" s="439">
        <f>IF(OR(ISBLANK(A948),ISNA(MATCH(A948&amp;"",AthleteNumbers,0))),0,MATCH(A948&amp;"",AthleteNumbers,0))</f>
        <v>0</v>
      </c>
      <c r="J948" s="209">
        <f t="array" ref="J948">IF(I948&gt;0,INDEX(DB,$I948,6),0)</f>
        <v>0</v>
      </c>
      <c r="K948" s="446">
        <f t="shared" si="5"/>
        <v>0</v>
      </c>
      <c r="L948" s="440">
        <f t="shared" si="6"/>
        <v>0</v>
      </c>
      <c r="M948" s="441">
        <f>IF(AND(L948&gt;O948,O948&gt;0),MinPoints,IF(AND(L948&lt;N948,O948&gt;0),100,+INT((O948-$L948)/P948)+MinPoints))</f>
        <v>100</v>
      </c>
      <c r="N948" s="440">
        <f t="shared" si="7"/>
        <v>90</v>
      </c>
      <c r="O948" s="440">
        <f t="shared" si="8"/>
        <v>180</v>
      </c>
      <c r="P948" s="440">
        <f t="shared" si="9"/>
        <v>1</v>
      </c>
      <c r="Q948">
        <f t="array" ref="Q948">IF(I948&gt;0,INDEX(DB,I948,9),EventIndex)</f>
        <v>6</v>
      </c>
      <c r="S948">
        <f t="array" ref="S948">(INT(INDEX(MINVALUES,$Q948,$K$1))*60)+(MOD(INDEX(MINVALUES,$Q948,$K$1),1)*100)</f>
        <v>180</v>
      </c>
      <c r="T948">
        <f t="array" ref="T948">(INDEX(INCVALUES,$Q948,$K$1)*100)</f>
        <v>1</v>
      </c>
      <c r="V948">
        <f t="array" ref="V948">+J948+(4*(INDEX(MatchScoreTable,$Q948,20)-1))</f>
        <v>4</v>
      </c>
      <c r="W948">
        <f t="array" ref="W948">INDEX(INC_MINVALUES,$V948,$K$1)</f>
        <v>480</v>
      </c>
      <c r="X948" s="212">
        <f t="array" ref="X948">INDEX(INC_INCVALUES,$V948,$K$1)</f>
        <v>4</v>
      </c>
    </row>
    <row r="949" ht="15.75" customHeight="1">
      <c r="A949" s="435"/>
      <c r="B949" s="436"/>
      <c r="C949" s="95" t="str">
        <f t="array" ref="C949">IF(I949&gt;0,INDEX(DB,I949,8),"")</f>
        <v/>
      </c>
      <c r="D949" s="437">
        <f t="shared" si="1"/>
        <v>0</v>
      </c>
      <c r="F949" s="438">
        <f t="shared" si="2"/>
        <v>0</v>
      </c>
      <c r="G949" t="str">
        <f t="shared" si="3"/>
        <v/>
      </c>
      <c r="H949" t="b">
        <f t="shared" si="4"/>
        <v>0</v>
      </c>
      <c r="I949" s="439">
        <f>IF(OR(ISBLANK(A949),ISNA(MATCH(A949&amp;"",AthleteNumbers,0))),0,MATCH(A949&amp;"",AthleteNumbers,0))</f>
        <v>0</v>
      </c>
      <c r="J949" s="209">
        <f t="array" ref="J949">IF(I949&gt;0,INDEX(DB,$I949,6),0)</f>
        <v>0</v>
      </c>
      <c r="K949" s="446">
        <f t="shared" si="5"/>
        <v>0</v>
      </c>
      <c r="L949" s="440">
        <f t="shared" si="6"/>
        <v>0</v>
      </c>
      <c r="M949" s="441">
        <f>IF(AND(L949&gt;O949,O949&gt;0),MinPoints,IF(AND(L949&lt;N949,O949&gt;0),100,+INT((O949-$L949)/P949)+MinPoints))</f>
        <v>100</v>
      </c>
      <c r="N949" s="440">
        <f t="shared" si="7"/>
        <v>90</v>
      </c>
      <c r="O949" s="440">
        <f t="shared" si="8"/>
        <v>180</v>
      </c>
      <c r="P949" s="440">
        <f t="shared" si="9"/>
        <v>1</v>
      </c>
      <c r="Q949">
        <f t="array" ref="Q949">IF(I949&gt;0,INDEX(DB,I949,9),EventIndex)</f>
        <v>6</v>
      </c>
      <c r="S949">
        <f t="array" ref="S949">(INT(INDEX(MINVALUES,$Q949,$K$1))*60)+(MOD(INDEX(MINVALUES,$Q949,$K$1),1)*100)</f>
        <v>180</v>
      </c>
      <c r="T949">
        <f t="array" ref="T949">(INDEX(INCVALUES,$Q949,$K$1)*100)</f>
        <v>1</v>
      </c>
      <c r="V949">
        <f t="array" ref="V949">+J949+(4*(INDEX(MatchScoreTable,$Q949,20)-1))</f>
        <v>4</v>
      </c>
      <c r="W949">
        <f t="array" ref="W949">INDEX(INC_MINVALUES,$V949,$K$1)</f>
        <v>480</v>
      </c>
      <c r="X949" s="212">
        <f t="array" ref="X949">INDEX(INC_INCVALUES,$V949,$K$1)</f>
        <v>4</v>
      </c>
    </row>
    <row r="950" ht="15.75" customHeight="1">
      <c r="A950" s="435"/>
      <c r="B950" s="436"/>
      <c r="C950" s="95" t="str">
        <f t="array" ref="C950">IF(I950&gt;0,INDEX(DB,I950,8),"")</f>
        <v/>
      </c>
      <c r="D950" s="437">
        <f t="shared" si="1"/>
        <v>0</v>
      </c>
      <c r="F950" s="438">
        <f t="shared" si="2"/>
        <v>0</v>
      </c>
      <c r="G950" t="str">
        <f t="shared" si="3"/>
        <v/>
      </c>
      <c r="H950" t="b">
        <f t="shared" si="4"/>
        <v>0</v>
      </c>
      <c r="I950" s="439">
        <f>IF(OR(ISBLANK(A950),ISNA(MATCH(A950&amp;"",AthleteNumbers,0))),0,MATCH(A950&amp;"",AthleteNumbers,0))</f>
        <v>0</v>
      </c>
      <c r="J950" s="209">
        <f t="array" ref="J950">IF(I950&gt;0,INDEX(DB,$I950,6),0)</f>
        <v>0</v>
      </c>
      <c r="K950" s="446">
        <f t="shared" si="5"/>
        <v>0</v>
      </c>
      <c r="L950" s="440">
        <f t="shared" si="6"/>
        <v>0</v>
      </c>
      <c r="M950" s="441">
        <f>IF(AND(L950&gt;O950,O950&gt;0),MinPoints,IF(AND(L950&lt;N950,O950&gt;0),100,+INT((O950-$L950)/P950)+MinPoints))</f>
        <v>100</v>
      </c>
      <c r="N950" s="440">
        <f t="shared" si="7"/>
        <v>90</v>
      </c>
      <c r="O950" s="440">
        <f t="shared" si="8"/>
        <v>180</v>
      </c>
      <c r="P950" s="440">
        <f t="shared" si="9"/>
        <v>1</v>
      </c>
      <c r="Q950">
        <f t="array" ref="Q950">IF(I950&gt;0,INDEX(DB,I950,9),EventIndex)</f>
        <v>6</v>
      </c>
      <c r="S950">
        <f t="array" ref="S950">(INT(INDEX(MINVALUES,$Q950,$K$1))*60)+(MOD(INDEX(MINVALUES,$Q950,$K$1),1)*100)</f>
        <v>180</v>
      </c>
      <c r="T950">
        <f t="array" ref="T950">(INDEX(INCVALUES,$Q950,$K$1)*100)</f>
        <v>1</v>
      </c>
      <c r="V950">
        <f t="array" ref="V950">+J950+(4*(INDEX(MatchScoreTable,$Q950,20)-1))</f>
        <v>4</v>
      </c>
      <c r="W950">
        <f t="array" ref="W950">INDEX(INC_MINVALUES,$V950,$K$1)</f>
        <v>480</v>
      </c>
      <c r="X950" s="212">
        <f t="array" ref="X950">INDEX(INC_INCVALUES,$V950,$K$1)</f>
        <v>4</v>
      </c>
    </row>
    <row r="951" ht="15.75" customHeight="1">
      <c r="A951" s="435"/>
      <c r="B951" s="436"/>
      <c r="C951" s="95" t="str">
        <f t="array" ref="C951">IF(I951&gt;0,INDEX(DB,I951,8),"")</f>
        <v/>
      </c>
      <c r="D951" s="437">
        <f t="shared" si="1"/>
        <v>0</v>
      </c>
      <c r="F951" s="438">
        <f t="shared" si="2"/>
        <v>0</v>
      </c>
      <c r="G951" t="str">
        <f t="shared" si="3"/>
        <v/>
      </c>
      <c r="H951" t="b">
        <f t="shared" si="4"/>
        <v>0</v>
      </c>
      <c r="I951" s="439">
        <f>IF(OR(ISBLANK(A951),ISNA(MATCH(A951&amp;"",AthleteNumbers,0))),0,MATCH(A951&amp;"",AthleteNumbers,0))</f>
        <v>0</v>
      </c>
      <c r="J951" s="209">
        <f t="array" ref="J951">IF(I951&gt;0,INDEX(DB,$I951,6),0)</f>
        <v>0</v>
      </c>
      <c r="K951" s="446">
        <f t="shared" si="5"/>
        <v>0</v>
      </c>
      <c r="L951" s="440">
        <f t="shared" si="6"/>
        <v>0</v>
      </c>
      <c r="M951" s="441">
        <f>IF(AND(L951&gt;O951,O951&gt;0),MinPoints,IF(AND(L951&lt;N951,O951&gt;0),100,+INT((O951-$L951)/P951)+MinPoints))</f>
        <v>100</v>
      </c>
      <c r="N951" s="440">
        <f t="shared" si="7"/>
        <v>90</v>
      </c>
      <c r="O951" s="440">
        <f t="shared" si="8"/>
        <v>180</v>
      </c>
      <c r="P951" s="440">
        <f t="shared" si="9"/>
        <v>1</v>
      </c>
      <c r="Q951">
        <f t="array" ref="Q951">IF(I951&gt;0,INDEX(DB,I951,9),EventIndex)</f>
        <v>6</v>
      </c>
      <c r="S951">
        <f t="array" ref="S951">(INT(INDEX(MINVALUES,$Q951,$K$1))*60)+(MOD(INDEX(MINVALUES,$Q951,$K$1),1)*100)</f>
        <v>180</v>
      </c>
      <c r="T951">
        <f t="array" ref="T951">(INDEX(INCVALUES,$Q951,$K$1)*100)</f>
        <v>1</v>
      </c>
      <c r="V951">
        <f t="array" ref="V951">+J951+(4*(INDEX(MatchScoreTable,$Q951,20)-1))</f>
        <v>4</v>
      </c>
      <c r="W951">
        <f t="array" ref="W951">INDEX(INC_MINVALUES,$V951,$K$1)</f>
        <v>480</v>
      </c>
      <c r="X951" s="212">
        <f t="array" ref="X951">INDEX(INC_INCVALUES,$V951,$K$1)</f>
        <v>4</v>
      </c>
    </row>
    <row r="952" ht="15.75" customHeight="1">
      <c r="A952" s="435"/>
      <c r="B952" s="436"/>
      <c r="C952" s="95" t="str">
        <f t="array" ref="C952">IF(I952&gt;0,INDEX(DB,I952,8),"")</f>
        <v/>
      </c>
      <c r="D952" s="437">
        <f t="shared" si="1"/>
        <v>0</v>
      </c>
      <c r="F952" s="438">
        <f t="shared" si="2"/>
        <v>0</v>
      </c>
      <c r="G952" t="str">
        <f t="shared" si="3"/>
        <v/>
      </c>
      <c r="H952" t="b">
        <f t="shared" si="4"/>
        <v>0</v>
      </c>
      <c r="I952" s="439">
        <f>IF(OR(ISBLANK(A952),ISNA(MATCH(A952&amp;"",AthleteNumbers,0))),0,MATCH(A952&amp;"",AthleteNumbers,0))</f>
        <v>0</v>
      </c>
      <c r="J952" s="209">
        <f t="array" ref="J952">IF(I952&gt;0,INDEX(DB,$I952,6),0)</f>
        <v>0</v>
      </c>
      <c r="K952" s="446">
        <f t="shared" si="5"/>
        <v>0</v>
      </c>
      <c r="L952" s="440">
        <f t="shared" si="6"/>
        <v>0</v>
      </c>
      <c r="M952" s="441">
        <f>IF(AND(L952&gt;O952,O952&gt;0),MinPoints,IF(AND(L952&lt;N952,O952&gt;0),100,+INT((O952-$L952)/P952)+MinPoints))</f>
        <v>100</v>
      </c>
      <c r="N952" s="440">
        <f t="shared" si="7"/>
        <v>90</v>
      </c>
      <c r="O952" s="440">
        <f t="shared" si="8"/>
        <v>180</v>
      </c>
      <c r="P952" s="440">
        <f t="shared" si="9"/>
        <v>1</v>
      </c>
      <c r="Q952">
        <f t="array" ref="Q952">IF(I952&gt;0,INDEX(DB,I952,9),EventIndex)</f>
        <v>6</v>
      </c>
      <c r="S952">
        <f t="array" ref="S952">(INT(INDEX(MINVALUES,$Q952,$K$1))*60)+(MOD(INDEX(MINVALUES,$Q952,$K$1),1)*100)</f>
        <v>180</v>
      </c>
      <c r="T952">
        <f t="array" ref="T952">(INDEX(INCVALUES,$Q952,$K$1)*100)</f>
        <v>1</v>
      </c>
      <c r="V952">
        <f t="array" ref="V952">+J952+(4*(INDEX(MatchScoreTable,$Q952,20)-1))</f>
        <v>4</v>
      </c>
      <c r="W952">
        <f t="array" ref="W952">INDEX(INC_MINVALUES,$V952,$K$1)</f>
        <v>480</v>
      </c>
      <c r="X952" s="212">
        <f t="array" ref="X952">INDEX(INC_INCVALUES,$V952,$K$1)</f>
        <v>4</v>
      </c>
    </row>
    <row r="953" ht="15.75" customHeight="1">
      <c r="A953" s="435"/>
      <c r="B953" s="436"/>
      <c r="C953" s="95" t="str">
        <f t="array" ref="C953">IF(I953&gt;0,INDEX(DB,I953,8),"")</f>
        <v/>
      </c>
      <c r="D953" s="437">
        <f t="shared" si="1"/>
        <v>0</v>
      </c>
      <c r="F953" s="438">
        <f t="shared" si="2"/>
        <v>0</v>
      </c>
      <c r="G953" t="str">
        <f t="shared" si="3"/>
        <v/>
      </c>
      <c r="H953" t="b">
        <f t="shared" si="4"/>
        <v>0</v>
      </c>
      <c r="I953" s="439">
        <f>IF(OR(ISBLANK(A953),ISNA(MATCH(A953&amp;"",AthleteNumbers,0))),0,MATCH(A953&amp;"",AthleteNumbers,0))</f>
        <v>0</v>
      </c>
      <c r="J953" s="209">
        <f t="array" ref="J953">IF(I953&gt;0,INDEX(DB,$I953,6),0)</f>
        <v>0</v>
      </c>
      <c r="K953" s="446">
        <f t="shared" si="5"/>
        <v>0</v>
      </c>
      <c r="L953" s="440">
        <f t="shared" si="6"/>
        <v>0</v>
      </c>
      <c r="M953" s="441">
        <f>IF(AND(L953&gt;O953,O953&gt;0),MinPoints,IF(AND(L953&lt;N953,O953&gt;0),100,+INT((O953-$L953)/P953)+MinPoints))</f>
        <v>100</v>
      </c>
      <c r="N953" s="440">
        <f t="shared" si="7"/>
        <v>90</v>
      </c>
      <c r="O953" s="440">
        <f t="shared" si="8"/>
        <v>180</v>
      </c>
      <c r="P953" s="440">
        <f t="shared" si="9"/>
        <v>1</v>
      </c>
      <c r="Q953">
        <f t="array" ref="Q953">IF(I953&gt;0,INDEX(DB,I953,9),EventIndex)</f>
        <v>6</v>
      </c>
      <c r="S953">
        <f t="array" ref="S953">(INT(INDEX(MINVALUES,$Q953,$K$1))*60)+(MOD(INDEX(MINVALUES,$Q953,$K$1),1)*100)</f>
        <v>180</v>
      </c>
      <c r="T953">
        <f t="array" ref="T953">(INDEX(INCVALUES,$Q953,$K$1)*100)</f>
        <v>1</v>
      </c>
      <c r="V953">
        <f t="array" ref="V953">+J953+(4*(INDEX(MatchScoreTable,$Q953,20)-1))</f>
        <v>4</v>
      </c>
      <c r="W953">
        <f t="array" ref="W953">INDEX(INC_MINVALUES,$V953,$K$1)</f>
        <v>480</v>
      </c>
      <c r="X953" s="212">
        <f t="array" ref="X953">INDEX(INC_INCVALUES,$V953,$K$1)</f>
        <v>4</v>
      </c>
    </row>
    <row r="954" ht="15.75" customHeight="1">
      <c r="A954" s="435"/>
      <c r="B954" s="436"/>
      <c r="C954" s="95" t="str">
        <f t="array" ref="C954">IF(I954&gt;0,INDEX(DB,I954,8),"")</f>
        <v/>
      </c>
      <c r="D954" s="437">
        <f t="shared" si="1"/>
        <v>0</v>
      </c>
      <c r="F954" s="438">
        <f t="shared" si="2"/>
        <v>0</v>
      </c>
      <c r="G954" t="str">
        <f t="shared" si="3"/>
        <v/>
      </c>
      <c r="H954" t="b">
        <f t="shared" si="4"/>
        <v>0</v>
      </c>
      <c r="I954" s="439">
        <f>IF(OR(ISBLANK(A954),ISNA(MATCH(A954&amp;"",AthleteNumbers,0))),0,MATCH(A954&amp;"",AthleteNumbers,0))</f>
        <v>0</v>
      </c>
      <c r="J954" s="209">
        <f t="array" ref="J954">IF(I954&gt;0,INDEX(DB,$I954,6),0)</f>
        <v>0</v>
      </c>
      <c r="K954" s="446">
        <f t="shared" si="5"/>
        <v>0</v>
      </c>
      <c r="L954" s="440">
        <f t="shared" si="6"/>
        <v>0</v>
      </c>
      <c r="M954" s="441">
        <f>IF(AND(L954&gt;O954,O954&gt;0),MinPoints,IF(AND(L954&lt;N954,O954&gt;0),100,+INT((O954-$L954)/P954)+MinPoints))</f>
        <v>100</v>
      </c>
      <c r="N954" s="440">
        <f t="shared" si="7"/>
        <v>90</v>
      </c>
      <c r="O954" s="440">
        <f t="shared" si="8"/>
        <v>180</v>
      </c>
      <c r="P954" s="440">
        <f t="shared" si="9"/>
        <v>1</v>
      </c>
      <c r="Q954">
        <f t="array" ref="Q954">IF(I954&gt;0,INDEX(DB,I954,9),EventIndex)</f>
        <v>6</v>
      </c>
      <c r="S954">
        <f t="array" ref="S954">(INT(INDEX(MINVALUES,$Q954,$K$1))*60)+(MOD(INDEX(MINVALUES,$Q954,$K$1),1)*100)</f>
        <v>180</v>
      </c>
      <c r="T954">
        <f t="array" ref="T954">(INDEX(INCVALUES,$Q954,$K$1)*100)</f>
        <v>1</v>
      </c>
      <c r="V954">
        <f t="array" ref="V954">+J954+(4*(INDEX(MatchScoreTable,$Q954,20)-1))</f>
        <v>4</v>
      </c>
      <c r="W954">
        <f t="array" ref="W954">INDEX(INC_MINVALUES,$V954,$K$1)</f>
        <v>480</v>
      </c>
      <c r="X954" s="212">
        <f t="array" ref="X954">INDEX(INC_INCVALUES,$V954,$K$1)</f>
        <v>4</v>
      </c>
    </row>
    <row r="955" ht="15.75" customHeight="1">
      <c r="A955" s="435"/>
      <c r="B955" s="436"/>
      <c r="C955" s="95" t="str">
        <f t="array" ref="C955">IF(I955&gt;0,INDEX(DB,I955,8),"")</f>
        <v/>
      </c>
      <c r="D955" s="437">
        <f t="shared" si="1"/>
        <v>0</v>
      </c>
      <c r="F955" s="438">
        <f t="shared" si="2"/>
        <v>0</v>
      </c>
      <c r="G955" t="str">
        <f t="shared" si="3"/>
        <v/>
      </c>
      <c r="H955" t="b">
        <f t="shared" si="4"/>
        <v>0</v>
      </c>
      <c r="I955" s="439">
        <f>IF(OR(ISBLANK(A955),ISNA(MATCH(A955&amp;"",AthleteNumbers,0))),0,MATCH(A955&amp;"",AthleteNumbers,0))</f>
        <v>0</v>
      </c>
      <c r="J955" s="209">
        <f t="array" ref="J955">IF(I955&gt;0,INDEX(DB,$I955,6),0)</f>
        <v>0</v>
      </c>
      <c r="K955" s="446">
        <f t="shared" si="5"/>
        <v>0</v>
      </c>
      <c r="L955" s="440">
        <f t="shared" si="6"/>
        <v>0</v>
      </c>
      <c r="M955" s="441">
        <f>IF(AND(L955&gt;O955,O955&gt;0),MinPoints,IF(AND(L955&lt;N955,O955&gt;0),100,+INT((O955-$L955)/P955)+MinPoints))</f>
        <v>100</v>
      </c>
      <c r="N955" s="440">
        <f t="shared" si="7"/>
        <v>90</v>
      </c>
      <c r="O955" s="440">
        <f t="shared" si="8"/>
        <v>180</v>
      </c>
      <c r="P955" s="440">
        <f t="shared" si="9"/>
        <v>1</v>
      </c>
      <c r="Q955">
        <f t="array" ref="Q955">IF(I955&gt;0,INDEX(DB,I955,9),EventIndex)</f>
        <v>6</v>
      </c>
      <c r="S955">
        <f t="array" ref="S955">(INT(INDEX(MINVALUES,$Q955,$K$1))*60)+(MOD(INDEX(MINVALUES,$Q955,$K$1),1)*100)</f>
        <v>180</v>
      </c>
      <c r="T955">
        <f t="array" ref="T955">(INDEX(INCVALUES,$Q955,$K$1)*100)</f>
        <v>1</v>
      </c>
      <c r="V955">
        <f t="array" ref="V955">+J955+(4*(INDEX(MatchScoreTable,$Q955,20)-1))</f>
        <v>4</v>
      </c>
      <c r="W955">
        <f t="array" ref="W955">INDEX(INC_MINVALUES,$V955,$K$1)</f>
        <v>480</v>
      </c>
      <c r="X955" s="212">
        <f t="array" ref="X955">INDEX(INC_INCVALUES,$V955,$K$1)</f>
        <v>4</v>
      </c>
    </row>
    <row r="956" ht="15.75" customHeight="1">
      <c r="A956" s="435"/>
      <c r="B956" s="436"/>
      <c r="C956" s="95" t="str">
        <f t="array" ref="C956">IF(I956&gt;0,INDEX(DB,I956,8),"")</f>
        <v/>
      </c>
      <c r="D956" s="437">
        <f t="shared" si="1"/>
        <v>0</v>
      </c>
      <c r="F956" s="438">
        <f t="shared" si="2"/>
        <v>0</v>
      </c>
      <c r="G956" t="str">
        <f t="shared" si="3"/>
        <v/>
      </c>
      <c r="H956" t="b">
        <f t="shared" si="4"/>
        <v>0</v>
      </c>
      <c r="I956" s="439">
        <f>IF(OR(ISBLANK(A956),ISNA(MATCH(A956&amp;"",AthleteNumbers,0))),0,MATCH(A956&amp;"",AthleteNumbers,0))</f>
        <v>0</v>
      </c>
      <c r="J956" s="209">
        <f t="array" ref="J956">IF(I956&gt;0,INDEX(DB,$I956,6),0)</f>
        <v>0</v>
      </c>
      <c r="K956" s="446">
        <f t="shared" si="5"/>
        <v>0</v>
      </c>
      <c r="L956" s="440">
        <f t="shared" si="6"/>
        <v>0</v>
      </c>
      <c r="M956" s="441">
        <f>IF(AND(L956&gt;O956,O956&gt;0),MinPoints,IF(AND(L956&lt;N956,O956&gt;0),100,+INT((O956-$L956)/P956)+MinPoints))</f>
        <v>100</v>
      </c>
      <c r="N956" s="440">
        <f t="shared" si="7"/>
        <v>90</v>
      </c>
      <c r="O956" s="440">
        <f t="shared" si="8"/>
        <v>180</v>
      </c>
      <c r="P956" s="440">
        <f t="shared" si="9"/>
        <v>1</v>
      </c>
      <c r="Q956">
        <f t="array" ref="Q956">IF(I956&gt;0,INDEX(DB,I956,9),EventIndex)</f>
        <v>6</v>
      </c>
      <c r="S956">
        <f t="array" ref="S956">(INT(INDEX(MINVALUES,$Q956,$K$1))*60)+(MOD(INDEX(MINVALUES,$Q956,$K$1),1)*100)</f>
        <v>180</v>
      </c>
      <c r="T956">
        <f t="array" ref="T956">(INDEX(INCVALUES,$Q956,$K$1)*100)</f>
        <v>1</v>
      </c>
      <c r="V956">
        <f t="array" ref="V956">+J956+(4*(INDEX(MatchScoreTable,$Q956,20)-1))</f>
        <v>4</v>
      </c>
      <c r="W956">
        <f t="array" ref="W956">INDEX(INC_MINVALUES,$V956,$K$1)</f>
        <v>480</v>
      </c>
      <c r="X956" s="212">
        <f t="array" ref="X956">INDEX(INC_INCVALUES,$V956,$K$1)</f>
        <v>4</v>
      </c>
    </row>
    <row r="957" ht="15.75" customHeight="1">
      <c r="A957" s="435"/>
      <c r="B957" s="436"/>
      <c r="C957" s="95" t="str">
        <f t="array" ref="C957">IF(I957&gt;0,INDEX(DB,I957,8),"")</f>
        <v/>
      </c>
      <c r="D957" s="437">
        <f t="shared" si="1"/>
        <v>0</v>
      </c>
      <c r="F957" s="438">
        <f t="shared" si="2"/>
        <v>0</v>
      </c>
      <c r="G957" t="str">
        <f t="shared" si="3"/>
        <v/>
      </c>
      <c r="H957" t="b">
        <f t="shared" si="4"/>
        <v>0</v>
      </c>
      <c r="I957" s="439">
        <f>IF(OR(ISBLANK(A957),ISNA(MATCH(A957&amp;"",AthleteNumbers,0))),0,MATCH(A957&amp;"",AthleteNumbers,0))</f>
        <v>0</v>
      </c>
      <c r="J957" s="209">
        <f t="array" ref="J957">IF(I957&gt;0,INDEX(DB,$I957,6),0)</f>
        <v>0</v>
      </c>
      <c r="K957" s="446">
        <f t="shared" si="5"/>
        <v>0</v>
      </c>
      <c r="L957" s="440">
        <f t="shared" si="6"/>
        <v>0</v>
      </c>
      <c r="M957" s="441">
        <f>IF(AND(L957&gt;O957,O957&gt;0),MinPoints,IF(AND(L957&lt;N957,O957&gt;0),100,+INT((O957-$L957)/P957)+MinPoints))</f>
        <v>100</v>
      </c>
      <c r="N957" s="440">
        <f t="shared" si="7"/>
        <v>90</v>
      </c>
      <c r="O957" s="440">
        <f t="shared" si="8"/>
        <v>180</v>
      </c>
      <c r="P957" s="440">
        <f t="shared" si="9"/>
        <v>1</v>
      </c>
      <c r="Q957">
        <f t="array" ref="Q957">IF(I957&gt;0,INDEX(DB,I957,9),EventIndex)</f>
        <v>6</v>
      </c>
      <c r="S957">
        <f t="array" ref="S957">(INT(INDEX(MINVALUES,$Q957,$K$1))*60)+(MOD(INDEX(MINVALUES,$Q957,$K$1),1)*100)</f>
        <v>180</v>
      </c>
      <c r="T957">
        <f t="array" ref="T957">(INDEX(INCVALUES,$Q957,$K$1)*100)</f>
        <v>1</v>
      </c>
      <c r="V957">
        <f t="array" ref="V957">+J957+(4*(INDEX(MatchScoreTable,$Q957,20)-1))</f>
        <v>4</v>
      </c>
      <c r="W957">
        <f t="array" ref="W957">INDEX(INC_MINVALUES,$V957,$K$1)</f>
        <v>480</v>
      </c>
      <c r="X957" s="212">
        <f t="array" ref="X957">INDEX(INC_INCVALUES,$V957,$K$1)</f>
        <v>4</v>
      </c>
    </row>
    <row r="958" ht="15.75" customHeight="1">
      <c r="A958" s="435"/>
      <c r="B958" s="436"/>
      <c r="C958" s="95" t="str">
        <f t="array" ref="C958">IF(I958&gt;0,INDEX(DB,I958,8),"")</f>
        <v/>
      </c>
      <c r="D958" s="437">
        <f t="shared" si="1"/>
        <v>0</v>
      </c>
      <c r="F958" s="438">
        <f t="shared" si="2"/>
        <v>0</v>
      </c>
      <c r="G958" t="str">
        <f t="shared" si="3"/>
        <v/>
      </c>
      <c r="H958" t="b">
        <f t="shared" si="4"/>
        <v>0</v>
      </c>
      <c r="I958" s="439">
        <f>IF(OR(ISBLANK(A958),ISNA(MATCH(A958&amp;"",AthleteNumbers,0))),0,MATCH(A958&amp;"",AthleteNumbers,0))</f>
        <v>0</v>
      </c>
      <c r="J958" s="209">
        <f t="array" ref="J958">IF(I958&gt;0,INDEX(DB,$I958,6),0)</f>
        <v>0</v>
      </c>
      <c r="K958" s="446">
        <f t="shared" si="5"/>
        <v>0</v>
      </c>
      <c r="L958" s="440">
        <f t="shared" si="6"/>
        <v>0</v>
      </c>
      <c r="M958" s="441">
        <f>IF(AND(L958&gt;O958,O958&gt;0),MinPoints,IF(AND(L958&lt;N958,O958&gt;0),100,+INT((O958-$L958)/P958)+MinPoints))</f>
        <v>100</v>
      </c>
      <c r="N958" s="440">
        <f t="shared" si="7"/>
        <v>90</v>
      </c>
      <c r="O958" s="440">
        <f t="shared" si="8"/>
        <v>180</v>
      </c>
      <c r="P958" s="440">
        <f t="shared" si="9"/>
        <v>1</v>
      </c>
      <c r="Q958">
        <f t="array" ref="Q958">IF(I958&gt;0,INDEX(DB,I958,9),EventIndex)</f>
        <v>6</v>
      </c>
      <c r="S958">
        <f t="array" ref="S958">(INT(INDEX(MINVALUES,$Q958,$K$1))*60)+(MOD(INDEX(MINVALUES,$Q958,$K$1),1)*100)</f>
        <v>180</v>
      </c>
      <c r="T958">
        <f t="array" ref="T958">(INDEX(INCVALUES,$Q958,$K$1)*100)</f>
        <v>1</v>
      </c>
      <c r="V958">
        <f t="array" ref="V958">+J958+(4*(INDEX(MatchScoreTable,$Q958,20)-1))</f>
        <v>4</v>
      </c>
      <c r="W958">
        <f t="array" ref="W958">INDEX(INC_MINVALUES,$V958,$K$1)</f>
        <v>480</v>
      </c>
      <c r="X958" s="212">
        <f t="array" ref="X958">INDEX(INC_INCVALUES,$V958,$K$1)</f>
        <v>4</v>
      </c>
    </row>
    <row r="959" ht="15.75" customHeight="1">
      <c r="A959" s="435"/>
      <c r="B959" s="436"/>
      <c r="C959" s="95" t="str">
        <f t="array" ref="C959">IF(I959&gt;0,INDEX(DB,I959,8),"")</f>
        <v/>
      </c>
      <c r="D959" s="437">
        <f t="shared" si="1"/>
        <v>0</v>
      </c>
      <c r="F959" s="438">
        <f t="shared" si="2"/>
        <v>0</v>
      </c>
      <c r="G959" t="str">
        <f t="shared" si="3"/>
        <v/>
      </c>
      <c r="H959" t="b">
        <f t="shared" si="4"/>
        <v>0</v>
      </c>
      <c r="I959" s="439">
        <f>IF(OR(ISBLANK(A959),ISNA(MATCH(A959&amp;"",AthleteNumbers,0))),0,MATCH(A959&amp;"",AthleteNumbers,0))</f>
        <v>0</v>
      </c>
      <c r="J959" s="209">
        <f t="array" ref="J959">IF(I959&gt;0,INDEX(DB,$I959,6),0)</f>
        <v>0</v>
      </c>
      <c r="K959" s="446">
        <f t="shared" si="5"/>
        <v>0</v>
      </c>
      <c r="L959" s="440">
        <f t="shared" si="6"/>
        <v>0</v>
      </c>
      <c r="M959" s="441">
        <f>IF(AND(L959&gt;O959,O959&gt;0),MinPoints,IF(AND(L959&lt;N959,O959&gt;0),100,+INT((O959-$L959)/P959)+MinPoints))</f>
        <v>100</v>
      </c>
      <c r="N959" s="440">
        <f t="shared" si="7"/>
        <v>90</v>
      </c>
      <c r="O959" s="440">
        <f t="shared" si="8"/>
        <v>180</v>
      </c>
      <c r="P959" s="440">
        <f t="shared" si="9"/>
        <v>1</v>
      </c>
      <c r="Q959">
        <f t="array" ref="Q959">IF(I959&gt;0,INDEX(DB,I959,9),EventIndex)</f>
        <v>6</v>
      </c>
      <c r="S959">
        <f t="array" ref="S959">(INT(INDEX(MINVALUES,$Q959,$K$1))*60)+(MOD(INDEX(MINVALUES,$Q959,$K$1),1)*100)</f>
        <v>180</v>
      </c>
      <c r="T959">
        <f t="array" ref="T959">(INDEX(INCVALUES,$Q959,$K$1)*100)</f>
        <v>1</v>
      </c>
      <c r="V959">
        <f t="array" ref="V959">+J959+(4*(INDEX(MatchScoreTable,$Q959,20)-1))</f>
        <v>4</v>
      </c>
      <c r="W959">
        <f t="array" ref="W959">INDEX(INC_MINVALUES,$V959,$K$1)</f>
        <v>480</v>
      </c>
      <c r="X959" s="212">
        <f t="array" ref="X959">INDEX(INC_INCVALUES,$V959,$K$1)</f>
        <v>4</v>
      </c>
    </row>
    <row r="960" ht="15.75" customHeight="1">
      <c r="A960" s="435"/>
      <c r="B960" s="436"/>
      <c r="C960" s="95" t="str">
        <f t="array" ref="C960">IF(I960&gt;0,INDEX(DB,I960,8),"")</f>
        <v/>
      </c>
      <c r="D960" s="437">
        <f t="shared" si="1"/>
        <v>0</v>
      </c>
      <c r="F960" s="438">
        <f t="shared" si="2"/>
        <v>0</v>
      </c>
      <c r="G960" t="str">
        <f t="shared" si="3"/>
        <v/>
      </c>
      <c r="H960" t="b">
        <f t="shared" si="4"/>
        <v>0</v>
      </c>
      <c r="I960" s="439">
        <f>IF(OR(ISBLANK(A960),ISNA(MATCH(A960&amp;"",AthleteNumbers,0))),0,MATCH(A960&amp;"",AthleteNumbers,0))</f>
        <v>0</v>
      </c>
      <c r="J960" s="209">
        <f t="array" ref="J960">IF(I960&gt;0,INDEX(DB,$I960,6),0)</f>
        <v>0</v>
      </c>
      <c r="K960" s="446">
        <f t="shared" si="5"/>
        <v>0</v>
      </c>
      <c r="L960" s="440">
        <f t="shared" si="6"/>
        <v>0</v>
      </c>
      <c r="M960" s="441">
        <f>IF(AND(L960&gt;O960,O960&gt;0),MinPoints,IF(AND(L960&lt;N960,O960&gt;0),100,+INT((O960-$L960)/P960)+MinPoints))</f>
        <v>100</v>
      </c>
      <c r="N960" s="440">
        <f t="shared" si="7"/>
        <v>90</v>
      </c>
      <c r="O960" s="440">
        <f t="shared" si="8"/>
        <v>180</v>
      </c>
      <c r="P960" s="440">
        <f t="shared" si="9"/>
        <v>1</v>
      </c>
      <c r="Q960">
        <f t="array" ref="Q960">IF(I960&gt;0,INDEX(DB,I960,9),EventIndex)</f>
        <v>6</v>
      </c>
      <c r="S960">
        <f t="array" ref="S960">(INT(INDEX(MINVALUES,$Q960,$K$1))*60)+(MOD(INDEX(MINVALUES,$Q960,$K$1),1)*100)</f>
        <v>180</v>
      </c>
      <c r="T960">
        <f t="array" ref="T960">(INDEX(INCVALUES,$Q960,$K$1)*100)</f>
        <v>1</v>
      </c>
      <c r="V960">
        <f t="array" ref="V960">+J960+(4*(INDEX(MatchScoreTable,$Q960,20)-1))</f>
        <v>4</v>
      </c>
      <c r="W960">
        <f t="array" ref="W960">INDEX(INC_MINVALUES,$V960,$K$1)</f>
        <v>480</v>
      </c>
      <c r="X960" s="212">
        <f t="array" ref="X960">INDEX(INC_INCVALUES,$V960,$K$1)</f>
        <v>4</v>
      </c>
    </row>
    <row r="961" ht="15.75" customHeight="1">
      <c r="A961" s="435"/>
      <c r="B961" s="436"/>
      <c r="C961" s="95" t="str">
        <f t="array" ref="C961">IF(I961&gt;0,INDEX(DB,I961,8),"")</f>
        <v/>
      </c>
      <c r="D961" s="437">
        <f t="shared" si="1"/>
        <v>0</v>
      </c>
      <c r="F961" s="438">
        <f t="shared" si="2"/>
        <v>0</v>
      </c>
      <c r="G961" t="str">
        <f t="shared" si="3"/>
        <v/>
      </c>
      <c r="H961" t="b">
        <f t="shared" si="4"/>
        <v>0</v>
      </c>
      <c r="I961" s="439">
        <f>IF(OR(ISBLANK(A961),ISNA(MATCH(A961&amp;"",AthleteNumbers,0))),0,MATCH(A961&amp;"",AthleteNumbers,0))</f>
        <v>0</v>
      </c>
      <c r="J961" s="209">
        <f t="array" ref="J961">IF(I961&gt;0,INDEX(DB,$I961,6),0)</f>
        <v>0</v>
      </c>
      <c r="K961" s="446">
        <f t="shared" si="5"/>
        <v>0</v>
      </c>
      <c r="L961" s="440">
        <f t="shared" si="6"/>
        <v>0</v>
      </c>
      <c r="M961" s="441">
        <f>IF(AND(L961&gt;O961,O961&gt;0),MinPoints,IF(AND(L961&lt;N961,O961&gt;0),100,+INT((O961-$L961)/P961)+MinPoints))</f>
        <v>100</v>
      </c>
      <c r="N961" s="440">
        <f t="shared" si="7"/>
        <v>90</v>
      </c>
      <c r="O961" s="440">
        <f t="shared" si="8"/>
        <v>180</v>
      </c>
      <c r="P961" s="440">
        <f t="shared" si="9"/>
        <v>1</v>
      </c>
      <c r="Q961">
        <f t="array" ref="Q961">IF(I961&gt;0,INDEX(DB,I961,9),EventIndex)</f>
        <v>6</v>
      </c>
      <c r="S961">
        <f t="array" ref="S961">(INT(INDEX(MINVALUES,$Q961,$K$1))*60)+(MOD(INDEX(MINVALUES,$Q961,$K$1),1)*100)</f>
        <v>180</v>
      </c>
      <c r="T961">
        <f t="array" ref="T961">(INDEX(INCVALUES,$Q961,$K$1)*100)</f>
        <v>1</v>
      </c>
      <c r="V961">
        <f t="array" ref="V961">+J961+(4*(INDEX(MatchScoreTable,$Q961,20)-1))</f>
        <v>4</v>
      </c>
      <c r="W961">
        <f t="array" ref="W961">INDEX(INC_MINVALUES,$V961,$K$1)</f>
        <v>480</v>
      </c>
      <c r="X961" s="212">
        <f t="array" ref="X961">INDEX(INC_INCVALUES,$V961,$K$1)</f>
        <v>4</v>
      </c>
    </row>
    <row r="962" ht="15.75" customHeight="1">
      <c r="A962" s="435"/>
      <c r="B962" s="436"/>
      <c r="C962" s="95" t="str">
        <f t="array" ref="C962">IF(I962&gt;0,INDEX(DB,I962,8),"")</f>
        <v/>
      </c>
      <c r="D962" s="437">
        <f t="shared" si="1"/>
        <v>0</v>
      </c>
      <c r="F962" s="438">
        <f t="shared" si="2"/>
        <v>0</v>
      </c>
      <c r="G962" t="str">
        <f t="shared" si="3"/>
        <v/>
      </c>
      <c r="H962" t="b">
        <f t="shared" si="4"/>
        <v>0</v>
      </c>
      <c r="I962" s="439">
        <f>IF(OR(ISBLANK(A962),ISNA(MATCH(A962&amp;"",AthleteNumbers,0))),0,MATCH(A962&amp;"",AthleteNumbers,0))</f>
        <v>0</v>
      </c>
      <c r="J962" s="209">
        <f t="array" ref="J962">IF(I962&gt;0,INDEX(DB,$I962,6),0)</f>
        <v>0</v>
      </c>
      <c r="K962" s="446">
        <f t="shared" si="5"/>
        <v>0</v>
      </c>
      <c r="L962" s="440">
        <f t="shared" si="6"/>
        <v>0</v>
      </c>
      <c r="M962" s="441">
        <f>IF(AND(L962&gt;O962,O962&gt;0),MinPoints,IF(AND(L962&lt;N962,O962&gt;0),100,+INT((O962-$L962)/P962)+MinPoints))</f>
        <v>100</v>
      </c>
      <c r="N962" s="440">
        <f t="shared" si="7"/>
        <v>90</v>
      </c>
      <c r="O962" s="440">
        <f t="shared" si="8"/>
        <v>180</v>
      </c>
      <c r="P962" s="440">
        <f t="shared" si="9"/>
        <v>1</v>
      </c>
      <c r="Q962">
        <f t="array" ref="Q962">IF(I962&gt;0,INDEX(DB,I962,9),EventIndex)</f>
        <v>6</v>
      </c>
      <c r="S962">
        <f t="array" ref="S962">(INT(INDEX(MINVALUES,$Q962,$K$1))*60)+(MOD(INDEX(MINVALUES,$Q962,$K$1),1)*100)</f>
        <v>180</v>
      </c>
      <c r="T962">
        <f t="array" ref="T962">(INDEX(INCVALUES,$Q962,$K$1)*100)</f>
        <v>1</v>
      </c>
      <c r="V962">
        <f t="array" ref="V962">+J962+(4*(INDEX(MatchScoreTable,$Q962,20)-1))</f>
        <v>4</v>
      </c>
      <c r="W962">
        <f t="array" ref="W962">INDEX(INC_MINVALUES,$V962,$K$1)</f>
        <v>480</v>
      </c>
      <c r="X962" s="212">
        <f t="array" ref="X962">INDEX(INC_INCVALUES,$V962,$K$1)</f>
        <v>4</v>
      </c>
    </row>
    <row r="963" ht="15.75" customHeight="1">
      <c r="A963" s="435"/>
      <c r="B963" s="436"/>
      <c r="C963" s="95" t="str">
        <f t="array" ref="C963">IF(I963&gt;0,INDEX(DB,I963,8),"")</f>
        <v/>
      </c>
      <c r="D963" s="437">
        <f t="shared" si="1"/>
        <v>0</v>
      </c>
      <c r="F963" s="438">
        <f t="shared" si="2"/>
        <v>0</v>
      </c>
      <c r="G963" t="str">
        <f t="shared" si="3"/>
        <v/>
      </c>
      <c r="H963" t="b">
        <f t="shared" si="4"/>
        <v>0</v>
      </c>
      <c r="I963" s="439">
        <f>IF(OR(ISBLANK(A963),ISNA(MATCH(A963&amp;"",AthleteNumbers,0))),0,MATCH(A963&amp;"",AthleteNumbers,0))</f>
        <v>0</v>
      </c>
      <c r="J963" s="209">
        <f t="array" ref="J963">IF(I963&gt;0,INDEX(DB,$I963,6),0)</f>
        <v>0</v>
      </c>
      <c r="K963" s="446">
        <f t="shared" si="5"/>
        <v>0</v>
      </c>
      <c r="L963" s="440">
        <f t="shared" si="6"/>
        <v>0</v>
      </c>
      <c r="M963" s="441">
        <f>IF(AND(L963&gt;O963,O963&gt;0),MinPoints,IF(AND(L963&lt;N963,O963&gt;0),100,+INT((O963-$L963)/P963)+MinPoints))</f>
        <v>100</v>
      </c>
      <c r="N963" s="440">
        <f t="shared" si="7"/>
        <v>90</v>
      </c>
      <c r="O963" s="440">
        <f t="shared" si="8"/>
        <v>180</v>
      </c>
      <c r="P963" s="440">
        <f t="shared" si="9"/>
        <v>1</v>
      </c>
      <c r="Q963">
        <f t="array" ref="Q963">IF(I963&gt;0,INDEX(DB,I963,9),EventIndex)</f>
        <v>6</v>
      </c>
      <c r="S963">
        <f t="array" ref="S963">(INT(INDEX(MINVALUES,$Q963,$K$1))*60)+(MOD(INDEX(MINVALUES,$Q963,$K$1),1)*100)</f>
        <v>180</v>
      </c>
      <c r="T963">
        <f t="array" ref="T963">(INDEX(INCVALUES,$Q963,$K$1)*100)</f>
        <v>1</v>
      </c>
      <c r="V963">
        <f t="array" ref="V963">+J963+(4*(INDEX(MatchScoreTable,$Q963,20)-1))</f>
        <v>4</v>
      </c>
      <c r="W963">
        <f t="array" ref="W963">INDEX(INC_MINVALUES,$V963,$K$1)</f>
        <v>480</v>
      </c>
      <c r="X963" s="212">
        <f t="array" ref="X963">INDEX(INC_INCVALUES,$V963,$K$1)</f>
        <v>4</v>
      </c>
    </row>
    <row r="964" ht="15.75" customHeight="1">
      <c r="A964" s="435"/>
      <c r="B964" s="436"/>
      <c r="C964" s="95" t="str">
        <f t="array" ref="C964">IF(I964&gt;0,INDEX(DB,I964,8),"")</f>
        <v/>
      </c>
      <c r="D964" s="437">
        <f t="shared" si="1"/>
        <v>0</v>
      </c>
      <c r="F964" s="438">
        <f t="shared" si="2"/>
        <v>0</v>
      </c>
      <c r="G964" t="str">
        <f t="shared" si="3"/>
        <v/>
      </c>
      <c r="H964" t="b">
        <f t="shared" si="4"/>
        <v>0</v>
      </c>
      <c r="I964" s="439">
        <f>IF(OR(ISBLANK(A964),ISNA(MATCH(A964&amp;"",AthleteNumbers,0))),0,MATCH(A964&amp;"",AthleteNumbers,0))</f>
        <v>0</v>
      </c>
      <c r="J964" s="209">
        <f t="array" ref="J964">IF(I964&gt;0,INDEX(DB,$I964,6),0)</f>
        <v>0</v>
      </c>
      <c r="K964" s="446">
        <f t="shared" si="5"/>
        <v>0</v>
      </c>
      <c r="L964" s="440">
        <f t="shared" si="6"/>
        <v>0</v>
      </c>
      <c r="M964" s="441">
        <f>IF(AND(L964&gt;O964,O964&gt;0),MinPoints,IF(AND(L964&lt;N964,O964&gt;0),100,+INT((O964-$L964)/P964)+MinPoints))</f>
        <v>100</v>
      </c>
      <c r="N964" s="440">
        <f t="shared" si="7"/>
        <v>90</v>
      </c>
      <c r="O964" s="440">
        <f t="shared" si="8"/>
        <v>180</v>
      </c>
      <c r="P964" s="440">
        <f t="shared" si="9"/>
        <v>1</v>
      </c>
      <c r="Q964">
        <f t="array" ref="Q964">IF(I964&gt;0,INDEX(DB,I964,9),EventIndex)</f>
        <v>6</v>
      </c>
      <c r="S964">
        <f t="array" ref="S964">(INT(INDEX(MINVALUES,$Q964,$K$1))*60)+(MOD(INDEX(MINVALUES,$Q964,$K$1),1)*100)</f>
        <v>180</v>
      </c>
      <c r="T964">
        <f t="array" ref="T964">(INDEX(INCVALUES,$Q964,$K$1)*100)</f>
        <v>1</v>
      </c>
      <c r="V964">
        <f t="array" ref="V964">+J964+(4*(INDEX(MatchScoreTable,$Q964,20)-1))</f>
        <v>4</v>
      </c>
      <c r="W964">
        <f t="array" ref="W964">INDEX(INC_MINVALUES,$V964,$K$1)</f>
        <v>480</v>
      </c>
      <c r="X964" s="212">
        <f t="array" ref="X964">INDEX(INC_INCVALUES,$V964,$K$1)</f>
        <v>4</v>
      </c>
    </row>
    <row r="965" ht="15.75" customHeight="1">
      <c r="A965" s="435"/>
      <c r="B965" s="436"/>
      <c r="C965" s="95" t="str">
        <f t="array" ref="C965">IF(I965&gt;0,INDEX(DB,I965,8),"")</f>
        <v/>
      </c>
      <c r="D965" s="437">
        <f t="shared" si="1"/>
        <v>0</v>
      </c>
      <c r="F965" s="438">
        <f t="shared" si="2"/>
        <v>0</v>
      </c>
      <c r="G965" t="str">
        <f t="shared" si="3"/>
        <v/>
      </c>
      <c r="H965" t="b">
        <f t="shared" si="4"/>
        <v>0</v>
      </c>
      <c r="I965" s="439">
        <f>IF(OR(ISBLANK(A965),ISNA(MATCH(A965&amp;"",AthleteNumbers,0))),0,MATCH(A965&amp;"",AthleteNumbers,0))</f>
        <v>0</v>
      </c>
      <c r="J965" s="209">
        <f t="array" ref="J965">IF(I965&gt;0,INDEX(DB,$I965,6),0)</f>
        <v>0</v>
      </c>
      <c r="K965" s="446">
        <f t="shared" si="5"/>
        <v>0</v>
      </c>
      <c r="L965" s="440">
        <f t="shared" si="6"/>
        <v>0</v>
      </c>
      <c r="M965" s="441">
        <f>IF(AND(L965&gt;O965,O965&gt;0),MinPoints,IF(AND(L965&lt;N965,O965&gt;0),100,+INT((O965-$L965)/P965)+MinPoints))</f>
        <v>100</v>
      </c>
      <c r="N965" s="440">
        <f t="shared" si="7"/>
        <v>90</v>
      </c>
      <c r="O965" s="440">
        <f t="shared" si="8"/>
        <v>180</v>
      </c>
      <c r="P965" s="440">
        <f t="shared" si="9"/>
        <v>1</v>
      </c>
      <c r="Q965">
        <f t="array" ref="Q965">IF(I965&gt;0,INDEX(DB,I965,9),EventIndex)</f>
        <v>6</v>
      </c>
      <c r="S965">
        <f t="array" ref="S965">(INT(INDEX(MINVALUES,$Q965,$K$1))*60)+(MOD(INDEX(MINVALUES,$Q965,$K$1),1)*100)</f>
        <v>180</v>
      </c>
      <c r="T965">
        <f t="array" ref="T965">(INDEX(INCVALUES,$Q965,$K$1)*100)</f>
        <v>1</v>
      </c>
      <c r="V965">
        <f t="array" ref="V965">+J965+(4*(INDEX(MatchScoreTable,$Q965,20)-1))</f>
        <v>4</v>
      </c>
      <c r="W965">
        <f t="array" ref="W965">INDEX(INC_MINVALUES,$V965,$K$1)</f>
        <v>480</v>
      </c>
      <c r="X965" s="212">
        <f t="array" ref="X965">INDEX(INC_INCVALUES,$V965,$K$1)</f>
        <v>4</v>
      </c>
    </row>
    <row r="966" ht="15.75" customHeight="1">
      <c r="A966" s="435"/>
      <c r="B966" s="436"/>
      <c r="C966" s="95" t="str">
        <f t="array" ref="C966">IF(I966&gt;0,INDEX(DB,I966,8),"")</f>
        <v/>
      </c>
      <c r="D966" s="437">
        <f t="shared" si="1"/>
        <v>0</v>
      </c>
      <c r="F966" s="438">
        <f t="shared" si="2"/>
        <v>0</v>
      </c>
      <c r="G966" t="str">
        <f t="shared" si="3"/>
        <v/>
      </c>
      <c r="H966" t="b">
        <f t="shared" si="4"/>
        <v>0</v>
      </c>
      <c r="I966" s="439">
        <f>IF(OR(ISBLANK(A966),ISNA(MATCH(A966&amp;"",AthleteNumbers,0))),0,MATCH(A966&amp;"",AthleteNumbers,0))</f>
        <v>0</v>
      </c>
      <c r="J966" s="209">
        <f t="array" ref="J966">IF(I966&gt;0,INDEX(DB,$I966,6),0)</f>
        <v>0</v>
      </c>
      <c r="K966" s="446">
        <f t="shared" si="5"/>
        <v>0</v>
      </c>
      <c r="L966" s="440">
        <f t="shared" si="6"/>
        <v>0</v>
      </c>
      <c r="M966" s="441">
        <f>IF(AND(L966&gt;O966,O966&gt;0),MinPoints,IF(AND(L966&lt;N966,O966&gt;0),100,+INT((O966-$L966)/P966)+MinPoints))</f>
        <v>100</v>
      </c>
      <c r="N966" s="440">
        <f t="shared" si="7"/>
        <v>90</v>
      </c>
      <c r="O966" s="440">
        <f t="shared" si="8"/>
        <v>180</v>
      </c>
      <c r="P966" s="440">
        <f t="shared" si="9"/>
        <v>1</v>
      </c>
      <c r="Q966">
        <f t="array" ref="Q966">IF(I966&gt;0,INDEX(DB,I966,9),EventIndex)</f>
        <v>6</v>
      </c>
      <c r="S966">
        <f t="array" ref="S966">(INT(INDEX(MINVALUES,$Q966,$K$1))*60)+(MOD(INDEX(MINVALUES,$Q966,$K$1),1)*100)</f>
        <v>180</v>
      </c>
      <c r="T966">
        <f t="array" ref="T966">(INDEX(INCVALUES,$Q966,$K$1)*100)</f>
        <v>1</v>
      </c>
      <c r="V966">
        <f t="array" ref="V966">+J966+(4*(INDEX(MatchScoreTable,$Q966,20)-1))</f>
        <v>4</v>
      </c>
      <c r="W966">
        <f t="array" ref="W966">INDEX(INC_MINVALUES,$V966,$K$1)</f>
        <v>480</v>
      </c>
      <c r="X966" s="212">
        <f t="array" ref="X966">INDEX(INC_INCVALUES,$V966,$K$1)</f>
        <v>4</v>
      </c>
    </row>
    <row r="967" ht="15.75" customHeight="1">
      <c r="A967" s="435"/>
      <c r="B967" s="436"/>
      <c r="C967" s="95" t="str">
        <f t="array" ref="C967">IF(I967&gt;0,INDEX(DB,I967,8),"")</f>
        <v/>
      </c>
      <c r="D967" s="437">
        <f t="shared" si="1"/>
        <v>0</v>
      </c>
      <c r="F967" s="438">
        <f t="shared" si="2"/>
        <v>0</v>
      </c>
      <c r="G967" t="str">
        <f t="shared" si="3"/>
        <v/>
      </c>
      <c r="H967" t="b">
        <f t="shared" si="4"/>
        <v>0</v>
      </c>
      <c r="I967" s="439">
        <f>IF(OR(ISBLANK(A967),ISNA(MATCH(A967&amp;"",AthleteNumbers,0))),0,MATCH(A967&amp;"",AthleteNumbers,0))</f>
        <v>0</v>
      </c>
      <c r="J967" s="209">
        <f t="array" ref="J967">IF(I967&gt;0,INDEX(DB,$I967,6),0)</f>
        <v>0</v>
      </c>
      <c r="K967" s="446">
        <f t="shared" si="5"/>
        <v>0</v>
      </c>
      <c r="L967" s="440">
        <f t="shared" si="6"/>
        <v>0</v>
      </c>
      <c r="M967" s="441">
        <f>IF(AND(L967&gt;O967,O967&gt;0),MinPoints,IF(AND(L967&lt;N967,O967&gt;0),100,+INT((O967-$L967)/P967)+MinPoints))</f>
        <v>100</v>
      </c>
      <c r="N967" s="440">
        <f t="shared" si="7"/>
        <v>90</v>
      </c>
      <c r="O967" s="440">
        <f t="shared" si="8"/>
        <v>180</v>
      </c>
      <c r="P967" s="440">
        <f t="shared" si="9"/>
        <v>1</v>
      </c>
      <c r="Q967">
        <f t="array" ref="Q967">IF(I967&gt;0,INDEX(DB,I967,9),EventIndex)</f>
        <v>6</v>
      </c>
      <c r="S967">
        <f t="array" ref="S967">(INT(INDEX(MINVALUES,$Q967,$K$1))*60)+(MOD(INDEX(MINVALUES,$Q967,$K$1),1)*100)</f>
        <v>180</v>
      </c>
      <c r="T967">
        <f t="array" ref="T967">(INDEX(INCVALUES,$Q967,$K$1)*100)</f>
        <v>1</v>
      </c>
      <c r="V967">
        <f t="array" ref="V967">+J967+(4*(INDEX(MatchScoreTable,$Q967,20)-1))</f>
        <v>4</v>
      </c>
      <c r="W967">
        <f t="array" ref="W967">INDEX(INC_MINVALUES,$V967,$K$1)</f>
        <v>480</v>
      </c>
      <c r="X967" s="212">
        <f t="array" ref="X967">INDEX(INC_INCVALUES,$V967,$K$1)</f>
        <v>4</v>
      </c>
    </row>
    <row r="968" ht="15.75" customHeight="1">
      <c r="A968" s="435"/>
      <c r="B968" s="436"/>
      <c r="C968" s="95" t="str">
        <f t="array" ref="C968">IF(I968&gt;0,INDEX(DB,I968,8),"")</f>
        <v/>
      </c>
      <c r="D968" s="437">
        <f t="shared" si="1"/>
        <v>0</v>
      </c>
      <c r="F968" s="438">
        <f t="shared" si="2"/>
        <v>0</v>
      </c>
      <c r="G968" t="str">
        <f t="shared" si="3"/>
        <v/>
      </c>
      <c r="H968" t="b">
        <f t="shared" si="4"/>
        <v>0</v>
      </c>
      <c r="I968" s="439">
        <f>IF(OR(ISBLANK(A968),ISNA(MATCH(A968&amp;"",AthleteNumbers,0))),0,MATCH(A968&amp;"",AthleteNumbers,0))</f>
        <v>0</v>
      </c>
      <c r="J968" s="209">
        <f t="array" ref="J968">IF(I968&gt;0,INDEX(DB,$I968,6),0)</f>
        <v>0</v>
      </c>
      <c r="K968" s="446">
        <f t="shared" si="5"/>
        <v>0</v>
      </c>
      <c r="L968" s="440">
        <f t="shared" si="6"/>
        <v>0</v>
      </c>
      <c r="M968" s="441">
        <f>IF(AND(L968&gt;O968,O968&gt;0),MinPoints,IF(AND(L968&lt;N968,O968&gt;0),100,+INT((O968-$L968)/P968)+MinPoints))</f>
        <v>100</v>
      </c>
      <c r="N968" s="440">
        <f t="shared" si="7"/>
        <v>90</v>
      </c>
      <c r="O968" s="440">
        <f t="shared" si="8"/>
        <v>180</v>
      </c>
      <c r="P968" s="440">
        <f t="shared" si="9"/>
        <v>1</v>
      </c>
      <c r="Q968">
        <f t="array" ref="Q968">IF(I968&gt;0,INDEX(DB,I968,9),EventIndex)</f>
        <v>6</v>
      </c>
      <c r="S968">
        <f t="array" ref="S968">(INT(INDEX(MINVALUES,$Q968,$K$1))*60)+(MOD(INDEX(MINVALUES,$Q968,$K$1),1)*100)</f>
        <v>180</v>
      </c>
      <c r="T968">
        <f t="array" ref="T968">(INDEX(INCVALUES,$Q968,$K$1)*100)</f>
        <v>1</v>
      </c>
      <c r="V968">
        <f t="array" ref="V968">+J968+(4*(INDEX(MatchScoreTable,$Q968,20)-1))</f>
        <v>4</v>
      </c>
      <c r="W968">
        <f t="array" ref="W968">INDEX(INC_MINVALUES,$V968,$K$1)</f>
        <v>480</v>
      </c>
      <c r="X968" s="212">
        <f t="array" ref="X968">INDEX(INC_INCVALUES,$V968,$K$1)</f>
        <v>4</v>
      </c>
    </row>
    <row r="969" ht="15.75" customHeight="1">
      <c r="A969" s="435"/>
      <c r="B969" s="436"/>
      <c r="C969" s="95" t="str">
        <f t="array" ref="C969">IF(I969&gt;0,INDEX(DB,I969,8),"")</f>
        <v/>
      </c>
      <c r="D969" s="437">
        <f t="shared" si="1"/>
        <v>0</v>
      </c>
      <c r="F969" s="438">
        <f t="shared" si="2"/>
        <v>0</v>
      </c>
      <c r="G969" t="str">
        <f t="shared" si="3"/>
        <v/>
      </c>
      <c r="H969" t="b">
        <f t="shared" si="4"/>
        <v>0</v>
      </c>
      <c r="I969" s="439">
        <f>IF(OR(ISBLANK(A969),ISNA(MATCH(A969&amp;"",AthleteNumbers,0))),0,MATCH(A969&amp;"",AthleteNumbers,0))</f>
        <v>0</v>
      </c>
      <c r="J969" s="209">
        <f t="array" ref="J969">IF(I969&gt;0,INDEX(DB,$I969,6),0)</f>
        <v>0</v>
      </c>
      <c r="K969" s="446">
        <f t="shared" si="5"/>
        <v>0</v>
      </c>
      <c r="L969" s="440">
        <f t="shared" si="6"/>
        <v>0</v>
      </c>
      <c r="M969" s="441">
        <f>IF(AND(L969&gt;O969,O969&gt;0),MinPoints,IF(AND(L969&lt;N969,O969&gt;0),100,+INT((O969-$L969)/P969)+MinPoints))</f>
        <v>100</v>
      </c>
      <c r="N969" s="440">
        <f t="shared" si="7"/>
        <v>90</v>
      </c>
      <c r="O969" s="440">
        <f t="shared" si="8"/>
        <v>180</v>
      </c>
      <c r="P969" s="440">
        <f t="shared" si="9"/>
        <v>1</v>
      </c>
      <c r="Q969">
        <f t="array" ref="Q969">IF(I969&gt;0,INDEX(DB,I969,9),EventIndex)</f>
        <v>6</v>
      </c>
      <c r="S969">
        <f t="array" ref="S969">(INT(INDEX(MINVALUES,$Q969,$K$1))*60)+(MOD(INDEX(MINVALUES,$Q969,$K$1),1)*100)</f>
        <v>180</v>
      </c>
      <c r="T969">
        <f t="array" ref="T969">(INDEX(INCVALUES,$Q969,$K$1)*100)</f>
        <v>1</v>
      </c>
      <c r="V969">
        <f t="array" ref="V969">+J969+(4*(INDEX(MatchScoreTable,$Q969,20)-1))</f>
        <v>4</v>
      </c>
      <c r="W969">
        <f t="array" ref="W969">INDEX(INC_MINVALUES,$V969,$K$1)</f>
        <v>480</v>
      </c>
      <c r="X969" s="212">
        <f t="array" ref="X969">INDEX(INC_INCVALUES,$V969,$K$1)</f>
        <v>4</v>
      </c>
    </row>
    <row r="970" ht="15.75" customHeight="1">
      <c r="A970" s="435"/>
      <c r="B970" s="436"/>
      <c r="C970" s="95" t="str">
        <f t="array" ref="C970">IF(I970&gt;0,INDEX(DB,I970,8),"")</f>
        <v/>
      </c>
      <c r="D970" s="437">
        <f t="shared" si="1"/>
        <v>0</v>
      </c>
      <c r="F970" s="438">
        <f t="shared" si="2"/>
        <v>0</v>
      </c>
      <c r="G970" t="str">
        <f t="shared" si="3"/>
        <v/>
      </c>
      <c r="H970" t="b">
        <f t="shared" si="4"/>
        <v>0</v>
      </c>
      <c r="I970" s="439">
        <f>IF(OR(ISBLANK(A970),ISNA(MATCH(A970&amp;"",AthleteNumbers,0))),0,MATCH(A970&amp;"",AthleteNumbers,0))</f>
        <v>0</v>
      </c>
      <c r="J970" s="209">
        <f t="array" ref="J970">IF(I970&gt;0,INDEX(DB,$I970,6),0)</f>
        <v>0</v>
      </c>
      <c r="K970" s="446">
        <f t="shared" si="5"/>
        <v>0</v>
      </c>
      <c r="L970" s="440">
        <f t="shared" si="6"/>
        <v>0</v>
      </c>
      <c r="M970" s="441">
        <f>IF(AND(L970&gt;O970,O970&gt;0),MinPoints,IF(AND(L970&lt;N970,O970&gt;0),100,+INT((O970-$L970)/P970)+MinPoints))</f>
        <v>100</v>
      </c>
      <c r="N970" s="440">
        <f t="shared" si="7"/>
        <v>90</v>
      </c>
      <c r="O970" s="440">
        <f t="shared" si="8"/>
        <v>180</v>
      </c>
      <c r="P970" s="440">
        <f t="shared" si="9"/>
        <v>1</v>
      </c>
      <c r="Q970">
        <f t="array" ref="Q970">IF(I970&gt;0,INDEX(DB,I970,9),EventIndex)</f>
        <v>6</v>
      </c>
      <c r="S970">
        <f t="array" ref="S970">(INT(INDEX(MINVALUES,$Q970,$K$1))*60)+(MOD(INDEX(MINVALUES,$Q970,$K$1),1)*100)</f>
        <v>180</v>
      </c>
      <c r="T970">
        <f t="array" ref="T970">(INDEX(INCVALUES,$Q970,$K$1)*100)</f>
        <v>1</v>
      </c>
      <c r="V970">
        <f t="array" ref="V970">+J970+(4*(INDEX(MatchScoreTable,$Q970,20)-1))</f>
        <v>4</v>
      </c>
      <c r="W970">
        <f t="array" ref="W970">INDEX(INC_MINVALUES,$V970,$K$1)</f>
        <v>480</v>
      </c>
      <c r="X970" s="212">
        <f t="array" ref="X970">INDEX(INC_INCVALUES,$V970,$K$1)</f>
        <v>4</v>
      </c>
    </row>
    <row r="971" ht="15.75" customHeight="1">
      <c r="A971" s="435"/>
      <c r="B971" s="436"/>
      <c r="C971" s="95" t="str">
        <f t="array" ref="C971">IF(I971&gt;0,INDEX(DB,I971,8),"")</f>
        <v/>
      </c>
      <c r="D971" s="437">
        <f t="shared" si="1"/>
        <v>0</v>
      </c>
      <c r="F971" s="438">
        <f t="shared" si="2"/>
        <v>0</v>
      </c>
      <c r="G971" t="str">
        <f t="shared" si="3"/>
        <v/>
      </c>
      <c r="H971" t="b">
        <f t="shared" si="4"/>
        <v>0</v>
      </c>
      <c r="I971" s="439">
        <f>IF(OR(ISBLANK(A971),ISNA(MATCH(A971&amp;"",AthleteNumbers,0))),0,MATCH(A971&amp;"",AthleteNumbers,0))</f>
        <v>0</v>
      </c>
      <c r="J971" s="209">
        <f t="array" ref="J971">IF(I971&gt;0,INDEX(DB,$I971,6),0)</f>
        <v>0</v>
      </c>
      <c r="K971" s="446">
        <f t="shared" si="5"/>
        <v>0</v>
      </c>
      <c r="L971" s="440">
        <f t="shared" si="6"/>
        <v>0</v>
      </c>
      <c r="M971" s="441">
        <f>IF(AND(L971&gt;O971,O971&gt;0),MinPoints,IF(AND(L971&lt;N971,O971&gt;0),100,+INT((O971-$L971)/P971)+MinPoints))</f>
        <v>100</v>
      </c>
      <c r="N971" s="440">
        <f t="shared" si="7"/>
        <v>90</v>
      </c>
      <c r="O971" s="440">
        <f t="shared" si="8"/>
        <v>180</v>
      </c>
      <c r="P971" s="440">
        <f t="shared" si="9"/>
        <v>1</v>
      </c>
      <c r="Q971">
        <f t="array" ref="Q971">IF(I971&gt;0,INDEX(DB,I971,9),EventIndex)</f>
        <v>6</v>
      </c>
      <c r="S971">
        <f t="array" ref="S971">(INT(INDEX(MINVALUES,$Q971,$K$1))*60)+(MOD(INDEX(MINVALUES,$Q971,$K$1),1)*100)</f>
        <v>180</v>
      </c>
      <c r="T971">
        <f t="array" ref="T971">(INDEX(INCVALUES,$Q971,$K$1)*100)</f>
        <v>1</v>
      </c>
      <c r="V971">
        <f t="array" ref="V971">+J971+(4*(INDEX(MatchScoreTable,$Q971,20)-1))</f>
        <v>4</v>
      </c>
      <c r="W971">
        <f t="array" ref="W971">INDEX(INC_MINVALUES,$V971,$K$1)</f>
        <v>480</v>
      </c>
      <c r="X971" s="212">
        <f t="array" ref="X971">INDEX(INC_INCVALUES,$V971,$K$1)</f>
        <v>4</v>
      </c>
    </row>
    <row r="972" ht="15.75" customHeight="1">
      <c r="A972" s="435"/>
      <c r="B972" s="436"/>
      <c r="C972" s="95" t="str">
        <f t="array" ref="C972">IF(I972&gt;0,INDEX(DB,I972,8),"")</f>
        <v/>
      </c>
      <c r="D972" s="437">
        <f t="shared" si="1"/>
        <v>0</v>
      </c>
      <c r="F972" s="438">
        <f t="shared" si="2"/>
        <v>0</v>
      </c>
      <c r="G972" t="str">
        <f t="shared" si="3"/>
        <v/>
      </c>
      <c r="H972" t="b">
        <f t="shared" si="4"/>
        <v>0</v>
      </c>
      <c r="I972" s="439">
        <f>IF(OR(ISBLANK(A972),ISNA(MATCH(A972&amp;"",AthleteNumbers,0))),0,MATCH(A972&amp;"",AthleteNumbers,0))</f>
        <v>0</v>
      </c>
      <c r="J972" s="209">
        <f t="array" ref="J972">IF(I972&gt;0,INDEX(DB,$I972,6),0)</f>
        <v>0</v>
      </c>
      <c r="K972" s="446">
        <f t="shared" si="5"/>
        <v>0</v>
      </c>
      <c r="L972" s="440">
        <f t="shared" si="6"/>
        <v>0</v>
      </c>
      <c r="M972" s="441">
        <f>IF(AND(L972&gt;O972,O972&gt;0),MinPoints,IF(AND(L972&lt;N972,O972&gt;0),100,+INT((O972-$L972)/P972)+MinPoints))</f>
        <v>100</v>
      </c>
      <c r="N972" s="440">
        <f t="shared" si="7"/>
        <v>90</v>
      </c>
      <c r="O972" s="440">
        <f t="shared" si="8"/>
        <v>180</v>
      </c>
      <c r="P972" s="440">
        <f t="shared" si="9"/>
        <v>1</v>
      </c>
      <c r="Q972">
        <f t="array" ref="Q972">IF(I972&gt;0,INDEX(DB,I972,9),EventIndex)</f>
        <v>6</v>
      </c>
      <c r="S972">
        <f t="array" ref="S972">(INT(INDEX(MINVALUES,$Q972,$K$1))*60)+(MOD(INDEX(MINVALUES,$Q972,$K$1),1)*100)</f>
        <v>180</v>
      </c>
      <c r="T972">
        <f t="array" ref="T972">(INDEX(INCVALUES,$Q972,$K$1)*100)</f>
        <v>1</v>
      </c>
      <c r="V972">
        <f t="array" ref="V972">+J972+(4*(INDEX(MatchScoreTable,$Q972,20)-1))</f>
        <v>4</v>
      </c>
      <c r="W972">
        <f t="array" ref="W972">INDEX(INC_MINVALUES,$V972,$K$1)</f>
        <v>480</v>
      </c>
      <c r="X972" s="212">
        <f t="array" ref="X972">INDEX(INC_INCVALUES,$V972,$K$1)</f>
        <v>4</v>
      </c>
    </row>
    <row r="973" ht="15.75" customHeight="1">
      <c r="A973" s="435"/>
      <c r="B973" s="436"/>
      <c r="C973" s="95" t="str">
        <f t="array" ref="C973">IF(I973&gt;0,INDEX(DB,I973,8),"")</f>
        <v/>
      </c>
      <c r="D973" s="437">
        <f t="shared" si="1"/>
        <v>0</v>
      </c>
      <c r="F973" s="438">
        <f t="shared" si="2"/>
        <v>0</v>
      </c>
      <c r="G973" t="str">
        <f t="shared" si="3"/>
        <v/>
      </c>
      <c r="H973" t="b">
        <f t="shared" si="4"/>
        <v>0</v>
      </c>
      <c r="I973" s="439">
        <f>IF(OR(ISBLANK(A973),ISNA(MATCH(A973&amp;"",AthleteNumbers,0))),0,MATCH(A973&amp;"",AthleteNumbers,0))</f>
        <v>0</v>
      </c>
      <c r="J973" s="209">
        <f t="array" ref="J973">IF(I973&gt;0,INDEX(DB,$I973,6),0)</f>
        <v>0</v>
      </c>
      <c r="K973" s="446">
        <f t="shared" si="5"/>
        <v>0</v>
      </c>
      <c r="L973" s="440">
        <f t="shared" si="6"/>
        <v>0</v>
      </c>
      <c r="M973" s="441">
        <f>IF(AND(L973&gt;O973,O973&gt;0),MinPoints,IF(AND(L973&lt;N973,O973&gt;0),100,+INT((O973-$L973)/P973)+MinPoints))</f>
        <v>100</v>
      </c>
      <c r="N973" s="440">
        <f t="shared" si="7"/>
        <v>90</v>
      </c>
      <c r="O973" s="440">
        <f t="shared" si="8"/>
        <v>180</v>
      </c>
      <c r="P973" s="440">
        <f t="shared" si="9"/>
        <v>1</v>
      </c>
      <c r="Q973">
        <f t="array" ref="Q973">IF(I973&gt;0,INDEX(DB,I973,9),EventIndex)</f>
        <v>6</v>
      </c>
      <c r="S973">
        <f t="array" ref="S973">(INT(INDEX(MINVALUES,$Q973,$K$1))*60)+(MOD(INDEX(MINVALUES,$Q973,$K$1),1)*100)</f>
        <v>180</v>
      </c>
      <c r="T973">
        <f t="array" ref="T973">(INDEX(INCVALUES,$Q973,$K$1)*100)</f>
        <v>1</v>
      </c>
      <c r="V973">
        <f t="array" ref="V973">+J973+(4*(INDEX(MatchScoreTable,$Q973,20)-1))</f>
        <v>4</v>
      </c>
      <c r="W973">
        <f t="array" ref="W973">INDEX(INC_MINVALUES,$V973,$K$1)</f>
        <v>480</v>
      </c>
      <c r="X973" s="212">
        <f t="array" ref="X973">INDEX(INC_INCVALUES,$V973,$K$1)</f>
        <v>4</v>
      </c>
    </row>
    <row r="974" ht="15.75" customHeight="1">
      <c r="A974" s="435"/>
      <c r="B974" s="436"/>
      <c r="C974" s="95" t="str">
        <f t="array" ref="C974">IF(I974&gt;0,INDEX(DB,I974,8),"")</f>
        <v/>
      </c>
      <c r="D974" s="437">
        <f t="shared" si="1"/>
        <v>0</v>
      </c>
      <c r="F974" s="438">
        <f t="shared" si="2"/>
        <v>0</v>
      </c>
      <c r="G974" t="str">
        <f t="shared" si="3"/>
        <v/>
      </c>
      <c r="H974" t="b">
        <f t="shared" si="4"/>
        <v>0</v>
      </c>
      <c r="I974" s="439">
        <f>IF(OR(ISBLANK(A974),ISNA(MATCH(A974&amp;"",AthleteNumbers,0))),0,MATCH(A974&amp;"",AthleteNumbers,0))</f>
        <v>0</v>
      </c>
      <c r="J974" s="209">
        <f t="array" ref="J974">IF(I974&gt;0,INDEX(DB,$I974,6),0)</f>
        <v>0</v>
      </c>
      <c r="K974" s="446">
        <f t="shared" si="5"/>
        <v>0</v>
      </c>
      <c r="L974" s="440">
        <f t="shared" si="6"/>
        <v>0</v>
      </c>
      <c r="M974" s="441">
        <f>IF(AND(L974&gt;O974,O974&gt;0),MinPoints,IF(AND(L974&lt;N974,O974&gt;0),100,+INT((O974-$L974)/P974)+MinPoints))</f>
        <v>100</v>
      </c>
      <c r="N974" s="440">
        <f t="shared" si="7"/>
        <v>90</v>
      </c>
      <c r="O974" s="440">
        <f t="shared" si="8"/>
        <v>180</v>
      </c>
      <c r="P974" s="440">
        <f t="shared" si="9"/>
        <v>1</v>
      </c>
      <c r="Q974">
        <f t="array" ref="Q974">IF(I974&gt;0,INDEX(DB,I974,9),EventIndex)</f>
        <v>6</v>
      </c>
      <c r="S974">
        <f t="array" ref="S974">(INT(INDEX(MINVALUES,$Q974,$K$1))*60)+(MOD(INDEX(MINVALUES,$Q974,$K$1),1)*100)</f>
        <v>180</v>
      </c>
      <c r="T974">
        <f t="array" ref="T974">(INDEX(INCVALUES,$Q974,$K$1)*100)</f>
        <v>1</v>
      </c>
      <c r="V974">
        <f t="array" ref="V974">+J974+(4*(INDEX(MatchScoreTable,$Q974,20)-1))</f>
        <v>4</v>
      </c>
      <c r="W974">
        <f t="array" ref="W974">INDEX(INC_MINVALUES,$V974,$K$1)</f>
        <v>480</v>
      </c>
      <c r="X974" s="212">
        <f t="array" ref="X974">INDEX(INC_INCVALUES,$V974,$K$1)</f>
        <v>4</v>
      </c>
    </row>
    <row r="975" ht="15.75" customHeight="1">
      <c r="A975" s="435"/>
      <c r="B975" s="436"/>
      <c r="C975" s="95" t="str">
        <f t="array" ref="C975">IF(I975&gt;0,INDEX(DB,I975,8),"")</f>
        <v/>
      </c>
      <c r="D975" s="437">
        <f t="shared" si="1"/>
        <v>0</v>
      </c>
      <c r="F975" s="438">
        <f t="shared" si="2"/>
        <v>0</v>
      </c>
      <c r="G975" t="str">
        <f t="shared" si="3"/>
        <v/>
      </c>
      <c r="H975" t="b">
        <f t="shared" si="4"/>
        <v>0</v>
      </c>
      <c r="I975" s="439">
        <f>IF(OR(ISBLANK(A975),ISNA(MATCH(A975&amp;"",AthleteNumbers,0))),0,MATCH(A975&amp;"",AthleteNumbers,0))</f>
        <v>0</v>
      </c>
      <c r="J975" s="209">
        <f t="array" ref="J975">IF(I975&gt;0,INDEX(DB,$I975,6),0)</f>
        <v>0</v>
      </c>
      <c r="K975" s="446">
        <f t="shared" si="5"/>
        <v>0</v>
      </c>
      <c r="L975" s="440">
        <f t="shared" si="6"/>
        <v>0</v>
      </c>
      <c r="M975" s="441">
        <f>IF(AND(L975&gt;O975,O975&gt;0),MinPoints,IF(AND(L975&lt;N975,O975&gt;0),100,+INT((O975-$L975)/P975)+MinPoints))</f>
        <v>100</v>
      </c>
      <c r="N975" s="440">
        <f t="shared" si="7"/>
        <v>90</v>
      </c>
      <c r="O975" s="440">
        <f t="shared" si="8"/>
        <v>180</v>
      </c>
      <c r="P975" s="440">
        <f t="shared" si="9"/>
        <v>1</v>
      </c>
      <c r="Q975">
        <f t="array" ref="Q975">IF(I975&gt;0,INDEX(DB,I975,9),EventIndex)</f>
        <v>6</v>
      </c>
      <c r="S975">
        <f t="array" ref="S975">(INT(INDEX(MINVALUES,$Q975,$K$1))*60)+(MOD(INDEX(MINVALUES,$Q975,$K$1),1)*100)</f>
        <v>180</v>
      </c>
      <c r="T975">
        <f t="array" ref="T975">(INDEX(INCVALUES,$Q975,$K$1)*100)</f>
        <v>1</v>
      </c>
      <c r="V975">
        <f t="array" ref="V975">+J975+(4*(INDEX(MatchScoreTable,$Q975,20)-1))</f>
        <v>4</v>
      </c>
      <c r="W975">
        <f t="array" ref="W975">INDEX(INC_MINVALUES,$V975,$K$1)</f>
        <v>480</v>
      </c>
      <c r="X975" s="212">
        <f t="array" ref="X975">INDEX(INC_INCVALUES,$V975,$K$1)</f>
        <v>4</v>
      </c>
    </row>
    <row r="976" ht="15.75" customHeight="1">
      <c r="A976" s="435"/>
      <c r="B976" s="436"/>
      <c r="C976" s="95" t="str">
        <f t="array" ref="C976">IF(I976&gt;0,INDEX(DB,I976,8),"")</f>
        <v/>
      </c>
      <c r="D976" s="437">
        <f t="shared" si="1"/>
        <v>0</v>
      </c>
      <c r="F976" s="438">
        <f t="shared" si="2"/>
        <v>0</v>
      </c>
      <c r="G976" t="str">
        <f t="shared" si="3"/>
        <v/>
      </c>
      <c r="H976" t="b">
        <f t="shared" si="4"/>
        <v>0</v>
      </c>
      <c r="I976" s="439">
        <f>IF(OR(ISBLANK(A976),ISNA(MATCH(A976&amp;"",AthleteNumbers,0))),0,MATCH(A976&amp;"",AthleteNumbers,0))</f>
        <v>0</v>
      </c>
      <c r="J976" s="209">
        <f t="array" ref="J976">IF(I976&gt;0,INDEX(DB,$I976,6),0)</f>
        <v>0</v>
      </c>
      <c r="K976" s="446">
        <f t="shared" si="5"/>
        <v>0</v>
      </c>
      <c r="L976" s="440">
        <f t="shared" si="6"/>
        <v>0</v>
      </c>
      <c r="M976" s="441">
        <f>IF(AND(L976&gt;O976,O976&gt;0),MinPoints,IF(AND(L976&lt;N976,O976&gt;0),100,+INT((O976-$L976)/P976)+MinPoints))</f>
        <v>100</v>
      </c>
      <c r="N976" s="440">
        <f t="shared" si="7"/>
        <v>90</v>
      </c>
      <c r="O976" s="440">
        <f t="shared" si="8"/>
        <v>180</v>
      </c>
      <c r="P976" s="440">
        <f t="shared" si="9"/>
        <v>1</v>
      </c>
      <c r="Q976">
        <f t="array" ref="Q976">IF(I976&gt;0,INDEX(DB,I976,9),EventIndex)</f>
        <v>6</v>
      </c>
      <c r="S976">
        <f t="array" ref="S976">(INT(INDEX(MINVALUES,$Q976,$K$1))*60)+(MOD(INDEX(MINVALUES,$Q976,$K$1),1)*100)</f>
        <v>180</v>
      </c>
      <c r="T976">
        <f t="array" ref="T976">(INDEX(INCVALUES,$Q976,$K$1)*100)</f>
        <v>1</v>
      </c>
      <c r="V976">
        <f t="array" ref="V976">+J976+(4*(INDEX(MatchScoreTable,$Q976,20)-1))</f>
        <v>4</v>
      </c>
      <c r="W976">
        <f t="array" ref="W976">INDEX(INC_MINVALUES,$V976,$K$1)</f>
        <v>480</v>
      </c>
      <c r="X976" s="212">
        <f t="array" ref="X976">INDEX(INC_INCVALUES,$V976,$K$1)</f>
        <v>4</v>
      </c>
    </row>
    <row r="977" ht="15.75" customHeight="1">
      <c r="A977" s="435"/>
      <c r="B977" s="436"/>
      <c r="C977" s="95" t="str">
        <f t="array" ref="C977">IF(I977&gt;0,INDEX(DB,I977,8),"")</f>
        <v/>
      </c>
      <c r="D977" s="437">
        <f t="shared" si="1"/>
        <v>0</v>
      </c>
      <c r="F977" s="438">
        <f t="shared" si="2"/>
        <v>0</v>
      </c>
      <c r="G977" t="str">
        <f t="shared" si="3"/>
        <v/>
      </c>
      <c r="H977" t="b">
        <f t="shared" si="4"/>
        <v>0</v>
      </c>
      <c r="I977" s="439">
        <f>IF(OR(ISBLANK(A977),ISNA(MATCH(A977&amp;"",AthleteNumbers,0))),0,MATCH(A977&amp;"",AthleteNumbers,0))</f>
        <v>0</v>
      </c>
      <c r="J977" s="209">
        <f t="array" ref="J977">IF(I977&gt;0,INDEX(DB,$I977,6),0)</f>
        <v>0</v>
      </c>
      <c r="K977" s="446">
        <f t="shared" si="5"/>
        <v>0</v>
      </c>
      <c r="L977" s="440">
        <f t="shared" si="6"/>
        <v>0</v>
      </c>
      <c r="M977" s="441">
        <f>IF(AND(L977&gt;O977,O977&gt;0),MinPoints,IF(AND(L977&lt;N977,O977&gt;0),100,+INT((O977-$L977)/P977)+MinPoints))</f>
        <v>100</v>
      </c>
      <c r="N977" s="440">
        <f t="shared" si="7"/>
        <v>90</v>
      </c>
      <c r="O977" s="440">
        <f t="shared" si="8"/>
        <v>180</v>
      </c>
      <c r="P977" s="440">
        <f t="shared" si="9"/>
        <v>1</v>
      </c>
      <c r="Q977">
        <f t="array" ref="Q977">IF(I977&gt;0,INDEX(DB,I977,9),EventIndex)</f>
        <v>6</v>
      </c>
      <c r="S977">
        <f t="array" ref="S977">(INT(INDEX(MINVALUES,$Q977,$K$1))*60)+(MOD(INDEX(MINVALUES,$Q977,$K$1),1)*100)</f>
        <v>180</v>
      </c>
      <c r="T977">
        <f t="array" ref="T977">(INDEX(INCVALUES,$Q977,$K$1)*100)</f>
        <v>1</v>
      </c>
      <c r="V977">
        <f t="array" ref="V977">+J977+(4*(INDEX(MatchScoreTable,$Q977,20)-1))</f>
        <v>4</v>
      </c>
      <c r="W977">
        <f t="array" ref="W977">INDEX(INC_MINVALUES,$V977,$K$1)</f>
        <v>480</v>
      </c>
      <c r="X977" s="212">
        <f t="array" ref="X977">INDEX(INC_INCVALUES,$V977,$K$1)</f>
        <v>4</v>
      </c>
    </row>
    <row r="978" ht="15.75" customHeight="1">
      <c r="A978" s="435"/>
      <c r="B978" s="436"/>
      <c r="C978" s="95" t="str">
        <f t="array" ref="C978">IF(I978&gt;0,INDEX(DB,I978,8),"")</f>
        <v/>
      </c>
      <c r="D978" s="437">
        <f t="shared" si="1"/>
        <v>0</v>
      </c>
      <c r="F978" s="438">
        <f t="shared" si="2"/>
        <v>0</v>
      </c>
      <c r="G978" t="str">
        <f t="shared" si="3"/>
        <v/>
      </c>
      <c r="H978" t="b">
        <f t="shared" si="4"/>
        <v>0</v>
      </c>
      <c r="I978" s="439">
        <f>IF(OR(ISBLANK(A978),ISNA(MATCH(A978&amp;"",AthleteNumbers,0))),0,MATCH(A978&amp;"",AthleteNumbers,0))</f>
        <v>0</v>
      </c>
      <c r="J978" s="209">
        <f t="array" ref="J978">IF(I978&gt;0,INDEX(DB,$I978,6),0)</f>
        <v>0</v>
      </c>
      <c r="K978" s="446">
        <f t="shared" si="5"/>
        <v>0</v>
      </c>
      <c r="L978" s="440">
        <f t="shared" si="6"/>
        <v>0</v>
      </c>
      <c r="M978" s="441">
        <f>IF(AND(L978&gt;O978,O978&gt;0),MinPoints,IF(AND(L978&lt;N978,O978&gt;0),100,+INT((O978-$L978)/P978)+MinPoints))</f>
        <v>100</v>
      </c>
      <c r="N978" s="440">
        <f t="shared" si="7"/>
        <v>90</v>
      </c>
      <c r="O978" s="440">
        <f t="shared" si="8"/>
        <v>180</v>
      </c>
      <c r="P978" s="440">
        <f t="shared" si="9"/>
        <v>1</v>
      </c>
      <c r="Q978">
        <f t="array" ref="Q978">IF(I978&gt;0,INDEX(DB,I978,9),EventIndex)</f>
        <v>6</v>
      </c>
      <c r="S978">
        <f t="array" ref="S978">(INT(INDEX(MINVALUES,$Q978,$K$1))*60)+(MOD(INDEX(MINVALUES,$Q978,$K$1),1)*100)</f>
        <v>180</v>
      </c>
      <c r="T978">
        <f t="array" ref="T978">(INDEX(INCVALUES,$Q978,$K$1)*100)</f>
        <v>1</v>
      </c>
      <c r="V978">
        <f t="array" ref="V978">+J978+(4*(INDEX(MatchScoreTable,$Q978,20)-1))</f>
        <v>4</v>
      </c>
      <c r="W978">
        <f t="array" ref="W978">INDEX(INC_MINVALUES,$V978,$K$1)</f>
        <v>480</v>
      </c>
      <c r="X978" s="212">
        <f t="array" ref="X978">INDEX(INC_INCVALUES,$V978,$K$1)</f>
        <v>4</v>
      </c>
    </row>
    <row r="979" ht="15.75" customHeight="1">
      <c r="A979" s="435"/>
      <c r="B979" s="436"/>
      <c r="C979" s="95" t="str">
        <f t="array" ref="C979">IF(I979&gt;0,INDEX(DB,I979,8),"")</f>
        <v/>
      </c>
      <c r="D979" s="437">
        <f t="shared" si="1"/>
        <v>0</v>
      </c>
      <c r="F979" s="438">
        <f t="shared" si="2"/>
        <v>0</v>
      </c>
      <c r="G979" t="str">
        <f t="shared" si="3"/>
        <v/>
      </c>
      <c r="H979" t="b">
        <f t="shared" si="4"/>
        <v>0</v>
      </c>
      <c r="I979" s="439">
        <f>IF(OR(ISBLANK(A979),ISNA(MATCH(A979&amp;"",AthleteNumbers,0))),0,MATCH(A979&amp;"",AthleteNumbers,0))</f>
        <v>0</v>
      </c>
      <c r="J979" s="209">
        <f t="array" ref="J979">IF(I979&gt;0,INDEX(DB,$I979,6),0)</f>
        <v>0</v>
      </c>
      <c r="K979" s="446">
        <f t="shared" si="5"/>
        <v>0</v>
      </c>
      <c r="L979" s="440">
        <f t="shared" si="6"/>
        <v>0</v>
      </c>
      <c r="M979" s="441">
        <f>IF(AND(L979&gt;O979,O979&gt;0),MinPoints,IF(AND(L979&lt;N979,O979&gt;0),100,+INT((O979-$L979)/P979)+MinPoints))</f>
        <v>100</v>
      </c>
      <c r="N979" s="440">
        <f t="shared" si="7"/>
        <v>90</v>
      </c>
      <c r="O979" s="440">
        <f t="shared" si="8"/>
        <v>180</v>
      </c>
      <c r="P979" s="440">
        <f t="shared" si="9"/>
        <v>1</v>
      </c>
      <c r="Q979">
        <f t="array" ref="Q979">IF(I979&gt;0,INDEX(DB,I979,9),EventIndex)</f>
        <v>6</v>
      </c>
      <c r="S979">
        <f t="array" ref="S979">(INT(INDEX(MINVALUES,$Q979,$K$1))*60)+(MOD(INDEX(MINVALUES,$Q979,$K$1),1)*100)</f>
        <v>180</v>
      </c>
      <c r="T979">
        <f t="array" ref="T979">(INDEX(INCVALUES,$Q979,$K$1)*100)</f>
        <v>1</v>
      </c>
      <c r="V979">
        <f t="array" ref="V979">+J979+(4*(INDEX(MatchScoreTable,$Q979,20)-1))</f>
        <v>4</v>
      </c>
      <c r="W979">
        <f t="array" ref="W979">INDEX(INC_MINVALUES,$V979,$K$1)</f>
        <v>480</v>
      </c>
      <c r="X979" s="212">
        <f t="array" ref="X979">INDEX(INC_INCVALUES,$V979,$K$1)</f>
        <v>4</v>
      </c>
    </row>
    <row r="980" ht="15.75" customHeight="1">
      <c r="A980" s="435"/>
      <c r="B980" s="436"/>
      <c r="C980" s="95" t="str">
        <f t="array" ref="C980">IF(I980&gt;0,INDEX(DB,I980,8),"")</f>
        <v/>
      </c>
      <c r="D980" s="437">
        <f t="shared" si="1"/>
        <v>0</v>
      </c>
      <c r="F980" s="438">
        <f t="shared" si="2"/>
        <v>0</v>
      </c>
      <c r="G980" t="str">
        <f t="shared" si="3"/>
        <v/>
      </c>
      <c r="H980" t="b">
        <f t="shared" si="4"/>
        <v>0</v>
      </c>
      <c r="I980" s="439">
        <f>IF(OR(ISBLANK(A980),ISNA(MATCH(A980&amp;"",AthleteNumbers,0))),0,MATCH(A980&amp;"",AthleteNumbers,0))</f>
        <v>0</v>
      </c>
      <c r="J980" s="209">
        <f t="array" ref="J980">IF(I980&gt;0,INDEX(DB,$I980,6),0)</f>
        <v>0</v>
      </c>
      <c r="K980" s="446">
        <f t="shared" si="5"/>
        <v>0</v>
      </c>
      <c r="L980" s="440">
        <f t="shared" si="6"/>
        <v>0</v>
      </c>
      <c r="M980" s="441">
        <f>IF(AND(L980&gt;O980,O980&gt;0),MinPoints,IF(AND(L980&lt;N980,O980&gt;0),100,+INT((O980-$L980)/P980)+MinPoints))</f>
        <v>100</v>
      </c>
      <c r="N980" s="440">
        <f t="shared" si="7"/>
        <v>90</v>
      </c>
      <c r="O980" s="440">
        <f t="shared" si="8"/>
        <v>180</v>
      </c>
      <c r="P980" s="440">
        <f t="shared" si="9"/>
        <v>1</v>
      </c>
      <c r="Q980">
        <f t="array" ref="Q980">IF(I980&gt;0,INDEX(DB,I980,9),EventIndex)</f>
        <v>6</v>
      </c>
      <c r="S980">
        <f t="array" ref="S980">(INT(INDEX(MINVALUES,$Q980,$K$1))*60)+(MOD(INDEX(MINVALUES,$Q980,$K$1),1)*100)</f>
        <v>180</v>
      </c>
      <c r="T980">
        <f t="array" ref="T980">(INDEX(INCVALUES,$Q980,$K$1)*100)</f>
        <v>1</v>
      </c>
      <c r="V980">
        <f t="array" ref="V980">+J980+(4*(INDEX(MatchScoreTable,$Q980,20)-1))</f>
        <v>4</v>
      </c>
      <c r="W980">
        <f t="array" ref="W980">INDEX(INC_MINVALUES,$V980,$K$1)</f>
        <v>480</v>
      </c>
      <c r="X980" s="212">
        <f t="array" ref="X980">INDEX(INC_INCVALUES,$V980,$K$1)</f>
        <v>4</v>
      </c>
    </row>
    <row r="981" ht="15.75" customHeight="1">
      <c r="A981" s="435"/>
      <c r="B981" s="436"/>
      <c r="C981" s="95" t="str">
        <f t="array" ref="C981">IF(I981&gt;0,INDEX(DB,I981,8),"")</f>
        <v/>
      </c>
      <c r="D981" s="437">
        <f t="shared" si="1"/>
        <v>0</v>
      </c>
      <c r="F981" s="438">
        <f t="shared" si="2"/>
        <v>0</v>
      </c>
      <c r="G981" t="str">
        <f t="shared" si="3"/>
        <v/>
      </c>
      <c r="H981" t="b">
        <f t="shared" si="4"/>
        <v>0</v>
      </c>
      <c r="I981" s="439">
        <f>IF(OR(ISBLANK(A981),ISNA(MATCH(A981&amp;"",AthleteNumbers,0))),0,MATCH(A981&amp;"",AthleteNumbers,0))</f>
        <v>0</v>
      </c>
      <c r="J981" s="209">
        <f t="array" ref="J981">IF(I981&gt;0,INDEX(DB,$I981,6),0)</f>
        <v>0</v>
      </c>
      <c r="K981" s="446">
        <f t="shared" si="5"/>
        <v>0</v>
      </c>
      <c r="L981" s="440">
        <f t="shared" si="6"/>
        <v>0</v>
      </c>
      <c r="M981" s="441">
        <f>IF(AND(L981&gt;O981,O981&gt;0),MinPoints,IF(AND(L981&lt;N981,O981&gt;0),100,+INT((O981-$L981)/P981)+MinPoints))</f>
        <v>100</v>
      </c>
      <c r="N981" s="440">
        <f t="shared" si="7"/>
        <v>90</v>
      </c>
      <c r="O981" s="440">
        <f t="shared" si="8"/>
        <v>180</v>
      </c>
      <c r="P981" s="440">
        <f t="shared" si="9"/>
        <v>1</v>
      </c>
      <c r="Q981">
        <f t="array" ref="Q981">IF(I981&gt;0,INDEX(DB,I981,9),EventIndex)</f>
        <v>6</v>
      </c>
      <c r="S981">
        <f t="array" ref="S981">(INT(INDEX(MINVALUES,$Q981,$K$1))*60)+(MOD(INDEX(MINVALUES,$Q981,$K$1),1)*100)</f>
        <v>180</v>
      </c>
      <c r="T981">
        <f t="array" ref="T981">(INDEX(INCVALUES,$Q981,$K$1)*100)</f>
        <v>1</v>
      </c>
      <c r="V981">
        <f t="array" ref="V981">+J981+(4*(INDEX(MatchScoreTable,$Q981,20)-1))</f>
        <v>4</v>
      </c>
      <c r="W981">
        <f t="array" ref="W981">INDEX(INC_MINVALUES,$V981,$K$1)</f>
        <v>480</v>
      </c>
      <c r="X981" s="212">
        <f t="array" ref="X981">INDEX(INC_INCVALUES,$V981,$K$1)</f>
        <v>4</v>
      </c>
    </row>
    <row r="982" ht="15.75" customHeight="1">
      <c r="A982" s="435"/>
      <c r="B982" s="436"/>
      <c r="C982" s="95" t="str">
        <f t="array" ref="C982">IF(I982&gt;0,INDEX(DB,I982,8),"")</f>
        <v/>
      </c>
      <c r="D982" s="437">
        <f t="shared" si="1"/>
        <v>0</v>
      </c>
      <c r="F982" s="438">
        <f t="shared" si="2"/>
        <v>0</v>
      </c>
      <c r="G982" t="str">
        <f t="shared" si="3"/>
        <v/>
      </c>
      <c r="H982" t="b">
        <f t="shared" si="4"/>
        <v>0</v>
      </c>
      <c r="I982" s="439">
        <f>IF(OR(ISBLANK(A982),ISNA(MATCH(A982&amp;"",AthleteNumbers,0))),0,MATCH(A982&amp;"",AthleteNumbers,0))</f>
        <v>0</v>
      </c>
      <c r="J982" s="209">
        <f t="array" ref="J982">IF(I982&gt;0,INDEX(DB,$I982,6),0)</f>
        <v>0</v>
      </c>
      <c r="K982" s="446">
        <f t="shared" si="5"/>
        <v>0</v>
      </c>
      <c r="L982" s="440">
        <f t="shared" si="6"/>
        <v>0</v>
      </c>
      <c r="M982" s="441">
        <f>IF(AND(L982&gt;O982,O982&gt;0),MinPoints,IF(AND(L982&lt;N982,O982&gt;0),100,+INT((O982-$L982)/P982)+MinPoints))</f>
        <v>100</v>
      </c>
      <c r="N982" s="440">
        <f t="shared" si="7"/>
        <v>90</v>
      </c>
      <c r="O982" s="440">
        <f t="shared" si="8"/>
        <v>180</v>
      </c>
      <c r="P982" s="440">
        <f t="shared" si="9"/>
        <v>1</v>
      </c>
      <c r="Q982">
        <f t="array" ref="Q982">IF(I982&gt;0,INDEX(DB,I982,9),EventIndex)</f>
        <v>6</v>
      </c>
      <c r="S982">
        <f t="array" ref="S982">(INT(INDEX(MINVALUES,$Q982,$K$1))*60)+(MOD(INDEX(MINVALUES,$Q982,$K$1),1)*100)</f>
        <v>180</v>
      </c>
      <c r="T982">
        <f t="array" ref="T982">(INDEX(INCVALUES,$Q982,$K$1)*100)</f>
        <v>1</v>
      </c>
      <c r="V982">
        <f t="array" ref="V982">+J982+(4*(INDEX(MatchScoreTable,$Q982,20)-1))</f>
        <v>4</v>
      </c>
      <c r="W982">
        <f t="array" ref="W982">INDEX(INC_MINVALUES,$V982,$K$1)</f>
        <v>480</v>
      </c>
      <c r="X982" s="212">
        <f t="array" ref="X982">INDEX(INC_INCVALUES,$V982,$K$1)</f>
        <v>4</v>
      </c>
    </row>
    <row r="983" ht="15.75" customHeight="1">
      <c r="A983" s="435"/>
      <c r="B983" s="436"/>
      <c r="C983" s="95" t="str">
        <f t="array" ref="C983">IF(I983&gt;0,INDEX(DB,I983,8),"")</f>
        <v/>
      </c>
      <c r="D983" s="437">
        <f t="shared" si="1"/>
        <v>0</v>
      </c>
      <c r="F983" s="438">
        <f t="shared" si="2"/>
        <v>0</v>
      </c>
      <c r="G983" t="str">
        <f t="shared" si="3"/>
        <v/>
      </c>
      <c r="H983" t="b">
        <f t="shared" si="4"/>
        <v>0</v>
      </c>
      <c r="I983" s="439">
        <f>IF(OR(ISBLANK(A983),ISNA(MATCH(A983&amp;"",AthleteNumbers,0))),0,MATCH(A983&amp;"",AthleteNumbers,0))</f>
        <v>0</v>
      </c>
      <c r="J983" s="209">
        <f t="array" ref="J983">IF(I983&gt;0,INDEX(DB,$I983,6),0)</f>
        <v>0</v>
      </c>
      <c r="K983" s="446">
        <f t="shared" si="5"/>
        <v>0</v>
      </c>
      <c r="L983" s="440">
        <f t="shared" si="6"/>
        <v>0</v>
      </c>
      <c r="M983" s="441">
        <f>IF(AND(L983&gt;O983,O983&gt;0),MinPoints,IF(AND(L983&lt;N983,O983&gt;0),100,+INT((O983-$L983)/P983)+MinPoints))</f>
        <v>100</v>
      </c>
      <c r="N983" s="440">
        <f t="shared" si="7"/>
        <v>90</v>
      </c>
      <c r="O983" s="440">
        <f t="shared" si="8"/>
        <v>180</v>
      </c>
      <c r="P983" s="440">
        <f t="shared" si="9"/>
        <v>1</v>
      </c>
      <c r="Q983">
        <f t="array" ref="Q983">IF(I983&gt;0,INDEX(DB,I983,9),EventIndex)</f>
        <v>6</v>
      </c>
      <c r="S983">
        <f t="array" ref="S983">(INT(INDEX(MINVALUES,$Q983,$K$1))*60)+(MOD(INDEX(MINVALUES,$Q983,$K$1),1)*100)</f>
        <v>180</v>
      </c>
      <c r="T983">
        <f t="array" ref="T983">(INDEX(INCVALUES,$Q983,$K$1)*100)</f>
        <v>1</v>
      </c>
      <c r="V983">
        <f t="array" ref="V983">+J983+(4*(INDEX(MatchScoreTable,$Q983,20)-1))</f>
        <v>4</v>
      </c>
      <c r="W983">
        <f t="array" ref="W983">INDEX(INC_MINVALUES,$V983,$K$1)</f>
        <v>480</v>
      </c>
      <c r="X983" s="212">
        <f t="array" ref="X983">INDEX(INC_INCVALUES,$V983,$K$1)</f>
        <v>4</v>
      </c>
    </row>
    <row r="984" ht="15.75" customHeight="1">
      <c r="A984" s="435"/>
      <c r="B984" s="436"/>
      <c r="C984" s="95" t="str">
        <f t="array" ref="C984">IF(I984&gt;0,INDEX(DB,I984,8),"")</f>
        <v/>
      </c>
      <c r="D984" s="437">
        <f t="shared" si="1"/>
        <v>0</v>
      </c>
      <c r="F984" s="438">
        <f t="shared" si="2"/>
        <v>0</v>
      </c>
      <c r="G984" t="str">
        <f t="shared" si="3"/>
        <v/>
      </c>
      <c r="H984" t="b">
        <f t="shared" si="4"/>
        <v>0</v>
      </c>
      <c r="I984" s="439">
        <f>IF(OR(ISBLANK(A984),ISNA(MATCH(A984&amp;"",AthleteNumbers,0))),0,MATCH(A984&amp;"",AthleteNumbers,0))</f>
        <v>0</v>
      </c>
      <c r="J984" s="209">
        <f t="array" ref="J984">IF(I984&gt;0,INDEX(DB,$I984,6),0)</f>
        <v>0</v>
      </c>
      <c r="K984" s="446">
        <f t="shared" si="5"/>
        <v>0</v>
      </c>
      <c r="L984" s="440">
        <f t="shared" si="6"/>
        <v>0</v>
      </c>
      <c r="M984" s="441">
        <f>IF(AND(L984&gt;O984,O984&gt;0),MinPoints,IF(AND(L984&lt;N984,O984&gt;0),100,+INT((O984-$L984)/P984)+MinPoints))</f>
        <v>100</v>
      </c>
      <c r="N984" s="440">
        <f t="shared" si="7"/>
        <v>90</v>
      </c>
      <c r="O984" s="440">
        <f t="shared" si="8"/>
        <v>180</v>
      </c>
      <c r="P984" s="440">
        <f t="shared" si="9"/>
        <v>1</v>
      </c>
      <c r="Q984">
        <f t="array" ref="Q984">IF(I984&gt;0,INDEX(DB,I984,9),EventIndex)</f>
        <v>6</v>
      </c>
      <c r="S984">
        <f t="array" ref="S984">(INT(INDEX(MINVALUES,$Q984,$K$1))*60)+(MOD(INDEX(MINVALUES,$Q984,$K$1),1)*100)</f>
        <v>180</v>
      </c>
      <c r="T984">
        <f t="array" ref="T984">(INDEX(INCVALUES,$Q984,$K$1)*100)</f>
        <v>1</v>
      </c>
      <c r="V984">
        <f t="array" ref="V984">+J984+(4*(INDEX(MatchScoreTable,$Q984,20)-1))</f>
        <v>4</v>
      </c>
      <c r="W984">
        <f t="array" ref="W984">INDEX(INC_MINVALUES,$V984,$K$1)</f>
        <v>480</v>
      </c>
      <c r="X984" s="212">
        <f t="array" ref="X984">INDEX(INC_INCVALUES,$V984,$K$1)</f>
        <v>4</v>
      </c>
    </row>
    <row r="985" ht="15.75" customHeight="1">
      <c r="A985" s="435"/>
      <c r="B985" s="436"/>
      <c r="C985" s="95" t="str">
        <f t="array" ref="C985">IF(I985&gt;0,INDEX(DB,I985,8),"")</f>
        <v/>
      </c>
      <c r="D985" s="437">
        <f t="shared" si="1"/>
        <v>0</v>
      </c>
      <c r="F985" s="438">
        <f t="shared" si="2"/>
        <v>0</v>
      </c>
      <c r="G985" t="str">
        <f t="shared" si="3"/>
        <v/>
      </c>
      <c r="H985" t="b">
        <f t="shared" si="4"/>
        <v>0</v>
      </c>
      <c r="I985" s="439">
        <f>IF(OR(ISBLANK(A985),ISNA(MATCH(A985&amp;"",AthleteNumbers,0))),0,MATCH(A985&amp;"",AthleteNumbers,0))</f>
        <v>0</v>
      </c>
      <c r="J985" s="209">
        <f t="array" ref="J985">IF(I985&gt;0,INDEX(DB,$I985,6),0)</f>
        <v>0</v>
      </c>
      <c r="K985" s="446">
        <f t="shared" si="5"/>
        <v>0</v>
      </c>
      <c r="L985" s="440">
        <f t="shared" si="6"/>
        <v>0</v>
      </c>
      <c r="M985" s="441">
        <f>IF(AND(L985&gt;O985,O985&gt;0),MinPoints,IF(AND(L985&lt;N985,O985&gt;0),100,+INT((O985-$L985)/P985)+MinPoints))</f>
        <v>100</v>
      </c>
      <c r="N985" s="440">
        <f t="shared" si="7"/>
        <v>90</v>
      </c>
      <c r="O985" s="440">
        <f t="shared" si="8"/>
        <v>180</v>
      </c>
      <c r="P985" s="440">
        <f t="shared" si="9"/>
        <v>1</v>
      </c>
      <c r="Q985">
        <f t="array" ref="Q985">IF(I985&gt;0,INDEX(DB,I985,9),EventIndex)</f>
        <v>6</v>
      </c>
      <c r="S985">
        <f t="array" ref="S985">(INT(INDEX(MINVALUES,$Q985,$K$1))*60)+(MOD(INDEX(MINVALUES,$Q985,$K$1),1)*100)</f>
        <v>180</v>
      </c>
      <c r="T985">
        <f t="array" ref="T985">(INDEX(INCVALUES,$Q985,$K$1)*100)</f>
        <v>1</v>
      </c>
      <c r="V985">
        <f t="array" ref="V985">+J985+(4*(INDEX(MatchScoreTable,$Q985,20)-1))</f>
        <v>4</v>
      </c>
      <c r="W985">
        <f t="array" ref="W985">INDEX(INC_MINVALUES,$V985,$K$1)</f>
        <v>480</v>
      </c>
      <c r="X985" s="212">
        <f t="array" ref="X985">INDEX(INC_INCVALUES,$V985,$K$1)</f>
        <v>4</v>
      </c>
    </row>
    <row r="986" ht="15.75" customHeight="1">
      <c r="A986" s="435"/>
      <c r="B986" s="436"/>
      <c r="C986" s="95" t="str">
        <f t="array" ref="C986">IF(I986&gt;0,INDEX(DB,I986,8),"")</f>
        <v/>
      </c>
      <c r="D986" s="437">
        <f t="shared" si="1"/>
        <v>0</v>
      </c>
      <c r="F986" s="438">
        <f t="shared" si="2"/>
        <v>0</v>
      </c>
      <c r="G986" t="str">
        <f t="shared" si="3"/>
        <v/>
      </c>
      <c r="H986" t="b">
        <f t="shared" si="4"/>
        <v>0</v>
      </c>
      <c r="I986" s="439">
        <f>IF(OR(ISBLANK(A986),ISNA(MATCH(A986&amp;"",AthleteNumbers,0))),0,MATCH(A986&amp;"",AthleteNumbers,0))</f>
        <v>0</v>
      </c>
      <c r="J986" s="209">
        <f t="array" ref="J986">IF(I986&gt;0,INDEX(DB,$I986,6),0)</f>
        <v>0</v>
      </c>
      <c r="K986" s="446">
        <f t="shared" si="5"/>
        <v>0</v>
      </c>
      <c r="L986" s="440">
        <f t="shared" si="6"/>
        <v>0</v>
      </c>
      <c r="M986" s="441">
        <f>IF(AND(L986&gt;O986,O986&gt;0),MinPoints,IF(AND(L986&lt;N986,O986&gt;0),100,+INT((O986-$L986)/P986)+MinPoints))</f>
        <v>100</v>
      </c>
      <c r="N986" s="440">
        <f t="shared" si="7"/>
        <v>90</v>
      </c>
      <c r="O986" s="440">
        <f t="shared" si="8"/>
        <v>180</v>
      </c>
      <c r="P986" s="440">
        <f t="shared" si="9"/>
        <v>1</v>
      </c>
      <c r="Q986">
        <f t="array" ref="Q986">IF(I986&gt;0,INDEX(DB,I986,9),EventIndex)</f>
        <v>6</v>
      </c>
      <c r="S986">
        <f t="array" ref="S986">(INT(INDEX(MINVALUES,$Q986,$K$1))*60)+(MOD(INDEX(MINVALUES,$Q986,$K$1),1)*100)</f>
        <v>180</v>
      </c>
      <c r="T986">
        <f t="array" ref="T986">(INDEX(INCVALUES,$Q986,$K$1)*100)</f>
        <v>1</v>
      </c>
      <c r="V986">
        <f t="array" ref="V986">+J986+(4*(INDEX(MatchScoreTable,$Q986,20)-1))</f>
        <v>4</v>
      </c>
      <c r="W986">
        <f t="array" ref="W986">INDEX(INC_MINVALUES,$V986,$K$1)</f>
        <v>480</v>
      </c>
      <c r="X986" s="212">
        <f t="array" ref="X986">INDEX(INC_INCVALUES,$V986,$K$1)</f>
        <v>4</v>
      </c>
    </row>
    <row r="987" ht="15.75" customHeight="1">
      <c r="A987" s="435"/>
      <c r="B987" s="436"/>
      <c r="C987" s="95" t="str">
        <f t="array" ref="C987">IF(I987&gt;0,INDEX(DB,I987,8),"")</f>
        <v/>
      </c>
      <c r="D987" s="437">
        <f t="shared" si="1"/>
        <v>0</v>
      </c>
      <c r="F987" s="438">
        <f t="shared" si="2"/>
        <v>0</v>
      </c>
      <c r="G987" t="str">
        <f t="shared" si="3"/>
        <v/>
      </c>
      <c r="H987" t="b">
        <f t="shared" si="4"/>
        <v>0</v>
      </c>
      <c r="I987" s="439">
        <f>IF(OR(ISBLANK(A987),ISNA(MATCH(A987&amp;"",AthleteNumbers,0))),0,MATCH(A987&amp;"",AthleteNumbers,0))</f>
        <v>0</v>
      </c>
      <c r="J987" s="209">
        <f t="array" ref="J987">IF(I987&gt;0,INDEX(DB,$I987,6),0)</f>
        <v>0</v>
      </c>
      <c r="K987" s="446">
        <f t="shared" si="5"/>
        <v>0</v>
      </c>
      <c r="L987" s="440">
        <f t="shared" si="6"/>
        <v>0</v>
      </c>
      <c r="M987" s="441">
        <f>IF(AND(L987&gt;O987,O987&gt;0),MinPoints,IF(AND(L987&lt;N987,O987&gt;0),100,+INT((O987-$L987)/P987)+MinPoints))</f>
        <v>100</v>
      </c>
      <c r="N987" s="440">
        <f t="shared" si="7"/>
        <v>90</v>
      </c>
      <c r="O987" s="440">
        <f t="shared" si="8"/>
        <v>180</v>
      </c>
      <c r="P987" s="440">
        <f t="shared" si="9"/>
        <v>1</v>
      </c>
      <c r="Q987">
        <f t="array" ref="Q987">IF(I987&gt;0,INDEX(DB,I987,9),EventIndex)</f>
        <v>6</v>
      </c>
      <c r="S987">
        <f t="array" ref="S987">(INT(INDEX(MINVALUES,$Q987,$K$1))*60)+(MOD(INDEX(MINVALUES,$Q987,$K$1),1)*100)</f>
        <v>180</v>
      </c>
      <c r="T987">
        <f t="array" ref="T987">(INDEX(INCVALUES,$Q987,$K$1)*100)</f>
        <v>1</v>
      </c>
      <c r="V987">
        <f t="array" ref="V987">+J987+(4*(INDEX(MatchScoreTable,$Q987,20)-1))</f>
        <v>4</v>
      </c>
      <c r="W987">
        <f t="array" ref="W987">INDEX(INC_MINVALUES,$V987,$K$1)</f>
        <v>480</v>
      </c>
      <c r="X987" s="212">
        <f t="array" ref="X987">INDEX(INC_INCVALUES,$V987,$K$1)</f>
        <v>4</v>
      </c>
    </row>
    <row r="988" ht="15.75" customHeight="1">
      <c r="A988" s="435"/>
      <c r="B988" s="436"/>
      <c r="C988" s="95" t="str">
        <f t="array" ref="C988">IF(I988&gt;0,INDEX(DB,I988,8),"")</f>
        <v/>
      </c>
      <c r="D988" s="437">
        <f t="shared" si="1"/>
        <v>0</v>
      </c>
      <c r="F988" s="438">
        <f t="shared" si="2"/>
        <v>0</v>
      </c>
      <c r="G988" t="str">
        <f t="shared" si="3"/>
        <v/>
      </c>
      <c r="H988" t="b">
        <f t="shared" si="4"/>
        <v>0</v>
      </c>
      <c r="I988" s="439">
        <f>IF(OR(ISBLANK(A988),ISNA(MATCH(A988&amp;"",AthleteNumbers,0))),0,MATCH(A988&amp;"",AthleteNumbers,0))</f>
        <v>0</v>
      </c>
      <c r="J988" s="209">
        <f t="array" ref="J988">IF(I988&gt;0,INDEX(DB,$I988,6),0)</f>
        <v>0</v>
      </c>
      <c r="K988" s="446">
        <f t="shared" si="5"/>
        <v>0</v>
      </c>
      <c r="L988" s="440">
        <f t="shared" si="6"/>
        <v>0</v>
      </c>
      <c r="M988" s="441">
        <f>IF(AND(L988&gt;O988,O988&gt;0),MinPoints,IF(AND(L988&lt;N988,O988&gt;0),100,+INT((O988-$L988)/P988)+MinPoints))</f>
        <v>100</v>
      </c>
      <c r="N988" s="440">
        <f t="shared" si="7"/>
        <v>90</v>
      </c>
      <c r="O988" s="440">
        <f t="shared" si="8"/>
        <v>180</v>
      </c>
      <c r="P988" s="440">
        <f t="shared" si="9"/>
        <v>1</v>
      </c>
      <c r="Q988">
        <f t="array" ref="Q988">IF(I988&gt;0,INDEX(DB,I988,9),EventIndex)</f>
        <v>6</v>
      </c>
      <c r="S988">
        <f t="array" ref="S988">(INT(INDEX(MINVALUES,$Q988,$K$1))*60)+(MOD(INDEX(MINVALUES,$Q988,$K$1),1)*100)</f>
        <v>180</v>
      </c>
      <c r="T988">
        <f t="array" ref="T988">(INDEX(INCVALUES,$Q988,$K$1)*100)</f>
        <v>1</v>
      </c>
      <c r="V988">
        <f t="array" ref="V988">+J988+(4*(INDEX(MatchScoreTable,$Q988,20)-1))</f>
        <v>4</v>
      </c>
      <c r="W988">
        <f t="array" ref="W988">INDEX(INC_MINVALUES,$V988,$K$1)</f>
        <v>480</v>
      </c>
      <c r="X988" s="212">
        <f t="array" ref="X988">INDEX(INC_INCVALUES,$V988,$K$1)</f>
        <v>4</v>
      </c>
    </row>
    <row r="989" ht="15.75" customHeight="1">
      <c r="A989" s="435"/>
      <c r="B989" s="436"/>
      <c r="C989" s="95" t="str">
        <f t="array" ref="C989">IF(I989&gt;0,INDEX(DB,I989,8),"")</f>
        <v/>
      </c>
      <c r="D989" s="437">
        <f t="shared" si="1"/>
        <v>0</v>
      </c>
      <c r="F989" s="438">
        <f t="shared" si="2"/>
        <v>0</v>
      </c>
      <c r="G989" t="str">
        <f t="shared" si="3"/>
        <v/>
      </c>
      <c r="H989" t="b">
        <f t="shared" si="4"/>
        <v>0</v>
      </c>
      <c r="I989" s="439">
        <f>IF(OR(ISBLANK(A989),ISNA(MATCH(A989&amp;"",AthleteNumbers,0))),0,MATCH(A989&amp;"",AthleteNumbers,0))</f>
        <v>0</v>
      </c>
      <c r="J989" s="209">
        <f t="array" ref="J989">IF(I989&gt;0,INDEX(DB,$I989,6),0)</f>
        <v>0</v>
      </c>
      <c r="K989" s="446">
        <f t="shared" si="5"/>
        <v>0</v>
      </c>
      <c r="L989" s="440">
        <f t="shared" si="6"/>
        <v>0</v>
      </c>
      <c r="M989" s="441">
        <f>IF(AND(L989&gt;O989,O989&gt;0),MinPoints,IF(AND(L989&lt;N989,O989&gt;0),100,+INT((O989-$L989)/P989)+MinPoints))</f>
        <v>100</v>
      </c>
      <c r="N989" s="440">
        <f t="shared" si="7"/>
        <v>90</v>
      </c>
      <c r="O989" s="440">
        <f t="shared" si="8"/>
        <v>180</v>
      </c>
      <c r="P989" s="440">
        <f t="shared" si="9"/>
        <v>1</v>
      </c>
      <c r="Q989">
        <f t="array" ref="Q989">IF(I989&gt;0,INDEX(DB,I989,9),EventIndex)</f>
        <v>6</v>
      </c>
      <c r="S989">
        <f t="array" ref="S989">(INT(INDEX(MINVALUES,$Q989,$K$1))*60)+(MOD(INDEX(MINVALUES,$Q989,$K$1),1)*100)</f>
        <v>180</v>
      </c>
      <c r="T989">
        <f t="array" ref="T989">(INDEX(INCVALUES,$Q989,$K$1)*100)</f>
        <v>1</v>
      </c>
      <c r="V989">
        <f t="array" ref="V989">+J989+(4*(INDEX(MatchScoreTable,$Q989,20)-1))</f>
        <v>4</v>
      </c>
      <c r="W989">
        <f t="array" ref="W989">INDEX(INC_MINVALUES,$V989,$K$1)</f>
        <v>480</v>
      </c>
      <c r="X989" s="212">
        <f t="array" ref="X989">INDEX(INC_INCVALUES,$V989,$K$1)</f>
        <v>4</v>
      </c>
    </row>
    <row r="990" ht="15.75" customHeight="1">
      <c r="A990" s="435"/>
      <c r="B990" s="436"/>
      <c r="C990" s="95" t="str">
        <f t="array" ref="C990">IF(I990&gt;0,INDEX(DB,I990,8),"")</f>
        <v/>
      </c>
      <c r="D990" s="437">
        <f t="shared" si="1"/>
        <v>0</v>
      </c>
      <c r="F990" s="438">
        <f t="shared" si="2"/>
        <v>0</v>
      </c>
      <c r="G990" t="str">
        <f t="shared" si="3"/>
        <v/>
      </c>
      <c r="H990" t="b">
        <f t="shared" si="4"/>
        <v>0</v>
      </c>
      <c r="I990" s="439">
        <f>IF(OR(ISBLANK(A990),ISNA(MATCH(A990&amp;"",AthleteNumbers,0))),0,MATCH(A990&amp;"",AthleteNumbers,0))</f>
        <v>0</v>
      </c>
      <c r="J990" s="209">
        <f t="array" ref="J990">IF(I990&gt;0,INDEX(DB,$I990,6),0)</f>
        <v>0</v>
      </c>
      <c r="K990" s="446">
        <f t="shared" si="5"/>
        <v>0</v>
      </c>
      <c r="L990" s="440">
        <f t="shared" si="6"/>
        <v>0</v>
      </c>
      <c r="M990" s="441">
        <f>IF(AND(L990&gt;O990,O990&gt;0),MinPoints,IF(AND(L990&lt;N990,O990&gt;0),100,+INT((O990-$L990)/P990)+MinPoints))</f>
        <v>100</v>
      </c>
      <c r="N990" s="440">
        <f t="shared" si="7"/>
        <v>90</v>
      </c>
      <c r="O990" s="440">
        <f t="shared" si="8"/>
        <v>180</v>
      </c>
      <c r="P990" s="440">
        <f t="shared" si="9"/>
        <v>1</v>
      </c>
      <c r="Q990">
        <f t="array" ref="Q990">IF(I990&gt;0,INDEX(DB,I990,9),EventIndex)</f>
        <v>6</v>
      </c>
      <c r="S990">
        <f t="array" ref="S990">(INT(INDEX(MINVALUES,$Q990,$K$1))*60)+(MOD(INDEX(MINVALUES,$Q990,$K$1),1)*100)</f>
        <v>180</v>
      </c>
      <c r="T990">
        <f t="array" ref="T990">(INDEX(INCVALUES,$Q990,$K$1)*100)</f>
        <v>1</v>
      </c>
      <c r="V990">
        <f t="array" ref="V990">+J990+(4*(INDEX(MatchScoreTable,$Q990,20)-1))</f>
        <v>4</v>
      </c>
      <c r="W990">
        <f t="array" ref="W990">INDEX(INC_MINVALUES,$V990,$K$1)</f>
        <v>480</v>
      </c>
      <c r="X990" s="212">
        <f t="array" ref="X990">INDEX(INC_INCVALUES,$V990,$K$1)</f>
        <v>4</v>
      </c>
    </row>
    <row r="991" ht="15.75" customHeight="1">
      <c r="A991" s="435"/>
      <c r="B991" s="436"/>
      <c r="C991" s="95" t="str">
        <f t="array" ref="C991">IF(I991&gt;0,INDEX(DB,I991,8),"")</f>
        <v/>
      </c>
      <c r="D991" s="437">
        <f t="shared" si="1"/>
        <v>0</v>
      </c>
      <c r="F991" s="438">
        <f t="shared" si="2"/>
        <v>0</v>
      </c>
      <c r="G991" t="str">
        <f t="shared" si="3"/>
        <v/>
      </c>
      <c r="H991" t="b">
        <f t="shared" si="4"/>
        <v>0</v>
      </c>
      <c r="I991" s="439">
        <f>IF(OR(ISBLANK(A991),ISNA(MATCH(A991&amp;"",AthleteNumbers,0))),0,MATCH(A991&amp;"",AthleteNumbers,0))</f>
        <v>0</v>
      </c>
      <c r="J991" s="209">
        <f t="array" ref="J991">IF(I991&gt;0,INDEX(DB,$I991,6),0)</f>
        <v>0</v>
      </c>
      <c r="K991" s="446">
        <f t="shared" si="5"/>
        <v>0</v>
      </c>
      <c r="L991" s="440">
        <f t="shared" si="6"/>
        <v>0</v>
      </c>
      <c r="M991" s="441">
        <f>IF(AND(L991&gt;O991,O991&gt;0),MinPoints,IF(AND(L991&lt;N991,O991&gt;0),100,+INT((O991-$L991)/P991)+MinPoints))</f>
        <v>100</v>
      </c>
      <c r="N991" s="440">
        <f t="shared" si="7"/>
        <v>90</v>
      </c>
      <c r="O991" s="440">
        <f t="shared" si="8"/>
        <v>180</v>
      </c>
      <c r="P991" s="440">
        <f t="shared" si="9"/>
        <v>1</v>
      </c>
      <c r="Q991">
        <f t="array" ref="Q991">IF(I991&gt;0,INDEX(DB,I991,9),EventIndex)</f>
        <v>6</v>
      </c>
      <c r="S991">
        <f t="array" ref="S991">(INT(INDEX(MINVALUES,$Q991,$K$1))*60)+(MOD(INDEX(MINVALUES,$Q991,$K$1),1)*100)</f>
        <v>180</v>
      </c>
      <c r="T991">
        <f t="array" ref="T991">(INDEX(INCVALUES,$Q991,$K$1)*100)</f>
        <v>1</v>
      </c>
      <c r="V991">
        <f t="array" ref="V991">+J991+(4*(INDEX(MatchScoreTable,$Q991,20)-1))</f>
        <v>4</v>
      </c>
      <c r="W991">
        <f t="array" ref="W991">INDEX(INC_MINVALUES,$V991,$K$1)</f>
        <v>480</v>
      </c>
      <c r="X991" s="212">
        <f t="array" ref="X991">INDEX(INC_INCVALUES,$V991,$K$1)</f>
        <v>4</v>
      </c>
    </row>
    <row r="992" ht="15.75" customHeight="1">
      <c r="A992" s="435"/>
      <c r="B992" s="436"/>
      <c r="C992" s="95" t="str">
        <f t="array" ref="C992">IF(I992&gt;0,INDEX(DB,I992,8),"")</f>
        <v/>
      </c>
      <c r="D992" s="437">
        <f t="shared" si="1"/>
        <v>0</v>
      </c>
      <c r="F992" s="438">
        <f t="shared" si="2"/>
        <v>0</v>
      </c>
      <c r="G992" t="str">
        <f t="shared" si="3"/>
        <v/>
      </c>
      <c r="H992" t="b">
        <f t="shared" si="4"/>
        <v>0</v>
      </c>
      <c r="I992" s="439">
        <f>IF(OR(ISBLANK(A992),ISNA(MATCH(A992&amp;"",AthleteNumbers,0))),0,MATCH(A992&amp;"",AthleteNumbers,0))</f>
        <v>0</v>
      </c>
      <c r="J992" s="209">
        <f t="array" ref="J992">IF(I992&gt;0,INDEX(DB,$I992,6),0)</f>
        <v>0</v>
      </c>
      <c r="K992" s="446">
        <f t="shared" si="5"/>
        <v>0</v>
      </c>
      <c r="L992" s="440">
        <f t="shared" si="6"/>
        <v>0</v>
      </c>
      <c r="M992" s="441">
        <f>IF(AND(L992&gt;O992,O992&gt;0),MinPoints,IF(AND(L992&lt;N992,O992&gt;0),100,+INT((O992-$L992)/P992)+MinPoints))</f>
        <v>100</v>
      </c>
      <c r="N992" s="440">
        <f t="shared" si="7"/>
        <v>90</v>
      </c>
      <c r="O992" s="440">
        <f t="shared" si="8"/>
        <v>180</v>
      </c>
      <c r="P992" s="440">
        <f t="shared" si="9"/>
        <v>1</v>
      </c>
      <c r="Q992">
        <f t="array" ref="Q992">IF(I992&gt;0,INDEX(DB,I992,9),EventIndex)</f>
        <v>6</v>
      </c>
      <c r="S992">
        <f t="array" ref="S992">(INT(INDEX(MINVALUES,$Q992,$K$1))*60)+(MOD(INDEX(MINVALUES,$Q992,$K$1),1)*100)</f>
        <v>180</v>
      </c>
      <c r="T992">
        <f t="array" ref="T992">(INDEX(INCVALUES,$Q992,$K$1)*100)</f>
        <v>1</v>
      </c>
      <c r="V992">
        <f t="array" ref="V992">+J992+(4*(INDEX(MatchScoreTable,$Q992,20)-1))</f>
        <v>4</v>
      </c>
      <c r="W992">
        <f t="array" ref="W992">INDEX(INC_MINVALUES,$V992,$K$1)</f>
        <v>480</v>
      </c>
      <c r="X992" s="212">
        <f t="array" ref="X992">INDEX(INC_INCVALUES,$V992,$K$1)</f>
        <v>4</v>
      </c>
    </row>
    <row r="993" ht="15.75" customHeight="1">
      <c r="A993" s="435"/>
      <c r="B993" s="436"/>
      <c r="C993" s="95" t="str">
        <f t="array" ref="C993">IF(I993&gt;0,INDEX(DB,I993,8),"")</f>
        <v/>
      </c>
      <c r="D993" s="437">
        <f t="shared" si="1"/>
        <v>0</v>
      </c>
      <c r="F993" s="438">
        <f t="shared" si="2"/>
        <v>0</v>
      </c>
      <c r="G993" t="str">
        <f t="shared" si="3"/>
        <v/>
      </c>
      <c r="H993" t="b">
        <f t="shared" si="4"/>
        <v>0</v>
      </c>
      <c r="I993" s="439">
        <f>IF(OR(ISBLANK(A993),ISNA(MATCH(A993&amp;"",AthleteNumbers,0))),0,MATCH(A993&amp;"",AthleteNumbers,0))</f>
        <v>0</v>
      </c>
      <c r="J993" s="209">
        <f t="array" ref="J993">IF(I993&gt;0,INDEX(DB,$I993,6),0)</f>
        <v>0</v>
      </c>
      <c r="K993" s="446">
        <f t="shared" si="5"/>
        <v>0</v>
      </c>
      <c r="L993" s="440">
        <f t="shared" si="6"/>
        <v>0</v>
      </c>
      <c r="M993" s="441">
        <f>IF(AND(L993&gt;O993,O993&gt;0),MinPoints,IF(AND(L993&lt;N993,O993&gt;0),100,+INT((O993-$L993)/P993)+MinPoints))</f>
        <v>100</v>
      </c>
      <c r="N993" s="440">
        <f t="shared" si="7"/>
        <v>90</v>
      </c>
      <c r="O993" s="440">
        <f t="shared" si="8"/>
        <v>180</v>
      </c>
      <c r="P993" s="440">
        <f t="shared" si="9"/>
        <v>1</v>
      </c>
      <c r="Q993">
        <f t="array" ref="Q993">IF(I993&gt;0,INDEX(DB,I993,9),EventIndex)</f>
        <v>6</v>
      </c>
      <c r="S993">
        <f t="array" ref="S993">(INT(INDEX(MINVALUES,$Q993,$K$1))*60)+(MOD(INDEX(MINVALUES,$Q993,$K$1),1)*100)</f>
        <v>180</v>
      </c>
      <c r="T993">
        <f t="array" ref="T993">(INDEX(INCVALUES,$Q993,$K$1)*100)</f>
        <v>1</v>
      </c>
      <c r="V993">
        <f t="array" ref="V993">+J993+(4*(INDEX(MatchScoreTable,$Q993,20)-1))</f>
        <v>4</v>
      </c>
      <c r="W993">
        <f t="array" ref="W993">INDEX(INC_MINVALUES,$V993,$K$1)</f>
        <v>480</v>
      </c>
      <c r="X993" s="212">
        <f t="array" ref="X993">INDEX(INC_INCVALUES,$V993,$K$1)</f>
        <v>4</v>
      </c>
    </row>
    <row r="994" ht="15.75" customHeight="1">
      <c r="A994" s="435"/>
      <c r="B994" s="436"/>
      <c r="C994" s="95" t="str">
        <f t="array" ref="C994">IF(I994&gt;0,INDEX(DB,I994,8),"")</f>
        <v/>
      </c>
      <c r="D994" s="437">
        <f t="shared" si="1"/>
        <v>0</v>
      </c>
      <c r="F994" s="438">
        <f t="shared" si="2"/>
        <v>0</v>
      </c>
      <c r="G994" t="str">
        <f t="shared" si="3"/>
        <v/>
      </c>
      <c r="H994" t="b">
        <f t="shared" si="4"/>
        <v>0</v>
      </c>
      <c r="I994" s="439">
        <f>IF(OR(ISBLANK(A994),ISNA(MATCH(A994&amp;"",AthleteNumbers,0))),0,MATCH(A994&amp;"",AthleteNumbers,0))</f>
        <v>0</v>
      </c>
      <c r="J994" s="209">
        <f t="array" ref="J994">IF(I994&gt;0,INDEX(DB,$I994,6),0)</f>
        <v>0</v>
      </c>
      <c r="K994" s="446">
        <f t="shared" si="5"/>
        <v>0</v>
      </c>
      <c r="L994" s="440">
        <f t="shared" si="6"/>
        <v>0</v>
      </c>
      <c r="M994" s="441">
        <f>IF(AND(L994&gt;O994,O994&gt;0),MinPoints,IF(AND(L994&lt;N994,O994&gt;0),100,+INT((O994-$L994)/P994)+MinPoints))</f>
        <v>100</v>
      </c>
      <c r="N994" s="440">
        <f t="shared" si="7"/>
        <v>90</v>
      </c>
      <c r="O994" s="440">
        <f t="shared" si="8"/>
        <v>180</v>
      </c>
      <c r="P994" s="440">
        <f t="shared" si="9"/>
        <v>1</v>
      </c>
      <c r="Q994">
        <f t="array" ref="Q994">IF(I994&gt;0,INDEX(DB,I994,9),EventIndex)</f>
        <v>6</v>
      </c>
      <c r="S994">
        <f t="array" ref="S994">(INT(INDEX(MINVALUES,$Q994,$K$1))*60)+(MOD(INDEX(MINVALUES,$Q994,$K$1),1)*100)</f>
        <v>180</v>
      </c>
      <c r="T994">
        <f t="array" ref="T994">(INDEX(INCVALUES,$Q994,$K$1)*100)</f>
        <v>1</v>
      </c>
      <c r="V994">
        <f t="array" ref="V994">+J994+(4*(INDEX(MatchScoreTable,$Q994,20)-1))</f>
        <v>4</v>
      </c>
      <c r="W994">
        <f t="array" ref="W994">INDEX(INC_MINVALUES,$V994,$K$1)</f>
        <v>480</v>
      </c>
      <c r="X994" s="212">
        <f t="array" ref="X994">INDEX(INC_INCVALUES,$V994,$K$1)</f>
        <v>4</v>
      </c>
    </row>
    <row r="995" ht="15.75" customHeight="1">
      <c r="A995" s="435"/>
      <c r="B995" s="436"/>
      <c r="C995" s="95" t="str">
        <f t="array" ref="C995">IF(I995&gt;0,INDEX(DB,I995,8),"")</f>
        <v/>
      </c>
      <c r="D995" s="437">
        <f t="shared" si="1"/>
        <v>0</v>
      </c>
      <c r="F995" s="438">
        <f t="shared" si="2"/>
        <v>0</v>
      </c>
      <c r="G995" t="str">
        <f t="shared" si="3"/>
        <v/>
      </c>
      <c r="H995" t="b">
        <f t="shared" si="4"/>
        <v>0</v>
      </c>
      <c r="I995" s="439">
        <f>IF(OR(ISBLANK(A995),ISNA(MATCH(A995&amp;"",AthleteNumbers,0))),0,MATCH(A995&amp;"",AthleteNumbers,0))</f>
        <v>0</v>
      </c>
      <c r="J995" s="209">
        <f t="array" ref="J995">IF(I995&gt;0,INDEX(DB,$I995,6),0)</f>
        <v>0</v>
      </c>
      <c r="K995" s="446">
        <f t="shared" si="5"/>
        <v>0</v>
      </c>
      <c r="L995" s="440">
        <f t="shared" si="6"/>
        <v>0</v>
      </c>
      <c r="M995" s="441">
        <f>IF(AND(L995&gt;O995,O995&gt;0),MinPoints,IF(AND(L995&lt;N995,O995&gt;0),100,+INT((O995-$L995)/P995)+MinPoints))</f>
        <v>100</v>
      </c>
      <c r="N995" s="440">
        <f t="shared" si="7"/>
        <v>90</v>
      </c>
      <c r="O995" s="440">
        <f t="shared" si="8"/>
        <v>180</v>
      </c>
      <c r="P995" s="440">
        <f t="shared" si="9"/>
        <v>1</v>
      </c>
      <c r="Q995">
        <f t="array" ref="Q995">IF(I995&gt;0,INDEX(DB,I995,9),EventIndex)</f>
        <v>6</v>
      </c>
      <c r="S995">
        <f t="array" ref="S995">(INT(INDEX(MINVALUES,$Q995,$K$1))*60)+(MOD(INDEX(MINVALUES,$Q995,$K$1),1)*100)</f>
        <v>180</v>
      </c>
      <c r="T995">
        <f t="array" ref="T995">(INDEX(INCVALUES,$Q995,$K$1)*100)</f>
        <v>1</v>
      </c>
      <c r="V995">
        <f t="array" ref="V995">+J995+(4*(INDEX(MatchScoreTable,$Q995,20)-1))</f>
        <v>4</v>
      </c>
      <c r="W995">
        <f t="array" ref="W995">INDEX(INC_MINVALUES,$V995,$K$1)</f>
        <v>480</v>
      </c>
      <c r="X995" s="212">
        <f t="array" ref="X995">INDEX(INC_INCVALUES,$V995,$K$1)</f>
        <v>4</v>
      </c>
    </row>
    <row r="996" ht="15.75" customHeight="1">
      <c r="A996" s="435"/>
      <c r="B996" s="436"/>
      <c r="C996" s="95" t="str">
        <f t="array" ref="C996">IF(I996&gt;0,INDEX(DB,I996,8),"")</f>
        <v/>
      </c>
      <c r="D996" s="437">
        <f t="shared" si="1"/>
        <v>0</v>
      </c>
      <c r="F996" s="438">
        <f t="shared" si="2"/>
        <v>0</v>
      </c>
      <c r="G996" t="str">
        <f t="shared" si="3"/>
        <v/>
      </c>
      <c r="H996" t="b">
        <f t="shared" si="4"/>
        <v>0</v>
      </c>
      <c r="I996" s="439">
        <f>IF(OR(ISBLANK(A996),ISNA(MATCH(A996&amp;"",AthleteNumbers,0))),0,MATCH(A996&amp;"",AthleteNumbers,0))</f>
        <v>0</v>
      </c>
      <c r="J996" s="209">
        <f t="array" ref="J996">IF(I996&gt;0,INDEX(DB,$I996,6),0)</f>
        <v>0</v>
      </c>
      <c r="K996" s="446">
        <f t="shared" si="5"/>
        <v>0</v>
      </c>
      <c r="L996" s="440">
        <f t="shared" si="6"/>
        <v>0</v>
      </c>
      <c r="M996" s="441">
        <f>IF(AND(L996&gt;O996,O996&gt;0),MinPoints,IF(AND(L996&lt;N996,O996&gt;0),100,+INT((O996-$L996)/P996)+MinPoints))</f>
        <v>100</v>
      </c>
      <c r="N996" s="440">
        <f t="shared" si="7"/>
        <v>90</v>
      </c>
      <c r="O996" s="440">
        <f t="shared" si="8"/>
        <v>180</v>
      </c>
      <c r="P996" s="440">
        <f t="shared" si="9"/>
        <v>1</v>
      </c>
      <c r="Q996">
        <f t="array" ref="Q996">IF(I996&gt;0,INDEX(DB,I996,9),EventIndex)</f>
        <v>6</v>
      </c>
      <c r="S996">
        <f t="array" ref="S996">(INT(INDEX(MINVALUES,$Q996,$K$1))*60)+(MOD(INDEX(MINVALUES,$Q996,$K$1),1)*100)</f>
        <v>180</v>
      </c>
      <c r="T996">
        <f t="array" ref="T996">(INDEX(INCVALUES,$Q996,$K$1)*100)</f>
        <v>1</v>
      </c>
      <c r="V996">
        <f t="array" ref="V996">+J996+(4*(INDEX(MatchScoreTable,$Q996,20)-1))</f>
        <v>4</v>
      </c>
      <c r="W996">
        <f t="array" ref="W996">INDEX(INC_MINVALUES,$V996,$K$1)</f>
        <v>480</v>
      </c>
      <c r="X996" s="212">
        <f t="array" ref="X996">INDEX(INC_INCVALUES,$V996,$K$1)</f>
        <v>4</v>
      </c>
    </row>
    <row r="997" ht="15.75" customHeight="1">
      <c r="A997" s="435"/>
      <c r="B997" s="436"/>
      <c r="C997" s="95" t="str">
        <f t="array" ref="C997">IF(I997&gt;0,INDEX(DB,I997,8),"")</f>
        <v/>
      </c>
      <c r="D997" s="437">
        <f t="shared" si="1"/>
        <v>0</v>
      </c>
      <c r="F997" s="438">
        <f t="shared" si="2"/>
        <v>0</v>
      </c>
      <c r="G997" t="str">
        <f t="shared" si="3"/>
        <v/>
      </c>
      <c r="H997" t="b">
        <f t="shared" si="4"/>
        <v>0</v>
      </c>
      <c r="I997" s="439">
        <f>IF(OR(ISBLANK(A997),ISNA(MATCH(A997&amp;"",AthleteNumbers,0))),0,MATCH(A997&amp;"",AthleteNumbers,0))</f>
        <v>0</v>
      </c>
      <c r="J997" s="209">
        <f t="array" ref="J997">IF(I997&gt;0,INDEX(DB,$I997,6),0)</f>
        <v>0</v>
      </c>
      <c r="K997" s="446">
        <f t="shared" si="5"/>
        <v>0</v>
      </c>
      <c r="L997" s="440">
        <f t="shared" si="6"/>
        <v>0</v>
      </c>
      <c r="M997" s="441">
        <f>IF(AND(L997&gt;O997,O997&gt;0),MinPoints,IF(AND(L997&lt;N997,O997&gt;0),100,+INT((O997-$L997)/P997)+MinPoints))</f>
        <v>100</v>
      </c>
      <c r="N997" s="440">
        <f t="shared" si="7"/>
        <v>90</v>
      </c>
      <c r="O997" s="440">
        <f t="shared" si="8"/>
        <v>180</v>
      </c>
      <c r="P997" s="440">
        <f t="shared" si="9"/>
        <v>1</v>
      </c>
      <c r="Q997">
        <f t="array" ref="Q997">IF(I997&gt;0,INDEX(DB,I997,9),EventIndex)</f>
        <v>6</v>
      </c>
      <c r="S997">
        <f t="array" ref="S997">(INT(INDEX(MINVALUES,$Q997,$K$1))*60)+(MOD(INDEX(MINVALUES,$Q997,$K$1),1)*100)</f>
        <v>180</v>
      </c>
      <c r="T997">
        <f t="array" ref="T997">(INDEX(INCVALUES,$Q997,$K$1)*100)</f>
        <v>1</v>
      </c>
      <c r="V997">
        <f t="array" ref="V997">+J997+(4*(INDEX(MatchScoreTable,$Q997,20)-1))</f>
        <v>4</v>
      </c>
      <c r="W997">
        <f t="array" ref="W997">INDEX(INC_MINVALUES,$V997,$K$1)</f>
        <v>480</v>
      </c>
      <c r="X997" s="212">
        <f t="array" ref="X997">INDEX(INC_INCVALUES,$V997,$K$1)</f>
        <v>4</v>
      </c>
    </row>
    <row r="998" ht="15.75" customHeight="1">
      <c r="A998" s="435"/>
      <c r="B998" s="436"/>
      <c r="C998" s="95" t="str">
        <f t="array" ref="C998">IF(I998&gt;0,INDEX(DB,I998,8),"")</f>
        <v/>
      </c>
      <c r="D998" s="437">
        <f t="shared" si="1"/>
        <v>0</v>
      </c>
      <c r="F998" s="438">
        <f t="shared" si="2"/>
        <v>0</v>
      </c>
      <c r="G998" t="str">
        <f t="shared" si="3"/>
        <v/>
      </c>
      <c r="H998" t="b">
        <f t="shared" si="4"/>
        <v>0</v>
      </c>
      <c r="I998" s="439">
        <f>IF(OR(ISBLANK(A998),ISNA(MATCH(A998&amp;"",AthleteNumbers,0))),0,MATCH(A998&amp;"",AthleteNumbers,0))</f>
        <v>0</v>
      </c>
      <c r="J998" s="209">
        <f t="array" ref="J998">IF(I998&gt;0,INDEX(DB,$I998,6),0)</f>
        <v>0</v>
      </c>
      <c r="K998" s="446">
        <f t="shared" si="5"/>
        <v>0</v>
      </c>
      <c r="L998" s="440">
        <f t="shared" si="6"/>
        <v>0</v>
      </c>
      <c r="M998" s="441">
        <f>IF(AND(L998&gt;O998,O998&gt;0),MinPoints,IF(AND(L998&lt;N998,O998&gt;0),100,+INT((O998-$L998)/P998)+MinPoints))</f>
        <v>100</v>
      </c>
      <c r="N998" s="440">
        <f t="shared" si="7"/>
        <v>90</v>
      </c>
      <c r="O998" s="440">
        <f t="shared" si="8"/>
        <v>180</v>
      </c>
      <c r="P998" s="440">
        <f t="shared" si="9"/>
        <v>1</v>
      </c>
      <c r="Q998">
        <f t="array" ref="Q998">IF(I998&gt;0,INDEX(DB,I998,9),EventIndex)</f>
        <v>6</v>
      </c>
      <c r="S998">
        <f t="array" ref="S998">(INT(INDEX(MINVALUES,$Q998,$K$1))*60)+(MOD(INDEX(MINVALUES,$Q998,$K$1),1)*100)</f>
        <v>180</v>
      </c>
      <c r="T998">
        <f t="array" ref="T998">(INDEX(INCVALUES,$Q998,$K$1)*100)</f>
        <v>1</v>
      </c>
      <c r="V998">
        <f t="array" ref="V998">+J998+(4*(INDEX(MatchScoreTable,$Q998,20)-1))</f>
        <v>4</v>
      </c>
      <c r="W998">
        <f t="array" ref="W998">INDEX(INC_MINVALUES,$V998,$K$1)</f>
        <v>480</v>
      </c>
      <c r="X998" s="212">
        <f t="array" ref="X998">INDEX(INC_INCVALUES,$V998,$K$1)</f>
        <v>4</v>
      </c>
    </row>
    <row r="999" ht="15.75" customHeight="1">
      <c r="A999" s="435"/>
      <c r="B999" s="436"/>
      <c r="C999" s="95" t="str">
        <f t="array" ref="C999">IF(I999&gt;0,INDEX(DB,I999,8),"")</f>
        <v/>
      </c>
      <c r="D999" s="437">
        <f t="shared" si="1"/>
        <v>0</v>
      </c>
      <c r="F999" s="438">
        <f t="shared" si="2"/>
        <v>0</v>
      </c>
      <c r="G999" t="str">
        <f t="shared" si="3"/>
        <v/>
      </c>
      <c r="H999" t="b">
        <f t="shared" si="4"/>
        <v>0</v>
      </c>
      <c r="I999" s="439">
        <f>IF(OR(ISBLANK(A999),ISNA(MATCH(A999&amp;"",AthleteNumbers,0))),0,MATCH(A999&amp;"",AthleteNumbers,0))</f>
        <v>0</v>
      </c>
      <c r="J999" s="209">
        <f t="array" ref="J999">IF(I999&gt;0,INDEX(DB,$I999,6),0)</f>
        <v>0</v>
      </c>
      <c r="K999" s="446">
        <f t="shared" si="5"/>
        <v>0</v>
      </c>
      <c r="L999" s="440">
        <f t="shared" si="6"/>
        <v>0</v>
      </c>
      <c r="M999" s="441">
        <f>IF(AND(L999&gt;O999,O999&gt;0),MinPoints,IF(AND(L999&lt;N999,O999&gt;0),100,+INT((O999-$L999)/P999)+MinPoints))</f>
        <v>100</v>
      </c>
      <c r="N999" s="440">
        <f t="shared" si="7"/>
        <v>90</v>
      </c>
      <c r="O999" s="440">
        <f t="shared" si="8"/>
        <v>180</v>
      </c>
      <c r="P999" s="440">
        <f t="shared" si="9"/>
        <v>1</v>
      </c>
      <c r="Q999">
        <f t="array" ref="Q999">IF(I999&gt;0,INDEX(DB,I999,9),EventIndex)</f>
        <v>6</v>
      </c>
      <c r="S999">
        <f t="array" ref="S999">(INT(INDEX(MINVALUES,$Q999,$K$1))*60)+(MOD(INDEX(MINVALUES,$Q999,$K$1),1)*100)</f>
        <v>180</v>
      </c>
      <c r="T999">
        <f t="array" ref="T999">(INDEX(INCVALUES,$Q999,$K$1)*100)</f>
        <v>1</v>
      </c>
      <c r="V999">
        <f t="array" ref="V999">+J999+(4*(INDEX(MatchScoreTable,$Q999,20)-1))</f>
        <v>4</v>
      </c>
      <c r="W999">
        <f t="array" ref="W999">INDEX(INC_MINVALUES,$V999,$K$1)</f>
        <v>480</v>
      </c>
      <c r="X999" s="212">
        <f t="array" ref="X999">INDEX(INC_INCVALUES,$V999,$K$1)</f>
        <v>4</v>
      </c>
    </row>
    <row r="1000" ht="15.75" customHeight="1">
      <c r="A1000" s="435"/>
      <c r="B1000" s="436"/>
      <c r="C1000" s="95" t="str">
        <f t="array" ref="C1000">IF(I1000&gt;0,INDEX(DB,I1000,8),"")</f>
        <v/>
      </c>
      <c r="D1000" s="437">
        <f t="shared" si="1"/>
        <v>0</v>
      </c>
      <c r="F1000" s="438">
        <f t="shared" si="2"/>
        <v>0</v>
      </c>
      <c r="G1000" t="str">
        <f t="shared" si="3"/>
        <v/>
      </c>
      <c r="H1000" t="b">
        <f t="shared" si="4"/>
        <v>0</v>
      </c>
      <c r="I1000" s="439">
        <f>IF(OR(ISBLANK(A1000),ISNA(MATCH(A1000&amp;"",AthleteNumbers,0))),0,MATCH(A1000&amp;"",AthleteNumbers,0))</f>
        <v>0</v>
      </c>
      <c r="J1000" s="209">
        <f t="array" ref="J1000">IF(I1000&gt;0,INDEX(DB,$I1000,6),0)</f>
        <v>0</v>
      </c>
      <c r="K1000" s="446">
        <f t="shared" si="5"/>
        <v>0</v>
      </c>
      <c r="L1000" s="440">
        <f t="shared" si="6"/>
        <v>0</v>
      </c>
      <c r="M1000" s="441">
        <f>IF(AND(L1000&gt;O1000,O1000&gt;0),MinPoints,IF(AND(L1000&lt;N1000,O1000&gt;0),100,+INT((O1000-$L1000)/P1000)+MinPoints))</f>
        <v>100</v>
      </c>
      <c r="N1000" s="440">
        <f t="shared" si="7"/>
        <v>90</v>
      </c>
      <c r="O1000" s="440">
        <f t="shared" si="8"/>
        <v>180</v>
      </c>
      <c r="P1000" s="440">
        <f t="shared" si="9"/>
        <v>1</v>
      </c>
      <c r="Q1000">
        <f t="array" ref="Q1000">IF(I1000&gt;0,INDEX(DB,I1000,9),EventIndex)</f>
        <v>6</v>
      </c>
      <c r="S1000">
        <f t="array" ref="S1000">(INT(INDEX(MINVALUES,$Q1000,$K$1))*60)+(MOD(INDEX(MINVALUES,$Q1000,$K$1),1)*100)</f>
        <v>180</v>
      </c>
      <c r="T1000">
        <f t="array" ref="T1000">(INDEX(INCVALUES,$Q1000,$K$1)*100)</f>
        <v>1</v>
      </c>
      <c r="V1000">
        <f t="array" ref="V1000">+J1000+(4*(INDEX(MatchScoreTable,$Q1000,20)-1))</f>
        <v>4</v>
      </c>
      <c r="W1000">
        <f t="array" ref="W1000">INDEX(INC_MINVALUES,$V1000,$K$1)</f>
        <v>480</v>
      </c>
      <c r="X1000" s="212">
        <f t="array" ref="X1000">INDEX(INC_INCVALUES,$V1000,$K$1)</f>
        <v>4</v>
      </c>
    </row>
    <row r="1001" ht="15.75" customHeight="1">
      <c r="A1001" s="435"/>
      <c r="B1001" s="436"/>
      <c r="C1001" s="95" t="str">
        <f t="array" ref="C1001">IF(I1001&gt;0,INDEX(DB,I1001,8),"")</f>
        <v/>
      </c>
      <c r="D1001" s="437">
        <f t="shared" si="1"/>
        <v>0</v>
      </c>
      <c r="F1001" s="438">
        <f t="shared" si="2"/>
        <v>0</v>
      </c>
      <c r="G1001" t="str">
        <f t="shared" si="3"/>
        <v/>
      </c>
      <c r="H1001" t="b">
        <f t="shared" si="4"/>
        <v>0</v>
      </c>
      <c r="I1001" s="439">
        <f>IF(OR(ISBLANK(A1001),ISNA(MATCH(A1001&amp;"",AthleteNumbers,0))),0,MATCH(A1001&amp;"",AthleteNumbers,0))</f>
        <v>0</v>
      </c>
      <c r="J1001" s="209">
        <f t="array" ref="J1001">IF(I1001&gt;0,INDEX(DB,$I1001,6),0)</f>
        <v>0</v>
      </c>
      <c r="K1001" s="446">
        <f t="shared" si="5"/>
        <v>0</v>
      </c>
      <c r="L1001" s="440">
        <f t="shared" si="6"/>
        <v>0</v>
      </c>
      <c r="M1001" s="441">
        <f>IF(AND(L1001&gt;O1001,O1001&gt;0),MinPoints,IF(AND(L1001&lt;N1001,O1001&gt;0),100,+INT((O1001-$L1001)/P1001)+MinPoints))</f>
        <v>100</v>
      </c>
      <c r="N1001" s="440">
        <f t="shared" si="7"/>
        <v>90</v>
      </c>
      <c r="O1001" s="440">
        <f t="shared" si="8"/>
        <v>180</v>
      </c>
      <c r="P1001" s="440">
        <f t="shared" si="9"/>
        <v>1</v>
      </c>
      <c r="Q1001">
        <f t="array" ref="Q1001">IF(I1001&gt;0,INDEX(DB,I1001,9),EventIndex)</f>
        <v>6</v>
      </c>
      <c r="S1001">
        <f t="array" ref="S1001">(INT(INDEX(MINVALUES,$Q1001,$K$1))*60)+(MOD(INDEX(MINVALUES,$Q1001,$K$1),1)*100)</f>
        <v>180</v>
      </c>
      <c r="T1001">
        <f t="array" ref="T1001">(INDEX(INCVALUES,$Q1001,$K$1)*100)</f>
        <v>1</v>
      </c>
      <c r="V1001">
        <f t="array" ref="V1001">+J1001+(4*(INDEX(MatchScoreTable,$Q1001,20)-1))</f>
        <v>4</v>
      </c>
      <c r="W1001">
        <f t="array" ref="W1001">INDEX(INC_MINVALUES,$V1001,$K$1)</f>
        <v>480</v>
      </c>
      <c r="X1001" s="212">
        <f t="array" ref="X1001">INDEX(INC_INCVALUES,$V1001,$K$1)</f>
        <v>4</v>
      </c>
    </row>
    <row r="1002" ht="15.75" customHeight="1">
      <c r="A1002" s="449"/>
      <c r="B1002" s="450"/>
      <c r="C1002" s="95" t="str">
        <f t="array" ref="C1002">IF(I1002&gt;0,INDEX(DB,I1002,8),"")</f>
        <v/>
      </c>
      <c r="D1002" s="451">
        <f t="shared" si="1"/>
        <v>0</v>
      </c>
      <c r="F1002" s="209"/>
      <c r="J1002" s="209"/>
      <c r="L1002" s="440"/>
      <c r="O1002" s="440"/>
      <c r="P1002" s="440"/>
      <c r="Q1002" s="440"/>
    </row>
  </sheetData>
  <mergeCells count="1">
    <mergeCell ref="A1:B1"/>
  </mergeCells>
  <conditionalFormatting sqref="D4:D44">
    <cfRule type="expression" dxfId="0" priority="1">
      <formula>AND($F4&lt;=1,$G4="",$H4=TRUE)</formula>
    </cfRule>
  </conditionalFormatting>
  <conditionalFormatting sqref="D4:D44">
    <cfRule type="expression" dxfId="1" priority="2">
      <formula>$F4&gt;1</formula>
    </cfRule>
  </conditionalFormatting>
  <conditionalFormatting sqref="D4:D44">
    <cfRule type="expression" dxfId="2" priority="3">
      <formula>$G4="CHECK"</formula>
    </cfRule>
  </conditionalFormatting>
  <conditionalFormatting sqref="D3">
    <cfRule type="expression" dxfId="0" priority="4">
      <formula>AND($F3&lt;=1,$G3="",$H3=TRUE)</formula>
    </cfRule>
  </conditionalFormatting>
  <conditionalFormatting sqref="D3">
    <cfRule type="expression" dxfId="1" priority="5">
      <formula>$F3&gt;1</formula>
    </cfRule>
  </conditionalFormatting>
  <conditionalFormatting sqref="D3">
    <cfRule type="expression" dxfId="2" priority="6">
      <formula>$G3="CHECK"</formula>
    </cfRule>
  </conditionalFormatting>
  <conditionalFormatting sqref="C4:C1002">
    <cfRule type="expression" dxfId="0" priority="7">
      <formula>AND($F4&lt;=1,$G4="",$H4=TRUE)</formula>
    </cfRule>
  </conditionalFormatting>
  <conditionalFormatting sqref="C4:C1002">
    <cfRule type="expression" dxfId="1" priority="8">
      <formula>$F4&gt;1</formula>
    </cfRule>
  </conditionalFormatting>
  <conditionalFormatting sqref="C4:C1002">
    <cfRule type="expression" dxfId="2" priority="9">
      <formula>$G4="CHECK"</formula>
    </cfRule>
  </conditionalFormatting>
  <conditionalFormatting sqref="C3">
    <cfRule type="expression" dxfId="0" priority="10">
      <formula>AND($F3&lt;=1,$G3="",$H3=TRUE)</formula>
    </cfRule>
  </conditionalFormatting>
  <conditionalFormatting sqref="C3">
    <cfRule type="expression" dxfId="1" priority="11">
      <formula>$F3&gt;1</formula>
    </cfRule>
  </conditionalFormatting>
  <conditionalFormatting sqref="C3">
    <cfRule type="expression" dxfId="2" priority="12">
      <formula>$G3="CHECK"</formula>
    </cfRule>
  </conditionalFormatting>
  <conditionalFormatting sqref="A3:A44">
    <cfRule type="expression" dxfId="0" priority="13">
      <formula>AND($F3&lt;=1,$G3="",$H3=TRUE)</formula>
    </cfRule>
  </conditionalFormatting>
  <conditionalFormatting sqref="A3:A44">
    <cfRule type="expression" dxfId="1" priority="14">
      <formula>$F3&gt;1</formula>
    </cfRule>
  </conditionalFormatting>
  <conditionalFormatting sqref="A3:A44">
    <cfRule type="expression" dxfId="2" priority="15">
      <formula>$G3="CHECK"</formula>
    </cfRule>
  </conditionalFormatting>
  <conditionalFormatting sqref="B3:B44">
    <cfRule type="expression" dxfId="0" priority="16">
      <formula>AND($F3&lt;=1,$G3="",$H3=TRUE)</formula>
    </cfRule>
  </conditionalFormatting>
  <conditionalFormatting sqref="B3:B44">
    <cfRule type="expression" dxfId="1" priority="17">
      <formula>$F3&gt;1</formula>
    </cfRule>
  </conditionalFormatting>
  <conditionalFormatting sqref="B3:B44">
    <cfRule type="expression" dxfId="2" priority="18">
      <formula>$G3="CHECK"</formula>
    </cfRule>
  </conditionalFormatting>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808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0.71"/>
    <col customWidth="1" min="2" max="2" width="12.43"/>
    <col customWidth="1" min="3" max="3" width="28.86"/>
    <col customWidth="1" min="4" max="4" width="13.86"/>
    <col customWidth="1" min="5" max="5" width="2.57"/>
    <col customWidth="1" min="6" max="6" width="9.14"/>
    <col customWidth="1" min="7" max="7" width="8.0"/>
    <col customWidth="1" hidden="1" min="8" max="14" width="9.14"/>
    <col customWidth="1" hidden="1" min="15" max="15" width="9.57"/>
    <col customWidth="1" hidden="1" min="16" max="18" width="9.14"/>
    <col customWidth="1" hidden="1" min="19" max="24" width="8.0"/>
    <col customWidth="1" min="25" max="26" width="8.0"/>
  </cols>
  <sheetData>
    <row r="1" ht="28.5" customHeight="1">
      <c r="A1" s="422" t="str">
        <f>"Event:"</f>
        <v>Event:</v>
      </c>
      <c r="C1" s="423" t="s">
        <v>33</v>
      </c>
      <c r="D1" s="209"/>
      <c r="F1" s="424">
        <f>IF(TotalAthletes,COUNTIF(D3:D1002,"&gt;0")/TotalAthletes,0)</f>
        <v>0.8831168831</v>
      </c>
      <c r="J1" s="114" t="s">
        <v>382</v>
      </c>
      <c r="K1" s="425">
        <v>3.0</v>
      </c>
      <c r="L1" s="114" t="s">
        <v>41</v>
      </c>
      <c r="M1" s="426">
        <f t="array" ref="M1">INDEX(ScoreValues,2,$K$1)</f>
        <v>2.2</v>
      </c>
      <c r="N1" s="114" t="s">
        <v>42</v>
      </c>
      <c r="O1" s="426">
        <f t="array" ref="O1">INDEX(ScoreValues,4,$K$1)</f>
        <v>0.03</v>
      </c>
      <c r="P1" s="114"/>
      <c r="Q1" s="114" t="s">
        <v>93</v>
      </c>
      <c r="R1" s="426">
        <f t="array" ref="R1">INDEX(ScoreValues,3,$K$1)</f>
        <v>4.9</v>
      </c>
      <c r="T1" s="114" t="s">
        <v>383</v>
      </c>
      <c r="U1" s="427">
        <f>+EventIndex</f>
        <v>6</v>
      </c>
    </row>
    <row r="2" ht="25.5" customHeight="1">
      <c r="A2" s="428" t="s">
        <v>384</v>
      </c>
      <c r="B2" s="429" t="s">
        <v>396</v>
      </c>
      <c r="C2" s="430" t="s">
        <v>40</v>
      </c>
      <c r="D2" s="431" t="s">
        <v>318</v>
      </c>
      <c r="F2" s="432" t="s">
        <v>386</v>
      </c>
      <c r="G2" s="433" t="s">
        <v>387</v>
      </c>
      <c r="H2" s="433" t="s">
        <v>388</v>
      </c>
      <c r="I2" s="434" t="s">
        <v>389</v>
      </c>
      <c r="J2" s="209" t="s">
        <v>390</v>
      </c>
      <c r="K2" s="209" t="s">
        <v>397</v>
      </c>
      <c r="L2" s="209" t="s">
        <v>392</v>
      </c>
      <c r="M2" s="209" t="s">
        <v>318</v>
      </c>
      <c r="N2" s="113" t="s">
        <v>93</v>
      </c>
      <c r="O2" s="113" t="s">
        <v>41</v>
      </c>
      <c r="P2" s="113" t="s">
        <v>42</v>
      </c>
      <c r="Q2" s="113" t="s">
        <v>393</v>
      </c>
      <c r="S2" s="113" t="s">
        <v>355</v>
      </c>
      <c r="T2" s="113" t="s">
        <v>73</v>
      </c>
      <c r="V2" s="113" t="s">
        <v>394</v>
      </c>
      <c r="W2" s="113" t="s">
        <v>355</v>
      </c>
      <c r="X2" s="113" t="s">
        <v>73</v>
      </c>
    </row>
    <row r="3">
      <c r="A3" s="435" t="s">
        <v>199</v>
      </c>
      <c r="B3" s="436">
        <v>2.84</v>
      </c>
      <c r="C3" s="95" t="str">
        <f t="array" ref="C3">IF(I3&gt;0,INDEX(DB,I3,8),"")</f>
        <v>Edee Abery</v>
      </c>
      <c r="D3" s="437">
        <f t="shared" ref="D3:D1002" si="1">IF(AND(H3,B3&lt;&gt;0,ISNUMBER(B3)),IF(ISERR(M3),0,M3),0)</f>
        <v>31</v>
      </c>
      <c r="F3" s="438">
        <f t="shared" ref="F3:F1001" si="2">COUNTIF(A$3:A$1002,A3)</f>
        <v>1</v>
      </c>
      <c r="G3" t="str">
        <f t="shared" ref="G3:G1001" si="3">IF(AND(H3,OR(D3&lt;=10,D3&gt;=90)),"CHECK","")</f>
        <v/>
      </c>
      <c r="H3" t="b">
        <f t="shared" ref="H3:H1001" si="4">IF(AND(I3&gt;0,LEN(C3)&gt;0,B3&lt;&gt;0),TRUE,FALSE)</f>
        <v>1</v>
      </c>
      <c r="I3" s="439">
        <f>IF(OR(ISBLANK(A3),ISNA(MATCH(A3&amp;"",AthleteNumbers,0))),0,MATCH(A3&amp;"",AthleteNumbers,0))</f>
        <v>34</v>
      </c>
      <c r="J3" s="209" t="str">
        <f t="array" ref="J3">IF(I3&gt;0,INDEX(DB,$I3,6),0)</f>
        <v/>
      </c>
      <c r="K3" s="446">
        <f t="shared" ref="K3:K1001" si="5">IF(ISNUMBER(B3),ROUND(+B3,2),0)</f>
        <v>2.84</v>
      </c>
      <c r="L3" s="446">
        <f t="shared" ref="L3:L1001" si="6">+K3</f>
        <v>2.84</v>
      </c>
      <c r="M3" s="441">
        <f>IF(L3&lt;O3,MinPoints,IF(AND(L3&gt;N3,O3&gt;0),100,+INT(($L3-O3)/P3)+MinPoints))</f>
        <v>31</v>
      </c>
      <c r="N3" s="440">
        <f t="shared" ref="N3:N1001" si="7">+O3+(P3*90)</f>
        <v>4.9</v>
      </c>
      <c r="O3" s="440">
        <f t="shared" ref="O3:O1001" si="8">IF($J3=0,$S3,$W3)</f>
        <v>2.2</v>
      </c>
      <c r="P3" s="440">
        <f t="shared" ref="P3:P1001" si="9">IF($J3=0,$T3,$X3)</f>
        <v>0.03</v>
      </c>
      <c r="Q3">
        <f t="array" ref="Q3">IF(I3&gt;0,INDEX(DB,I3,9),EventIndex)</f>
        <v>6</v>
      </c>
      <c r="S3" s="447">
        <f t="array" ref="S3">INDEX(MINVALUES,$Q3,$K$1)</f>
        <v>2.2</v>
      </c>
      <c r="T3" s="448">
        <f t="array" ref="T3">INDEX(INCVALUES,$Q3,$K$1)</f>
        <v>0.03</v>
      </c>
      <c r="V3">
        <f t="array" ref="V3">+J3+(4*(INDEX(MatchScoreTable,$Q3,20)-1))</f>
        <v>4</v>
      </c>
      <c r="W3" s="442">
        <f t="array" ref="W3">INDEX(INC_MINVALUES,$V3,$K$1)</f>
        <v>0.2</v>
      </c>
      <c r="X3" s="212">
        <f t="array" ref="X3">INDEX(INC_INCVALUES,$V3,$K$1)</f>
        <v>0.02</v>
      </c>
    </row>
    <row r="4">
      <c r="A4" s="435" t="s">
        <v>203</v>
      </c>
      <c r="B4" s="436">
        <v>3.29</v>
      </c>
      <c r="C4" s="95" t="str">
        <f t="array" ref="C4">IF(I4&gt;0,INDEX(DB,I4,8),"")</f>
        <v>Lucia Bertacchini</v>
      </c>
      <c r="D4" s="437">
        <f t="shared" si="1"/>
        <v>46</v>
      </c>
      <c r="F4" s="438">
        <f t="shared" si="2"/>
        <v>1</v>
      </c>
      <c r="G4" t="str">
        <f t="shared" si="3"/>
        <v/>
      </c>
      <c r="H4" t="b">
        <f t="shared" si="4"/>
        <v>1</v>
      </c>
      <c r="I4" s="439">
        <f>IF(OR(ISBLANK(A4),ISNA(MATCH(A4&amp;"",AthleteNumbers,0))),0,MATCH(A4&amp;"",AthleteNumbers,0))</f>
        <v>35</v>
      </c>
      <c r="J4" s="209" t="str">
        <f t="array" ref="J4">IF(I4&gt;0,INDEX(DB,$I4,6),0)</f>
        <v/>
      </c>
      <c r="K4" s="446">
        <f t="shared" si="5"/>
        <v>3.29</v>
      </c>
      <c r="L4" s="446">
        <f t="shared" si="6"/>
        <v>3.29</v>
      </c>
      <c r="M4" s="441">
        <f>IF(L4&lt;O4,MinPoints,IF(AND(L4&gt;N4,O4&gt;0),100,+INT(($L4-O4)/P4)+MinPoints))</f>
        <v>46</v>
      </c>
      <c r="N4" s="440">
        <f t="shared" si="7"/>
        <v>4.9</v>
      </c>
      <c r="O4" s="440">
        <f t="shared" si="8"/>
        <v>2.2</v>
      </c>
      <c r="P4" s="440">
        <f t="shared" si="9"/>
        <v>0.03</v>
      </c>
      <c r="Q4">
        <f t="array" ref="Q4">IF(I4&gt;0,INDEX(DB,I4,9),EventIndex)</f>
        <v>6</v>
      </c>
      <c r="S4" s="447">
        <f t="array" ref="S4">INDEX(MINVALUES,$Q4,$K$1)</f>
        <v>2.2</v>
      </c>
      <c r="T4" s="448">
        <f t="array" ref="T4">INDEX(INCVALUES,$Q4,$K$1)</f>
        <v>0.03</v>
      </c>
      <c r="V4">
        <f t="array" ref="V4">+J4+(4*(INDEX(MatchScoreTable,$Q4,20)-1))</f>
        <v>4</v>
      </c>
      <c r="W4" s="442">
        <f t="array" ref="W4">INDEX(INC_MINVALUES,$V4,$K$1)</f>
        <v>0.2</v>
      </c>
      <c r="X4" s="212">
        <f t="array" ref="X4">INDEX(INC_INCVALUES,$V4,$K$1)</f>
        <v>0.02</v>
      </c>
    </row>
    <row r="5">
      <c r="A5" s="435" t="s">
        <v>209</v>
      </c>
      <c r="B5" s="436">
        <v>2.51</v>
      </c>
      <c r="C5" s="95" t="str">
        <f t="array" ref="C5">IF(I5&gt;0,INDEX(DB,I5,8),"")</f>
        <v>Isabel Cherrett</v>
      </c>
      <c r="D5" s="437">
        <f t="shared" si="1"/>
        <v>20</v>
      </c>
      <c r="F5" s="438">
        <f t="shared" si="2"/>
        <v>1</v>
      </c>
      <c r="G5" t="str">
        <f t="shared" si="3"/>
        <v/>
      </c>
      <c r="H5" t="b">
        <f t="shared" si="4"/>
        <v>1</v>
      </c>
      <c r="I5" s="439">
        <f>IF(OR(ISBLANK(A5),ISNA(MATCH(A5&amp;"",AthleteNumbers,0))),0,MATCH(A5&amp;"",AthleteNumbers,0))</f>
        <v>37</v>
      </c>
      <c r="J5" s="209" t="str">
        <f t="array" ref="J5">IF(I5&gt;0,INDEX(DB,$I5,6),0)</f>
        <v/>
      </c>
      <c r="K5" s="446">
        <f t="shared" si="5"/>
        <v>2.51</v>
      </c>
      <c r="L5" s="446">
        <f t="shared" si="6"/>
        <v>2.51</v>
      </c>
      <c r="M5" s="441">
        <f>IF(L5&lt;O5,MinPoints,IF(AND(L5&gt;N5,O5&gt;0),100,+INT(($L5-O5)/P5)+MinPoints))</f>
        <v>20</v>
      </c>
      <c r="N5" s="440">
        <f t="shared" si="7"/>
        <v>4.9</v>
      </c>
      <c r="O5" s="440">
        <f t="shared" si="8"/>
        <v>2.2</v>
      </c>
      <c r="P5" s="440">
        <f t="shared" si="9"/>
        <v>0.03</v>
      </c>
      <c r="Q5">
        <f t="array" ref="Q5">IF(I5&gt;0,INDEX(DB,I5,9),EventIndex)</f>
        <v>6</v>
      </c>
      <c r="S5" s="447">
        <f t="array" ref="S5">INDEX(MINVALUES,$Q5,$K$1)</f>
        <v>2.2</v>
      </c>
      <c r="T5" s="448">
        <f t="array" ref="T5">INDEX(INCVALUES,$Q5,$K$1)</f>
        <v>0.03</v>
      </c>
      <c r="V5">
        <f t="array" ref="V5">+J5+(4*(INDEX(MatchScoreTable,$Q5,20)-1))</f>
        <v>4</v>
      </c>
      <c r="W5" s="442">
        <f t="array" ref="W5">INDEX(INC_MINVALUES,$V5,$K$1)</f>
        <v>0.2</v>
      </c>
      <c r="X5" s="212">
        <f t="array" ref="X5">INDEX(INC_INCVALUES,$V5,$K$1)</f>
        <v>0.02</v>
      </c>
    </row>
    <row r="6">
      <c r="A6" s="435" t="s">
        <v>211</v>
      </c>
      <c r="B6" s="436">
        <v>2.38</v>
      </c>
      <c r="C6" s="95" t="str">
        <f t="array" ref="C6">IF(I6&gt;0,INDEX(DB,I6,8),"")</f>
        <v>Lily Coltman</v>
      </c>
      <c r="D6" s="437">
        <f t="shared" si="1"/>
        <v>15</v>
      </c>
      <c r="F6" s="438">
        <f t="shared" si="2"/>
        <v>1</v>
      </c>
      <c r="G6" t="str">
        <f t="shared" si="3"/>
        <v/>
      </c>
      <c r="H6" t="b">
        <f t="shared" si="4"/>
        <v>1</v>
      </c>
      <c r="I6" s="439">
        <f>IF(OR(ISBLANK(A6),ISNA(MATCH(A6&amp;"",AthleteNumbers,0))),0,MATCH(A6&amp;"",AthleteNumbers,0))</f>
        <v>38</v>
      </c>
      <c r="J6" s="209" t="str">
        <f t="array" ref="J6">IF(I6&gt;0,INDEX(DB,$I6,6),0)</f>
        <v/>
      </c>
      <c r="K6" s="446">
        <f t="shared" si="5"/>
        <v>2.38</v>
      </c>
      <c r="L6" s="446">
        <f t="shared" si="6"/>
        <v>2.38</v>
      </c>
      <c r="M6" s="441">
        <f>IF(L6&lt;O6,MinPoints,IF(AND(L6&gt;N6,O6&gt;0),100,+INT(($L6-O6)/P6)+MinPoints))</f>
        <v>15</v>
      </c>
      <c r="N6" s="440">
        <f t="shared" si="7"/>
        <v>4.9</v>
      </c>
      <c r="O6" s="440">
        <f t="shared" si="8"/>
        <v>2.2</v>
      </c>
      <c r="P6" s="440">
        <f t="shared" si="9"/>
        <v>0.03</v>
      </c>
      <c r="Q6">
        <f t="array" ref="Q6">IF(I6&gt;0,INDEX(DB,I6,9),EventIndex)</f>
        <v>6</v>
      </c>
      <c r="S6" s="447">
        <f t="array" ref="S6">INDEX(MINVALUES,$Q6,$K$1)</f>
        <v>2.2</v>
      </c>
      <c r="T6" s="448">
        <f t="array" ref="T6">INDEX(INCVALUES,$Q6,$K$1)</f>
        <v>0.03</v>
      </c>
      <c r="V6">
        <f t="array" ref="V6">+J6+(4*(INDEX(MatchScoreTable,$Q6,20)-1))</f>
        <v>4</v>
      </c>
      <c r="W6" s="442">
        <f t="array" ref="W6">INDEX(INC_MINVALUES,$V6,$K$1)</f>
        <v>0.2</v>
      </c>
      <c r="X6" s="212">
        <f t="array" ref="X6">INDEX(INC_INCVALUES,$V6,$K$1)</f>
        <v>0.02</v>
      </c>
    </row>
    <row r="7">
      <c r="A7" s="435" t="s">
        <v>213</v>
      </c>
      <c r="B7" s="436">
        <v>3.1</v>
      </c>
      <c r="C7" s="95" t="str">
        <f t="array" ref="C7">IF(I7&gt;0,INDEX(DB,I7,8),"")</f>
        <v>Sophie Cross</v>
      </c>
      <c r="D7" s="437">
        <f t="shared" si="1"/>
        <v>40</v>
      </c>
      <c r="F7" s="438">
        <f t="shared" si="2"/>
        <v>1</v>
      </c>
      <c r="G7" t="str">
        <f t="shared" si="3"/>
        <v/>
      </c>
      <c r="H7" t="b">
        <f t="shared" si="4"/>
        <v>1</v>
      </c>
      <c r="I7" s="439">
        <f>IF(OR(ISBLANK(A7),ISNA(MATCH(A7&amp;"",AthleteNumbers,0))),0,MATCH(A7&amp;"",AthleteNumbers,0))</f>
        <v>39</v>
      </c>
      <c r="J7" s="209" t="str">
        <f t="array" ref="J7">IF(I7&gt;0,INDEX(DB,$I7,6),0)</f>
        <v/>
      </c>
      <c r="K7" s="446">
        <f t="shared" si="5"/>
        <v>3.1</v>
      </c>
      <c r="L7" s="446">
        <f t="shared" si="6"/>
        <v>3.1</v>
      </c>
      <c r="M7" s="441">
        <f>IF(L7&lt;O7,MinPoints,IF(AND(L7&gt;N7,O7&gt;0),100,+INT(($L7-O7)/P7)+MinPoints))</f>
        <v>40</v>
      </c>
      <c r="N7" s="440">
        <f t="shared" si="7"/>
        <v>4.9</v>
      </c>
      <c r="O7" s="440">
        <f t="shared" si="8"/>
        <v>2.2</v>
      </c>
      <c r="P7" s="440">
        <f t="shared" si="9"/>
        <v>0.03</v>
      </c>
      <c r="Q7">
        <f t="array" ref="Q7">IF(I7&gt;0,INDEX(DB,I7,9),EventIndex)</f>
        <v>6</v>
      </c>
      <c r="S7" s="447">
        <f t="array" ref="S7">INDEX(MINVALUES,$Q7,$K$1)</f>
        <v>2.2</v>
      </c>
      <c r="T7" s="448">
        <f t="array" ref="T7">INDEX(INCVALUES,$Q7,$K$1)</f>
        <v>0.03</v>
      </c>
      <c r="V7">
        <f t="array" ref="V7">+J7+(4*(INDEX(MatchScoreTable,$Q7,20)-1))</f>
        <v>4</v>
      </c>
      <c r="W7" s="442">
        <f t="array" ref="W7">INDEX(INC_MINVALUES,$V7,$K$1)</f>
        <v>0.2</v>
      </c>
      <c r="X7" s="212">
        <f t="array" ref="X7">INDEX(INC_INCVALUES,$V7,$K$1)</f>
        <v>0.02</v>
      </c>
    </row>
    <row r="8">
      <c r="A8" s="435" t="s">
        <v>216</v>
      </c>
      <c r="B8" s="436">
        <v>3.38</v>
      </c>
      <c r="C8" s="95" t="str">
        <f t="array" ref="C8">IF(I8&gt;0,INDEX(DB,I8,8),"")</f>
        <v>Isis Dalton</v>
      </c>
      <c r="D8" s="437">
        <f t="shared" si="1"/>
        <v>49</v>
      </c>
      <c r="F8" s="438">
        <f t="shared" si="2"/>
        <v>1</v>
      </c>
      <c r="G8" t="str">
        <f t="shared" si="3"/>
        <v/>
      </c>
      <c r="H8" t="b">
        <f t="shared" si="4"/>
        <v>1</v>
      </c>
      <c r="I8" s="439">
        <f>IF(OR(ISBLANK(A8),ISNA(MATCH(A8&amp;"",AthleteNumbers,0))),0,MATCH(A8&amp;"",AthleteNumbers,0))</f>
        <v>40</v>
      </c>
      <c r="J8" s="209" t="str">
        <f t="array" ref="J8">IF(I8&gt;0,INDEX(DB,$I8,6),0)</f>
        <v/>
      </c>
      <c r="K8" s="446">
        <f t="shared" si="5"/>
        <v>3.38</v>
      </c>
      <c r="L8" s="446">
        <f t="shared" si="6"/>
        <v>3.38</v>
      </c>
      <c r="M8" s="441">
        <f>IF(L8&lt;O8,MinPoints,IF(AND(L8&gt;N8,O8&gt;0),100,+INT(($L8-O8)/P8)+MinPoints))</f>
        <v>49</v>
      </c>
      <c r="N8" s="440">
        <f t="shared" si="7"/>
        <v>4.9</v>
      </c>
      <c r="O8" s="440">
        <f t="shared" si="8"/>
        <v>2.2</v>
      </c>
      <c r="P8" s="440">
        <f t="shared" si="9"/>
        <v>0.03</v>
      </c>
      <c r="Q8">
        <f t="array" ref="Q8">IF(I8&gt;0,INDEX(DB,I8,9),EventIndex)</f>
        <v>6</v>
      </c>
      <c r="S8" s="447">
        <f t="array" ref="S8">INDEX(MINVALUES,$Q8,$K$1)</f>
        <v>2.2</v>
      </c>
      <c r="T8" s="448">
        <f t="array" ref="T8">INDEX(INCVALUES,$Q8,$K$1)</f>
        <v>0.03</v>
      </c>
      <c r="V8">
        <f t="array" ref="V8">+J8+(4*(INDEX(MatchScoreTable,$Q8,20)-1))</f>
        <v>4</v>
      </c>
      <c r="W8" s="442">
        <f t="array" ref="W8">INDEX(INC_MINVALUES,$V8,$K$1)</f>
        <v>0.2</v>
      </c>
      <c r="X8" s="212">
        <f t="array" ref="X8">INDEX(INC_INCVALUES,$V8,$K$1)</f>
        <v>0.02</v>
      </c>
    </row>
    <row r="9">
      <c r="A9" s="435" t="s">
        <v>218</v>
      </c>
      <c r="B9" s="436">
        <v>2.97</v>
      </c>
      <c r="C9" s="95" t="str">
        <f t="array" ref="C9">IF(I9&gt;0,INDEX(DB,I9,8),"")</f>
        <v>Elizabeth Davie</v>
      </c>
      <c r="D9" s="437">
        <f t="shared" si="1"/>
        <v>35</v>
      </c>
      <c r="F9" s="438">
        <f t="shared" si="2"/>
        <v>1</v>
      </c>
      <c r="G9" t="str">
        <f t="shared" si="3"/>
        <v/>
      </c>
      <c r="H9" t="b">
        <f t="shared" si="4"/>
        <v>1</v>
      </c>
      <c r="I9" s="439">
        <f>IF(OR(ISBLANK(A9),ISNA(MATCH(A9&amp;"",AthleteNumbers,0))),0,MATCH(A9&amp;"",AthleteNumbers,0))</f>
        <v>41</v>
      </c>
      <c r="J9" s="209" t="str">
        <f t="array" ref="J9">IF(I9&gt;0,INDEX(DB,$I9,6),0)</f>
        <v/>
      </c>
      <c r="K9" s="446">
        <f t="shared" si="5"/>
        <v>2.97</v>
      </c>
      <c r="L9" s="446">
        <f t="shared" si="6"/>
        <v>2.97</v>
      </c>
      <c r="M9" s="441">
        <f>IF(L9&lt;O9,MinPoints,IF(AND(L9&gt;N9,O9&gt;0),100,+INT(($L9-O9)/P9)+MinPoints))</f>
        <v>35</v>
      </c>
      <c r="N9" s="440">
        <f t="shared" si="7"/>
        <v>4.9</v>
      </c>
      <c r="O9" s="440">
        <f t="shared" si="8"/>
        <v>2.2</v>
      </c>
      <c r="P9" s="440">
        <f t="shared" si="9"/>
        <v>0.03</v>
      </c>
      <c r="Q9">
        <f t="array" ref="Q9">IF(I9&gt;0,INDEX(DB,I9,9),EventIndex)</f>
        <v>6</v>
      </c>
      <c r="S9" s="447">
        <f t="array" ref="S9">INDEX(MINVALUES,$Q9,$K$1)</f>
        <v>2.2</v>
      </c>
      <c r="T9" s="448">
        <f t="array" ref="T9">INDEX(INCVALUES,$Q9,$K$1)</f>
        <v>0.03</v>
      </c>
      <c r="V9">
        <f t="array" ref="V9">+J9+(4*(INDEX(MatchScoreTable,$Q9,20)-1))</f>
        <v>4</v>
      </c>
      <c r="W9" s="442">
        <f t="array" ref="W9">INDEX(INC_MINVALUES,$V9,$K$1)</f>
        <v>0.2</v>
      </c>
      <c r="X9" s="212">
        <f t="array" ref="X9">INDEX(INC_INCVALUES,$V9,$K$1)</f>
        <v>0.02</v>
      </c>
    </row>
    <row r="10">
      <c r="A10" s="435" t="s">
        <v>220</v>
      </c>
      <c r="B10" s="436">
        <v>1.2</v>
      </c>
      <c r="C10" s="95" t="str">
        <f t="array" ref="C10">IF(I10&gt;0,INDEX(DB,I10,8),"")</f>
        <v>Amelia Drew</v>
      </c>
      <c r="D10" s="437">
        <f t="shared" si="1"/>
        <v>10</v>
      </c>
      <c r="F10" s="438">
        <f t="shared" si="2"/>
        <v>1</v>
      </c>
      <c r="G10" t="str">
        <f t="shared" si="3"/>
        <v>CHECK</v>
      </c>
      <c r="H10" t="b">
        <f t="shared" si="4"/>
        <v>1</v>
      </c>
      <c r="I10" s="439">
        <f>IF(OR(ISBLANK(A10),ISNA(MATCH(A10&amp;"",AthleteNumbers,0))),0,MATCH(A10&amp;"",AthleteNumbers,0))</f>
        <v>42</v>
      </c>
      <c r="J10" s="209" t="str">
        <f t="array" ref="J10">IF(I10&gt;0,INDEX(DB,$I10,6),0)</f>
        <v/>
      </c>
      <c r="K10" s="446">
        <f t="shared" si="5"/>
        <v>1.2</v>
      </c>
      <c r="L10" s="446">
        <f t="shared" si="6"/>
        <v>1.2</v>
      </c>
      <c r="M10" s="441">
        <f>IF(L10&lt;O10,MinPoints,IF(AND(L10&gt;N10,O10&gt;0),100,+INT(($L10-O10)/P10)+MinPoints))</f>
        <v>10</v>
      </c>
      <c r="N10" s="440">
        <f t="shared" si="7"/>
        <v>4.9</v>
      </c>
      <c r="O10" s="440">
        <f t="shared" si="8"/>
        <v>2.2</v>
      </c>
      <c r="P10" s="440">
        <f t="shared" si="9"/>
        <v>0.03</v>
      </c>
      <c r="Q10">
        <f t="array" ref="Q10">IF(I10&gt;0,INDEX(DB,I10,9),EventIndex)</f>
        <v>6</v>
      </c>
      <c r="S10" s="447">
        <f t="array" ref="S10">INDEX(MINVALUES,$Q10,$K$1)</f>
        <v>2.2</v>
      </c>
      <c r="T10" s="448">
        <f t="array" ref="T10">INDEX(INCVALUES,$Q10,$K$1)</f>
        <v>0.03</v>
      </c>
      <c r="V10">
        <f t="array" ref="V10">+J10+(4*(INDEX(MatchScoreTable,$Q10,20)-1))</f>
        <v>4</v>
      </c>
      <c r="W10" s="442">
        <f t="array" ref="W10">INDEX(INC_MINVALUES,$V10,$K$1)</f>
        <v>0.2</v>
      </c>
      <c r="X10" s="212">
        <f t="array" ref="X10">INDEX(INC_INCVALUES,$V10,$K$1)</f>
        <v>0.02</v>
      </c>
    </row>
    <row r="11">
      <c r="A11" s="435" t="s">
        <v>224</v>
      </c>
      <c r="B11" s="436">
        <v>2.71</v>
      </c>
      <c r="C11" s="95" t="str">
        <f t="array" ref="C11">IF(I11&gt;0,INDEX(DB,I11,8),"")</f>
        <v>Evie Fuller</v>
      </c>
      <c r="D11" s="437">
        <f t="shared" si="1"/>
        <v>27</v>
      </c>
      <c r="F11" s="438">
        <f t="shared" si="2"/>
        <v>1</v>
      </c>
      <c r="G11" t="str">
        <f t="shared" si="3"/>
        <v/>
      </c>
      <c r="H11" t="b">
        <f t="shared" si="4"/>
        <v>1</v>
      </c>
      <c r="I11" s="439">
        <f>IF(OR(ISBLANK(A11),ISNA(MATCH(A11&amp;"",AthleteNumbers,0))),0,MATCH(A11&amp;"",AthleteNumbers,0))</f>
        <v>44</v>
      </c>
      <c r="J11" s="209" t="str">
        <f t="array" ref="J11">IF(I11&gt;0,INDEX(DB,$I11,6),0)</f>
        <v/>
      </c>
      <c r="K11" s="446">
        <f t="shared" si="5"/>
        <v>2.71</v>
      </c>
      <c r="L11" s="446">
        <f t="shared" si="6"/>
        <v>2.71</v>
      </c>
      <c r="M11" s="441">
        <f>IF(L11&lt;O11,MinPoints,IF(AND(L11&gt;N11,O11&gt;0),100,+INT(($L11-O11)/P11)+MinPoints))</f>
        <v>27</v>
      </c>
      <c r="N11" s="440">
        <f t="shared" si="7"/>
        <v>4.9</v>
      </c>
      <c r="O11" s="440">
        <f t="shared" si="8"/>
        <v>2.2</v>
      </c>
      <c r="P11" s="440">
        <f t="shared" si="9"/>
        <v>0.03</v>
      </c>
      <c r="Q11">
        <f t="array" ref="Q11">IF(I11&gt;0,INDEX(DB,I11,9),EventIndex)</f>
        <v>6</v>
      </c>
      <c r="S11" s="447">
        <f t="array" ref="S11">INDEX(MINVALUES,$Q11,$K$1)</f>
        <v>2.2</v>
      </c>
      <c r="T11" s="448">
        <f t="array" ref="T11">INDEX(INCVALUES,$Q11,$K$1)</f>
        <v>0.03</v>
      </c>
      <c r="V11">
        <f t="array" ref="V11">+J11+(4*(INDEX(MatchScoreTable,$Q11,20)-1))</f>
        <v>4</v>
      </c>
      <c r="W11" s="442">
        <f t="array" ref="W11">INDEX(INC_MINVALUES,$V11,$K$1)</f>
        <v>0.2</v>
      </c>
      <c r="X11" s="212">
        <f t="array" ref="X11">INDEX(INC_INCVALUES,$V11,$K$1)</f>
        <v>0.02</v>
      </c>
    </row>
    <row r="12">
      <c r="A12" s="435" t="s">
        <v>226</v>
      </c>
      <c r="B12" s="436">
        <v>2.96</v>
      </c>
      <c r="C12" s="95" t="str">
        <f t="array" ref="C12">IF(I12&gt;0,INDEX(DB,I12,8),"")</f>
        <v>Izzy Garavini</v>
      </c>
      <c r="D12" s="437">
        <f t="shared" si="1"/>
        <v>35</v>
      </c>
      <c r="F12" s="438">
        <f t="shared" si="2"/>
        <v>1</v>
      </c>
      <c r="G12" t="str">
        <f t="shared" si="3"/>
        <v/>
      </c>
      <c r="H12" t="b">
        <f t="shared" si="4"/>
        <v>1</v>
      </c>
      <c r="I12" s="439">
        <f>IF(OR(ISBLANK(A12),ISNA(MATCH(A12&amp;"",AthleteNumbers,0))),0,MATCH(A12&amp;"",AthleteNumbers,0))</f>
        <v>45</v>
      </c>
      <c r="J12" s="209" t="str">
        <f t="array" ref="J12">IF(I12&gt;0,INDEX(DB,$I12,6),0)</f>
        <v/>
      </c>
      <c r="K12" s="446">
        <f t="shared" si="5"/>
        <v>2.96</v>
      </c>
      <c r="L12" s="446">
        <f t="shared" si="6"/>
        <v>2.96</v>
      </c>
      <c r="M12" s="441">
        <f>IF(L12&lt;O12,MinPoints,IF(AND(L12&gt;N12,O12&gt;0),100,+INT(($L12-O12)/P12)+MinPoints))</f>
        <v>35</v>
      </c>
      <c r="N12" s="440">
        <f t="shared" si="7"/>
        <v>4.9</v>
      </c>
      <c r="O12" s="440">
        <f t="shared" si="8"/>
        <v>2.2</v>
      </c>
      <c r="P12" s="440">
        <f t="shared" si="9"/>
        <v>0.03</v>
      </c>
      <c r="Q12">
        <f t="array" ref="Q12">IF(I12&gt;0,INDEX(DB,I12,9),EventIndex)</f>
        <v>6</v>
      </c>
      <c r="S12" s="447">
        <f t="array" ref="S12">INDEX(MINVALUES,$Q12,$K$1)</f>
        <v>2.2</v>
      </c>
      <c r="T12" s="448">
        <f t="array" ref="T12">INDEX(INCVALUES,$Q12,$K$1)</f>
        <v>0.03</v>
      </c>
      <c r="V12">
        <f t="array" ref="V12">+J12+(4*(INDEX(MatchScoreTable,$Q12,20)-1))</f>
        <v>4</v>
      </c>
      <c r="W12" s="442">
        <f t="array" ref="W12">INDEX(INC_MINVALUES,$V12,$K$1)</f>
        <v>0.2</v>
      </c>
      <c r="X12" s="212">
        <f t="array" ref="X12">INDEX(INC_INCVALUES,$V12,$K$1)</f>
        <v>0.02</v>
      </c>
    </row>
    <row r="13">
      <c r="A13" s="435" t="s">
        <v>230</v>
      </c>
      <c r="B13" s="436">
        <v>1.77</v>
      </c>
      <c r="C13" s="95" t="str">
        <f t="array" ref="C13">IF(I13&gt;0,INDEX(DB,I13,8),"")</f>
        <v>Emilia Parsons</v>
      </c>
      <c r="D13" s="437">
        <f t="shared" si="1"/>
        <v>10</v>
      </c>
      <c r="F13" s="438">
        <f t="shared" si="2"/>
        <v>1</v>
      </c>
      <c r="G13" t="str">
        <f t="shared" si="3"/>
        <v>CHECK</v>
      </c>
      <c r="H13" t="b">
        <f t="shared" si="4"/>
        <v>1</v>
      </c>
      <c r="I13" s="439">
        <f>IF(OR(ISBLANK(A13),ISNA(MATCH(A13&amp;"",AthleteNumbers,0))),0,MATCH(A13&amp;"",AthleteNumbers,0))</f>
        <v>47</v>
      </c>
      <c r="J13" s="209" t="str">
        <f t="array" ref="J13">IF(I13&gt;0,INDEX(DB,$I13,6),0)</f>
        <v/>
      </c>
      <c r="K13" s="446">
        <f t="shared" si="5"/>
        <v>1.77</v>
      </c>
      <c r="L13" s="446">
        <f t="shared" si="6"/>
        <v>1.77</v>
      </c>
      <c r="M13" s="441">
        <f>IF(L13&lt;O13,MinPoints,IF(AND(L13&gt;N13,O13&gt;0),100,+INT(($L13-O13)/P13)+MinPoints))</f>
        <v>10</v>
      </c>
      <c r="N13" s="440">
        <f t="shared" si="7"/>
        <v>4.9</v>
      </c>
      <c r="O13" s="440">
        <f t="shared" si="8"/>
        <v>2.2</v>
      </c>
      <c r="P13" s="440">
        <f t="shared" si="9"/>
        <v>0.03</v>
      </c>
      <c r="Q13">
        <f t="array" ref="Q13">IF(I13&gt;0,INDEX(DB,I13,9),EventIndex)</f>
        <v>6</v>
      </c>
      <c r="S13" s="447">
        <f t="array" ref="S13">INDEX(MINVALUES,$Q13,$K$1)</f>
        <v>2.2</v>
      </c>
      <c r="T13" s="448">
        <f t="array" ref="T13">INDEX(INCVALUES,$Q13,$K$1)</f>
        <v>0.03</v>
      </c>
      <c r="V13">
        <f t="array" ref="V13">+J13+(4*(INDEX(MatchScoreTable,$Q13,20)-1))</f>
        <v>4</v>
      </c>
      <c r="W13" s="442">
        <f t="array" ref="W13">INDEX(INC_MINVALUES,$V13,$K$1)</f>
        <v>0.2</v>
      </c>
      <c r="X13" s="212">
        <f t="array" ref="X13">INDEX(INC_INCVALUES,$V13,$K$1)</f>
        <v>0.02</v>
      </c>
    </row>
    <row r="14">
      <c r="A14" s="435" t="s">
        <v>232</v>
      </c>
      <c r="B14" s="436">
        <v>2.22</v>
      </c>
      <c r="C14" s="95" t="str">
        <f t="array" ref="C14">IF(I14&gt;0,INDEX(DB,I14,8),"")</f>
        <v>Millie Hardcastle</v>
      </c>
      <c r="D14" s="437">
        <f t="shared" si="1"/>
        <v>10</v>
      </c>
      <c r="F14" s="438">
        <f t="shared" si="2"/>
        <v>1</v>
      </c>
      <c r="G14" t="str">
        <f t="shared" si="3"/>
        <v>CHECK</v>
      </c>
      <c r="H14" t="b">
        <f t="shared" si="4"/>
        <v>1</v>
      </c>
      <c r="I14" s="439">
        <f>IF(OR(ISBLANK(A14),ISNA(MATCH(A14&amp;"",AthleteNumbers,0))),0,MATCH(A14&amp;"",AthleteNumbers,0))</f>
        <v>48</v>
      </c>
      <c r="J14" s="209" t="str">
        <f t="array" ref="J14">IF(I14&gt;0,INDEX(DB,$I14,6),0)</f>
        <v/>
      </c>
      <c r="K14" s="446">
        <f t="shared" si="5"/>
        <v>2.22</v>
      </c>
      <c r="L14" s="446">
        <f t="shared" si="6"/>
        <v>2.22</v>
      </c>
      <c r="M14" s="441">
        <f>IF(L14&lt;O14,MinPoints,IF(AND(L14&gt;N14,O14&gt;0),100,+INT(($L14-O14)/P14)+MinPoints))</f>
        <v>10</v>
      </c>
      <c r="N14" s="440">
        <f t="shared" si="7"/>
        <v>4.9</v>
      </c>
      <c r="O14" s="440">
        <f t="shared" si="8"/>
        <v>2.2</v>
      </c>
      <c r="P14" s="440">
        <f t="shared" si="9"/>
        <v>0.03</v>
      </c>
      <c r="Q14">
        <f t="array" ref="Q14">IF(I14&gt;0,INDEX(DB,I14,9),EventIndex)</f>
        <v>6</v>
      </c>
      <c r="S14" s="447">
        <f t="array" ref="S14">INDEX(MINVALUES,$Q14,$K$1)</f>
        <v>2.2</v>
      </c>
      <c r="T14" s="448">
        <f t="array" ref="T14">INDEX(INCVALUES,$Q14,$K$1)</f>
        <v>0.03</v>
      </c>
      <c r="V14">
        <f t="array" ref="V14">+J14+(4*(INDEX(MatchScoreTable,$Q14,20)-1))</f>
        <v>4</v>
      </c>
      <c r="W14" s="442">
        <f t="array" ref="W14">INDEX(INC_MINVALUES,$V14,$K$1)</f>
        <v>0.2</v>
      </c>
      <c r="X14" s="212">
        <f t="array" ref="X14">INDEX(INC_INCVALUES,$V14,$K$1)</f>
        <v>0.02</v>
      </c>
    </row>
    <row r="15">
      <c r="A15" s="435" t="s">
        <v>234</v>
      </c>
      <c r="B15" s="436">
        <v>1.6</v>
      </c>
      <c r="C15" s="95" t="str">
        <f t="array" ref="C15">IF(I15&gt;0,INDEX(DB,I15,8),"")</f>
        <v>Layla Holdway</v>
      </c>
      <c r="D15" s="437">
        <f t="shared" si="1"/>
        <v>10</v>
      </c>
      <c r="F15" s="438">
        <f t="shared" si="2"/>
        <v>1</v>
      </c>
      <c r="G15" t="str">
        <f t="shared" si="3"/>
        <v>CHECK</v>
      </c>
      <c r="H15" t="b">
        <f t="shared" si="4"/>
        <v>1</v>
      </c>
      <c r="I15" s="439">
        <f>IF(OR(ISBLANK(A15),ISNA(MATCH(A15&amp;"",AthleteNumbers,0))),0,MATCH(A15&amp;"",AthleteNumbers,0))</f>
        <v>49</v>
      </c>
      <c r="J15" s="209" t="str">
        <f t="array" ref="J15">IF(I15&gt;0,INDEX(DB,$I15,6),0)</f>
        <v/>
      </c>
      <c r="K15" s="446">
        <f t="shared" si="5"/>
        <v>1.6</v>
      </c>
      <c r="L15" s="446">
        <f t="shared" si="6"/>
        <v>1.6</v>
      </c>
      <c r="M15" s="441">
        <f>IF(L15&lt;O15,MinPoints,IF(AND(L15&gt;N15,O15&gt;0),100,+INT(($L15-O15)/P15)+MinPoints))</f>
        <v>10</v>
      </c>
      <c r="N15" s="440">
        <f t="shared" si="7"/>
        <v>4.9</v>
      </c>
      <c r="O15" s="440">
        <f t="shared" si="8"/>
        <v>2.2</v>
      </c>
      <c r="P15" s="440">
        <f t="shared" si="9"/>
        <v>0.03</v>
      </c>
      <c r="Q15">
        <f t="array" ref="Q15">IF(I15&gt;0,INDEX(DB,I15,9),EventIndex)</f>
        <v>6</v>
      </c>
      <c r="S15" s="447">
        <f t="array" ref="S15">INDEX(MINVALUES,$Q15,$K$1)</f>
        <v>2.2</v>
      </c>
      <c r="T15" s="448">
        <f t="array" ref="T15">INDEX(INCVALUES,$Q15,$K$1)</f>
        <v>0.03</v>
      </c>
      <c r="V15">
        <f t="array" ref="V15">+J15+(4*(INDEX(MatchScoreTable,$Q15,20)-1))</f>
        <v>4</v>
      </c>
      <c r="W15" s="442">
        <f t="array" ref="W15">INDEX(INC_MINVALUES,$V15,$K$1)</f>
        <v>0.2</v>
      </c>
      <c r="X15" s="212">
        <f t="array" ref="X15">INDEX(INC_INCVALUES,$V15,$K$1)</f>
        <v>0.02</v>
      </c>
    </row>
    <row r="16">
      <c r="A16" s="435" t="s">
        <v>236</v>
      </c>
      <c r="B16" s="436">
        <v>2.52</v>
      </c>
      <c r="C16" s="95" t="str">
        <f t="array" ref="C16">IF(I16&gt;0,INDEX(DB,I16,8),"")</f>
        <v>Esmee Hurst Atkins</v>
      </c>
      <c r="D16" s="437">
        <f t="shared" si="1"/>
        <v>20</v>
      </c>
      <c r="F16" s="438">
        <f t="shared" si="2"/>
        <v>1</v>
      </c>
      <c r="G16" t="str">
        <f t="shared" si="3"/>
        <v/>
      </c>
      <c r="H16" t="b">
        <f t="shared" si="4"/>
        <v>1</v>
      </c>
      <c r="I16" s="439">
        <f>IF(OR(ISBLANK(A16),ISNA(MATCH(A16&amp;"",AthleteNumbers,0))),0,MATCH(A16&amp;"",AthleteNumbers,0))</f>
        <v>50</v>
      </c>
      <c r="J16" s="209" t="str">
        <f t="array" ref="J16">IF(I16&gt;0,INDEX(DB,$I16,6),0)</f>
        <v/>
      </c>
      <c r="K16" s="446">
        <f t="shared" si="5"/>
        <v>2.52</v>
      </c>
      <c r="L16" s="446">
        <f t="shared" si="6"/>
        <v>2.52</v>
      </c>
      <c r="M16" s="441">
        <f>IF(L16&lt;O16,MinPoints,IF(AND(L16&gt;N16,O16&gt;0),100,+INT(($L16-O16)/P16)+MinPoints))</f>
        <v>20</v>
      </c>
      <c r="N16" s="440">
        <f t="shared" si="7"/>
        <v>4.9</v>
      </c>
      <c r="O16" s="440">
        <f t="shared" si="8"/>
        <v>2.2</v>
      </c>
      <c r="P16" s="440">
        <f t="shared" si="9"/>
        <v>0.03</v>
      </c>
      <c r="Q16">
        <f t="array" ref="Q16">IF(I16&gt;0,INDEX(DB,I16,9),EventIndex)</f>
        <v>6</v>
      </c>
      <c r="S16" s="447">
        <f t="array" ref="S16">INDEX(MINVALUES,$Q16,$K$1)</f>
        <v>2.2</v>
      </c>
      <c r="T16" s="448">
        <f t="array" ref="T16">INDEX(INCVALUES,$Q16,$K$1)</f>
        <v>0.03</v>
      </c>
      <c r="V16">
        <f t="array" ref="V16">+J16+(4*(INDEX(MatchScoreTable,$Q16,20)-1))</f>
        <v>4</v>
      </c>
      <c r="W16" s="442">
        <f t="array" ref="W16">INDEX(INC_MINVALUES,$V16,$K$1)</f>
        <v>0.2</v>
      </c>
      <c r="X16" s="212">
        <f t="array" ref="X16">INDEX(INC_INCVALUES,$V16,$K$1)</f>
        <v>0.02</v>
      </c>
    </row>
    <row r="17">
      <c r="A17" s="435" t="s">
        <v>238</v>
      </c>
      <c r="B17" s="436">
        <v>2.84</v>
      </c>
      <c r="C17" s="95" t="str">
        <f t="array" ref="C17">IF(I17&gt;0,INDEX(DB,I17,8),"")</f>
        <v>Matilda Hutton</v>
      </c>
      <c r="D17" s="437">
        <f t="shared" si="1"/>
        <v>31</v>
      </c>
      <c r="F17" s="438">
        <f t="shared" si="2"/>
        <v>1</v>
      </c>
      <c r="G17" t="str">
        <f t="shared" si="3"/>
        <v/>
      </c>
      <c r="H17" t="b">
        <f t="shared" si="4"/>
        <v>1</v>
      </c>
      <c r="I17" s="439">
        <f>IF(OR(ISBLANK(A17),ISNA(MATCH(A17&amp;"",AthleteNumbers,0))),0,MATCH(A17&amp;"",AthleteNumbers,0))</f>
        <v>51</v>
      </c>
      <c r="J17" s="209" t="str">
        <f t="array" ref="J17">IF(I17&gt;0,INDEX(DB,$I17,6),0)</f>
        <v/>
      </c>
      <c r="K17" s="446">
        <f t="shared" si="5"/>
        <v>2.84</v>
      </c>
      <c r="L17" s="446">
        <f t="shared" si="6"/>
        <v>2.84</v>
      </c>
      <c r="M17" s="441">
        <f>IF(L17&lt;O17,MinPoints,IF(AND(L17&gt;N17,O17&gt;0),100,+INT(($L17-O17)/P17)+MinPoints))</f>
        <v>31</v>
      </c>
      <c r="N17" s="440">
        <f t="shared" si="7"/>
        <v>4.9</v>
      </c>
      <c r="O17" s="440">
        <f t="shared" si="8"/>
        <v>2.2</v>
      </c>
      <c r="P17" s="440">
        <f t="shared" si="9"/>
        <v>0.03</v>
      </c>
      <c r="Q17">
        <f t="array" ref="Q17">IF(I17&gt;0,INDEX(DB,I17,9),EventIndex)</f>
        <v>6</v>
      </c>
      <c r="S17" s="447">
        <f t="array" ref="S17">INDEX(MINVALUES,$Q17,$K$1)</f>
        <v>2.2</v>
      </c>
      <c r="T17" s="448">
        <f t="array" ref="T17">INDEX(INCVALUES,$Q17,$K$1)</f>
        <v>0.03</v>
      </c>
      <c r="V17">
        <f t="array" ref="V17">+J17+(4*(INDEX(MatchScoreTable,$Q17,20)-1))</f>
        <v>4</v>
      </c>
      <c r="W17" s="442">
        <f t="array" ref="W17">INDEX(INC_MINVALUES,$V17,$K$1)</f>
        <v>0.2</v>
      </c>
      <c r="X17" s="212">
        <f t="array" ref="X17">INDEX(INC_INCVALUES,$V17,$K$1)</f>
        <v>0.02</v>
      </c>
    </row>
    <row r="18">
      <c r="A18" s="435" t="s">
        <v>241</v>
      </c>
      <c r="B18" s="436">
        <v>3.08</v>
      </c>
      <c r="C18" s="95" t="str">
        <f t="array" ref="C18">IF(I18&gt;0,INDEX(DB,I18,8),"")</f>
        <v>Mia Ironside</v>
      </c>
      <c r="D18" s="437">
        <f t="shared" si="1"/>
        <v>39</v>
      </c>
      <c r="F18" s="438">
        <f t="shared" si="2"/>
        <v>1</v>
      </c>
      <c r="G18" t="str">
        <f t="shared" si="3"/>
        <v/>
      </c>
      <c r="H18" t="b">
        <f t="shared" si="4"/>
        <v>1</v>
      </c>
      <c r="I18" s="439">
        <f>IF(OR(ISBLANK(A18),ISNA(MATCH(A18&amp;"",AthleteNumbers,0))),0,MATCH(A18&amp;"",AthleteNumbers,0))</f>
        <v>52</v>
      </c>
      <c r="J18" s="209" t="str">
        <f t="array" ref="J18">IF(I18&gt;0,INDEX(DB,$I18,6),0)</f>
        <v/>
      </c>
      <c r="K18" s="446">
        <f t="shared" si="5"/>
        <v>3.08</v>
      </c>
      <c r="L18" s="446">
        <f t="shared" si="6"/>
        <v>3.08</v>
      </c>
      <c r="M18" s="441">
        <f>IF(L18&lt;O18,MinPoints,IF(AND(L18&gt;N18,O18&gt;0),100,+INT(($L18-O18)/P18)+MinPoints))</f>
        <v>39</v>
      </c>
      <c r="N18" s="440">
        <f t="shared" si="7"/>
        <v>4.9</v>
      </c>
      <c r="O18" s="440">
        <f t="shared" si="8"/>
        <v>2.2</v>
      </c>
      <c r="P18" s="440">
        <f t="shared" si="9"/>
        <v>0.03</v>
      </c>
      <c r="Q18">
        <f t="array" ref="Q18">IF(I18&gt;0,INDEX(DB,I18,9),EventIndex)</f>
        <v>6</v>
      </c>
      <c r="S18" s="447">
        <f t="array" ref="S18">INDEX(MINVALUES,$Q18,$K$1)</f>
        <v>2.2</v>
      </c>
      <c r="T18" s="448">
        <f t="array" ref="T18">INDEX(INCVALUES,$Q18,$K$1)</f>
        <v>0.03</v>
      </c>
      <c r="V18">
        <f t="array" ref="V18">+J18+(4*(INDEX(MatchScoreTable,$Q18,20)-1))</f>
        <v>4</v>
      </c>
      <c r="W18" s="442">
        <f t="array" ref="W18">INDEX(INC_MINVALUES,$V18,$K$1)</f>
        <v>0.2</v>
      </c>
      <c r="X18" s="212">
        <f t="array" ref="X18">INDEX(INC_INCVALUES,$V18,$K$1)</f>
        <v>0.02</v>
      </c>
    </row>
    <row r="19">
      <c r="A19" s="435" t="s">
        <v>243</v>
      </c>
      <c r="B19" s="436">
        <v>2.65</v>
      </c>
      <c r="C19" s="95" t="str">
        <f t="array" ref="C19">IF(I19&gt;0,INDEX(DB,I19,8),"")</f>
        <v>Chloe Johnson</v>
      </c>
      <c r="D19" s="437">
        <f t="shared" si="1"/>
        <v>25</v>
      </c>
      <c r="F19" s="438">
        <f t="shared" si="2"/>
        <v>1</v>
      </c>
      <c r="G19" t="str">
        <f t="shared" si="3"/>
        <v/>
      </c>
      <c r="H19" t="b">
        <f t="shared" si="4"/>
        <v>1</v>
      </c>
      <c r="I19" s="439">
        <f>IF(OR(ISBLANK(A19),ISNA(MATCH(A19&amp;"",AthleteNumbers,0))),0,MATCH(A19&amp;"",AthleteNumbers,0))</f>
        <v>53</v>
      </c>
      <c r="J19" s="209" t="str">
        <f t="array" ref="J19">IF(I19&gt;0,INDEX(DB,$I19,6),0)</f>
        <v/>
      </c>
      <c r="K19" s="446">
        <f t="shared" si="5"/>
        <v>2.65</v>
      </c>
      <c r="L19" s="446">
        <f t="shared" si="6"/>
        <v>2.65</v>
      </c>
      <c r="M19" s="441">
        <f>IF(L19&lt;O19,MinPoints,IF(AND(L19&gt;N19,O19&gt;0),100,+INT(($L19-O19)/P19)+MinPoints))</f>
        <v>25</v>
      </c>
      <c r="N19" s="440">
        <f t="shared" si="7"/>
        <v>4.9</v>
      </c>
      <c r="O19" s="440">
        <f t="shared" si="8"/>
        <v>2.2</v>
      </c>
      <c r="P19" s="440">
        <f t="shared" si="9"/>
        <v>0.03</v>
      </c>
      <c r="Q19">
        <f t="array" ref="Q19">IF(I19&gt;0,INDEX(DB,I19,9),EventIndex)</f>
        <v>6</v>
      </c>
      <c r="S19" s="447">
        <f t="array" ref="S19">INDEX(MINVALUES,$Q19,$K$1)</f>
        <v>2.2</v>
      </c>
      <c r="T19" s="448">
        <f t="array" ref="T19">INDEX(INCVALUES,$Q19,$K$1)</f>
        <v>0.03</v>
      </c>
      <c r="V19">
        <f t="array" ref="V19">+J19+(4*(INDEX(MatchScoreTable,$Q19,20)-1))</f>
        <v>4</v>
      </c>
      <c r="W19" s="442">
        <f t="array" ref="W19">INDEX(INC_MINVALUES,$V19,$K$1)</f>
        <v>0.2</v>
      </c>
      <c r="X19" s="212">
        <f t="array" ref="X19">INDEX(INC_INCVALUES,$V19,$K$1)</f>
        <v>0.02</v>
      </c>
    </row>
    <row r="20">
      <c r="A20" s="435" t="s">
        <v>246</v>
      </c>
      <c r="B20" s="436">
        <v>3.04</v>
      </c>
      <c r="C20" s="95" t="str">
        <f t="array" ref="C20">IF(I20&gt;0,INDEX(DB,I20,8),"")</f>
        <v>Katie Kilburn</v>
      </c>
      <c r="D20" s="437">
        <f t="shared" si="1"/>
        <v>38</v>
      </c>
      <c r="F20" s="438">
        <f t="shared" si="2"/>
        <v>1</v>
      </c>
      <c r="G20" t="str">
        <f t="shared" si="3"/>
        <v/>
      </c>
      <c r="H20" t="b">
        <f t="shared" si="4"/>
        <v>1</v>
      </c>
      <c r="I20" s="439">
        <f>IF(OR(ISBLANK(A20),ISNA(MATCH(A20&amp;"",AthleteNumbers,0))),0,MATCH(A20&amp;"",AthleteNumbers,0))</f>
        <v>54</v>
      </c>
      <c r="J20" s="209" t="str">
        <f t="array" ref="J20">IF(I20&gt;0,INDEX(DB,$I20,6),0)</f>
        <v/>
      </c>
      <c r="K20" s="446">
        <f t="shared" si="5"/>
        <v>3.04</v>
      </c>
      <c r="L20" s="446">
        <f t="shared" si="6"/>
        <v>3.04</v>
      </c>
      <c r="M20" s="441">
        <f>IF(L20&lt;O20,MinPoints,IF(AND(L20&gt;N20,O20&gt;0),100,+INT(($L20-O20)/P20)+MinPoints))</f>
        <v>38</v>
      </c>
      <c r="N20" s="440">
        <f t="shared" si="7"/>
        <v>4.9</v>
      </c>
      <c r="O20" s="440">
        <f t="shared" si="8"/>
        <v>2.2</v>
      </c>
      <c r="P20" s="440">
        <f t="shared" si="9"/>
        <v>0.03</v>
      </c>
      <c r="Q20">
        <f t="array" ref="Q20">IF(I20&gt;0,INDEX(DB,I20,9),EventIndex)</f>
        <v>6</v>
      </c>
      <c r="S20" s="447">
        <f t="array" ref="S20">INDEX(MINVALUES,$Q20,$K$1)</f>
        <v>2.2</v>
      </c>
      <c r="T20" s="448">
        <f t="array" ref="T20">INDEX(INCVALUES,$Q20,$K$1)</f>
        <v>0.03</v>
      </c>
      <c r="V20">
        <f t="array" ref="V20">+J20+(4*(INDEX(MatchScoreTable,$Q20,20)-1))</f>
        <v>4</v>
      </c>
      <c r="W20" s="442">
        <f t="array" ref="W20">INDEX(INC_MINVALUES,$V20,$K$1)</f>
        <v>0.2</v>
      </c>
      <c r="X20" s="212">
        <f t="array" ref="X20">INDEX(INC_INCVALUES,$V20,$K$1)</f>
        <v>0.02</v>
      </c>
    </row>
    <row r="21" ht="15.75" customHeight="1">
      <c r="A21" s="435" t="s">
        <v>248</v>
      </c>
      <c r="B21" s="436">
        <v>2.8</v>
      </c>
      <c r="C21" s="95" t="str">
        <f t="array" ref="C21">IF(I21&gt;0,INDEX(DB,I21,8),"")</f>
        <v>Abigail MacDonald</v>
      </c>
      <c r="D21" s="437">
        <f t="shared" si="1"/>
        <v>30</v>
      </c>
      <c r="F21" s="438">
        <f t="shared" si="2"/>
        <v>1</v>
      </c>
      <c r="G21" t="str">
        <f t="shared" si="3"/>
        <v/>
      </c>
      <c r="H21" t="b">
        <f t="shared" si="4"/>
        <v>1</v>
      </c>
      <c r="I21" s="439">
        <f>IF(OR(ISBLANK(A21),ISNA(MATCH(A21&amp;"",AthleteNumbers,0))),0,MATCH(A21&amp;"",AthleteNumbers,0))</f>
        <v>55</v>
      </c>
      <c r="J21" s="209" t="str">
        <f t="array" ref="J21">IF(I21&gt;0,INDEX(DB,$I21,6),0)</f>
        <v/>
      </c>
      <c r="K21" s="446">
        <f t="shared" si="5"/>
        <v>2.8</v>
      </c>
      <c r="L21" s="446">
        <f t="shared" si="6"/>
        <v>2.8</v>
      </c>
      <c r="M21" s="441">
        <f>IF(L21&lt;O21,MinPoints,IF(AND(L21&gt;N21,O21&gt;0),100,+INT(($L21-O21)/P21)+MinPoints))</f>
        <v>30</v>
      </c>
      <c r="N21" s="440">
        <f t="shared" si="7"/>
        <v>4.9</v>
      </c>
      <c r="O21" s="440">
        <f t="shared" si="8"/>
        <v>2.2</v>
      </c>
      <c r="P21" s="440">
        <f t="shared" si="9"/>
        <v>0.03</v>
      </c>
      <c r="Q21">
        <f t="array" ref="Q21">IF(I21&gt;0,INDEX(DB,I21,9),EventIndex)</f>
        <v>6</v>
      </c>
      <c r="S21" s="447">
        <f t="array" ref="S21">INDEX(MINVALUES,$Q21,$K$1)</f>
        <v>2.2</v>
      </c>
      <c r="T21" s="448">
        <f t="array" ref="T21">INDEX(INCVALUES,$Q21,$K$1)</f>
        <v>0.03</v>
      </c>
      <c r="V21">
        <f t="array" ref="V21">+J21+(4*(INDEX(MatchScoreTable,$Q21,20)-1))</f>
        <v>4</v>
      </c>
      <c r="W21" s="442">
        <f t="array" ref="W21">INDEX(INC_MINVALUES,$V21,$K$1)</f>
        <v>0.2</v>
      </c>
      <c r="X21" s="212">
        <f t="array" ref="X21">INDEX(INC_INCVALUES,$V21,$K$1)</f>
        <v>0.02</v>
      </c>
    </row>
    <row r="22" ht="15.75" customHeight="1">
      <c r="A22" s="435" t="s">
        <v>251</v>
      </c>
      <c r="B22" s="436">
        <v>1.85</v>
      </c>
      <c r="C22" s="95" t="str">
        <f t="array" ref="C22">IF(I22&gt;0,INDEX(DB,I22,8),"")</f>
        <v>Jasmine Mahmoudi</v>
      </c>
      <c r="D22" s="437">
        <f t="shared" si="1"/>
        <v>10</v>
      </c>
      <c r="F22" s="438">
        <f t="shared" si="2"/>
        <v>1</v>
      </c>
      <c r="G22" t="str">
        <f t="shared" si="3"/>
        <v>CHECK</v>
      </c>
      <c r="H22" t="b">
        <f t="shared" si="4"/>
        <v>1</v>
      </c>
      <c r="I22" s="439">
        <f>IF(OR(ISBLANK(A22),ISNA(MATCH(A22&amp;"",AthleteNumbers,0))),0,MATCH(A22&amp;"",AthleteNumbers,0))</f>
        <v>56</v>
      </c>
      <c r="J22" s="209" t="str">
        <f t="array" ref="J22">IF(I22&gt;0,INDEX(DB,$I22,6),0)</f>
        <v/>
      </c>
      <c r="K22" s="446">
        <f t="shared" si="5"/>
        <v>1.85</v>
      </c>
      <c r="L22" s="446">
        <f t="shared" si="6"/>
        <v>1.85</v>
      </c>
      <c r="M22" s="441">
        <f>IF(L22&lt;O22,MinPoints,IF(AND(L22&gt;N22,O22&gt;0),100,+INT(($L22-O22)/P22)+MinPoints))</f>
        <v>10</v>
      </c>
      <c r="N22" s="440">
        <f t="shared" si="7"/>
        <v>4.9</v>
      </c>
      <c r="O22" s="440">
        <f t="shared" si="8"/>
        <v>2.2</v>
      </c>
      <c r="P22" s="440">
        <f t="shared" si="9"/>
        <v>0.03</v>
      </c>
      <c r="Q22">
        <f t="array" ref="Q22">IF(I22&gt;0,INDEX(DB,I22,9),EventIndex)</f>
        <v>6</v>
      </c>
      <c r="S22" s="447">
        <f t="array" ref="S22">INDEX(MINVALUES,$Q22,$K$1)</f>
        <v>2.2</v>
      </c>
      <c r="T22" s="448">
        <f t="array" ref="T22">INDEX(INCVALUES,$Q22,$K$1)</f>
        <v>0.03</v>
      </c>
      <c r="V22">
        <f t="array" ref="V22">+J22+(4*(INDEX(MatchScoreTable,$Q22,20)-1))</f>
        <v>4</v>
      </c>
      <c r="W22" s="442">
        <f t="array" ref="W22">INDEX(INC_MINVALUES,$V22,$K$1)</f>
        <v>0.2</v>
      </c>
      <c r="X22" s="212">
        <f t="array" ref="X22">INDEX(INC_INCVALUES,$V22,$K$1)</f>
        <v>0.02</v>
      </c>
    </row>
    <row r="23" ht="15.75" customHeight="1">
      <c r="A23" s="435" t="s">
        <v>255</v>
      </c>
      <c r="B23" s="436">
        <v>2.63</v>
      </c>
      <c r="C23" s="95" t="str">
        <f t="array" ref="C23">IF(I23&gt;0,INDEX(DB,I23,8),"")</f>
        <v>Myla McNeill</v>
      </c>
      <c r="D23" s="437">
        <f t="shared" si="1"/>
        <v>24</v>
      </c>
      <c r="F23" s="438">
        <f t="shared" si="2"/>
        <v>1</v>
      </c>
      <c r="G23" t="str">
        <f t="shared" si="3"/>
        <v/>
      </c>
      <c r="H23" t="b">
        <f t="shared" si="4"/>
        <v>1</v>
      </c>
      <c r="I23" s="439">
        <f>IF(OR(ISBLANK(A23),ISNA(MATCH(A23&amp;"",AthleteNumbers,0))),0,MATCH(A23&amp;"",AthleteNumbers,0))</f>
        <v>58</v>
      </c>
      <c r="J23" s="209" t="str">
        <f t="array" ref="J23">IF(I23&gt;0,INDEX(DB,$I23,6),0)</f>
        <v/>
      </c>
      <c r="K23" s="446">
        <f t="shared" si="5"/>
        <v>2.63</v>
      </c>
      <c r="L23" s="446">
        <f t="shared" si="6"/>
        <v>2.63</v>
      </c>
      <c r="M23" s="441">
        <f>IF(L23&lt;O23,MinPoints,IF(AND(L23&gt;N23,O23&gt;0),100,+INT(($L23-O23)/P23)+MinPoints))</f>
        <v>24</v>
      </c>
      <c r="N23" s="440">
        <f t="shared" si="7"/>
        <v>4.9</v>
      </c>
      <c r="O23" s="440">
        <f t="shared" si="8"/>
        <v>2.2</v>
      </c>
      <c r="P23" s="440">
        <f t="shared" si="9"/>
        <v>0.03</v>
      </c>
      <c r="Q23">
        <f t="array" ref="Q23">IF(I23&gt;0,INDEX(DB,I23,9),EventIndex)</f>
        <v>6</v>
      </c>
      <c r="S23" s="447">
        <f t="array" ref="S23">INDEX(MINVALUES,$Q23,$K$1)</f>
        <v>2.2</v>
      </c>
      <c r="T23" s="448">
        <f t="array" ref="T23">INDEX(INCVALUES,$Q23,$K$1)</f>
        <v>0.03</v>
      </c>
      <c r="V23">
        <f t="array" ref="V23">+J23+(4*(INDEX(MatchScoreTable,$Q23,20)-1))</f>
        <v>4</v>
      </c>
      <c r="W23" s="442">
        <f t="array" ref="W23">INDEX(INC_MINVALUES,$V23,$K$1)</f>
        <v>0.2</v>
      </c>
      <c r="X23" s="212">
        <f t="array" ref="X23">INDEX(INC_INCVALUES,$V23,$K$1)</f>
        <v>0.02</v>
      </c>
    </row>
    <row r="24" ht="15.75" customHeight="1">
      <c r="A24" s="435" t="s">
        <v>257</v>
      </c>
      <c r="B24" s="436">
        <v>2.15</v>
      </c>
      <c r="C24" s="95" t="str">
        <f t="array" ref="C24">IF(I24&gt;0,INDEX(DB,I24,8),"")</f>
        <v>Albha O'Brien</v>
      </c>
      <c r="D24" s="437">
        <f t="shared" si="1"/>
        <v>10</v>
      </c>
      <c r="F24" s="438">
        <f t="shared" si="2"/>
        <v>1</v>
      </c>
      <c r="G24" t="str">
        <f t="shared" si="3"/>
        <v>CHECK</v>
      </c>
      <c r="H24" t="b">
        <f t="shared" si="4"/>
        <v>1</v>
      </c>
      <c r="I24" s="439">
        <f>IF(OR(ISBLANK(A24),ISNA(MATCH(A24&amp;"",AthleteNumbers,0))),0,MATCH(A24&amp;"",AthleteNumbers,0))</f>
        <v>59</v>
      </c>
      <c r="J24" s="209" t="str">
        <f t="array" ref="J24">IF(I24&gt;0,INDEX(DB,$I24,6),0)</f>
        <v/>
      </c>
      <c r="K24" s="446">
        <f t="shared" si="5"/>
        <v>2.15</v>
      </c>
      <c r="L24" s="446">
        <f t="shared" si="6"/>
        <v>2.15</v>
      </c>
      <c r="M24" s="441">
        <f>IF(L24&lt;O24,MinPoints,IF(AND(L24&gt;N24,O24&gt;0),100,+INT(($L24-O24)/P24)+MinPoints))</f>
        <v>10</v>
      </c>
      <c r="N24" s="440">
        <f t="shared" si="7"/>
        <v>4.9</v>
      </c>
      <c r="O24" s="440">
        <f t="shared" si="8"/>
        <v>2.2</v>
      </c>
      <c r="P24" s="440">
        <f t="shared" si="9"/>
        <v>0.03</v>
      </c>
      <c r="Q24">
        <f t="array" ref="Q24">IF(I24&gt;0,INDEX(DB,I24,9),EventIndex)</f>
        <v>6</v>
      </c>
      <c r="S24" s="447">
        <f t="array" ref="S24">INDEX(MINVALUES,$Q24,$K$1)</f>
        <v>2.2</v>
      </c>
      <c r="T24" s="448">
        <f t="array" ref="T24">INDEX(INCVALUES,$Q24,$K$1)</f>
        <v>0.03</v>
      </c>
      <c r="V24">
        <f t="array" ref="V24">+J24+(4*(INDEX(MatchScoreTable,$Q24,20)-1))</f>
        <v>4</v>
      </c>
      <c r="W24" s="442">
        <f t="array" ref="W24">INDEX(INC_MINVALUES,$V24,$K$1)</f>
        <v>0.2</v>
      </c>
      <c r="X24" s="212">
        <f t="array" ref="X24">INDEX(INC_INCVALUES,$V24,$K$1)</f>
        <v>0.02</v>
      </c>
    </row>
    <row r="25" ht="15.75" customHeight="1">
      <c r="A25" s="435" t="s">
        <v>259</v>
      </c>
      <c r="B25" s="436">
        <v>2.37</v>
      </c>
      <c r="C25" s="95" t="str">
        <f t="array" ref="C25">IF(I25&gt;0,INDEX(DB,I25,8),"")</f>
        <v>Clodagh O'Brien</v>
      </c>
      <c r="D25" s="437">
        <f t="shared" si="1"/>
        <v>15</v>
      </c>
      <c r="F25" s="438">
        <f t="shared" si="2"/>
        <v>1</v>
      </c>
      <c r="G25" t="str">
        <f t="shared" si="3"/>
        <v/>
      </c>
      <c r="H25" t="b">
        <f t="shared" si="4"/>
        <v>1</v>
      </c>
      <c r="I25" s="439">
        <f>IF(OR(ISBLANK(A25),ISNA(MATCH(A25&amp;"",AthleteNumbers,0))),0,MATCH(A25&amp;"",AthleteNumbers,0))</f>
        <v>60</v>
      </c>
      <c r="J25" s="209" t="str">
        <f t="array" ref="J25">IF(I25&gt;0,INDEX(DB,$I25,6),0)</f>
        <v/>
      </c>
      <c r="K25" s="446">
        <f t="shared" si="5"/>
        <v>2.37</v>
      </c>
      <c r="L25" s="446">
        <f t="shared" si="6"/>
        <v>2.37</v>
      </c>
      <c r="M25" s="441">
        <f>IF(L25&lt;O25,MinPoints,IF(AND(L25&gt;N25,O25&gt;0),100,+INT(($L25-O25)/P25)+MinPoints))</f>
        <v>15</v>
      </c>
      <c r="N25" s="440">
        <f t="shared" si="7"/>
        <v>4.9</v>
      </c>
      <c r="O25" s="440">
        <f t="shared" si="8"/>
        <v>2.2</v>
      </c>
      <c r="P25" s="440">
        <f t="shared" si="9"/>
        <v>0.03</v>
      </c>
      <c r="Q25">
        <f t="array" ref="Q25">IF(I25&gt;0,INDEX(DB,I25,9),EventIndex)</f>
        <v>6</v>
      </c>
      <c r="S25" s="447">
        <f t="array" ref="S25">INDEX(MINVALUES,$Q25,$K$1)</f>
        <v>2.2</v>
      </c>
      <c r="T25" s="448">
        <f t="array" ref="T25">INDEX(INCVALUES,$Q25,$K$1)</f>
        <v>0.03</v>
      </c>
      <c r="V25">
        <f t="array" ref="V25">+J25+(4*(INDEX(MatchScoreTable,$Q25,20)-1))</f>
        <v>4</v>
      </c>
      <c r="W25" s="442">
        <f t="array" ref="W25">INDEX(INC_MINVALUES,$V25,$K$1)</f>
        <v>0.2</v>
      </c>
      <c r="X25" s="212">
        <f t="array" ref="X25">INDEX(INC_INCVALUES,$V25,$K$1)</f>
        <v>0.02</v>
      </c>
    </row>
    <row r="26" ht="15.75" customHeight="1">
      <c r="A26" s="435" t="s">
        <v>261</v>
      </c>
      <c r="B26" s="436">
        <v>3.5</v>
      </c>
      <c r="C26" s="95" t="str">
        <f t="array" ref="C26">IF(I26&gt;0,INDEX(DB,I26,8),"")</f>
        <v>Gracie Osman</v>
      </c>
      <c r="D26" s="437">
        <f t="shared" si="1"/>
        <v>53</v>
      </c>
      <c r="F26" s="438">
        <f t="shared" si="2"/>
        <v>1</v>
      </c>
      <c r="G26" t="str">
        <f t="shared" si="3"/>
        <v/>
      </c>
      <c r="H26" t="b">
        <f t="shared" si="4"/>
        <v>1</v>
      </c>
      <c r="I26" s="439">
        <f>IF(OR(ISBLANK(A26),ISNA(MATCH(A26&amp;"",AthleteNumbers,0))),0,MATCH(A26&amp;"",AthleteNumbers,0))</f>
        <v>61</v>
      </c>
      <c r="J26" s="209" t="str">
        <f t="array" ref="J26">IF(I26&gt;0,INDEX(DB,$I26,6),0)</f>
        <v/>
      </c>
      <c r="K26" s="446">
        <f t="shared" si="5"/>
        <v>3.5</v>
      </c>
      <c r="L26" s="446">
        <f t="shared" si="6"/>
        <v>3.5</v>
      </c>
      <c r="M26" s="441">
        <f>IF(L26&lt;O26,MinPoints,IF(AND(L26&gt;N26,O26&gt;0),100,+INT(($L26-O26)/P26)+MinPoints))</f>
        <v>53</v>
      </c>
      <c r="N26" s="440">
        <f t="shared" si="7"/>
        <v>4.9</v>
      </c>
      <c r="O26" s="440">
        <f t="shared" si="8"/>
        <v>2.2</v>
      </c>
      <c r="P26" s="440">
        <f t="shared" si="9"/>
        <v>0.03</v>
      </c>
      <c r="Q26">
        <f t="array" ref="Q26">IF(I26&gt;0,INDEX(DB,I26,9),EventIndex)</f>
        <v>6</v>
      </c>
      <c r="S26" s="447">
        <f t="array" ref="S26">INDEX(MINVALUES,$Q26,$K$1)</f>
        <v>2.2</v>
      </c>
      <c r="T26" s="448">
        <f t="array" ref="T26">INDEX(INCVALUES,$Q26,$K$1)</f>
        <v>0.03</v>
      </c>
      <c r="V26">
        <f t="array" ref="V26">+J26+(4*(INDEX(MatchScoreTable,$Q26,20)-1))</f>
        <v>4</v>
      </c>
      <c r="W26" s="442">
        <f t="array" ref="W26">INDEX(INC_MINVALUES,$V26,$K$1)</f>
        <v>0.2</v>
      </c>
      <c r="X26" s="212">
        <f t="array" ref="X26">INDEX(INC_INCVALUES,$V26,$K$1)</f>
        <v>0.02</v>
      </c>
    </row>
    <row r="27" ht="15.75" customHeight="1">
      <c r="A27" s="435" t="s">
        <v>263</v>
      </c>
      <c r="B27" s="436">
        <v>2.91</v>
      </c>
      <c r="C27" s="95" t="str">
        <f t="array" ref="C27">IF(I27&gt;0,INDEX(DB,I27,8),"")</f>
        <v>Isabelle Saint</v>
      </c>
      <c r="D27" s="437">
        <f t="shared" si="1"/>
        <v>33</v>
      </c>
      <c r="F27" s="438">
        <f t="shared" si="2"/>
        <v>1</v>
      </c>
      <c r="G27" t="str">
        <f t="shared" si="3"/>
        <v/>
      </c>
      <c r="H27" t="b">
        <f t="shared" si="4"/>
        <v>1</v>
      </c>
      <c r="I27" s="439">
        <f>IF(OR(ISBLANK(A27),ISNA(MATCH(A27&amp;"",AthleteNumbers,0))),0,MATCH(A27&amp;"",AthleteNumbers,0))</f>
        <v>62</v>
      </c>
      <c r="J27" s="209" t="str">
        <f t="array" ref="J27">IF(I27&gt;0,INDEX(DB,$I27,6),0)</f>
        <v/>
      </c>
      <c r="K27" s="446">
        <f t="shared" si="5"/>
        <v>2.91</v>
      </c>
      <c r="L27" s="446">
        <f t="shared" si="6"/>
        <v>2.91</v>
      </c>
      <c r="M27" s="441">
        <f>IF(L27&lt;O27,MinPoints,IF(AND(L27&gt;N27,O27&gt;0),100,+INT(($L27-O27)/P27)+MinPoints))</f>
        <v>33</v>
      </c>
      <c r="N27" s="440">
        <f t="shared" si="7"/>
        <v>4.9</v>
      </c>
      <c r="O27" s="440">
        <f t="shared" si="8"/>
        <v>2.2</v>
      </c>
      <c r="P27" s="440">
        <f t="shared" si="9"/>
        <v>0.03</v>
      </c>
      <c r="Q27">
        <f t="array" ref="Q27">IF(I27&gt;0,INDEX(DB,I27,9),EventIndex)</f>
        <v>6</v>
      </c>
      <c r="S27" s="447">
        <f t="array" ref="S27">INDEX(MINVALUES,$Q27,$K$1)</f>
        <v>2.2</v>
      </c>
      <c r="T27" s="448">
        <f t="array" ref="T27">INDEX(INCVALUES,$Q27,$K$1)</f>
        <v>0.03</v>
      </c>
      <c r="V27">
        <f t="array" ref="V27">+J27+(4*(INDEX(MatchScoreTable,$Q27,20)-1))</f>
        <v>4</v>
      </c>
      <c r="W27" s="442">
        <f t="array" ref="W27">INDEX(INC_MINVALUES,$V27,$K$1)</f>
        <v>0.2</v>
      </c>
      <c r="X27" s="212">
        <f t="array" ref="X27">INDEX(INC_INCVALUES,$V27,$K$1)</f>
        <v>0.02</v>
      </c>
    </row>
    <row r="28" ht="15.75" customHeight="1">
      <c r="A28" s="435" t="s">
        <v>265</v>
      </c>
      <c r="B28" s="436">
        <v>3.45</v>
      </c>
      <c r="C28" s="95" t="str">
        <f t="array" ref="C28">IF(I28&gt;0,INDEX(DB,I28,8),"")</f>
        <v>Alexis Seymour</v>
      </c>
      <c r="D28" s="437">
        <f t="shared" si="1"/>
        <v>51</v>
      </c>
      <c r="F28" s="438">
        <f t="shared" si="2"/>
        <v>1</v>
      </c>
      <c r="G28" t="str">
        <f t="shared" si="3"/>
        <v/>
      </c>
      <c r="H28" t="b">
        <f t="shared" si="4"/>
        <v>1</v>
      </c>
      <c r="I28" s="439">
        <f>IF(OR(ISBLANK(A28),ISNA(MATCH(A28&amp;"",AthleteNumbers,0))),0,MATCH(A28&amp;"",AthleteNumbers,0))</f>
        <v>63</v>
      </c>
      <c r="J28" s="209" t="str">
        <f t="array" ref="J28">IF(I28&gt;0,INDEX(DB,$I28,6),0)</f>
        <v/>
      </c>
      <c r="K28" s="446">
        <f t="shared" si="5"/>
        <v>3.45</v>
      </c>
      <c r="L28" s="446">
        <f t="shared" si="6"/>
        <v>3.45</v>
      </c>
      <c r="M28" s="441">
        <f>IF(L28&lt;O28,MinPoints,IF(AND(L28&gt;N28,O28&gt;0),100,+INT(($L28-O28)/P28)+MinPoints))</f>
        <v>51</v>
      </c>
      <c r="N28" s="440">
        <f t="shared" si="7"/>
        <v>4.9</v>
      </c>
      <c r="O28" s="440">
        <f t="shared" si="8"/>
        <v>2.2</v>
      </c>
      <c r="P28" s="440">
        <f t="shared" si="9"/>
        <v>0.03</v>
      </c>
      <c r="Q28">
        <f t="array" ref="Q28">IF(I28&gt;0,INDEX(DB,I28,9),EventIndex)</f>
        <v>6</v>
      </c>
      <c r="S28" s="447">
        <f t="array" ref="S28">INDEX(MINVALUES,$Q28,$K$1)</f>
        <v>2.2</v>
      </c>
      <c r="T28" s="448">
        <f t="array" ref="T28">INDEX(INCVALUES,$Q28,$K$1)</f>
        <v>0.03</v>
      </c>
      <c r="V28">
        <f t="array" ref="V28">+J28+(4*(INDEX(MatchScoreTable,$Q28,20)-1))</f>
        <v>4</v>
      </c>
      <c r="W28" s="442">
        <f t="array" ref="W28">INDEX(INC_MINVALUES,$V28,$K$1)</f>
        <v>0.2</v>
      </c>
      <c r="X28" s="212">
        <f t="array" ref="X28">INDEX(INC_INCVALUES,$V28,$K$1)</f>
        <v>0.02</v>
      </c>
    </row>
    <row r="29" ht="15.75" customHeight="1">
      <c r="A29" s="435" t="s">
        <v>268</v>
      </c>
      <c r="B29" s="436">
        <v>2.84</v>
      </c>
      <c r="C29" s="95" t="str">
        <f t="array" ref="C29">IF(I29&gt;0,INDEX(DB,I29,8),"")</f>
        <v>Clover Smith</v>
      </c>
      <c r="D29" s="437">
        <f t="shared" si="1"/>
        <v>31</v>
      </c>
      <c r="F29" s="438">
        <f t="shared" si="2"/>
        <v>1</v>
      </c>
      <c r="G29" t="str">
        <f t="shared" si="3"/>
        <v/>
      </c>
      <c r="H29" t="b">
        <f t="shared" si="4"/>
        <v>1</v>
      </c>
      <c r="I29" s="439">
        <f>IF(OR(ISBLANK(A29),ISNA(MATCH(A29&amp;"",AthleteNumbers,0))),0,MATCH(A29&amp;"",AthleteNumbers,0))</f>
        <v>64</v>
      </c>
      <c r="J29" s="209" t="str">
        <f t="array" ref="J29">IF(I29&gt;0,INDEX(DB,$I29,6),0)</f>
        <v/>
      </c>
      <c r="K29" s="446">
        <f t="shared" si="5"/>
        <v>2.84</v>
      </c>
      <c r="L29" s="446">
        <f t="shared" si="6"/>
        <v>2.84</v>
      </c>
      <c r="M29" s="441">
        <f>IF(L29&lt;O29,MinPoints,IF(AND(L29&gt;N29,O29&gt;0),100,+INT(($L29-O29)/P29)+MinPoints))</f>
        <v>31</v>
      </c>
      <c r="N29" s="440">
        <f t="shared" si="7"/>
        <v>4.9</v>
      </c>
      <c r="O29" s="440">
        <f t="shared" si="8"/>
        <v>2.2</v>
      </c>
      <c r="P29" s="440">
        <f t="shared" si="9"/>
        <v>0.03</v>
      </c>
      <c r="Q29">
        <f t="array" ref="Q29">IF(I29&gt;0,INDEX(DB,I29,9),EventIndex)</f>
        <v>6</v>
      </c>
      <c r="S29" s="447">
        <f t="array" ref="S29">INDEX(MINVALUES,$Q29,$K$1)</f>
        <v>2.2</v>
      </c>
      <c r="T29" s="448">
        <f t="array" ref="T29">INDEX(INCVALUES,$Q29,$K$1)</f>
        <v>0.03</v>
      </c>
      <c r="V29">
        <f t="array" ref="V29">+J29+(4*(INDEX(MatchScoreTable,$Q29,20)-1))</f>
        <v>4</v>
      </c>
      <c r="W29" s="442">
        <f t="array" ref="W29">INDEX(INC_MINVALUES,$V29,$K$1)</f>
        <v>0.2</v>
      </c>
      <c r="X29" s="212">
        <f t="array" ref="X29">INDEX(INC_INCVALUES,$V29,$K$1)</f>
        <v>0.02</v>
      </c>
    </row>
    <row r="30" ht="15.75" customHeight="1">
      <c r="A30" s="435" t="s">
        <v>270</v>
      </c>
      <c r="B30" s="436">
        <v>2.73</v>
      </c>
      <c r="C30" s="95" t="str">
        <f t="array" ref="C30">IF(I30&gt;0,INDEX(DB,I30,8),"")</f>
        <v>Lucy Smith </v>
      </c>
      <c r="D30" s="437">
        <f t="shared" si="1"/>
        <v>27</v>
      </c>
      <c r="F30" s="438">
        <f t="shared" si="2"/>
        <v>1</v>
      </c>
      <c r="G30" t="str">
        <f t="shared" si="3"/>
        <v/>
      </c>
      <c r="H30" t="b">
        <f t="shared" si="4"/>
        <v>1</v>
      </c>
      <c r="I30" s="439">
        <f>IF(OR(ISBLANK(A30),ISNA(MATCH(A30&amp;"",AthleteNumbers,0))),0,MATCH(A30&amp;"",AthleteNumbers,0))</f>
        <v>65</v>
      </c>
      <c r="J30" s="209" t="str">
        <f t="array" ref="J30">IF(I30&gt;0,INDEX(DB,$I30,6),0)</f>
        <v/>
      </c>
      <c r="K30" s="446">
        <f t="shared" si="5"/>
        <v>2.73</v>
      </c>
      <c r="L30" s="446">
        <f t="shared" si="6"/>
        <v>2.73</v>
      </c>
      <c r="M30" s="441">
        <f>IF(L30&lt;O30,MinPoints,IF(AND(L30&gt;N30,O30&gt;0),100,+INT(($L30-O30)/P30)+MinPoints))</f>
        <v>27</v>
      </c>
      <c r="N30" s="440">
        <f t="shared" si="7"/>
        <v>4.9</v>
      </c>
      <c r="O30" s="440">
        <f t="shared" si="8"/>
        <v>2.2</v>
      </c>
      <c r="P30" s="440">
        <f t="shared" si="9"/>
        <v>0.03</v>
      </c>
      <c r="Q30">
        <f t="array" ref="Q30">IF(I30&gt;0,INDEX(DB,I30,9),EventIndex)</f>
        <v>6</v>
      </c>
      <c r="S30" s="447">
        <f t="array" ref="S30">INDEX(MINVALUES,$Q30,$K$1)</f>
        <v>2.2</v>
      </c>
      <c r="T30" s="448">
        <f t="array" ref="T30">INDEX(INCVALUES,$Q30,$K$1)</f>
        <v>0.03</v>
      </c>
      <c r="V30">
        <f t="array" ref="V30">+J30+(4*(INDEX(MatchScoreTable,$Q30,20)-1))</f>
        <v>4</v>
      </c>
      <c r="W30" s="442">
        <f t="array" ref="W30">INDEX(INC_MINVALUES,$V30,$K$1)</f>
        <v>0.2</v>
      </c>
      <c r="X30" s="212">
        <f t="array" ref="X30">INDEX(INC_INCVALUES,$V30,$K$1)</f>
        <v>0.02</v>
      </c>
    </row>
    <row r="31" ht="15.75" customHeight="1">
      <c r="A31" s="435" t="s">
        <v>273</v>
      </c>
      <c r="B31" s="436">
        <v>3.01</v>
      </c>
      <c r="C31" s="95" t="str">
        <f t="array" ref="C31">IF(I31&gt;0,INDEX(DB,I31,8),"")</f>
        <v>Bethany Smith</v>
      </c>
      <c r="D31" s="437">
        <f t="shared" si="1"/>
        <v>37</v>
      </c>
      <c r="F31" s="438">
        <f t="shared" si="2"/>
        <v>1</v>
      </c>
      <c r="G31" t="str">
        <f t="shared" si="3"/>
        <v/>
      </c>
      <c r="H31" t="b">
        <f t="shared" si="4"/>
        <v>1</v>
      </c>
      <c r="I31" s="439">
        <f>IF(OR(ISBLANK(A31),ISNA(MATCH(A31&amp;"",AthleteNumbers,0))),0,MATCH(A31&amp;"",AthleteNumbers,0))</f>
        <v>66</v>
      </c>
      <c r="J31" s="209" t="str">
        <f t="array" ref="J31">IF(I31&gt;0,INDEX(DB,$I31,6),0)</f>
        <v/>
      </c>
      <c r="K31" s="446">
        <f t="shared" si="5"/>
        <v>3.01</v>
      </c>
      <c r="L31" s="446">
        <f t="shared" si="6"/>
        <v>3.01</v>
      </c>
      <c r="M31" s="441">
        <f>IF(L31&lt;O31,MinPoints,IF(AND(L31&gt;N31,O31&gt;0),100,+INT(($L31-O31)/P31)+MinPoints))</f>
        <v>37</v>
      </c>
      <c r="N31" s="440">
        <f t="shared" si="7"/>
        <v>4.9</v>
      </c>
      <c r="O31" s="440">
        <f t="shared" si="8"/>
        <v>2.2</v>
      </c>
      <c r="P31" s="440">
        <f t="shared" si="9"/>
        <v>0.03</v>
      </c>
      <c r="Q31">
        <f t="array" ref="Q31">IF(I31&gt;0,INDEX(DB,I31,9),EventIndex)</f>
        <v>6</v>
      </c>
      <c r="S31" s="447">
        <f t="array" ref="S31">INDEX(MINVALUES,$Q31,$K$1)</f>
        <v>2.2</v>
      </c>
      <c r="T31" s="448">
        <f t="array" ref="T31">INDEX(INCVALUES,$Q31,$K$1)</f>
        <v>0.03</v>
      </c>
      <c r="V31">
        <f t="array" ref="V31">+J31+(4*(INDEX(MatchScoreTable,$Q31,20)-1))</f>
        <v>4</v>
      </c>
      <c r="W31" s="442">
        <f t="array" ref="W31">INDEX(INC_MINVALUES,$V31,$K$1)</f>
        <v>0.2</v>
      </c>
      <c r="X31" s="212">
        <f t="array" ref="X31">INDEX(INC_INCVALUES,$V31,$K$1)</f>
        <v>0.02</v>
      </c>
    </row>
    <row r="32" ht="15.75" customHeight="1">
      <c r="A32" s="435" t="s">
        <v>279</v>
      </c>
      <c r="B32" s="436">
        <v>2.87</v>
      </c>
      <c r="C32" s="95" t="str">
        <f t="array" ref="C32">IF(I32&gt;0,INDEX(DB,I32,8),"")</f>
        <v>Poppy Taylor</v>
      </c>
      <c r="D32" s="437">
        <f t="shared" si="1"/>
        <v>32</v>
      </c>
      <c r="F32" s="438">
        <f t="shared" si="2"/>
        <v>1</v>
      </c>
      <c r="G32" t="str">
        <f t="shared" si="3"/>
        <v/>
      </c>
      <c r="H32" t="b">
        <f t="shared" si="4"/>
        <v>1</v>
      </c>
      <c r="I32" s="439">
        <f>IF(OR(ISBLANK(A32),ISNA(MATCH(A32&amp;"",AthleteNumbers,0))),0,MATCH(A32&amp;"",AthleteNumbers,0))</f>
        <v>68</v>
      </c>
      <c r="J32" s="209" t="str">
        <f t="array" ref="J32">IF(I32&gt;0,INDEX(DB,$I32,6),0)</f>
        <v/>
      </c>
      <c r="K32" s="446">
        <f t="shared" si="5"/>
        <v>2.87</v>
      </c>
      <c r="L32" s="446">
        <f t="shared" si="6"/>
        <v>2.87</v>
      </c>
      <c r="M32" s="441">
        <f>IF(L32&lt;O32,MinPoints,IF(AND(L32&gt;N32,O32&gt;0),100,+INT(($L32-O32)/P32)+MinPoints))</f>
        <v>32</v>
      </c>
      <c r="N32" s="440">
        <f t="shared" si="7"/>
        <v>4.9</v>
      </c>
      <c r="O32" s="440">
        <f t="shared" si="8"/>
        <v>2.2</v>
      </c>
      <c r="P32" s="440">
        <f t="shared" si="9"/>
        <v>0.03</v>
      </c>
      <c r="Q32">
        <f t="array" ref="Q32">IF(I32&gt;0,INDEX(DB,I32,9),EventIndex)</f>
        <v>6</v>
      </c>
      <c r="S32" s="447">
        <f t="array" ref="S32">INDEX(MINVALUES,$Q32,$K$1)</f>
        <v>2.2</v>
      </c>
      <c r="T32" s="448">
        <f t="array" ref="T32">INDEX(INCVALUES,$Q32,$K$1)</f>
        <v>0.03</v>
      </c>
      <c r="V32">
        <f t="array" ref="V32">+J32+(4*(INDEX(MatchScoreTable,$Q32,20)-1))</f>
        <v>4</v>
      </c>
      <c r="W32" s="442">
        <f t="array" ref="W32">INDEX(INC_MINVALUES,$V32,$K$1)</f>
        <v>0.2</v>
      </c>
      <c r="X32" s="212">
        <f t="array" ref="X32">INDEX(INC_INCVALUES,$V32,$K$1)</f>
        <v>0.02</v>
      </c>
    </row>
    <row r="33" ht="15.75" customHeight="1">
      <c r="A33" s="435" t="s">
        <v>281</v>
      </c>
      <c r="B33" s="436">
        <v>3.01</v>
      </c>
      <c r="C33" s="95" t="str">
        <f t="array" ref="C33">IF(I33&gt;0,INDEX(DB,I33,8),"")</f>
        <v>Chrissie Thomson</v>
      </c>
      <c r="D33" s="437">
        <f t="shared" si="1"/>
        <v>37</v>
      </c>
      <c r="F33" s="438">
        <f t="shared" si="2"/>
        <v>1</v>
      </c>
      <c r="G33" t="str">
        <f t="shared" si="3"/>
        <v/>
      </c>
      <c r="H33" t="b">
        <f t="shared" si="4"/>
        <v>1</v>
      </c>
      <c r="I33" s="439">
        <f>IF(OR(ISBLANK(A33),ISNA(MATCH(A33&amp;"",AthleteNumbers,0))),0,MATCH(A33&amp;"",AthleteNumbers,0))</f>
        <v>69</v>
      </c>
      <c r="J33" s="209" t="str">
        <f t="array" ref="J33">IF(I33&gt;0,INDEX(DB,$I33,6),0)</f>
        <v/>
      </c>
      <c r="K33" s="446">
        <f t="shared" si="5"/>
        <v>3.01</v>
      </c>
      <c r="L33" s="446">
        <f t="shared" si="6"/>
        <v>3.01</v>
      </c>
      <c r="M33" s="441">
        <f>IF(L33&lt;O33,MinPoints,IF(AND(L33&gt;N33,O33&gt;0),100,+INT(($L33-O33)/P33)+MinPoints))</f>
        <v>37</v>
      </c>
      <c r="N33" s="440">
        <f t="shared" si="7"/>
        <v>4.9</v>
      </c>
      <c r="O33" s="440">
        <f t="shared" si="8"/>
        <v>2.2</v>
      </c>
      <c r="P33" s="440">
        <f t="shared" si="9"/>
        <v>0.03</v>
      </c>
      <c r="Q33">
        <f t="array" ref="Q33">IF(I33&gt;0,INDEX(DB,I33,9),EventIndex)</f>
        <v>6</v>
      </c>
      <c r="S33" s="447">
        <f t="array" ref="S33">INDEX(MINVALUES,$Q33,$K$1)</f>
        <v>2.2</v>
      </c>
      <c r="T33" s="448">
        <f t="array" ref="T33">INDEX(INCVALUES,$Q33,$K$1)</f>
        <v>0.03</v>
      </c>
      <c r="V33">
        <f t="array" ref="V33">+J33+(4*(INDEX(MatchScoreTable,$Q33,20)-1))</f>
        <v>4</v>
      </c>
      <c r="W33" s="442">
        <f t="array" ref="W33">INDEX(INC_MINVALUES,$V33,$K$1)</f>
        <v>0.2</v>
      </c>
      <c r="X33" s="212">
        <f t="array" ref="X33">INDEX(INC_INCVALUES,$V33,$K$1)</f>
        <v>0.02</v>
      </c>
    </row>
    <row r="34" ht="15.75" customHeight="1">
      <c r="A34" s="435" t="s">
        <v>283</v>
      </c>
      <c r="B34" s="436">
        <v>1.7</v>
      </c>
      <c r="C34" s="95" t="str">
        <f t="array" ref="C34">IF(I34&gt;0,INDEX(DB,I34,8),"")</f>
        <v>Darcey Thorne Henderson</v>
      </c>
      <c r="D34" s="437">
        <f t="shared" si="1"/>
        <v>10</v>
      </c>
      <c r="F34" s="438">
        <f t="shared" si="2"/>
        <v>1</v>
      </c>
      <c r="G34" t="str">
        <f t="shared" si="3"/>
        <v>CHECK</v>
      </c>
      <c r="H34" t="b">
        <f t="shared" si="4"/>
        <v>1</v>
      </c>
      <c r="I34" s="439">
        <f>IF(OR(ISBLANK(A34),ISNA(MATCH(A34&amp;"",AthleteNumbers,0))),0,MATCH(A34&amp;"",AthleteNumbers,0))</f>
        <v>70</v>
      </c>
      <c r="J34" s="209" t="str">
        <f t="array" ref="J34">IF(I34&gt;0,INDEX(DB,$I34,6),0)</f>
        <v/>
      </c>
      <c r="K34" s="446">
        <f t="shared" si="5"/>
        <v>1.7</v>
      </c>
      <c r="L34" s="446">
        <f t="shared" si="6"/>
        <v>1.7</v>
      </c>
      <c r="M34" s="441">
        <f>IF(L34&lt;O34,MinPoints,IF(AND(L34&gt;N34,O34&gt;0),100,+INT(($L34-O34)/P34)+MinPoints))</f>
        <v>10</v>
      </c>
      <c r="N34" s="440">
        <f t="shared" si="7"/>
        <v>4.9</v>
      </c>
      <c r="O34" s="440">
        <f t="shared" si="8"/>
        <v>2.2</v>
      </c>
      <c r="P34" s="440">
        <f t="shared" si="9"/>
        <v>0.03</v>
      </c>
      <c r="Q34">
        <f t="array" ref="Q34">IF(I34&gt;0,INDEX(DB,I34,9),EventIndex)</f>
        <v>6</v>
      </c>
      <c r="S34" s="447">
        <f t="array" ref="S34">INDEX(MINVALUES,$Q34,$K$1)</f>
        <v>2.2</v>
      </c>
      <c r="T34" s="448">
        <f t="array" ref="T34">INDEX(INCVALUES,$Q34,$K$1)</f>
        <v>0.03</v>
      </c>
      <c r="V34">
        <f t="array" ref="V34">+J34+(4*(INDEX(MatchScoreTable,$Q34,20)-1))</f>
        <v>4</v>
      </c>
      <c r="W34" s="442">
        <f t="array" ref="W34">INDEX(INC_MINVALUES,$V34,$K$1)</f>
        <v>0.2</v>
      </c>
      <c r="X34" s="212">
        <f t="array" ref="X34">INDEX(INC_INCVALUES,$V34,$K$1)</f>
        <v>0.02</v>
      </c>
    </row>
    <row r="35" ht="15.75" customHeight="1">
      <c r="A35" s="435" t="s">
        <v>286</v>
      </c>
      <c r="B35" s="436">
        <v>3.03</v>
      </c>
      <c r="C35" s="95" t="str">
        <f t="array" ref="C35">IF(I35&gt;0,INDEX(DB,I35,8),"")</f>
        <v>Julieana Walsh</v>
      </c>
      <c r="D35" s="437">
        <f t="shared" si="1"/>
        <v>37</v>
      </c>
      <c r="F35" s="438">
        <f t="shared" si="2"/>
        <v>1</v>
      </c>
      <c r="G35" t="str">
        <f t="shared" si="3"/>
        <v/>
      </c>
      <c r="H35" t="b">
        <f t="shared" si="4"/>
        <v>1</v>
      </c>
      <c r="I35" s="439">
        <f>IF(OR(ISBLANK(A35),ISNA(MATCH(A35&amp;"",AthleteNumbers,0))),0,MATCH(A35&amp;"",AthleteNumbers,0))</f>
        <v>71</v>
      </c>
      <c r="J35" s="209" t="str">
        <f t="array" ref="J35">IF(I35&gt;0,INDEX(DB,$I35,6),0)</f>
        <v/>
      </c>
      <c r="K35" s="446">
        <f t="shared" si="5"/>
        <v>3.03</v>
      </c>
      <c r="L35" s="446">
        <f t="shared" si="6"/>
        <v>3.03</v>
      </c>
      <c r="M35" s="441">
        <f>IF(L35&lt;O35,MinPoints,IF(AND(L35&gt;N35,O35&gt;0),100,+INT(($L35-O35)/P35)+MinPoints))</f>
        <v>37</v>
      </c>
      <c r="N35" s="440">
        <f t="shared" si="7"/>
        <v>4.9</v>
      </c>
      <c r="O35" s="440">
        <f t="shared" si="8"/>
        <v>2.2</v>
      </c>
      <c r="P35" s="440">
        <f t="shared" si="9"/>
        <v>0.03</v>
      </c>
      <c r="Q35">
        <f t="array" ref="Q35">IF(I35&gt;0,INDEX(DB,I35,9),EventIndex)</f>
        <v>6</v>
      </c>
      <c r="S35" s="447">
        <f t="array" ref="S35">INDEX(MINVALUES,$Q35,$K$1)</f>
        <v>2.2</v>
      </c>
      <c r="T35" s="448">
        <f t="array" ref="T35">INDEX(INCVALUES,$Q35,$K$1)</f>
        <v>0.03</v>
      </c>
      <c r="V35">
        <f t="array" ref="V35">+J35+(4*(INDEX(MatchScoreTable,$Q35,20)-1))</f>
        <v>4</v>
      </c>
      <c r="W35" s="442">
        <f t="array" ref="W35">INDEX(INC_MINVALUES,$V35,$K$1)</f>
        <v>0.2</v>
      </c>
      <c r="X35" s="212">
        <f t="array" ref="X35">INDEX(INC_INCVALUES,$V35,$K$1)</f>
        <v>0.02</v>
      </c>
    </row>
    <row r="36" ht="15.75" customHeight="1">
      <c r="A36" s="435" t="s">
        <v>290</v>
      </c>
      <c r="B36" s="436">
        <v>2.75</v>
      </c>
      <c r="C36" s="95" t="str">
        <f t="array" ref="C36">IF(I36&gt;0,INDEX(DB,I36,8),"")</f>
        <v>Lavender West</v>
      </c>
      <c r="D36" s="437">
        <f t="shared" si="1"/>
        <v>28</v>
      </c>
      <c r="F36" s="438">
        <f t="shared" si="2"/>
        <v>1</v>
      </c>
      <c r="G36" t="str">
        <f t="shared" si="3"/>
        <v/>
      </c>
      <c r="H36" t="b">
        <f t="shared" si="4"/>
        <v>1</v>
      </c>
      <c r="I36" s="439">
        <f>IF(OR(ISBLANK(A36),ISNA(MATCH(A36&amp;"",AthleteNumbers,0))),0,MATCH(A36&amp;"",AthleteNumbers,0))</f>
        <v>73</v>
      </c>
      <c r="J36" s="209" t="str">
        <f t="array" ref="J36">IF(I36&gt;0,INDEX(DB,$I36,6),0)</f>
        <v/>
      </c>
      <c r="K36" s="446">
        <f t="shared" si="5"/>
        <v>2.75</v>
      </c>
      <c r="L36" s="446">
        <f t="shared" si="6"/>
        <v>2.75</v>
      </c>
      <c r="M36" s="441">
        <f>IF(L36&lt;O36,MinPoints,IF(AND(L36&gt;N36,O36&gt;0),100,+INT(($L36-O36)/P36)+MinPoints))</f>
        <v>28</v>
      </c>
      <c r="N36" s="440">
        <f t="shared" si="7"/>
        <v>4.9</v>
      </c>
      <c r="O36" s="440">
        <f t="shared" si="8"/>
        <v>2.2</v>
      </c>
      <c r="P36" s="440">
        <f t="shared" si="9"/>
        <v>0.03</v>
      </c>
      <c r="Q36">
        <f t="array" ref="Q36">IF(I36&gt;0,INDEX(DB,I36,9),EventIndex)</f>
        <v>6</v>
      </c>
      <c r="S36" s="447">
        <f t="array" ref="S36">INDEX(MINVALUES,$Q36,$K$1)</f>
        <v>2.2</v>
      </c>
      <c r="T36" s="448">
        <f t="array" ref="T36">INDEX(INCVALUES,$Q36,$K$1)</f>
        <v>0.03</v>
      </c>
      <c r="V36">
        <f t="array" ref="V36">+J36+(4*(INDEX(MatchScoreTable,$Q36,20)-1))</f>
        <v>4</v>
      </c>
      <c r="W36" s="442">
        <f t="array" ref="W36">INDEX(INC_MINVALUES,$V36,$K$1)</f>
        <v>0.2</v>
      </c>
      <c r="X36" s="212">
        <f t="array" ref="X36">INDEX(INC_INCVALUES,$V36,$K$1)</f>
        <v>0.02</v>
      </c>
    </row>
    <row r="37" ht="15.75" customHeight="1">
      <c r="A37" s="435" t="s">
        <v>295</v>
      </c>
      <c r="B37" s="436">
        <v>3.15</v>
      </c>
      <c r="C37" s="95" t="str">
        <f t="array" ref="C37">IF(I37&gt;0,INDEX(DB,I37,8),"")</f>
        <v>Shenique Xavier</v>
      </c>
      <c r="D37" s="437">
        <f t="shared" si="1"/>
        <v>41</v>
      </c>
      <c r="F37" s="438">
        <f t="shared" si="2"/>
        <v>1</v>
      </c>
      <c r="G37" t="str">
        <f t="shared" si="3"/>
        <v/>
      </c>
      <c r="H37" t="b">
        <f t="shared" si="4"/>
        <v>1</v>
      </c>
      <c r="I37" s="439">
        <f>IF(OR(ISBLANK(A37),ISNA(MATCH(A37&amp;"",AthleteNumbers,0))),0,MATCH(A37&amp;"",AthleteNumbers,0))</f>
        <v>75</v>
      </c>
      <c r="J37" s="209" t="str">
        <f t="array" ref="J37">IF(I37&gt;0,INDEX(DB,$I37,6),0)</f>
        <v/>
      </c>
      <c r="K37" s="446">
        <f t="shared" si="5"/>
        <v>3.15</v>
      </c>
      <c r="L37" s="446">
        <f t="shared" si="6"/>
        <v>3.15</v>
      </c>
      <c r="M37" s="441">
        <f>IF(L37&lt;O37,MinPoints,IF(AND(L37&gt;N37,O37&gt;0),100,+INT(($L37-O37)/P37)+MinPoints))</f>
        <v>41</v>
      </c>
      <c r="N37" s="440">
        <f t="shared" si="7"/>
        <v>4.9</v>
      </c>
      <c r="O37" s="440">
        <f t="shared" si="8"/>
        <v>2.2</v>
      </c>
      <c r="P37" s="440">
        <f t="shared" si="9"/>
        <v>0.03</v>
      </c>
      <c r="Q37">
        <f t="array" ref="Q37">IF(I37&gt;0,INDEX(DB,I37,9),EventIndex)</f>
        <v>6</v>
      </c>
      <c r="S37" s="447">
        <f t="array" ref="S37">INDEX(MINVALUES,$Q37,$K$1)</f>
        <v>2.2</v>
      </c>
      <c r="T37" s="448">
        <f t="array" ref="T37">INDEX(INCVALUES,$Q37,$K$1)</f>
        <v>0.03</v>
      </c>
      <c r="V37">
        <f t="array" ref="V37">+J37+(4*(INDEX(MatchScoreTable,$Q37,20)-1))</f>
        <v>4</v>
      </c>
      <c r="W37" s="442">
        <f t="array" ref="W37">INDEX(INC_MINVALUES,$V37,$K$1)</f>
        <v>0.2</v>
      </c>
      <c r="X37" s="212">
        <f t="array" ref="X37">INDEX(INC_INCVALUES,$V37,$K$1)</f>
        <v>0.02</v>
      </c>
    </row>
    <row r="38" ht="15.75" customHeight="1">
      <c r="A38" s="435" t="s">
        <v>298</v>
      </c>
      <c r="B38" s="436">
        <v>2.57</v>
      </c>
      <c r="C38" s="95" t="str">
        <f t="array" ref="C38">IF(I38&gt;0,INDEX(DB,I38,8),"")</f>
        <v>Amelie Singletary</v>
      </c>
      <c r="D38" s="437">
        <f t="shared" si="1"/>
        <v>22</v>
      </c>
      <c r="F38" s="438">
        <f t="shared" si="2"/>
        <v>1</v>
      </c>
      <c r="G38" t="str">
        <f t="shared" si="3"/>
        <v/>
      </c>
      <c r="H38" t="b">
        <f t="shared" si="4"/>
        <v>1</v>
      </c>
      <c r="I38" s="439">
        <f>IF(OR(ISBLANK(A38),ISNA(MATCH(A38&amp;"",AthleteNumbers,0))),0,MATCH(A38&amp;"",AthleteNumbers,0))</f>
        <v>76</v>
      </c>
      <c r="J38" s="209" t="str">
        <f t="array" ref="J38">IF(I38&gt;0,INDEX(DB,$I38,6),0)</f>
        <v/>
      </c>
      <c r="K38" s="446">
        <f t="shared" si="5"/>
        <v>2.57</v>
      </c>
      <c r="L38" s="446">
        <f t="shared" si="6"/>
        <v>2.57</v>
      </c>
      <c r="M38" s="441">
        <f>IF(L38&lt;O38,MinPoints,IF(AND(L38&gt;N38,O38&gt;0),100,+INT(($L38-O38)/P38)+MinPoints))</f>
        <v>22</v>
      </c>
      <c r="N38" s="440">
        <f t="shared" si="7"/>
        <v>4.9</v>
      </c>
      <c r="O38" s="440">
        <f t="shared" si="8"/>
        <v>2.2</v>
      </c>
      <c r="P38" s="440">
        <f t="shared" si="9"/>
        <v>0.03</v>
      </c>
      <c r="Q38">
        <f t="array" ref="Q38">IF(I38&gt;0,INDEX(DB,I38,9),EventIndex)</f>
        <v>6</v>
      </c>
      <c r="S38" s="447">
        <f t="array" ref="S38">INDEX(MINVALUES,$Q38,$K$1)</f>
        <v>2.2</v>
      </c>
      <c r="T38" s="448">
        <f t="array" ref="T38">INDEX(INCVALUES,$Q38,$K$1)</f>
        <v>0.03</v>
      </c>
      <c r="V38">
        <f t="array" ref="V38">+J38+(4*(INDEX(MatchScoreTable,$Q38,20)-1))</f>
        <v>4</v>
      </c>
      <c r="W38" s="442">
        <f t="array" ref="W38">INDEX(INC_MINVALUES,$V38,$K$1)</f>
        <v>0.2</v>
      </c>
      <c r="X38" s="212">
        <f t="array" ref="X38">INDEX(INC_INCVALUES,$V38,$K$1)</f>
        <v>0.02</v>
      </c>
    </row>
    <row r="39" ht="15.75" customHeight="1">
      <c r="A39" s="435" t="s">
        <v>301</v>
      </c>
      <c r="B39" s="436">
        <v>3.06</v>
      </c>
      <c r="C39" s="95" t="str">
        <f t="array" ref="C39">IF(I39&gt;0,INDEX(DB,I39,8),"")</f>
        <v>Lilia Flux</v>
      </c>
      <c r="D39" s="437">
        <f t="shared" si="1"/>
        <v>38</v>
      </c>
      <c r="F39" s="438">
        <f t="shared" si="2"/>
        <v>1</v>
      </c>
      <c r="G39" t="str">
        <f t="shared" si="3"/>
        <v/>
      </c>
      <c r="H39" t="b">
        <f t="shared" si="4"/>
        <v>1</v>
      </c>
      <c r="I39" s="439">
        <f>IF(OR(ISBLANK(A39),ISNA(MATCH(A39&amp;"",AthleteNumbers,0))),0,MATCH(A39&amp;"",AthleteNumbers,0))</f>
        <v>77</v>
      </c>
      <c r="J39" s="209" t="str">
        <f t="array" ref="J39">IF(I39&gt;0,INDEX(DB,$I39,6),0)</f>
        <v/>
      </c>
      <c r="K39" s="446">
        <f t="shared" si="5"/>
        <v>3.06</v>
      </c>
      <c r="L39" s="446">
        <f t="shared" si="6"/>
        <v>3.06</v>
      </c>
      <c r="M39" s="441">
        <f>IF(L39&lt;O39,MinPoints,IF(AND(L39&gt;N39,O39&gt;0),100,+INT(($L39-O39)/P39)+MinPoints))</f>
        <v>38</v>
      </c>
      <c r="N39" s="440">
        <f t="shared" si="7"/>
        <v>4.9</v>
      </c>
      <c r="O39" s="440">
        <f t="shared" si="8"/>
        <v>2.2</v>
      </c>
      <c r="P39" s="440">
        <f t="shared" si="9"/>
        <v>0.03</v>
      </c>
      <c r="Q39">
        <f t="array" ref="Q39">IF(I39&gt;0,INDEX(DB,I39,9),EventIndex)</f>
        <v>6</v>
      </c>
      <c r="S39" s="447">
        <f t="array" ref="S39">INDEX(MINVALUES,$Q39,$K$1)</f>
        <v>2.2</v>
      </c>
      <c r="T39" s="448">
        <f t="array" ref="T39">INDEX(INCVALUES,$Q39,$K$1)</f>
        <v>0.03</v>
      </c>
      <c r="V39">
        <f t="array" ref="V39">+J39+(4*(INDEX(MatchScoreTable,$Q39,20)-1))</f>
        <v>4</v>
      </c>
      <c r="W39" s="442">
        <f t="array" ref="W39">INDEX(INC_MINVALUES,$V39,$K$1)</f>
        <v>0.2</v>
      </c>
      <c r="X39" s="212">
        <f t="array" ref="X39">INDEX(INC_INCVALUES,$V39,$K$1)</f>
        <v>0.02</v>
      </c>
    </row>
    <row r="40" ht="15.75" customHeight="1">
      <c r="A40" s="435" t="s">
        <v>121</v>
      </c>
      <c r="B40" s="436">
        <v>2.39</v>
      </c>
      <c r="C40" s="95" t="str">
        <f t="array" ref="C40">IF(I40&gt;0,INDEX(DB,I40,8),"")</f>
        <v>Harry Adams</v>
      </c>
      <c r="D40" s="437">
        <f t="shared" si="1"/>
        <v>16</v>
      </c>
      <c r="F40" s="438">
        <f t="shared" si="2"/>
        <v>1</v>
      </c>
      <c r="G40" t="str">
        <f t="shared" si="3"/>
        <v/>
      </c>
      <c r="H40" t="b">
        <f t="shared" si="4"/>
        <v>1</v>
      </c>
      <c r="I40" s="439">
        <f>IF(OR(ISBLANK(A40),ISNA(MATCH(A40&amp;"",AthleteNumbers,0))),0,MATCH(A40&amp;"",AthleteNumbers,0))</f>
        <v>1</v>
      </c>
      <c r="J40" s="209" t="str">
        <f t="array" ref="J40">IF(I40&gt;0,INDEX(DB,$I40,6),0)</f>
        <v/>
      </c>
      <c r="K40" s="446">
        <f t="shared" si="5"/>
        <v>2.39</v>
      </c>
      <c r="L40" s="446">
        <f t="shared" si="6"/>
        <v>2.39</v>
      </c>
      <c r="M40" s="441">
        <f>IF(L40&lt;O40,MinPoints,IF(AND(L40&gt;N40,O40&gt;0),100,+INT(($L40-O40)/P40)+MinPoints))</f>
        <v>16</v>
      </c>
      <c r="N40" s="440">
        <f t="shared" si="7"/>
        <v>4.9</v>
      </c>
      <c r="O40" s="440">
        <f t="shared" si="8"/>
        <v>2.2</v>
      </c>
      <c r="P40" s="440">
        <f t="shared" si="9"/>
        <v>0.03</v>
      </c>
      <c r="Q40">
        <f t="array" ref="Q40">IF(I40&gt;0,INDEX(DB,I40,9),EventIndex)</f>
        <v>6</v>
      </c>
      <c r="S40" s="447">
        <f t="array" ref="S40">INDEX(MINVALUES,$Q40,$K$1)</f>
        <v>2.2</v>
      </c>
      <c r="T40" s="448">
        <f t="array" ref="T40">INDEX(INCVALUES,$Q40,$K$1)</f>
        <v>0.03</v>
      </c>
      <c r="V40">
        <f t="array" ref="V40">+J40+(4*(INDEX(MatchScoreTable,$Q40,20)-1))</f>
        <v>4</v>
      </c>
      <c r="W40" s="442">
        <f t="array" ref="W40">INDEX(INC_MINVALUES,$V40,$K$1)</f>
        <v>0.2</v>
      </c>
      <c r="X40" s="212">
        <f t="array" ref="X40">INDEX(INC_INCVALUES,$V40,$K$1)</f>
        <v>0.02</v>
      </c>
    </row>
    <row r="41" ht="15.75" customHeight="1">
      <c r="A41" s="435" t="s">
        <v>125</v>
      </c>
      <c r="B41" s="436">
        <v>2.96</v>
      </c>
      <c r="C41" s="95" t="str">
        <f t="array" ref="C41">IF(I41&gt;0,INDEX(DB,I41,8),"")</f>
        <v>Connor Bailey-Pierce</v>
      </c>
      <c r="D41" s="437">
        <f t="shared" si="1"/>
        <v>35</v>
      </c>
      <c r="F41" s="438">
        <f t="shared" si="2"/>
        <v>1</v>
      </c>
      <c r="G41" t="str">
        <f t="shared" si="3"/>
        <v/>
      </c>
      <c r="H41" t="b">
        <f t="shared" si="4"/>
        <v>1</v>
      </c>
      <c r="I41" s="439">
        <f>IF(OR(ISBLANK(A41),ISNA(MATCH(A41&amp;"",AthleteNumbers,0))),0,MATCH(A41&amp;"",AthleteNumbers,0))</f>
        <v>2</v>
      </c>
      <c r="J41" s="209" t="str">
        <f t="array" ref="J41">IF(I41&gt;0,INDEX(DB,$I41,6),0)</f>
        <v/>
      </c>
      <c r="K41" s="446">
        <f t="shared" si="5"/>
        <v>2.96</v>
      </c>
      <c r="L41" s="446">
        <f t="shared" si="6"/>
        <v>2.96</v>
      </c>
      <c r="M41" s="441">
        <f>IF(L41&lt;O41,MinPoints,IF(AND(L41&gt;N41,O41&gt;0),100,+INT(($L41-O41)/P41)+MinPoints))</f>
        <v>35</v>
      </c>
      <c r="N41" s="440">
        <f t="shared" si="7"/>
        <v>4.9</v>
      </c>
      <c r="O41" s="440">
        <f t="shared" si="8"/>
        <v>2.2</v>
      </c>
      <c r="P41" s="440">
        <f t="shared" si="9"/>
        <v>0.03</v>
      </c>
      <c r="Q41">
        <f t="array" ref="Q41">IF(I41&gt;0,INDEX(DB,I41,9),EventIndex)</f>
        <v>6</v>
      </c>
      <c r="S41" s="447">
        <f t="array" ref="S41">INDEX(MINVALUES,$Q41,$K$1)</f>
        <v>2.2</v>
      </c>
      <c r="T41" s="448">
        <f t="array" ref="T41">INDEX(INCVALUES,$Q41,$K$1)</f>
        <v>0.03</v>
      </c>
      <c r="V41">
        <f t="array" ref="V41">+J41+(4*(INDEX(MatchScoreTable,$Q41,20)-1))</f>
        <v>4</v>
      </c>
      <c r="W41" s="442">
        <f t="array" ref="W41">INDEX(INC_MINVALUES,$V41,$K$1)</f>
        <v>0.2</v>
      </c>
      <c r="X41" s="212">
        <f t="array" ref="X41">INDEX(INC_INCVALUES,$V41,$K$1)</f>
        <v>0.02</v>
      </c>
    </row>
    <row r="42" ht="15.75" customHeight="1">
      <c r="A42" s="435" t="s">
        <v>128</v>
      </c>
      <c r="B42" s="436">
        <v>3.13</v>
      </c>
      <c r="C42" s="95" t="str">
        <f t="array" ref="C42">IF(I42&gt;0,INDEX(DB,I42,8),"")</f>
        <v>Elouan Biwole</v>
      </c>
      <c r="D42" s="437">
        <f t="shared" si="1"/>
        <v>41</v>
      </c>
      <c r="F42" s="438">
        <f t="shared" si="2"/>
        <v>1</v>
      </c>
      <c r="G42" t="str">
        <f t="shared" si="3"/>
        <v/>
      </c>
      <c r="H42" t="b">
        <f t="shared" si="4"/>
        <v>1</v>
      </c>
      <c r="I42" s="439">
        <f>IF(OR(ISBLANK(A42),ISNA(MATCH(A42&amp;"",AthleteNumbers,0))),0,MATCH(A42&amp;"",AthleteNumbers,0))</f>
        <v>3</v>
      </c>
      <c r="J42" s="209" t="str">
        <f t="array" ref="J42">IF(I42&gt;0,INDEX(DB,$I42,6),0)</f>
        <v/>
      </c>
      <c r="K42" s="446">
        <f t="shared" si="5"/>
        <v>3.13</v>
      </c>
      <c r="L42" s="446">
        <f t="shared" si="6"/>
        <v>3.13</v>
      </c>
      <c r="M42" s="441">
        <f>IF(L42&lt;O42,MinPoints,IF(AND(L42&gt;N42,O42&gt;0),100,+INT(($L42-O42)/P42)+MinPoints))</f>
        <v>41</v>
      </c>
      <c r="N42" s="440">
        <f t="shared" si="7"/>
        <v>4.9</v>
      </c>
      <c r="O42" s="440">
        <f t="shared" si="8"/>
        <v>2.2</v>
      </c>
      <c r="P42" s="440">
        <f t="shared" si="9"/>
        <v>0.03</v>
      </c>
      <c r="Q42">
        <f t="array" ref="Q42">IF(I42&gt;0,INDEX(DB,I42,9),EventIndex)</f>
        <v>6</v>
      </c>
      <c r="S42" s="447">
        <f t="array" ref="S42">INDEX(MINVALUES,$Q42,$K$1)</f>
        <v>2.2</v>
      </c>
      <c r="T42" s="448">
        <f t="array" ref="T42">INDEX(INCVALUES,$Q42,$K$1)</f>
        <v>0.03</v>
      </c>
      <c r="V42">
        <f t="array" ref="V42">+J42+(4*(INDEX(MatchScoreTable,$Q42,20)-1))</f>
        <v>4</v>
      </c>
      <c r="W42" s="442">
        <f t="array" ref="W42">INDEX(INC_MINVALUES,$V42,$K$1)</f>
        <v>0.2</v>
      </c>
      <c r="X42" s="212">
        <f t="array" ref="X42">INDEX(INC_INCVALUES,$V42,$K$1)</f>
        <v>0.02</v>
      </c>
    </row>
    <row r="43" ht="15.75" customHeight="1">
      <c r="A43" s="435" t="s">
        <v>132</v>
      </c>
      <c r="B43" s="436">
        <v>3.23</v>
      </c>
      <c r="C43" s="95" t="str">
        <f t="array" ref="C43">IF(I43&gt;0,INDEX(DB,I43,8),"")</f>
        <v>Felix Bowyer</v>
      </c>
      <c r="D43" s="437">
        <f t="shared" si="1"/>
        <v>44</v>
      </c>
      <c r="F43" s="438">
        <f t="shared" si="2"/>
        <v>1</v>
      </c>
      <c r="G43" t="str">
        <f t="shared" si="3"/>
        <v/>
      </c>
      <c r="H43" t="b">
        <f t="shared" si="4"/>
        <v>1</v>
      </c>
      <c r="I43" s="439">
        <f>IF(OR(ISBLANK(A43),ISNA(MATCH(A43&amp;"",AthleteNumbers,0))),0,MATCH(A43&amp;"",AthleteNumbers,0))</f>
        <v>4</v>
      </c>
      <c r="J43" s="209" t="str">
        <f t="array" ref="J43">IF(I43&gt;0,INDEX(DB,$I43,6),0)</f>
        <v/>
      </c>
      <c r="K43" s="446">
        <f t="shared" si="5"/>
        <v>3.23</v>
      </c>
      <c r="L43" s="446">
        <f t="shared" si="6"/>
        <v>3.23</v>
      </c>
      <c r="M43" s="441">
        <f>IF(L43&lt;O43,MinPoints,IF(AND(L43&gt;N43,O43&gt;0),100,+INT(($L43-O43)/P43)+MinPoints))</f>
        <v>44</v>
      </c>
      <c r="N43" s="440">
        <f t="shared" si="7"/>
        <v>4.9</v>
      </c>
      <c r="O43" s="440">
        <f t="shared" si="8"/>
        <v>2.2</v>
      </c>
      <c r="P43" s="440">
        <f t="shared" si="9"/>
        <v>0.03</v>
      </c>
      <c r="Q43">
        <f t="array" ref="Q43">IF(I43&gt;0,INDEX(DB,I43,9),EventIndex)</f>
        <v>6</v>
      </c>
      <c r="S43" s="447">
        <f t="array" ref="S43">INDEX(MINVALUES,$Q43,$K$1)</f>
        <v>2.2</v>
      </c>
      <c r="T43" s="448">
        <f t="array" ref="T43">INDEX(INCVALUES,$Q43,$K$1)</f>
        <v>0.03</v>
      </c>
      <c r="V43">
        <f t="array" ref="V43">+J43+(4*(INDEX(MatchScoreTable,$Q43,20)-1))</f>
        <v>4</v>
      </c>
      <c r="W43" s="442">
        <f t="array" ref="W43">INDEX(INC_MINVALUES,$V43,$K$1)</f>
        <v>0.2</v>
      </c>
      <c r="X43" s="212">
        <f t="array" ref="X43">INDEX(INC_INCVALUES,$V43,$K$1)</f>
        <v>0.02</v>
      </c>
    </row>
    <row r="44" ht="15.75" customHeight="1">
      <c r="A44" s="435" t="s">
        <v>134</v>
      </c>
      <c r="B44" s="436">
        <v>2.63</v>
      </c>
      <c r="C44" s="95" t="str">
        <f t="array" ref="C44">IF(I44&gt;0,INDEX(DB,I44,8),"")</f>
        <v>Finlay Carvell</v>
      </c>
      <c r="D44" s="437">
        <f t="shared" si="1"/>
        <v>24</v>
      </c>
      <c r="F44" s="438">
        <f t="shared" si="2"/>
        <v>1</v>
      </c>
      <c r="G44" t="str">
        <f t="shared" si="3"/>
        <v/>
      </c>
      <c r="H44" t="b">
        <f t="shared" si="4"/>
        <v>1</v>
      </c>
      <c r="I44" s="439">
        <f>IF(OR(ISBLANK(A44),ISNA(MATCH(A44&amp;"",AthleteNumbers,0))),0,MATCH(A44&amp;"",AthleteNumbers,0))</f>
        <v>5</v>
      </c>
      <c r="J44" s="209" t="str">
        <f t="array" ref="J44">IF(I44&gt;0,INDEX(DB,$I44,6),0)</f>
        <v/>
      </c>
      <c r="K44" s="446">
        <f t="shared" si="5"/>
        <v>2.63</v>
      </c>
      <c r="L44" s="446">
        <f t="shared" si="6"/>
        <v>2.63</v>
      </c>
      <c r="M44" s="441">
        <f>IF(L44&lt;O44,MinPoints,IF(AND(L44&gt;N44,O44&gt;0),100,+INT(($L44-O44)/P44)+MinPoints))</f>
        <v>24</v>
      </c>
      <c r="N44" s="440">
        <f t="shared" si="7"/>
        <v>4.9</v>
      </c>
      <c r="O44" s="440">
        <f t="shared" si="8"/>
        <v>2.2</v>
      </c>
      <c r="P44" s="440">
        <f t="shared" si="9"/>
        <v>0.03</v>
      </c>
      <c r="Q44">
        <f t="array" ref="Q44">IF(I44&gt;0,INDEX(DB,I44,9),EventIndex)</f>
        <v>6</v>
      </c>
      <c r="S44" s="447">
        <f t="array" ref="S44">INDEX(MINVALUES,$Q44,$K$1)</f>
        <v>2.2</v>
      </c>
      <c r="T44" s="448">
        <f t="array" ref="T44">INDEX(INCVALUES,$Q44,$K$1)</f>
        <v>0.03</v>
      </c>
      <c r="V44">
        <f t="array" ref="V44">+J44+(4*(INDEX(MatchScoreTable,$Q44,20)-1))</f>
        <v>4</v>
      </c>
      <c r="W44" s="442">
        <f t="array" ref="W44">INDEX(INC_MINVALUES,$V44,$K$1)</f>
        <v>0.2</v>
      </c>
      <c r="X44" s="212">
        <f t="array" ref="X44">INDEX(INC_INCVALUES,$V44,$K$1)</f>
        <v>0.02</v>
      </c>
    </row>
    <row r="45" ht="15.75" customHeight="1">
      <c r="A45" s="435" t="s">
        <v>137</v>
      </c>
      <c r="B45" s="436">
        <v>2.61</v>
      </c>
      <c r="C45" s="95" t="str">
        <f t="array" ref="C45">IF(I45&gt;0,INDEX(DB,I45,8),"")</f>
        <v>Sam Coltman</v>
      </c>
      <c r="D45" s="437">
        <f t="shared" si="1"/>
        <v>23</v>
      </c>
      <c r="F45" s="438">
        <f t="shared" si="2"/>
        <v>1</v>
      </c>
      <c r="G45" t="str">
        <f t="shared" si="3"/>
        <v/>
      </c>
      <c r="H45" t="b">
        <f t="shared" si="4"/>
        <v>1</v>
      </c>
      <c r="I45" s="439">
        <f>IF(OR(ISBLANK(A45),ISNA(MATCH(A45&amp;"",AthleteNumbers,0))),0,MATCH(A45&amp;"",AthleteNumbers,0))</f>
        <v>6</v>
      </c>
      <c r="J45" s="209" t="str">
        <f t="array" ref="J45">IF(I45&gt;0,INDEX(DB,$I45,6),0)</f>
        <v/>
      </c>
      <c r="K45" s="446">
        <f t="shared" si="5"/>
        <v>2.61</v>
      </c>
      <c r="L45" s="446">
        <f t="shared" si="6"/>
        <v>2.61</v>
      </c>
      <c r="M45" s="441">
        <f>IF(L45&lt;O45,MinPoints,IF(AND(L45&gt;N45,O45&gt;0),100,+INT(($L45-O45)/P45)+MinPoints))</f>
        <v>23</v>
      </c>
      <c r="N45" s="440">
        <f t="shared" si="7"/>
        <v>4.9</v>
      </c>
      <c r="O45" s="440">
        <f t="shared" si="8"/>
        <v>2.2</v>
      </c>
      <c r="P45" s="440">
        <f t="shared" si="9"/>
        <v>0.03</v>
      </c>
      <c r="Q45">
        <f t="array" ref="Q45">IF(I45&gt;0,INDEX(DB,I45,9),EventIndex)</f>
        <v>6</v>
      </c>
      <c r="S45" s="447">
        <f t="array" ref="S45">INDEX(MINVALUES,$Q45,$K$1)</f>
        <v>2.2</v>
      </c>
      <c r="T45" s="448">
        <f t="array" ref="T45">INDEX(INCVALUES,$Q45,$K$1)</f>
        <v>0.03</v>
      </c>
      <c r="V45">
        <f t="array" ref="V45">+J45+(4*(INDEX(MatchScoreTable,$Q45,20)-1))</f>
        <v>4</v>
      </c>
      <c r="W45" s="442">
        <f t="array" ref="W45">INDEX(INC_MINVALUES,$V45,$K$1)</f>
        <v>0.2</v>
      </c>
      <c r="X45" s="212">
        <f t="array" ref="X45">INDEX(INC_INCVALUES,$V45,$K$1)</f>
        <v>0.02</v>
      </c>
    </row>
    <row r="46" ht="15.75" customHeight="1">
      <c r="A46" s="435" t="s">
        <v>140</v>
      </c>
      <c r="B46" s="436">
        <v>2.9</v>
      </c>
      <c r="C46" s="95" t="str">
        <f t="array" ref="C46">IF(I46&gt;0,INDEX(DB,I46,8),"")</f>
        <v>Ethan Crowley</v>
      </c>
      <c r="D46" s="437">
        <f t="shared" si="1"/>
        <v>33</v>
      </c>
      <c r="F46" s="438">
        <f t="shared" si="2"/>
        <v>1</v>
      </c>
      <c r="G46" t="str">
        <f t="shared" si="3"/>
        <v/>
      </c>
      <c r="H46" t="b">
        <f t="shared" si="4"/>
        <v>1</v>
      </c>
      <c r="I46" s="439">
        <f>IF(OR(ISBLANK(A46),ISNA(MATCH(A46&amp;"",AthleteNumbers,0))),0,MATCH(A46&amp;"",AthleteNumbers,0))</f>
        <v>7</v>
      </c>
      <c r="J46" s="209" t="str">
        <f t="array" ref="J46">IF(I46&gt;0,INDEX(DB,$I46,6),0)</f>
        <v/>
      </c>
      <c r="K46" s="446">
        <f t="shared" si="5"/>
        <v>2.9</v>
      </c>
      <c r="L46" s="446">
        <f t="shared" si="6"/>
        <v>2.9</v>
      </c>
      <c r="M46" s="441">
        <f>IF(L46&lt;O46,MinPoints,IF(AND(L46&gt;N46,O46&gt;0),100,+INT(($L46-O46)/P46)+MinPoints))</f>
        <v>33</v>
      </c>
      <c r="N46" s="440">
        <f t="shared" si="7"/>
        <v>4.9</v>
      </c>
      <c r="O46" s="440">
        <f t="shared" si="8"/>
        <v>2.2</v>
      </c>
      <c r="P46" s="440">
        <f t="shared" si="9"/>
        <v>0.03</v>
      </c>
      <c r="Q46">
        <f t="array" ref="Q46">IF(I46&gt;0,INDEX(DB,I46,9),EventIndex)</f>
        <v>6</v>
      </c>
      <c r="S46" s="447">
        <f t="array" ref="S46">INDEX(MINVALUES,$Q46,$K$1)</f>
        <v>2.2</v>
      </c>
      <c r="T46" s="448">
        <f t="array" ref="T46">INDEX(INCVALUES,$Q46,$K$1)</f>
        <v>0.03</v>
      </c>
      <c r="V46">
        <f t="array" ref="V46">+J46+(4*(INDEX(MatchScoreTable,$Q46,20)-1))</f>
        <v>4</v>
      </c>
      <c r="W46" s="442">
        <f t="array" ref="W46">INDEX(INC_MINVALUES,$V46,$K$1)</f>
        <v>0.2</v>
      </c>
      <c r="X46" s="212">
        <f t="array" ref="X46">INDEX(INC_INCVALUES,$V46,$K$1)</f>
        <v>0.02</v>
      </c>
    </row>
    <row r="47" ht="15.75" customHeight="1">
      <c r="A47" s="435" t="s">
        <v>142</v>
      </c>
      <c r="B47" s="436">
        <v>3.5</v>
      </c>
      <c r="C47" s="95" t="str">
        <f t="array" ref="C47">IF(I47&gt;0,INDEX(DB,I47,8),"")</f>
        <v>Alfie Curtis</v>
      </c>
      <c r="D47" s="437">
        <f t="shared" si="1"/>
        <v>53</v>
      </c>
      <c r="F47" s="438">
        <f t="shared" si="2"/>
        <v>1</v>
      </c>
      <c r="G47" t="str">
        <f t="shared" si="3"/>
        <v/>
      </c>
      <c r="H47" t="b">
        <f t="shared" si="4"/>
        <v>1</v>
      </c>
      <c r="I47" s="439">
        <f>IF(OR(ISBLANK(A47),ISNA(MATCH(A47&amp;"",AthleteNumbers,0))),0,MATCH(A47&amp;"",AthleteNumbers,0))</f>
        <v>8</v>
      </c>
      <c r="J47" s="209" t="str">
        <f t="array" ref="J47">IF(I47&gt;0,INDEX(DB,$I47,6),0)</f>
        <v/>
      </c>
      <c r="K47" s="446">
        <f t="shared" si="5"/>
        <v>3.5</v>
      </c>
      <c r="L47" s="446">
        <f t="shared" si="6"/>
        <v>3.5</v>
      </c>
      <c r="M47" s="441">
        <f>IF(L47&lt;O47,MinPoints,IF(AND(L47&gt;N47,O47&gt;0),100,+INT(($L47-O47)/P47)+MinPoints))</f>
        <v>53</v>
      </c>
      <c r="N47" s="440">
        <f t="shared" si="7"/>
        <v>4.9</v>
      </c>
      <c r="O47" s="440">
        <f t="shared" si="8"/>
        <v>2.2</v>
      </c>
      <c r="P47" s="440">
        <f t="shared" si="9"/>
        <v>0.03</v>
      </c>
      <c r="Q47">
        <f t="array" ref="Q47">IF(I47&gt;0,INDEX(DB,I47,9),EventIndex)</f>
        <v>6</v>
      </c>
      <c r="S47" s="447">
        <f t="array" ref="S47">INDEX(MINVALUES,$Q47,$K$1)</f>
        <v>2.2</v>
      </c>
      <c r="T47" s="448">
        <f t="array" ref="T47">INDEX(INCVALUES,$Q47,$K$1)</f>
        <v>0.03</v>
      </c>
      <c r="V47">
        <f t="array" ref="V47">+J47+(4*(INDEX(MatchScoreTable,$Q47,20)-1))</f>
        <v>4</v>
      </c>
      <c r="W47" s="442">
        <f t="array" ref="W47">INDEX(INC_MINVALUES,$V47,$K$1)</f>
        <v>0.2</v>
      </c>
      <c r="X47" s="212">
        <f t="array" ref="X47">INDEX(INC_INCVALUES,$V47,$K$1)</f>
        <v>0.02</v>
      </c>
    </row>
    <row r="48" ht="15.75" customHeight="1">
      <c r="A48" s="435" t="s">
        <v>144</v>
      </c>
      <c r="B48" s="436">
        <v>3.0</v>
      </c>
      <c r="C48" s="95" t="str">
        <f t="array" ref="C48">IF(I48&gt;0,INDEX(DB,I48,8),"")</f>
        <v>James Davie</v>
      </c>
      <c r="D48" s="437">
        <f t="shared" si="1"/>
        <v>36</v>
      </c>
      <c r="F48" s="438">
        <f t="shared" si="2"/>
        <v>1</v>
      </c>
      <c r="G48" t="str">
        <f t="shared" si="3"/>
        <v/>
      </c>
      <c r="H48" t="b">
        <f t="shared" si="4"/>
        <v>1</v>
      </c>
      <c r="I48" s="439">
        <f>IF(OR(ISBLANK(A48),ISNA(MATCH(A48&amp;"",AthleteNumbers,0))),0,MATCH(A48&amp;"",AthleteNumbers,0))</f>
        <v>9</v>
      </c>
      <c r="J48" s="209" t="str">
        <f t="array" ref="J48">IF(I48&gt;0,INDEX(DB,$I48,6),0)</f>
        <v/>
      </c>
      <c r="K48" s="446">
        <f t="shared" si="5"/>
        <v>3</v>
      </c>
      <c r="L48" s="446">
        <f t="shared" si="6"/>
        <v>3</v>
      </c>
      <c r="M48" s="441">
        <f>IF(L48&lt;O48,MinPoints,IF(AND(L48&gt;N48,O48&gt;0),100,+INT(($L48-O48)/P48)+MinPoints))</f>
        <v>36</v>
      </c>
      <c r="N48" s="440">
        <f t="shared" si="7"/>
        <v>4.9</v>
      </c>
      <c r="O48" s="440">
        <f t="shared" si="8"/>
        <v>2.2</v>
      </c>
      <c r="P48" s="440">
        <f t="shared" si="9"/>
        <v>0.03</v>
      </c>
      <c r="Q48">
        <f t="array" ref="Q48">IF(I48&gt;0,INDEX(DB,I48,9),EventIndex)</f>
        <v>6</v>
      </c>
      <c r="S48" s="447">
        <f t="array" ref="S48">INDEX(MINVALUES,$Q48,$K$1)</f>
        <v>2.2</v>
      </c>
      <c r="T48" s="448">
        <f t="array" ref="T48">INDEX(INCVALUES,$Q48,$K$1)</f>
        <v>0.03</v>
      </c>
      <c r="V48">
        <f t="array" ref="V48">+J48+(4*(INDEX(MatchScoreTable,$Q48,20)-1))</f>
        <v>4</v>
      </c>
      <c r="W48" s="442">
        <f t="array" ref="W48">INDEX(INC_MINVALUES,$V48,$K$1)</f>
        <v>0.2</v>
      </c>
      <c r="X48" s="212">
        <f t="array" ref="X48">INDEX(INC_INCVALUES,$V48,$K$1)</f>
        <v>0.02</v>
      </c>
    </row>
    <row r="49" ht="15.75" customHeight="1">
      <c r="A49" s="435" t="s">
        <v>146</v>
      </c>
      <c r="B49" s="436">
        <v>2.7</v>
      </c>
      <c r="C49" s="95" t="str">
        <f t="array" ref="C49">IF(I49&gt;0,INDEX(DB,I49,8),"")</f>
        <v>Ethan Dolman</v>
      </c>
      <c r="D49" s="437">
        <f t="shared" si="1"/>
        <v>26</v>
      </c>
      <c r="F49" s="438">
        <f t="shared" si="2"/>
        <v>1</v>
      </c>
      <c r="G49" t="str">
        <f t="shared" si="3"/>
        <v/>
      </c>
      <c r="H49" t="b">
        <f t="shared" si="4"/>
        <v>1</v>
      </c>
      <c r="I49" s="439">
        <f>IF(OR(ISBLANK(A49),ISNA(MATCH(A49&amp;"",AthleteNumbers,0))),0,MATCH(A49&amp;"",AthleteNumbers,0))</f>
        <v>10</v>
      </c>
      <c r="J49" s="209" t="str">
        <f t="array" ref="J49">IF(I49&gt;0,INDEX(DB,$I49,6),0)</f>
        <v/>
      </c>
      <c r="K49" s="446">
        <f t="shared" si="5"/>
        <v>2.7</v>
      </c>
      <c r="L49" s="446">
        <f t="shared" si="6"/>
        <v>2.7</v>
      </c>
      <c r="M49" s="441">
        <f>IF(L49&lt;O49,MinPoints,IF(AND(L49&gt;N49,O49&gt;0),100,+INT(($L49-O49)/P49)+MinPoints))</f>
        <v>26</v>
      </c>
      <c r="N49" s="440">
        <f t="shared" si="7"/>
        <v>4.9</v>
      </c>
      <c r="O49" s="440">
        <f t="shared" si="8"/>
        <v>2.2</v>
      </c>
      <c r="P49" s="440">
        <f t="shared" si="9"/>
        <v>0.03</v>
      </c>
      <c r="Q49">
        <f t="array" ref="Q49">IF(I49&gt;0,INDEX(DB,I49,9),EventIndex)</f>
        <v>6</v>
      </c>
      <c r="S49" s="447">
        <f t="array" ref="S49">INDEX(MINVALUES,$Q49,$K$1)</f>
        <v>2.2</v>
      </c>
      <c r="T49" s="448">
        <f t="array" ref="T49">INDEX(INCVALUES,$Q49,$K$1)</f>
        <v>0.03</v>
      </c>
      <c r="V49">
        <f t="array" ref="V49">+J49+(4*(INDEX(MatchScoreTable,$Q49,20)-1))</f>
        <v>4</v>
      </c>
      <c r="W49" s="442">
        <f t="array" ref="W49">INDEX(INC_MINVALUES,$V49,$K$1)</f>
        <v>0.2</v>
      </c>
      <c r="X49" s="212">
        <f t="array" ref="X49">INDEX(INC_INCVALUES,$V49,$K$1)</f>
        <v>0.02</v>
      </c>
    </row>
    <row r="50" ht="15.75" customHeight="1">
      <c r="A50" s="435" t="s">
        <v>148</v>
      </c>
      <c r="B50" s="436">
        <v>3.43</v>
      </c>
      <c r="C50" s="95" t="str">
        <f t="array" ref="C50">IF(I50&gt;0,INDEX(DB,I50,8),"")</f>
        <v>Hugo English</v>
      </c>
      <c r="D50" s="437">
        <f t="shared" si="1"/>
        <v>51</v>
      </c>
      <c r="F50" s="438">
        <f t="shared" si="2"/>
        <v>1</v>
      </c>
      <c r="G50" t="str">
        <f t="shared" si="3"/>
        <v/>
      </c>
      <c r="H50" t="b">
        <f t="shared" si="4"/>
        <v>1</v>
      </c>
      <c r="I50" s="439">
        <f>IF(OR(ISBLANK(A50),ISNA(MATCH(A50&amp;"",AthleteNumbers,0))),0,MATCH(A50&amp;"",AthleteNumbers,0))</f>
        <v>11</v>
      </c>
      <c r="J50" s="209" t="str">
        <f t="array" ref="J50">IF(I50&gt;0,INDEX(DB,$I50,6),0)</f>
        <v/>
      </c>
      <c r="K50" s="446">
        <f t="shared" si="5"/>
        <v>3.43</v>
      </c>
      <c r="L50" s="446">
        <f t="shared" si="6"/>
        <v>3.43</v>
      </c>
      <c r="M50" s="441">
        <f>IF(L50&lt;O50,MinPoints,IF(AND(L50&gt;N50,O50&gt;0),100,+INT(($L50-O50)/P50)+MinPoints))</f>
        <v>51</v>
      </c>
      <c r="N50" s="440">
        <f t="shared" si="7"/>
        <v>4.9</v>
      </c>
      <c r="O50" s="440">
        <f t="shared" si="8"/>
        <v>2.2</v>
      </c>
      <c r="P50" s="440">
        <f t="shared" si="9"/>
        <v>0.03</v>
      </c>
      <c r="Q50">
        <f t="array" ref="Q50">IF(I50&gt;0,INDEX(DB,I50,9),EventIndex)</f>
        <v>6</v>
      </c>
      <c r="S50" s="447">
        <f t="array" ref="S50">INDEX(MINVALUES,$Q50,$K$1)</f>
        <v>2.2</v>
      </c>
      <c r="T50" s="448">
        <f t="array" ref="T50">INDEX(INCVALUES,$Q50,$K$1)</f>
        <v>0.03</v>
      </c>
      <c r="V50">
        <f t="array" ref="V50">+J50+(4*(INDEX(MatchScoreTable,$Q50,20)-1))</f>
        <v>4</v>
      </c>
      <c r="W50" s="442">
        <f t="array" ref="W50">INDEX(INC_MINVALUES,$V50,$K$1)</f>
        <v>0.2</v>
      </c>
      <c r="X50" s="212">
        <f t="array" ref="X50">INDEX(INC_INCVALUES,$V50,$K$1)</f>
        <v>0.02</v>
      </c>
    </row>
    <row r="51" ht="15.75" customHeight="1">
      <c r="A51" s="435" t="s">
        <v>151</v>
      </c>
      <c r="B51" s="436">
        <v>2.37</v>
      </c>
      <c r="C51" s="95" t="str">
        <f t="array" ref="C51">IF(I51&gt;0,INDEX(DB,I51,8),"")</f>
        <v>Jude Fisher</v>
      </c>
      <c r="D51" s="437">
        <f t="shared" si="1"/>
        <v>15</v>
      </c>
      <c r="F51" s="438">
        <f t="shared" si="2"/>
        <v>1</v>
      </c>
      <c r="G51" t="str">
        <f t="shared" si="3"/>
        <v/>
      </c>
      <c r="H51" t="b">
        <f t="shared" si="4"/>
        <v>1</v>
      </c>
      <c r="I51" s="439">
        <f>IF(OR(ISBLANK(A51),ISNA(MATCH(A51&amp;"",AthleteNumbers,0))),0,MATCH(A51&amp;"",AthleteNumbers,0))</f>
        <v>12</v>
      </c>
      <c r="J51" s="209" t="str">
        <f t="array" ref="J51">IF(I51&gt;0,INDEX(DB,$I51,6),0)</f>
        <v/>
      </c>
      <c r="K51" s="446">
        <f t="shared" si="5"/>
        <v>2.37</v>
      </c>
      <c r="L51" s="446">
        <f t="shared" si="6"/>
        <v>2.37</v>
      </c>
      <c r="M51" s="441">
        <f>IF(L51&lt;O51,MinPoints,IF(AND(L51&gt;N51,O51&gt;0),100,+INT(($L51-O51)/P51)+MinPoints))</f>
        <v>15</v>
      </c>
      <c r="N51" s="440">
        <f t="shared" si="7"/>
        <v>4.9</v>
      </c>
      <c r="O51" s="440">
        <f t="shared" si="8"/>
        <v>2.2</v>
      </c>
      <c r="P51" s="440">
        <f t="shared" si="9"/>
        <v>0.03</v>
      </c>
      <c r="Q51">
        <f t="array" ref="Q51">IF(I51&gt;0,INDEX(DB,I51,9),EventIndex)</f>
        <v>6</v>
      </c>
      <c r="S51" s="447">
        <f t="array" ref="S51">INDEX(MINVALUES,$Q51,$K$1)</f>
        <v>2.2</v>
      </c>
      <c r="T51" s="448">
        <f t="array" ref="T51">INDEX(INCVALUES,$Q51,$K$1)</f>
        <v>0.03</v>
      </c>
      <c r="V51">
        <f t="array" ref="V51">+J51+(4*(INDEX(MatchScoreTable,$Q51,20)-1))</f>
        <v>4</v>
      </c>
      <c r="W51" s="442">
        <f t="array" ref="W51">INDEX(INC_MINVALUES,$V51,$K$1)</f>
        <v>0.2</v>
      </c>
      <c r="X51" s="212">
        <f t="array" ref="X51">INDEX(INC_INCVALUES,$V51,$K$1)</f>
        <v>0.02</v>
      </c>
    </row>
    <row r="52" ht="15.75" customHeight="1">
      <c r="A52" s="435" t="s">
        <v>153</v>
      </c>
      <c r="B52" s="436">
        <v>2.58</v>
      </c>
      <c r="C52" s="95" t="str">
        <f t="array" ref="C52">IF(I52&gt;0,INDEX(DB,I52,8),"")</f>
        <v>Toby Fry</v>
      </c>
      <c r="D52" s="437">
        <f t="shared" si="1"/>
        <v>22</v>
      </c>
      <c r="F52" s="438">
        <f t="shared" si="2"/>
        <v>1</v>
      </c>
      <c r="G52" t="str">
        <f t="shared" si="3"/>
        <v/>
      </c>
      <c r="H52" t="b">
        <f t="shared" si="4"/>
        <v>1</v>
      </c>
      <c r="I52" s="439">
        <f>IF(OR(ISBLANK(A52),ISNA(MATCH(A52&amp;"",AthleteNumbers,0))),0,MATCH(A52&amp;"",AthleteNumbers,0))</f>
        <v>13</v>
      </c>
      <c r="J52" s="209" t="str">
        <f t="array" ref="J52">IF(I52&gt;0,INDEX(DB,$I52,6),0)</f>
        <v/>
      </c>
      <c r="K52" s="446">
        <f t="shared" si="5"/>
        <v>2.58</v>
      </c>
      <c r="L52" s="446">
        <f t="shared" si="6"/>
        <v>2.58</v>
      </c>
      <c r="M52" s="441">
        <f>IF(L52&lt;O52,MinPoints,IF(AND(L52&gt;N52,O52&gt;0),100,+INT(($L52-O52)/P52)+MinPoints))</f>
        <v>22</v>
      </c>
      <c r="N52" s="440">
        <f t="shared" si="7"/>
        <v>4.9</v>
      </c>
      <c r="O52" s="440">
        <f t="shared" si="8"/>
        <v>2.2</v>
      </c>
      <c r="P52" s="440">
        <f t="shared" si="9"/>
        <v>0.03</v>
      </c>
      <c r="Q52">
        <f t="array" ref="Q52">IF(I52&gt;0,INDEX(DB,I52,9),EventIndex)</f>
        <v>6</v>
      </c>
      <c r="S52" s="447">
        <f t="array" ref="S52">INDEX(MINVALUES,$Q52,$K$1)</f>
        <v>2.2</v>
      </c>
      <c r="T52" s="448">
        <f t="array" ref="T52">INDEX(INCVALUES,$Q52,$K$1)</f>
        <v>0.03</v>
      </c>
      <c r="V52">
        <f t="array" ref="V52">+J52+(4*(INDEX(MatchScoreTable,$Q52,20)-1))</f>
        <v>4</v>
      </c>
      <c r="W52" s="442">
        <f t="array" ref="W52">INDEX(INC_MINVALUES,$V52,$K$1)</f>
        <v>0.2</v>
      </c>
      <c r="X52" s="212">
        <f t="array" ref="X52">INDEX(INC_INCVALUES,$V52,$K$1)</f>
        <v>0.02</v>
      </c>
    </row>
    <row r="53" ht="15.75" customHeight="1">
      <c r="A53" s="435" t="s">
        <v>155</v>
      </c>
      <c r="B53" s="436">
        <v>2.32</v>
      </c>
      <c r="C53" s="95" t="str">
        <f t="array" ref="C53">IF(I53&gt;0,INDEX(DB,I53,8),"")</f>
        <v>Tom Fry</v>
      </c>
      <c r="D53" s="437">
        <f t="shared" si="1"/>
        <v>13</v>
      </c>
      <c r="F53" s="438">
        <f t="shared" si="2"/>
        <v>1</v>
      </c>
      <c r="G53" t="str">
        <f t="shared" si="3"/>
        <v/>
      </c>
      <c r="H53" t="b">
        <f t="shared" si="4"/>
        <v>1</v>
      </c>
      <c r="I53" s="439">
        <f>IF(OR(ISBLANK(A53),ISNA(MATCH(A53&amp;"",AthleteNumbers,0))),0,MATCH(A53&amp;"",AthleteNumbers,0))</f>
        <v>14</v>
      </c>
      <c r="J53" s="209" t="str">
        <f t="array" ref="J53">IF(I53&gt;0,INDEX(DB,$I53,6),0)</f>
        <v/>
      </c>
      <c r="K53" s="446">
        <f t="shared" si="5"/>
        <v>2.32</v>
      </c>
      <c r="L53" s="446">
        <f t="shared" si="6"/>
        <v>2.32</v>
      </c>
      <c r="M53" s="441">
        <f>IF(L53&lt;O53,MinPoints,IF(AND(L53&gt;N53,O53&gt;0),100,+INT(($L53-O53)/P53)+MinPoints))</f>
        <v>13</v>
      </c>
      <c r="N53" s="440">
        <f t="shared" si="7"/>
        <v>4.9</v>
      </c>
      <c r="O53" s="440">
        <f t="shared" si="8"/>
        <v>2.2</v>
      </c>
      <c r="P53" s="440">
        <f t="shared" si="9"/>
        <v>0.03</v>
      </c>
      <c r="Q53">
        <f t="array" ref="Q53">IF(I53&gt;0,INDEX(DB,I53,9),EventIndex)</f>
        <v>6</v>
      </c>
      <c r="S53" s="447">
        <f t="array" ref="S53">INDEX(MINVALUES,$Q53,$K$1)</f>
        <v>2.2</v>
      </c>
      <c r="T53" s="448">
        <f t="array" ref="T53">INDEX(INCVALUES,$Q53,$K$1)</f>
        <v>0.03</v>
      </c>
      <c r="V53">
        <f t="array" ref="V53">+J53+(4*(INDEX(MatchScoreTable,$Q53,20)-1))</f>
        <v>4</v>
      </c>
      <c r="W53" s="442">
        <f t="array" ref="W53">INDEX(INC_MINVALUES,$V53,$K$1)</f>
        <v>0.2</v>
      </c>
      <c r="X53" s="212">
        <f t="array" ref="X53">INDEX(INC_INCVALUES,$V53,$K$1)</f>
        <v>0.02</v>
      </c>
    </row>
    <row r="54" ht="15.75" customHeight="1">
      <c r="A54" s="435" t="s">
        <v>158</v>
      </c>
      <c r="B54" s="436">
        <v>2.71</v>
      </c>
      <c r="C54" s="95" t="str">
        <f t="array" ref="C54">IF(I54&gt;0,INDEX(DB,I54,8),"")</f>
        <v>Jake Goddard</v>
      </c>
      <c r="D54" s="437">
        <f t="shared" si="1"/>
        <v>27</v>
      </c>
      <c r="F54" s="438">
        <f t="shared" si="2"/>
        <v>1</v>
      </c>
      <c r="G54" t="str">
        <f t="shared" si="3"/>
        <v/>
      </c>
      <c r="H54" t="b">
        <f t="shared" si="4"/>
        <v>1</v>
      </c>
      <c r="I54" s="439">
        <f>IF(OR(ISBLANK(A54),ISNA(MATCH(A54&amp;"",AthleteNumbers,0))),0,MATCH(A54&amp;"",AthleteNumbers,0))</f>
        <v>15</v>
      </c>
      <c r="J54" s="209" t="str">
        <f t="array" ref="J54">IF(I54&gt;0,INDEX(DB,$I54,6),0)</f>
        <v/>
      </c>
      <c r="K54" s="446">
        <f t="shared" si="5"/>
        <v>2.71</v>
      </c>
      <c r="L54" s="446">
        <f t="shared" si="6"/>
        <v>2.71</v>
      </c>
      <c r="M54" s="441">
        <f>IF(L54&lt;O54,MinPoints,IF(AND(L54&gt;N54,O54&gt;0),100,+INT(($L54-O54)/P54)+MinPoints))</f>
        <v>27</v>
      </c>
      <c r="N54" s="440">
        <f t="shared" si="7"/>
        <v>4.9</v>
      </c>
      <c r="O54" s="440">
        <f t="shared" si="8"/>
        <v>2.2</v>
      </c>
      <c r="P54" s="440">
        <f t="shared" si="9"/>
        <v>0.03</v>
      </c>
      <c r="Q54">
        <f t="array" ref="Q54">IF(I54&gt;0,INDEX(DB,I54,9),EventIndex)</f>
        <v>6</v>
      </c>
      <c r="S54" s="447">
        <f t="array" ref="S54">INDEX(MINVALUES,$Q54,$K$1)</f>
        <v>2.2</v>
      </c>
      <c r="T54" s="448">
        <f t="array" ref="T54">INDEX(INCVALUES,$Q54,$K$1)</f>
        <v>0.03</v>
      </c>
      <c r="V54">
        <f t="array" ref="V54">+J54+(4*(INDEX(MatchScoreTable,$Q54,20)-1))</f>
        <v>4</v>
      </c>
      <c r="W54" s="442">
        <f t="array" ref="W54">INDEX(INC_MINVALUES,$V54,$K$1)</f>
        <v>0.2</v>
      </c>
      <c r="X54" s="212">
        <f t="array" ref="X54">INDEX(INC_INCVALUES,$V54,$K$1)</f>
        <v>0.02</v>
      </c>
    </row>
    <row r="55" ht="15.75" customHeight="1">
      <c r="A55" s="435" t="s">
        <v>160</v>
      </c>
      <c r="B55" s="436">
        <v>2.43</v>
      </c>
      <c r="C55" s="95" t="str">
        <f t="array" ref="C55">IF(I55&gt;0,INDEX(DB,I55,8),"")</f>
        <v>Jacob Green</v>
      </c>
      <c r="D55" s="437">
        <f t="shared" si="1"/>
        <v>17</v>
      </c>
      <c r="F55" s="438">
        <f t="shared" si="2"/>
        <v>1</v>
      </c>
      <c r="G55" t="str">
        <f t="shared" si="3"/>
        <v/>
      </c>
      <c r="H55" t="b">
        <f t="shared" si="4"/>
        <v>1</v>
      </c>
      <c r="I55" s="439">
        <f>IF(OR(ISBLANK(A55),ISNA(MATCH(A55&amp;"",AthleteNumbers,0))),0,MATCH(A55&amp;"",AthleteNumbers,0))</f>
        <v>16</v>
      </c>
      <c r="J55" s="209" t="str">
        <f t="array" ref="J55">IF(I55&gt;0,INDEX(DB,$I55,6),0)</f>
        <v/>
      </c>
      <c r="K55" s="446">
        <f t="shared" si="5"/>
        <v>2.43</v>
      </c>
      <c r="L55" s="446">
        <f t="shared" si="6"/>
        <v>2.43</v>
      </c>
      <c r="M55" s="441">
        <f>IF(L55&lt;O55,MinPoints,IF(AND(L55&gt;N55,O55&gt;0),100,+INT(($L55-O55)/P55)+MinPoints))</f>
        <v>17</v>
      </c>
      <c r="N55" s="440">
        <f t="shared" si="7"/>
        <v>4.9</v>
      </c>
      <c r="O55" s="440">
        <f t="shared" si="8"/>
        <v>2.2</v>
      </c>
      <c r="P55" s="440">
        <f t="shared" si="9"/>
        <v>0.03</v>
      </c>
      <c r="Q55">
        <f t="array" ref="Q55">IF(I55&gt;0,INDEX(DB,I55,9),EventIndex)</f>
        <v>6</v>
      </c>
      <c r="S55" s="447">
        <f t="array" ref="S55">INDEX(MINVALUES,$Q55,$K$1)</f>
        <v>2.2</v>
      </c>
      <c r="T55" s="448">
        <f t="array" ref="T55">INDEX(INCVALUES,$Q55,$K$1)</f>
        <v>0.03</v>
      </c>
      <c r="V55">
        <f t="array" ref="V55">+J55+(4*(INDEX(MatchScoreTable,$Q55,20)-1))</f>
        <v>4</v>
      </c>
      <c r="W55" s="442">
        <f t="array" ref="W55">INDEX(INC_MINVALUES,$V55,$K$1)</f>
        <v>0.2</v>
      </c>
      <c r="X55" s="212">
        <f t="array" ref="X55">INDEX(INC_INCVALUES,$V55,$K$1)</f>
        <v>0.02</v>
      </c>
    </row>
    <row r="56" ht="15.75" customHeight="1">
      <c r="A56" s="435" t="s">
        <v>165</v>
      </c>
      <c r="B56" s="436">
        <v>3.8</v>
      </c>
      <c r="C56" s="95" t="str">
        <f t="array" ref="C56">IF(I56&gt;0,INDEX(DB,I56,8),"")</f>
        <v>William Launder</v>
      </c>
      <c r="D56" s="437">
        <f t="shared" si="1"/>
        <v>63</v>
      </c>
      <c r="F56" s="438">
        <f t="shared" si="2"/>
        <v>1</v>
      </c>
      <c r="G56" t="str">
        <f t="shared" si="3"/>
        <v/>
      </c>
      <c r="H56" t="b">
        <f t="shared" si="4"/>
        <v>1</v>
      </c>
      <c r="I56" s="439">
        <f>IF(OR(ISBLANK(A56),ISNA(MATCH(A56&amp;"",AthleteNumbers,0))),0,MATCH(A56&amp;"",AthleteNumbers,0))</f>
        <v>18</v>
      </c>
      <c r="J56" s="209" t="str">
        <f t="array" ref="J56">IF(I56&gt;0,INDEX(DB,$I56,6),0)</f>
        <v/>
      </c>
      <c r="K56" s="446">
        <f t="shared" si="5"/>
        <v>3.8</v>
      </c>
      <c r="L56" s="446">
        <f t="shared" si="6"/>
        <v>3.8</v>
      </c>
      <c r="M56" s="441">
        <f>IF(L56&lt;O56,MinPoints,IF(AND(L56&gt;N56,O56&gt;0),100,+INT(($L56-O56)/P56)+MinPoints))</f>
        <v>63</v>
      </c>
      <c r="N56" s="440">
        <f t="shared" si="7"/>
        <v>4.9</v>
      </c>
      <c r="O56" s="440">
        <f t="shared" si="8"/>
        <v>2.2</v>
      </c>
      <c r="P56" s="440">
        <f t="shared" si="9"/>
        <v>0.03</v>
      </c>
      <c r="Q56">
        <f t="array" ref="Q56">IF(I56&gt;0,INDEX(DB,I56,9),EventIndex)</f>
        <v>6</v>
      </c>
      <c r="S56" s="447">
        <f t="array" ref="S56">INDEX(MINVALUES,$Q56,$K$1)</f>
        <v>2.2</v>
      </c>
      <c r="T56" s="448">
        <f t="array" ref="T56">INDEX(INCVALUES,$Q56,$K$1)</f>
        <v>0.03</v>
      </c>
      <c r="V56">
        <f t="array" ref="V56">+J56+(4*(INDEX(MatchScoreTable,$Q56,20)-1))</f>
        <v>4</v>
      </c>
      <c r="W56" s="442">
        <f t="array" ref="W56">INDEX(INC_MINVALUES,$V56,$K$1)</f>
        <v>0.2</v>
      </c>
      <c r="X56" s="212">
        <f t="array" ref="X56">INDEX(INC_INCVALUES,$V56,$K$1)</f>
        <v>0.02</v>
      </c>
    </row>
    <row r="57" ht="15.75" customHeight="1">
      <c r="A57" s="435" t="s">
        <v>167</v>
      </c>
      <c r="B57" s="436">
        <v>2.11</v>
      </c>
      <c r="C57" s="95" t="str">
        <f t="array" ref="C57">IF(I57&gt;0,INDEX(DB,I57,8),"")</f>
        <v>Marvin Marshall</v>
      </c>
      <c r="D57" s="437">
        <f t="shared" si="1"/>
        <v>10</v>
      </c>
      <c r="F57" s="438">
        <f t="shared" si="2"/>
        <v>1</v>
      </c>
      <c r="G57" t="str">
        <f t="shared" si="3"/>
        <v>CHECK</v>
      </c>
      <c r="H57" t="b">
        <f t="shared" si="4"/>
        <v>1</v>
      </c>
      <c r="I57" s="439">
        <f>IF(OR(ISBLANK(A57),ISNA(MATCH(A57&amp;"",AthleteNumbers,0))),0,MATCH(A57&amp;"",AthleteNumbers,0))</f>
        <v>19</v>
      </c>
      <c r="J57" s="209" t="str">
        <f t="array" ref="J57">IF(I57&gt;0,INDEX(DB,$I57,6),0)</f>
        <v/>
      </c>
      <c r="K57" s="446">
        <f t="shared" si="5"/>
        <v>2.11</v>
      </c>
      <c r="L57" s="446">
        <f t="shared" si="6"/>
        <v>2.11</v>
      </c>
      <c r="M57" s="441">
        <f>IF(L57&lt;O57,MinPoints,IF(AND(L57&gt;N57,O57&gt;0),100,+INT(($L57-O57)/P57)+MinPoints))</f>
        <v>10</v>
      </c>
      <c r="N57" s="440">
        <f t="shared" si="7"/>
        <v>4.9</v>
      </c>
      <c r="O57" s="440">
        <f t="shared" si="8"/>
        <v>2.2</v>
      </c>
      <c r="P57" s="440">
        <f t="shared" si="9"/>
        <v>0.03</v>
      </c>
      <c r="Q57">
        <f t="array" ref="Q57">IF(I57&gt;0,INDEX(DB,I57,9),EventIndex)</f>
        <v>6</v>
      </c>
      <c r="S57" s="447">
        <f t="array" ref="S57">INDEX(MINVALUES,$Q57,$K$1)</f>
        <v>2.2</v>
      </c>
      <c r="T57" s="448">
        <f t="array" ref="T57">INDEX(INCVALUES,$Q57,$K$1)</f>
        <v>0.03</v>
      </c>
      <c r="V57">
        <f t="array" ref="V57">+J57+(4*(INDEX(MatchScoreTable,$Q57,20)-1))</f>
        <v>4</v>
      </c>
      <c r="W57" s="442">
        <f t="array" ref="W57">INDEX(INC_MINVALUES,$V57,$K$1)</f>
        <v>0.2</v>
      </c>
      <c r="X57" s="212">
        <f t="array" ref="X57">INDEX(INC_INCVALUES,$V57,$K$1)</f>
        <v>0.02</v>
      </c>
    </row>
    <row r="58" ht="15.75" customHeight="1">
      <c r="A58" s="435" t="s">
        <v>169</v>
      </c>
      <c r="B58" s="436">
        <v>1.5</v>
      </c>
      <c r="C58" s="95" t="str">
        <f t="array" ref="C58">IF(I58&gt;0,INDEX(DB,I58,8),"")</f>
        <v>Ciaran Merrett</v>
      </c>
      <c r="D58" s="437">
        <f t="shared" si="1"/>
        <v>10</v>
      </c>
      <c r="F58" s="438">
        <f t="shared" si="2"/>
        <v>1</v>
      </c>
      <c r="G58" t="str">
        <f t="shared" si="3"/>
        <v>CHECK</v>
      </c>
      <c r="H58" t="b">
        <f t="shared" si="4"/>
        <v>1</v>
      </c>
      <c r="I58" s="439">
        <f>IF(OR(ISBLANK(A58),ISNA(MATCH(A58&amp;"",AthleteNumbers,0))),0,MATCH(A58&amp;"",AthleteNumbers,0))</f>
        <v>20</v>
      </c>
      <c r="J58" s="209" t="str">
        <f t="array" ref="J58">IF(I58&gt;0,INDEX(DB,$I58,6),0)</f>
        <v/>
      </c>
      <c r="K58" s="446">
        <f t="shared" si="5"/>
        <v>1.5</v>
      </c>
      <c r="L58" s="446">
        <f t="shared" si="6"/>
        <v>1.5</v>
      </c>
      <c r="M58" s="441">
        <f>IF(L58&lt;O58,MinPoints,IF(AND(L58&gt;N58,O58&gt;0),100,+INT(($L58-O58)/P58)+MinPoints))</f>
        <v>10</v>
      </c>
      <c r="N58" s="440">
        <f t="shared" si="7"/>
        <v>4.9</v>
      </c>
      <c r="O58" s="440">
        <f t="shared" si="8"/>
        <v>2.2</v>
      </c>
      <c r="P58" s="440">
        <f t="shared" si="9"/>
        <v>0.03</v>
      </c>
      <c r="Q58">
        <f t="array" ref="Q58">IF(I58&gt;0,INDEX(DB,I58,9),EventIndex)</f>
        <v>6</v>
      </c>
      <c r="S58" s="447">
        <f t="array" ref="S58">INDEX(MINVALUES,$Q58,$K$1)</f>
        <v>2.2</v>
      </c>
      <c r="T58" s="448">
        <f t="array" ref="T58">INDEX(INCVALUES,$Q58,$K$1)</f>
        <v>0.03</v>
      </c>
      <c r="V58">
        <f t="array" ref="V58">+J58+(4*(INDEX(MatchScoreTable,$Q58,20)-1))</f>
        <v>4</v>
      </c>
      <c r="W58" s="442">
        <f t="array" ref="W58">INDEX(INC_MINVALUES,$V58,$K$1)</f>
        <v>0.2</v>
      </c>
      <c r="X58" s="212">
        <f t="array" ref="X58">INDEX(INC_INCVALUES,$V58,$K$1)</f>
        <v>0.02</v>
      </c>
    </row>
    <row r="59" ht="15.75" customHeight="1">
      <c r="A59" s="435" t="s">
        <v>174</v>
      </c>
      <c r="B59" s="436">
        <v>2.3</v>
      </c>
      <c r="C59" s="95" t="str">
        <f t="array" ref="C59">IF(I59&gt;0,INDEX(DB,I59,8),"")</f>
        <v>Rufus Parsons</v>
      </c>
      <c r="D59" s="437">
        <f t="shared" si="1"/>
        <v>13</v>
      </c>
      <c r="F59" s="438">
        <f t="shared" si="2"/>
        <v>1</v>
      </c>
      <c r="G59" t="str">
        <f t="shared" si="3"/>
        <v/>
      </c>
      <c r="H59" t="b">
        <f t="shared" si="4"/>
        <v>1</v>
      </c>
      <c r="I59" s="439">
        <f>IF(OR(ISBLANK(A59),ISNA(MATCH(A59&amp;"",AthleteNumbers,0))),0,MATCH(A59&amp;"",AthleteNumbers,0))</f>
        <v>22</v>
      </c>
      <c r="J59" s="209" t="str">
        <f t="array" ref="J59">IF(I59&gt;0,INDEX(DB,$I59,6),0)</f>
        <v/>
      </c>
      <c r="K59" s="446">
        <f t="shared" si="5"/>
        <v>2.3</v>
      </c>
      <c r="L59" s="446">
        <f t="shared" si="6"/>
        <v>2.3</v>
      </c>
      <c r="M59" s="441">
        <f>IF(L59&lt;O59,MinPoints,IF(AND(L59&gt;N59,O59&gt;0),100,+INT(($L59-O59)/P59)+MinPoints))</f>
        <v>13</v>
      </c>
      <c r="N59" s="440">
        <f t="shared" si="7"/>
        <v>4.9</v>
      </c>
      <c r="O59" s="440">
        <f t="shared" si="8"/>
        <v>2.2</v>
      </c>
      <c r="P59" s="440">
        <f t="shared" si="9"/>
        <v>0.03</v>
      </c>
      <c r="Q59">
        <f t="array" ref="Q59">IF(I59&gt;0,INDEX(DB,I59,9),EventIndex)</f>
        <v>6</v>
      </c>
      <c r="S59" s="447">
        <f t="array" ref="S59">INDEX(MINVALUES,$Q59,$K$1)</f>
        <v>2.2</v>
      </c>
      <c r="T59" s="448">
        <f t="array" ref="T59">INDEX(INCVALUES,$Q59,$K$1)</f>
        <v>0.03</v>
      </c>
      <c r="V59">
        <f t="array" ref="V59">+J59+(4*(INDEX(MatchScoreTable,$Q59,20)-1))</f>
        <v>4</v>
      </c>
      <c r="W59" s="442">
        <f t="array" ref="W59">INDEX(INC_MINVALUES,$V59,$K$1)</f>
        <v>0.2</v>
      </c>
      <c r="X59" s="212">
        <f t="array" ref="X59">INDEX(INC_INCVALUES,$V59,$K$1)</f>
        <v>0.02</v>
      </c>
    </row>
    <row r="60" ht="15.75" customHeight="1">
      <c r="A60" s="435" t="s">
        <v>176</v>
      </c>
      <c r="B60" s="436">
        <v>2.81</v>
      </c>
      <c r="C60" s="95" t="str">
        <f t="array" ref="C60">IF(I60&gt;0,INDEX(DB,I60,8),"")</f>
        <v>Charlie Peters</v>
      </c>
      <c r="D60" s="437">
        <f t="shared" si="1"/>
        <v>30</v>
      </c>
      <c r="F60" s="438">
        <f t="shared" si="2"/>
        <v>1</v>
      </c>
      <c r="G60" t="str">
        <f t="shared" si="3"/>
        <v/>
      </c>
      <c r="H60" t="b">
        <f t="shared" si="4"/>
        <v>1</v>
      </c>
      <c r="I60" s="439">
        <f>IF(OR(ISBLANK(A60),ISNA(MATCH(A60&amp;"",AthleteNumbers,0))),0,MATCH(A60&amp;"",AthleteNumbers,0))</f>
        <v>23</v>
      </c>
      <c r="J60" s="209" t="str">
        <f t="array" ref="J60">IF(I60&gt;0,INDEX(DB,$I60,6),0)</f>
        <v/>
      </c>
      <c r="K60" s="446">
        <f t="shared" si="5"/>
        <v>2.81</v>
      </c>
      <c r="L60" s="446">
        <f t="shared" si="6"/>
        <v>2.81</v>
      </c>
      <c r="M60" s="441">
        <f>IF(L60&lt;O60,MinPoints,IF(AND(L60&gt;N60,O60&gt;0),100,+INT(($L60-O60)/P60)+MinPoints))</f>
        <v>30</v>
      </c>
      <c r="N60" s="440">
        <f t="shared" si="7"/>
        <v>4.9</v>
      </c>
      <c r="O60" s="440">
        <f t="shared" si="8"/>
        <v>2.2</v>
      </c>
      <c r="P60" s="440">
        <f t="shared" si="9"/>
        <v>0.03</v>
      </c>
      <c r="Q60">
        <f t="array" ref="Q60">IF(I60&gt;0,INDEX(DB,I60,9),EventIndex)</f>
        <v>6</v>
      </c>
      <c r="S60" s="447">
        <f t="array" ref="S60">INDEX(MINVALUES,$Q60,$K$1)</f>
        <v>2.2</v>
      </c>
      <c r="T60" s="448">
        <f t="array" ref="T60">INDEX(INCVALUES,$Q60,$K$1)</f>
        <v>0.03</v>
      </c>
      <c r="V60">
        <f t="array" ref="V60">+J60+(4*(INDEX(MatchScoreTable,$Q60,20)-1))</f>
        <v>4</v>
      </c>
      <c r="W60" s="442">
        <f t="array" ref="W60">INDEX(INC_MINVALUES,$V60,$K$1)</f>
        <v>0.2</v>
      </c>
      <c r="X60" s="212">
        <f t="array" ref="X60">INDEX(INC_INCVALUES,$V60,$K$1)</f>
        <v>0.02</v>
      </c>
    </row>
    <row r="61" ht="15.75" customHeight="1">
      <c r="A61" s="435" t="s">
        <v>178</v>
      </c>
      <c r="B61" s="436">
        <v>2.4</v>
      </c>
      <c r="C61" s="95" t="str">
        <f t="array" ref="C61">IF(I61&gt;0,INDEX(DB,I61,8),"")</f>
        <v>Elijah Robbins</v>
      </c>
      <c r="D61" s="437">
        <f t="shared" si="1"/>
        <v>16</v>
      </c>
      <c r="F61" s="438">
        <f t="shared" si="2"/>
        <v>1</v>
      </c>
      <c r="G61" t="str">
        <f t="shared" si="3"/>
        <v/>
      </c>
      <c r="H61" t="b">
        <f t="shared" si="4"/>
        <v>1</v>
      </c>
      <c r="I61" s="439">
        <f>IF(OR(ISBLANK(A61),ISNA(MATCH(A61&amp;"",AthleteNumbers,0))),0,MATCH(A61&amp;"",AthleteNumbers,0))</f>
        <v>24</v>
      </c>
      <c r="J61" s="209" t="str">
        <f t="array" ref="J61">IF(I61&gt;0,INDEX(DB,$I61,6),0)</f>
        <v/>
      </c>
      <c r="K61" s="446">
        <f t="shared" si="5"/>
        <v>2.4</v>
      </c>
      <c r="L61" s="446">
        <f t="shared" si="6"/>
        <v>2.4</v>
      </c>
      <c r="M61" s="441">
        <f>IF(L61&lt;O61,MinPoints,IF(AND(L61&gt;N61,O61&gt;0),100,+INT(($L61-O61)/P61)+MinPoints))</f>
        <v>16</v>
      </c>
      <c r="N61" s="440">
        <f t="shared" si="7"/>
        <v>4.9</v>
      </c>
      <c r="O61" s="440">
        <f t="shared" si="8"/>
        <v>2.2</v>
      </c>
      <c r="P61" s="440">
        <f t="shared" si="9"/>
        <v>0.03</v>
      </c>
      <c r="Q61">
        <f t="array" ref="Q61">IF(I61&gt;0,INDEX(DB,I61,9),EventIndex)</f>
        <v>6</v>
      </c>
      <c r="S61" s="447">
        <f t="array" ref="S61">INDEX(MINVALUES,$Q61,$K$1)</f>
        <v>2.2</v>
      </c>
      <c r="T61" s="448">
        <f t="array" ref="T61">INDEX(INCVALUES,$Q61,$K$1)</f>
        <v>0.03</v>
      </c>
      <c r="V61">
        <f t="array" ref="V61">+J61+(4*(INDEX(MatchScoreTable,$Q61,20)-1))</f>
        <v>4</v>
      </c>
      <c r="W61" s="442">
        <f t="array" ref="W61">INDEX(INC_MINVALUES,$V61,$K$1)</f>
        <v>0.2</v>
      </c>
      <c r="X61" s="212">
        <f t="array" ref="X61">INDEX(INC_INCVALUES,$V61,$K$1)</f>
        <v>0.02</v>
      </c>
    </row>
    <row r="62" ht="15.75" customHeight="1">
      <c r="A62" s="435" t="s">
        <v>180</v>
      </c>
      <c r="B62" s="436">
        <v>2.15</v>
      </c>
      <c r="C62" s="95" t="str">
        <f t="array" ref="C62">IF(I62&gt;0,INDEX(DB,I62,8),"")</f>
        <v>Oscar Robertson</v>
      </c>
      <c r="D62" s="437">
        <f t="shared" si="1"/>
        <v>10</v>
      </c>
      <c r="F62" s="438">
        <f t="shared" si="2"/>
        <v>1</v>
      </c>
      <c r="G62" t="str">
        <f t="shared" si="3"/>
        <v>CHECK</v>
      </c>
      <c r="H62" t="b">
        <f t="shared" si="4"/>
        <v>1</v>
      </c>
      <c r="I62" s="439">
        <f>IF(OR(ISBLANK(A62),ISNA(MATCH(A62&amp;"",AthleteNumbers,0))),0,MATCH(A62&amp;"",AthleteNumbers,0))</f>
        <v>25</v>
      </c>
      <c r="J62" s="209" t="str">
        <f t="array" ref="J62">IF(I62&gt;0,INDEX(DB,$I62,6),0)</f>
        <v/>
      </c>
      <c r="K62" s="446">
        <f t="shared" si="5"/>
        <v>2.15</v>
      </c>
      <c r="L62" s="446">
        <f t="shared" si="6"/>
        <v>2.15</v>
      </c>
      <c r="M62" s="441">
        <f>IF(L62&lt;O62,MinPoints,IF(AND(L62&gt;N62,O62&gt;0),100,+INT(($L62-O62)/P62)+MinPoints))</f>
        <v>10</v>
      </c>
      <c r="N62" s="440">
        <f t="shared" si="7"/>
        <v>4.9</v>
      </c>
      <c r="O62" s="440">
        <f t="shared" si="8"/>
        <v>2.2</v>
      </c>
      <c r="P62" s="440">
        <f t="shared" si="9"/>
        <v>0.03</v>
      </c>
      <c r="Q62">
        <f t="array" ref="Q62">IF(I62&gt;0,INDEX(DB,I62,9),EventIndex)</f>
        <v>6</v>
      </c>
      <c r="S62" s="447">
        <f t="array" ref="S62">INDEX(MINVALUES,$Q62,$K$1)</f>
        <v>2.2</v>
      </c>
      <c r="T62" s="448">
        <f t="array" ref="T62">INDEX(INCVALUES,$Q62,$K$1)</f>
        <v>0.03</v>
      </c>
      <c r="V62">
        <f t="array" ref="V62">+J62+(4*(INDEX(MatchScoreTable,$Q62,20)-1))</f>
        <v>4</v>
      </c>
      <c r="W62" s="442">
        <f t="array" ref="W62">INDEX(INC_MINVALUES,$V62,$K$1)</f>
        <v>0.2</v>
      </c>
      <c r="X62" s="212">
        <f t="array" ref="X62">INDEX(INC_INCVALUES,$V62,$K$1)</f>
        <v>0.02</v>
      </c>
    </row>
    <row r="63" ht="15.75" customHeight="1">
      <c r="A63" s="435" t="s">
        <v>182</v>
      </c>
      <c r="B63" s="436">
        <v>2.69</v>
      </c>
      <c r="C63" s="95" t="str">
        <f t="array" ref="C63">IF(I63&gt;0,INDEX(DB,I63,8),"")</f>
        <v>Jake Selwood</v>
      </c>
      <c r="D63" s="437">
        <f t="shared" si="1"/>
        <v>26</v>
      </c>
      <c r="F63" s="438">
        <f t="shared" si="2"/>
        <v>1</v>
      </c>
      <c r="G63" t="str">
        <f t="shared" si="3"/>
        <v/>
      </c>
      <c r="H63" t="b">
        <f t="shared" si="4"/>
        <v>1</v>
      </c>
      <c r="I63" s="439">
        <f>IF(OR(ISBLANK(A63),ISNA(MATCH(A63&amp;"",AthleteNumbers,0))),0,MATCH(A63&amp;"",AthleteNumbers,0))</f>
        <v>26</v>
      </c>
      <c r="J63" s="209" t="str">
        <f t="array" ref="J63">IF(I63&gt;0,INDEX(DB,$I63,6),0)</f>
        <v/>
      </c>
      <c r="K63" s="446">
        <f t="shared" si="5"/>
        <v>2.69</v>
      </c>
      <c r="L63" s="446">
        <f t="shared" si="6"/>
        <v>2.69</v>
      </c>
      <c r="M63" s="441">
        <f>IF(L63&lt;O63,MinPoints,IF(AND(L63&gt;N63,O63&gt;0),100,+INT(($L63-O63)/P63)+MinPoints))</f>
        <v>26</v>
      </c>
      <c r="N63" s="440">
        <f t="shared" si="7"/>
        <v>4.9</v>
      </c>
      <c r="O63" s="440">
        <f t="shared" si="8"/>
        <v>2.2</v>
      </c>
      <c r="P63" s="440">
        <f t="shared" si="9"/>
        <v>0.03</v>
      </c>
      <c r="Q63">
        <f t="array" ref="Q63">IF(I63&gt;0,INDEX(DB,I63,9),EventIndex)</f>
        <v>6</v>
      </c>
      <c r="S63" s="447">
        <f t="array" ref="S63">INDEX(MINVALUES,$Q63,$K$1)</f>
        <v>2.2</v>
      </c>
      <c r="T63" s="448">
        <f t="array" ref="T63">INDEX(INCVALUES,$Q63,$K$1)</f>
        <v>0.03</v>
      </c>
      <c r="V63">
        <f t="array" ref="V63">+J63+(4*(INDEX(MatchScoreTable,$Q63,20)-1))</f>
        <v>4</v>
      </c>
      <c r="W63" s="442">
        <f t="array" ref="W63">INDEX(INC_MINVALUES,$V63,$K$1)</f>
        <v>0.2</v>
      </c>
      <c r="X63" s="212">
        <f t="array" ref="X63">INDEX(INC_INCVALUES,$V63,$K$1)</f>
        <v>0.02</v>
      </c>
    </row>
    <row r="64" ht="15.75" customHeight="1">
      <c r="A64" s="435" t="s">
        <v>184</v>
      </c>
      <c r="B64" s="436">
        <v>2.06</v>
      </c>
      <c r="C64" s="95" t="str">
        <f t="array" ref="C64">IF(I64&gt;0,INDEX(DB,I64,8),"")</f>
        <v>Liam Sharp</v>
      </c>
      <c r="D64" s="437">
        <f t="shared" si="1"/>
        <v>10</v>
      </c>
      <c r="F64" s="438">
        <f t="shared" si="2"/>
        <v>1</v>
      </c>
      <c r="G64" t="str">
        <f t="shared" si="3"/>
        <v>CHECK</v>
      </c>
      <c r="H64" t="b">
        <f t="shared" si="4"/>
        <v>1</v>
      </c>
      <c r="I64" s="439">
        <f>IF(OR(ISBLANK(A64),ISNA(MATCH(A64&amp;"",AthleteNumbers,0))),0,MATCH(A64&amp;"",AthleteNumbers,0))</f>
        <v>27</v>
      </c>
      <c r="J64" s="209" t="str">
        <f t="array" ref="J64">IF(I64&gt;0,INDEX(DB,$I64,6),0)</f>
        <v/>
      </c>
      <c r="K64" s="446">
        <f t="shared" si="5"/>
        <v>2.06</v>
      </c>
      <c r="L64" s="446">
        <f t="shared" si="6"/>
        <v>2.06</v>
      </c>
      <c r="M64" s="441">
        <f>IF(L64&lt;O64,MinPoints,IF(AND(L64&gt;N64,O64&gt;0),100,+INT(($L64-O64)/P64)+MinPoints))</f>
        <v>10</v>
      </c>
      <c r="N64" s="440">
        <f t="shared" si="7"/>
        <v>4.9</v>
      </c>
      <c r="O64" s="440">
        <f t="shared" si="8"/>
        <v>2.2</v>
      </c>
      <c r="P64" s="440">
        <f t="shared" si="9"/>
        <v>0.03</v>
      </c>
      <c r="Q64">
        <f t="array" ref="Q64">IF(I64&gt;0,INDEX(DB,I64,9),EventIndex)</f>
        <v>6</v>
      </c>
      <c r="S64" s="447">
        <f t="array" ref="S64">INDEX(MINVALUES,$Q64,$K$1)</f>
        <v>2.2</v>
      </c>
      <c r="T64" s="448">
        <f t="array" ref="T64">INDEX(INCVALUES,$Q64,$K$1)</f>
        <v>0.03</v>
      </c>
      <c r="V64">
        <f t="array" ref="V64">+J64+(4*(INDEX(MatchScoreTable,$Q64,20)-1))</f>
        <v>4</v>
      </c>
      <c r="W64" s="442">
        <f t="array" ref="W64">INDEX(INC_MINVALUES,$V64,$K$1)</f>
        <v>0.2</v>
      </c>
      <c r="X64" s="212">
        <f t="array" ref="X64">INDEX(INC_INCVALUES,$V64,$K$1)</f>
        <v>0.02</v>
      </c>
    </row>
    <row r="65" ht="15.75" customHeight="1">
      <c r="A65" s="435" t="s">
        <v>186</v>
      </c>
      <c r="B65" s="436">
        <v>2.47</v>
      </c>
      <c r="C65" s="95" t="str">
        <f t="array" ref="C65">IF(I65&gt;0,INDEX(DB,I65,8),"")</f>
        <v>Joshua Smith</v>
      </c>
      <c r="D65" s="437">
        <f t="shared" si="1"/>
        <v>19</v>
      </c>
      <c r="F65" s="438">
        <f t="shared" si="2"/>
        <v>1</v>
      </c>
      <c r="G65" t="str">
        <f t="shared" si="3"/>
        <v/>
      </c>
      <c r="H65" t="b">
        <f t="shared" si="4"/>
        <v>1</v>
      </c>
      <c r="I65" s="439">
        <f>IF(OR(ISBLANK(A65),ISNA(MATCH(A65&amp;"",AthleteNumbers,0))),0,MATCH(A65&amp;"",AthleteNumbers,0))</f>
        <v>28</v>
      </c>
      <c r="J65" s="209" t="str">
        <f t="array" ref="J65">IF(I65&gt;0,INDEX(DB,$I65,6),0)</f>
        <v/>
      </c>
      <c r="K65" s="446">
        <f t="shared" si="5"/>
        <v>2.47</v>
      </c>
      <c r="L65" s="446">
        <f t="shared" si="6"/>
        <v>2.47</v>
      </c>
      <c r="M65" s="441">
        <f>IF(L65&lt;O65,MinPoints,IF(AND(L65&gt;N65,O65&gt;0),100,+INT(($L65-O65)/P65)+MinPoints))</f>
        <v>19</v>
      </c>
      <c r="N65" s="440">
        <f t="shared" si="7"/>
        <v>4.9</v>
      </c>
      <c r="O65" s="440">
        <f t="shared" si="8"/>
        <v>2.2</v>
      </c>
      <c r="P65" s="440">
        <f t="shared" si="9"/>
        <v>0.03</v>
      </c>
      <c r="Q65">
        <f t="array" ref="Q65">IF(I65&gt;0,INDEX(DB,I65,9),EventIndex)</f>
        <v>6</v>
      </c>
      <c r="S65" s="447">
        <f t="array" ref="S65">INDEX(MINVALUES,$Q65,$K$1)</f>
        <v>2.2</v>
      </c>
      <c r="T65" s="448">
        <f t="array" ref="T65">INDEX(INCVALUES,$Q65,$K$1)</f>
        <v>0.03</v>
      </c>
      <c r="V65">
        <f t="array" ref="V65">+J65+(4*(INDEX(MatchScoreTable,$Q65,20)-1))</f>
        <v>4</v>
      </c>
      <c r="W65" s="442">
        <f t="array" ref="W65">INDEX(INC_MINVALUES,$V65,$K$1)</f>
        <v>0.2</v>
      </c>
      <c r="X65" s="212">
        <f t="array" ref="X65">INDEX(INC_INCVALUES,$V65,$K$1)</f>
        <v>0.02</v>
      </c>
    </row>
    <row r="66" ht="15.75" customHeight="1">
      <c r="A66" s="435" t="s">
        <v>188</v>
      </c>
      <c r="B66" s="436">
        <v>3.33</v>
      </c>
      <c r="C66" s="95" t="str">
        <f t="array" ref="C66">IF(I66&gt;0,INDEX(DB,I66,8),"")</f>
        <v>Leo Thomasson</v>
      </c>
      <c r="D66" s="437">
        <f t="shared" si="1"/>
        <v>47</v>
      </c>
      <c r="F66" s="438">
        <f t="shared" si="2"/>
        <v>1</v>
      </c>
      <c r="G66" t="str">
        <f t="shared" si="3"/>
        <v/>
      </c>
      <c r="H66" t="b">
        <f t="shared" si="4"/>
        <v>1</v>
      </c>
      <c r="I66" s="439">
        <f>IF(OR(ISBLANK(A66),ISNA(MATCH(A66&amp;"",AthleteNumbers,0))),0,MATCH(A66&amp;"",AthleteNumbers,0))</f>
        <v>29</v>
      </c>
      <c r="J66" s="209" t="str">
        <f t="array" ref="J66">IF(I66&gt;0,INDEX(DB,$I66,6),0)</f>
        <v/>
      </c>
      <c r="K66" s="446">
        <f t="shared" si="5"/>
        <v>3.33</v>
      </c>
      <c r="L66" s="446">
        <f t="shared" si="6"/>
        <v>3.33</v>
      </c>
      <c r="M66" s="441">
        <f>IF(L66&lt;O66,MinPoints,IF(AND(L66&gt;N66,O66&gt;0),100,+INT(($L66-O66)/P66)+MinPoints))</f>
        <v>47</v>
      </c>
      <c r="N66" s="440">
        <f t="shared" si="7"/>
        <v>4.9</v>
      </c>
      <c r="O66" s="440">
        <f t="shared" si="8"/>
        <v>2.2</v>
      </c>
      <c r="P66" s="440">
        <f t="shared" si="9"/>
        <v>0.03</v>
      </c>
      <c r="Q66">
        <f t="array" ref="Q66">IF(I66&gt;0,INDEX(DB,I66,9),EventIndex)</f>
        <v>6</v>
      </c>
      <c r="S66" s="447">
        <f t="array" ref="S66">INDEX(MINVALUES,$Q66,$K$1)</f>
        <v>2.2</v>
      </c>
      <c r="T66" s="448">
        <f t="array" ref="T66">INDEX(INCVALUES,$Q66,$K$1)</f>
        <v>0.03</v>
      </c>
      <c r="V66">
        <f t="array" ref="V66">+J66+(4*(INDEX(MatchScoreTable,$Q66,20)-1))</f>
        <v>4</v>
      </c>
      <c r="W66" s="442">
        <f t="array" ref="W66">INDEX(INC_MINVALUES,$V66,$K$1)</f>
        <v>0.2</v>
      </c>
      <c r="X66" s="212">
        <f t="array" ref="X66">INDEX(INC_INCVALUES,$V66,$K$1)</f>
        <v>0.02</v>
      </c>
    </row>
    <row r="67" ht="15.75" customHeight="1">
      <c r="A67" s="435" t="s">
        <v>190</v>
      </c>
      <c r="B67" s="436">
        <v>2.73</v>
      </c>
      <c r="C67" s="95" t="str">
        <f t="array" ref="C67">IF(I67&gt;0,INDEX(DB,I67,8),"")</f>
        <v>Harley Vincent</v>
      </c>
      <c r="D67" s="437">
        <f t="shared" si="1"/>
        <v>27</v>
      </c>
      <c r="F67" s="438">
        <f t="shared" si="2"/>
        <v>1</v>
      </c>
      <c r="G67" t="str">
        <f t="shared" si="3"/>
        <v/>
      </c>
      <c r="H67" t="b">
        <f t="shared" si="4"/>
        <v>1</v>
      </c>
      <c r="I67" s="439">
        <f>IF(OR(ISBLANK(A67),ISNA(MATCH(A67&amp;"",AthleteNumbers,0))),0,MATCH(A67&amp;"",AthleteNumbers,0))</f>
        <v>30</v>
      </c>
      <c r="J67" s="209" t="str">
        <f t="array" ref="J67">IF(I67&gt;0,INDEX(DB,$I67,6),0)</f>
        <v/>
      </c>
      <c r="K67" s="446">
        <f t="shared" si="5"/>
        <v>2.73</v>
      </c>
      <c r="L67" s="446">
        <f t="shared" si="6"/>
        <v>2.73</v>
      </c>
      <c r="M67" s="441">
        <f>IF(L67&lt;O67,MinPoints,IF(AND(L67&gt;N67,O67&gt;0),100,+INT(($L67-O67)/P67)+MinPoints))</f>
        <v>27</v>
      </c>
      <c r="N67" s="440">
        <f t="shared" si="7"/>
        <v>4.9</v>
      </c>
      <c r="O67" s="440">
        <f t="shared" si="8"/>
        <v>2.2</v>
      </c>
      <c r="P67" s="440">
        <f t="shared" si="9"/>
        <v>0.03</v>
      </c>
      <c r="Q67">
        <f t="array" ref="Q67">IF(I67&gt;0,INDEX(DB,I67,9),EventIndex)</f>
        <v>6</v>
      </c>
      <c r="S67" s="447">
        <f t="array" ref="S67">INDEX(MINVALUES,$Q67,$K$1)</f>
        <v>2.2</v>
      </c>
      <c r="T67" s="448">
        <f t="array" ref="T67">INDEX(INCVALUES,$Q67,$K$1)</f>
        <v>0.03</v>
      </c>
      <c r="V67">
        <f t="array" ref="V67">+J67+(4*(INDEX(MatchScoreTable,$Q67,20)-1))</f>
        <v>4</v>
      </c>
      <c r="W67" s="442">
        <f t="array" ref="W67">INDEX(INC_MINVALUES,$V67,$K$1)</f>
        <v>0.2</v>
      </c>
      <c r="X67" s="212">
        <f t="array" ref="X67">INDEX(INC_INCVALUES,$V67,$K$1)</f>
        <v>0.02</v>
      </c>
    </row>
    <row r="68" ht="15.75" customHeight="1">
      <c r="A68" s="435" t="s">
        <v>192</v>
      </c>
      <c r="B68" s="436">
        <v>2.72</v>
      </c>
      <c r="C68" s="95" t="str">
        <f t="array" ref="C68">IF(I68&gt;0,INDEX(DB,I68,8),"")</f>
        <v>Leo Welstead</v>
      </c>
      <c r="D68" s="437">
        <f t="shared" si="1"/>
        <v>27</v>
      </c>
      <c r="F68" s="438">
        <f t="shared" si="2"/>
        <v>1</v>
      </c>
      <c r="G68" t="str">
        <f t="shared" si="3"/>
        <v/>
      </c>
      <c r="H68" t="b">
        <f t="shared" si="4"/>
        <v>1</v>
      </c>
      <c r="I68" s="439">
        <f>IF(OR(ISBLANK(A68),ISNA(MATCH(A68&amp;"",AthleteNumbers,0))),0,MATCH(A68&amp;"",AthleteNumbers,0))</f>
        <v>31</v>
      </c>
      <c r="J68" s="209" t="str">
        <f t="array" ref="J68">IF(I68&gt;0,INDEX(DB,$I68,6),0)</f>
        <v/>
      </c>
      <c r="K68" s="446">
        <f t="shared" si="5"/>
        <v>2.72</v>
      </c>
      <c r="L68" s="446">
        <f t="shared" si="6"/>
        <v>2.72</v>
      </c>
      <c r="M68" s="441">
        <f>IF(L68&lt;O68,MinPoints,IF(AND(L68&gt;N68,O68&gt;0),100,+INT(($L68-O68)/P68)+MinPoints))</f>
        <v>27</v>
      </c>
      <c r="N68" s="440">
        <f t="shared" si="7"/>
        <v>4.9</v>
      </c>
      <c r="O68" s="440">
        <f t="shared" si="8"/>
        <v>2.2</v>
      </c>
      <c r="P68" s="440">
        <f t="shared" si="9"/>
        <v>0.03</v>
      </c>
      <c r="Q68">
        <f t="array" ref="Q68">IF(I68&gt;0,INDEX(DB,I68,9),EventIndex)</f>
        <v>6</v>
      </c>
      <c r="S68" s="447">
        <f t="array" ref="S68">INDEX(MINVALUES,$Q68,$K$1)</f>
        <v>2.2</v>
      </c>
      <c r="T68" s="448">
        <f t="array" ref="T68">INDEX(INCVALUES,$Q68,$K$1)</f>
        <v>0.03</v>
      </c>
      <c r="V68">
        <f t="array" ref="V68">+J68+(4*(INDEX(MatchScoreTable,$Q68,20)-1))</f>
        <v>4</v>
      </c>
      <c r="W68" s="442">
        <f t="array" ref="W68">INDEX(INC_MINVALUES,$V68,$K$1)</f>
        <v>0.2</v>
      </c>
      <c r="X68" s="212">
        <f t="array" ref="X68">INDEX(INC_INCVALUES,$V68,$K$1)</f>
        <v>0.02</v>
      </c>
    </row>
    <row r="69" ht="15.75" customHeight="1">
      <c r="A69" s="435" t="s">
        <v>194</v>
      </c>
      <c r="B69" s="436">
        <v>2.59</v>
      </c>
      <c r="C69" s="95" t="str">
        <f t="array" ref="C69">IF(I69&gt;0,INDEX(DB,I69,8),"")</f>
        <v>Otto Williams</v>
      </c>
      <c r="D69" s="437">
        <f t="shared" si="1"/>
        <v>23</v>
      </c>
      <c r="F69" s="438">
        <f t="shared" si="2"/>
        <v>1</v>
      </c>
      <c r="G69" t="str">
        <f t="shared" si="3"/>
        <v/>
      </c>
      <c r="H69" t="b">
        <f t="shared" si="4"/>
        <v>1</v>
      </c>
      <c r="I69" s="439">
        <f>IF(OR(ISBLANK(A69),ISNA(MATCH(A69&amp;"",AthleteNumbers,0))),0,MATCH(A69&amp;"",AthleteNumbers,0))</f>
        <v>32</v>
      </c>
      <c r="J69" s="209" t="str">
        <f t="array" ref="J69">IF(I69&gt;0,INDEX(DB,$I69,6),0)</f>
        <v/>
      </c>
      <c r="K69" s="446">
        <f t="shared" si="5"/>
        <v>2.59</v>
      </c>
      <c r="L69" s="446">
        <f t="shared" si="6"/>
        <v>2.59</v>
      </c>
      <c r="M69" s="441">
        <f>IF(L69&lt;O69,MinPoints,IF(AND(L69&gt;N69,O69&gt;0),100,+INT(($L69-O69)/P69)+MinPoints))</f>
        <v>23</v>
      </c>
      <c r="N69" s="440">
        <f t="shared" si="7"/>
        <v>4.9</v>
      </c>
      <c r="O69" s="440">
        <f t="shared" si="8"/>
        <v>2.2</v>
      </c>
      <c r="P69" s="440">
        <f t="shared" si="9"/>
        <v>0.03</v>
      </c>
      <c r="Q69">
        <f t="array" ref="Q69">IF(I69&gt;0,INDEX(DB,I69,9),EventIndex)</f>
        <v>6</v>
      </c>
      <c r="S69" s="447">
        <f t="array" ref="S69">INDEX(MINVALUES,$Q69,$K$1)</f>
        <v>2.2</v>
      </c>
      <c r="T69" s="448">
        <f t="array" ref="T69">INDEX(INCVALUES,$Q69,$K$1)</f>
        <v>0.03</v>
      </c>
      <c r="V69">
        <f t="array" ref="V69">+J69+(4*(INDEX(MatchScoreTable,$Q69,20)-1))</f>
        <v>4</v>
      </c>
      <c r="W69" s="442">
        <f t="array" ref="W69">INDEX(INC_MINVALUES,$V69,$K$1)</f>
        <v>0.2</v>
      </c>
      <c r="X69" s="212">
        <f t="array" ref="X69">INDEX(INC_INCVALUES,$V69,$K$1)</f>
        <v>0.02</v>
      </c>
    </row>
    <row r="70" ht="15.75" customHeight="1">
      <c r="A70" s="435" t="s">
        <v>196</v>
      </c>
      <c r="B70" s="436">
        <v>3.22</v>
      </c>
      <c r="C70" s="95" t="str">
        <f t="array" ref="C70">IF(I70&gt;0,INDEX(DB,I70,8),"")</f>
        <v>Harry Williams</v>
      </c>
      <c r="D70" s="437">
        <f t="shared" si="1"/>
        <v>44</v>
      </c>
      <c r="F70" s="438">
        <f t="shared" si="2"/>
        <v>1</v>
      </c>
      <c r="G70" t="str">
        <f t="shared" si="3"/>
        <v/>
      </c>
      <c r="H70" t="b">
        <f t="shared" si="4"/>
        <v>1</v>
      </c>
      <c r="I70" s="439">
        <f>IF(OR(ISBLANK(A70),ISNA(MATCH(A70&amp;"",AthleteNumbers,0))),0,MATCH(A70&amp;"",AthleteNumbers,0))</f>
        <v>33</v>
      </c>
      <c r="J70" s="209" t="str">
        <f t="array" ref="J70">IF(I70&gt;0,INDEX(DB,$I70,6),0)</f>
        <v/>
      </c>
      <c r="K70" s="446">
        <f t="shared" si="5"/>
        <v>3.22</v>
      </c>
      <c r="L70" s="446">
        <f t="shared" si="6"/>
        <v>3.22</v>
      </c>
      <c r="M70" s="441">
        <f>IF(L70&lt;O70,MinPoints,IF(AND(L70&gt;N70,O70&gt;0),100,+INT(($L70-O70)/P70)+MinPoints))</f>
        <v>44</v>
      </c>
      <c r="N70" s="440">
        <f t="shared" si="7"/>
        <v>4.9</v>
      </c>
      <c r="O70" s="440">
        <f t="shared" si="8"/>
        <v>2.2</v>
      </c>
      <c r="P70" s="440">
        <f t="shared" si="9"/>
        <v>0.03</v>
      </c>
      <c r="Q70">
        <f t="array" ref="Q70">IF(I70&gt;0,INDEX(DB,I70,9),EventIndex)</f>
        <v>6</v>
      </c>
      <c r="S70" s="447">
        <f t="array" ref="S70">INDEX(MINVALUES,$Q70,$K$1)</f>
        <v>2.2</v>
      </c>
      <c r="T70" s="448">
        <f t="array" ref="T70">INDEX(INCVALUES,$Q70,$K$1)</f>
        <v>0.03</v>
      </c>
      <c r="V70">
        <f t="array" ref="V70">+J70+(4*(INDEX(MatchScoreTable,$Q70,20)-1))</f>
        <v>4</v>
      </c>
      <c r="W70" s="442">
        <f t="array" ref="W70">INDEX(INC_MINVALUES,$V70,$K$1)</f>
        <v>0.2</v>
      </c>
      <c r="X70" s="212">
        <f t="array" ref="X70">INDEX(INC_INCVALUES,$V70,$K$1)</f>
        <v>0.02</v>
      </c>
    </row>
    <row r="71" ht="15.75" customHeight="1">
      <c r="A71" s="435"/>
      <c r="B71" s="436"/>
      <c r="C71" s="95" t="str">
        <f t="array" ref="C71">IF(I71&gt;0,INDEX(DB,I71,8),"")</f>
        <v/>
      </c>
      <c r="D71" s="437">
        <f t="shared" si="1"/>
        <v>0</v>
      </c>
      <c r="F71" s="438">
        <f t="shared" si="2"/>
        <v>0</v>
      </c>
      <c r="G71" t="str">
        <f t="shared" si="3"/>
        <v/>
      </c>
      <c r="H71" t="b">
        <f t="shared" si="4"/>
        <v>0</v>
      </c>
      <c r="I71" s="439">
        <f>IF(OR(ISBLANK(A71),ISNA(MATCH(A71&amp;"",AthleteNumbers,0))),0,MATCH(A71&amp;"",AthleteNumbers,0))</f>
        <v>0</v>
      </c>
      <c r="J71" s="209">
        <f t="array" ref="J71">IF(I71&gt;0,INDEX(DB,$I71,6),0)</f>
        <v>0</v>
      </c>
      <c r="K71" s="446">
        <f t="shared" si="5"/>
        <v>0</v>
      </c>
      <c r="L71" s="446">
        <f t="shared" si="6"/>
        <v>0</v>
      </c>
      <c r="M71" s="441">
        <f>IF(L71&lt;O71,MinPoints,IF(AND(L71&gt;N71,O71&gt;0),100,+INT(($L71-O71)/P71)+MinPoints))</f>
        <v>10</v>
      </c>
      <c r="N71" s="440">
        <f t="shared" si="7"/>
        <v>4.9</v>
      </c>
      <c r="O71" s="440">
        <f t="shared" si="8"/>
        <v>2.2</v>
      </c>
      <c r="P71" s="440">
        <f t="shared" si="9"/>
        <v>0.03</v>
      </c>
      <c r="Q71">
        <f t="array" ref="Q71">IF(I71&gt;0,INDEX(DB,I71,9),EventIndex)</f>
        <v>6</v>
      </c>
      <c r="S71" s="447">
        <f t="array" ref="S71">INDEX(MINVALUES,$Q71,$K$1)</f>
        <v>2.2</v>
      </c>
      <c r="T71" s="448">
        <f t="array" ref="T71">INDEX(INCVALUES,$Q71,$K$1)</f>
        <v>0.03</v>
      </c>
      <c r="V71">
        <f t="array" ref="V71">+J71+(4*(INDEX(MatchScoreTable,$Q71,20)-1))</f>
        <v>4</v>
      </c>
      <c r="W71" s="442">
        <f t="array" ref="W71">INDEX(INC_MINVALUES,$V71,$K$1)</f>
        <v>0.2</v>
      </c>
      <c r="X71" s="212">
        <f t="array" ref="X71">INDEX(INC_INCVALUES,$V71,$K$1)</f>
        <v>0.02</v>
      </c>
    </row>
    <row r="72" ht="15.75" customHeight="1">
      <c r="A72" s="435"/>
      <c r="B72" s="436"/>
      <c r="C72" s="95" t="str">
        <f t="array" ref="C72">IF(I72&gt;0,INDEX(DB,I72,8),"")</f>
        <v/>
      </c>
      <c r="D72" s="437">
        <f t="shared" si="1"/>
        <v>0</v>
      </c>
      <c r="F72" s="438">
        <f t="shared" si="2"/>
        <v>0</v>
      </c>
      <c r="G72" t="str">
        <f t="shared" si="3"/>
        <v/>
      </c>
      <c r="H72" t="b">
        <f t="shared" si="4"/>
        <v>0</v>
      </c>
      <c r="I72" s="439">
        <f>IF(OR(ISBLANK(A72),ISNA(MATCH(A72&amp;"",AthleteNumbers,0))),0,MATCH(A72&amp;"",AthleteNumbers,0))</f>
        <v>0</v>
      </c>
      <c r="J72" s="209">
        <f t="array" ref="J72">IF(I72&gt;0,INDEX(DB,$I72,6),0)</f>
        <v>0</v>
      </c>
      <c r="K72" s="446">
        <f t="shared" si="5"/>
        <v>0</v>
      </c>
      <c r="L72" s="446">
        <f t="shared" si="6"/>
        <v>0</v>
      </c>
      <c r="M72" s="441">
        <f>IF(L72&lt;O72,MinPoints,IF(AND(L72&gt;N72,O72&gt;0),100,+INT(($L72-O72)/P72)+MinPoints))</f>
        <v>10</v>
      </c>
      <c r="N72" s="440">
        <f t="shared" si="7"/>
        <v>4.9</v>
      </c>
      <c r="O72" s="440">
        <f t="shared" si="8"/>
        <v>2.2</v>
      </c>
      <c r="P72" s="440">
        <f t="shared" si="9"/>
        <v>0.03</v>
      </c>
      <c r="Q72">
        <f t="array" ref="Q72">IF(I72&gt;0,INDEX(DB,I72,9),EventIndex)</f>
        <v>6</v>
      </c>
      <c r="S72" s="447">
        <f t="array" ref="S72">INDEX(MINVALUES,$Q72,$K$1)</f>
        <v>2.2</v>
      </c>
      <c r="T72" s="448">
        <f t="array" ref="T72">INDEX(INCVALUES,$Q72,$K$1)</f>
        <v>0.03</v>
      </c>
      <c r="V72">
        <f t="array" ref="V72">+J72+(4*(INDEX(MatchScoreTable,$Q72,20)-1))</f>
        <v>4</v>
      </c>
      <c r="W72" s="442">
        <f t="array" ref="W72">INDEX(INC_MINVALUES,$V72,$K$1)</f>
        <v>0.2</v>
      </c>
      <c r="X72" s="212">
        <f t="array" ref="X72">INDEX(INC_INCVALUES,$V72,$K$1)</f>
        <v>0.02</v>
      </c>
    </row>
    <row r="73" ht="15.75" customHeight="1">
      <c r="A73" s="435"/>
      <c r="B73" s="436"/>
      <c r="C73" s="95" t="str">
        <f t="array" ref="C73">IF(I73&gt;0,INDEX(DB,I73,8),"")</f>
        <v/>
      </c>
      <c r="D73" s="437">
        <f t="shared" si="1"/>
        <v>0</v>
      </c>
      <c r="F73" s="438">
        <f t="shared" si="2"/>
        <v>0</v>
      </c>
      <c r="G73" t="str">
        <f t="shared" si="3"/>
        <v/>
      </c>
      <c r="H73" t="b">
        <f t="shared" si="4"/>
        <v>0</v>
      </c>
      <c r="I73" s="439">
        <f>IF(OR(ISBLANK(A73),ISNA(MATCH(A73&amp;"",AthleteNumbers,0))),0,MATCH(A73&amp;"",AthleteNumbers,0))</f>
        <v>0</v>
      </c>
      <c r="J73" s="209">
        <f t="array" ref="J73">IF(I73&gt;0,INDEX(DB,$I73,6),0)</f>
        <v>0</v>
      </c>
      <c r="K73" s="446">
        <f t="shared" si="5"/>
        <v>0</v>
      </c>
      <c r="L73" s="446">
        <f t="shared" si="6"/>
        <v>0</v>
      </c>
      <c r="M73" s="441">
        <f>IF(L73&lt;O73,MinPoints,IF(AND(L73&gt;N73,O73&gt;0),100,+INT(($L73-O73)/P73)+MinPoints))</f>
        <v>10</v>
      </c>
      <c r="N73" s="440">
        <f t="shared" si="7"/>
        <v>4.9</v>
      </c>
      <c r="O73" s="440">
        <f t="shared" si="8"/>
        <v>2.2</v>
      </c>
      <c r="P73" s="440">
        <f t="shared" si="9"/>
        <v>0.03</v>
      </c>
      <c r="Q73">
        <f t="array" ref="Q73">IF(I73&gt;0,INDEX(DB,I73,9),EventIndex)</f>
        <v>6</v>
      </c>
      <c r="S73" s="447">
        <f t="array" ref="S73">INDEX(MINVALUES,$Q73,$K$1)</f>
        <v>2.2</v>
      </c>
      <c r="T73" s="448">
        <f t="array" ref="T73">INDEX(INCVALUES,$Q73,$K$1)</f>
        <v>0.03</v>
      </c>
      <c r="V73">
        <f t="array" ref="V73">+J73+(4*(INDEX(MatchScoreTable,$Q73,20)-1))</f>
        <v>4</v>
      </c>
      <c r="W73" s="442">
        <f t="array" ref="W73">INDEX(INC_MINVALUES,$V73,$K$1)</f>
        <v>0.2</v>
      </c>
      <c r="X73" s="212">
        <f t="array" ref="X73">INDEX(INC_INCVALUES,$V73,$K$1)</f>
        <v>0.02</v>
      </c>
    </row>
    <row r="74" ht="15.75" customHeight="1">
      <c r="A74" s="435"/>
      <c r="B74" s="436"/>
      <c r="C74" s="95" t="str">
        <f t="array" ref="C74">IF(I74&gt;0,INDEX(DB,I74,8),"")</f>
        <v/>
      </c>
      <c r="D74" s="437">
        <f t="shared" si="1"/>
        <v>0</v>
      </c>
      <c r="F74" s="438">
        <f t="shared" si="2"/>
        <v>0</v>
      </c>
      <c r="G74" t="str">
        <f t="shared" si="3"/>
        <v/>
      </c>
      <c r="H74" t="b">
        <f t="shared" si="4"/>
        <v>0</v>
      </c>
      <c r="I74" s="439">
        <f>IF(OR(ISBLANK(A74),ISNA(MATCH(A74&amp;"",AthleteNumbers,0))),0,MATCH(A74&amp;"",AthleteNumbers,0))</f>
        <v>0</v>
      </c>
      <c r="J74" s="209">
        <f t="array" ref="J74">IF(I74&gt;0,INDEX(DB,$I74,6),0)</f>
        <v>0</v>
      </c>
      <c r="K74" s="446">
        <f t="shared" si="5"/>
        <v>0</v>
      </c>
      <c r="L74" s="446">
        <f t="shared" si="6"/>
        <v>0</v>
      </c>
      <c r="M74" s="441">
        <f>IF(L74&lt;O74,MinPoints,IF(AND(L74&gt;N74,O74&gt;0),100,+INT(($L74-O74)/P74)+MinPoints))</f>
        <v>10</v>
      </c>
      <c r="N74" s="440">
        <f t="shared" si="7"/>
        <v>4.9</v>
      </c>
      <c r="O74" s="440">
        <f t="shared" si="8"/>
        <v>2.2</v>
      </c>
      <c r="P74" s="440">
        <f t="shared" si="9"/>
        <v>0.03</v>
      </c>
      <c r="Q74">
        <f t="array" ref="Q74">IF(I74&gt;0,INDEX(DB,I74,9),EventIndex)</f>
        <v>6</v>
      </c>
      <c r="S74" s="447">
        <f t="array" ref="S74">INDEX(MINVALUES,$Q74,$K$1)</f>
        <v>2.2</v>
      </c>
      <c r="T74" s="448">
        <f t="array" ref="T74">INDEX(INCVALUES,$Q74,$K$1)</f>
        <v>0.03</v>
      </c>
      <c r="V74">
        <f t="array" ref="V74">+J74+(4*(INDEX(MatchScoreTable,$Q74,20)-1))</f>
        <v>4</v>
      </c>
      <c r="W74" s="442">
        <f t="array" ref="W74">INDEX(INC_MINVALUES,$V74,$K$1)</f>
        <v>0.2</v>
      </c>
      <c r="X74" s="212">
        <f t="array" ref="X74">INDEX(INC_INCVALUES,$V74,$K$1)</f>
        <v>0.02</v>
      </c>
    </row>
    <row r="75" ht="15.75" customHeight="1">
      <c r="A75" s="435"/>
      <c r="B75" s="436"/>
      <c r="C75" s="95" t="str">
        <f t="array" ref="C75">IF(I75&gt;0,INDEX(DB,I75,8),"")</f>
        <v/>
      </c>
      <c r="D75" s="437">
        <f t="shared" si="1"/>
        <v>0</v>
      </c>
      <c r="F75" s="438">
        <f t="shared" si="2"/>
        <v>0</v>
      </c>
      <c r="G75" t="str">
        <f t="shared" si="3"/>
        <v/>
      </c>
      <c r="H75" t="b">
        <f t="shared" si="4"/>
        <v>0</v>
      </c>
      <c r="I75" s="439">
        <f>IF(OR(ISBLANK(A75),ISNA(MATCH(A75&amp;"",AthleteNumbers,0))),0,MATCH(A75&amp;"",AthleteNumbers,0))</f>
        <v>0</v>
      </c>
      <c r="J75" s="209">
        <f t="array" ref="J75">IF(I75&gt;0,INDEX(DB,$I75,6),0)</f>
        <v>0</v>
      </c>
      <c r="K75" s="446">
        <f t="shared" si="5"/>
        <v>0</v>
      </c>
      <c r="L75" s="446">
        <f t="shared" si="6"/>
        <v>0</v>
      </c>
      <c r="M75" s="441">
        <f>IF(L75&lt;O75,MinPoints,IF(AND(L75&gt;N75,O75&gt;0),100,+INT(($L75-O75)/P75)+MinPoints))</f>
        <v>10</v>
      </c>
      <c r="N75" s="440">
        <f t="shared" si="7"/>
        <v>4.9</v>
      </c>
      <c r="O75" s="440">
        <f t="shared" si="8"/>
        <v>2.2</v>
      </c>
      <c r="P75" s="440">
        <f t="shared" si="9"/>
        <v>0.03</v>
      </c>
      <c r="Q75">
        <f t="array" ref="Q75">IF(I75&gt;0,INDEX(DB,I75,9),EventIndex)</f>
        <v>6</v>
      </c>
      <c r="S75" s="447">
        <f t="array" ref="S75">INDEX(MINVALUES,$Q75,$K$1)</f>
        <v>2.2</v>
      </c>
      <c r="T75" s="448">
        <f t="array" ref="T75">INDEX(INCVALUES,$Q75,$K$1)</f>
        <v>0.03</v>
      </c>
      <c r="V75">
        <f t="array" ref="V75">+J75+(4*(INDEX(MatchScoreTable,$Q75,20)-1))</f>
        <v>4</v>
      </c>
      <c r="W75" s="442">
        <f t="array" ref="W75">INDEX(INC_MINVALUES,$V75,$K$1)</f>
        <v>0.2</v>
      </c>
      <c r="X75" s="212">
        <f t="array" ref="X75">INDEX(INC_INCVALUES,$V75,$K$1)</f>
        <v>0.02</v>
      </c>
    </row>
    <row r="76" ht="15.75" customHeight="1">
      <c r="A76" s="435"/>
      <c r="B76" s="436"/>
      <c r="C76" s="95" t="str">
        <f t="array" ref="C76">IF(I76&gt;0,INDEX(DB,I76,8),"")</f>
        <v/>
      </c>
      <c r="D76" s="437">
        <f t="shared" si="1"/>
        <v>0</v>
      </c>
      <c r="F76" s="438">
        <f t="shared" si="2"/>
        <v>0</v>
      </c>
      <c r="G76" t="str">
        <f t="shared" si="3"/>
        <v/>
      </c>
      <c r="H76" t="b">
        <f t="shared" si="4"/>
        <v>0</v>
      </c>
      <c r="I76" s="439">
        <f>IF(OR(ISBLANK(A76),ISNA(MATCH(A76&amp;"",AthleteNumbers,0))),0,MATCH(A76&amp;"",AthleteNumbers,0))</f>
        <v>0</v>
      </c>
      <c r="J76" s="209">
        <f t="array" ref="J76">IF(I76&gt;0,INDEX(DB,$I76,6),0)</f>
        <v>0</v>
      </c>
      <c r="K76" s="446">
        <f t="shared" si="5"/>
        <v>0</v>
      </c>
      <c r="L76" s="446">
        <f t="shared" si="6"/>
        <v>0</v>
      </c>
      <c r="M76" s="441">
        <f>IF(L76&lt;O76,MinPoints,IF(AND(L76&gt;N76,O76&gt;0),100,+INT(($L76-O76)/P76)+MinPoints))</f>
        <v>10</v>
      </c>
      <c r="N76" s="440">
        <f t="shared" si="7"/>
        <v>4.9</v>
      </c>
      <c r="O76" s="440">
        <f t="shared" si="8"/>
        <v>2.2</v>
      </c>
      <c r="P76" s="440">
        <f t="shared" si="9"/>
        <v>0.03</v>
      </c>
      <c r="Q76">
        <f t="array" ref="Q76">IF(I76&gt;0,INDEX(DB,I76,9),EventIndex)</f>
        <v>6</v>
      </c>
      <c r="S76" s="447">
        <f t="array" ref="S76">INDEX(MINVALUES,$Q76,$K$1)</f>
        <v>2.2</v>
      </c>
      <c r="T76" s="448">
        <f t="array" ref="T76">INDEX(INCVALUES,$Q76,$K$1)</f>
        <v>0.03</v>
      </c>
      <c r="V76">
        <f t="array" ref="V76">+J76+(4*(INDEX(MatchScoreTable,$Q76,20)-1))</f>
        <v>4</v>
      </c>
      <c r="W76" s="442">
        <f t="array" ref="W76">INDEX(INC_MINVALUES,$V76,$K$1)</f>
        <v>0.2</v>
      </c>
      <c r="X76" s="212">
        <f t="array" ref="X76">INDEX(INC_INCVALUES,$V76,$K$1)</f>
        <v>0.02</v>
      </c>
    </row>
    <row r="77" ht="15.75" customHeight="1">
      <c r="A77" s="435"/>
      <c r="B77" s="436"/>
      <c r="C77" s="95" t="str">
        <f t="array" ref="C77">IF(I77&gt;0,INDEX(DB,I77,8),"")</f>
        <v/>
      </c>
      <c r="D77" s="437">
        <f t="shared" si="1"/>
        <v>0</v>
      </c>
      <c r="F77" s="438">
        <f t="shared" si="2"/>
        <v>0</v>
      </c>
      <c r="G77" t="str">
        <f t="shared" si="3"/>
        <v/>
      </c>
      <c r="H77" t="b">
        <f t="shared" si="4"/>
        <v>0</v>
      </c>
      <c r="I77" s="439">
        <f>IF(OR(ISBLANK(A77),ISNA(MATCH(A77&amp;"",AthleteNumbers,0))),0,MATCH(A77&amp;"",AthleteNumbers,0))</f>
        <v>0</v>
      </c>
      <c r="J77" s="209">
        <f t="array" ref="J77">IF(I77&gt;0,INDEX(DB,$I77,6),0)</f>
        <v>0</v>
      </c>
      <c r="K77" s="446">
        <f t="shared" si="5"/>
        <v>0</v>
      </c>
      <c r="L77" s="446">
        <f t="shared" si="6"/>
        <v>0</v>
      </c>
      <c r="M77" s="441">
        <f>IF(L77&lt;O77,MinPoints,IF(AND(L77&gt;N77,O77&gt;0),100,+INT(($L77-O77)/P77)+MinPoints))</f>
        <v>10</v>
      </c>
      <c r="N77" s="440">
        <f t="shared" si="7"/>
        <v>4.9</v>
      </c>
      <c r="O77" s="440">
        <f t="shared" si="8"/>
        <v>2.2</v>
      </c>
      <c r="P77" s="440">
        <f t="shared" si="9"/>
        <v>0.03</v>
      </c>
      <c r="Q77">
        <f t="array" ref="Q77">IF(I77&gt;0,INDEX(DB,I77,9),EventIndex)</f>
        <v>6</v>
      </c>
      <c r="S77" s="447">
        <f t="array" ref="S77">INDEX(MINVALUES,$Q77,$K$1)</f>
        <v>2.2</v>
      </c>
      <c r="T77" s="448">
        <f t="array" ref="T77">INDEX(INCVALUES,$Q77,$K$1)</f>
        <v>0.03</v>
      </c>
      <c r="V77">
        <f t="array" ref="V77">+J77+(4*(INDEX(MatchScoreTable,$Q77,20)-1))</f>
        <v>4</v>
      </c>
      <c r="W77" s="442">
        <f t="array" ref="W77">INDEX(INC_MINVALUES,$V77,$K$1)</f>
        <v>0.2</v>
      </c>
      <c r="X77" s="212">
        <f t="array" ref="X77">INDEX(INC_INCVALUES,$V77,$K$1)</f>
        <v>0.02</v>
      </c>
    </row>
    <row r="78" ht="15.75" customHeight="1">
      <c r="A78" s="435"/>
      <c r="B78" s="436"/>
      <c r="C78" s="95" t="str">
        <f t="array" ref="C78">IF(I78&gt;0,INDEX(DB,I78,8),"")</f>
        <v/>
      </c>
      <c r="D78" s="437">
        <f t="shared" si="1"/>
        <v>0</v>
      </c>
      <c r="F78" s="438">
        <f t="shared" si="2"/>
        <v>0</v>
      </c>
      <c r="G78" t="str">
        <f t="shared" si="3"/>
        <v/>
      </c>
      <c r="H78" t="b">
        <f t="shared" si="4"/>
        <v>0</v>
      </c>
      <c r="I78" s="439">
        <f>IF(OR(ISBLANK(A78),ISNA(MATCH(A78&amp;"",AthleteNumbers,0))),0,MATCH(A78&amp;"",AthleteNumbers,0))</f>
        <v>0</v>
      </c>
      <c r="J78" s="209">
        <f t="array" ref="J78">IF(I78&gt;0,INDEX(DB,$I78,6),0)</f>
        <v>0</v>
      </c>
      <c r="K78" s="446">
        <f t="shared" si="5"/>
        <v>0</v>
      </c>
      <c r="L78" s="446">
        <f t="shared" si="6"/>
        <v>0</v>
      </c>
      <c r="M78" s="441">
        <f>IF(L78&lt;O78,MinPoints,IF(AND(L78&gt;N78,O78&gt;0),100,+INT(($L78-O78)/P78)+MinPoints))</f>
        <v>10</v>
      </c>
      <c r="N78" s="440">
        <f t="shared" si="7"/>
        <v>4.9</v>
      </c>
      <c r="O78" s="440">
        <f t="shared" si="8"/>
        <v>2.2</v>
      </c>
      <c r="P78" s="440">
        <f t="shared" si="9"/>
        <v>0.03</v>
      </c>
      <c r="Q78">
        <f t="array" ref="Q78">IF(I78&gt;0,INDEX(DB,I78,9),EventIndex)</f>
        <v>6</v>
      </c>
      <c r="S78" s="447">
        <f t="array" ref="S78">INDEX(MINVALUES,$Q78,$K$1)</f>
        <v>2.2</v>
      </c>
      <c r="T78" s="448">
        <f t="array" ref="T78">INDEX(INCVALUES,$Q78,$K$1)</f>
        <v>0.03</v>
      </c>
      <c r="V78">
        <f t="array" ref="V78">+J78+(4*(INDEX(MatchScoreTable,$Q78,20)-1))</f>
        <v>4</v>
      </c>
      <c r="W78" s="442">
        <f t="array" ref="W78">INDEX(INC_MINVALUES,$V78,$K$1)</f>
        <v>0.2</v>
      </c>
      <c r="X78" s="212">
        <f t="array" ref="X78">INDEX(INC_INCVALUES,$V78,$K$1)</f>
        <v>0.02</v>
      </c>
    </row>
    <row r="79" ht="15.75" customHeight="1">
      <c r="A79" s="435"/>
      <c r="B79" s="436"/>
      <c r="C79" s="95" t="str">
        <f t="array" ref="C79">IF(I79&gt;0,INDEX(DB,I79,8),"")</f>
        <v/>
      </c>
      <c r="D79" s="437">
        <f t="shared" si="1"/>
        <v>0</v>
      </c>
      <c r="F79" s="438">
        <f t="shared" si="2"/>
        <v>0</v>
      </c>
      <c r="G79" t="str">
        <f t="shared" si="3"/>
        <v/>
      </c>
      <c r="H79" t="b">
        <f t="shared" si="4"/>
        <v>0</v>
      </c>
      <c r="I79" s="439">
        <f>IF(OR(ISBLANK(A79),ISNA(MATCH(A79&amp;"",AthleteNumbers,0))),0,MATCH(A79&amp;"",AthleteNumbers,0))</f>
        <v>0</v>
      </c>
      <c r="J79" s="209">
        <f t="array" ref="J79">IF(I79&gt;0,INDEX(DB,$I79,6),0)</f>
        <v>0</v>
      </c>
      <c r="K79" s="446">
        <f t="shared" si="5"/>
        <v>0</v>
      </c>
      <c r="L79" s="446">
        <f t="shared" si="6"/>
        <v>0</v>
      </c>
      <c r="M79" s="441">
        <f>IF(L79&lt;O79,MinPoints,IF(AND(L79&gt;N79,O79&gt;0),100,+INT(($L79-O79)/P79)+MinPoints))</f>
        <v>10</v>
      </c>
      <c r="N79" s="440">
        <f t="shared" si="7"/>
        <v>4.9</v>
      </c>
      <c r="O79" s="440">
        <f t="shared" si="8"/>
        <v>2.2</v>
      </c>
      <c r="P79" s="440">
        <f t="shared" si="9"/>
        <v>0.03</v>
      </c>
      <c r="Q79">
        <f t="array" ref="Q79">IF(I79&gt;0,INDEX(DB,I79,9),EventIndex)</f>
        <v>6</v>
      </c>
      <c r="S79" s="447">
        <f t="array" ref="S79">INDEX(MINVALUES,$Q79,$K$1)</f>
        <v>2.2</v>
      </c>
      <c r="T79" s="448">
        <f t="array" ref="T79">INDEX(INCVALUES,$Q79,$K$1)</f>
        <v>0.03</v>
      </c>
      <c r="V79">
        <f t="array" ref="V79">+J79+(4*(INDEX(MatchScoreTable,$Q79,20)-1))</f>
        <v>4</v>
      </c>
      <c r="W79" s="442">
        <f t="array" ref="W79">INDEX(INC_MINVALUES,$V79,$K$1)</f>
        <v>0.2</v>
      </c>
      <c r="X79" s="212">
        <f t="array" ref="X79">INDEX(INC_INCVALUES,$V79,$K$1)</f>
        <v>0.02</v>
      </c>
    </row>
    <row r="80" ht="15.75" customHeight="1">
      <c r="A80" s="435"/>
      <c r="B80" s="436"/>
      <c r="C80" s="95" t="str">
        <f t="array" ref="C80">IF(I80&gt;0,INDEX(DB,I80,8),"")</f>
        <v/>
      </c>
      <c r="D80" s="437">
        <f t="shared" si="1"/>
        <v>0</v>
      </c>
      <c r="F80" s="438">
        <f t="shared" si="2"/>
        <v>0</v>
      </c>
      <c r="G80" t="str">
        <f t="shared" si="3"/>
        <v/>
      </c>
      <c r="H80" t="b">
        <f t="shared" si="4"/>
        <v>0</v>
      </c>
      <c r="I80" s="439">
        <f>IF(OR(ISBLANK(A80),ISNA(MATCH(A80&amp;"",AthleteNumbers,0))),0,MATCH(A80&amp;"",AthleteNumbers,0))</f>
        <v>0</v>
      </c>
      <c r="J80" s="209">
        <f t="array" ref="J80">IF(I80&gt;0,INDEX(DB,$I80,6),0)</f>
        <v>0</v>
      </c>
      <c r="K80" s="446">
        <f t="shared" si="5"/>
        <v>0</v>
      </c>
      <c r="L80" s="446">
        <f t="shared" si="6"/>
        <v>0</v>
      </c>
      <c r="M80" s="441">
        <f>IF(L80&lt;O80,MinPoints,IF(AND(L80&gt;N80,O80&gt;0),100,+INT(($L80-O80)/P80)+MinPoints))</f>
        <v>10</v>
      </c>
      <c r="N80" s="440">
        <f t="shared" si="7"/>
        <v>4.9</v>
      </c>
      <c r="O80" s="440">
        <f t="shared" si="8"/>
        <v>2.2</v>
      </c>
      <c r="P80" s="440">
        <f t="shared" si="9"/>
        <v>0.03</v>
      </c>
      <c r="Q80">
        <f t="array" ref="Q80">IF(I80&gt;0,INDEX(DB,I80,9),EventIndex)</f>
        <v>6</v>
      </c>
      <c r="S80" s="447">
        <f t="array" ref="S80">INDEX(MINVALUES,$Q80,$K$1)</f>
        <v>2.2</v>
      </c>
      <c r="T80" s="448">
        <f t="array" ref="T80">INDEX(INCVALUES,$Q80,$K$1)</f>
        <v>0.03</v>
      </c>
      <c r="V80">
        <f t="array" ref="V80">+J80+(4*(INDEX(MatchScoreTable,$Q80,20)-1))</f>
        <v>4</v>
      </c>
      <c r="W80" s="442">
        <f t="array" ref="W80">INDEX(INC_MINVALUES,$V80,$K$1)</f>
        <v>0.2</v>
      </c>
      <c r="X80" s="212">
        <f t="array" ref="X80">INDEX(INC_INCVALUES,$V80,$K$1)</f>
        <v>0.02</v>
      </c>
    </row>
    <row r="81" ht="15.75" customHeight="1">
      <c r="A81" s="435"/>
      <c r="B81" s="436"/>
      <c r="C81" s="95" t="str">
        <f t="array" ref="C81">IF(I81&gt;0,INDEX(DB,I81,8),"")</f>
        <v/>
      </c>
      <c r="D81" s="437">
        <f t="shared" si="1"/>
        <v>0</v>
      </c>
      <c r="F81" s="438">
        <f t="shared" si="2"/>
        <v>0</v>
      </c>
      <c r="G81" t="str">
        <f t="shared" si="3"/>
        <v/>
      </c>
      <c r="H81" t="b">
        <f t="shared" si="4"/>
        <v>0</v>
      </c>
      <c r="I81" s="439">
        <f>IF(OR(ISBLANK(A81),ISNA(MATCH(A81&amp;"",AthleteNumbers,0))),0,MATCH(A81&amp;"",AthleteNumbers,0))</f>
        <v>0</v>
      </c>
      <c r="J81" s="209">
        <f t="array" ref="J81">IF(I81&gt;0,INDEX(DB,$I81,6),0)</f>
        <v>0</v>
      </c>
      <c r="K81" s="446">
        <f t="shared" si="5"/>
        <v>0</v>
      </c>
      <c r="L81" s="446">
        <f t="shared" si="6"/>
        <v>0</v>
      </c>
      <c r="M81" s="441">
        <f>IF(L81&lt;O81,MinPoints,IF(AND(L81&gt;N81,O81&gt;0),100,+INT(($L81-O81)/P81)+MinPoints))</f>
        <v>10</v>
      </c>
      <c r="N81" s="440">
        <f t="shared" si="7"/>
        <v>4.9</v>
      </c>
      <c r="O81" s="440">
        <f t="shared" si="8"/>
        <v>2.2</v>
      </c>
      <c r="P81" s="440">
        <f t="shared" si="9"/>
        <v>0.03</v>
      </c>
      <c r="Q81">
        <f t="array" ref="Q81">IF(I81&gt;0,INDEX(DB,I81,9),EventIndex)</f>
        <v>6</v>
      </c>
      <c r="S81" s="447">
        <f t="array" ref="S81">INDEX(MINVALUES,$Q81,$K$1)</f>
        <v>2.2</v>
      </c>
      <c r="T81" s="448">
        <f t="array" ref="T81">INDEX(INCVALUES,$Q81,$K$1)</f>
        <v>0.03</v>
      </c>
      <c r="V81">
        <f t="array" ref="V81">+J81+(4*(INDEX(MatchScoreTable,$Q81,20)-1))</f>
        <v>4</v>
      </c>
      <c r="W81" s="442">
        <f t="array" ref="W81">INDEX(INC_MINVALUES,$V81,$K$1)</f>
        <v>0.2</v>
      </c>
      <c r="X81" s="212">
        <f t="array" ref="X81">INDEX(INC_INCVALUES,$V81,$K$1)</f>
        <v>0.02</v>
      </c>
    </row>
    <row r="82" ht="15.75" customHeight="1">
      <c r="A82" s="435"/>
      <c r="B82" s="436"/>
      <c r="C82" s="95" t="str">
        <f t="array" ref="C82">IF(I82&gt;0,INDEX(DB,I82,8),"")</f>
        <v/>
      </c>
      <c r="D82" s="437">
        <f t="shared" si="1"/>
        <v>0</v>
      </c>
      <c r="F82" s="438">
        <f t="shared" si="2"/>
        <v>0</v>
      </c>
      <c r="G82" t="str">
        <f t="shared" si="3"/>
        <v/>
      </c>
      <c r="H82" t="b">
        <f t="shared" si="4"/>
        <v>0</v>
      </c>
      <c r="I82" s="439">
        <f>IF(OR(ISBLANK(A82),ISNA(MATCH(A82&amp;"",AthleteNumbers,0))),0,MATCH(A82&amp;"",AthleteNumbers,0))</f>
        <v>0</v>
      </c>
      <c r="J82" s="209">
        <f t="array" ref="J82">IF(I82&gt;0,INDEX(DB,$I82,6),0)</f>
        <v>0</v>
      </c>
      <c r="K82" s="446">
        <f t="shared" si="5"/>
        <v>0</v>
      </c>
      <c r="L82" s="446">
        <f t="shared" si="6"/>
        <v>0</v>
      </c>
      <c r="M82" s="441">
        <f>IF(L82&lt;O82,MinPoints,IF(AND(L82&gt;N82,O82&gt;0),100,+INT(($L82-O82)/P82)+MinPoints))</f>
        <v>10</v>
      </c>
      <c r="N82" s="440">
        <f t="shared" si="7"/>
        <v>4.9</v>
      </c>
      <c r="O82" s="440">
        <f t="shared" si="8"/>
        <v>2.2</v>
      </c>
      <c r="P82" s="440">
        <f t="shared" si="9"/>
        <v>0.03</v>
      </c>
      <c r="Q82">
        <f t="array" ref="Q82">IF(I82&gt;0,INDEX(DB,I82,9),EventIndex)</f>
        <v>6</v>
      </c>
      <c r="S82" s="447">
        <f t="array" ref="S82">INDEX(MINVALUES,$Q82,$K$1)</f>
        <v>2.2</v>
      </c>
      <c r="T82" s="448">
        <f t="array" ref="T82">INDEX(INCVALUES,$Q82,$K$1)</f>
        <v>0.03</v>
      </c>
      <c r="V82">
        <f t="array" ref="V82">+J82+(4*(INDEX(MatchScoreTable,$Q82,20)-1))</f>
        <v>4</v>
      </c>
      <c r="W82" s="442">
        <f t="array" ref="W82">INDEX(INC_MINVALUES,$V82,$K$1)</f>
        <v>0.2</v>
      </c>
      <c r="X82" s="212">
        <f t="array" ref="X82">INDEX(INC_INCVALUES,$V82,$K$1)</f>
        <v>0.02</v>
      </c>
    </row>
    <row r="83" ht="15.75" customHeight="1">
      <c r="A83" s="435"/>
      <c r="B83" s="436"/>
      <c r="C83" s="95" t="str">
        <f t="array" ref="C83">IF(I83&gt;0,INDEX(DB,I83,8),"")</f>
        <v/>
      </c>
      <c r="D83" s="437">
        <f t="shared" si="1"/>
        <v>0</v>
      </c>
      <c r="F83" s="438">
        <f t="shared" si="2"/>
        <v>0</v>
      </c>
      <c r="G83" t="str">
        <f t="shared" si="3"/>
        <v/>
      </c>
      <c r="H83" t="b">
        <f t="shared" si="4"/>
        <v>0</v>
      </c>
      <c r="I83" s="439">
        <f>IF(OR(ISBLANK(A83),ISNA(MATCH(A83&amp;"",AthleteNumbers,0))),0,MATCH(A83&amp;"",AthleteNumbers,0))</f>
        <v>0</v>
      </c>
      <c r="J83" s="209">
        <f t="array" ref="J83">IF(I83&gt;0,INDEX(DB,$I83,6),0)</f>
        <v>0</v>
      </c>
      <c r="K83" s="446">
        <f t="shared" si="5"/>
        <v>0</v>
      </c>
      <c r="L83" s="446">
        <f t="shared" si="6"/>
        <v>0</v>
      </c>
      <c r="M83" s="441">
        <f>IF(L83&lt;O83,MinPoints,IF(AND(L83&gt;N83,O83&gt;0),100,+INT(($L83-O83)/P83)+MinPoints))</f>
        <v>10</v>
      </c>
      <c r="N83" s="440">
        <f t="shared" si="7"/>
        <v>4.9</v>
      </c>
      <c r="O83" s="440">
        <f t="shared" si="8"/>
        <v>2.2</v>
      </c>
      <c r="P83" s="440">
        <f t="shared" si="9"/>
        <v>0.03</v>
      </c>
      <c r="Q83">
        <f t="array" ref="Q83">IF(I83&gt;0,INDEX(DB,I83,9),EventIndex)</f>
        <v>6</v>
      </c>
      <c r="S83" s="447">
        <f t="array" ref="S83">INDEX(MINVALUES,$Q83,$K$1)</f>
        <v>2.2</v>
      </c>
      <c r="T83" s="448">
        <f t="array" ref="T83">INDEX(INCVALUES,$Q83,$K$1)</f>
        <v>0.03</v>
      </c>
      <c r="V83">
        <f t="array" ref="V83">+J83+(4*(INDEX(MatchScoreTable,$Q83,20)-1))</f>
        <v>4</v>
      </c>
      <c r="W83" s="442">
        <f t="array" ref="W83">INDEX(INC_MINVALUES,$V83,$K$1)</f>
        <v>0.2</v>
      </c>
      <c r="X83" s="212">
        <f t="array" ref="X83">INDEX(INC_INCVALUES,$V83,$K$1)</f>
        <v>0.02</v>
      </c>
    </row>
    <row r="84" ht="15.75" customHeight="1">
      <c r="A84" s="435"/>
      <c r="B84" s="436"/>
      <c r="C84" s="95" t="str">
        <f t="array" ref="C84">IF(I84&gt;0,INDEX(DB,I84,8),"")</f>
        <v/>
      </c>
      <c r="D84" s="437">
        <f t="shared" si="1"/>
        <v>0</v>
      </c>
      <c r="F84" s="438">
        <f t="shared" si="2"/>
        <v>0</v>
      </c>
      <c r="G84" t="str">
        <f t="shared" si="3"/>
        <v/>
      </c>
      <c r="H84" t="b">
        <f t="shared" si="4"/>
        <v>0</v>
      </c>
      <c r="I84" s="439">
        <f>IF(OR(ISBLANK(A84),ISNA(MATCH(A84&amp;"",AthleteNumbers,0))),0,MATCH(A84&amp;"",AthleteNumbers,0))</f>
        <v>0</v>
      </c>
      <c r="J84" s="209">
        <f t="array" ref="J84">IF(I84&gt;0,INDEX(DB,$I84,6),0)</f>
        <v>0</v>
      </c>
      <c r="K84" s="446">
        <f t="shared" si="5"/>
        <v>0</v>
      </c>
      <c r="L84" s="446">
        <f t="shared" si="6"/>
        <v>0</v>
      </c>
      <c r="M84" s="441">
        <f>IF(L84&lt;O84,MinPoints,IF(AND(L84&gt;N84,O84&gt;0),100,+INT(($L84-O84)/P84)+MinPoints))</f>
        <v>10</v>
      </c>
      <c r="N84" s="440">
        <f t="shared" si="7"/>
        <v>4.9</v>
      </c>
      <c r="O84" s="440">
        <f t="shared" si="8"/>
        <v>2.2</v>
      </c>
      <c r="P84" s="440">
        <f t="shared" si="9"/>
        <v>0.03</v>
      </c>
      <c r="Q84">
        <f t="array" ref="Q84">IF(I84&gt;0,INDEX(DB,I84,9),EventIndex)</f>
        <v>6</v>
      </c>
      <c r="S84" s="447">
        <f t="array" ref="S84">INDEX(MINVALUES,$Q84,$K$1)</f>
        <v>2.2</v>
      </c>
      <c r="T84" s="448">
        <f t="array" ref="T84">INDEX(INCVALUES,$Q84,$K$1)</f>
        <v>0.03</v>
      </c>
      <c r="V84">
        <f t="array" ref="V84">+J84+(4*(INDEX(MatchScoreTable,$Q84,20)-1))</f>
        <v>4</v>
      </c>
      <c r="W84" s="442">
        <f t="array" ref="W84">INDEX(INC_MINVALUES,$V84,$K$1)</f>
        <v>0.2</v>
      </c>
      <c r="X84" s="212">
        <f t="array" ref="X84">INDEX(INC_INCVALUES,$V84,$K$1)</f>
        <v>0.02</v>
      </c>
    </row>
    <row r="85" ht="15.75" customHeight="1">
      <c r="A85" s="435"/>
      <c r="B85" s="436"/>
      <c r="C85" s="95" t="str">
        <f t="array" ref="C85">IF(I85&gt;0,INDEX(DB,I85,8),"")</f>
        <v/>
      </c>
      <c r="D85" s="437">
        <f t="shared" si="1"/>
        <v>0</v>
      </c>
      <c r="F85" s="438">
        <f t="shared" si="2"/>
        <v>0</v>
      </c>
      <c r="G85" t="str">
        <f t="shared" si="3"/>
        <v/>
      </c>
      <c r="H85" t="b">
        <f t="shared" si="4"/>
        <v>0</v>
      </c>
      <c r="I85" s="439">
        <f>IF(OR(ISBLANK(A85),ISNA(MATCH(A85&amp;"",AthleteNumbers,0))),0,MATCH(A85&amp;"",AthleteNumbers,0))</f>
        <v>0</v>
      </c>
      <c r="J85" s="209">
        <f t="array" ref="J85">IF(I85&gt;0,INDEX(DB,$I85,6),0)</f>
        <v>0</v>
      </c>
      <c r="K85" s="446">
        <f t="shared" si="5"/>
        <v>0</v>
      </c>
      <c r="L85" s="446">
        <f t="shared" si="6"/>
        <v>0</v>
      </c>
      <c r="M85" s="441">
        <f>IF(L85&lt;O85,MinPoints,IF(AND(L85&gt;N85,O85&gt;0),100,+INT(($L85-O85)/P85)+MinPoints))</f>
        <v>10</v>
      </c>
      <c r="N85" s="440">
        <f t="shared" si="7"/>
        <v>4.9</v>
      </c>
      <c r="O85" s="440">
        <f t="shared" si="8"/>
        <v>2.2</v>
      </c>
      <c r="P85" s="440">
        <f t="shared" si="9"/>
        <v>0.03</v>
      </c>
      <c r="Q85">
        <f t="array" ref="Q85">IF(I85&gt;0,INDEX(DB,I85,9),EventIndex)</f>
        <v>6</v>
      </c>
      <c r="S85" s="447">
        <f t="array" ref="S85">INDEX(MINVALUES,$Q85,$K$1)</f>
        <v>2.2</v>
      </c>
      <c r="T85" s="448">
        <f t="array" ref="T85">INDEX(INCVALUES,$Q85,$K$1)</f>
        <v>0.03</v>
      </c>
      <c r="V85">
        <f t="array" ref="V85">+J85+(4*(INDEX(MatchScoreTable,$Q85,20)-1))</f>
        <v>4</v>
      </c>
      <c r="W85" s="442">
        <f t="array" ref="W85">INDEX(INC_MINVALUES,$V85,$K$1)</f>
        <v>0.2</v>
      </c>
      <c r="X85" s="212">
        <f t="array" ref="X85">INDEX(INC_INCVALUES,$V85,$K$1)</f>
        <v>0.02</v>
      </c>
    </row>
    <row r="86" ht="15.75" customHeight="1">
      <c r="A86" s="435"/>
      <c r="B86" s="436"/>
      <c r="C86" s="95" t="str">
        <f t="array" ref="C86">IF(I86&gt;0,INDEX(DB,I86,8),"")</f>
        <v/>
      </c>
      <c r="D86" s="437">
        <f t="shared" si="1"/>
        <v>0</v>
      </c>
      <c r="F86" s="438">
        <f t="shared" si="2"/>
        <v>0</v>
      </c>
      <c r="G86" t="str">
        <f t="shared" si="3"/>
        <v/>
      </c>
      <c r="H86" t="b">
        <f t="shared" si="4"/>
        <v>0</v>
      </c>
      <c r="I86" s="439">
        <f>IF(OR(ISBLANK(A86),ISNA(MATCH(A86&amp;"",AthleteNumbers,0))),0,MATCH(A86&amp;"",AthleteNumbers,0))</f>
        <v>0</v>
      </c>
      <c r="J86" s="209">
        <f t="array" ref="J86">IF(I86&gt;0,INDEX(DB,$I86,6),0)</f>
        <v>0</v>
      </c>
      <c r="K86" s="446">
        <f t="shared" si="5"/>
        <v>0</v>
      </c>
      <c r="L86" s="446">
        <f t="shared" si="6"/>
        <v>0</v>
      </c>
      <c r="M86" s="441">
        <f>IF(L86&lt;O86,MinPoints,IF(AND(L86&gt;N86,O86&gt;0),100,+INT(($L86-O86)/P86)+MinPoints))</f>
        <v>10</v>
      </c>
      <c r="N86" s="440">
        <f t="shared" si="7"/>
        <v>4.9</v>
      </c>
      <c r="O86" s="440">
        <f t="shared" si="8"/>
        <v>2.2</v>
      </c>
      <c r="P86" s="440">
        <f t="shared" si="9"/>
        <v>0.03</v>
      </c>
      <c r="Q86">
        <f t="array" ref="Q86">IF(I86&gt;0,INDEX(DB,I86,9),EventIndex)</f>
        <v>6</v>
      </c>
      <c r="S86" s="447">
        <f t="array" ref="S86">INDEX(MINVALUES,$Q86,$K$1)</f>
        <v>2.2</v>
      </c>
      <c r="T86" s="448">
        <f t="array" ref="T86">INDEX(INCVALUES,$Q86,$K$1)</f>
        <v>0.03</v>
      </c>
      <c r="V86">
        <f t="array" ref="V86">+J86+(4*(INDEX(MatchScoreTable,$Q86,20)-1))</f>
        <v>4</v>
      </c>
      <c r="W86" s="442">
        <f t="array" ref="W86">INDEX(INC_MINVALUES,$V86,$K$1)</f>
        <v>0.2</v>
      </c>
      <c r="X86" s="212">
        <f t="array" ref="X86">INDEX(INC_INCVALUES,$V86,$K$1)</f>
        <v>0.02</v>
      </c>
    </row>
    <row r="87" ht="15.75" customHeight="1">
      <c r="A87" s="435"/>
      <c r="B87" s="436"/>
      <c r="C87" s="95" t="str">
        <f t="array" ref="C87">IF(I87&gt;0,INDEX(DB,I87,8),"")</f>
        <v/>
      </c>
      <c r="D87" s="437">
        <f t="shared" si="1"/>
        <v>0</v>
      </c>
      <c r="F87" s="438">
        <f t="shared" si="2"/>
        <v>0</v>
      </c>
      <c r="G87" t="str">
        <f t="shared" si="3"/>
        <v/>
      </c>
      <c r="H87" t="b">
        <f t="shared" si="4"/>
        <v>0</v>
      </c>
      <c r="I87" s="439">
        <f>IF(OR(ISBLANK(A87),ISNA(MATCH(A87&amp;"",AthleteNumbers,0))),0,MATCH(A87&amp;"",AthleteNumbers,0))</f>
        <v>0</v>
      </c>
      <c r="J87" s="209">
        <f t="array" ref="J87">IF(I87&gt;0,INDEX(DB,$I87,6),0)</f>
        <v>0</v>
      </c>
      <c r="K87" s="446">
        <f t="shared" si="5"/>
        <v>0</v>
      </c>
      <c r="L87" s="446">
        <f t="shared" si="6"/>
        <v>0</v>
      </c>
      <c r="M87" s="441">
        <f>IF(L87&lt;O87,MinPoints,IF(AND(L87&gt;N87,O87&gt;0),100,+INT(($L87-O87)/P87)+MinPoints))</f>
        <v>10</v>
      </c>
      <c r="N87" s="440">
        <f t="shared" si="7"/>
        <v>4.9</v>
      </c>
      <c r="O87" s="440">
        <f t="shared" si="8"/>
        <v>2.2</v>
      </c>
      <c r="P87" s="440">
        <f t="shared" si="9"/>
        <v>0.03</v>
      </c>
      <c r="Q87">
        <f t="array" ref="Q87">IF(I87&gt;0,INDEX(DB,I87,9),EventIndex)</f>
        <v>6</v>
      </c>
      <c r="S87" s="447">
        <f t="array" ref="S87">INDEX(MINVALUES,$Q87,$K$1)</f>
        <v>2.2</v>
      </c>
      <c r="T87" s="448">
        <f t="array" ref="T87">INDEX(INCVALUES,$Q87,$K$1)</f>
        <v>0.03</v>
      </c>
      <c r="V87">
        <f t="array" ref="V87">+J87+(4*(INDEX(MatchScoreTable,$Q87,20)-1))</f>
        <v>4</v>
      </c>
      <c r="W87" s="442">
        <f t="array" ref="W87">INDEX(INC_MINVALUES,$V87,$K$1)</f>
        <v>0.2</v>
      </c>
      <c r="X87" s="212">
        <f t="array" ref="X87">INDEX(INC_INCVALUES,$V87,$K$1)</f>
        <v>0.02</v>
      </c>
    </row>
    <row r="88" ht="15.75" customHeight="1">
      <c r="A88" s="435"/>
      <c r="B88" s="436"/>
      <c r="C88" s="95" t="str">
        <f t="array" ref="C88">IF(I88&gt;0,INDEX(DB,I88,8),"")</f>
        <v/>
      </c>
      <c r="D88" s="437">
        <f t="shared" si="1"/>
        <v>0</v>
      </c>
      <c r="F88" s="438">
        <f t="shared" si="2"/>
        <v>0</v>
      </c>
      <c r="G88" t="str">
        <f t="shared" si="3"/>
        <v/>
      </c>
      <c r="H88" t="b">
        <f t="shared" si="4"/>
        <v>0</v>
      </c>
      <c r="I88" s="439">
        <f>IF(OR(ISBLANK(A88),ISNA(MATCH(A88&amp;"",AthleteNumbers,0))),0,MATCH(A88&amp;"",AthleteNumbers,0))</f>
        <v>0</v>
      </c>
      <c r="J88" s="209">
        <f t="array" ref="J88">IF(I88&gt;0,INDEX(DB,$I88,6),0)</f>
        <v>0</v>
      </c>
      <c r="K88" s="446">
        <f t="shared" si="5"/>
        <v>0</v>
      </c>
      <c r="L88" s="446">
        <f t="shared" si="6"/>
        <v>0</v>
      </c>
      <c r="M88" s="441">
        <f>IF(L88&lt;O88,MinPoints,IF(AND(L88&gt;N88,O88&gt;0),100,+INT(($L88-O88)/P88)+MinPoints))</f>
        <v>10</v>
      </c>
      <c r="N88" s="440">
        <f t="shared" si="7"/>
        <v>4.9</v>
      </c>
      <c r="O88" s="440">
        <f t="shared" si="8"/>
        <v>2.2</v>
      </c>
      <c r="P88" s="440">
        <f t="shared" si="9"/>
        <v>0.03</v>
      </c>
      <c r="Q88">
        <f t="array" ref="Q88">IF(I88&gt;0,INDEX(DB,I88,9),EventIndex)</f>
        <v>6</v>
      </c>
      <c r="S88" s="447">
        <f t="array" ref="S88">INDEX(MINVALUES,$Q88,$K$1)</f>
        <v>2.2</v>
      </c>
      <c r="T88" s="448">
        <f t="array" ref="T88">INDEX(INCVALUES,$Q88,$K$1)</f>
        <v>0.03</v>
      </c>
      <c r="V88">
        <f t="array" ref="V88">+J88+(4*(INDEX(MatchScoreTable,$Q88,20)-1))</f>
        <v>4</v>
      </c>
      <c r="W88" s="442">
        <f t="array" ref="W88">INDEX(INC_MINVALUES,$V88,$K$1)</f>
        <v>0.2</v>
      </c>
      <c r="X88" s="212">
        <f t="array" ref="X88">INDEX(INC_INCVALUES,$V88,$K$1)</f>
        <v>0.02</v>
      </c>
    </row>
    <row r="89" ht="15.75" customHeight="1">
      <c r="A89" s="435"/>
      <c r="B89" s="436"/>
      <c r="C89" s="95" t="str">
        <f t="array" ref="C89">IF(I89&gt;0,INDEX(DB,I89,8),"")</f>
        <v/>
      </c>
      <c r="D89" s="437">
        <f t="shared" si="1"/>
        <v>0</v>
      </c>
      <c r="F89" s="438">
        <f t="shared" si="2"/>
        <v>0</v>
      </c>
      <c r="G89" t="str">
        <f t="shared" si="3"/>
        <v/>
      </c>
      <c r="H89" t="b">
        <f t="shared" si="4"/>
        <v>0</v>
      </c>
      <c r="I89" s="439">
        <f>IF(OR(ISBLANK(A89),ISNA(MATCH(A89&amp;"",AthleteNumbers,0))),0,MATCH(A89&amp;"",AthleteNumbers,0))</f>
        <v>0</v>
      </c>
      <c r="J89" s="209">
        <f t="array" ref="J89">IF(I89&gt;0,INDEX(DB,$I89,6),0)</f>
        <v>0</v>
      </c>
      <c r="K89" s="446">
        <f t="shared" si="5"/>
        <v>0</v>
      </c>
      <c r="L89" s="446">
        <f t="shared" si="6"/>
        <v>0</v>
      </c>
      <c r="M89" s="441">
        <f>IF(L89&lt;O89,MinPoints,IF(AND(L89&gt;N89,O89&gt;0),100,+INT(($L89-O89)/P89)+MinPoints))</f>
        <v>10</v>
      </c>
      <c r="N89" s="440">
        <f t="shared" si="7"/>
        <v>4.9</v>
      </c>
      <c r="O89" s="440">
        <f t="shared" si="8"/>
        <v>2.2</v>
      </c>
      <c r="P89" s="440">
        <f t="shared" si="9"/>
        <v>0.03</v>
      </c>
      <c r="Q89">
        <f t="array" ref="Q89">IF(I89&gt;0,INDEX(DB,I89,9),EventIndex)</f>
        <v>6</v>
      </c>
      <c r="S89" s="447">
        <f t="array" ref="S89">INDEX(MINVALUES,$Q89,$K$1)</f>
        <v>2.2</v>
      </c>
      <c r="T89" s="448">
        <f t="array" ref="T89">INDEX(INCVALUES,$Q89,$K$1)</f>
        <v>0.03</v>
      </c>
      <c r="V89">
        <f t="array" ref="V89">+J89+(4*(INDEX(MatchScoreTable,$Q89,20)-1))</f>
        <v>4</v>
      </c>
      <c r="W89" s="442">
        <f t="array" ref="W89">INDEX(INC_MINVALUES,$V89,$K$1)</f>
        <v>0.2</v>
      </c>
      <c r="X89" s="212">
        <f t="array" ref="X89">INDEX(INC_INCVALUES,$V89,$K$1)</f>
        <v>0.02</v>
      </c>
    </row>
    <row r="90" ht="15.75" customHeight="1">
      <c r="A90" s="435"/>
      <c r="B90" s="436"/>
      <c r="C90" s="95" t="str">
        <f t="array" ref="C90">IF(I90&gt;0,INDEX(DB,I90,8),"")</f>
        <v/>
      </c>
      <c r="D90" s="437">
        <f t="shared" si="1"/>
        <v>0</v>
      </c>
      <c r="F90" s="438">
        <f t="shared" si="2"/>
        <v>0</v>
      </c>
      <c r="G90" t="str">
        <f t="shared" si="3"/>
        <v/>
      </c>
      <c r="H90" t="b">
        <f t="shared" si="4"/>
        <v>0</v>
      </c>
      <c r="I90" s="439">
        <f>IF(OR(ISBLANK(A90),ISNA(MATCH(A90&amp;"",AthleteNumbers,0))),0,MATCH(A90&amp;"",AthleteNumbers,0))</f>
        <v>0</v>
      </c>
      <c r="J90" s="209">
        <f t="array" ref="J90">IF(I90&gt;0,INDEX(DB,$I90,6),0)</f>
        <v>0</v>
      </c>
      <c r="K90" s="446">
        <f t="shared" si="5"/>
        <v>0</v>
      </c>
      <c r="L90" s="446">
        <f t="shared" si="6"/>
        <v>0</v>
      </c>
      <c r="M90" s="441">
        <f>IF(L90&lt;O90,MinPoints,IF(AND(L90&gt;N90,O90&gt;0),100,+INT(($L90-O90)/P90)+MinPoints))</f>
        <v>10</v>
      </c>
      <c r="N90" s="440">
        <f t="shared" si="7"/>
        <v>4.9</v>
      </c>
      <c r="O90" s="440">
        <f t="shared" si="8"/>
        <v>2.2</v>
      </c>
      <c r="P90" s="440">
        <f t="shared" si="9"/>
        <v>0.03</v>
      </c>
      <c r="Q90">
        <f t="array" ref="Q90">IF(I90&gt;0,INDEX(DB,I90,9),EventIndex)</f>
        <v>6</v>
      </c>
      <c r="S90" s="447">
        <f t="array" ref="S90">INDEX(MINVALUES,$Q90,$K$1)</f>
        <v>2.2</v>
      </c>
      <c r="T90" s="448">
        <f t="array" ref="T90">INDEX(INCVALUES,$Q90,$K$1)</f>
        <v>0.03</v>
      </c>
      <c r="V90">
        <f t="array" ref="V90">+J90+(4*(INDEX(MatchScoreTable,$Q90,20)-1))</f>
        <v>4</v>
      </c>
      <c r="W90" s="442">
        <f t="array" ref="W90">INDEX(INC_MINVALUES,$V90,$K$1)</f>
        <v>0.2</v>
      </c>
      <c r="X90" s="212">
        <f t="array" ref="X90">INDEX(INC_INCVALUES,$V90,$K$1)</f>
        <v>0.02</v>
      </c>
    </row>
    <row r="91" ht="15.75" customHeight="1">
      <c r="A91" s="435"/>
      <c r="B91" s="436"/>
      <c r="C91" s="95" t="str">
        <f t="array" ref="C91">IF(I91&gt;0,INDEX(DB,I91,8),"")</f>
        <v/>
      </c>
      <c r="D91" s="437">
        <f t="shared" si="1"/>
        <v>0</v>
      </c>
      <c r="F91" s="438">
        <f t="shared" si="2"/>
        <v>0</v>
      </c>
      <c r="G91" t="str">
        <f t="shared" si="3"/>
        <v/>
      </c>
      <c r="H91" t="b">
        <f t="shared" si="4"/>
        <v>0</v>
      </c>
      <c r="I91" s="439">
        <f>IF(OR(ISBLANK(A91),ISNA(MATCH(A91&amp;"",AthleteNumbers,0))),0,MATCH(A91&amp;"",AthleteNumbers,0))</f>
        <v>0</v>
      </c>
      <c r="J91" s="209">
        <f t="array" ref="J91">IF(I91&gt;0,INDEX(DB,$I91,6),0)</f>
        <v>0</v>
      </c>
      <c r="K91" s="446">
        <f t="shared" si="5"/>
        <v>0</v>
      </c>
      <c r="L91" s="446">
        <f t="shared" si="6"/>
        <v>0</v>
      </c>
      <c r="M91" s="441">
        <f>IF(L91&lt;O91,MinPoints,IF(AND(L91&gt;N91,O91&gt;0),100,+INT(($L91-O91)/P91)+MinPoints))</f>
        <v>10</v>
      </c>
      <c r="N91" s="440">
        <f t="shared" si="7"/>
        <v>4.9</v>
      </c>
      <c r="O91" s="440">
        <f t="shared" si="8"/>
        <v>2.2</v>
      </c>
      <c r="P91" s="440">
        <f t="shared" si="9"/>
        <v>0.03</v>
      </c>
      <c r="Q91">
        <f t="array" ref="Q91">IF(I91&gt;0,INDEX(DB,I91,9),EventIndex)</f>
        <v>6</v>
      </c>
      <c r="S91" s="447">
        <f t="array" ref="S91">INDEX(MINVALUES,$Q91,$K$1)</f>
        <v>2.2</v>
      </c>
      <c r="T91" s="448">
        <f t="array" ref="T91">INDEX(INCVALUES,$Q91,$K$1)</f>
        <v>0.03</v>
      </c>
      <c r="V91">
        <f t="array" ref="V91">+J91+(4*(INDEX(MatchScoreTable,$Q91,20)-1))</f>
        <v>4</v>
      </c>
      <c r="W91" s="442">
        <f t="array" ref="W91">INDEX(INC_MINVALUES,$V91,$K$1)</f>
        <v>0.2</v>
      </c>
      <c r="X91" s="212">
        <f t="array" ref="X91">INDEX(INC_INCVALUES,$V91,$K$1)</f>
        <v>0.02</v>
      </c>
    </row>
    <row r="92" ht="15.75" customHeight="1">
      <c r="A92" s="435"/>
      <c r="B92" s="436"/>
      <c r="C92" s="95" t="str">
        <f t="array" ref="C92">IF(I92&gt;0,INDEX(DB,I92,8),"")</f>
        <v/>
      </c>
      <c r="D92" s="437">
        <f t="shared" si="1"/>
        <v>0</v>
      </c>
      <c r="F92" s="438">
        <f t="shared" si="2"/>
        <v>0</v>
      </c>
      <c r="G92" t="str">
        <f t="shared" si="3"/>
        <v/>
      </c>
      <c r="H92" t="b">
        <f t="shared" si="4"/>
        <v>0</v>
      </c>
      <c r="I92" s="439">
        <f>IF(OR(ISBLANK(A92),ISNA(MATCH(A92&amp;"",AthleteNumbers,0))),0,MATCH(A92&amp;"",AthleteNumbers,0))</f>
        <v>0</v>
      </c>
      <c r="J92" s="209">
        <f t="array" ref="J92">IF(I92&gt;0,INDEX(DB,$I92,6),0)</f>
        <v>0</v>
      </c>
      <c r="K92" s="446">
        <f t="shared" si="5"/>
        <v>0</v>
      </c>
      <c r="L92" s="446">
        <f t="shared" si="6"/>
        <v>0</v>
      </c>
      <c r="M92" s="441">
        <f>IF(L92&lt;O92,MinPoints,IF(AND(L92&gt;N92,O92&gt;0),100,+INT(($L92-O92)/P92)+MinPoints))</f>
        <v>10</v>
      </c>
      <c r="N92" s="440">
        <f t="shared" si="7"/>
        <v>4.9</v>
      </c>
      <c r="O92" s="440">
        <f t="shared" si="8"/>
        <v>2.2</v>
      </c>
      <c r="P92" s="440">
        <f t="shared" si="9"/>
        <v>0.03</v>
      </c>
      <c r="Q92">
        <f t="array" ref="Q92">IF(I92&gt;0,INDEX(DB,I92,9),EventIndex)</f>
        <v>6</v>
      </c>
      <c r="S92" s="447">
        <f t="array" ref="S92">INDEX(MINVALUES,$Q92,$K$1)</f>
        <v>2.2</v>
      </c>
      <c r="T92" s="448">
        <f t="array" ref="T92">INDEX(INCVALUES,$Q92,$K$1)</f>
        <v>0.03</v>
      </c>
      <c r="V92">
        <f t="array" ref="V92">+J92+(4*(INDEX(MatchScoreTable,$Q92,20)-1))</f>
        <v>4</v>
      </c>
      <c r="W92" s="442">
        <f t="array" ref="W92">INDEX(INC_MINVALUES,$V92,$K$1)</f>
        <v>0.2</v>
      </c>
      <c r="X92" s="212">
        <f t="array" ref="X92">INDEX(INC_INCVALUES,$V92,$K$1)</f>
        <v>0.02</v>
      </c>
    </row>
    <row r="93" ht="15.75" customHeight="1">
      <c r="A93" s="435"/>
      <c r="B93" s="436"/>
      <c r="C93" s="95" t="str">
        <f t="array" ref="C93">IF(I93&gt;0,INDEX(DB,I93,8),"")</f>
        <v/>
      </c>
      <c r="D93" s="437">
        <f t="shared" si="1"/>
        <v>0</v>
      </c>
      <c r="F93" s="438">
        <f t="shared" si="2"/>
        <v>0</v>
      </c>
      <c r="G93" t="str">
        <f t="shared" si="3"/>
        <v/>
      </c>
      <c r="H93" t="b">
        <f t="shared" si="4"/>
        <v>0</v>
      </c>
      <c r="I93" s="439">
        <f>IF(OR(ISBLANK(A93),ISNA(MATCH(A93&amp;"",AthleteNumbers,0))),0,MATCH(A93&amp;"",AthleteNumbers,0))</f>
        <v>0</v>
      </c>
      <c r="J93" s="209">
        <f t="array" ref="J93">IF(I93&gt;0,INDEX(DB,$I93,6),0)</f>
        <v>0</v>
      </c>
      <c r="K93" s="446">
        <f t="shared" si="5"/>
        <v>0</v>
      </c>
      <c r="L93" s="446">
        <f t="shared" si="6"/>
        <v>0</v>
      </c>
      <c r="M93" s="441">
        <f>IF(L93&lt;O93,MinPoints,IF(AND(L93&gt;N93,O93&gt;0),100,+INT(($L93-O93)/P93)+MinPoints))</f>
        <v>10</v>
      </c>
      <c r="N93" s="440">
        <f t="shared" si="7"/>
        <v>4.9</v>
      </c>
      <c r="O93" s="440">
        <f t="shared" si="8"/>
        <v>2.2</v>
      </c>
      <c r="P93" s="440">
        <f t="shared" si="9"/>
        <v>0.03</v>
      </c>
      <c r="Q93">
        <f t="array" ref="Q93">IF(I93&gt;0,INDEX(DB,I93,9),EventIndex)</f>
        <v>6</v>
      </c>
      <c r="S93" s="447">
        <f t="array" ref="S93">INDEX(MINVALUES,$Q93,$K$1)</f>
        <v>2.2</v>
      </c>
      <c r="T93" s="448">
        <f t="array" ref="T93">INDEX(INCVALUES,$Q93,$K$1)</f>
        <v>0.03</v>
      </c>
      <c r="V93">
        <f t="array" ref="V93">+J93+(4*(INDEX(MatchScoreTable,$Q93,20)-1))</f>
        <v>4</v>
      </c>
      <c r="W93" s="442">
        <f t="array" ref="W93">INDEX(INC_MINVALUES,$V93,$K$1)</f>
        <v>0.2</v>
      </c>
      <c r="X93" s="212">
        <f t="array" ref="X93">INDEX(INC_INCVALUES,$V93,$K$1)</f>
        <v>0.02</v>
      </c>
    </row>
    <row r="94" ht="15.75" customHeight="1">
      <c r="A94" s="435"/>
      <c r="B94" s="436"/>
      <c r="C94" s="95" t="str">
        <f t="array" ref="C94">IF(I94&gt;0,INDEX(DB,I94,8),"")</f>
        <v/>
      </c>
      <c r="D94" s="437">
        <f t="shared" si="1"/>
        <v>0</v>
      </c>
      <c r="F94" s="438">
        <f t="shared" si="2"/>
        <v>0</v>
      </c>
      <c r="G94" t="str">
        <f t="shared" si="3"/>
        <v/>
      </c>
      <c r="H94" t="b">
        <f t="shared" si="4"/>
        <v>0</v>
      </c>
      <c r="I94" s="439">
        <f>IF(OR(ISBLANK(A94),ISNA(MATCH(A94&amp;"",AthleteNumbers,0))),0,MATCH(A94&amp;"",AthleteNumbers,0))</f>
        <v>0</v>
      </c>
      <c r="J94" s="209">
        <f t="array" ref="J94">IF(I94&gt;0,INDEX(DB,$I94,6),0)</f>
        <v>0</v>
      </c>
      <c r="K94" s="446">
        <f t="shared" si="5"/>
        <v>0</v>
      </c>
      <c r="L94" s="446">
        <f t="shared" si="6"/>
        <v>0</v>
      </c>
      <c r="M94" s="441">
        <f>IF(L94&lt;O94,MinPoints,IF(AND(L94&gt;N94,O94&gt;0),100,+INT(($L94-O94)/P94)+MinPoints))</f>
        <v>10</v>
      </c>
      <c r="N94" s="440">
        <f t="shared" si="7"/>
        <v>4.9</v>
      </c>
      <c r="O94" s="440">
        <f t="shared" si="8"/>
        <v>2.2</v>
      </c>
      <c r="P94" s="440">
        <f t="shared" si="9"/>
        <v>0.03</v>
      </c>
      <c r="Q94">
        <f t="array" ref="Q94">IF(I94&gt;0,INDEX(DB,I94,9),EventIndex)</f>
        <v>6</v>
      </c>
      <c r="S94" s="447">
        <f t="array" ref="S94">INDEX(MINVALUES,$Q94,$K$1)</f>
        <v>2.2</v>
      </c>
      <c r="T94" s="448">
        <f t="array" ref="T94">INDEX(INCVALUES,$Q94,$K$1)</f>
        <v>0.03</v>
      </c>
      <c r="V94">
        <f t="array" ref="V94">+J94+(4*(INDEX(MatchScoreTable,$Q94,20)-1))</f>
        <v>4</v>
      </c>
      <c r="W94" s="442">
        <f t="array" ref="W94">INDEX(INC_MINVALUES,$V94,$K$1)</f>
        <v>0.2</v>
      </c>
      <c r="X94" s="212">
        <f t="array" ref="X94">INDEX(INC_INCVALUES,$V94,$K$1)</f>
        <v>0.02</v>
      </c>
    </row>
    <row r="95" ht="15.75" customHeight="1">
      <c r="A95" s="435"/>
      <c r="B95" s="436"/>
      <c r="C95" s="95" t="str">
        <f t="array" ref="C95">IF(I95&gt;0,INDEX(DB,I95,8),"")</f>
        <v/>
      </c>
      <c r="D95" s="437">
        <f t="shared" si="1"/>
        <v>0</v>
      </c>
      <c r="F95" s="438">
        <f t="shared" si="2"/>
        <v>0</v>
      </c>
      <c r="G95" t="str">
        <f t="shared" si="3"/>
        <v/>
      </c>
      <c r="H95" t="b">
        <f t="shared" si="4"/>
        <v>0</v>
      </c>
      <c r="I95" s="439">
        <f>IF(OR(ISBLANK(A95),ISNA(MATCH(A95&amp;"",AthleteNumbers,0))),0,MATCH(A95&amp;"",AthleteNumbers,0))</f>
        <v>0</v>
      </c>
      <c r="J95" s="209">
        <f t="array" ref="J95">IF(I95&gt;0,INDEX(DB,$I95,6),0)</f>
        <v>0</v>
      </c>
      <c r="K95" s="446">
        <f t="shared" si="5"/>
        <v>0</v>
      </c>
      <c r="L95" s="446">
        <f t="shared" si="6"/>
        <v>0</v>
      </c>
      <c r="M95" s="441">
        <f>IF(L95&lt;O95,MinPoints,IF(AND(L95&gt;N95,O95&gt;0),100,+INT(($L95-O95)/P95)+MinPoints))</f>
        <v>10</v>
      </c>
      <c r="N95" s="440">
        <f t="shared" si="7"/>
        <v>4.9</v>
      </c>
      <c r="O95" s="440">
        <f t="shared" si="8"/>
        <v>2.2</v>
      </c>
      <c r="P95" s="440">
        <f t="shared" si="9"/>
        <v>0.03</v>
      </c>
      <c r="Q95">
        <f t="array" ref="Q95">IF(I95&gt;0,INDEX(DB,I95,9),EventIndex)</f>
        <v>6</v>
      </c>
      <c r="S95" s="447">
        <f t="array" ref="S95">INDEX(MINVALUES,$Q95,$K$1)</f>
        <v>2.2</v>
      </c>
      <c r="T95" s="448">
        <f t="array" ref="T95">INDEX(INCVALUES,$Q95,$K$1)</f>
        <v>0.03</v>
      </c>
      <c r="V95">
        <f t="array" ref="V95">+J95+(4*(INDEX(MatchScoreTable,$Q95,20)-1))</f>
        <v>4</v>
      </c>
      <c r="W95" s="442">
        <f t="array" ref="W95">INDEX(INC_MINVALUES,$V95,$K$1)</f>
        <v>0.2</v>
      </c>
      <c r="X95" s="212">
        <f t="array" ref="X95">INDEX(INC_INCVALUES,$V95,$K$1)</f>
        <v>0.02</v>
      </c>
    </row>
    <row r="96" ht="15.75" customHeight="1">
      <c r="A96" s="435"/>
      <c r="B96" s="436"/>
      <c r="C96" s="95" t="str">
        <f t="array" ref="C96">IF(I96&gt;0,INDEX(DB,I96,8),"")</f>
        <v/>
      </c>
      <c r="D96" s="437">
        <f t="shared" si="1"/>
        <v>0</v>
      </c>
      <c r="F96" s="438">
        <f t="shared" si="2"/>
        <v>0</v>
      </c>
      <c r="G96" t="str">
        <f t="shared" si="3"/>
        <v/>
      </c>
      <c r="H96" t="b">
        <f t="shared" si="4"/>
        <v>0</v>
      </c>
      <c r="I96" s="439">
        <f>IF(OR(ISBLANK(A96),ISNA(MATCH(A96&amp;"",AthleteNumbers,0))),0,MATCH(A96&amp;"",AthleteNumbers,0))</f>
        <v>0</v>
      </c>
      <c r="J96" s="209">
        <f t="array" ref="J96">IF(I96&gt;0,INDEX(DB,$I96,6),0)</f>
        <v>0</v>
      </c>
      <c r="K96" s="446">
        <f t="shared" si="5"/>
        <v>0</v>
      </c>
      <c r="L96" s="446">
        <f t="shared" si="6"/>
        <v>0</v>
      </c>
      <c r="M96" s="441">
        <f>IF(L96&lt;O96,MinPoints,IF(AND(L96&gt;N96,O96&gt;0),100,+INT(($L96-O96)/P96)+MinPoints))</f>
        <v>10</v>
      </c>
      <c r="N96" s="440">
        <f t="shared" si="7"/>
        <v>4.9</v>
      </c>
      <c r="O96" s="440">
        <f t="shared" si="8"/>
        <v>2.2</v>
      </c>
      <c r="P96" s="440">
        <f t="shared" si="9"/>
        <v>0.03</v>
      </c>
      <c r="Q96">
        <f t="array" ref="Q96">IF(I96&gt;0,INDEX(DB,I96,9),EventIndex)</f>
        <v>6</v>
      </c>
      <c r="S96" s="447">
        <f t="array" ref="S96">INDEX(MINVALUES,$Q96,$K$1)</f>
        <v>2.2</v>
      </c>
      <c r="T96" s="448">
        <f t="array" ref="T96">INDEX(INCVALUES,$Q96,$K$1)</f>
        <v>0.03</v>
      </c>
      <c r="V96">
        <f t="array" ref="V96">+J96+(4*(INDEX(MatchScoreTable,$Q96,20)-1))</f>
        <v>4</v>
      </c>
      <c r="W96" s="442">
        <f t="array" ref="W96">INDEX(INC_MINVALUES,$V96,$K$1)</f>
        <v>0.2</v>
      </c>
      <c r="X96" s="212">
        <f t="array" ref="X96">INDEX(INC_INCVALUES,$V96,$K$1)</f>
        <v>0.02</v>
      </c>
    </row>
    <row r="97" ht="15.75" customHeight="1">
      <c r="A97" s="435"/>
      <c r="B97" s="436"/>
      <c r="C97" s="95" t="str">
        <f t="array" ref="C97">IF(I97&gt;0,INDEX(DB,I97,8),"")</f>
        <v/>
      </c>
      <c r="D97" s="437">
        <f t="shared" si="1"/>
        <v>0</v>
      </c>
      <c r="F97" s="438">
        <f t="shared" si="2"/>
        <v>0</v>
      </c>
      <c r="G97" t="str">
        <f t="shared" si="3"/>
        <v/>
      </c>
      <c r="H97" t="b">
        <f t="shared" si="4"/>
        <v>0</v>
      </c>
      <c r="I97" s="439">
        <f>IF(OR(ISBLANK(A97),ISNA(MATCH(A97&amp;"",AthleteNumbers,0))),0,MATCH(A97&amp;"",AthleteNumbers,0))</f>
        <v>0</v>
      </c>
      <c r="J97" s="209">
        <f t="array" ref="J97">IF(I97&gt;0,INDEX(DB,$I97,6),0)</f>
        <v>0</v>
      </c>
      <c r="K97" s="446">
        <f t="shared" si="5"/>
        <v>0</v>
      </c>
      <c r="L97" s="446">
        <f t="shared" si="6"/>
        <v>0</v>
      </c>
      <c r="M97" s="441">
        <f>IF(L97&lt;O97,MinPoints,IF(AND(L97&gt;N97,O97&gt;0),100,+INT(($L97-O97)/P97)+MinPoints))</f>
        <v>10</v>
      </c>
      <c r="N97" s="440">
        <f t="shared" si="7"/>
        <v>4.9</v>
      </c>
      <c r="O97" s="440">
        <f t="shared" si="8"/>
        <v>2.2</v>
      </c>
      <c r="P97" s="440">
        <f t="shared" si="9"/>
        <v>0.03</v>
      </c>
      <c r="Q97">
        <f t="array" ref="Q97">IF(I97&gt;0,INDEX(DB,I97,9),EventIndex)</f>
        <v>6</v>
      </c>
      <c r="S97" s="447">
        <f t="array" ref="S97">INDEX(MINVALUES,$Q97,$K$1)</f>
        <v>2.2</v>
      </c>
      <c r="T97" s="448">
        <f t="array" ref="T97">INDEX(INCVALUES,$Q97,$K$1)</f>
        <v>0.03</v>
      </c>
      <c r="V97">
        <f t="array" ref="V97">+J97+(4*(INDEX(MatchScoreTable,$Q97,20)-1))</f>
        <v>4</v>
      </c>
      <c r="W97" s="442">
        <f t="array" ref="W97">INDEX(INC_MINVALUES,$V97,$K$1)</f>
        <v>0.2</v>
      </c>
      <c r="X97" s="212">
        <f t="array" ref="X97">INDEX(INC_INCVALUES,$V97,$K$1)</f>
        <v>0.02</v>
      </c>
    </row>
    <row r="98" ht="15.75" customHeight="1">
      <c r="A98" s="435"/>
      <c r="B98" s="436"/>
      <c r="C98" s="95" t="str">
        <f t="array" ref="C98">IF(I98&gt;0,INDEX(DB,I98,8),"")</f>
        <v/>
      </c>
      <c r="D98" s="437">
        <f t="shared" si="1"/>
        <v>0</v>
      </c>
      <c r="F98" s="438">
        <f t="shared" si="2"/>
        <v>0</v>
      </c>
      <c r="G98" t="str">
        <f t="shared" si="3"/>
        <v/>
      </c>
      <c r="H98" t="b">
        <f t="shared" si="4"/>
        <v>0</v>
      </c>
      <c r="I98" s="439">
        <f>IF(OR(ISBLANK(A98),ISNA(MATCH(A98&amp;"",AthleteNumbers,0))),0,MATCH(A98&amp;"",AthleteNumbers,0))</f>
        <v>0</v>
      </c>
      <c r="J98" s="209">
        <f t="array" ref="J98">IF(I98&gt;0,INDEX(DB,$I98,6),0)</f>
        <v>0</v>
      </c>
      <c r="K98" s="446">
        <f t="shared" si="5"/>
        <v>0</v>
      </c>
      <c r="L98" s="446">
        <f t="shared" si="6"/>
        <v>0</v>
      </c>
      <c r="M98" s="441">
        <f>IF(L98&lt;O98,MinPoints,IF(AND(L98&gt;N98,O98&gt;0),100,+INT(($L98-O98)/P98)+MinPoints))</f>
        <v>10</v>
      </c>
      <c r="N98" s="440">
        <f t="shared" si="7"/>
        <v>4.9</v>
      </c>
      <c r="O98" s="440">
        <f t="shared" si="8"/>
        <v>2.2</v>
      </c>
      <c r="P98" s="440">
        <f t="shared" si="9"/>
        <v>0.03</v>
      </c>
      <c r="Q98">
        <f t="array" ref="Q98">IF(I98&gt;0,INDEX(DB,I98,9),EventIndex)</f>
        <v>6</v>
      </c>
      <c r="S98" s="447">
        <f t="array" ref="S98">INDEX(MINVALUES,$Q98,$K$1)</f>
        <v>2.2</v>
      </c>
      <c r="T98" s="448">
        <f t="array" ref="T98">INDEX(INCVALUES,$Q98,$K$1)</f>
        <v>0.03</v>
      </c>
      <c r="V98">
        <f t="array" ref="V98">+J98+(4*(INDEX(MatchScoreTable,$Q98,20)-1))</f>
        <v>4</v>
      </c>
      <c r="W98" s="442">
        <f t="array" ref="W98">INDEX(INC_MINVALUES,$V98,$K$1)</f>
        <v>0.2</v>
      </c>
      <c r="X98" s="212">
        <f t="array" ref="X98">INDEX(INC_INCVALUES,$V98,$K$1)</f>
        <v>0.02</v>
      </c>
    </row>
    <row r="99" ht="15.75" customHeight="1">
      <c r="A99" s="435"/>
      <c r="B99" s="436"/>
      <c r="C99" s="95" t="str">
        <f t="array" ref="C99">IF(I99&gt;0,INDEX(DB,I99,8),"")</f>
        <v/>
      </c>
      <c r="D99" s="437">
        <f t="shared" si="1"/>
        <v>0</v>
      </c>
      <c r="F99" s="438">
        <f t="shared" si="2"/>
        <v>0</v>
      </c>
      <c r="G99" t="str">
        <f t="shared" si="3"/>
        <v/>
      </c>
      <c r="H99" t="b">
        <f t="shared" si="4"/>
        <v>0</v>
      </c>
      <c r="I99" s="439">
        <f>IF(OR(ISBLANK(A99),ISNA(MATCH(A99&amp;"",AthleteNumbers,0))),0,MATCH(A99&amp;"",AthleteNumbers,0))</f>
        <v>0</v>
      </c>
      <c r="J99" s="209">
        <f t="array" ref="J99">IF(I99&gt;0,INDEX(DB,$I99,6),0)</f>
        <v>0</v>
      </c>
      <c r="K99" s="446">
        <f t="shared" si="5"/>
        <v>0</v>
      </c>
      <c r="L99" s="446">
        <f t="shared" si="6"/>
        <v>0</v>
      </c>
      <c r="M99" s="441">
        <f>IF(L99&lt;O99,MinPoints,IF(AND(L99&gt;N99,O99&gt;0),100,+INT(($L99-O99)/P99)+MinPoints))</f>
        <v>10</v>
      </c>
      <c r="N99" s="440">
        <f t="shared" si="7"/>
        <v>4.9</v>
      </c>
      <c r="O99" s="440">
        <f t="shared" si="8"/>
        <v>2.2</v>
      </c>
      <c r="P99" s="440">
        <f t="shared" si="9"/>
        <v>0.03</v>
      </c>
      <c r="Q99">
        <f t="array" ref="Q99">IF(I99&gt;0,INDEX(DB,I99,9),EventIndex)</f>
        <v>6</v>
      </c>
      <c r="S99" s="447">
        <f t="array" ref="S99">INDEX(MINVALUES,$Q99,$K$1)</f>
        <v>2.2</v>
      </c>
      <c r="T99" s="448">
        <f t="array" ref="T99">INDEX(INCVALUES,$Q99,$K$1)</f>
        <v>0.03</v>
      </c>
      <c r="V99">
        <f t="array" ref="V99">+J99+(4*(INDEX(MatchScoreTable,$Q99,20)-1))</f>
        <v>4</v>
      </c>
      <c r="W99" s="442">
        <f t="array" ref="W99">INDEX(INC_MINVALUES,$V99,$K$1)</f>
        <v>0.2</v>
      </c>
      <c r="X99" s="212">
        <f t="array" ref="X99">INDEX(INC_INCVALUES,$V99,$K$1)</f>
        <v>0.02</v>
      </c>
    </row>
    <row r="100" ht="15.75" customHeight="1">
      <c r="A100" s="435"/>
      <c r="B100" s="436"/>
      <c r="C100" s="95" t="str">
        <f t="array" ref="C100">IF(I100&gt;0,INDEX(DB,I100,8),"")</f>
        <v/>
      </c>
      <c r="D100" s="437">
        <f t="shared" si="1"/>
        <v>0</v>
      </c>
      <c r="F100" s="438">
        <f t="shared" si="2"/>
        <v>0</v>
      </c>
      <c r="G100" t="str">
        <f t="shared" si="3"/>
        <v/>
      </c>
      <c r="H100" t="b">
        <f t="shared" si="4"/>
        <v>0</v>
      </c>
      <c r="I100" s="439">
        <f>IF(OR(ISBLANK(A100),ISNA(MATCH(A100&amp;"",AthleteNumbers,0))),0,MATCH(A100&amp;"",AthleteNumbers,0))</f>
        <v>0</v>
      </c>
      <c r="J100" s="209">
        <f t="array" ref="J100">IF(I100&gt;0,INDEX(DB,$I100,6),0)</f>
        <v>0</v>
      </c>
      <c r="K100" s="446">
        <f t="shared" si="5"/>
        <v>0</v>
      </c>
      <c r="L100" s="446">
        <f t="shared" si="6"/>
        <v>0</v>
      </c>
      <c r="M100" s="441">
        <f>IF(L100&lt;O100,MinPoints,IF(AND(L100&gt;N100,O100&gt;0),100,+INT(($L100-O100)/P100)+MinPoints))</f>
        <v>10</v>
      </c>
      <c r="N100" s="440">
        <f t="shared" si="7"/>
        <v>4.9</v>
      </c>
      <c r="O100" s="440">
        <f t="shared" si="8"/>
        <v>2.2</v>
      </c>
      <c r="P100" s="440">
        <f t="shared" si="9"/>
        <v>0.03</v>
      </c>
      <c r="Q100">
        <f t="array" ref="Q100">IF(I100&gt;0,INDEX(DB,I100,9),EventIndex)</f>
        <v>6</v>
      </c>
      <c r="S100" s="447">
        <f t="array" ref="S100">INDEX(MINVALUES,$Q100,$K$1)</f>
        <v>2.2</v>
      </c>
      <c r="T100" s="448">
        <f t="array" ref="T100">INDEX(INCVALUES,$Q100,$K$1)</f>
        <v>0.03</v>
      </c>
      <c r="V100">
        <f t="array" ref="V100">+J100+(4*(INDEX(MatchScoreTable,$Q100,20)-1))</f>
        <v>4</v>
      </c>
      <c r="W100" s="442">
        <f t="array" ref="W100">INDEX(INC_MINVALUES,$V100,$K$1)</f>
        <v>0.2</v>
      </c>
      <c r="X100" s="212">
        <f t="array" ref="X100">INDEX(INC_INCVALUES,$V100,$K$1)</f>
        <v>0.02</v>
      </c>
    </row>
    <row r="101" ht="15.75" customHeight="1">
      <c r="A101" s="435"/>
      <c r="B101" s="436"/>
      <c r="C101" s="95" t="str">
        <f t="array" ref="C101">IF(I101&gt;0,INDEX(DB,I101,8),"")</f>
        <v/>
      </c>
      <c r="D101" s="437">
        <f t="shared" si="1"/>
        <v>0</v>
      </c>
      <c r="F101" s="438">
        <f t="shared" si="2"/>
        <v>0</v>
      </c>
      <c r="G101" t="str">
        <f t="shared" si="3"/>
        <v/>
      </c>
      <c r="H101" t="b">
        <f t="shared" si="4"/>
        <v>0</v>
      </c>
      <c r="I101" s="439">
        <f>IF(OR(ISBLANK(A101),ISNA(MATCH(A101&amp;"",AthleteNumbers,0))),0,MATCH(A101&amp;"",AthleteNumbers,0))</f>
        <v>0</v>
      </c>
      <c r="J101" s="209">
        <f t="array" ref="J101">IF(I101&gt;0,INDEX(DB,$I101,6),0)</f>
        <v>0</v>
      </c>
      <c r="K101" s="446">
        <f t="shared" si="5"/>
        <v>0</v>
      </c>
      <c r="L101" s="446">
        <f t="shared" si="6"/>
        <v>0</v>
      </c>
      <c r="M101" s="441">
        <f>IF(L101&lt;O101,MinPoints,IF(AND(L101&gt;N101,O101&gt;0),100,+INT(($L101-O101)/P101)+MinPoints))</f>
        <v>10</v>
      </c>
      <c r="N101" s="440">
        <f t="shared" si="7"/>
        <v>4.9</v>
      </c>
      <c r="O101" s="440">
        <f t="shared" si="8"/>
        <v>2.2</v>
      </c>
      <c r="P101" s="440">
        <f t="shared" si="9"/>
        <v>0.03</v>
      </c>
      <c r="Q101">
        <f t="array" ref="Q101">IF(I101&gt;0,INDEX(DB,I101,9),EventIndex)</f>
        <v>6</v>
      </c>
      <c r="S101" s="447">
        <f t="array" ref="S101">INDEX(MINVALUES,$Q101,$K$1)</f>
        <v>2.2</v>
      </c>
      <c r="T101" s="448">
        <f t="array" ref="T101">INDEX(INCVALUES,$Q101,$K$1)</f>
        <v>0.03</v>
      </c>
      <c r="V101">
        <f t="array" ref="V101">+J101+(4*(INDEX(MatchScoreTable,$Q101,20)-1))</f>
        <v>4</v>
      </c>
      <c r="W101" s="442">
        <f t="array" ref="W101">INDEX(INC_MINVALUES,$V101,$K$1)</f>
        <v>0.2</v>
      </c>
      <c r="X101" s="212">
        <f t="array" ref="X101">INDEX(INC_INCVALUES,$V101,$K$1)</f>
        <v>0.02</v>
      </c>
    </row>
    <row r="102" ht="15.75" customHeight="1">
      <c r="A102" s="435"/>
      <c r="B102" s="436"/>
      <c r="C102" s="95" t="str">
        <f t="array" ref="C102">IF(I102&gt;0,INDEX(DB,I102,8),"")</f>
        <v/>
      </c>
      <c r="D102" s="437">
        <f t="shared" si="1"/>
        <v>0</v>
      </c>
      <c r="F102" s="438">
        <f t="shared" si="2"/>
        <v>0</v>
      </c>
      <c r="G102" t="str">
        <f t="shared" si="3"/>
        <v/>
      </c>
      <c r="H102" t="b">
        <f t="shared" si="4"/>
        <v>0</v>
      </c>
      <c r="I102" s="439">
        <f>IF(OR(ISBLANK(A102),ISNA(MATCH(A102&amp;"",AthleteNumbers,0))),0,MATCH(A102&amp;"",AthleteNumbers,0))</f>
        <v>0</v>
      </c>
      <c r="J102" s="209">
        <f t="array" ref="J102">IF(I102&gt;0,INDEX(DB,$I102,6),0)</f>
        <v>0</v>
      </c>
      <c r="K102" s="446">
        <f t="shared" si="5"/>
        <v>0</v>
      </c>
      <c r="L102" s="446">
        <f t="shared" si="6"/>
        <v>0</v>
      </c>
      <c r="M102" s="441">
        <f>IF(L102&lt;O102,MinPoints,IF(AND(L102&gt;N102,O102&gt;0),100,+INT(($L102-O102)/P102)+MinPoints))</f>
        <v>10</v>
      </c>
      <c r="N102" s="440">
        <f t="shared" si="7"/>
        <v>4.9</v>
      </c>
      <c r="O102" s="440">
        <f t="shared" si="8"/>
        <v>2.2</v>
      </c>
      <c r="P102" s="440">
        <f t="shared" si="9"/>
        <v>0.03</v>
      </c>
      <c r="Q102">
        <f t="array" ref="Q102">IF(I102&gt;0,INDEX(DB,I102,9),EventIndex)</f>
        <v>6</v>
      </c>
      <c r="S102" s="447">
        <f t="array" ref="S102">INDEX(MINVALUES,$Q102,$K$1)</f>
        <v>2.2</v>
      </c>
      <c r="T102" s="448">
        <f t="array" ref="T102">INDEX(INCVALUES,$Q102,$K$1)</f>
        <v>0.03</v>
      </c>
      <c r="V102">
        <f t="array" ref="V102">+J102+(4*(INDEX(MatchScoreTable,$Q102,20)-1))</f>
        <v>4</v>
      </c>
      <c r="W102" s="442">
        <f t="array" ref="W102">INDEX(INC_MINVALUES,$V102,$K$1)</f>
        <v>0.2</v>
      </c>
      <c r="X102" s="212">
        <f t="array" ref="X102">INDEX(INC_INCVALUES,$V102,$K$1)</f>
        <v>0.02</v>
      </c>
    </row>
    <row r="103" ht="15.75" customHeight="1">
      <c r="A103" s="435"/>
      <c r="B103" s="436"/>
      <c r="C103" s="95" t="str">
        <f t="array" ref="C103">IF(I103&gt;0,INDEX(DB,I103,8),"")</f>
        <v/>
      </c>
      <c r="D103" s="437">
        <f t="shared" si="1"/>
        <v>0</v>
      </c>
      <c r="F103" s="438">
        <f t="shared" si="2"/>
        <v>0</v>
      </c>
      <c r="G103" t="str">
        <f t="shared" si="3"/>
        <v/>
      </c>
      <c r="H103" t="b">
        <f t="shared" si="4"/>
        <v>0</v>
      </c>
      <c r="I103" s="439">
        <f>IF(OR(ISBLANK(A103),ISNA(MATCH(A103&amp;"",AthleteNumbers,0))),0,MATCH(A103&amp;"",AthleteNumbers,0))</f>
        <v>0</v>
      </c>
      <c r="J103" s="209">
        <f t="array" ref="J103">IF(I103&gt;0,INDEX(DB,$I103,6),0)</f>
        <v>0</v>
      </c>
      <c r="K103" s="446">
        <f t="shared" si="5"/>
        <v>0</v>
      </c>
      <c r="L103" s="446">
        <f t="shared" si="6"/>
        <v>0</v>
      </c>
      <c r="M103" s="441">
        <f>IF(L103&lt;O103,MinPoints,IF(AND(L103&gt;N103,O103&gt;0),100,+INT(($L103-O103)/P103)+MinPoints))</f>
        <v>10</v>
      </c>
      <c r="N103" s="440">
        <f t="shared" si="7"/>
        <v>4.9</v>
      </c>
      <c r="O103" s="440">
        <f t="shared" si="8"/>
        <v>2.2</v>
      </c>
      <c r="P103" s="440">
        <f t="shared" si="9"/>
        <v>0.03</v>
      </c>
      <c r="Q103">
        <f t="array" ref="Q103">IF(I103&gt;0,INDEX(DB,I103,9),EventIndex)</f>
        <v>6</v>
      </c>
      <c r="S103" s="447">
        <f t="array" ref="S103">INDEX(MINVALUES,$Q103,$K$1)</f>
        <v>2.2</v>
      </c>
      <c r="T103" s="448">
        <f t="array" ref="T103">INDEX(INCVALUES,$Q103,$K$1)</f>
        <v>0.03</v>
      </c>
      <c r="V103">
        <f t="array" ref="V103">+J103+(4*(INDEX(MatchScoreTable,$Q103,20)-1))</f>
        <v>4</v>
      </c>
      <c r="W103" s="442">
        <f t="array" ref="W103">INDEX(INC_MINVALUES,$V103,$K$1)</f>
        <v>0.2</v>
      </c>
      <c r="X103" s="212">
        <f t="array" ref="X103">INDEX(INC_INCVALUES,$V103,$K$1)</f>
        <v>0.02</v>
      </c>
    </row>
    <row r="104" ht="15.75" customHeight="1">
      <c r="A104" s="435"/>
      <c r="B104" s="436"/>
      <c r="C104" s="95" t="str">
        <f t="array" ref="C104">IF(I104&gt;0,INDEX(DB,I104,8),"")</f>
        <v/>
      </c>
      <c r="D104" s="437">
        <f t="shared" si="1"/>
        <v>0</v>
      </c>
      <c r="F104" s="438">
        <f t="shared" si="2"/>
        <v>0</v>
      </c>
      <c r="G104" t="str">
        <f t="shared" si="3"/>
        <v/>
      </c>
      <c r="H104" t="b">
        <f t="shared" si="4"/>
        <v>0</v>
      </c>
      <c r="I104" s="439">
        <f>IF(OR(ISBLANK(A104),ISNA(MATCH(A104&amp;"",AthleteNumbers,0))),0,MATCH(A104&amp;"",AthleteNumbers,0))</f>
        <v>0</v>
      </c>
      <c r="J104" s="209">
        <f t="array" ref="J104">IF(I104&gt;0,INDEX(DB,$I104,6),0)</f>
        <v>0</v>
      </c>
      <c r="K104" s="446">
        <f t="shared" si="5"/>
        <v>0</v>
      </c>
      <c r="L104" s="446">
        <f t="shared" si="6"/>
        <v>0</v>
      </c>
      <c r="M104" s="441">
        <f>IF(L104&lt;O104,MinPoints,IF(AND(L104&gt;N104,O104&gt;0),100,+INT(($L104-O104)/P104)+MinPoints))</f>
        <v>10</v>
      </c>
      <c r="N104" s="440">
        <f t="shared" si="7"/>
        <v>4.9</v>
      </c>
      <c r="O104" s="440">
        <f t="shared" si="8"/>
        <v>2.2</v>
      </c>
      <c r="P104" s="440">
        <f t="shared" si="9"/>
        <v>0.03</v>
      </c>
      <c r="Q104">
        <f t="array" ref="Q104">IF(I104&gt;0,INDEX(DB,I104,9),EventIndex)</f>
        <v>6</v>
      </c>
      <c r="S104" s="447">
        <f t="array" ref="S104">INDEX(MINVALUES,$Q104,$K$1)</f>
        <v>2.2</v>
      </c>
      <c r="T104" s="448">
        <f t="array" ref="T104">INDEX(INCVALUES,$Q104,$K$1)</f>
        <v>0.03</v>
      </c>
      <c r="V104">
        <f t="array" ref="V104">+J104+(4*(INDEX(MatchScoreTable,$Q104,20)-1))</f>
        <v>4</v>
      </c>
      <c r="W104" s="442">
        <f t="array" ref="W104">INDEX(INC_MINVALUES,$V104,$K$1)</f>
        <v>0.2</v>
      </c>
      <c r="X104" s="212">
        <f t="array" ref="X104">INDEX(INC_INCVALUES,$V104,$K$1)</f>
        <v>0.02</v>
      </c>
    </row>
    <row r="105" ht="15.75" customHeight="1">
      <c r="A105" s="435"/>
      <c r="B105" s="436"/>
      <c r="C105" s="95" t="str">
        <f t="array" ref="C105">IF(I105&gt;0,INDEX(DB,I105,8),"")</f>
        <v/>
      </c>
      <c r="D105" s="437">
        <f t="shared" si="1"/>
        <v>0</v>
      </c>
      <c r="F105" s="438">
        <f t="shared" si="2"/>
        <v>0</v>
      </c>
      <c r="G105" t="str">
        <f t="shared" si="3"/>
        <v/>
      </c>
      <c r="H105" t="b">
        <f t="shared" si="4"/>
        <v>0</v>
      </c>
      <c r="I105" s="439">
        <f>IF(OR(ISBLANK(A105),ISNA(MATCH(A105&amp;"",AthleteNumbers,0))),0,MATCH(A105&amp;"",AthleteNumbers,0))</f>
        <v>0</v>
      </c>
      <c r="J105" s="209">
        <f t="array" ref="J105">IF(I105&gt;0,INDEX(DB,$I105,6),0)</f>
        <v>0</v>
      </c>
      <c r="K105" s="446">
        <f t="shared" si="5"/>
        <v>0</v>
      </c>
      <c r="L105" s="446">
        <f t="shared" si="6"/>
        <v>0</v>
      </c>
      <c r="M105" s="441">
        <f>IF(L105&lt;O105,MinPoints,IF(AND(L105&gt;N105,O105&gt;0),100,+INT(($L105-O105)/P105)+MinPoints))</f>
        <v>10</v>
      </c>
      <c r="N105" s="440">
        <f t="shared" si="7"/>
        <v>4.9</v>
      </c>
      <c r="O105" s="440">
        <f t="shared" si="8"/>
        <v>2.2</v>
      </c>
      <c r="P105" s="440">
        <f t="shared" si="9"/>
        <v>0.03</v>
      </c>
      <c r="Q105">
        <f t="array" ref="Q105">IF(I105&gt;0,INDEX(DB,I105,9),EventIndex)</f>
        <v>6</v>
      </c>
      <c r="S105" s="447">
        <f t="array" ref="S105">INDEX(MINVALUES,$Q105,$K$1)</f>
        <v>2.2</v>
      </c>
      <c r="T105" s="448">
        <f t="array" ref="T105">INDEX(INCVALUES,$Q105,$K$1)</f>
        <v>0.03</v>
      </c>
      <c r="V105">
        <f t="array" ref="V105">+J105+(4*(INDEX(MatchScoreTable,$Q105,20)-1))</f>
        <v>4</v>
      </c>
      <c r="W105" s="442">
        <f t="array" ref="W105">INDEX(INC_MINVALUES,$V105,$K$1)</f>
        <v>0.2</v>
      </c>
      <c r="X105" s="212">
        <f t="array" ref="X105">INDEX(INC_INCVALUES,$V105,$K$1)</f>
        <v>0.02</v>
      </c>
    </row>
    <row r="106" ht="15.75" customHeight="1">
      <c r="A106" s="435"/>
      <c r="B106" s="436"/>
      <c r="C106" s="95" t="str">
        <f t="array" ref="C106">IF(I106&gt;0,INDEX(DB,I106,8),"")</f>
        <v/>
      </c>
      <c r="D106" s="437">
        <f t="shared" si="1"/>
        <v>0</v>
      </c>
      <c r="F106" s="438">
        <f t="shared" si="2"/>
        <v>0</v>
      </c>
      <c r="G106" t="str">
        <f t="shared" si="3"/>
        <v/>
      </c>
      <c r="H106" t="b">
        <f t="shared" si="4"/>
        <v>0</v>
      </c>
      <c r="I106" s="439">
        <f>IF(OR(ISBLANK(A106),ISNA(MATCH(A106&amp;"",AthleteNumbers,0))),0,MATCH(A106&amp;"",AthleteNumbers,0))</f>
        <v>0</v>
      </c>
      <c r="J106" s="209">
        <f t="array" ref="J106">IF(I106&gt;0,INDEX(DB,$I106,6),0)</f>
        <v>0</v>
      </c>
      <c r="K106" s="446">
        <f t="shared" si="5"/>
        <v>0</v>
      </c>
      <c r="L106" s="446">
        <f t="shared" si="6"/>
        <v>0</v>
      </c>
      <c r="M106" s="441">
        <f>IF(L106&lt;O106,MinPoints,IF(AND(L106&gt;N106,O106&gt;0),100,+INT(($L106-O106)/P106)+MinPoints))</f>
        <v>10</v>
      </c>
      <c r="N106" s="440">
        <f t="shared" si="7"/>
        <v>4.9</v>
      </c>
      <c r="O106" s="440">
        <f t="shared" si="8"/>
        <v>2.2</v>
      </c>
      <c r="P106" s="440">
        <f t="shared" si="9"/>
        <v>0.03</v>
      </c>
      <c r="Q106">
        <f t="array" ref="Q106">IF(I106&gt;0,INDEX(DB,I106,9),EventIndex)</f>
        <v>6</v>
      </c>
      <c r="S106" s="447">
        <f t="array" ref="S106">INDEX(MINVALUES,$Q106,$K$1)</f>
        <v>2.2</v>
      </c>
      <c r="T106" s="448">
        <f t="array" ref="T106">INDEX(INCVALUES,$Q106,$K$1)</f>
        <v>0.03</v>
      </c>
      <c r="V106">
        <f t="array" ref="V106">+J106+(4*(INDEX(MatchScoreTable,$Q106,20)-1))</f>
        <v>4</v>
      </c>
      <c r="W106" s="442">
        <f t="array" ref="W106">INDEX(INC_MINVALUES,$V106,$K$1)</f>
        <v>0.2</v>
      </c>
      <c r="X106" s="212">
        <f t="array" ref="X106">INDEX(INC_INCVALUES,$V106,$K$1)</f>
        <v>0.02</v>
      </c>
    </row>
    <row r="107" ht="15.75" customHeight="1">
      <c r="A107" s="435"/>
      <c r="B107" s="436"/>
      <c r="C107" s="95" t="str">
        <f t="array" ref="C107">IF(I107&gt;0,INDEX(DB,I107,8),"")</f>
        <v/>
      </c>
      <c r="D107" s="437">
        <f t="shared" si="1"/>
        <v>0</v>
      </c>
      <c r="F107" s="438">
        <f t="shared" si="2"/>
        <v>0</v>
      </c>
      <c r="G107" t="str">
        <f t="shared" si="3"/>
        <v/>
      </c>
      <c r="H107" t="b">
        <f t="shared" si="4"/>
        <v>0</v>
      </c>
      <c r="I107" s="439">
        <f>IF(OR(ISBLANK(A107),ISNA(MATCH(A107&amp;"",AthleteNumbers,0))),0,MATCH(A107&amp;"",AthleteNumbers,0))</f>
        <v>0</v>
      </c>
      <c r="J107" s="209">
        <f t="array" ref="J107">IF(I107&gt;0,INDEX(DB,$I107,6),0)</f>
        <v>0</v>
      </c>
      <c r="K107" s="446">
        <f t="shared" si="5"/>
        <v>0</v>
      </c>
      <c r="L107" s="446">
        <f t="shared" si="6"/>
        <v>0</v>
      </c>
      <c r="M107" s="441">
        <f>IF(L107&lt;O107,MinPoints,IF(AND(L107&gt;N107,O107&gt;0),100,+INT(($L107-O107)/P107)+MinPoints))</f>
        <v>10</v>
      </c>
      <c r="N107" s="440">
        <f t="shared" si="7"/>
        <v>4.9</v>
      </c>
      <c r="O107" s="440">
        <f t="shared" si="8"/>
        <v>2.2</v>
      </c>
      <c r="P107" s="440">
        <f t="shared" si="9"/>
        <v>0.03</v>
      </c>
      <c r="Q107">
        <f t="array" ref="Q107">IF(I107&gt;0,INDEX(DB,I107,9),EventIndex)</f>
        <v>6</v>
      </c>
      <c r="S107" s="447">
        <f t="array" ref="S107">INDEX(MINVALUES,$Q107,$K$1)</f>
        <v>2.2</v>
      </c>
      <c r="T107" s="448">
        <f t="array" ref="T107">INDEX(INCVALUES,$Q107,$K$1)</f>
        <v>0.03</v>
      </c>
      <c r="V107">
        <f t="array" ref="V107">+J107+(4*(INDEX(MatchScoreTable,$Q107,20)-1))</f>
        <v>4</v>
      </c>
      <c r="W107" s="442">
        <f t="array" ref="W107">INDEX(INC_MINVALUES,$V107,$K$1)</f>
        <v>0.2</v>
      </c>
      <c r="X107" s="212">
        <f t="array" ref="X107">INDEX(INC_INCVALUES,$V107,$K$1)</f>
        <v>0.02</v>
      </c>
    </row>
    <row r="108" ht="15.75" customHeight="1">
      <c r="A108" s="435"/>
      <c r="B108" s="436"/>
      <c r="C108" s="95" t="str">
        <f t="array" ref="C108">IF(I108&gt;0,INDEX(DB,I108,8),"")</f>
        <v/>
      </c>
      <c r="D108" s="437">
        <f t="shared" si="1"/>
        <v>0</v>
      </c>
      <c r="F108" s="438">
        <f t="shared" si="2"/>
        <v>0</v>
      </c>
      <c r="G108" t="str">
        <f t="shared" si="3"/>
        <v/>
      </c>
      <c r="H108" t="b">
        <f t="shared" si="4"/>
        <v>0</v>
      </c>
      <c r="I108" s="439">
        <f>IF(OR(ISBLANK(A108),ISNA(MATCH(A108&amp;"",AthleteNumbers,0))),0,MATCH(A108&amp;"",AthleteNumbers,0))</f>
        <v>0</v>
      </c>
      <c r="J108" s="209">
        <f t="array" ref="J108">IF(I108&gt;0,INDEX(DB,$I108,6),0)</f>
        <v>0</v>
      </c>
      <c r="K108" s="446">
        <f t="shared" si="5"/>
        <v>0</v>
      </c>
      <c r="L108" s="446">
        <f t="shared" si="6"/>
        <v>0</v>
      </c>
      <c r="M108" s="441">
        <f>IF(L108&lt;O108,MinPoints,IF(AND(L108&gt;N108,O108&gt;0),100,+INT(($L108-O108)/P108)+MinPoints))</f>
        <v>10</v>
      </c>
      <c r="N108" s="440">
        <f t="shared" si="7"/>
        <v>4.9</v>
      </c>
      <c r="O108" s="440">
        <f t="shared" si="8"/>
        <v>2.2</v>
      </c>
      <c r="P108" s="440">
        <f t="shared" si="9"/>
        <v>0.03</v>
      </c>
      <c r="Q108">
        <f t="array" ref="Q108">IF(I108&gt;0,INDEX(DB,I108,9),EventIndex)</f>
        <v>6</v>
      </c>
      <c r="S108" s="447">
        <f t="array" ref="S108">INDEX(MINVALUES,$Q108,$K$1)</f>
        <v>2.2</v>
      </c>
      <c r="T108" s="448">
        <f t="array" ref="T108">INDEX(INCVALUES,$Q108,$K$1)</f>
        <v>0.03</v>
      </c>
      <c r="V108">
        <f t="array" ref="V108">+J108+(4*(INDEX(MatchScoreTable,$Q108,20)-1))</f>
        <v>4</v>
      </c>
      <c r="W108" s="442">
        <f t="array" ref="W108">INDEX(INC_MINVALUES,$V108,$K$1)</f>
        <v>0.2</v>
      </c>
      <c r="X108" s="212">
        <f t="array" ref="X108">INDEX(INC_INCVALUES,$V108,$K$1)</f>
        <v>0.02</v>
      </c>
    </row>
    <row r="109" ht="15.75" customHeight="1">
      <c r="A109" s="435"/>
      <c r="B109" s="436"/>
      <c r="C109" s="95" t="str">
        <f t="array" ref="C109">IF(I109&gt;0,INDEX(DB,I109,8),"")</f>
        <v/>
      </c>
      <c r="D109" s="437">
        <f t="shared" si="1"/>
        <v>0</v>
      </c>
      <c r="F109" s="438">
        <f t="shared" si="2"/>
        <v>0</v>
      </c>
      <c r="G109" t="str">
        <f t="shared" si="3"/>
        <v/>
      </c>
      <c r="H109" t="b">
        <f t="shared" si="4"/>
        <v>0</v>
      </c>
      <c r="I109" s="439">
        <f>IF(OR(ISBLANK(A109),ISNA(MATCH(A109&amp;"",AthleteNumbers,0))),0,MATCH(A109&amp;"",AthleteNumbers,0))</f>
        <v>0</v>
      </c>
      <c r="J109" s="209">
        <f t="array" ref="J109">IF(I109&gt;0,INDEX(DB,$I109,6),0)</f>
        <v>0</v>
      </c>
      <c r="K109" s="446">
        <f t="shared" si="5"/>
        <v>0</v>
      </c>
      <c r="L109" s="446">
        <f t="shared" si="6"/>
        <v>0</v>
      </c>
      <c r="M109" s="441">
        <f>IF(L109&lt;O109,MinPoints,IF(AND(L109&gt;N109,O109&gt;0),100,+INT(($L109-O109)/P109)+MinPoints))</f>
        <v>10</v>
      </c>
      <c r="N109" s="440">
        <f t="shared" si="7"/>
        <v>4.9</v>
      </c>
      <c r="O109" s="440">
        <f t="shared" si="8"/>
        <v>2.2</v>
      </c>
      <c r="P109" s="440">
        <f t="shared" si="9"/>
        <v>0.03</v>
      </c>
      <c r="Q109">
        <f t="array" ref="Q109">IF(I109&gt;0,INDEX(DB,I109,9),EventIndex)</f>
        <v>6</v>
      </c>
      <c r="S109" s="447">
        <f t="array" ref="S109">INDEX(MINVALUES,$Q109,$K$1)</f>
        <v>2.2</v>
      </c>
      <c r="T109" s="448">
        <f t="array" ref="T109">INDEX(INCVALUES,$Q109,$K$1)</f>
        <v>0.03</v>
      </c>
      <c r="V109">
        <f t="array" ref="V109">+J109+(4*(INDEX(MatchScoreTable,$Q109,20)-1))</f>
        <v>4</v>
      </c>
      <c r="W109" s="442">
        <f t="array" ref="W109">INDEX(INC_MINVALUES,$V109,$K$1)</f>
        <v>0.2</v>
      </c>
      <c r="X109" s="212">
        <f t="array" ref="X109">INDEX(INC_INCVALUES,$V109,$K$1)</f>
        <v>0.02</v>
      </c>
    </row>
    <row r="110" ht="15.75" customHeight="1">
      <c r="A110" s="435"/>
      <c r="B110" s="436"/>
      <c r="C110" s="95" t="str">
        <f t="array" ref="C110">IF(I110&gt;0,INDEX(DB,I110,8),"")</f>
        <v/>
      </c>
      <c r="D110" s="437">
        <f t="shared" si="1"/>
        <v>0</v>
      </c>
      <c r="F110" s="438">
        <f t="shared" si="2"/>
        <v>0</v>
      </c>
      <c r="G110" t="str">
        <f t="shared" si="3"/>
        <v/>
      </c>
      <c r="H110" t="b">
        <f t="shared" si="4"/>
        <v>0</v>
      </c>
      <c r="I110" s="439">
        <f>IF(OR(ISBLANK(A110),ISNA(MATCH(A110&amp;"",AthleteNumbers,0))),0,MATCH(A110&amp;"",AthleteNumbers,0))</f>
        <v>0</v>
      </c>
      <c r="J110" s="209">
        <f t="array" ref="J110">IF(I110&gt;0,INDEX(DB,$I110,6),0)</f>
        <v>0</v>
      </c>
      <c r="K110" s="446">
        <f t="shared" si="5"/>
        <v>0</v>
      </c>
      <c r="L110" s="446">
        <f t="shared" si="6"/>
        <v>0</v>
      </c>
      <c r="M110" s="441">
        <f>IF(L110&lt;O110,MinPoints,IF(AND(L110&gt;N110,O110&gt;0),100,+INT(($L110-O110)/P110)+MinPoints))</f>
        <v>10</v>
      </c>
      <c r="N110" s="440">
        <f t="shared" si="7"/>
        <v>4.9</v>
      </c>
      <c r="O110" s="440">
        <f t="shared" si="8"/>
        <v>2.2</v>
      </c>
      <c r="P110" s="440">
        <f t="shared" si="9"/>
        <v>0.03</v>
      </c>
      <c r="Q110">
        <f t="array" ref="Q110">IF(I110&gt;0,INDEX(DB,I110,9),EventIndex)</f>
        <v>6</v>
      </c>
      <c r="S110" s="447">
        <f t="array" ref="S110">INDEX(MINVALUES,$Q110,$K$1)</f>
        <v>2.2</v>
      </c>
      <c r="T110" s="448">
        <f t="array" ref="T110">INDEX(INCVALUES,$Q110,$K$1)</f>
        <v>0.03</v>
      </c>
      <c r="V110">
        <f t="array" ref="V110">+J110+(4*(INDEX(MatchScoreTable,$Q110,20)-1))</f>
        <v>4</v>
      </c>
      <c r="W110" s="442">
        <f t="array" ref="W110">INDEX(INC_MINVALUES,$V110,$K$1)</f>
        <v>0.2</v>
      </c>
      <c r="X110" s="212">
        <f t="array" ref="X110">INDEX(INC_INCVALUES,$V110,$K$1)</f>
        <v>0.02</v>
      </c>
    </row>
    <row r="111" ht="15.75" customHeight="1">
      <c r="A111" s="435"/>
      <c r="B111" s="436"/>
      <c r="C111" s="95" t="str">
        <f t="array" ref="C111">IF(I111&gt;0,INDEX(DB,I111,8),"")</f>
        <v/>
      </c>
      <c r="D111" s="437">
        <f t="shared" si="1"/>
        <v>0</v>
      </c>
      <c r="F111" s="438">
        <f t="shared" si="2"/>
        <v>0</v>
      </c>
      <c r="G111" t="str">
        <f t="shared" si="3"/>
        <v/>
      </c>
      <c r="H111" t="b">
        <f t="shared" si="4"/>
        <v>0</v>
      </c>
      <c r="I111" s="439">
        <f>IF(OR(ISBLANK(A111),ISNA(MATCH(A111&amp;"",AthleteNumbers,0))),0,MATCH(A111&amp;"",AthleteNumbers,0))</f>
        <v>0</v>
      </c>
      <c r="J111" s="209">
        <f t="array" ref="J111">IF(I111&gt;0,INDEX(DB,$I111,6),0)</f>
        <v>0</v>
      </c>
      <c r="K111" s="446">
        <f t="shared" si="5"/>
        <v>0</v>
      </c>
      <c r="L111" s="446">
        <f t="shared" si="6"/>
        <v>0</v>
      </c>
      <c r="M111" s="441">
        <f>IF(L111&lt;O111,MinPoints,IF(AND(L111&gt;N111,O111&gt;0),100,+INT(($L111-O111)/P111)+MinPoints))</f>
        <v>10</v>
      </c>
      <c r="N111" s="440">
        <f t="shared" si="7"/>
        <v>4.9</v>
      </c>
      <c r="O111" s="440">
        <f t="shared" si="8"/>
        <v>2.2</v>
      </c>
      <c r="P111" s="440">
        <f t="shared" si="9"/>
        <v>0.03</v>
      </c>
      <c r="Q111">
        <f t="array" ref="Q111">IF(I111&gt;0,INDEX(DB,I111,9),EventIndex)</f>
        <v>6</v>
      </c>
      <c r="S111" s="447">
        <f t="array" ref="S111">INDEX(MINVALUES,$Q111,$K$1)</f>
        <v>2.2</v>
      </c>
      <c r="T111" s="448">
        <f t="array" ref="T111">INDEX(INCVALUES,$Q111,$K$1)</f>
        <v>0.03</v>
      </c>
      <c r="V111">
        <f t="array" ref="V111">+J111+(4*(INDEX(MatchScoreTable,$Q111,20)-1))</f>
        <v>4</v>
      </c>
      <c r="W111" s="442">
        <f t="array" ref="W111">INDEX(INC_MINVALUES,$V111,$K$1)</f>
        <v>0.2</v>
      </c>
      <c r="X111" s="212">
        <f t="array" ref="X111">INDEX(INC_INCVALUES,$V111,$K$1)</f>
        <v>0.02</v>
      </c>
    </row>
    <row r="112" ht="15.75" customHeight="1">
      <c r="A112" s="435"/>
      <c r="B112" s="436"/>
      <c r="C112" s="95" t="str">
        <f t="array" ref="C112">IF(I112&gt;0,INDEX(DB,I112,8),"")</f>
        <v/>
      </c>
      <c r="D112" s="437">
        <f t="shared" si="1"/>
        <v>0</v>
      </c>
      <c r="F112" s="438">
        <f t="shared" si="2"/>
        <v>0</v>
      </c>
      <c r="G112" t="str">
        <f t="shared" si="3"/>
        <v/>
      </c>
      <c r="H112" t="b">
        <f t="shared" si="4"/>
        <v>0</v>
      </c>
      <c r="I112" s="439">
        <f>IF(OR(ISBLANK(A112),ISNA(MATCH(A112&amp;"",AthleteNumbers,0))),0,MATCH(A112&amp;"",AthleteNumbers,0))</f>
        <v>0</v>
      </c>
      <c r="J112" s="209">
        <f t="array" ref="J112">IF(I112&gt;0,INDEX(DB,$I112,6),0)</f>
        <v>0</v>
      </c>
      <c r="K112" s="446">
        <f t="shared" si="5"/>
        <v>0</v>
      </c>
      <c r="L112" s="446">
        <f t="shared" si="6"/>
        <v>0</v>
      </c>
      <c r="M112" s="441">
        <f>IF(L112&lt;O112,MinPoints,IF(AND(L112&gt;N112,O112&gt;0),100,+INT(($L112-O112)/P112)+MinPoints))</f>
        <v>10</v>
      </c>
      <c r="N112" s="440">
        <f t="shared" si="7"/>
        <v>4.9</v>
      </c>
      <c r="O112" s="440">
        <f t="shared" si="8"/>
        <v>2.2</v>
      </c>
      <c r="P112" s="440">
        <f t="shared" si="9"/>
        <v>0.03</v>
      </c>
      <c r="Q112">
        <f t="array" ref="Q112">IF(I112&gt;0,INDEX(DB,I112,9),EventIndex)</f>
        <v>6</v>
      </c>
      <c r="S112" s="447">
        <f t="array" ref="S112">INDEX(MINVALUES,$Q112,$K$1)</f>
        <v>2.2</v>
      </c>
      <c r="T112" s="448">
        <f t="array" ref="T112">INDEX(INCVALUES,$Q112,$K$1)</f>
        <v>0.03</v>
      </c>
      <c r="V112">
        <f t="array" ref="V112">+J112+(4*(INDEX(MatchScoreTable,$Q112,20)-1))</f>
        <v>4</v>
      </c>
      <c r="W112" s="442">
        <f t="array" ref="W112">INDEX(INC_MINVALUES,$V112,$K$1)</f>
        <v>0.2</v>
      </c>
      <c r="X112" s="212">
        <f t="array" ref="X112">INDEX(INC_INCVALUES,$V112,$K$1)</f>
        <v>0.02</v>
      </c>
    </row>
    <row r="113" ht="15.75" customHeight="1">
      <c r="A113" s="435"/>
      <c r="B113" s="436"/>
      <c r="C113" s="95" t="str">
        <f t="array" ref="C113">IF(I113&gt;0,INDEX(DB,I113,8),"")</f>
        <v/>
      </c>
      <c r="D113" s="437">
        <f t="shared" si="1"/>
        <v>0</v>
      </c>
      <c r="F113" s="438">
        <f t="shared" si="2"/>
        <v>0</v>
      </c>
      <c r="G113" t="str">
        <f t="shared" si="3"/>
        <v/>
      </c>
      <c r="H113" t="b">
        <f t="shared" si="4"/>
        <v>0</v>
      </c>
      <c r="I113" s="439">
        <f>IF(OR(ISBLANK(A113),ISNA(MATCH(A113&amp;"",AthleteNumbers,0))),0,MATCH(A113&amp;"",AthleteNumbers,0))</f>
        <v>0</v>
      </c>
      <c r="J113" s="209">
        <f t="array" ref="J113">IF(I113&gt;0,INDEX(DB,$I113,6),0)</f>
        <v>0</v>
      </c>
      <c r="K113" s="446">
        <f t="shared" si="5"/>
        <v>0</v>
      </c>
      <c r="L113" s="446">
        <f t="shared" si="6"/>
        <v>0</v>
      </c>
      <c r="M113" s="441">
        <f>IF(L113&lt;O113,MinPoints,IF(AND(L113&gt;N113,O113&gt;0),100,+INT(($L113-O113)/P113)+MinPoints))</f>
        <v>10</v>
      </c>
      <c r="N113" s="440">
        <f t="shared" si="7"/>
        <v>4.9</v>
      </c>
      <c r="O113" s="440">
        <f t="shared" si="8"/>
        <v>2.2</v>
      </c>
      <c r="P113" s="440">
        <f t="shared" si="9"/>
        <v>0.03</v>
      </c>
      <c r="Q113">
        <f t="array" ref="Q113">IF(I113&gt;0,INDEX(DB,I113,9),EventIndex)</f>
        <v>6</v>
      </c>
      <c r="S113" s="447">
        <f t="array" ref="S113">INDEX(MINVALUES,$Q113,$K$1)</f>
        <v>2.2</v>
      </c>
      <c r="T113" s="448">
        <f t="array" ref="T113">INDEX(INCVALUES,$Q113,$K$1)</f>
        <v>0.03</v>
      </c>
      <c r="V113">
        <f t="array" ref="V113">+J113+(4*(INDEX(MatchScoreTable,$Q113,20)-1))</f>
        <v>4</v>
      </c>
      <c r="W113" s="442">
        <f t="array" ref="W113">INDEX(INC_MINVALUES,$V113,$K$1)</f>
        <v>0.2</v>
      </c>
      <c r="X113" s="212">
        <f t="array" ref="X113">INDEX(INC_INCVALUES,$V113,$K$1)</f>
        <v>0.02</v>
      </c>
    </row>
    <row r="114" ht="15.75" customHeight="1">
      <c r="A114" s="435"/>
      <c r="B114" s="436"/>
      <c r="C114" s="95" t="str">
        <f t="array" ref="C114">IF(I114&gt;0,INDEX(DB,I114,8),"")</f>
        <v/>
      </c>
      <c r="D114" s="437">
        <f t="shared" si="1"/>
        <v>0</v>
      </c>
      <c r="F114" s="438">
        <f t="shared" si="2"/>
        <v>0</v>
      </c>
      <c r="G114" t="str">
        <f t="shared" si="3"/>
        <v/>
      </c>
      <c r="H114" t="b">
        <f t="shared" si="4"/>
        <v>0</v>
      </c>
      <c r="I114" s="439">
        <f>IF(OR(ISBLANK(A114),ISNA(MATCH(A114&amp;"",AthleteNumbers,0))),0,MATCH(A114&amp;"",AthleteNumbers,0))</f>
        <v>0</v>
      </c>
      <c r="J114" s="209">
        <f t="array" ref="J114">IF(I114&gt;0,INDEX(DB,$I114,6),0)</f>
        <v>0</v>
      </c>
      <c r="K114" s="446">
        <f t="shared" si="5"/>
        <v>0</v>
      </c>
      <c r="L114" s="446">
        <f t="shared" si="6"/>
        <v>0</v>
      </c>
      <c r="M114" s="441">
        <f>IF(L114&lt;O114,MinPoints,IF(AND(L114&gt;N114,O114&gt;0),100,+INT(($L114-O114)/P114)+MinPoints))</f>
        <v>10</v>
      </c>
      <c r="N114" s="440">
        <f t="shared" si="7"/>
        <v>4.9</v>
      </c>
      <c r="O114" s="440">
        <f t="shared" si="8"/>
        <v>2.2</v>
      </c>
      <c r="P114" s="440">
        <f t="shared" si="9"/>
        <v>0.03</v>
      </c>
      <c r="Q114">
        <f t="array" ref="Q114">IF(I114&gt;0,INDEX(DB,I114,9),EventIndex)</f>
        <v>6</v>
      </c>
      <c r="S114" s="447">
        <f t="array" ref="S114">INDEX(MINVALUES,$Q114,$K$1)</f>
        <v>2.2</v>
      </c>
      <c r="T114" s="448">
        <f t="array" ref="T114">INDEX(INCVALUES,$Q114,$K$1)</f>
        <v>0.03</v>
      </c>
      <c r="V114">
        <f t="array" ref="V114">+J114+(4*(INDEX(MatchScoreTable,$Q114,20)-1))</f>
        <v>4</v>
      </c>
      <c r="W114" s="442">
        <f t="array" ref="W114">INDEX(INC_MINVALUES,$V114,$K$1)</f>
        <v>0.2</v>
      </c>
      <c r="X114" s="212">
        <f t="array" ref="X114">INDEX(INC_INCVALUES,$V114,$K$1)</f>
        <v>0.02</v>
      </c>
    </row>
    <row r="115" ht="15.75" customHeight="1">
      <c r="A115" s="435"/>
      <c r="B115" s="436"/>
      <c r="C115" s="95" t="str">
        <f t="array" ref="C115">IF(I115&gt;0,INDEX(DB,I115,8),"")</f>
        <v/>
      </c>
      <c r="D115" s="437">
        <f t="shared" si="1"/>
        <v>0</v>
      </c>
      <c r="F115" s="438">
        <f t="shared" si="2"/>
        <v>0</v>
      </c>
      <c r="G115" t="str">
        <f t="shared" si="3"/>
        <v/>
      </c>
      <c r="H115" t="b">
        <f t="shared" si="4"/>
        <v>0</v>
      </c>
      <c r="I115" s="439">
        <f>IF(OR(ISBLANK(A115),ISNA(MATCH(A115&amp;"",AthleteNumbers,0))),0,MATCH(A115&amp;"",AthleteNumbers,0))</f>
        <v>0</v>
      </c>
      <c r="J115" s="209">
        <f t="array" ref="J115">IF(I115&gt;0,INDEX(DB,$I115,6),0)</f>
        <v>0</v>
      </c>
      <c r="K115" s="446">
        <f t="shared" si="5"/>
        <v>0</v>
      </c>
      <c r="L115" s="446">
        <f t="shared" si="6"/>
        <v>0</v>
      </c>
      <c r="M115" s="441">
        <f>IF(L115&lt;O115,MinPoints,IF(AND(L115&gt;N115,O115&gt;0),100,+INT(($L115-O115)/P115)+MinPoints))</f>
        <v>10</v>
      </c>
      <c r="N115" s="440">
        <f t="shared" si="7"/>
        <v>4.9</v>
      </c>
      <c r="O115" s="440">
        <f t="shared" si="8"/>
        <v>2.2</v>
      </c>
      <c r="P115" s="440">
        <f t="shared" si="9"/>
        <v>0.03</v>
      </c>
      <c r="Q115">
        <f t="array" ref="Q115">IF(I115&gt;0,INDEX(DB,I115,9),EventIndex)</f>
        <v>6</v>
      </c>
      <c r="S115" s="447">
        <f t="array" ref="S115">INDEX(MINVALUES,$Q115,$K$1)</f>
        <v>2.2</v>
      </c>
      <c r="T115" s="448">
        <f t="array" ref="T115">INDEX(INCVALUES,$Q115,$K$1)</f>
        <v>0.03</v>
      </c>
      <c r="V115">
        <f t="array" ref="V115">+J115+(4*(INDEX(MatchScoreTable,$Q115,20)-1))</f>
        <v>4</v>
      </c>
      <c r="W115" s="442">
        <f t="array" ref="W115">INDEX(INC_MINVALUES,$V115,$K$1)</f>
        <v>0.2</v>
      </c>
      <c r="X115" s="212">
        <f t="array" ref="X115">INDEX(INC_INCVALUES,$V115,$K$1)</f>
        <v>0.02</v>
      </c>
    </row>
    <row r="116" ht="15.75" customHeight="1">
      <c r="A116" s="435"/>
      <c r="B116" s="436"/>
      <c r="C116" s="95" t="str">
        <f t="array" ref="C116">IF(I116&gt;0,INDEX(DB,I116,8),"")</f>
        <v/>
      </c>
      <c r="D116" s="437">
        <f t="shared" si="1"/>
        <v>0</v>
      </c>
      <c r="F116" s="438">
        <f t="shared" si="2"/>
        <v>0</v>
      </c>
      <c r="G116" t="str">
        <f t="shared" si="3"/>
        <v/>
      </c>
      <c r="H116" t="b">
        <f t="shared" si="4"/>
        <v>0</v>
      </c>
      <c r="I116" s="439">
        <f>IF(OR(ISBLANK(A116),ISNA(MATCH(A116&amp;"",AthleteNumbers,0))),0,MATCH(A116&amp;"",AthleteNumbers,0))</f>
        <v>0</v>
      </c>
      <c r="J116" s="209">
        <f t="array" ref="J116">IF(I116&gt;0,INDEX(DB,$I116,6),0)</f>
        <v>0</v>
      </c>
      <c r="K116" s="446">
        <f t="shared" si="5"/>
        <v>0</v>
      </c>
      <c r="L116" s="446">
        <f t="shared" si="6"/>
        <v>0</v>
      </c>
      <c r="M116" s="441">
        <f>IF(L116&lt;O116,MinPoints,IF(AND(L116&gt;N116,O116&gt;0),100,+INT(($L116-O116)/P116)+MinPoints))</f>
        <v>10</v>
      </c>
      <c r="N116" s="440">
        <f t="shared" si="7"/>
        <v>4.9</v>
      </c>
      <c r="O116" s="440">
        <f t="shared" si="8"/>
        <v>2.2</v>
      </c>
      <c r="P116" s="440">
        <f t="shared" si="9"/>
        <v>0.03</v>
      </c>
      <c r="Q116">
        <f t="array" ref="Q116">IF(I116&gt;0,INDEX(DB,I116,9),EventIndex)</f>
        <v>6</v>
      </c>
      <c r="S116" s="447">
        <f t="array" ref="S116">INDEX(MINVALUES,$Q116,$K$1)</f>
        <v>2.2</v>
      </c>
      <c r="T116" s="448">
        <f t="array" ref="T116">INDEX(INCVALUES,$Q116,$K$1)</f>
        <v>0.03</v>
      </c>
      <c r="V116">
        <f t="array" ref="V116">+J116+(4*(INDEX(MatchScoreTable,$Q116,20)-1))</f>
        <v>4</v>
      </c>
      <c r="W116" s="442">
        <f t="array" ref="W116">INDEX(INC_MINVALUES,$V116,$K$1)</f>
        <v>0.2</v>
      </c>
      <c r="X116" s="212">
        <f t="array" ref="X116">INDEX(INC_INCVALUES,$V116,$K$1)</f>
        <v>0.02</v>
      </c>
    </row>
    <row r="117" ht="15.75" customHeight="1">
      <c r="A117" s="435"/>
      <c r="B117" s="436"/>
      <c r="C117" s="95" t="str">
        <f t="array" ref="C117">IF(I117&gt;0,INDEX(DB,I117,8),"")</f>
        <v/>
      </c>
      <c r="D117" s="437">
        <f t="shared" si="1"/>
        <v>0</v>
      </c>
      <c r="F117" s="438">
        <f t="shared" si="2"/>
        <v>0</v>
      </c>
      <c r="G117" t="str">
        <f t="shared" si="3"/>
        <v/>
      </c>
      <c r="H117" t="b">
        <f t="shared" si="4"/>
        <v>0</v>
      </c>
      <c r="I117" s="439">
        <f>IF(OR(ISBLANK(A117),ISNA(MATCH(A117&amp;"",AthleteNumbers,0))),0,MATCH(A117&amp;"",AthleteNumbers,0))</f>
        <v>0</v>
      </c>
      <c r="J117" s="209">
        <f t="array" ref="J117">IF(I117&gt;0,INDEX(DB,$I117,6),0)</f>
        <v>0</v>
      </c>
      <c r="K117" s="446">
        <f t="shared" si="5"/>
        <v>0</v>
      </c>
      <c r="L117" s="446">
        <f t="shared" si="6"/>
        <v>0</v>
      </c>
      <c r="M117" s="441">
        <f>IF(L117&lt;O117,MinPoints,IF(AND(L117&gt;N117,O117&gt;0),100,+INT(($L117-O117)/P117)+MinPoints))</f>
        <v>10</v>
      </c>
      <c r="N117" s="440">
        <f t="shared" si="7"/>
        <v>4.9</v>
      </c>
      <c r="O117" s="440">
        <f t="shared" si="8"/>
        <v>2.2</v>
      </c>
      <c r="P117" s="440">
        <f t="shared" si="9"/>
        <v>0.03</v>
      </c>
      <c r="Q117">
        <f t="array" ref="Q117">IF(I117&gt;0,INDEX(DB,I117,9),EventIndex)</f>
        <v>6</v>
      </c>
      <c r="S117" s="447">
        <f t="array" ref="S117">INDEX(MINVALUES,$Q117,$K$1)</f>
        <v>2.2</v>
      </c>
      <c r="T117" s="448">
        <f t="array" ref="T117">INDEX(INCVALUES,$Q117,$K$1)</f>
        <v>0.03</v>
      </c>
      <c r="V117">
        <f t="array" ref="V117">+J117+(4*(INDEX(MatchScoreTable,$Q117,20)-1))</f>
        <v>4</v>
      </c>
      <c r="W117" s="442">
        <f t="array" ref="W117">INDEX(INC_MINVALUES,$V117,$K$1)</f>
        <v>0.2</v>
      </c>
      <c r="X117" s="212">
        <f t="array" ref="X117">INDEX(INC_INCVALUES,$V117,$K$1)</f>
        <v>0.02</v>
      </c>
    </row>
    <row r="118" ht="15.75" customHeight="1">
      <c r="A118" s="435"/>
      <c r="B118" s="436"/>
      <c r="C118" s="95" t="str">
        <f t="array" ref="C118">IF(I118&gt;0,INDEX(DB,I118,8),"")</f>
        <v/>
      </c>
      <c r="D118" s="437">
        <f t="shared" si="1"/>
        <v>0</v>
      </c>
      <c r="F118" s="438">
        <f t="shared" si="2"/>
        <v>0</v>
      </c>
      <c r="G118" t="str">
        <f t="shared" si="3"/>
        <v/>
      </c>
      <c r="H118" t="b">
        <f t="shared" si="4"/>
        <v>0</v>
      </c>
      <c r="I118" s="439">
        <f>IF(OR(ISBLANK(A118),ISNA(MATCH(A118&amp;"",AthleteNumbers,0))),0,MATCH(A118&amp;"",AthleteNumbers,0))</f>
        <v>0</v>
      </c>
      <c r="J118" s="209">
        <f t="array" ref="J118">IF(I118&gt;0,INDEX(DB,$I118,6),0)</f>
        <v>0</v>
      </c>
      <c r="K118" s="446">
        <f t="shared" si="5"/>
        <v>0</v>
      </c>
      <c r="L118" s="446">
        <f t="shared" si="6"/>
        <v>0</v>
      </c>
      <c r="M118" s="441">
        <f>IF(L118&lt;O118,MinPoints,IF(AND(L118&gt;N118,O118&gt;0),100,+INT(($L118-O118)/P118)+MinPoints))</f>
        <v>10</v>
      </c>
      <c r="N118" s="440">
        <f t="shared" si="7"/>
        <v>4.9</v>
      </c>
      <c r="O118" s="440">
        <f t="shared" si="8"/>
        <v>2.2</v>
      </c>
      <c r="P118" s="440">
        <f t="shared" si="9"/>
        <v>0.03</v>
      </c>
      <c r="Q118">
        <f t="array" ref="Q118">IF(I118&gt;0,INDEX(DB,I118,9),EventIndex)</f>
        <v>6</v>
      </c>
      <c r="S118" s="447">
        <f t="array" ref="S118">INDEX(MINVALUES,$Q118,$K$1)</f>
        <v>2.2</v>
      </c>
      <c r="T118" s="448">
        <f t="array" ref="T118">INDEX(INCVALUES,$Q118,$K$1)</f>
        <v>0.03</v>
      </c>
      <c r="V118">
        <f t="array" ref="V118">+J118+(4*(INDEX(MatchScoreTable,$Q118,20)-1))</f>
        <v>4</v>
      </c>
      <c r="W118" s="442">
        <f t="array" ref="W118">INDEX(INC_MINVALUES,$V118,$K$1)</f>
        <v>0.2</v>
      </c>
      <c r="X118" s="212">
        <f t="array" ref="X118">INDEX(INC_INCVALUES,$V118,$K$1)</f>
        <v>0.02</v>
      </c>
    </row>
    <row r="119" ht="15.75" customHeight="1">
      <c r="A119" s="435"/>
      <c r="B119" s="436"/>
      <c r="C119" s="95" t="str">
        <f t="array" ref="C119">IF(I119&gt;0,INDEX(DB,I119,8),"")</f>
        <v/>
      </c>
      <c r="D119" s="437">
        <f t="shared" si="1"/>
        <v>0</v>
      </c>
      <c r="F119" s="438">
        <f t="shared" si="2"/>
        <v>0</v>
      </c>
      <c r="G119" t="str">
        <f t="shared" si="3"/>
        <v/>
      </c>
      <c r="H119" t="b">
        <f t="shared" si="4"/>
        <v>0</v>
      </c>
      <c r="I119" s="439">
        <f>IF(OR(ISBLANK(A119),ISNA(MATCH(A119&amp;"",AthleteNumbers,0))),0,MATCH(A119&amp;"",AthleteNumbers,0))</f>
        <v>0</v>
      </c>
      <c r="J119" s="209">
        <f t="array" ref="J119">IF(I119&gt;0,INDEX(DB,$I119,6),0)</f>
        <v>0</v>
      </c>
      <c r="K119" s="446">
        <f t="shared" si="5"/>
        <v>0</v>
      </c>
      <c r="L119" s="446">
        <f t="shared" si="6"/>
        <v>0</v>
      </c>
      <c r="M119" s="441">
        <f>IF(L119&lt;O119,MinPoints,IF(AND(L119&gt;N119,O119&gt;0),100,+INT(($L119-O119)/P119)+MinPoints))</f>
        <v>10</v>
      </c>
      <c r="N119" s="440">
        <f t="shared" si="7"/>
        <v>4.9</v>
      </c>
      <c r="O119" s="440">
        <f t="shared" si="8"/>
        <v>2.2</v>
      </c>
      <c r="P119" s="440">
        <f t="shared" si="9"/>
        <v>0.03</v>
      </c>
      <c r="Q119">
        <f t="array" ref="Q119">IF(I119&gt;0,INDEX(DB,I119,9),EventIndex)</f>
        <v>6</v>
      </c>
      <c r="S119" s="447">
        <f t="array" ref="S119">INDEX(MINVALUES,$Q119,$K$1)</f>
        <v>2.2</v>
      </c>
      <c r="T119" s="448">
        <f t="array" ref="T119">INDEX(INCVALUES,$Q119,$K$1)</f>
        <v>0.03</v>
      </c>
      <c r="V119">
        <f t="array" ref="V119">+J119+(4*(INDEX(MatchScoreTable,$Q119,20)-1))</f>
        <v>4</v>
      </c>
      <c r="W119" s="442">
        <f t="array" ref="W119">INDEX(INC_MINVALUES,$V119,$K$1)</f>
        <v>0.2</v>
      </c>
      <c r="X119" s="212">
        <f t="array" ref="X119">INDEX(INC_INCVALUES,$V119,$K$1)</f>
        <v>0.02</v>
      </c>
    </row>
    <row r="120" ht="15.75" customHeight="1">
      <c r="A120" s="435"/>
      <c r="B120" s="436"/>
      <c r="C120" s="95" t="str">
        <f t="array" ref="C120">IF(I120&gt;0,INDEX(DB,I120,8),"")</f>
        <v/>
      </c>
      <c r="D120" s="437">
        <f t="shared" si="1"/>
        <v>0</v>
      </c>
      <c r="F120" s="438">
        <f t="shared" si="2"/>
        <v>0</v>
      </c>
      <c r="G120" t="str">
        <f t="shared" si="3"/>
        <v/>
      </c>
      <c r="H120" t="b">
        <f t="shared" si="4"/>
        <v>0</v>
      </c>
      <c r="I120" s="439">
        <f>IF(OR(ISBLANK(A120),ISNA(MATCH(A120&amp;"",AthleteNumbers,0))),0,MATCH(A120&amp;"",AthleteNumbers,0))</f>
        <v>0</v>
      </c>
      <c r="J120" s="209">
        <f t="array" ref="J120">IF(I120&gt;0,INDEX(DB,$I120,6),0)</f>
        <v>0</v>
      </c>
      <c r="K120" s="446">
        <f t="shared" si="5"/>
        <v>0</v>
      </c>
      <c r="L120" s="446">
        <f t="shared" si="6"/>
        <v>0</v>
      </c>
      <c r="M120" s="441">
        <f>IF(L120&lt;O120,MinPoints,IF(AND(L120&gt;N120,O120&gt;0),100,+INT(($L120-O120)/P120)+MinPoints))</f>
        <v>10</v>
      </c>
      <c r="N120" s="440">
        <f t="shared" si="7"/>
        <v>4.9</v>
      </c>
      <c r="O120" s="440">
        <f t="shared" si="8"/>
        <v>2.2</v>
      </c>
      <c r="P120" s="440">
        <f t="shared" si="9"/>
        <v>0.03</v>
      </c>
      <c r="Q120">
        <f t="array" ref="Q120">IF(I120&gt;0,INDEX(DB,I120,9),EventIndex)</f>
        <v>6</v>
      </c>
      <c r="S120" s="447">
        <f t="array" ref="S120">INDEX(MINVALUES,$Q120,$K$1)</f>
        <v>2.2</v>
      </c>
      <c r="T120" s="448">
        <f t="array" ref="T120">INDEX(INCVALUES,$Q120,$K$1)</f>
        <v>0.03</v>
      </c>
      <c r="V120">
        <f t="array" ref="V120">+J120+(4*(INDEX(MatchScoreTable,$Q120,20)-1))</f>
        <v>4</v>
      </c>
      <c r="W120" s="442">
        <f t="array" ref="W120">INDEX(INC_MINVALUES,$V120,$K$1)</f>
        <v>0.2</v>
      </c>
      <c r="X120" s="212">
        <f t="array" ref="X120">INDEX(INC_INCVALUES,$V120,$K$1)</f>
        <v>0.02</v>
      </c>
    </row>
    <row r="121" ht="15.75" customHeight="1">
      <c r="A121" s="435"/>
      <c r="B121" s="436"/>
      <c r="C121" s="95" t="str">
        <f t="array" ref="C121">IF(I121&gt;0,INDEX(DB,I121,8),"")</f>
        <v/>
      </c>
      <c r="D121" s="437">
        <f t="shared" si="1"/>
        <v>0</v>
      </c>
      <c r="F121" s="438">
        <f t="shared" si="2"/>
        <v>0</v>
      </c>
      <c r="G121" t="str">
        <f t="shared" si="3"/>
        <v/>
      </c>
      <c r="H121" t="b">
        <f t="shared" si="4"/>
        <v>0</v>
      </c>
      <c r="I121" s="439">
        <f>IF(OR(ISBLANK(A121),ISNA(MATCH(A121&amp;"",AthleteNumbers,0))),0,MATCH(A121&amp;"",AthleteNumbers,0))</f>
        <v>0</v>
      </c>
      <c r="J121" s="209">
        <f t="array" ref="J121">IF(I121&gt;0,INDEX(DB,$I121,6),0)</f>
        <v>0</v>
      </c>
      <c r="K121" s="446">
        <f t="shared" si="5"/>
        <v>0</v>
      </c>
      <c r="L121" s="446">
        <f t="shared" si="6"/>
        <v>0</v>
      </c>
      <c r="M121" s="441">
        <f>IF(L121&lt;O121,MinPoints,IF(AND(L121&gt;N121,O121&gt;0),100,+INT(($L121-O121)/P121)+MinPoints))</f>
        <v>10</v>
      </c>
      <c r="N121" s="440">
        <f t="shared" si="7"/>
        <v>4.9</v>
      </c>
      <c r="O121" s="440">
        <f t="shared" si="8"/>
        <v>2.2</v>
      </c>
      <c r="P121" s="440">
        <f t="shared" si="9"/>
        <v>0.03</v>
      </c>
      <c r="Q121">
        <f t="array" ref="Q121">IF(I121&gt;0,INDEX(DB,I121,9),EventIndex)</f>
        <v>6</v>
      </c>
      <c r="S121" s="447">
        <f t="array" ref="S121">INDEX(MINVALUES,$Q121,$K$1)</f>
        <v>2.2</v>
      </c>
      <c r="T121" s="448">
        <f t="array" ref="T121">INDEX(INCVALUES,$Q121,$K$1)</f>
        <v>0.03</v>
      </c>
      <c r="V121">
        <f t="array" ref="V121">+J121+(4*(INDEX(MatchScoreTable,$Q121,20)-1))</f>
        <v>4</v>
      </c>
      <c r="W121" s="442">
        <f t="array" ref="W121">INDEX(INC_MINVALUES,$V121,$K$1)</f>
        <v>0.2</v>
      </c>
      <c r="X121" s="212">
        <f t="array" ref="X121">INDEX(INC_INCVALUES,$V121,$K$1)</f>
        <v>0.02</v>
      </c>
    </row>
    <row r="122" ht="15.75" customHeight="1">
      <c r="A122" s="435"/>
      <c r="B122" s="436"/>
      <c r="C122" s="95" t="str">
        <f t="array" ref="C122">IF(I122&gt;0,INDEX(DB,I122,8),"")</f>
        <v/>
      </c>
      <c r="D122" s="437">
        <f t="shared" si="1"/>
        <v>0</v>
      </c>
      <c r="F122" s="438">
        <f t="shared" si="2"/>
        <v>0</v>
      </c>
      <c r="G122" t="str">
        <f t="shared" si="3"/>
        <v/>
      </c>
      <c r="H122" t="b">
        <f t="shared" si="4"/>
        <v>0</v>
      </c>
      <c r="I122" s="439">
        <f>IF(OR(ISBLANK(A122),ISNA(MATCH(A122&amp;"",AthleteNumbers,0))),0,MATCH(A122&amp;"",AthleteNumbers,0))</f>
        <v>0</v>
      </c>
      <c r="J122" s="209">
        <f t="array" ref="J122">IF(I122&gt;0,INDEX(DB,$I122,6),0)</f>
        <v>0</v>
      </c>
      <c r="K122" s="446">
        <f t="shared" si="5"/>
        <v>0</v>
      </c>
      <c r="L122" s="446">
        <f t="shared" si="6"/>
        <v>0</v>
      </c>
      <c r="M122" s="441">
        <f>IF(L122&lt;O122,MinPoints,IF(AND(L122&gt;N122,O122&gt;0),100,+INT(($L122-O122)/P122)+MinPoints))</f>
        <v>10</v>
      </c>
      <c r="N122" s="440">
        <f t="shared" si="7"/>
        <v>4.9</v>
      </c>
      <c r="O122" s="440">
        <f t="shared" si="8"/>
        <v>2.2</v>
      </c>
      <c r="P122" s="440">
        <f t="shared" si="9"/>
        <v>0.03</v>
      </c>
      <c r="Q122">
        <f t="array" ref="Q122">IF(I122&gt;0,INDEX(DB,I122,9),EventIndex)</f>
        <v>6</v>
      </c>
      <c r="S122" s="447">
        <f t="array" ref="S122">INDEX(MINVALUES,$Q122,$K$1)</f>
        <v>2.2</v>
      </c>
      <c r="T122" s="448">
        <f t="array" ref="T122">INDEX(INCVALUES,$Q122,$K$1)</f>
        <v>0.03</v>
      </c>
      <c r="V122">
        <f t="array" ref="V122">+J122+(4*(INDEX(MatchScoreTable,$Q122,20)-1))</f>
        <v>4</v>
      </c>
      <c r="W122" s="442">
        <f t="array" ref="W122">INDEX(INC_MINVALUES,$V122,$K$1)</f>
        <v>0.2</v>
      </c>
      <c r="X122" s="212">
        <f t="array" ref="X122">INDEX(INC_INCVALUES,$V122,$K$1)</f>
        <v>0.02</v>
      </c>
    </row>
    <row r="123" ht="15.75" customHeight="1">
      <c r="A123" s="435"/>
      <c r="B123" s="436"/>
      <c r="C123" s="95" t="str">
        <f t="array" ref="C123">IF(I123&gt;0,INDEX(DB,I123,8),"")</f>
        <v/>
      </c>
      <c r="D123" s="437">
        <f t="shared" si="1"/>
        <v>0</v>
      </c>
      <c r="F123" s="438">
        <f t="shared" si="2"/>
        <v>0</v>
      </c>
      <c r="G123" t="str">
        <f t="shared" si="3"/>
        <v/>
      </c>
      <c r="H123" t="b">
        <f t="shared" si="4"/>
        <v>0</v>
      </c>
      <c r="I123" s="439">
        <f>IF(OR(ISBLANK(A123),ISNA(MATCH(A123&amp;"",AthleteNumbers,0))),0,MATCH(A123&amp;"",AthleteNumbers,0))</f>
        <v>0</v>
      </c>
      <c r="J123" s="209">
        <f t="array" ref="J123">IF(I123&gt;0,INDEX(DB,$I123,6),0)</f>
        <v>0</v>
      </c>
      <c r="K123" s="446">
        <f t="shared" si="5"/>
        <v>0</v>
      </c>
      <c r="L123" s="446">
        <f t="shared" si="6"/>
        <v>0</v>
      </c>
      <c r="M123" s="441">
        <f>IF(L123&lt;O123,MinPoints,IF(AND(L123&gt;N123,O123&gt;0),100,+INT(($L123-O123)/P123)+MinPoints))</f>
        <v>10</v>
      </c>
      <c r="N123" s="440">
        <f t="shared" si="7"/>
        <v>4.9</v>
      </c>
      <c r="O123" s="440">
        <f t="shared" si="8"/>
        <v>2.2</v>
      </c>
      <c r="P123" s="440">
        <f t="shared" si="9"/>
        <v>0.03</v>
      </c>
      <c r="Q123">
        <f t="array" ref="Q123">IF(I123&gt;0,INDEX(DB,I123,9),EventIndex)</f>
        <v>6</v>
      </c>
      <c r="S123" s="447">
        <f t="array" ref="S123">INDEX(MINVALUES,$Q123,$K$1)</f>
        <v>2.2</v>
      </c>
      <c r="T123" s="448">
        <f t="array" ref="T123">INDEX(INCVALUES,$Q123,$K$1)</f>
        <v>0.03</v>
      </c>
      <c r="V123">
        <f t="array" ref="V123">+J123+(4*(INDEX(MatchScoreTable,$Q123,20)-1))</f>
        <v>4</v>
      </c>
      <c r="W123" s="442">
        <f t="array" ref="W123">INDEX(INC_MINVALUES,$V123,$K$1)</f>
        <v>0.2</v>
      </c>
      <c r="X123" s="212">
        <f t="array" ref="X123">INDEX(INC_INCVALUES,$V123,$K$1)</f>
        <v>0.02</v>
      </c>
    </row>
    <row r="124" ht="15.75" customHeight="1">
      <c r="A124" s="435"/>
      <c r="B124" s="436"/>
      <c r="C124" s="95" t="str">
        <f t="array" ref="C124">IF(I124&gt;0,INDEX(DB,I124,8),"")</f>
        <v/>
      </c>
      <c r="D124" s="437">
        <f t="shared" si="1"/>
        <v>0</v>
      </c>
      <c r="F124" s="438">
        <f t="shared" si="2"/>
        <v>0</v>
      </c>
      <c r="G124" t="str">
        <f t="shared" si="3"/>
        <v/>
      </c>
      <c r="H124" t="b">
        <f t="shared" si="4"/>
        <v>0</v>
      </c>
      <c r="I124" s="439">
        <f>IF(OR(ISBLANK(A124),ISNA(MATCH(A124&amp;"",AthleteNumbers,0))),0,MATCH(A124&amp;"",AthleteNumbers,0))</f>
        <v>0</v>
      </c>
      <c r="J124" s="209">
        <f t="array" ref="J124">IF(I124&gt;0,INDEX(DB,$I124,6),0)</f>
        <v>0</v>
      </c>
      <c r="K124" s="446">
        <f t="shared" si="5"/>
        <v>0</v>
      </c>
      <c r="L124" s="446">
        <f t="shared" si="6"/>
        <v>0</v>
      </c>
      <c r="M124" s="441">
        <f>IF(L124&lt;O124,MinPoints,IF(AND(L124&gt;N124,O124&gt;0),100,+INT(($L124-O124)/P124)+MinPoints))</f>
        <v>10</v>
      </c>
      <c r="N124" s="440">
        <f t="shared" si="7"/>
        <v>4.9</v>
      </c>
      <c r="O124" s="440">
        <f t="shared" si="8"/>
        <v>2.2</v>
      </c>
      <c r="P124" s="440">
        <f t="shared" si="9"/>
        <v>0.03</v>
      </c>
      <c r="Q124">
        <f t="array" ref="Q124">IF(I124&gt;0,INDEX(DB,I124,9),EventIndex)</f>
        <v>6</v>
      </c>
      <c r="S124" s="447">
        <f t="array" ref="S124">INDEX(MINVALUES,$Q124,$K$1)</f>
        <v>2.2</v>
      </c>
      <c r="T124" s="448">
        <f t="array" ref="T124">INDEX(INCVALUES,$Q124,$K$1)</f>
        <v>0.03</v>
      </c>
      <c r="V124">
        <f t="array" ref="V124">+J124+(4*(INDEX(MatchScoreTable,$Q124,20)-1))</f>
        <v>4</v>
      </c>
      <c r="W124" s="442">
        <f t="array" ref="W124">INDEX(INC_MINVALUES,$V124,$K$1)</f>
        <v>0.2</v>
      </c>
      <c r="X124" s="212">
        <f t="array" ref="X124">INDEX(INC_INCVALUES,$V124,$K$1)</f>
        <v>0.02</v>
      </c>
    </row>
    <row r="125" ht="15.75" customHeight="1">
      <c r="A125" s="435"/>
      <c r="B125" s="436"/>
      <c r="C125" s="95" t="str">
        <f t="array" ref="C125">IF(I125&gt;0,INDEX(DB,I125,8),"")</f>
        <v/>
      </c>
      <c r="D125" s="437">
        <f t="shared" si="1"/>
        <v>0</v>
      </c>
      <c r="F125" s="438">
        <f t="shared" si="2"/>
        <v>0</v>
      </c>
      <c r="G125" t="str">
        <f t="shared" si="3"/>
        <v/>
      </c>
      <c r="H125" t="b">
        <f t="shared" si="4"/>
        <v>0</v>
      </c>
      <c r="I125" s="439">
        <f>IF(OR(ISBLANK(A125),ISNA(MATCH(A125&amp;"",AthleteNumbers,0))),0,MATCH(A125&amp;"",AthleteNumbers,0))</f>
        <v>0</v>
      </c>
      <c r="J125" s="209">
        <f t="array" ref="J125">IF(I125&gt;0,INDEX(DB,$I125,6),0)</f>
        <v>0</v>
      </c>
      <c r="K125" s="446">
        <f t="shared" si="5"/>
        <v>0</v>
      </c>
      <c r="L125" s="446">
        <f t="shared" si="6"/>
        <v>0</v>
      </c>
      <c r="M125" s="441">
        <f>IF(L125&lt;O125,MinPoints,IF(AND(L125&gt;N125,O125&gt;0),100,+INT(($L125-O125)/P125)+MinPoints))</f>
        <v>10</v>
      </c>
      <c r="N125" s="440">
        <f t="shared" si="7"/>
        <v>4.9</v>
      </c>
      <c r="O125" s="440">
        <f t="shared" si="8"/>
        <v>2.2</v>
      </c>
      <c r="P125" s="440">
        <f t="shared" si="9"/>
        <v>0.03</v>
      </c>
      <c r="Q125">
        <f t="array" ref="Q125">IF(I125&gt;0,INDEX(DB,I125,9),EventIndex)</f>
        <v>6</v>
      </c>
      <c r="S125" s="447">
        <f t="array" ref="S125">INDEX(MINVALUES,$Q125,$K$1)</f>
        <v>2.2</v>
      </c>
      <c r="T125" s="448">
        <f t="array" ref="T125">INDEX(INCVALUES,$Q125,$K$1)</f>
        <v>0.03</v>
      </c>
      <c r="V125">
        <f t="array" ref="V125">+J125+(4*(INDEX(MatchScoreTable,$Q125,20)-1))</f>
        <v>4</v>
      </c>
      <c r="W125" s="442">
        <f t="array" ref="W125">INDEX(INC_MINVALUES,$V125,$K$1)</f>
        <v>0.2</v>
      </c>
      <c r="X125" s="212">
        <f t="array" ref="X125">INDEX(INC_INCVALUES,$V125,$K$1)</f>
        <v>0.02</v>
      </c>
    </row>
    <row r="126" ht="15.75" customHeight="1">
      <c r="A126" s="435"/>
      <c r="B126" s="436"/>
      <c r="C126" s="95" t="str">
        <f t="array" ref="C126">IF(I126&gt;0,INDEX(DB,I126,8),"")</f>
        <v/>
      </c>
      <c r="D126" s="437">
        <f t="shared" si="1"/>
        <v>0</v>
      </c>
      <c r="F126" s="438">
        <f t="shared" si="2"/>
        <v>0</v>
      </c>
      <c r="G126" t="str">
        <f t="shared" si="3"/>
        <v/>
      </c>
      <c r="H126" t="b">
        <f t="shared" si="4"/>
        <v>0</v>
      </c>
      <c r="I126" s="439">
        <f>IF(OR(ISBLANK(A126),ISNA(MATCH(A126&amp;"",AthleteNumbers,0))),0,MATCH(A126&amp;"",AthleteNumbers,0))</f>
        <v>0</v>
      </c>
      <c r="J126" s="209">
        <f t="array" ref="J126">IF(I126&gt;0,INDEX(DB,$I126,6),0)</f>
        <v>0</v>
      </c>
      <c r="K126" s="446">
        <f t="shared" si="5"/>
        <v>0</v>
      </c>
      <c r="L126" s="446">
        <f t="shared" si="6"/>
        <v>0</v>
      </c>
      <c r="M126" s="441">
        <f>IF(L126&lt;O126,MinPoints,IF(AND(L126&gt;N126,O126&gt;0),100,+INT(($L126-O126)/P126)+MinPoints))</f>
        <v>10</v>
      </c>
      <c r="N126" s="440">
        <f t="shared" si="7"/>
        <v>4.9</v>
      </c>
      <c r="O126" s="440">
        <f t="shared" si="8"/>
        <v>2.2</v>
      </c>
      <c r="P126" s="440">
        <f t="shared" si="9"/>
        <v>0.03</v>
      </c>
      <c r="Q126">
        <f t="array" ref="Q126">IF(I126&gt;0,INDEX(DB,I126,9),EventIndex)</f>
        <v>6</v>
      </c>
      <c r="S126" s="447">
        <f t="array" ref="S126">INDEX(MINVALUES,$Q126,$K$1)</f>
        <v>2.2</v>
      </c>
      <c r="T126" s="448">
        <f t="array" ref="T126">INDEX(INCVALUES,$Q126,$K$1)</f>
        <v>0.03</v>
      </c>
      <c r="V126">
        <f t="array" ref="V126">+J126+(4*(INDEX(MatchScoreTable,$Q126,20)-1))</f>
        <v>4</v>
      </c>
      <c r="W126" s="442">
        <f t="array" ref="W126">INDEX(INC_MINVALUES,$V126,$K$1)</f>
        <v>0.2</v>
      </c>
      <c r="X126" s="212">
        <f t="array" ref="X126">INDEX(INC_INCVALUES,$V126,$K$1)</f>
        <v>0.02</v>
      </c>
    </row>
    <row r="127" ht="15.75" customHeight="1">
      <c r="A127" s="435"/>
      <c r="B127" s="436"/>
      <c r="C127" s="95" t="str">
        <f t="array" ref="C127">IF(I127&gt;0,INDEX(DB,I127,8),"")</f>
        <v/>
      </c>
      <c r="D127" s="437">
        <f t="shared" si="1"/>
        <v>0</v>
      </c>
      <c r="F127" s="438">
        <f t="shared" si="2"/>
        <v>0</v>
      </c>
      <c r="G127" t="str">
        <f t="shared" si="3"/>
        <v/>
      </c>
      <c r="H127" t="b">
        <f t="shared" si="4"/>
        <v>0</v>
      </c>
      <c r="I127" s="439">
        <f>IF(OR(ISBLANK(A127),ISNA(MATCH(A127&amp;"",AthleteNumbers,0))),0,MATCH(A127&amp;"",AthleteNumbers,0))</f>
        <v>0</v>
      </c>
      <c r="J127" s="209">
        <f t="array" ref="J127">IF(I127&gt;0,INDEX(DB,$I127,6),0)</f>
        <v>0</v>
      </c>
      <c r="K127" s="446">
        <f t="shared" si="5"/>
        <v>0</v>
      </c>
      <c r="L127" s="446">
        <f t="shared" si="6"/>
        <v>0</v>
      </c>
      <c r="M127" s="441">
        <f>IF(L127&lt;O127,MinPoints,IF(AND(L127&gt;N127,O127&gt;0),100,+INT(($L127-O127)/P127)+MinPoints))</f>
        <v>10</v>
      </c>
      <c r="N127" s="440">
        <f t="shared" si="7"/>
        <v>4.9</v>
      </c>
      <c r="O127" s="440">
        <f t="shared" si="8"/>
        <v>2.2</v>
      </c>
      <c r="P127" s="440">
        <f t="shared" si="9"/>
        <v>0.03</v>
      </c>
      <c r="Q127">
        <f t="array" ref="Q127">IF(I127&gt;0,INDEX(DB,I127,9),EventIndex)</f>
        <v>6</v>
      </c>
      <c r="S127" s="447">
        <f t="array" ref="S127">INDEX(MINVALUES,$Q127,$K$1)</f>
        <v>2.2</v>
      </c>
      <c r="T127" s="448">
        <f t="array" ref="T127">INDEX(INCVALUES,$Q127,$K$1)</f>
        <v>0.03</v>
      </c>
      <c r="V127">
        <f t="array" ref="V127">+J127+(4*(INDEX(MatchScoreTable,$Q127,20)-1))</f>
        <v>4</v>
      </c>
      <c r="W127" s="442">
        <f t="array" ref="W127">INDEX(INC_MINVALUES,$V127,$K$1)</f>
        <v>0.2</v>
      </c>
      <c r="X127" s="212">
        <f t="array" ref="X127">INDEX(INC_INCVALUES,$V127,$K$1)</f>
        <v>0.02</v>
      </c>
    </row>
    <row r="128" ht="15.75" customHeight="1">
      <c r="A128" s="435"/>
      <c r="B128" s="436"/>
      <c r="C128" s="95" t="str">
        <f t="array" ref="C128">IF(I128&gt;0,INDEX(DB,I128,8),"")</f>
        <v/>
      </c>
      <c r="D128" s="437">
        <f t="shared" si="1"/>
        <v>0</v>
      </c>
      <c r="F128" s="438">
        <f t="shared" si="2"/>
        <v>0</v>
      </c>
      <c r="G128" t="str">
        <f t="shared" si="3"/>
        <v/>
      </c>
      <c r="H128" t="b">
        <f t="shared" si="4"/>
        <v>0</v>
      </c>
      <c r="I128" s="439">
        <f>IF(OR(ISBLANK(A128),ISNA(MATCH(A128&amp;"",AthleteNumbers,0))),0,MATCH(A128&amp;"",AthleteNumbers,0))</f>
        <v>0</v>
      </c>
      <c r="J128" s="209">
        <f t="array" ref="J128">IF(I128&gt;0,INDEX(DB,$I128,6),0)</f>
        <v>0</v>
      </c>
      <c r="K128" s="446">
        <f t="shared" si="5"/>
        <v>0</v>
      </c>
      <c r="L128" s="446">
        <f t="shared" si="6"/>
        <v>0</v>
      </c>
      <c r="M128" s="441">
        <f>IF(L128&lt;O128,MinPoints,IF(AND(L128&gt;N128,O128&gt;0),100,+INT(($L128-O128)/P128)+MinPoints))</f>
        <v>10</v>
      </c>
      <c r="N128" s="440">
        <f t="shared" si="7"/>
        <v>4.9</v>
      </c>
      <c r="O128" s="440">
        <f t="shared" si="8"/>
        <v>2.2</v>
      </c>
      <c r="P128" s="440">
        <f t="shared" si="9"/>
        <v>0.03</v>
      </c>
      <c r="Q128">
        <f t="array" ref="Q128">IF(I128&gt;0,INDEX(DB,I128,9),EventIndex)</f>
        <v>6</v>
      </c>
      <c r="S128" s="447">
        <f t="array" ref="S128">INDEX(MINVALUES,$Q128,$K$1)</f>
        <v>2.2</v>
      </c>
      <c r="T128" s="448">
        <f t="array" ref="T128">INDEX(INCVALUES,$Q128,$K$1)</f>
        <v>0.03</v>
      </c>
      <c r="V128">
        <f t="array" ref="V128">+J128+(4*(INDEX(MatchScoreTable,$Q128,20)-1))</f>
        <v>4</v>
      </c>
      <c r="W128" s="442">
        <f t="array" ref="W128">INDEX(INC_MINVALUES,$V128,$K$1)</f>
        <v>0.2</v>
      </c>
      <c r="X128" s="212">
        <f t="array" ref="X128">INDEX(INC_INCVALUES,$V128,$K$1)</f>
        <v>0.02</v>
      </c>
    </row>
    <row r="129" ht="15.75" customHeight="1">
      <c r="A129" s="435"/>
      <c r="B129" s="436"/>
      <c r="C129" s="95" t="str">
        <f t="array" ref="C129">IF(I129&gt;0,INDEX(DB,I129,8),"")</f>
        <v/>
      </c>
      <c r="D129" s="437">
        <f t="shared" si="1"/>
        <v>0</v>
      </c>
      <c r="F129" s="438">
        <f t="shared" si="2"/>
        <v>0</v>
      </c>
      <c r="G129" t="str">
        <f t="shared" si="3"/>
        <v/>
      </c>
      <c r="H129" t="b">
        <f t="shared" si="4"/>
        <v>0</v>
      </c>
      <c r="I129" s="439">
        <f>IF(OR(ISBLANK(A129),ISNA(MATCH(A129&amp;"",AthleteNumbers,0))),0,MATCH(A129&amp;"",AthleteNumbers,0))</f>
        <v>0</v>
      </c>
      <c r="J129" s="209">
        <f t="array" ref="J129">IF(I129&gt;0,INDEX(DB,$I129,6),0)</f>
        <v>0</v>
      </c>
      <c r="K129" s="446">
        <f t="shared" si="5"/>
        <v>0</v>
      </c>
      <c r="L129" s="446">
        <f t="shared" si="6"/>
        <v>0</v>
      </c>
      <c r="M129" s="441">
        <f>IF(L129&lt;O129,MinPoints,IF(AND(L129&gt;N129,O129&gt;0),100,+INT(($L129-O129)/P129)+MinPoints))</f>
        <v>10</v>
      </c>
      <c r="N129" s="440">
        <f t="shared" si="7"/>
        <v>4.9</v>
      </c>
      <c r="O129" s="440">
        <f t="shared" si="8"/>
        <v>2.2</v>
      </c>
      <c r="P129" s="440">
        <f t="shared" si="9"/>
        <v>0.03</v>
      </c>
      <c r="Q129">
        <f t="array" ref="Q129">IF(I129&gt;0,INDEX(DB,I129,9),EventIndex)</f>
        <v>6</v>
      </c>
      <c r="S129" s="447">
        <f t="array" ref="S129">INDEX(MINVALUES,$Q129,$K$1)</f>
        <v>2.2</v>
      </c>
      <c r="T129" s="448">
        <f t="array" ref="T129">INDEX(INCVALUES,$Q129,$K$1)</f>
        <v>0.03</v>
      </c>
      <c r="V129">
        <f t="array" ref="V129">+J129+(4*(INDEX(MatchScoreTable,$Q129,20)-1))</f>
        <v>4</v>
      </c>
      <c r="W129" s="442">
        <f t="array" ref="W129">INDEX(INC_MINVALUES,$V129,$K$1)</f>
        <v>0.2</v>
      </c>
      <c r="X129" s="212">
        <f t="array" ref="X129">INDEX(INC_INCVALUES,$V129,$K$1)</f>
        <v>0.02</v>
      </c>
    </row>
    <row r="130" ht="15.75" customHeight="1">
      <c r="A130" s="435"/>
      <c r="B130" s="436"/>
      <c r="C130" s="95" t="str">
        <f t="array" ref="C130">IF(I130&gt;0,INDEX(DB,I130,8),"")</f>
        <v/>
      </c>
      <c r="D130" s="437">
        <f t="shared" si="1"/>
        <v>0</v>
      </c>
      <c r="F130" s="438">
        <f t="shared" si="2"/>
        <v>0</v>
      </c>
      <c r="G130" t="str">
        <f t="shared" si="3"/>
        <v/>
      </c>
      <c r="H130" t="b">
        <f t="shared" si="4"/>
        <v>0</v>
      </c>
      <c r="I130" s="439">
        <f>IF(OR(ISBLANK(A130),ISNA(MATCH(A130&amp;"",AthleteNumbers,0))),0,MATCH(A130&amp;"",AthleteNumbers,0))</f>
        <v>0</v>
      </c>
      <c r="J130" s="209">
        <f t="array" ref="J130">IF(I130&gt;0,INDEX(DB,$I130,6),0)</f>
        <v>0</v>
      </c>
      <c r="K130" s="446">
        <f t="shared" si="5"/>
        <v>0</v>
      </c>
      <c r="L130" s="446">
        <f t="shared" si="6"/>
        <v>0</v>
      </c>
      <c r="M130" s="441">
        <f>IF(L130&lt;O130,MinPoints,IF(AND(L130&gt;N130,O130&gt;0),100,+INT(($L130-O130)/P130)+MinPoints))</f>
        <v>10</v>
      </c>
      <c r="N130" s="440">
        <f t="shared" si="7"/>
        <v>4.9</v>
      </c>
      <c r="O130" s="440">
        <f t="shared" si="8"/>
        <v>2.2</v>
      </c>
      <c r="P130" s="440">
        <f t="shared" si="9"/>
        <v>0.03</v>
      </c>
      <c r="Q130">
        <f t="array" ref="Q130">IF(I130&gt;0,INDEX(DB,I130,9),EventIndex)</f>
        <v>6</v>
      </c>
      <c r="S130" s="447">
        <f t="array" ref="S130">INDEX(MINVALUES,$Q130,$K$1)</f>
        <v>2.2</v>
      </c>
      <c r="T130" s="448">
        <f t="array" ref="T130">INDEX(INCVALUES,$Q130,$K$1)</f>
        <v>0.03</v>
      </c>
      <c r="V130">
        <f t="array" ref="V130">+J130+(4*(INDEX(MatchScoreTable,$Q130,20)-1))</f>
        <v>4</v>
      </c>
      <c r="W130" s="442">
        <f t="array" ref="W130">INDEX(INC_MINVALUES,$V130,$K$1)</f>
        <v>0.2</v>
      </c>
      <c r="X130" s="212">
        <f t="array" ref="X130">INDEX(INC_INCVALUES,$V130,$K$1)</f>
        <v>0.02</v>
      </c>
    </row>
    <row r="131" ht="15.75" customHeight="1">
      <c r="A131" s="435"/>
      <c r="B131" s="436"/>
      <c r="C131" s="95" t="str">
        <f t="array" ref="C131">IF(I131&gt;0,INDEX(DB,I131,8),"")</f>
        <v/>
      </c>
      <c r="D131" s="437">
        <f t="shared" si="1"/>
        <v>0</v>
      </c>
      <c r="F131" s="438">
        <f t="shared" si="2"/>
        <v>0</v>
      </c>
      <c r="G131" t="str">
        <f t="shared" si="3"/>
        <v/>
      </c>
      <c r="H131" t="b">
        <f t="shared" si="4"/>
        <v>0</v>
      </c>
      <c r="I131" s="439">
        <f>IF(OR(ISBLANK(A131),ISNA(MATCH(A131&amp;"",AthleteNumbers,0))),0,MATCH(A131&amp;"",AthleteNumbers,0))</f>
        <v>0</v>
      </c>
      <c r="J131" s="209">
        <f t="array" ref="J131">IF(I131&gt;0,INDEX(DB,$I131,6),0)</f>
        <v>0</v>
      </c>
      <c r="K131" s="446">
        <f t="shared" si="5"/>
        <v>0</v>
      </c>
      <c r="L131" s="446">
        <f t="shared" si="6"/>
        <v>0</v>
      </c>
      <c r="M131" s="441">
        <f>IF(L131&lt;O131,MinPoints,IF(AND(L131&gt;N131,O131&gt;0),100,+INT(($L131-O131)/P131)+MinPoints))</f>
        <v>10</v>
      </c>
      <c r="N131" s="440">
        <f t="shared" si="7"/>
        <v>4.9</v>
      </c>
      <c r="O131" s="440">
        <f t="shared" si="8"/>
        <v>2.2</v>
      </c>
      <c r="P131" s="440">
        <f t="shared" si="9"/>
        <v>0.03</v>
      </c>
      <c r="Q131">
        <f t="array" ref="Q131">IF(I131&gt;0,INDEX(DB,I131,9),EventIndex)</f>
        <v>6</v>
      </c>
      <c r="S131" s="447">
        <f t="array" ref="S131">INDEX(MINVALUES,$Q131,$K$1)</f>
        <v>2.2</v>
      </c>
      <c r="T131" s="448">
        <f t="array" ref="T131">INDEX(INCVALUES,$Q131,$K$1)</f>
        <v>0.03</v>
      </c>
      <c r="V131">
        <f t="array" ref="V131">+J131+(4*(INDEX(MatchScoreTable,$Q131,20)-1))</f>
        <v>4</v>
      </c>
      <c r="W131" s="442">
        <f t="array" ref="W131">INDEX(INC_MINVALUES,$V131,$K$1)</f>
        <v>0.2</v>
      </c>
      <c r="X131" s="212">
        <f t="array" ref="X131">INDEX(INC_INCVALUES,$V131,$K$1)</f>
        <v>0.02</v>
      </c>
    </row>
    <row r="132" ht="15.75" customHeight="1">
      <c r="A132" s="435"/>
      <c r="B132" s="436"/>
      <c r="C132" s="95" t="str">
        <f t="array" ref="C132">IF(I132&gt;0,INDEX(DB,I132,8),"")</f>
        <v/>
      </c>
      <c r="D132" s="437">
        <f t="shared" si="1"/>
        <v>0</v>
      </c>
      <c r="F132" s="438">
        <f t="shared" si="2"/>
        <v>0</v>
      </c>
      <c r="G132" t="str">
        <f t="shared" si="3"/>
        <v/>
      </c>
      <c r="H132" t="b">
        <f t="shared" si="4"/>
        <v>0</v>
      </c>
      <c r="I132" s="439">
        <f>IF(OR(ISBLANK(A132),ISNA(MATCH(A132&amp;"",AthleteNumbers,0))),0,MATCH(A132&amp;"",AthleteNumbers,0))</f>
        <v>0</v>
      </c>
      <c r="J132" s="209">
        <f t="array" ref="J132">IF(I132&gt;0,INDEX(DB,$I132,6),0)</f>
        <v>0</v>
      </c>
      <c r="K132" s="446">
        <f t="shared" si="5"/>
        <v>0</v>
      </c>
      <c r="L132" s="446">
        <f t="shared" si="6"/>
        <v>0</v>
      </c>
      <c r="M132" s="441">
        <f>IF(L132&lt;O132,MinPoints,IF(AND(L132&gt;N132,O132&gt;0),100,+INT(($L132-O132)/P132)+MinPoints))</f>
        <v>10</v>
      </c>
      <c r="N132" s="440">
        <f t="shared" si="7"/>
        <v>4.9</v>
      </c>
      <c r="O132" s="440">
        <f t="shared" si="8"/>
        <v>2.2</v>
      </c>
      <c r="P132" s="440">
        <f t="shared" si="9"/>
        <v>0.03</v>
      </c>
      <c r="Q132">
        <f t="array" ref="Q132">IF(I132&gt;0,INDEX(DB,I132,9),EventIndex)</f>
        <v>6</v>
      </c>
      <c r="S132" s="447">
        <f t="array" ref="S132">INDEX(MINVALUES,$Q132,$K$1)</f>
        <v>2.2</v>
      </c>
      <c r="T132" s="448">
        <f t="array" ref="T132">INDEX(INCVALUES,$Q132,$K$1)</f>
        <v>0.03</v>
      </c>
      <c r="V132">
        <f t="array" ref="V132">+J132+(4*(INDEX(MatchScoreTable,$Q132,20)-1))</f>
        <v>4</v>
      </c>
      <c r="W132" s="442">
        <f t="array" ref="W132">INDEX(INC_MINVALUES,$V132,$K$1)</f>
        <v>0.2</v>
      </c>
      <c r="X132" s="212">
        <f t="array" ref="X132">INDEX(INC_INCVALUES,$V132,$K$1)</f>
        <v>0.02</v>
      </c>
    </row>
    <row r="133" ht="15.75" customHeight="1">
      <c r="A133" s="435"/>
      <c r="B133" s="436"/>
      <c r="C133" s="95" t="str">
        <f t="array" ref="C133">IF(I133&gt;0,INDEX(DB,I133,8),"")</f>
        <v/>
      </c>
      <c r="D133" s="437">
        <f t="shared" si="1"/>
        <v>0</v>
      </c>
      <c r="F133" s="438">
        <f t="shared" si="2"/>
        <v>0</v>
      </c>
      <c r="G133" t="str">
        <f t="shared" si="3"/>
        <v/>
      </c>
      <c r="H133" t="b">
        <f t="shared" si="4"/>
        <v>0</v>
      </c>
      <c r="I133" s="439">
        <f>IF(OR(ISBLANK(A133),ISNA(MATCH(A133&amp;"",AthleteNumbers,0))),0,MATCH(A133&amp;"",AthleteNumbers,0))</f>
        <v>0</v>
      </c>
      <c r="J133" s="209">
        <f t="array" ref="J133">IF(I133&gt;0,INDEX(DB,$I133,6),0)</f>
        <v>0</v>
      </c>
      <c r="K133" s="446">
        <f t="shared" si="5"/>
        <v>0</v>
      </c>
      <c r="L133" s="446">
        <f t="shared" si="6"/>
        <v>0</v>
      </c>
      <c r="M133" s="441">
        <f>IF(L133&lt;O133,MinPoints,IF(AND(L133&gt;N133,O133&gt;0),100,+INT(($L133-O133)/P133)+MinPoints))</f>
        <v>10</v>
      </c>
      <c r="N133" s="440">
        <f t="shared" si="7"/>
        <v>4.9</v>
      </c>
      <c r="O133" s="440">
        <f t="shared" si="8"/>
        <v>2.2</v>
      </c>
      <c r="P133" s="440">
        <f t="shared" si="9"/>
        <v>0.03</v>
      </c>
      <c r="Q133">
        <f t="array" ref="Q133">IF(I133&gt;0,INDEX(DB,I133,9),EventIndex)</f>
        <v>6</v>
      </c>
      <c r="S133" s="447">
        <f t="array" ref="S133">INDEX(MINVALUES,$Q133,$K$1)</f>
        <v>2.2</v>
      </c>
      <c r="T133" s="448">
        <f t="array" ref="T133">INDEX(INCVALUES,$Q133,$K$1)</f>
        <v>0.03</v>
      </c>
      <c r="V133">
        <f t="array" ref="V133">+J133+(4*(INDEX(MatchScoreTable,$Q133,20)-1))</f>
        <v>4</v>
      </c>
      <c r="W133" s="442">
        <f t="array" ref="W133">INDEX(INC_MINVALUES,$V133,$K$1)</f>
        <v>0.2</v>
      </c>
      <c r="X133" s="212">
        <f t="array" ref="X133">INDEX(INC_INCVALUES,$V133,$K$1)</f>
        <v>0.02</v>
      </c>
    </row>
    <row r="134" ht="15.75" customHeight="1">
      <c r="A134" s="435"/>
      <c r="B134" s="436"/>
      <c r="C134" s="95" t="str">
        <f t="array" ref="C134">IF(I134&gt;0,INDEX(DB,I134,8),"")</f>
        <v/>
      </c>
      <c r="D134" s="437">
        <f t="shared" si="1"/>
        <v>0</v>
      </c>
      <c r="F134" s="438">
        <f t="shared" si="2"/>
        <v>0</v>
      </c>
      <c r="G134" t="str">
        <f t="shared" si="3"/>
        <v/>
      </c>
      <c r="H134" t="b">
        <f t="shared" si="4"/>
        <v>0</v>
      </c>
      <c r="I134" s="439">
        <f>IF(OR(ISBLANK(A134),ISNA(MATCH(A134&amp;"",AthleteNumbers,0))),0,MATCH(A134&amp;"",AthleteNumbers,0))</f>
        <v>0</v>
      </c>
      <c r="J134" s="209">
        <f t="array" ref="J134">IF(I134&gt;0,INDEX(DB,$I134,6),0)</f>
        <v>0</v>
      </c>
      <c r="K134" s="446">
        <f t="shared" si="5"/>
        <v>0</v>
      </c>
      <c r="L134" s="446">
        <f t="shared" si="6"/>
        <v>0</v>
      </c>
      <c r="M134" s="441">
        <f>IF(L134&lt;O134,MinPoints,IF(AND(L134&gt;N134,O134&gt;0),100,+INT(($L134-O134)/P134)+MinPoints))</f>
        <v>10</v>
      </c>
      <c r="N134" s="440">
        <f t="shared" si="7"/>
        <v>4.9</v>
      </c>
      <c r="O134" s="440">
        <f t="shared" si="8"/>
        <v>2.2</v>
      </c>
      <c r="P134" s="440">
        <f t="shared" si="9"/>
        <v>0.03</v>
      </c>
      <c r="Q134">
        <f t="array" ref="Q134">IF(I134&gt;0,INDEX(DB,I134,9),EventIndex)</f>
        <v>6</v>
      </c>
      <c r="S134" s="447">
        <f t="array" ref="S134">INDEX(MINVALUES,$Q134,$K$1)</f>
        <v>2.2</v>
      </c>
      <c r="T134" s="448">
        <f t="array" ref="T134">INDEX(INCVALUES,$Q134,$K$1)</f>
        <v>0.03</v>
      </c>
      <c r="V134">
        <f t="array" ref="V134">+J134+(4*(INDEX(MatchScoreTable,$Q134,20)-1))</f>
        <v>4</v>
      </c>
      <c r="W134" s="442">
        <f t="array" ref="W134">INDEX(INC_MINVALUES,$V134,$K$1)</f>
        <v>0.2</v>
      </c>
      <c r="X134" s="212">
        <f t="array" ref="X134">INDEX(INC_INCVALUES,$V134,$K$1)</f>
        <v>0.02</v>
      </c>
    </row>
    <row r="135" ht="15.75" customHeight="1">
      <c r="A135" s="435"/>
      <c r="B135" s="436"/>
      <c r="C135" s="95" t="str">
        <f t="array" ref="C135">IF(I135&gt;0,INDEX(DB,I135,8),"")</f>
        <v/>
      </c>
      <c r="D135" s="437">
        <f t="shared" si="1"/>
        <v>0</v>
      </c>
      <c r="F135" s="438">
        <f t="shared" si="2"/>
        <v>0</v>
      </c>
      <c r="G135" t="str">
        <f t="shared" si="3"/>
        <v/>
      </c>
      <c r="H135" t="b">
        <f t="shared" si="4"/>
        <v>0</v>
      </c>
      <c r="I135" s="439">
        <f>IF(OR(ISBLANK(A135),ISNA(MATCH(A135&amp;"",AthleteNumbers,0))),0,MATCH(A135&amp;"",AthleteNumbers,0))</f>
        <v>0</v>
      </c>
      <c r="J135" s="209">
        <f t="array" ref="J135">IF(I135&gt;0,INDEX(DB,$I135,6),0)</f>
        <v>0</v>
      </c>
      <c r="K135" s="446">
        <f t="shared" si="5"/>
        <v>0</v>
      </c>
      <c r="L135" s="446">
        <f t="shared" si="6"/>
        <v>0</v>
      </c>
      <c r="M135" s="441">
        <f>IF(L135&lt;O135,MinPoints,IF(AND(L135&gt;N135,O135&gt;0),100,+INT(($L135-O135)/P135)+MinPoints))</f>
        <v>10</v>
      </c>
      <c r="N135" s="440">
        <f t="shared" si="7"/>
        <v>4.9</v>
      </c>
      <c r="O135" s="440">
        <f t="shared" si="8"/>
        <v>2.2</v>
      </c>
      <c r="P135" s="440">
        <f t="shared" si="9"/>
        <v>0.03</v>
      </c>
      <c r="Q135">
        <f t="array" ref="Q135">IF(I135&gt;0,INDEX(DB,I135,9),EventIndex)</f>
        <v>6</v>
      </c>
      <c r="S135" s="447">
        <f t="array" ref="S135">INDEX(MINVALUES,$Q135,$K$1)</f>
        <v>2.2</v>
      </c>
      <c r="T135" s="448">
        <f t="array" ref="T135">INDEX(INCVALUES,$Q135,$K$1)</f>
        <v>0.03</v>
      </c>
      <c r="V135">
        <f t="array" ref="V135">+J135+(4*(INDEX(MatchScoreTable,$Q135,20)-1))</f>
        <v>4</v>
      </c>
      <c r="W135" s="442">
        <f t="array" ref="W135">INDEX(INC_MINVALUES,$V135,$K$1)</f>
        <v>0.2</v>
      </c>
      <c r="X135" s="212">
        <f t="array" ref="X135">INDEX(INC_INCVALUES,$V135,$K$1)</f>
        <v>0.02</v>
      </c>
    </row>
    <row r="136" ht="15.75" customHeight="1">
      <c r="A136" s="435"/>
      <c r="B136" s="436"/>
      <c r="C136" s="95" t="str">
        <f t="array" ref="C136">IF(I136&gt;0,INDEX(DB,I136,8),"")</f>
        <v/>
      </c>
      <c r="D136" s="437">
        <f t="shared" si="1"/>
        <v>0</v>
      </c>
      <c r="F136" s="438">
        <f t="shared" si="2"/>
        <v>0</v>
      </c>
      <c r="G136" t="str">
        <f t="shared" si="3"/>
        <v/>
      </c>
      <c r="H136" t="b">
        <f t="shared" si="4"/>
        <v>0</v>
      </c>
      <c r="I136" s="439">
        <f>IF(OR(ISBLANK(A136),ISNA(MATCH(A136&amp;"",AthleteNumbers,0))),0,MATCH(A136&amp;"",AthleteNumbers,0))</f>
        <v>0</v>
      </c>
      <c r="J136" s="209">
        <f t="array" ref="J136">IF(I136&gt;0,INDEX(DB,$I136,6),0)</f>
        <v>0</v>
      </c>
      <c r="K136" s="446">
        <f t="shared" si="5"/>
        <v>0</v>
      </c>
      <c r="L136" s="446">
        <f t="shared" si="6"/>
        <v>0</v>
      </c>
      <c r="M136" s="441">
        <f>IF(L136&lt;O136,MinPoints,IF(AND(L136&gt;N136,O136&gt;0),100,+INT(($L136-O136)/P136)+MinPoints))</f>
        <v>10</v>
      </c>
      <c r="N136" s="440">
        <f t="shared" si="7"/>
        <v>4.9</v>
      </c>
      <c r="O136" s="440">
        <f t="shared" si="8"/>
        <v>2.2</v>
      </c>
      <c r="P136" s="440">
        <f t="shared" si="9"/>
        <v>0.03</v>
      </c>
      <c r="Q136">
        <f t="array" ref="Q136">IF(I136&gt;0,INDEX(DB,I136,9),EventIndex)</f>
        <v>6</v>
      </c>
      <c r="S136" s="447">
        <f t="array" ref="S136">INDEX(MINVALUES,$Q136,$K$1)</f>
        <v>2.2</v>
      </c>
      <c r="T136" s="448">
        <f t="array" ref="T136">INDEX(INCVALUES,$Q136,$K$1)</f>
        <v>0.03</v>
      </c>
      <c r="V136">
        <f t="array" ref="V136">+J136+(4*(INDEX(MatchScoreTable,$Q136,20)-1))</f>
        <v>4</v>
      </c>
      <c r="W136" s="442">
        <f t="array" ref="W136">INDEX(INC_MINVALUES,$V136,$K$1)</f>
        <v>0.2</v>
      </c>
      <c r="X136" s="212">
        <f t="array" ref="X136">INDEX(INC_INCVALUES,$V136,$K$1)</f>
        <v>0.02</v>
      </c>
    </row>
    <row r="137" ht="15.75" customHeight="1">
      <c r="A137" s="435"/>
      <c r="B137" s="436"/>
      <c r="C137" s="95" t="str">
        <f t="array" ref="C137">IF(I137&gt;0,INDEX(DB,I137,8),"")</f>
        <v/>
      </c>
      <c r="D137" s="437">
        <f t="shared" si="1"/>
        <v>0</v>
      </c>
      <c r="F137" s="438">
        <f t="shared" si="2"/>
        <v>0</v>
      </c>
      <c r="G137" t="str">
        <f t="shared" si="3"/>
        <v/>
      </c>
      <c r="H137" t="b">
        <f t="shared" si="4"/>
        <v>0</v>
      </c>
      <c r="I137" s="439">
        <f>IF(OR(ISBLANK(A137),ISNA(MATCH(A137&amp;"",AthleteNumbers,0))),0,MATCH(A137&amp;"",AthleteNumbers,0))</f>
        <v>0</v>
      </c>
      <c r="J137" s="209">
        <f t="array" ref="J137">IF(I137&gt;0,INDEX(DB,$I137,6),0)</f>
        <v>0</v>
      </c>
      <c r="K137" s="446">
        <f t="shared" si="5"/>
        <v>0</v>
      </c>
      <c r="L137" s="446">
        <f t="shared" si="6"/>
        <v>0</v>
      </c>
      <c r="M137" s="441">
        <f>IF(L137&lt;O137,MinPoints,IF(AND(L137&gt;N137,O137&gt;0),100,+INT(($L137-O137)/P137)+MinPoints))</f>
        <v>10</v>
      </c>
      <c r="N137" s="440">
        <f t="shared" si="7"/>
        <v>4.9</v>
      </c>
      <c r="O137" s="440">
        <f t="shared" si="8"/>
        <v>2.2</v>
      </c>
      <c r="P137" s="440">
        <f t="shared" si="9"/>
        <v>0.03</v>
      </c>
      <c r="Q137">
        <f t="array" ref="Q137">IF(I137&gt;0,INDEX(DB,I137,9),EventIndex)</f>
        <v>6</v>
      </c>
      <c r="S137" s="447">
        <f t="array" ref="S137">INDEX(MINVALUES,$Q137,$K$1)</f>
        <v>2.2</v>
      </c>
      <c r="T137" s="448">
        <f t="array" ref="T137">INDEX(INCVALUES,$Q137,$K$1)</f>
        <v>0.03</v>
      </c>
      <c r="V137">
        <f t="array" ref="V137">+J137+(4*(INDEX(MatchScoreTable,$Q137,20)-1))</f>
        <v>4</v>
      </c>
      <c r="W137" s="442">
        <f t="array" ref="W137">INDEX(INC_MINVALUES,$V137,$K$1)</f>
        <v>0.2</v>
      </c>
      <c r="X137" s="212">
        <f t="array" ref="X137">INDEX(INC_INCVALUES,$V137,$K$1)</f>
        <v>0.02</v>
      </c>
    </row>
    <row r="138" ht="15.75" customHeight="1">
      <c r="A138" s="435"/>
      <c r="B138" s="436"/>
      <c r="C138" s="95" t="str">
        <f t="array" ref="C138">IF(I138&gt;0,INDEX(DB,I138,8),"")</f>
        <v/>
      </c>
      <c r="D138" s="437">
        <f t="shared" si="1"/>
        <v>0</v>
      </c>
      <c r="F138" s="438">
        <f t="shared" si="2"/>
        <v>0</v>
      </c>
      <c r="G138" t="str">
        <f t="shared" si="3"/>
        <v/>
      </c>
      <c r="H138" t="b">
        <f t="shared" si="4"/>
        <v>0</v>
      </c>
      <c r="I138" s="439">
        <f>IF(OR(ISBLANK(A138),ISNA(MATCH(A138&amp;"",AthleteNumbers,0))),0,MATCH(A138&amp;"",AthleteNumbers,0))</f>
        <v>0</v>
      </c>
      <c r="J138" s="209">
        <f t="array" ref="J138">IF(I138&gt;0,INDEX(DB,$I138,6),0)</f>
        <v>0</v>
      </c>
      <c r="K138" s="446">
        <f t="shared" si="5"/>
        <v>0</v>
      </c>
      <c r="L138" s="446">
        <f t="shared" si="6"/>
        <v>0</v>
      </c>
      <c r="M138" s="441">
        <f>IF(L138&lt;O138,MinPoints,IF(AND(L138&gt;N138,O138&gt;0),100,+INT(($L138-O138)/P138)+MinPoints))</f>
        <v>10</v>
      </c>
      <c r="N138" s="440">
        <f t="shared" si="7"/>
        <v>4.9</v>
      </c>
      <c r="O138" s="440">
        <f t="shared" si="8"/>
        <v>2.2</v>
      </c>
      <c r="P138" s="440">
        <f t="shared" si="9"/>
        <v>0.03</v>
      </c>
      <c r="Q138">
        <f t="array" ref="Q138">IF(I138&gt;0,INDEX(DB,I138,9),EventIndex)</f>
        <v>6</v>
      </c>
      <c r="S138" s="447">
        <f t="array" ref="S138">INDEX(MINVALUES,$Q138,$K$1)</f>
        <v>2.2</v>
      </c>
      <c r="T138" s="448">
        <f t="array" ref="T138">INDEX(INCVALUES,$Q138,$K$1)</f>
        <v>0.03</v>
      </c>
      <c r="V138">
        <f t="array" ref="V138">+J138+(4*(INDEX(MatchScoreTable,$Q138,20)-1))</f>
        <v>4</v>
      </c>
      <c r="W138" s="442">
        <f t="array" ref="W138">INDEX(INC_MINVALUES,$V138,$K$1)</f>
        <v>0.2</v>
      </c>
      <c r="X138" s="212">
        <f t="array" ref="X138">INDEX(INC_INCVALUES,$V138,$K$1)</f>
        <v>0.02</v>
      </c>
    </row>
    <row r="139" ht="15.75" customHeight="1">
      <c r="A139" s="435"/>
      <c r="B139" s="436"/>
      <c r="C139" s="95" t="str">
        <f t="array" ref="C139">IF(I139&gt;0,INDEX(DB,I139,8),"")</f>
        <v/>
      </c>
      <c r="D139" s="437">
        <f t="shared" si="1"/>
        <v>0</v>
      </c>
      <c r="F139" s="438">
        <f t="shared" si="2"/>
        <v>0</v>
      </c>
      <c r="G139" t="str">
        <f t="shared" si="3"/>
        <v/>
      </c>
      <c r="H139" t="b">
        <f t="shared" si="4"/>
        <v>0</v>
      </c>
      <c r="I139" s="439">
        <f>IF(OR(ISBLANK(A139),ISNA(MATCH(A139&amp;"",AthleteNumbers,0))),0,MATCH(A139&amp;"",AthleteNumbers,0))</f>
        <v>0</v>
      </c>
      <c r="J139" s="209">
        <f t="array" ref="J139">IF(I139&gt;0,INDEX(DB,$I139,6),0)</f>
        <v>0</v>
      </c>
      <c r="K139" s="446">
        <f t="shared" si="5"/>
        <v>0</v>
      </c>
      <c r="L139" s="446">
        <f t="shared" si="6"/>
        <v>0</v>
      </c>
      <c r="M139" s="441">
        <f>IF(L139&lt;O139,MinPoints,IF(AND(L139&gt;N139,O139&gt;0),100,+INT(($L139-O139)/P139)+MinPoints))</f>
        <v>10</v>
      </c>
      <c r="N139" s="440">
        <f t="shared" si="7"/>
        <v>4.9</v>
      </c>
      <c r="O139" s="440">
        <f t="shared" si="8"/>
        <v>2.2</v>
      </c>
      <c r="P139" s="440">
        <f t="shared" si="9"/>
        <v>0.03</v>
      </c>
      <c r="Q139">
        <f t="array" ref="Q139">IF(I139&gt;0,INDEX(DB,I139,9),EventIndex)</f>
        <v>6</v>
      </c>
      <c r="S139" s="447">
        <f t="array" ref="S139">INDEX(MINVALUES,$Q139,$K$1)</f>
        <v>2.2</v>
      </c>
      <c r="T139" s="448">
        <f t="array" ref="T139">INDEX(INCVALUES,$Q139,$K$1)</f>
        <v>0.03</v>
      </c>
      <c r="V139">
        <f t="array" ref="V139">+J139+(4*(INDEX(MatchScoreTable,$Q139,20)-1))</f>
        <v>4</v>
      </c>
      <c r="W139" s="442">
        <f t="array" ref="W139">INDEX(INC_MINVALUES,$V139,$K$1)</f>
        <v>0.2</v>
      </c>
      <c r="X139" s="212">
        <f t="array" ref="X139">INDEX(INC_INCVALUES,$V139,$K$1)</f>
        <v>0.02</v>
      </c>
    </row>
    <row r="140" ht="15.75" customHeight="1">
      <c r="A140" s="435"/>
      <c r="B140" s="436"/>
      <c r="C140" s="95" t="str">
        <f t="array" ref="C140">IF(I140&gt;0,INDEX(DB,I140,8),"")</f>
        <v/>
      </c>
      <c r="D140" s="437">
        <f t="shared" si="1"/>
        <v>0</v>
      </c>
      <c r="F140" s="438">
        <f t="shared" si="2"/>
        <v>0</v>
      </c>
      <c r="G140" t="str">
        <f t="shared" si="3"/>
        <v/>
      </c>
      <c r="H140" t="b">
        <f t="shared" si="4"/>
        <v>0</v>
      </c>
      <c r="I140" s="439">
        <f>IF(OR(ISBLANK(A140),ISNA(MATCH(A140&amp;"",AthleteNumbers,0))),0,MATCH(A140&amp;"",AthleteNumbers,0))</f>
        <v>0</v>
      </c>
      <c r="J140" s="209">
        <f t="array" ref="J140">IF(I140&gt;0,INDEX(DB,$I140,6),0)</f>
        <v>0</v>
      </c>
      <c r="K140" s="446">
        <f t="shared" si="5"/>
        <v>0</v>
      </c>
      <c r="L140" s="446">
        <f t="shared" si="6"/>
        <v>0</v>
      </c>
      <c r="M140" s="441">
        <f>IF(L140&lt;O140,MinPoints,IF(AND(L140&gt;N140,O140&gt;0),100,+INT(($L140-O140)/P140)+MinPoints))</f>
        <v>10</v>
      </c>
      <c r="N140" s="440">
        <f t="shared" si="7"/>
        <v>4.9</v>
      </c>
      <c r="O140" s="440">
        <f t="shared" si="8"/>
        <v>2.2</v>
      </c>
      <c r="P140" s="440">
        <f t="shared" si="9"/>
        <v>0.03</v>
      </c>
      <c r="Q140">
        <f t="array" ref="Q140">IF(I140&gt;0,INDEX(DB,I140,9),EventIndex)</f>
        <v>6</v>
      </c>
      <c r="S140" s="447">
        <f t="array" ref="S140">INDEX(MINVALUES,$Q140,$K$1)</f>
        <v>2.2</v>
      </c>
      <c r="T140" s="448">
        <f t="array" ref="T140">INDEX(INCVALUES,$Q140,$K$1)</f>
        <v>0.03</v>
      </c>
      <c r="V140">
        <f t="array" ref="V140">+J140+(4*(INDEX(MatchScoreTable,$Q140,20)-1))</f>
        <v>4</v>
      </c>
      <c r="W140" s="442">
        <f t="array" ref="W140">INDEX(INC_MINVALUES,$V140,$K$1)</f>
        <v>0.2</v>
      </c>
      <c r="X140" s="212">
        <f t="array" ref="X140">INDEX(INC_INCVALUES,$V140,$K$1)</f>
        <v>0.02</v>
      </c>
    </row>
    <row r="141" ht="15.75" customHeight="1">
      <c r="A141" s="435"/>
      <c r="B141" s="436"/>
      <c r="C141" s="95" t="str">
        <f t="array" ref="C141">IF(I141&gt;0,INDEX(DB,I141,8),"")</f>
        <v/>
      </c>
      <c r="D141" s="437">
        <f t="shared" si="1"/>
        <v>0</v>
      </c>
      <c r="F141" s="438">
        <f t="shared" si="2"/>
        <v>0</v>
      </c>
      <c r="G141" t="str">
        <f t="shared" si="3"/>
        <v/>
      </c>
      <c r="H141" t="b">
        <f t="shared" si="4"/>
        <v>0</v>
      </c>
      <c r="I141" s="439">
        <f>IF(OR(ISBLANK(A141),ISNA(MATCH(A141&amp;"",AthleteNumbers,0))),0,MATCH(A141&amp;"",AthleteNumbers,0))</f>
        <v>0</v>
      </c>
      <c r="J141" s="209">
        <f t="array" ref="J141">IF(I141&gt;0,INDEX(DB,$I141,6),0)</f>
        <v>0</v>
      </c>
      <c r="K141" s="446">
        <f t="shared" si="5"/>
        <v>0</v>
      </c>
      <c r="L141" s="446">
        <f t="shared" si="6"/>
        <v>0</v>
      </c>
      <c r="M141" s="441">
        <f>IF(L141&lt;O141,MinPoints,IF(AND(L141&gt;N141,O141&gt;0),100,+INT(($L141-O141)/P141)+MinPoints))</f>
        <v>10</v>
      </c>
      <c r="N141" s="440">
        <f t="shared" si="7"/>
        <v>4.9</v>
      </c>
      <c r="O141" s="440">
        <f t="shared" si="8"/>
        <v>2.2</v>
      </c>
      <c r="P141" s="440">
        <f t="shared" si="9"/>
        <v>0.03</v>
      </c>
      <c r="Q141">
        <f t="array" ref="Q141">IF(I141&gt;0,INDEX(DB,I141,9),EventIndex)</f>
        <v>6</v>
      </c>
      <c r="S141" s="447">
        <f t="array" ref="S141">INDEX(MINVALUES,$Q141,$K$1)</f>
        <v>2.2</v>
      </c>
      <c r="T141" s="448">
        <f t="array" ref="T141">INDEX(INCVALUES,$Q141,$K$1)</f>
        <v>0.03</v>
      </c>
      <c r="V141">
        <f t="array" ref="V141">+J141+(4*(INDEX(MatchScoreTable,$Q141,20)-1))</f>
        <v>4</v>
      </c>
      <c r="W141" s="442">
        <f t="array" ref="W141">INDEX(INC_MINVALUES,$V141,$K$1)</f>
        <v>0.2</v>
      </c>
      <c r="X141" s="212">
        <f t="array" ref="X141">INDEX(INC_INCVALUES,$V141,$K$1)</f>
        <v>0.02</v>
      </c>
    </row>
    <row r="142" ht="15.75" customHeight="1">
      <c r="A142" s="435"/>
      <c r="B142" s="436"/>
      <c r="C142" s="95" t="str">
        <f t="array" ref="C142">IF(I142&gt;0,INDEX(DB,I142,8),"")</f>
        <v/>
      </c>
      <c r="D142" s="437">
        <f t="shared" si="1"/>
        <v>0</v>
      </c>
      <c r="F142" s="438">
        <f t="shared" si="2"/>
        <v>0</v>
      </c>
      <c r="G142" t="str">
        <f t="shared" si="3"/>
        <v/>
      </c>
      <c r="H142" t="b">
        <f t="shared" si="4"/>
        <v>0</v>
      </c>
      <c r="I142" s="439">
        <f>IF(OR(ISBLANK(A142),ISNA(MATCH(A142&amp;"",AthleteNumbers,0))),0,MATCH(A142&amp;"",AthleteNumbers,0))</f>
        <v>0</v>
      </c>
      <c r="J142" s="209">
        <f t="array" ref="J142">IF(I142&gt;0,INDEX(DB,$I142,6),0)</f>
        <v>0</v>
      </c>
      <c r="K142" s="446">
        <f t="shared" si="5"/>
        <v>0</v>
      </c>
      <c r="L142" s="446">
        <f t="shared" si="6"/>
        <v>0</v>
      </c>
      <c r="M142" s="441">
        <f>IF(L142&lt;O142,MinPoints,IF(AND(L142&gt;N142,O142&gt;0),100,+INT(($L142-O142)/P142)+MinPoints))</f>
        <v>10</v>
      </c>
      <c r="N142" s="440">
        <f t="shared" si="7"/>
        <v>4.9</v>
      </c>
      <c r="O142" s="440">
        <f t="shared" si="8"/>
        <v>2.2</v>
      </c>
      <c r="P142" s="440">
        <f t="shared" si="9"/>
        <v>0.03</v>
      </c>
      <c r="Q142">
        <f t="array" ref="Q142">IF(I142&gt;0,INDEX(DB,I142,9),EventIndex)</f>
        <v>6</v>
      </c>
      <c r="S142" s="447">
        <f t="array" ref="S142">INDEX(MINVALUES,$Q142,$K$1)</f>
        <v>2.2</v>
      </c>
      <c r="T142" s="448">
        <f t="array" ref="T142">INDEX(INCVALUES,$Q142,$K$1)</f>
        <v>0.03</v>
      </c>
      <c r="V142">
        <f t="array" ref="V142">+J142+(4*(INDEX(MatchScoreTable,$Q142,20)-1))</f>
        <v>4</v>
      </c>
      <c r="W142" s="442">
        <f t="array" ref="W142">INDEX(INC_MINVALUES,$V142,$K$1)</f>
        <v>0.2</v>
      </c>
      <c r="X142" s="212">
        <f t="array" ref="X142">INDEX(INC_INCVALUES,$V142,$K$1)</f>
        <v>0.02</v>
      </c>
    </row>
    <row r="143" ht="15.75" customHeight="1">
      <c r="A143" s="435"/>
      <c r="B143" s="436"/>
      <c r="C143" s="95" t="str">
        <f t="array" ref="C143">IF(I143&gt;0,INDEX(DB,I143,8),"")</f>
        <v/>
      </c>
      <c r="D143" s="437">
        <f t="shared" si="1"/>
        <v>0</v>
      </c>
      <c r="F143" s="438">
        <f t="shared" si="2"/>
        <v>0</v>
      </c>
      <c r="G143" t="str">
        <f t="shared" si="3"/>
        <v/>
      </c>
      <c r="H143" t="b">
        <f t="shared" si="4"/>
        <v>0</v>
      </c>
      <c r="I143" s="439">
        <f>IF(OR(ISBLANK(A143),ISNA(MATCH(A143&amp;"",AthleteNumbers,0))),0,MATCH(A143&amp;"",AthleteNumbers,0))</f>
        <v>0</v>
      </c>
      <c r="J143" s="209">
        <f t="array" ref="J143">IF(I143&gt;0,INDEX(DB,$I143,6),0)</f>
        <v>0</v>
      </c>
      <c r="K143" s="446">
        <f t="shared" si="5"/>
        <v>0</v>
      </c>
      <c r="L143" s="446">
        <f t="shared" si="6"/>
        <v>0</v>
      </c>
      <c r="M143" s="441">
        <f>IF(L143&lt;O143,MinPoints,IF(AND(L143&gt;N143,O143&gt;0),100,+INT(($L143-O143)/P143)+MinPoints))</f>
        <v>10</v>
      </c>
      <c r="N143" s="440">
        <f t="shared" si="7"/>
        <v>4.9</v>
      </c>
      <c r="O143" s="440">
        <f t="shared" si="8"/>
        <v>2.2</v>
      </c>
      <c r="P143" s="440">
        <f t="shared" si="9"/>
        <v>0.03</v>
      </c>
      <c r="Q143">
        <f t="array" ref="Q143">IF(I143&gt;0,INDEX(DB,I143,9),EventIndex)</f>
        <v>6</v>
      </c>
      <c r="S143" s="447">
        <f t="array" ref="S143">INDEX(MINVALUES,$Q143,$K$1)</f>
        <v>2.2</v>
      </c>
      <c r="T143" s="448">
        <f t="array" ref="T143">INDEX(INCVALUES,$Q143,$K$1)</f>
        <v>0.03</v>
      </c>
      <c r="V143">
        <f t="array" ref="V143">+J143+(4*(INDEX(MatchScoreTable,$Q143,20)-1))</f>
        <v>4</v>
      </c>
      <c r="W143" s="442">
        <f t="array" ref="W143">INDEX(INC_MINVALUES,$V143,$K$1)</f>
        <v>0.2</v>
      </c>
      <c r="X143" s="212">
        <f t="array" ref="X143">INDEX(INC_INCVALUES,$V143,$K$1)</f>
        <v>0.02</v>
      </c>
    </row>
    <row r="144" ht="15.75" customHeight="1">
      <c r="A144" s="435"/>
      <c r="B144" s="436"/>
      <c r="C144" s="95" t="str">
        <f t="array" ref="C144">IF(I144&gt;0,INDEX(DB,I144,8),"")</f>
        <v/>
      </c>
      <c r="D144" s="437">
        <f t="shared" si="1"/>
        <v>0</v>
      </c>
      <c r="F144" s="438">
        <f t="shared" si="2"/>
        <v>0</v>
      </c>
      <c r="G144" t="str">
        <f t="shared" si="3"/>
        <v/>
      </c>
      <c r="H144" t="b">
        <f t="shared" si="4"/>
        <v>0</v>
      </c>
      <c r="I144" s="439">
        <f>IF(OR(ISBLANK(A144),ISNA(MATCH(A144&amp;"",AthleteNumbers,0))),0,MATCH(A144&amp;"",AthleteNumbers,0))</f>
        <v>0</v>
      </c>
      <c r="J144" s="209">
        <f t="array" ref="J144">IF(I144&gt;0,INDEX(DB,$I144,6),0)</f>
        <v>0</v>
      </c>
      <c r="K144" s="446">
        <f t="shared" si="5"/>
        <v>0</v>
      </c>
      <c r="L144" s="446">
        <f t="shared" si="6"/>
        <v>0</v>
      </c>
      <c r="M144" s="441">
        <f>IF(L144&lt;O144,MinPoints,IF(AND(L144&gt;N144,O144&gt;0),100,+INT(($L144-O144)/P144)+MinPoints))</f>
        <v>10</v>
      </c>
      <c r="N144" s="440">
        <f t="shared" si="7"/>
        <v>4.9</v>
      </c>
      <c r="O144" s="440">
        <f t="shared" si="8"/>
        <v>2.2</v>
      </c>
      <c r="P144" s="440">
        <f t="shared" si="9"/>
        <v>0.03</v>
      </c>
      <c r="Q144">
        <f t="array" ref="Q144">IF(I144&gt;0,INDEX(DB,I144,9),EventIndex)</f>
        <v>6</v>
      </c>
      <c r="S144" s="447">
        <f t="array" ref="S144">INDEX(MINVALUES,$Q144,$K$1)</f>
        <v>2.2</v>
      </c>
      <c r="T144" s="448">
        <f t="array" ref="T144">INDEX(INCVALUES,$Q144,$K$1)</f>
        <v>0.03</v>
      </c>
      <c r="V144">
        <f t="array" ref="V144">+J144+(4*(INDEX(MatchScoreTable,$Q144,20)-1))</f>
        <v>4</v>
      </c>
      <c r="W144" s="442">
        <f t="array" ref="W144">INDEX(INC_MINVALUES,$V144,$K$1)</f>
        <v>0.2</v>
      </c>
      <c r="X144" s="212">
        <f t="array" ref="X144">INDEX(INC_INCVALUES,$V144,$K$1)</f>
        <v>0.02</v>
      </c>
    </row>
    <row r="145" ht="15.75" customHeight="1">
      <c r="A145" s="435"/>
      <c r="B145" s="436"/>
      <c r="C145" s="95" t="str">
        <f t="array" ref="C145">IF(I145&gt;0,INDEX(DB,I145,8),"")</f>
        <v/>
      </c>
      <c r="D145" s="437">
        <f t="shared" si="1"/>
        <v>0</v>
      </c>
      <c r="F145" s="438">
        <f t="shared" si="2"/>
        <v>0</v>
      </c>
      <c r="G145" t="str">
        <f t="shared" si="3"/>
        <v/>
      </c>
      <c r="H145" t="b">
        <f t="shared" si="4"/>
        <v>0</v>
      </c>
      <c r="I145" s="439">
        <f>IF(OR(ISBLANK(A145),ISNA(MATCH(A145&amp;"",AthleteNumbers,0))),0,MATCH(A145&amp;"",AthleteNumbers,0))</f>
        <v>0</v>
      </c>
      <c r="J145" s="209">
        <f t="array" ref="J145">IF(I145&gt;0,INDEX(DB,$I145,6),0)</f>
        <v>0</v>
      </c>
      <c r="K145" s="446">
        <f t="shared" si="5"/>
        <v>0</v>
      </c>
      <c r="L145" s="446">
        <f t="shared" si="6"/>
        <v>0</v>
      </c>
      <c r="M145" s="441">
        <f>IF(L145&lt;O145,MinPoints,IF(AND(L145&gt;N145,O145&gt;0),100,+INT(($L145-O145)/P145)+MinPoints))</f>
        <v>10</v>
      </c>
      <c r="N145" s="440">
        <f t="shared" si="7"/>
        <v>4.9</v>
      </c>
      <c r="O145" s="440">
        <f t="shared" si="8"/>
        <v>2.2</v>
      </c>
      <c r="P145" s="440">
        <f t="shared" si="9"/>
        <v>0.03</v>
      </c>
      <c r="Q145">
        <f t="array" ref="Q145">IF(I145&gt;0,INDEX(DB,I145,9),EventIndex)</f>
        <v>6</v>
      </c>
      <c r="S145" s="447">
        <f t="array" ref="S145">INDEX(MINVALUES,$Q145,$K$1)</f>
        <v>2.2</v>
      </c>
      <c r="T145" s="448">
        <f t="array" ref="T145">INDEX(INCVALUES,$Q145,$K$1)</f>
        <v>0.03</v>
      </c>
      <c r="V145">
        <f t="array" ref="V145">+J145+(4*(INDEX(MatchScoreTable,$Q145,20)-1))</f>
        <v>4</v>
      </c>
      <c r="W145" s="442">
        <f t="array" ref="W145">INDEX(INC_MINVALUES,$V145,$K$1)</f>
        <v>0.2</v>
      </c>
      <c r="X145" s="212">
        <f t="array" ref="X145">INDEX(INC_INCVALUES,$V145,$K$1)</f>
        <v>0.02</v>
      </c>
    </row>
    <row r="146" ht="15.75" customHeight="1">
      <c r="A146" s="435"/>
      <c r="B146" s="436"/>
      <c r="C146" s="95" t="str">
        <f t="array" ref="C146">IF(I146&gt;0,INDEX(DB,I146,8),"")</f>
        <v/>
      </c>
      <c r="D146" s="437">
        <f t="shared" si="1"/>
        <v>0</v>
      </c>
      <c r="F146" s="438">
        <f t="shared" si="2"/>
        <v>0</v>
      </c>
      <c r="G146" t="str">
        <f t="shared" si="3"/>
        <v/>
      </c>
      <c r="H146" t="b">
        <f t="shared" si="4"/>
        <v>0</v>
      </c>
      <c r="I146" s="439">
        <f>IF(OR(ISBLANK(A146),ISNA(MATCH(A146&amp;"",AthleteNumbers,0))),0,MATCH(A146&amp;"",AthleteNumbers,0))</f>
        <v>0</v>
      </c>
      <c r="J146" s="209">
        <f t="array" ref="J146">IF(I146&gt;0,INDEX(DB,$I146,6),0)</f>
        <v>0</v>
      </c>
      <c r="K146" s="446">
        <f t="shared" si="5"/>
        <v>0</v>
      </c>
      <c r="L146" s="446">
        <f t="shared" si="6"/>
        <v>0</v>
      </c>
      <c r="M146" s="441">
        <f>IF(L146&lt;O146,MinPoints,IF(AND(L146&gt;N146,O146&gt;0),100,+INT(($L146-O146)/P146)+MinPoints))</f>
        <v>10</v>
      </c>
      <c r="N146" s="440">
        <f t="shared" si="7"/>
        <v>4.9</v>
      </c>
      <c r="O146" s="440">
        <f t="shared" si="8"/>
        <v>2.2</v>
      </c>
      <c r="P146" s="440">
        <f t="shared" si="9"/>
        <v>0.03</v>
      </c>
      <c r="Q146">
        <f t="array" ref="Q146">IF(I146&gt;0,INDEX(DB,I146,9),EventIndex)</f>
        <v>6</v>
      </c>
      <c r="S146" s="447">
        <f t="array" ref="S146">INDEX(MINVALUES,$Q146,$K$1)</f>
        <v>2.2</v>
      </c>
      <c r="T146" s="448">
        <f t="array" ref="T146">INDEX(INCVALUES,$Q146,$K$1)</f>
        <v>0.03</v>
      </c>
      <c r="V146">
        <f t="array" ref="V146">+J146+(4*(INDEX(MatchScoreTable,$Q146,20)-1))</f>
        <v>4</v>
      </c>
      <c r="W146" s="442">
        <f t="array" ref="W146">INDEX(INC_MINVALUES,$V146,$K$1)</f>
        <v>0.2</v>
      </c>
      <c r="X146" s="212">
        <f t="array" ref="X146">INDEX(INC_INCVALUES,$V146,$K$1)</f>
        <v>0.02</v>
      </c>
    </row>
    <row r="147" ht="15.75" customHeight="1">
      <c r="A147" s="435"/>
      <c r="B147" s="436"/>
      <c r="C147" s="95" t="str">
        <f t="array" ref="C147">IF(I147&gt;0,INDEX(DB,I147,8),"")</f>
        <v/>
      </c>
      <c r="D147" s="437">
        <f t="shared" si="1"/>
        <v>0</v>
      </c>
      <c r="F147" s="438">
        <f t="shared" si="2"/>
        <v>0</v>
      </c>
      <c r="G147" t="str">
        <f t="shared" si="3"/>
        <v/>
      </c>
      <c r="H147" t="b">
        <f t="shared" si="4"/>
        <v>0</v>
      </c>
      <c r="I147" s="439">
        <f>IF(OR(ISBLANK(A147),ISNA(MATCH(A147&amp;"",AthleteNumbers,0))),0,MATCH(A147&amp;"",AthleteNumbers,0))</f>
        <v>0</v>
      </c>
      <c r="J147" s="209">
        <f t="array" ref="J147">IF(I147&gt;0,INDEX(DB,$I147,6),0)</f>
        <v>0</v>
      </c>
      <c r="K147" s="446">
        <f t="shared" si="5"/>
        <v>0</v>
      </c>
      <c r="L147" s="446">
        <f t="shared" si="6"/>
        <v>0</v>
      </c>
      <c r="M147" s="441">
        <f>IF(L147&lt;O147,MinPoints,IF(AND(L147&gt;N147,O147&gt;0),100,+INT(($L147-O147)/P147)+MinPoints))</f>
        <v>10</v>
      </c>
      <c r="N147" s="440">
        <f t="shared" si="7"/>
        <v>4.9</v>
      </c>
      <c r="O147" s="440">
        <f t="shared" si="8"/>
        <v>2.2</v>
      </c>
      <c r="P147" s="440">
        <f t="shared" si="9"/>
        <v>0.03</v>
      </c>
      <c r="Q147">
        <f t="array" ref="Q147">IF(I147&gt;0,INDEX(DB,I147,9),EventIndex)</f>
        <v>6</v>
      </c>
      <c r="S147" s="447">
        <f t="array" ref="S147">INDEX(MINVALUES,$Q147,$K$1)</f>
        <v>2.2</v>
      </c>
      <c r="T147" s="448">
        <f t="array" ref="T147">INDEX(INCVALUES,$Q147,$K$1)</f>
        <v>0.03</v>
      </c>
      <c r="V147">
        <f t="array" ref="V147">+J147+(4*(INDEX(MatchScoreTable,$Q147,20)-1))</f>
        <v>4</v>
      </c>
      <c r="W147" s="442">
        <f t="array" ref="W147">INDEX(INC_MINVALUES,$V147,$K$1)</f>
        <v>0.2</v>
      </c>
      <c r="X147" s="212">
        <f t="array" ref="X147">INDEX(INC_INCVALUES,$V147,$K$1)</f>
        <v>0.02</v>
      </c>
    </row>
    <row r="148" ht="15.75" customHeight="1">
      <c r="A148" s="435"/>
      <c r="B148" s="436"/>
      <c r="C148" s="95" t="str">
        <f t="array" ref="C148">IF(I148&gt;0,INDEX(DB,I148,8),"")</f>
        <v/>
      </c>
      <c r="D148" s="437">
        <f t="shared" si="1"/>
        <v>0</v>
      </c>
      <c r="F148" s="438">
        <f t="shared" si="2"/>
        <v>0</v>
      </c>
      <c r="G148" t="str">
        <f t="shared" si="3"/>
        <v/>
      </c>
      <c r="H148" t="b">
        <f t="shared" si="4"/>
        <v>0</v>
      </c>
      <c r="I148" s="439">
        <f>IF(OR(ISBLANK(A148),ISNA(MATCH(A148&amp;"",AthleteNumbers,0))),0,MATCH(A148&amp;"",AthleteNumbers,0))</f>
        <v>0</v>
      </c>
      <c r="J148" s="209">
        <f t="array" ref="J148">IF(I148&gt;0,INDEX(DB,$I148,6),0)</f>
        <v>0</v>
      </c>
      <c r="K148" s="446">
        <f t="shared" si="5"/>
        <v>0</v>
      </c>
      <c r="L148" s="446">
        <f t="shared" si="6"/>
        <v>0</v>
      </c>
      <c r="M148" s="441">
        <f>IF(L148&lt;O148,MinPoints,IF(AND(L148&gt;N148,O148&gt;0),100,+INT(($L148-O148)/P148)+MinPoints))</f>
        <v>10</v>
      </c>
      <c r="N148" s="440">
        <f t="shared" si="7"/>
        <v>4.9</v>
      </c>
      <c r="O148" s="440">
        <f t="shared" si="8"/>
        <v>2.2</v>
      </c>
      <c r="P148" s="440">
        <f t="shared" si="9"/>
        <v>0.03</v>
      </c>
      <c r="Q148">
        <f t="array" ref="Q148">IF(I148&gt;0,INDEX(DB,I148,9),EventIndex)</f>
        <v>6</v>
      </c>
      <c r="S148" s="447">
        <f t="array" ref="S148">INDEX(MINVALUES,$Q148,$K$1)</f>
        <v>2.2</v>
      </c>
      <c r="T148" s="448">
        <f t="array" ref="T148">INDEX(INCVALUES,$Q148,$K$1)</f>
        <v>0.03</v>
      </c>
      <c r="V148">
        <f t="array" ref="V148">+J148+(4*(INDEX(MatchScoreTable,$Q148,20)-1))</f>
        <v>4</v>
      </c>
      <c r="W148" s="442">
        <f t="array" ref="W148">INDEX(INC_MINVALUES,$V148,$K$1)</f>
        <v>0.2</v>
      </c>
      <c r="X148" s="212">
        <f t="array" ref="X148">INDEX(INC_INCVALUES,$V148,$K$1)</f>
        <v>0.02</v>
      </c>
    </row>
    <row r="149" ht="15.75" customHeight="1">
      <c r="A149" s="435"/>
      <c r="B149" s="436"/>
      <c r="C149" s="95" t="str">
        <f t="array" ref="C149">IF(I149&gt;0,INDEX(DB,I149,8),"")</f>
        <v/>
      </c>
      <c r="D149" s="437">
        <f t="shared" si="1"/>
        <v>0</v>
      </c>
      <c r="F149" s="438">
        <f t="shared" si="2"/>
        <v>0</v>
      </c>
      <c r="G149" t="str">
        <f t="shared" si="3"/>
        <v/>
      </c>
      <c r="H149" t="b">
        <f t="shared" si="4"/>
        <v>0</v>
      </c>
      <c r="I149" s="439">
        <f>IF(OR(ISBLANK(A149),ISNA(MATCH(A149&amp;"",AthleteNumbers,0))),0,MATCH(A149&amp;"",AthleteNumbers,0))</f>
        <v>0</v>
      </c>
      <c r="J149" s="209">
        <f t="array" ref="J149">IF(I149&gt;0,INDEX(DB,$I149,6),0)</f>
        <v>0</v>
      </c>
      <c r="K149" s="446">
        <f t="shared" si="5"/>
        <v>0</v>
      </c>
      <c r="L149" s="446">
        <f t="shared" si="6"/>
        <v>0</v>
      </c>
      <c r="M149" s="441">
        <f>IF(L149&lt;O149,MinPoints,IF(AND(L149&gt;N149,O149&gt;0),100,+INT(($L149-O149)/P149)+MinPoints))</f>
        <v>10</v>
      </c>
      <c r="N149" s="440">
        <f t="shared" si="7"/>
        <v>4.9</v>
      </c>
      <c r="O149" s="440">
        <f t="shared" si="8"/>
        <v>2.2</v>
      </c>
      <c r="P149" s="440">
        <f t="shared" si="9"/>
        <v>0.03</v>
      </c>
      <c r="Q149">
        <f t="array" ref="Q149">IF(I149&gt;0,INDEX(DB,I149,9),EventIndex)</f>
        <v>6</v>
      </c>
      <c r="S149" s="447">
        <f t="array" ref="S149">INDEX(MINVALUES,$Q149,$K$1)</f>
        <v>2.2</v>
      </c>
      <c r="T149" s="448">
        <f t="array" ref="T149">INDEX(INCVALUES,$Q149,$K$1)</f>
        <v>0.03</v>
      </c>
      <c r="V149">
        <f t="array" ref="V149">+J149+(4*(INDEX(MatchScoreTable,$Q149,20)-1))</f>
        <v>4</v>
      </c>
      <c r="W149" s="442">
        <f t="array" ref="W149">INDEX(INC_MINVALUES,$V149,$K$1)</f>
        <v>0.2</v>
      </c>
      <c r="X149" s="212">
        <f t="array" ref="X149">INDEX(INC_INCVALUES,$V149,$K$1)</f>
        <v>0.02</v>
      </c>
    </row>
    <row r="150" ht="15.75" customHeight="1">
      <c r="A150" s="435"/>
      <c r="B150" s="436"/>
      <c r="C150" s="95" t="str">
        <f t="array" ref="C150">IF(I150&gt;0,INDEX(DB,I150,8),"")</f>
        <v/>
      </c>
      <c r="D150" s="437">
        <f t="shared" si="1"/>
        <v>0</v>
      </c>
      <c r="F150" s="438">
        <f t="shared" si="2"/>
        <v>0</v>
      </c>
      <c r="G150" t="str">
        <f t="shared" si="3"/>
        <v/>
      </c>
      <c r="H150" t="b">
        <f t="shared" si="4"/>
        <v>0</v>
      </c>
      <c r="I150" s="439">
        <f>IF(OR(ISBLANK(A150),ISNA(MATCH(A150&amp;"",AthleteNumbers,0))),0,MATCH(A150&amp;"",AthleteNumbers,0))</f>
        <v>0</v>
      </c>
      <c r="J150" s="209">
        <f t="array" ref="J150">IF(I150&gt;0,INDEX(DB,$I150,6),0)</f>
        <v>0</v>
      </c>
      <c r="K150" s="446">
        <f t="shared" si="5"/>
        <v>0</v>
      </c>
      <c r="L150" s="446">
        <f t="shared" si="6"/>
        <v>0</v>
      </c>
      <c r="M150" s="441">
        <f>IF(L150&lt;O150,MinPoints,IF(AND(L150&gt;N150,O150&gt;0),100,+INT(($L150-O150)/P150)+MinPoints))</f>
        <v>10</v>
      </c>
      <c r="N150" s="440">
        <f t="shared" si="7"/>
        <v>4.9</v>
      </c>
      <c r="O150" s="440">
        <f t="shared" si="8"/>
        <v>2.2</v>
      </c>
      <c r="P150" s="440">
        <f t="shared" si="9"/>
        <v>0.03</v>
      </c>
      <c r="Q150">
        <f t="array" ref="Q150">IF(I150&gt;0,INDEX(DB,I150,9),EventIndex)</f>
        <v>6</v>
      </c>
      <c r="S150" s="447">
        <f t="array" ref="S150">INDEX(MINVALUES,$Q150,$K$1)</f>
        <v>2.2</v>
      </c>
      <c r="T150" s="448">
        <f t="array" ref="T150">INDEX(INCVALUES,$Q150,$K$1)</f>
        <v>0.03</v>
      </c>
      <c r="V150">
        <f t="array" ref="V150">+J150+(4*(INDEX(MatchScoreTable,$Q150,20)-1))</f>
        <v>4</v>
      </c>
      <c r="W150" s="442">
        <f t="array" ref="W150">INDEX(INC_MINVALUES,$V150,$K$1)</f>
        <v>0.2</v>
      </c>
      <c r="X150" s="212">
        <f t="array" ref="X150">INDEX(INC_INCVALUES,$V150,$K$1)</f>
        <v>0.02</v>
      </c>
    </row>
    <row r="151" ht="15.75" customHeight="1">
      <c r="A151" s="435"/>
      <c r="B151" s="436"/>
      <c r="C151" s="95" t="str">
        <f t="array" ref="C151">IF(I151&gt;0,INDEX(DB,I151,8),"")</f>
        <v/>
      </c>
      <c r="D151" s="437">
        <f t="shared" si="1"/>
        <v>0</v>
      </c>
      <c r="F151" s="438">
        <f t="shared" si="2"/>
        <v>0</v>
      </c>
      <c r="G151" t="str">
        <f t="shared" si="3"/>
        <v/>
      </c>
      <c r="H151" t="b">
        <f t="shared" si="4"/>
        <v>0</v>
      </c>
      <c r="I151" s="439">
        <f>IF(OR(ISBLANK(A151),ISNA(MATCH(A151&amp;"",AthleteNumbers,0))),0,MATCH(A151&amp;"",AthleteNumbers,0))</f>
        <v>0</v>
      </c>
      <c r="J151" s="209">
        <f t="array" ref="J151">IF(I151&gt;0,INDEX(DB,$I151,6),0)</f>
        <v>0</v>
      </c>
      <c r="K151" s="446">
        <f t="shared" si="5"/>
        <v>0</v>
      </c>
      <c r="L151" s="446">
        <f t="shared" si="6"/>
        <v>0</v>
      </c>
      <c r="M151" s="441">
        <f>IF(L151&lt;O151,MinPoints,IF(AND(L151&gt;N151,O151&gt;0),100,+INT(($L151-O151)/P151)+MinPoints))</f>
        <v>10</v>
      </c>
      <c r="N151" s="440">
        <f t="shared" si="7"/>
        <v>4.9</v>
      </c>
      <c r="O151" s="440">
        <f t="shared" si="8"/>
        <v>2.2</v>
      </c>
      <c r="P151" s="440">
        <f t="shared" si="9"/>
        <v>0.03</v>
      </c>
      <c r="Q151">
        <f t="array" ref="Q151">IF(I151&gt;0,INDEX(DB,I151,9),EventIndex)</f>
        <v>6</v>
      </c>
      <c r="S151" s="447">
        <f t="array" ref="S151">INDEX(MINVALUES,$Q151,$K$1)</f>
        <v>2.2</v>
      </c>
      <c r="T151" s="448">
        <f t="array" ref="T151">INDEX(INCVALUES,$Q151,$K$1)</f>
        <v>0.03</v>
      </c>
      <c r="V151">
        <f t="array" ref="V151">+J151+(4*(INDEX(MatchScoreTable,$Q151,20)-1))</f>
        <v>4</v>
      </c>
      <c r="W151" s="442">
        <f t="array" ref="W151">INDEX(INC_MINVALUES,$V151,$K$1)</f>
        <v>0.2</v>
      </c>
      <c r="X151" s="212">
        <f t="array" ref="X151">INDEX(INC_INCVALUES,$V151,$K$1)</f>
        <v>0.02</v>
      </c>
    </row>
    <row r="152" ht="15.75" customHeight="1">
      <c r="A152" s="435"/>
      <c r="B152" s="436"/>
      <c r="C152" s="95" t="str">
        <f t="array" ref="C152">IF(I152&gt;0,INDEX(DB,I152,8),"")</f>
        <v/>
      </c>
      <c r="D152" s="437">
        <f t="shared" si="1"/>
        <v>0</v>
      </c>
      <c r="F152" s="438">
        <f t="shared" si="2"/>
        <v>0</v>
      </c>
      <c r="G152" t="str">
        <f t="shared" si="3"/>
        <v/>
      </c>
      <c r="H152" t="b">
        <f t="shared" si="4"/>
        <v>0</v>
      </c>
      <c r="I152" s="439">
        <f>IF(OR(ISBLANK(A152),ISNA(MATCH(A152&amp;"",AthleteNumbers,0))),0,MATCH(A152&amp;"",AthleteNumbers,0))</f>
        <v>0</v>
      </c>
      <c r="J152" s="209">
        <f t="array" ref="J152">IF(I152&gt;0,INDEX(DB,$I152,6),0)</f>
        <v>0</v>
      </c>
      <c r="K152" s="446">
        <f t="shared" si="5"/>
        <v>0</v>
      </c>
      <c r="L152" s="446">
        <f t="shared" si="6"/>
        <v>0</v>
      </c>
      <c r="M152" s="441">
        <f>IF(L152&lt;O152,MinPoints,IF(AND(L152&gt;N152,O152&gt;0),100,+INT(($L152-O152)/P152)+MinPoints))</f>
        <v>10</v>
      </c>
      <c r="N152" s="440">
        <f t="shared" si="7"/>
        <v>4.9</v>
      </c>
      <c r="O152" s="440">
        <f t="shared" si="8"/>
        <v>2.2</v>
      </c>
      <c r="P152" s="440">
        <f t="shared" si="9"/>
        <v>0.03</v>
      </c>
      <c r="Q152">
        <f t="array" ref="Q152">IF(I152&gt;0,INDEX(DB,I152,9),EventIndex)</f>
        <v>6</v>
      </c>
      <c r="S152" s="447">
        <f t="array" ref="S152">INDEX(MINVALUES,$Q152,$K$1)</f>
        <v>2.2</v>
      </c>
      <c r="T152" s="448">
        <f t="array" ref="T152">INDEX(INCVALUES,$Q152,$K$1)</f>
        <v>0.03</v>
      </c>
      <c r="V152">
        <f t="array" ref="V152">+J152+(4*(INDEX(MatchScoreTable,$Q152,20)-1))</f>
        <v>4</v>
      </c>
      <c r="W152" s="442">
        <f t="array" ref="W152">INDEX(INC_MINVALUES,$V152,$K$1)</f>
        <v>0.2</v>
      </c>
      <c r="X152" s="212">
        <f t="array" ref="X152">INDEX(INC_INCVALUES,$V152,$K$1)</f>
        <v>0.02</v>
      </c>
    </row>
    <row r="153" ht="15.75" customHeight="1">
      <c r="A153" s="435"/>
      <c r="B153" s="436"/>
      <c r="C153" s="95" t="str">
        <f t="array" ref="C153">IF(I153&gt;0,INDEX(DB,I153,8),"")</f>
        <v/>
      </c>
      <c r="D153" s="437">
        <f t="shared" si="1"/>
        <v>0</v>
      </c>
      <c r="F153" s="438">
        <f t="shared" si="2"/>
        <v>0</v>
      </c>
      <c r="G153" t="str">
        <f t="shared" si="3"/>
        <v/>
      </c>
      <c r="H153" t="b">
        <f t="shared" si="4"/>
        <v>0</v>
      </c>
      <c r="I153" s="439">
        <f>IF(OR(ISBLANK(A153),ISNA(MATCH(A153&amp;"",AthleteNumbers,0))),0,MATCH(A153&amp;"",AthleteNumbers,0))</f>
        <v>0</v>
      </c>
      <c r="J153" s="209">
        <f t="array" ref="J153">IF(I153&gt;0,INDEX(DB,$I153,6),0)</f>
        <v>0</v>
      </c>
      <c r="K153" s="446">
        <f t="shared" si="5"/>
        <v>0</v>
      </c>
      <c r="L153" s="446">
        <f t="shared" si="6"/>
        <v>0</v>
      </c>
      <c r="M153" s="441">
        <f>IF(L153&lt;O153,MinPoints,IF(AND(L153&gt;N153,O153&gt;0),100,+INT(($L153-O153)/P153)+MinPoints))</f>
        <v>10</v>
      </c>
      <c r="N153" s="440">
        <f t="shared" si="7"/>
        <v>4.9</v>
      </c>
      <c r="O153" s="440">
        <f t="shared" si="8"/>
        <v>2.2</v>
      </c>
      <c r="P153" s="440">
        <f t="shared" si="9"/>
        <v>0.03</v>
      </c>
      <c r="Q153">
        <f t="array" ref="Q153">IF(I153&gt;0,INDEX(DB,I153,9),EventIndex)</f>
        <v>6</v>
      </c>
      <c r="S153" s="447">
        <f t="array" ref="S153">INDEX(MINVALUES,$Q153,$K$1)</f>
        <v>2.2</v>
      </c>
      <c r="T153" s="448">
        <f t="array" ref="T153">INDEX(INCVALUES,$Q153,$K$1)</f>
        <v>0.03</v>
      </c>
      <c r="V153">
        <f t="array" ref="V153">+J153+(4*(INDEX(MatchScoreTable,$Q153,20)-1))</f>
        <v>4</v>
      </c>
      <c r="W153" s="442">
        <f t="array" ref="W153">INDEX(INC_MINVALUES,$V153,$K$1)</f>
        <v>0.2</v>
      </c>
      <c r="X153" s="212">
        <f t="array" ref="X153">INDEX(INC_INCVALUES,$V153,$K$1)</f>
        <v>0.02</v>
      </c>
    </row>
    <row r="154" ht="15.75" customHeight="1">
      <c r="A154" s="435"/>
      <c r="B154" s="436"/>
      <c r="C154" s="95" t="str">
        <f t="array" ref="C154">IF(I154&gt;0,INDEX(DB,I154,8),"")</f>
        <v/>
      </c>
      <c r="D154" s="437">
        <f t="shared" si="1"/>
        <v>0</v>
      </c>
      <c r="F154" s="438">
        <f t="shared" si="2"/>
        <v>0</v>
      </c>
      <c r="G154" t="str">
        <f t="shared" si="3"/>
        <v/>
      </c>
      <c r="H154" t="b">
        <f t="shared" si="4"/>
        <v>0</v>
      </c>
      <c r="I154" s="439">
        <f>IF(OR(ISBLANK(A154),ISNA(MATCH(A154&amp;"",AthleteNumbers,0))),0,MATCH(A154&amp;"",AthleteNumbers,0))</f>
        <v>0</v>
      </c>
      <c r="J154" s="209">
        <f t="array" ref="J154">IF(I154&gt;0,INDEX(DB,$I154,6),0)</f>
        <v>0</v>
      </c>
      <c r="K154" s="446">
        <f t="shared" si="5"/>
        <v>0</v>
      </c>
      <c r="L154" s="446">
        <f t="shared" si="6"/>
        <v>0</v>
      </c>
      <c r="M154" s="441">
        <f>IF(L154&lt;O154,MinPoints,IF(AND(L154&gt;N154,O154&gt;0),100,+INT(($L154-O154)/P154)+MinPoints))</f>
        <v>10</v>
      </c>
      <c r="N154" s="440">
        <f t="shared" si="7"/>
        <v>4.9</v>
      </c>
      <c r="O154" s="440">
        <f t="shared" si="8"/>
        <v>2.2</v>
      </c>
      <c r="P154" s="440">
        <f t="shared" si="9"/>
        <v>0.03</v>
      </c>
      <c r="Q154">
        <f t="array" ref="Q154">IF(I154&gt;0,INDEX(DB,I154,9),EventIndex)</f>
        <v>6</v>
      </c>
      <c r="S154" s="447">
        <f t="array" ref="S154">INDEX(MINVALUES,$Q154,$K$1)</f>
        <v>2.2</v>
      </c>
      <c r="T154" s="448">
        <f t="array" ref="T154">INDEX(INCVALUES,$Q154,$K$1)</f>
        <v>0.03</v>
      </c>
      <c r="V154">
        <f t="array" ref="V154">+J154+(4*(INDEX(MatchScoreTable,$Q154,20)-1))</f>
        <v>4</v>
      </c>
      <c r="W154" s="442">
        <f t="array" ref="W154">INDEX(INC_MINVALUES,$V154,$K$1)</f>
        <v>0.2</v>
      </c>
      <c r="X154" s="212">
        <f t="array" ref="X154">INDEX(INC_INCVALUES,$V154,$K$1)</f>
        <v>0.02</v>
      </c>
    </row>
    <row r="155" ht="15.75" customHeight="1">
      <c r="A155" s="435"/>
      <c r="B155" s="436"/>
      <c r="C155" s="95" t="str">
        <f t="array" ref="C155">IF(I155&gt;0,INDEX(DB,I155,8),"")</f>
        <v/>
      </c>
      <c r="D155" s="437">
        <f t="shared" si="1"/>
        <v>0</v>
      </c>
      <c r="F155" s="438">
        <f t="shared" si="2"/>
        <v>0</v>
      </c>
      <c r="G155" t="str">
        <f t="shared" si="3"/>
        <v/>
      </c>
      <c r="H155" t="b">
        <f t="shared" si="4"/>
        <v>0</v>
      </c>
      <c r="I155" s="439">
        <f>IF(OR(ISBLANK(A155),ISNA(MATCH(A155&amp;"",AthleteNumbers,0))),0,MATCH(A155&amp;"",AthleteNumbers,0))</f>
        <v>0</v>
      </c>
      <c r="J155" s="209">
        <f t="array" ref="J155">IF(I155&gt;0,INDEX(DB,$I155,6),0)</f>
        <v>0</v>
      </c>
      <c r="K155" s="446">
        <f t="shared" si="5"/>
        <v>0</v>
      </c>
      <c r="L155" s="446">
        <f t="shared" si="6"/>
        <v>0</v>
      </c>
      <c r="M155" s="441">
        <f>IF(L155&lt;O155,MinPoints,IF(AND(L155&gt;N155,O155&gt;0),100,+INT(($L155-O155)/P155)+MinPoints))</f>
        <v>10</v>
      </c>
      <c r="N155" s="440">
        <f t="shared" si="7"/>
        <v>4.9</v>
      </c>
      <c r="O155" s="440">
        <f t="shared" si="8"/>
        <v>2.2</v>
      </c>
      <c r="P155" s="440">
        <f t="shared" si="9"/>
        <v>0.03</v>
      </c>
      <c r="Q155">
        <f t="array" ref="Q155">IF(I155&gt;0,INDEX(DB,I155,9),EventIndex)</f>
        <v>6</v>
      </c>
      <c r="S155" s="447">
        <f t="array" ref="S155">INDEX(MINVALUES,$Q155,$K$1)</f>
        <v>2.2</v>
      </c>
      <c r="T155" s="448">
        <f t="array" ref="T155">INDEX(INCVALUES,$Q155,$K$1)</f>
        <v>0.03</v>
      </c>
      <c r="V155">
        <f t="array" ref="V155">+J155+(4*(INDEX(MatchScoreTable,$Q155,20)-1))</f>
        <v>4</v>
      </c>
      <c r="W155" s="442">
        <f t="array" ref="W155">INDEX(INC_MINVALUES,$V155,$K$1)</f>
        <v>0.2</v>
      </c>
      <c r="X155" s="212">
        <f t="array" ref="X155">INDEX(INC_INCVALUES,$V155,$K$1)</f>
        <v>0.02</v>
      </c>
    </row>
    <row r="156" ht="15.75" customHeight="1">
      <c r="A156" s="435"/>
      <c r="B156" s="436"/>
      <c r="C156" s="95" t="str">
        <f t="array" ref="C156">IF(I156&gt;0,INDEX(DB,I156,8),"")</f>
        <v/>
      </c>
      <c r="D156" s="437">
        <f t="shared" si="1"/>
        <v>0</v>
      </c>
      <c r="F156" s="438">
        <f t="shared" si="2"/>
        <v>0</v>
      </c>
      <c r="G156" t="str">
        <f t="shared" si="3"/>
        <v/>
      </c>
      <c r="H156" t="b">
        <f t="shared" si="4"/>
        <v>0</v>
      </c>
      <c r="I156" s="439">
        <f>IF(OR(ISBLANK(A156),ISNA(MATCH(A156&amp;"",AthleteNumbers,0))),0,MATCH(A156&amp;"",AthleteNumbers,0))</f>
        <v>0</v>
      </c>
      <c r="J156" s="209">
        <f t="array" ref="J156">IF(I156&gt;0,INDEX(DB,$I156,6),0)</f>
        <v>0</v>
      </c>
      <c r="K156" s="446">
        <f t="shared" si="5"/>
        <v>0</v>
      </c>
      <c r="L156" s="446">
        <f t="shared" si="6"/>
        <v>0</v>
      </c>
      <c r="M156" s="441">
        <f>IF(L156&lt;O156,MinPoints,IF(AND(L156&gt;N156,O156&gt;0),100,+INT(($L156-O156)/P156)+MinPoints))</f>
        <v>10</v>
      </c>
      <c r="N156" s="440">
        <f t="shared" si="7"/>
        <v>4.9</v>
      </c>
      <c r="O156" s="440">
        <f t="shared" si="8"/>
        <v>2.2</v>
      </c>
      <c r="P156" s="440">
        <f t="shared" si="9"/>
        <v>0.03</v>
      </c>
      <c r="Q156">
        <f t="array" ref="Q156">IF(I156&gt;0,INDEX(DB,I156,9),EventIndex)</f>
        <v>6</v>
      </c>
      <c r="S156" s="447">
        <f t="array" ref="S156">INDEX(MINVALUES,$Q156,$K$1)</f>
        <v>2.2</v>
      </c>
      <c r="T156" s="448">
        <f t="array" ref="T156">INDEX(INCVALUES,$Q156,$K$1)</f>
        <v>0.03</v>
      </c>
      <c r="V156">
        <f t="array" ref="V156">+J156+(4*(INDEX(MatchScoreTable,$Q156,20)-1))</f>
        <v>4</v>
      </c>
      <c r="W156" s="442">
        <f t="array" ref="W156">INDEX(INC_MINVALUES,$V156,$K$1)</f>
        <v>0.2</v>
      </c>
      <c r="X156" s="212">
        <f t="array" ref="X156">INDEX(INC_INCVALUES,$V156,$K$1)</f>
        <v>0.02</v>
      </c>
    </row>
    <row r="157" ht="15.75" customHeight="1">
      <c r="A157" s="435"/>
      <c r="B157" s="436"/>
      <c r="C157" s="95" t="str">
        <f t="array" ref="C157">IF(I157&gt;0,INDEX(DB,I157,8),"")</f>
        <v/>
      </c>
      <c r="D157" s="437">
        <f t="shared" si="1"/>
        <v>0</v>
      </c>
      <c r="F157" s="438">
        <f t="shared" si="2"/>
        <v>0</v>
      </c>
      <c r="G157" t="str">
        <f t="shared" si="3"/>
        <v/>
      </c>
      <c r="H157" t="b">
        <f t="shared" si="4"/>
        <v>0</v>
      </c>
      <c r="I157" s="439">
        <f>IF(OR(ISBLANK(A157),ISNA(MATCH(A157&amp;"",AthleteNumbers,0))),0,MATCH(A157&amp;"",AthleteNumbers,0))</f>
        <v>0</v>
      </c>
      <c r="J157" s="209">
        <f t="array" ref="J157">IF(I157&gt;0,INDEX(DB,$I157,6),0)</f>
        <v>0</v>
      </c>
      <c r="K157" s="446">
        <f t="shared" si="5"/>
        <v>0</v>
      </c>
      <c r="L157" s="446">
        <f t="shared" si="6"/>
        <v>0</v>
      </c>
      <c r="M157" s="441">
        <f>IF(L157&lt;O157,MinPoints,IF(AND(L157&gt;N157,O157&gt;0),100,+INT(($L157-O157)/P157)+MinPoints))</f>
        <v>10</v>
      </c>
      <c r="N157" s="440">
        <f t="shared" si="7"/>
        <v>4.9</v>
      </c>
      <c r="O157" s="440">
        <f t="shared" si="8"/>
        <v>2.2</v>
      </c>
      <c r="P157" s="440">
        <f t="shared" si="9"/>
        <v>0.03</v>
      </c>
      <c r="Q157">
        <f t="array" ref="Q157">IF(I157&gt;0,INDEX(DB,I157,9),EventIndex)</f>
        <v>6</v>
      </c>
      <c r="S157" s="447">
        <f t="array" ref="S157">INDEX(MINVALUES,$Q157,$K$1)</f>
        <v>2.2</v>
      </c>
      <c r="T157" s="448">
        <f t="array" ref="T157">INDEX(INCVALUES,$Q157,$K$1)</f>
        <v>0.03</v>
      </c>
      <c r="V157">
        <f t="array" ref="V157">+J157+(4*(INDEX(MatchScoreTable,$Q157,20)-1))</f>
        <v>4</v>
      </c>
      <c r="W157" s="442">
        <f t="array" ref="W157">INDEX(INC_MINVALUES,$V157,$K$1)</f>
        <v>0.2</v>
      </c>
      <c r="X157" s="212">
        <f t="array" ref="X157">INDEX(INC_INCVALUES,$V157,$K$1)</f>
        <v>0.02</v>
      </c>
    </row>
    <row r="158" ht="15.75" customHeight="1">
      <c r="A158" s="435"/>
      <c r="B158" s="436"/>
      <c r="C158" s="95" t="str">
        <f t="array" ref="C158">IF(I158&gt;0,INDEX(DB,I158,8),"")</f>
        <v/>
      </c>
      <c r="D158" s="437">
        <f t="shared" si="1"/>
        <v>0</v>
      </c>
      <c r="F158" s="438">
        <f t="shared" si="2"/>
        <v>0</v>
      </c>
      <c r="G158" t="str">
        <f t="shared" si="3"/>
        <v/>
      </c>
      <c r="H158" t="b">
        <f t="shared" si="4"/>
        <v>0</v>
      </c>
      <c r="I158" s="439">
        <f>IF(OR(ISBLANK(A158),ISNA(MATCH(A158&amp;"",AthleteNumbers,0))),0,MATCH(A158&amp;"",AthleteNumbers,0))</f>
        <v>0</v>
      </c>
      <c r="J158" s="209">
        <f t="array" ref="J158">IF(I158&gt;0,INDEX(DB,$I158,6),0)</f>
        <v>0</v>
      </c>
      <c r="K158" s="446">
        <f t="shared" si="5"/>
        <v>0</v>
      </c>
      <c r="L158" s="446">
        <f t="shared" si="6"/>
        <v>0</v>
      </c>
      <c r="M158" s="441">
        <f>IF(L158&lt;O158,MinPoints,IF(AND(L158&gt;N158,O158&gt;0),100,+INT(($L158-O158)/P158)+MinPoints))</f>
        <v>10</v>
      </c>
      <c r="N158" s="440">
        <f t="shared" si="7"/>
        <v>4.9</v>
      </c>
      <c r="O158" s="440">
        <f t="shared" si="8"/>
        <v>2.2</v>
      </c>
      <c r="P158" s="440">
        <f t="shared" si="9"/>
        <v>0.03</v>
      </c>
      <c r="Q158">
        <f t="array" ref="Q158">IF(I158&gt;0,INDEX(DB,I158,9),EventIndex)</f>
        <v>6</v>
      </c>
      <c r="S158" s="447">
        <f t="array" ref="S158">INDEX(MINVALUES,$Q158,$K$1)</f>
        <v>2.2</v>
      </c>
      <c r="T158" s="448">
        <f t="array" ref="T158">INDEX(INCVALUES,$Q158,$K$1)</f>
        <v>0.03</v>
      </c>
      <c r="V158">
        <f t="array" ref="V158">+J158+(4*(INDEX(MatchScoreTable,$Q158,20)-1))</f>
        <v>4</v>
      </c>
      <c r="W158" s="442">
        <f t="array" ref="W158">INDEX(INC_MINVALUES,$V158,$K$1)</f>
        <v>0.2</v>
      </c>
      <c r="X158" s="212">
        <f t="array" ref="X158">INDEX(INC_INCVALUES,$V158,$K$1)</f>
        <v>0.02</v>
      </c>
    </row>
    <row r="159" ht="15.75" customHeight="1">
      <c r="A159" s="435"/>
      <c r="B159" s="436"/>
      <c r="C159" s="95" t="str">
        <f t="array" ref="C159">IF(I159&gt;0,INDEX(DB,I159,8),"")</f>
        <v/>
      </c>
      <c r="D159" s="437">
        <f t="shared" si="1"/>
        <v>0</v>
      </c>
      <c r="F159" s="438">
        <f t="shared" si="2"/>
        <v>0</v>
      </c>
      <c r="G159" t="str">
        <f t="shared" si="3"/>
        <v/>
      </c>
      <c r="H159" t="b">
        <f t="shared" si="4"/>
        <v>0</v>
      </c>
      <c r="I159" s="439">
        <f>IF(OR(ISBLANK(A159),ISNA(MATCH(A159&amp;"",AthleteNumbers,0))),0,MATCH(A159&amp;"",AthleteNumbers,0))</f>
        <v>0</v>
      </c>
      <c r="J159" s="209">
        <f t="array" ref="J159">IF(I159&gt;0,INDEX(DB,$I159,6),0)</f>
        <v>0</v>
      </c>
      <c r="K159" s="446">
        <f t="shared" si="5"/>
        <v>0</v>
      </c>
      <c r="L159" s="446">
        <f t="shared" si="6"/>
        <v>0</v>
      </c>
      <c r="M159" s="441">
        <f>IF(L159&lt;O159,MinPoints,IF(AND(L159&gt;N159,O159&gt;0),100,+INT(($L159-O159)/P159)+MinPoints))</f>
        <v>10</v>
      </c>
      <c r="N159" s="440">
        <f t="shared" si="7"/>
        <v>4.9</v>
      </c>
      <c r="O159" s="440">
        <f t="shared" si="8"/>
        <v>2.2</v>
      </c>
      <c r="P159" s="440">
        <f t="shared" si="9"/>
        <v>0.03</v>
      </c>
      <c r="Q159">
        <f t="array" ref="Q159">IF(I159&gt;0,INDEX(DB,I159,9),EventIndex)</f>
        <v>6</v>
      </c>
      <c r="S159" s="447">
        <f t="array" ref="S159">INDEX(MINVALUES,$Q159,$K$1)</f>
        <v>2.2</v>
      </c>
      <c r="T159" s="448">
        <f t="array" ref="T159">INDEX(INCVALUES,$Q159,$K$1)</f>
        <v>0.03</v>
      </c>
      <c r="V159">
        <f t="array" ref="V159">+J159+(4*(INDEX(MatchScoreTable,$Q159,20)-1))</f>
        <v>4</v>
      </c>
      <c r="W159" s="442">
        <f t="array" ref="W159">INDEX(INC_MINVALUES,$V159,$K$1)</f>
        <v>0.2</v>
      </c>
      <c r="X159" s="212">
        <f t="array" ref="X159">INDEX(INC_INCVALUES,$V159,$K$1)</f>
        <v>0.02</v>
      </c>
    </row>
    <row r="160" ht="15.75" customHeight="1">
      <c r="A160" s="435"/>
      <c r="B160" s="436"/>
      <c r="C160" s="95" t="str">
        <f t="array" ref="C160">IF(I160&gt;0,INDEX(DB,I160,8),"")</f>
        <v/>
      </c>
      <c r="D160" s="437">
        <f t="shared" si="1"/>
        <v>0</v>
      </c>
      <c r="F160" s="438">
        <f t="shared" si="2"/>
        <v>0</v>
      </c>
      <c r="G160" t="str">
        <f t="shared" si="3"/>
        <v/>
      </c>
      <c r="H160" t="b">
        <f t="shared" si="4"/>
        <v>0</v>
      </c>
      <c r="I160" s="439">
        <f>IF(OR(ISBLANK(A160),ISNA(MATCH(A160&amp;"",AthleteNumbers,0))),0,MATCH(A160&amp;"",AthleteNumbers,0))</f>
        <v>0</v>
      </c>
      <c r="J160" s="209">
        <f t="array" ref="J160">IF(I160&gt;0,INDEX(DB,$I160,6),0)</f>
        <v>0</v>
      </c>
      <c r="K160" s="446">
        <f t="shared" si="5"/>
        <v>0</v>
      </c>
      <c r="L160" s="446">
        <f t="shared" si="6"/>
        <v>0</v>
      </c>
      <c r="M160" s="441">
        <f>IF(L160&lt;O160,MinPoints,IF(AND(L160&gt;N160,O160&gt;0),100,+INT(($L160-O160)/P160)+MinPoints))</f>
        <v>10</v>
      </c>
      <c r="N160" s="440">
        <f t="shared" si="7"/>
        <v>4.9</v>
      </c>
      <c r="O160" s="440">
        <f t="shared" si="8"/>
        <v>2.2</v>
      </c>
      <c r="P160" s="440">
        <f t="shared" si="9"/>
        <v>0.03</v>
      </c>
      <c r="Q160">
        <f t="array" ref="Q160">IF(I160&gt;0,INDEX(DB,I160,9),EventIndex)</f>
        <v>6</v>
      </c>
      <c r="S160" s="447">
        <f t="array" ref="S160">INDEX(MINVALUES,$Q160,$K$1)</f>
        <v>2.2</v>
      </c>
      <c r="T160" s="448">
        <f t="array" ref="T160">INDEX(INCVALUES,$Q160,$K$1)</f>
        <v>0.03</v>
      </c>
      <c r="V160">
        <f t="array" ref="V160">+J160+(4*(INDEX(MatchScoreTable,$Q160,20)-1))</f>
        <v>4</v>
      </c>
      <c r="W160" s="442">
        <f t="array" ref="W160">INDEX(INC_MINVALUES,$V160,$K$1)</f>
        <v>0.2</v>
      </c>
      <c r="X160" s="212">
        <f t="array" ref="X160">INDEX(INC_INCVALUES,$V160,$K$1)</f>
        <v>0.02</v>
      </c>
    </row>
    <row r="161" ht="15.75" customHeight="1">
      <c r="A161" s="435"/>
      <c r="B161" s="436"/>
      <c r="C161" s="95" t="str">
        <f t="array" ref="C161">IF(I161&gt;0,INDEX(DB,I161,8),"")</f>
        <v/>
      </c>
      <c r="D161" s="437">
        <f t="shared" si="1"/>
        <v>0</v>
      </c>
      <c r="F161" s="438">
        <f t="shared" si="2"/>
        <v>0</v>
      </c>
      <c r="G161" t="str">
        <f t="shared" si="3"/>
        <v/>
      </c>
      <c r="H161" t="b">
        <f t="shared" si="4"/>
        <v>0</v>
      </c>
      <c r="I161" s="439">
        <f>IF(OR(ISBLANK(A161),ISNA(MATCH(A161&amp;"",AthleteNumbers,0))),0,MATCH(A161&amp;"",AthleteNumbers,0))</f>
        <v>0</v>
      </c>
      <c r="J161" s="209">
        <f t="array" ref="J161">IF(I161&gt;0,INDEX(DB,$I161,6),0)</f>
        <v>0</v>
      </c>
      <c r="K161" s="446">
        <f t="shared" si="5"/>
        <v>0</v>
      </c>
      <c r="L161" s="446">
        <f t="shared" si="6"/>
        <v>0</v>
      </c>
      <c r="M161" s="441">
        <f>IF(L161&lt;O161,MinPoints,IF(AND(L161&gt;N161,O161&gt;0),100,+INT(($L161-O161)/P161)+MinPoints))</f>
        <v>10</v>
      </c>
      <c r="N161" s="440">
        <f t="shared" si="7"/>
        <v>4.9</v>
      </c>
      <c r="O161" s="440">
        <f t="shared" si="8"/>
        <v>2.2</v>
      </c>
      <c r="P161" s="440">
        <f t="shared" si="9"/>
        <v>0.03</v>
      </c>
      <c r="Q161">
        <f t="array" ref="Q161">IF(I161&gt;0,INDEX(DB,I161,9),EventIndex)</f>
        <v>6</v>
      </c>
      <c r="S161" s="447">
        <f t="array" ref="S161">INDEX(MINVALUES,$Q161,$K$1)</f>
        <v>2.2</v>
      </c>
      <c r="T161" s="448">
        <f t="array" ref="T161">INDEX(INCVALUES,$Q161,$K$1)</f>
        <v>0.03</v>
      </c>
      <c r="V161">
        <f t="array" ref="V161">+J161+(4*(INDEX(MatchScoreTable,$Q161,20)-1))</f>
        <v>4</v>
      </c>
      <c r="W161" s="442">
        <f t="array" ref="W161">INDEX(INC_MINVALUES,$V161,$K$1)</f>
        <v>0.2</v>
      </c>
      <c r="X161" s="212">
        <f t="array" ref="X161">INDEX(INC_INCVALUES,$V161,$K$1)</f>
        <v>0.02</v>
      </c>
    </row>
    <row r="162" ht="15.75" customHeight="1">
      <c r="A162" s="435"/>
      <c r="B162" s="436"/>
      <c r="C162" s="95" t="str">
        <f t="array" ref="C162">IF(I162&gt;0,INDEX(DB,I162,8),"")</f>
        <v/>
      </c>
      <c r="D162" s="437">
        <f t="shared" si="1"/>
        <v>0</v>
      </c>
      <c r="F162" s="438">
        <f t="shared" si="2"/>
        <v>0</v>
      </c>
      <c r="G162" t="str">
        <f t="shared" si="3"/>
        <v/>
      </c>
      <c r="H162" t="b">
        <f t="shared" si="4"/>
        <v>0</v>
      </c>
      <c r="I162" s="439">
        <f>IF(OR(ISBLANK(A162),ISNA(MATCH(A162&amp;"",AthleteNumbers,0))),0,MATCH(A162&amp;"",AthleteNumbers,0))</f>
        <v>0</v>
      </c>
      <c r="J162" s="209">
        <f t="array" ref="J162">IF(I162&gt;0,INDEX(DB,$I162,6),0)</f>
        <v>0</v>
      </c>
      <c r="K162" s="446">
        <f t="shared" si="5"/>
        <v>0</v>
      </c>
      <c r="L162" s="446">
        <f t="shared" si="6"/>
        <v>0</v>
      </c>
      <c r="M162" s="441">
        <f>IF(L162&lt;O162,MinPoints,IF(AND(L162&gt;N162,O162&gt;0),100,+INT(($L162-O162)/P162)+MinPoints))</f>
        <v>10</v>
      </c>
      <c r="N162" s="440">
        <f t="shared" si="7"/>
        <v>4.9</v>
      </c>
      <c r="O162" s="440">
        <f t="shared" si="8"/>
        <v>2.2</v>
      </c>
      <c r="P162" s="440">
        <f t="shared" si="9"/>
        <v>0.03</v>
      </c>
      <c r="Q162">
        <f t="array" ref="Q162">IF(I162&gt;0,INDEX(DB,I162,9),EventIndex)</f>
        <v>6</v>
      </c>
      <c r="S162" s="447">
        <f t="array" ref="S162">INDEX(MINVALUES,$Q162,$K$1)</f>
        <v>2.2</v>
      </c>
      <c r="T162" s="448">
        <f t="array" ref="T162">INDEX(INCVALUES,$Q162,$K$1)</f>
        <v>0.03</v>
      </c>
      <c r="V162">
        <f t="array" ref="V162">+J162+(4*(INDEX(MatchScoreTable,$Q162,20)-1))</f>
        <v>4</v>
      </c>
      <c r="W162" s="442">
        <f t="array" ref="W162">INDEX(INC_MINVALUES,$V162,$K$1)</f>
        <v>0.2</v>
      </c>
      <c r="X162" s="212">
        <f t="array" ref="X162">INDEX(INC_INCVALUES,$V162,$K$1)</f>
        <v>0.02</v>
      </c>
    </row>
    <row r="163" ht="15.75" customHeight="1">
      <c r="A163" s="435"/>
      <c r="B163" s="436"/>
      <c r="C163" s="95" t="str">
        <f t="array" ref="C163">IF(I163&gt;0,INDEX(DB,I163,8),"")</f>
        <v/>
      </c>
      <c r="D163" s="437">
        <f t="shared" si="1"/>
        <v>0</v>
      </c>
      <c r="F163" s="438">
        <f t="shared" si="2"/>
        <v>0</v>
      </c>
      <c r="G163" t="str">
        <f t="shared" si="3"/>
        <v/>
      </c>
      <c r="H163" t="b">
        <f t="shared" si="4"/>
        <v>0</v>
      </c>
      <c r="I163" s="439">
        <f>IF(OR(ISBLANK(A163),ISNA(MATCH(A163&amp;"",AthleteNumbers,0))),0,MATCH(A163&amp;"",AthleteNumbers,0))</f>
        <v>0</v>
      </c>
      <c r="J163" s="209">
        <f t="array" ref="J163">IF(I163&gt;0,INDEX(DB,$I163,6),0)</f>
        <v>0</v>
      </c>
      <c r="K163" s="446">
        <f t="shared" si="5"/>
        <v>0</v>
      </c>
      <c r="L163" s="446">
        <f t="shared" si="6"/>
        <v>0</v>
      </c>
      <c r="M163" s="441">
        <f>IF(L163&lt;O163,MinPoints,IF(AND(L163&gt;N163,O163&gt;0),100,+INT(($L163-O163)/P163)+MinPoints))</f>
        <v>10</v>
      </c>
      <c r="N163" s="440">
        <f t="shared" si="7"/>
        <v>4.9</v>
      </c>
      <c r="O163" s="440">
        <f t="shared" si="8"/>
        <v>2.2</v>
      </c>
      <c r="P163" s="440">
        <f t="shared" si="9"/>
        <v>0.03</v>
      </c>
      <c r="Q163">
        <f t="array" ref="Q163">IF(I163&gt;0,INDEX(DB,I163,9),EventIndex)</f>
        <v>6</v>
      </c>
      <c r="S163" s="447">
        <f t="array" ref="S163">INDEX(MINVALUES,$Q163,$K$1)</f>
        <v>2.2</v>
      </c>
      <c r="T163" s="448">
        <f t="array" ref="T163">INDEX(INCVALUES,$Q163,$K$1)</f>
        <v>0.03</v>
      </c>
      <c r="V163">
        <f t="array" ref="V163">+J163+(4*(INDEX(MatchScoreTable,$Q163,20)-1))</f>
        <v>4</v>
      </c>
      <c r="W163" s="442">
        <f t="array" ref="W163">INDEX(INC_MINVALUES,$V163,$K$1)</f>
        <v>0.2</v>
      </c>
      <c r="X163" s="212">
        <f t="array" ref="X163">INDEX(INC_INCVALUES,$V163,$K$1)</f>
        <v>0.02</v>
      </c>
    </row>
    <row r="164" ht="15.75" customHeight="1">
      <c r="A164" s="435"/>
      <c r="B164" s="436"/>
      <c r="C164" s="95" t="str">
        <f t="array" ref="C164">IF(I164&gt;0,INDEX(DB,I164,8),"")</f>
        <v/>
      </c>
      <c r="D164" s="437">
        <f t="shared" si="1"/>
        <v>0</v>
      </c>
      <c r="F164" s="438">
        <f t="shared" si="2"/>
        <v>0</v>
      </c>
      <c r="G164" t="str">
        <f t="shared" si="3"/>
        <v/>
      </c>
      <c r="H164" t="b">
        <f t="shared" si="4"/>
        <v>0</v>
      </c>
      <c r="I164" s="439">
        <f>IF(OR(ISBLANK(A164),ISNA(MATCH(A164&amp;"",AthleteNumbers,0))),0,MATCH(A164&amp;"",AthleteNumbers,0))</f>
        <v>0</v>
      </c>
      <c r="J164" s="209">
        <f t="array" ref="J164">IF(I164&gt;0,INDEX(DB,$I164,6),0)</f>
        <v>0</v>
      </c>
      <c r="K164" s="446">
        <f t="shared" si="5"/>
        <v>0</v>
      </c>
      <c r="L164" s="446">
        <f t="shared" si="6"/>
        <v>0</v>
      </c>
      <c r="M164" s="441">
        <f>IF(L164&lt;O164,MinPoints,IF(AND(L164&gt;N164,O164&gt;0),100,+INT(($L164-O164)/P164)+MinPoints))</f>
        <v>10</v>
      </c>
      <c r="N164" s="440">
        <f t="shared" si="7"/>
        <v>4.9</v>
      </c>
      <c r="O164" s="440">
        <f t="shared" si="8"/>
        <v>2.2</v>
      </c>
      <c r="P164" s="440">
        <f t="shared" si="9"/>
        <v>0.03</v>
      </c>
      <c r="Q164">
        <f t="array" ref="Q164">IF(I164&gt;0,INDEX(DB,I164,9),EventIndex)</f>
        <v>6</v>
      </c>
      <c r="S164" s="447">
        <f t="array" ref="S164">INDEX(MINVALUES,$Q164,$K$1)</f>
        <v>2.2</v>
      </c>
      <c r="T164" s="448">
        <f t="array" ref="T164">INDEX(INCVALUES,$Q164,$K$1)</f>
        <v>0.03</v>
      </c>
      <c r="V164">
        <f t="array" ref="V164">+J164+(4*(INDEX(MatchScoreTable,$Q164,20)-1))</f>
        <v>4</v>
      </c>
      <c r="W164" s="442">
        <f t="array" ref="W164">INDEX(INC_MINVALUES,$V164,$K$1)</f>
        <v>0.2</v>
      </c>
      <c r="X164" s="212">
        <f t="array" ref="X164">INDEX(INC_INCVALUES,$V164,$K$1)</f>
        <v>0.02</v>
      </c>
    </row>
    <row r="165" ht="15.75" customHeight="1">
      <c r="A165" s="435"/>
      <c r="B165" s="436"/>
      <c r="C165" s="95" t="str">
        <f t="array" ref="C165">IF(I165&gt;0,INDEX(DB,I165,8),"")</f>
        <v/>
      </c>
      <c r="D165" s="437">
        <f t="shared" si="1"/>
        <v>0</v>
      </c>
      <c r="F165" s="438">
        <f t="shared" si="2"/>
        <v>0</v>
      </c>
      <c r="G165" t="str">
        <f t="shared" si="3"/>
        <v/>
      </c>
      <c r="H165" t="b">
        <f t="shared" si="4"/>
        <v>0</v>
      </c>
      <c r="I165" s="439">
        <f>IF(OR(ISBLANK(A165),ISNA(MATCH(A165&amp;"",AthleteNumbers,0))),0,MATCH(A165&amp;"",AthleteNumbers,0))</f>
        <v>0</v>
      </c>
      <c r="J165" s="209">
        <f t="array" ref="J165">IF(I165&gt;0,INDEX(DB,$I165,6),0)</f>
        <v>0</v>
      </c>
      <c r="K165" s="446">
        <f t="shared" si="5"/>
        <v>0</v>
      </c>
      <c r="L165" s="446">
        <f t="shared" si="6"/>
        <v>0</v>
      </c>
      <c r="M165" s="441">
        <f>IF(L165&lt;O165,MinPoints,IF(AND(L165&gt;N165,O165&gt;0),100,+INT(($L165-O165)/P165)+MinPoints))</f>
        <v>10</v>
      </c>
      <c r="N165" s="440">
        <f t="shared" si="7"/>
        <v>4.9</v>
      </c>
      <c r="O165" s="440">
        <f t="shared" si="8"/>
        <v>2.2</v>
      </c>
      <c r="P165" s="440">
        <f t="shared" si="9"/>
        <v>0.03</v>
      </c>
      <c r="Q165">
        <f t="array" ref="Q165">IF(I165&gt;0,INDEX(DB,I165,9),EventIndex)</f>
        <v>6</v>
      </c>
      <c r="S165" s="447">
        <f t="array" ref="S165">INDEX(MINVALUES,$Q165,$K$1)</f>
        <v>2.2</v>
      </c>
      <c r="T165" s="448">
        <f t="array" ref="T165">INDEX(INCVALUES,$Q165,$K$1)</f>
        <v>0.03</v>
      </c>
      <c r="V165">
        <f t="array" ref="V165">+J165+(4*(INDEX(MatchScoreTable,$Q165,20)-1))</f>
        <v>4</v>
      </c>
      <c r="W165" s="442">
        <f t="array" ref="W165">INDEX(INC_MINVALUES,$V165,$K$1)</f>
        <v>0.2</v>
      </c>
      <c r="X165" s="212">
        <f t="array" ref="X165">INDEX(INC_INCVALUES,$V165,$K$1)</f>
        <v>0.02</v>
      </c>
    </row>
    <row r="166" ht="15.75" customHeight="1">
      <c r="A166" s="435"/>
      <c r="B166" s="436"/>
      <c r="C166" s="95" t="str">
        <f t="array" ref="C166">IF(I166&gt;0,INDEX(DB,I166,8),"")</f>
        <v/>
      </c>
      <c r="D166" s="437">
        <f t="shared" si="1"/>
        <v>0</v>
      </c>
      <c r="F166" s="438">
        <f t="shared" si="2"/>
        <v>0</v>
      </c>
      <c r="G166" t="str">
        <f t="shared" si="3"/>
        <v/>
      </c>
      <c r="H166" t="b">
        <f t="shared" si="4"/>
        <v>0</v>
      </c>
      <c r="I166" s="439">
        <f>IF(OR(ISBLANK(A166),ISNA(MATCH(A166&amp;"",AthleteNumbers,0))),0,MATCH(A166&amp;"",AthleteNumbers,0))</f>
        <v>0</v>
      </c>
      <c r="J166" s="209">
        <f t="array" ref="J166">IF(I166&gt;0,INDEX(DB,$I166,6),0)</f>
        <v>0</v>
      </c>
      <c r="K166" s="446">
        <f t="shared" si="5"/>
        <v>0</v>
      </c>
      <c r="L166" s="446">
        <f t="shared" si="6"/>
        <v>0</v>
      </c>
      <c r="M166" s="441">
        <f>IF(L166&lt;O166,MinPoints,IF(AND(L166&gt;N166,O166&gt;0),100,+INT(($L166-O166)/P166)+MinPoints))</f>
        <v>10</v>
      </c>
      <c r="N166" s="440">
        <f t="shared" si="7"/>
        <v>4.9</v>
      </c>
      <c r="O166" s="440">
        <f t="shared" si="8"/>
        <v>2.2</v>
      </c>
      <c r="P166" s="440">
        <f t="shared" si="9"/>
        <v>0.03</v>
      </c>
      <c r="Q166">
        <f t="array" ref="Q166">IF(I166&gt;0,INDEX(DB,I166,9),EventIndex)</f>
        <v>6</v>
      </c>
      <c r="S166" s="447">
        <f t="array" ref="S166">INDEX(MINVALUES,$Q166,$K$1)</f>
        <v>2.2</v>
      </c>
      <c r="T166" s="448">
        <f t="array" ref="T166">INDEX(INCVALUES,$Q166,$K$1)</f>
        <v>0.03</v>
      </c>
      <c r="V166">
        <f t="array" ref="V166">+J166+(4*(INDEX(MatchScoreTable,$Q166,20)-1))</f>
        <v>4</v>
      </c>
      <c r="W166" s="442">
        <f t="array" ref="W166">INDEX(INC_MINVALUES,$V166,$K$1)</f>
        <v>0.2</v>
      </c>
      <c r="X166" s="212">
        <f t="array" ref="X166">INDEX(INC_INCVALUES,$V166,$K$1)</f>
        <v>0.02</v>
      </c>
    </row>
    <row r="167" ht="15.75" customHeight="1">
      <c r="A167" s="435"/>
      <c r="B167" s="436"/>
      <c r="C167" s="95" t="str">
        <f t="array" ref="C167">IF(I167&gt;0,INDEX(DB,I167,8),"")</f>
        <v/>
      </c>
      <c r="D167" s="437">
        <f t="shared" si="1"/>
        <v>0</v>
      </c>
      <c r="F167" s="438">
        <f t="shared" si="2"/>
        <v>0</v>
      </c>
      <c r="G167" t="str">
        <f t="shared" si="3"/>
        <v/>
      </c>
      <c r="H167" t="b">
        <f t="shared" si="4"/>
        <v>0</v>
      </c>
      <c r="I167" s="439">
        <f>IF(OR(ISBLANK(A167),ISNA(MATCH(A167&amp;"",AthleteNumbers,0))),0,MATCH(A167&amp;"",AthleteNumbers,0))</f>
        <v>0</v>
      </c>
      <c r="J167" s="209">
        <f t="array" ref="J167">IF(I167&gt;0,INDEX(DB,$I167,6),0)</f>
        <v>0</v>
      </c>
      <c r="K167" s="446">
        <f t="shared" si="5"/>
        <v>0</v>
      </c>
      <c r="L167" s="446">
        <f t="shared" si="6"/>
        <v>0</v>
      </c>
      <c r="M167" s="441">
        <f>IF(L167&lt;O167,MinPoints,IF(AND(L167&gt;N167,O167&gt;0),100,+INT(($L167-O167)/P167)+MinPoints))</f>
        <v>10</v>
      </c>
      <c r="N167" s="440">
        <f t="shared" si="7"/>
        <v>4.9</v>
      </c>
      <c r="O167" s="440">
        <f t="shared" si="8"/>
        <v>2.2</v>
      </c>
      <c r="P167" s="440">
        <f t="shared" si="9"/>
        <v>0.03</v>
      </c>
      <c r="Q167">
        <f t="array" ref="Q167">IF(I167&gt;0,INDEX(DB,I167,9),EventIndex)</f>
        <v>6</v>
      </c>
      <c r="S167" s="447">
        <f t="array" ref="S167">INDEX(MINVALUES,$Q167,$K$1)</f>
        <v>2.2</v>
      </c>
      <c r="T167" s="448">
        <f t="array" ref="T167">INDEX(INCVALUES,$Q167,$K$1)</f>
        <v>0.03</v>
      </c>
      <c r="V167">
        <f t="array" ref="V167">+J167+(4*(INDEX(MatchScoreTable,$Q167,20)-1))</f>
        <v>4</v>
      </c>
      <c r="W167" s="442">
        <f t="array" ref="W167">INDEX(INC_MINVALUES,$V167,$K$1)</f>
        <v>0.2</v>
      </c>
      <c r="X167" s="212">
        <f t="array" ref="X167">INDEX(INC_INCVALUES,$V167,$K$1)</f>
        <v>0.02</v>
      </c>
    </row>
    <row r="168" ht="15.75" customHeight="1">
      <c r="A168" s="435"/>
      <c r="B168" s="436"/>
      <c r="C168" s="95" t="str">
        <f t="array" ref="C168">IF(I168&gt;0,INDEX(DB,I168,8),"")</f>
        <v/>
      </c>
      <c r="D168" s="437">
        <f t="shared" si="1"/>
        <v>0</v>
      </c>
      <c r="F168" s="438">
        <f t="shared" si="2"/>
        <v>0</v>
      </c>
      <c r="G168" t="str">
        <f t="shared" si="3"/>
        <v/>
      </c>
      <c r="H168" t="b">
        <f t="shared" si="4"/>
        <v>0</v>
      </c>
      <c r="I168" s="439">
        <f>IF(OR(ISBLANK(A168),ISNA(MATCH(A168&amp;"",AthleteNumbers,0))),0,MATCH(A168&amp;"",AthleteNumbers,0))</f>
        <v>0</v>
      </c>
      <c r="J168" s="209">
        <f t="array" ref="J168">IF(I168&gt;0,INDEX(DB,$I168,6),0)</f>
        <v>0</v>
      </c>
      <c r="K168" s="446">
        <f t="shared" si="5"/>
        <v>0</v>
      </c>
      <c r="L168" s="446">
        <f t="shared" si="6"/>
        <v>0</v>
      </c>
      <c r="M168" s="441">
        <f>IF(L168&lt;O168,MinPoints,IF(AND(L168&gt;N168,O168&gt;0),100,+INT(($L168-O168)/P168)+MinPoints))</f>
        <v>10</v>
      </c>
      <c r="N168" s="440">
        <f t="shared" si="7"/>
        <v>4.9</v>
      </c>
      <c r="O168" s="440">
        <f t="shared" si="8"/>
        <v>2.2</v>
      </c>
      <c r="P168" s="440">
        <f t="shared" si="9"/>
        <v>0.03</v>
      </c>
      <c r="Q168">
        <f t="array" ref="Q168">IF(I168&gt;0,INDEX(DB,I168,9),EventIndex)</f>
        <v>6</v>
      </c>
      <c r="S168" s="447">
        <f t="array" ref="S168">INDEX(MINVALUES,$Q168,$K$1)</f>
        <v>2.2</v>
      </c>
      <c r="T168" s="448">
        <f t="array" ref="T168">INDEX(INCVALUES,$Q168,$K$1)</f>
        <v>0.03</v>
      </c>
      <c r="V168">
        <f t="array" ref="V168">+J168+(4*(INDEX(MatchScoreTable,$Q168,20)-1))</f>
        <v>4</v>
      </c>
      <c r="W168" s="442">
        <f t="array" ref="W168">INDEX(INC_MINVALUES,$V168,$K$1)</f>
        <v>0.2</v>
      </c>
      <c r="X168" s="212">
        <f t="array" ref="X168">INDEX(INC_INCVALUES,$V168,$K$1)</f>
        <v>0.02</v>
      </c>
    </row>
    <row r="169" ht="15.75" customHeight="1">
      <c r="A169" s="435"/>
      <c r="B169" s="436"/>
      <c r="C169" s="95" t="str">
        <f t="array" ref="C169">IF(I169&gt;0,INDEX(DB,I169,8),"")</f>
        <v/>
      </c>
      <c r="D169" s="437">
        <f t="shared" si="1"/>
        <v>0</v>
      </c>
      <c r="F169" s="438">
        <f t="shared" si="2"/>
        <v>0</v>
      </c>
      <c r="G169" t="str">
        <f t="shared" si="3"/>
        <v/>
      </c>
      <c r="H169" t="b">
        <f t="shared" si="4"/>
        <v>0</v>
      </c>
      <c r="I169" s="439">
        <f>IF(OR(ISBLANK(A169),ISNA(MATCH(A169&amp;"",AthleteNumbers,0))),0,MATCH(A169&amp;"",AthleteNumbers,0))</f>
        <v>0</v>
      </c>
      <c r="J169" s="209">
        <f t="array" ref="J169">IF(I169&gt;0,INDEX(DB,$I169,6),0)</f>
        <v>0</v>
      </c>
      <c r="K169" s="446">
        <f t="shared" si="5"/>
        <v>0</v>
      </c>
      <c r="L169" s="446">
        <f t="shared" si="6"/>
        <v>0</v>
      </c>
      <c r="M169" s="441">
        <f>IF(L169&lt;O169,MinPoints,IF(AND(L169&gt;N169,O169&gt;0),100,+INT(($L169-O169)/P169)+MinPoints))</f>
        <v>10</v>
      </c>
      <c r="N169" s="440">
        <f t="shared" si="7"/>
        <v>4.9</v>
      </c>
      <c r="O169" s="440">
        <f t="shared" si="8"/>
        <v>2.2</v>
      </c>
      <c r="P169" s="440">
        <f t="shared" si="9"/>
        <v>0.03</v>
      </c>
      <c r="Q169">
        <f t="array" ref="Q169">IF(I169&gt;0,INDEX(DB,I169,9),EventIndex)</f>
        <v>6</v>
      </c>
      <c r="S169" s="447">
        <f t="array" ref="S169">INDEX(MINVALUES,$Q169,$K$1)</f>
        <v>2.2</v>
      </c>
      <c r="T169" s="448">
        <f t="array" ref="T169">INDEX(INCVALUES,$Q169,$K$1)</f>
        <v>0.03</v>
      </c>
      <c r="V169">
        <f t="array" ref="V169">+J169+(4*(INDEX(MatchScoreTable,$Q169,20)-1))</f>
        <v>4</v>
      </c>
      <c r="W169" s="442">
        <f t="array" ref="W169">INDEX(INC_MINVALUES,$V169,$K$1)</f>
        <v>0.2</v>
      </c>
      <c r="X169" s="212">
        <f t="array" ref="X169">INDEX(INC_INCVALUES,$V169,$K$1)</f>
        <v>0.02</v>
      </c>
    </row>
    <row r="170" ht="15.75" customHeight="1">
      <c r="A170" s="435"/>
      <c r="B170" s="436"/>
      <c r="C170" s="95" t="str">
        <f t="array" ref="C170">IF(I170&gt;0,INDEX(DB,I170,8),"")</f>
        <v/>
      </c>
      <c r="D170" s="437">
        <f t="shared" si="1"/>
        <v>0</v>
      </c>
      <c r="F170" s="438">
        <f t="shared" si="2"/>
        <v>0</v>
      </c>
      <c r="G170" t="str">
        <f t="shared" si="3"/>
        <v/>
      </c>
      <c r="H170" t="b">
        <f t="shared" si="4"/>
        <v>0</v>
      </c>
      <c r="I170" s="439">
        <f>IF(OR(ISBLANK(A170),ISNA(MATCH(A170&amp;"",AthleteNumbers,0))),0,MATCH(A170&amp;"",AthleteNumbers,0))</f>
        <v>0</v>
      </c>
      <c r="J170" s="209">
        <f t="array" ref="J170">IF(I170&gt;0,INDEX(DB,$I170,6),0)</f>
        <v>0</v>
      </c>
      <c r="K170" s="446">
        <f t="shared" si="5"/>
        <v>0</v>
      </c>
      <c r="L170" s="446">
        <f t="shared" si="6"/>
        <v>0</v>
      </c>
      <c r="M170" s="441">
        <f>IF(L170&lt;O170,MinPoints,IF(AND(L170&gt;N170,O170&gt;0),100,+INT(($L170-O170)/P170)+MinPoints))</f>
        <v>10</v>
      </c>
      <c r="N170" s="440">
        <f t="shared" si="7"/>
        <v>4.9</v>
      </c>
      <c r="O170" s="440">
        <f t="shared" si="8"/>
        <v>2.2</v>
      </c>
      <c r="P170" s="440">
        <f t="shared" si="9"/>
        <v>0.03</v>
      </c>
      <c r="Q170">
        <f t="array" ref="Q170">IF(I170&gt;0,INDEX(DB,I170,9),EventIndex)</f>
        <v>6</v>
      </c>
      <c r="S170" s="447">
        <f t="array" ref="S170">INDEX(MINVALUES,$Q170,$K$1)</f>
        <v>2.2</v>
      </c>
      <c r="T170" s="448">
        <f t="array" ref="T170">INDEX(INCVALUES,$Q170,$K$1)</f>
        <v>0.03</v>
      </c>
      <c r="V170">
        <f t="array" ref="V170">+J170+(4*(INDEX(MatchScoreTable,$Q170,20)-1))</f>
        <v>4</v>
      </c>
      <c r="W170" s="442">
        <f t="array" ref="W170">INDEX(INC_MINVALUES,$V170,$K$1)</f>
        <v>0.2</v>
      </c>
      <c r="X170" s="212">
        <f t="array" ref="X170">INDEX(INC_INCVALUES,$V170,$K$1)</f>
        <v>0.02</v>
      </c>
    </row>
    <row r="171" ht="15.75" customHeight="1">
      <c r="A171" s="435"/>
      <c r="B171" s="436"/>
      <c r="C171" s="95" t="str">
        <f t="array" ref="C171">IF(I171&gt;0,INDEX(DB,I171,8),"")</f>
        <v/>
      </c>
      <c r="D171" s="437">
        <f t="shared" si="1"/>
        <v>0</v>
      </c>
      <c r="F171" s="438">
        <f t="shared" si="2"/>
        <v>0</v>
      </c>
      <c r="G171" t="str">
        <f t="shared" si="3"/>
        <v/>
      </c>
      <c r="H171" t="b">
        <f t="shared" si="4"/>
        <v>0</v>
      </c>
      <c r="I171" s="439">
        <f>IF(OR(ISBLANK(A171),ISNA(MATCH(A171&amp;"",AthleteNumbers,0))),0,MATCH(A171&amp;"",AthleteNumbers,0))</f>
        <v>0</v>
      </c>
      <c r="J171" s="209">
        <f t="array" ref="J171">IF(I171&gt;0,INDEX(DB,$I171,6),0)</f>
        <v>0</v>
      </c>
      <c r="K171" s="446">
        <f t="shared" si="5"/>
        <v>0</v>
      </c>
      <c r="L171" s="446">
        <f t="shared" si="6"/>
        <v>0</v>
      </c>
      <c r="M171" s="441">
        <f>IF(L171&lt;O171,MinPoints,IF(AND(L171&gt;N171,O171&gt;0),100,+INT(($L171-O171)/P171)+MinPoints))</f>
        <v>10</v>
      </c>
      <c r="N171" s="440">
        <f t="shared" si="7"/>
        <v>4.9</v>
      </c>
      <c r="O171" s="440">
        <f t="shared" si="8"/>
        <v>2.2</v>
      </c>
      <c r="P171" s="440">
        <f t="shared" si="9"/>
        <v>0.03</v>
      </c>
      <c r="Q171">
        <f t="array" ref="Q171">IF(I171&gt;0,INDEX(DB,I171,9),EventIndex)</f>
        <v>6</v>
      </c>
      <c r="S171" s="447">
        <f t="array" ref="S171">INDEX(MINVALUES,$Q171,$K$1)</f>
        <v>2.2</v>
      </c>
      <c r="T171" s="448">
        <f t="array" ref="T171">INDEX(INCVALUES,$Q171,$K$1)</f>
        <v>0.03</v>
      </c>
      <c r="V171">
        <f t="array" ref="V171">+J171+(4*(INDEX(MatchScoreTable,$Q171,20)-1))</f>
        <v>4</v>
      </c>
      <c r="W171" s="442">
        <f t="array" ref="W171">INDEX(INC_MINVALUES,$V171,$K$1)</f>
        <v>0.2</v>
      </c>
      <c r="X171" s="212">
        <f t="array" ref="X171">INDEX(INC_INCVALUES,$V171,$K$1)</f>
        <v>0.02</v>
      </c>
    </row>
    <row r="172" ht="15.75" customHeight="1">
      <c r="A172" s="435"/>
      <c r="B172" s="436"/>
      <c r="C172" s="95" t="str">
        <f t="array" ref="C172">IF(I172&gt;0,INDEX(DB,I172,8),"")</f>
        <v/>
      </c>
      <c r="D172" s="437">
        <f t="shared" si="1"/>
        <v>0</v>
      </c>
      <c r="F172" s="438">
        <f t="shared" si="2"/>
        <v>0</v>
      </c>
      <c r="G172" t="str">
        <f t="shared" si="3"/>
        <v/>
      </c>
      <c r="H172" t="b">
        <f t="shared" si="4"/>
        <v>0</v>
      </c>
      <c r="I172" s="439">
        <f>IF(OR(ISBLANK(A172),ISNA(MATCH(A172&amp;"",AthleteNumbers,0))),0,MATCH(A172&amp;"",AthleteNumbers,0))</f>
        <v>0</v>
      </c>
      <c r="J172" s="209">
        <f t="array" ref="J172">IF(I172&gt;0,INDEX(DB,$I172,6),0)</f>
        <v>0</v>
      </c>
      <c r="K172" s="446">
        <f t="shared" si="5"/>
        <v>0</v>
      </c>
      <c r="L172" s="446">
        <f t="shared" si="6"/>
        <v>0</v>
      </c>
      <c r="M172" s="441">
        <f>IF(L172&lt;O172,MinPoints,IF(AND(L172&gt;N172,O172&gt;0),100,+INT(($L172-O172)/P172)+MinPoints))</f>
        <v>10</v>
      </c>
      <c r="N172" s="440">
        <f t="shared" si="7"/>
        <v>4.9</v>
      </c>
      <c r="O172" s="440">
        <f t="shared" si="8"/>
        <v>2.2</v>
      </c>
      <c r="P172" s="440">
        <f t="shared" si="9"/>
        <v>0.03</v>
      </c>
      <c r="Q172">
        <f t="array" ref="Q172">IF(I172&gt;0,INDEX(DB,I172,9),EventIndex)</f>
        <v>6</v>
      </c>
      <c r="S172" s="447">
        <f t="array" ref="S172">INDEX(MINVALUES,$Q172,$K$1)</f>
        <v>2.2</v>
      </c>
      <c r="T172" s="448">
        <f t="array" ref="T172">INDEX(INCVALUES,$Q172,$K$1)</f>
        <v>0.03</v>
      </c>
      <c r="V172">
        <f t="array" ref="V172">+J172+(4*(INDEX(MatchScoreTable,$Q172,20)-1))</f>
        <v>4</v>
      </c>
      <c r="W172" s="442">
        <f t="array" ref="W172">INDEX(INC_MINVALUES,$V172,$K$1)</f>
        <v>0.2</v>
      </c>
      <c r="X172" s="212">
        <f t="array" ref="X172">INDEX(INC_INCVALUES,$V172,$K$1)</f>
        <v>0.02</v>
      </c>
    </row>
    <row r="173" ht="15.75" customHeight="1">
      <c r="A173" s="435"/>
      <c r="B173" s="436"/>
      <c r="C173" s="95" t="str">
        <f t="array" ref="C173">IF(I173&gt;0,INDEX(DB,I173,8),"")</f>
        <v/>
      </c>
      <c r="D173" s="437">
        <f t="shared" si="1"/>
        <v>0</v>
      </c>
      <c r="F173" s="438">
        <f t="shared" si="2"/>
        <v>0</v>
      </c>
      <c r="G173" t="str">
        <f t="shared" si="3"/>
        <v/>
      </c>
      <c r="H173" t="b">
        <f t="shared" si="4"/>
        <v>0</v>
      </c>
      <c r="I173" s="439">
        <f>IF(OR(ISBLANK(A173),ISNA(MATCH(A173&amp;"",AthleteNumbers,0))),0,MATCH(A173&amp;"",AthleteNumbers,0))</f>
        <v>0</v>
      </c>
      <c r="J173" s="209">
        <f t="array" ref="J173">IF(I173&gt;0,INDEX(DB,$I173,6),0)</f>
        <v>0</v>
      </c>
      <c r="K173" s="446">
        <f t="shared" si="5"/>
        <v>0</v>
      </c>
      <c r="L173" s="446">
        <f t="shared" si="6"/>
        <v>0</v>
      </c>
      <c r="M173" s="441">
        <f>IF(L173&lt;O173,MinPoints,IF(AND(L173&gt;N173,O173&gt;0),100,+INT(($L173-O173)/P173)+MinPoints))</f>
        <v>10</v>
      </c>
      <c r="N173" s="440">
        <f t="shared" si="7"/>
        <v>4.9</v>
      </c>
      <c r="O173" s="440">
        <f t="shared" si="8"/>
        <v>2.2</v>
      </c>
      <c r="P173" s="440">
        <f t="shared" si="9"/>
        <v>0.03</v>
      </c>
      <c r="Q173">
        <f t="array" ref="Q173">IF(I173&gt;0,INDEX(DB,I173,9),EventIndex)</f>
        <v>6</v>
      </c>
      <c r="S173" s="447">
        <f t="array" ref="S173">INDEX(MINVALUES,$Q173,$K$1)</f>
        <v>2.2</v>
      </c>
      <c r="T173" s="448">
        <f t="array" ref="T173">INDEX(INCVALUES,$Q173,$K$1)</f>
        <v>0.03</v>
      </c>
      <c r="V173">
        <f t="array" ref="V173">+J173+(4*(INDEX(MatchScoreTable,$Q173,20)-1))</f>
        <v>4</v>
      </c>
      <c r="W173" s="442">
        <f t="array" ref="W173">INDEX(INC_MINVALUES,$V173,$K$1)</f>
        <v>0.2</v>
      </c>
      <c r="X173" s="212">
        <f t="array" ref="X173">INDEX(INC_INCVALUES,$V173,$K$1)</f>
        <v>0.02</v>
      </c>
    </row>
    <row r="174" ht="15.75" customHeight="1">
      <c r="A174" s="435"/>
      <c r="B174" s="436"/>
      <c r="C174" s="95" t="str">
        <f t="array" ref="C174">IF(I174&gt;0,INDEX(DB,I174,8),"")</f>
        <v/>
      </c>
      <c r="D174" s="437">
        <f t="shared" si="1"/>
        <v>0</v>
      </c>
      <c r="F174" s="438">
        <f t="shared" si="2"/>
        <v>0</v>
      </c>
      <c r="G174" t="str">
        <f t="shared" si="3"/>
        <v/>
      </c>
      <c r="H174" t="b">
        <f t="shared" si="4"/>
        <v>0</v>
      </c>
      <c r="I174" s="439">
        <f>IF(OR(ISBLANK(A174),ISNA(MATCH(A174&amp;"",AthleteNumbers,0))),0,MATCH(A174&amp;"",AthleteNumbers,0))</f>
        <v>0</v>
      </c>
      <c r="J174" s="209">
        <f t="array" ref="J174">IF(I174&gt;0,INDEX(DB,$I174,6),0)</f>
        <v>0</v>
      </c>
      <c r="K174" s="446">
        <f t="shared" si="5"/>
        <v>0</v>
      </c>
      <c r="L174" s="446">
        <f t="shared" si="6"/>
        <v>0</v>
      </c>
      <c r="M174" s="441">
        <f>IF(L174&lt;O174,MinPoints,IF(AND(L174&gt;N174,O174&gt;0),100,+INT(($L174-O174)/P174)+MinPoints))</f>
        <v>10</v>
      </c>
      <c r="N174" s="440">
        <f t="shared" si="7"/>
        <v>4.9</v>
      </c>
      <c r="O174" s="440">
        <f t="shared" si="8"/>
        <v>2.2</v>
      </c>
      <c r="P174" s="440">
        <f t="shared" si="9"/>
        <v>0.03</v>
      </c>
      <c r="Q174">
        <f t="array" ref="Q174">IF(I174&gt;0,INDEX(DB,I174,9),EventIndex)</f>
        <v>6</v>
      </c>
      <c r="S174" s="447">
        <f t="array" ref="S174">INDEX(MINVALUES,$Q174,$K$1)</f>
        <v>2.2</v>
      </c>
      <c r="T174" s="448">
        <f t="array" ref="T174">INDEX(INCVALUES,$Q174,$K$1)</f>
        <v>0.03</v>
      </c>
      <c r="V174">
        <f t="array" ref="V174">+J174+(4*(INDEX(MatchScoreTable,$Q174,20)-1))</f>
        <v>4</v>
      </c>
      <c r="W174" s="442">
        <f t="array" ref="W174">INDEX(INC_MINVALUES,$V174,$K$1)</f>
        <v>0.2</v>
      </c>
      <c r="X174" s="212">
        <f t="array" ref="X174">INDEX(INC_INCVALUES,$V174,$K$1)</f>
        <v>0.02</v>
      </c>
    </row>
    <row r="175" ht="15.75" customHeight="1">
      <c r="A175" s="435"/>
      <c r="B175" s="436"/>
      <c r="C175" s="95" t="str">
        <f t="array" ref="C175">IF(I175&gt;0,INDEX(DB,I175,8),"")</f>
        <v/>
      </c>
      <c r="D175" s="437">
        <f t="shared" si="1"/>
        <v>0</v>
      </c>
      <c r="F175" s="438">
        <f t="shared" si="2"/>
        <v>0</v>
      </c>
      <c r="G175" t="str">
        <f t="shared" si="3"/>
        <v/>
      </c>
      <c r="H175" t="b">
        <f t="shared" si="4"/>
        <v>0</v>
      </c>
      <c r="I175" s="439">
        <f>IF(OR(ISBLANK(A175),ISNA(MATCH(A175&amp;"",AthleteNumbers,0))),0,MATCH(A175&amp;"",AthleteNumbers,0))</f>
        <v>0</v>
      </c>
      <c r="J175" s="209">
        <f t="array" ref="J175">IF(I175&gt;0,INDEX(DB,$I175,6),0)</f>
        <v>0</v>
      </c>
      <c r="K175" s="446">
        <f t="shared" si="5"/>
        <v>0</v>
      </c>
      <c r="L175" s="446">
        <f t="shared" si="6"/>
        <v>0</v>
      </c>
      <c r="M175" s="441">
        <f>IF(L175&lt;O175,MinPoints,IF(AND(L175&gt;N175,O175&gt;0),100,+INT(($L175-O175)/P175)+MinPoints))</f>
        <v>10</v>
      </c>
      <c r="N175" s="440">
        <f t="shared" si="7"/>
        <v>4.9</v>
      </c>
      <c r="O175" s="440">
        <f t="shared" si="8"/>
        <v>2.2</v>
      </c>
      <c r="P175" s="440">
        <f t="shared" si="9"/>
        <v>0.03</v>
      </c>
      <c r="Q175">
        <f t="array" ref="Q175">IF(I175&gt;0,INDEX(DB,I175,9),EventIndex)</f>
        <v>6</v>
      </c>
      <c r="S175" s="447">
        <f t="array" ref="S175">INDEX(MINVALUES,$Q175,$K$1)</f>
        <v>2.2</v>
      </c>
      <c r="T175" s="448">
        <f t="array" ref="T175">INDEX(INCVALUES,$Q175,$K$1)</f>
        <v>0.03</v>
      </c>
      <c r="V175">
        <f t="array" ref="V175">+J175+(4*(INDEX(MatchScoreTable,$Q175,20)-1))</f>
        <v>4</v>
      </c>
      <c r="W175" s="442">
        <f t="array" ref="W175">INDEX(INC_MINVALUES,$V175,$K$1)</f>
        <v>0.2</v>
      </c>
      <c r="X175" s="212">
        <f t="array" ref="X175">INDEX(INC_INCVALUES,$V175,$K$1)</f>
        <v>0.02</v>
      </c>
    </row>
    <row r="176" ht="15.75" customHeight="1">
      <c r="A176" s="435"/>
      <c r="B176" s="436"/>
      <c r="C176" s="95" t="str">
        <f t="array" ref="C176">IF(I176&gt;0,INDEX(DB,I176,8),"")</f>
        <v/>
      </c>
      <c r="D176" s="437">
        <f t="shared" si="1"/>
        <v>0</v>
      </c>
      <c r="F176" s="438">
        <f t="shared" si="2"/>
        <v>0</v>
      </c>
      <c r="G176" t="str">
        <f t="shared" si="3"/>
        <v/>
      </c>
      <c r="H176" t="b">
        <f t="shared" si="4"/>
        <v>0</v>
      </c>
      <c r="I176" s="439">
        <f>IF(OR(ISBLANK(A176),ISNA(MATCH(A176&amp;"",AthleteNumbers,0))),0,MATCH(A176&amp;"",AthleteNumbers,0))</f>
        <v>0</v>
      </c>
      <c r="J176" s="209">
        <f t="array" ref="J176">IF(I176&gt;0,INDEX(DB,$I176,6),0)</f>
        <v>0</v>
      </c>
      <c r="K176" s="446">
        <f t="shared" si="5"/>
        <v>0</v>
      </c>
      <c r="L176" s="446">
        <f t="shared" si="6"/>
        <v>0</v>
      </c>
      <c r="M176" s="441">
        <f>IF(L176&lt;O176,MinPoints,IF(AND(L176&gt;N176,O176&gt;0),100,+INT(($L176-O176)/P176)+MinPoints))</f>
        <v>10</v>
      </c>
      <c r="N176" s="440">
        <f t="shared" si="7"/>
        <v>4.9</v>
      </c>
      <c r="O176" s="440">
        <f t="shared" si="8"/>
        <v>2.2</v>
      </c>
      <c r="P176" s="440">
        <f t="shared" si="9"/>
        <v>0.03</v>
      </c>
      <c r="Q176">
        <f t="array" ref="Q176">IF(I176&gt;0,INDEX(DB,I176,9),EventIndex)</f>
        <v>6</v>
      </c>
      <c r="S176" s="447">
        <f t="array" ref="S176">INDEX(MINVALUES,$Q176,$K$1)</f>
        <v>2.2</v>
      </c>
      <c r="T176" s="448">
        <f t="array" ref="T176">INDEX(INCVALUES,$Q176,$K$1)</f>
        <v>0.03</v>
      </c>
      <c r="V176">
        <f t="array" ref="V176">+J176+(4*(INDEX(MatchScoreTable,$Q176,20)-1))</f>
        <v>4</v>
      </c>
      <c r="W176" s="442">
        <f t="array" ref="W176">INDEX(INC_MINVALUES,$V176,$K$1)</f>
        <v>0.2</v>
      </c>
      <c r="X176" s="212">
        <f t="array" ref="X176">INDEX(INC_INCVALUES,$V176,$K$1)</f>
        <v>0.02</v>
      </c>
    </row>
    <row r="177" ht="15.75" customHeight="1">
      <c r="A177" s="435"/>
      <c r="B177" s="436"/>
      <c r="C177" s="95" t="str">
        <f t="array" ref="C177">IF(I177&gt;0,INDEX(DB,I177,8),"")</f>
        <v/>
      </c>
      <c r="D177" s="437">
        <f t="shared" si="1"/>
        <v>0</v>
      </c>
      <c r="F177" s="438">
        <f t="shared" si="2"/>
        <v>0</v>
      </c>
      <c r="G177" t="str">
        <f t="shared" si="3"/>
        <v/>
      </c>
      <c r="H177" t="b">
        <f t="shared" si="4"/>
        <v>0</v>
      </c>
      <c r="I177" s="439">
        <f>IF(OR(ISBLANK(A177),ISNA(MATCH(A177&amp;"",AthleteNumbers,0))),0,MATCH(A177&amp;"",AthleteNumbers,0))</f>
        <v>0</v>
      </c>
      <c r="J177" s="209">
        <f t="array" ref="J177">IF(I177&gt;0,INDEX(DB,$I177,6),0)</f>
        <v>0</v>
      </c>
      <c r="K177" s="446">
        <f t="shared" si="5"/>
        <v>0</v>
      </c>
      <c r="L177" s="446">
        <f t="shared" si="6"/>
        <v>0</v>
      </c>
      <c r="M177" s="441">
        <f>IF(L177&lt;O177,MinPoints,IF(AND(L177&gt;N177,O177&gt;0),100,+INT(($L177-O177)/P177)+MinPoints))</f>
        <v>10</v>
      </c>
      <c r="N177" s="440">
        <f t="shared" si="7"/>
        <v>4.9</v>
      </c>
      <c r="O177" s="440">
        <f t="shared" si="8"/>
        <v>2.2</v>
      </c>
      <c r="P177" s="440">
        <f t="shared" si="9"/>
        <v>0.03</v>
      </c>
      <c r="Q177">
        <f t="array" ref="Q177">IF(I177&gt;0,INDEX(DB,I177,9),EventIndex)</f>
        <v>6</v>
      </c>
      <c r="S177" s="447">
        <f t="array" ref="S177">INDEX(MINVALUES,$Q177,$K$1)</f>
        <v>2.2</v>
      </c>
      <c r="T177" s="448">
        <f t="array" ref="T177">INDEX(INCVALUES,$Q177,$K$1)</f>
        <v>0.03</v>
      </c>
      <c r="V177">
        <f t="array" ref="V177">+J177+(4*(INDEX(MatchScoreTable,$Q177,20)-1))</f>
        <v>4</v>
      </c>
      <c r="W177" s="442">
        <f t="array" ref="W177">INDEX(INC_MINVALUES,$V177,$K$1)</f>
        <v>0.2</v>
      </c>
      <c r="X177" s="212">
        <f t="array" ref="X177">INDEX(INC_INCVALUES,$V177,$K$1)</f>
        <v>0.02</v>
      </c>
    </row>
    <row r="178" ht="15.75" customHeight="1">
      <c r="A178" s="435"/>
      <c r="B178" s="436"/>
      <c r="C178" s="95" t="str">
        <f t="array" ref="C178">IF(I178&gt;0,INDEX(DB,I178,8),"")</f>
        <v/>
      </c>
      <c r="D178" s="437">
        <f t="shared" si="1"/>
        <v>0</v>
      </c>
      <c r="F178" s="438">
        <f t="shared" si="2"/>
        <v>0</v>
      </c>
      <c r="G178" t="str">
        <f t="shared" si="3"/>
        <v/>
      </c>
      <c r="H178" t="b">
        <f t="shared" si="4"/>
        <v>0</v>
      </c>
      <c r="I178" s="439">
        <f>IF(OR(ISBLANK(A178),ISNA(MATCH(A178&amp;"",AthleteNumbers,0))),0,MATCH(A178&amp;"",AthleteNumbers,0))</f>
        <v>0</v>
      </c>
      <c r="J178" s="209">
        <f t="array" ref="J178">IF(I178&gt;0,INDEX(DB,$I178,6),0)</f>
        <v>0</v>
      </c>
      <c r="K178" s="446">
        <f t="shared" si="5"/>
        <v>0</v>
      </c>
      <c r="L178" s="446">
        <f t="shared" si="6"/>
        <v>0</v>
      </c>
      <c r="M178" s="441">
        <f>IF(L178&lt;O178,MinPoints,IF(AND(L178&gt;N178,O178&gt;0),100,+INT(($L178-O178)/P178)+MinPoints))</f>
        <v>10</v>
      </c>
      <c r="N178" s="440">
        <f t="shared" si="7"/>
        <v>4.9</v>
      </c>
      <c r="O178" s="440">
        <f t="shared" si="8"/>
        <v>2.2</v>
      </c>
      <c r="P178" s="440">
        <f t="shared" si="9"/>
        <v>0.03</v>
      </c>
      <c r="Q178">
        <f t="array" ref="Q178">IF(I178&gt;0,INDEX(DB,I178,9),EventIndex)</f>
        <v>6</v>
      </c>
      <c r="S178" s="447">
        <f t="array" ref="S178">INDEX(MINVALUES,$Q178,$K$1)</f>
        <v>2.2</v>
      </c>
      <c r="T178" s="448">
        <f t="array" ref="T178">INDEX(INCVALUES,$Q178,$K$1)</f>
        <v>0.03</v>
      </c>
      <c r="V178">
        <f t="array" ref="V178">+J178+(4*(INDEX(MatchScoreTable,$Q178,20)-1))</f>
        <v>4</v>
      </c>
      <c r="W178" s="442">
        <f t="array" ref="W178">INDEX(INC_MINVALUES,$V178,$K$1)</f>
        <v>0.2</v>
      </c>
      <c r="X178" s="212">
        <f t="array" ref="X178">INDEX(INC_INCVALUES,$V178,$K$1)</f>
        <v>0.02</v>
      </c>
    </row>
    <row r="179" ht="15.75" customHeight="1">
      <c r="A179" s="435"/>
      <c r="B179" s="436"/>
      <c r="C179" s="95" t="str">
        <f t="array" ref="C179">IF(I179&gt;0,INDEX(DB,I179,8),"")</f>
        <v/>
      </c>
      <c r="D179" s="437">
        <f t="shared" si="1"/>
        <v>0</v>
      </c>
      <c r="F179" s="438">
        <f t="shared" si="2"/>
        <v>0</v>
      </c>
      <c r="G179" t="str">
        <f t="shared" si="3"/>
        <v/>
      </c>
      <c r="H179" t="b">
        <f t="shared" si="4"/>
        <v>0</v>
      </c>
      <c r="I179" s="439">
        <f>IF(OR(ISBLANK(A179),ISNA(MATCH(A179&amp;"",AthleteNumbers,0))),0,MATCH(A179&amp;"",AthleteNumbers,0))</f>
        <v>0</v>
      </c>
      <c r="J179" s="209">
        <f t="array" ref="J179">IF(I179&gt;0,INDEX(DB,$I179,6),0)</f>
        <v>0</v>
      </c>
      <c r="K179" s="446">
        <f t="shared" si="5"/>
        <v>0</v>
      </c>
      <c r="L179" s="446">
        <f t="shared" si="6"/>
        <v>0</v>
      </c>
      <c r="M179" s="441">
        <f>IF(L179&lt;O179,MinPoints,IF(AND(L179&gt;N179,O179&gt;0),100,+INT(($L179-O179)/P179)+MinPoints))</f>
        <v>10</v>
      </c>
      <c r="N179" s="440">
        <f t="shared" si="7"/>
        <v>4.9</v>
      </c>
      <c r="O179" s="440">
        <f t="shared" si="8"/>
        <v>2.2</v>
      </c>
      <c r="P179" s="440">
        <f t="shared" si="9"/>
        <v>0.03</v>
      </c>
      <c r="Q179">
        <f t="array" ref="Q179">IF(I179&gt;0,INDEX(DB,I179,9),EventIndex)</f>
        <v>6</v>
      </c>
      <c r="S179" s="447">
        <f t="array" ref="S179">INDEX(MINVALUES,$Q179,$K$1)</f>
        <v>2.2</v>
      </c>
      <c r="T179" s="448">
        <f t="array" ref="T179">INDEX(INCVALUES,$Q179,$K$1)</f>
        <v>0.03</v>
      </c>
      <c r="V179">
        <f t="array" ref="V179">+J179+(4*(INDEX(MatchScoreTable,$Q179,20)-1))</f>
        <v>4</v>
      </c>
      <c r="W179" s="442">
        <f t="array" ref="W179">INDEX(INC_MINVALUES,$V179,$K$1)</f>
        <v>0.2</v>
      </c>
      <c r="X179" s="212">
        <f t="array" ref="X179">INDEX(INC_INCVALUES,$V179,$K$1)</f>
        <v>0.02</v>
      </c>
    </row>
    <row r="180" ht="15.75" customHeight="1">
      <c r="A180" s="435"/>
      <c r="B180" s="436"/>
      <c r="C180" s="95" t="str">
        <f t="array" ref="C180">IF(I180&gt;0,INDEX(DB,I180,8),"")</f>
        <v/>
      </c>
      <c r="D180" s="437">
        <f t="shared" si="1"/>
        <v>0</v>
      </c>
      <c r="F180" s="438">
        <f t="shared" si="2"/>
        <v>0</v>
      </c>
      <c r="G180" t="str">
        <f t="shared" si="3"/>
        <v/>
      </c>
      <c r="H180" t="b">
        <f t="shared" si="4"/>
        <v>0</v>
      </c>
      <c r="I180" s="439">
        <f>IF(OR(ISBLANK(A180),ISNA(MATCH(A180&amp;"",AthleteNumbers,0))),0,MATCH(A180&amp;"",AthleteNumbers,0))</f>
        <v>0</v>
      </c>
      <c r="J180" s="209">
        <f t="array" ref="J180">IF(I180&gt;0,INDEX(DB,$I180,6),0)</f>
        <v>0</v>
      </c>
      <c r="K180" s="446">
        <f t="shared" si="5"/>
        <v>0</v>
      </c>
      <c r="L180" s="446">
        <f t="shared" si="6"/>
        <v>0</v>
      </c>
      <c r="M180" s="441">
        <f>IF(L180&lt;O180,MinPoints,IF(AND(L180&gt;N180,O180&gt;0),100,+INT(($L180-O180)/P180)+MinPoints))</f>
        <v>10</v>
      </c>
      <c r="N180" s="440">
        <f t="shared" si="7"/>
        <v>4.9</v>
      </c>
      <c r="O180" s="440">
        <f t="shared" si="8"/>
        <v>2.2</v>
      </c>
      <c r="P180" s="440">
        <f t="shared" si="9"/>
        <v>0.03</v>
      </c>
      <c r="Q180">
        <f t="array" ref="Q180">IF(I180&gt;0,INDEX(DB,I180,9),EventIndex)</f>
        <v>6</v>
      </c>
      <c r="S180" s="447">
        <f t="array" ref="S180">INDEX(MINVALUES,$Q180,$K$1)</f>
        <v>2.2</v>
      </c>
      <c r="T180" s="448">
        <f t="array" ref="T180">INDEX(INCVALUES,$Q180,$K$1)</f>
        <v>0.03</v>
      </c>
      <c r="V180">
        <f t="array" ref="V180">+J180+(4*(INDEX(MatchScoreTable,$Q180,20)-1))</f>
        <v>4</v>
      </c>
      <c r="W180" s="442">
        <f t="array" ref="W180">INDEX(INC_MINVALUES,$V180,$K$1)</f>
        <v>0.2</v>
      </c>
      <c r="X180" s="212">
        <f t="array" ref="X180">INDEX(INC_INCVALUES,$V180,$K$1)</f>
        <v>0.02</v>
      </c>
    </row>
    <row r="181" ht="15.75" customHeight="1">
      <c r="A181" s="435"/>
      <c r="B181" s="436"/>
      <c r="C181" s="95" t="str">
        <f t="array" ref="C181">IF(I181&gt;0,INDEX(DB,I181,8),"")</f>
        <v/>
      </c>
      <c r="D181" s="437">
        <f t="shared" si="1"/>
        <v>0</v>
      </c>
      <c r="F181" s="438">
        <f t="shared" si="2"/>
        <v>0</v>
      </c>
      <c r="G181" t="str">
        <f t="shared" si="3"/>
        <v/>
      </c>
      <c r="H181" t="b">
        <f t="shared" si="4"/>
        <v>0</v>
      </c>
      <c r="I181" s="439">
        <f>IF(OR(ISBLANK(A181),ISNA(MATCH(A181&amp;"",AthleteNumbers,0))),0,MATCH(A181&amp;"",AthleteNumbers,0))</f>
        <v>0</v>
      </c>
      <c r="J181" s="209">
        <f t="array" ref="J181">IF(I181&gt;0,INDEX(DB,$I181,6),0)</f>
        <v>0</v>
      </c>
      <c r="K181" s="446">
        <f t="shared" si="5"/>
        <v>0</v>
      </c>
      <c r="L181" s="446">
        <f t="shared" si="6"/>
        <v>0</v>
      </c>
      <c r="M181" s="441">
        <f>IF(L181&lt;O181,MinPoints,IF(AND(L181&gt;N181,O181&gt;0),100,+INT(($L181-O181)/P181)+MinPoints))</f>
        <v>10</v>
      </c>
      <c r="N181" s="440">
        <f t="shared" si="7"/>
        <v>4.9</v>
      </c>
      <c r="O181" s="440">
        <f t="shared" si="8"/>
        <v>2.2</v>
      </c>
      <c r="P181" s="440">
        <f t="shared" si="9"/>
        <v>0.03</v>
      </c>
      <c r="Q181">
        <f t="array" ref="Q181">IF(I181&gt;0,INDEX(DB,I181,9),EventIndex)</f>
        <v>6</v>
      </c>
      <c r="S181" s="447">
        <f t="array" ref="S181">INDEX(MINVALUES,$Q181,$K$1)</f>
        <v>2.2</v>
      </c>
      <c r="T181" s="448">
        <f t="array" ref="T181">INDEX(INCVALUES,$Q181,$K$1)</f>
        <v>0.03</v>
      </c>
      <c r="V181">
        <f t="array" ref="V181">+J181+(4*(INDEX(MatchScoreTable,$Q181,20)-1))</f>
        <v>4</v>
      </c>
      <c r="W181" s="442">
        <f t="array" ref="W181">INDEX(INC_MINVALUES,$V181,$K$1)</f>
        <v>0.2</v>
      </c>
      <c r="X181" s="212">
        <f t="array" ref="X181">INDEX(INC_INCVALUES,$V181,$K$1)</f>
        <v>0.02</v>
      </c>
    </row>
    <row r="182" ht="15.75" customHeight="1">
      <c r="A182" s="435"/>
      <c r="B182" s="436"/>
      <c r="C182" s="95" t="str">
        <f t="array" ref="C182">IF(I182&gt;0,INDEX(DB,I182,8),"")</f>
        <v/>
      </c>
      <c r="D182" s="437">
        <f t="shared" si="1"/>
        <v>0</v>
      </c>
      <c r="F182" s="438">
        <f t="shared" si="2"/>
        <v>0</v>
      </c>
      <c r="G182" t="str">
        <f t="shared" si="3"/>
        <v/>
      </c>
      <c r="H182" t="b">
        <f t="shared" si="4"/>
        <v>0</v>
      </c>
      <c r="I182" s="439">
        <f>IF(OR(ISBLANK(A182),ISNA(MATCH(A182&amp;"",AthleteNumbers,0))),0,MATCH(A182&amp;"",AthleteNumbers,0))</f>
        <v>0</v>
      </c>
      <c r="J182" s="209">
        <f t="array" ref="J182">IF(I182&gt;0,INDEX(DB,$I182,6),0)</f>
        <v>0</v>
      </c>
      <c r="K182" s="446">
        <f t="shared" si="5"/>
        <v>0</v>
      </c>
      <c r="L182" s="446">
        <f t="shared" si="6"/>
        <v>0</v>
      </c>
      <c r="M182" s="441">
        <f>IF(L182&lt;O182,MinPoints,IF(AND(L182&gt;N182,O182&gt;0),100,+INT(($L182-O182)/P182)+MinPoints))</f>
        <v>10</v>
      </c>
      <c r="N182" s="440">
        <f t="shared" si="7"/>
        <v>4.9</v>
      </c>
      <c r="O182" s="440">
        <f t="shared" si="8"/>
        <v>2.2</v>
      </c>
      <c r="P182" s="440">
        <f t="shared" si="9"/>
        <v>0.03</v>
      </c>
      <c r="Q182">
        <f t="array" ref="Q182">IF(I182&gt;0,INDEX(DB,I182,9),EventIndex)</f>
        <v>6</v>
      </c>
      <c r="S182" s="447">
        <f t="array" ref="S182">INDEX(MINVALUES,$Q182,$K$1)</f>
        <v>2.2</v>
      </c>
      <c r="T182" s="448">
        <f t="array" ref="T182">INDEX(INCVALUES,$Q182,$K$1)</f>
        <v>0.03</v>
      </c>
      <c r="V182">
        <f t="array" ref="V182">+J182+(4*(INDEX(MatchScoreTable,$Q182,20)-1))</f>
        <v>4</v>
      </c>
      <c r="W182" s="442">
        <f t="array" ref="W182">INDEX(INC_MINVALUES,$V182,$K$1)</f>
        <v>0.2</v>
      </c>
      <c r="X182" s="212">
        <f t="array" ref="X182">INDEX(INC_INCVALUES,$V182,$K$1)</f>
        <v>0.02</v>
      </c>
    </row>
    <row r="183" ht="15.75" customHeight="1">
      <c r="A183" s="435"/>
      <c r="B183" s="436"/>
      <c r="C183" s="95" t="str">
        <f t="array" ref="C183">IF(I183&gt;0,INDEX(DB,I183,8),"")</f>
        <v/>
      </c>
      <c r="D183" s="437">
        <f t="shared" si="1"/>
        <v>0</v>
      </c>
      <c r="F183" s="438">
        <f t="shared" si="2"/>
        <v>0</v>
      </c>
      <c r="G183" t="str">
        <f t="shared" si="3"/>
        <v/>
      </c>
      <c r="H183" t="b">
        <f t="shared" si="4"/>
        <v>0</v>
      </c>
      <c r="I183" s="439">
        <f>IF(OR(ISBLANK(A183),ISNA(MATCH(A183&amp;"",AthleteNumbers,0))),0,MATCH(A183&amp;"",AthleteNumbers,0))</f>
        <v>0</v>
      </c>
      <c r="J183" s="209">
        <f t="array" ref="J183">IF(I183&gt;0,INDEX(DB,$I183,6),0)</f>
        <v>0</v>
      </c>
      <c r="K183" s="446">
        <f t="shared" si="5"/>
        <v>0</v>
      </c>
      <c r="L183" s="446">
        <f t="shared" si="6"/>
        <v>0</v>
      </c>
      <c r="M183" s="441">
        <f>IF(L183&lt;O183,MinPoints,IF(AND(L183&gt;N183,O183&gt;0),100,+INT(($L183-O183)/P183)+MinPoints))</f>
        <v>10</v>
      </c>
      <c r="N183" s="440">
        <f t="shared" si="7"/>
        <v>4.9</v>
      </c>
      <c r="O183" s="440">
        <f t="shared" si="8"/>
        <v>2.2</v>
      </c>
      <c r="P183" s="440">
        <f t="shared" si="9"/>
        <v>0.03</v>
      </c>
      <c r="Q183">
        <f t="array" ref="Q183">IF(I183&gt;0,INDEX(DB,I183,9),EventIndex)</f>
        <v>6</v>
      </c>
      <c r="S183" s="447">
        <f t="array" ref="S183">INDEX(MINVALUES,$Q183,$K$1)</f>
        <v>2.2</v>
      </c>
      <c r="T183" s="448">
        <f t="array" ref="T183">INDEX(INCVALUES,$Q183,$K$1)</f>
        <v>0.03</v>
      </c>
      <c r="V183">
        <f t="array" ref="V183">+J183+(4*(INDEX(MatchScoreTable,$Q183,20)-1))</f>
        <v>4</v>
      </c>
      <c r="W183" s="442">
        <f t="array" ref="W183">INDEX(INC_MINVALUES,$V183,$K$1)</f>
        <v>0.2</v>
      </c>
      <c r="X183" s="212">
        <f t="array" ref="X183">INDEX(INC_INCVALUES,$V183,$K$1)</f>
        <v>0.02</v>
      </c>
    </row>
    <row r="184" ht="15.75" customHeight="1">
      <c r="A184" s="435"/>
      <c r="B184" s="436"/>
      <c r="C184" s="95" t="str">
        <f t="array" ref="C184">IF(I184&gt;0,INDEX(DB,I184,8),"")</f>
        <v/>
      </c>
      <c r="D184" s="437">
        <f t="shared" si="1"/>
        <v>0</v>
      </c>
      <c r="F184" s="438">
        <f t="shared" si="2"/>
        <v>0</v>
      </c>
      <c r="G184" t="str">
        <f t="shared" si="3"/>
        <v/>
      </c>
      <c r="H184" t="b">
        <f t="shared" si="4"/>
        <v>0</v>
      </c>
      <c r="I184" s="439">
        <f>IF(OR(ISBLANK(A184),ISNA(MATCH(A184&amp;"",AthleteNumbers,0))),0,MATCH(A184&amp;"",AthleteNumbers,0))</f>
        <v>0</v>
      </c>
      <c r="J184" s="209">
        <f t="array" ref="J184">IF(I184&gt;0,INDEX(DB,$I184,6),0)</f>
        <v>0</v>
      </c>
      <c r="K184" s="446">
        <f t="shared" si="5"/>
        <v>0</v>
      </c>
      <c r="L184" s="446">
        <f t="shared" si="6"/>
        <v>0</v>
      </c>
      <c r="M184" s="441">
        <f>IF(L184&lt;O184,MinPoints,IF(AND(L184&gt;N184,O184&gt;0),100,+INT(($L184-O184)/P184)+MinPoints))</f>
        <v>10</v>
      </c>
      <c r="N184" s="440">
        <f t="shared" si="7"/>
        <v>4.9</v>
      </c>
      <c r="O184" s="440">
        <f t="shared" si="8"/>
        <v>2.2</v>
      </c>
      <c r="P184" s="440">
        <f t="shared" si="9"/>
        <v>0.03</v>
      </c>
      <c r="Q184">
        <f t="array" ref="Q184">IF(I184&gt;0,INDEX(DB,I184,9),EventIndex)</f>
        <v>6</v>
      </c>
      <c r="S184" s="447">
        <f t="array" ref="S184">INDEX(MINVALUES,$Q184,$K$1)</f>
        <v>2.2</v>
      </c>
      <c r="T184" s="448">
        <f t="array" ref="T184">INDEX(INCVALUES,$Q184,$K$1)</f>
        <v>0.03</v>
      </c>
      <c r="V184">
        <f t="array" ref="V184">+J184+(4*(INDEX(MatchScoreTable,$Q184,20)-1))</f>
        <v>4</v>
      </c>
      <c r="W184" s="442">
        <f t="array" ref="W184">INDEX(INC_MINVALUES,$V184,$K$1)</f>
        <v>0.2</v>
      </c>
      <c r="X184" s="212">
        <f t="array" ref="X184">INDEX(INC_INCVALUES,$V184,$K$1)</f>
        <v>0.02</v>
      </c>
    </row>
    <row r="185" ht="15.75" customHeight="1">
      <c r="A185" s="435"/>
      <c r="B185" s="436"/>
      <c r="C185" s="95" t="str">
        <f t="array" ref="C185">IF(I185&gt;0,INDEX(DB,I185,8),"")</f>
        <v/>
      </c>
      <c r="D185" s="437">
        <f t="shared" si="1"/>
        <v>0</v>
      </c>
      <c r="F185" s="438">
        <f t="shared" si="2"/>
        <v>0</v>
      </c>
      <c r="G185" t="str">
        <f t="shared" si="3"/>
        <v/>
      </c>
      <c r="H185" t="b">
        <f t="shared" si="4"/>
        <v>0</v>
      </c>
      <c r="I185" s="439">
        <f>IF(OR(ISBLANK(A185),ISNA(MATCH(A185&amp;"",AthleteNumbers,0))),0,MATCH(A185&amp;"",AthleteNumbers,0))</f>
        <v>0</v>
      </c>
      <c r="J185" s="209">
        <f t="array" ref="J185">IF(I185&gt;0,INDEX(DB,$I185,6),0)</f>
        <v>0</v>
      </c>
      <c r="K185" s="446">
        <f t="shared" si="5"/>
        <v>0</v>
      </c>
      <c r="L185" s="446">
        <f t="shared" si="6"/>
        <v>0</v>
      </c>
      <c r="M185" s="441">
        <f>IF(L185&lt;O185,MinPoints,IF(AND(L185&gt;N185,O185&gt;0),100,+INT(($L185-O185)/P185)+MinPoints))</f>
        <v>10</v>
      </c>
      <c r="N185" s="440">
        <f t="shared" si="7"/>
        <v>4.9</v>
      </c>
      <c r="O185" s="440">
        <f t="shared" si="8"/>
        <v>2.2</v>
      </c>
      <c r="P185" s="440">
        <f t="shared" si="9"/>
        <v>0.03</v>
      </c>
      <c r="Q185">
        <f t="array" ref="Q185">IF(I185&gt;0,INDEX(DB,I185,9),EventIndex)</f>
        <v>6</v>
      </c>
      <c r="S185" s="447">
        <f t="array" ref="S185">INDEX(MINVALUES,$Q185,$K$1)</f>
        <v>2.2</v>
      </c>
      <c r="T185" s="448">
        <f t="array" ref="T185">INDEX(INCVALUES,$Q185,$K$1)</f>
        <v>0.03</v>
      </c>
      <c r="V185">
        <f t="array" ref="V185">+J185+(4*(INDEX(MatchScoreTable,$Q185,20)-1))</f>
        <v>4</v>
      </c>
      <c r="W185" s="442">
        <f t="array" ref="W185">INDEX(INC_MINVALUES,$V185,$K$1)</f>
        <v>0.2</v>
      </c>
      <c r="X185" s="212">
        <f t="array" ref="X185">INDEX(INC_INCVALUES,$V185,$K$1)</f>
        <v>0.02</v>
      </c>
    </row>
    <row r="186" ht="15.75" customHeight="1">
      <c r="A186" s="435"/>
      <c r="B186" s="436"/>
      <c r="C186" s="95" t="str">
        <f t="array" ref="C186">IF(I186&gt;0,INDEX(DB,I186,8),"")</f>
        <v/>
      </c>
      <c r="D186" s="437">
        <f t="shared" si="1"/>
        <v>0</v>
      </c>
      <c r="F186" s="438">
        <f t="shared" si="2"/>
        <v>0</v>
      </c>
      <c r="G186" t="str">
        <f t="shared" si="3"/>
        <v/>
      </c>
      <c r="H186" t="b">
        <f t="shared" si="4"/>
        <v>0</v>
      </c>
      <c r="I186" s="439">
        <f>IF(OR(ISBLANK(A186),ISNA(MATCH(A186&amp;"",AthleteNumbers,0))),0,MATCH(A186&amp;"",AthleteNumbers,0))</f>
        <v>0</v>
      </c>
      <c r="J186" s="209">
        <f t="array" ref="J186">IF(I186&gt;0,INDEX(DB,$I186,6),0)</f>
        <v>0</v>
      </c>
      <c r="K186" s="446">
        <f t="shared" si="5"/>
        <v>0</v>
      </c>
      <c r="L186" s="446">
        <f t="shared" si="6"/>
        <v>0</v>
      </c>
      <c r="M186" s="441">
        <f>IF(L186&lt;O186,MinPoints,IF(AND(L186&gt;N186,O186&gt;0),100,+INT(($L186-O186)/P186)+MinPoints))</f>
        <v>10</v>
      </c>
      <c r="N186" s="440">
        <f t="shared" si="7"/>
        <v>4.9</v>
      </c>
      <c r="O186" s="440">
        <f t="shared" si="8"/>
        <v>2.2</v>
      </c>
      <c r="P186" s="440">
        <f t="shared" si="9"/>
        <v>0.03</v>
      </c>
      <c r="Q186">
        <f t="array" ref="Q186">IF(I186&gt;0,INDEX(DB,I186,9),EventIndex)</f>
        <v>6</v>
      </c>
      <c r="S186" s="447">
        <f t="array" ref="S186">INDEX(MINVALUES,$Q186,$K$1)</f>
        <v>2.2</v>
      </c>
      <c r="T186" s="448">
        <f t="array" ref="T186">INDEX(INCVALUES,$Q186,$K$1)</f>
        <v>0.03</v>
      </c>
      <c r="V186">
        <f t="array" ref="V186">+J186+(4*(INDEX(MatchScoreTable,$Q186,20)-1))</f>
        <v>4</v>
      </c>
      <c r="W186" s="442">
        <f t="array" ref="W186">INDEX(INC_MINVALUES,$V186,$K$1)</f>
        <v>0.2</v>
      </c>
      <c r="X186" s="212">
        <f t="array" ref="X186">INDEX(INC_INCVALUES,$V186,$K$1)</f>
        <v>0.02</v>
      </c>
    </row>
    <row r="187" ht="15.75" customHeight="1">
      <c r="A187" s="435"/>
      <c r="B187" s="436"/>
      <c r="C187" s="95" t="str">
        <f t="array" ref="C187">IF(I187&gt;0,INDEX(DB,I187,8),"")</f>
        <v/>
      </c>
      <c r="D187" s="437">
        <f t="shared" si="1"/>
        <v>0</v>
      </c>
      <c r="F187" s="438">
        <f t="shared" si="2"/>
        <v>0</v>
      </c>
      <c r="G187" t="str">
        <f t="shared" si="3"/>
        <v/>
      </c>
      <c r="H187" t="b">
        <f t="shared" si="4"/>
        <v>0</v>
      </c>
      <c r="I187" s="439">
        <f>IF(OR(ISBLANK(A187),ISNA(MATCH(A187&amp;"",AthleteNumbers,0))),0,MATCH(A187&amp;"",AthleteNumbers,0))</f>
        <v>0</v>
      </c>
      <c r="J187" s="209">
        <f t="array" ref="J187">IF(I187&gt;0,INDEX(DB,$I187,6),0)</f>
        <v>0</v>
      </c>
      <c r="K187" s="446">
        <f t="shared" si="5"/>
        <v>0</v>
      </c>
      <c r="L187" s="446">
        <f t="shared" si="6"/>
        <v>0</v>
      </c>
      <c r="M187" s="441">
        <f>IF(L187&lt;O187,MinPoints,IF(AND(L187&gt;N187,O187&gt;0),100,+INT(($L187-O187)/P187)+MinPoints))</f>
        <v>10</v>
      </c>
      <c r="N187" s="440">
        <f t="shared" si="7"/>
        <v>4.9</v>
      </c>
      <c r="O187" s="440">
        <f t="shared" si="8"/>
        <v>2.2</v>
      </c>
      <c r="P187" s="440">
        <f t="shared" si="9"/>
        <v>0.03</v>
      </c>
      <c r="Q187">
        <f t="array" ref="Q187">IF(I187&gt;0,INDEX(DB,I187,9),EventIndex)</f>
        <v>6</v>
      </c>
      <c r="S187" s="447">
        <f t="array" ref="S187">INDEX(MINVALUES,$Q187,$K$1)</f>
        <v>2.2</v>
      </c>
      <c r="T187" s="448">
        <f t="array" ref="T187">INDEX(INCVALUES,$Q187,$K$1)</f>
        <v>0.03</v>
      </c>
      <c r="V187">
        <f t="array" ref="V187">+J187+(4*(INDEX(MatchScoreTable,$Q187,20)-1))</f>
        <v>4</v>
      </c>
      <c r="W187" s="442">
        <f t="array" ref="W187">INDEX(INC_MINVALUES,$V187,$K$1)</f>
        <v>0.2</v>
      </c>
      <c r="X187" s="212">
        <f t="array" ref="X187">INDEX(INC_INCVALUES,$V187,$K$1)</f>
        <v>0.02</v>
      </c>
    </row>
    <row r="188" ht="15.75" customHeight="1">
      <c r="A188" s="435"/>
      <c r="B188" s="436"/>
      <c r="C188" s="95" t="str">
        <f t="array" ref="C188">IF(I188&gt;0,INDEX(DB,I188,8),"")</f>
        <v/>
      </c>
      <c r="D188" s="437">
        <f t="shared" si="1"/>
        <v>0</v>
      </c>
      <c r="F188" s="438">
        <f t="shared" si="2"/>
        <v>0</v>
      </c>
      <c r="G188" t="str">
        <f t="shared" si="3"/>
        <v/>
      </c>
      <c r="H188" t="b">
        <f t="shared" si="4"/>
        <v>0</v>
      </c>
      <c r="I188" s="439">
        <f>IF(OR(ISBLANK(A188),ISNA(MATCH(A188&amp;"",AthleteNumbers,0))),0,MATCH(A188&amp;"",AthleteNumbers,0))</f>
        <v>0</v>
      </c>
      <c r="J188" s="209">
        <f t="array" ref="J188">IF(I188&gt;0,INDEX(DB,$I188,6),0)</f>
        <v>0</v>
      </c>
      <c r="K188" s="446">
        <f t="shared" si="5"/>
        <v>0</v>
      </c>
      <c r="L188" s="446">
        <f t="shared" si="6"/>
        <v>0</v>
      </c>
      <c r="M188" s="441">
        <f>IF(L188&lt;O188,MinPoints,IF(AND(L188&gt;N188,O188&gt;0),100,+INT(($L188-O188)/P188)+MinPoints))</f>
        <v>10</v>
      </c>
      <c r="N188" s="440">
        <f t="shared" si="7"/>
        <v>4.9</v>
      </c>
      <c r="O188" s="440">
        <f t="shared" si="8"/>
        <v>2.2</v>
      </c>
      <c r="P188" s="440">
        <f t="shared" si="9"/>
        <v>0.03</v>
      </c>
      <c r="Q188">
        <f t="array" ref="Q188">IF(I188&gt;0,INDEX(DB,I188,9),EventIndex)</f>
        <v>6</v>
      </c>
      <c r="S188" s="447">
        <f t="array" ref="S188">INDEX(MINVALUES,$Q188,$K$1)</f>
        <v>2.2</v>
      </c>
      <c r="T188" s="448">
        <f t="array" ref="T188">INDEX(INCVALUES,$Q188,$K$1)</f>
        <v>0.03</v>
      </c>
      <c r="V188">
        <f t="array" ref="V188">+J188+(4*(INDEX(MatchScoreTable,$Q188,20)-1))</f>
        <v>4</v>
      </c>
      <c r="W188" s="442">
        <f t="array" ref="W188">INDEX(INC_MINVALUES,$V188,$K$1)</f>
        <v>0.2</v>
      </c>
      <c r="X188" s="212">
        <f t="array" ref="X188">INDEX(INC_INCVALUES,$V188,$K$1)</f>
        <v>0.02</v>
      </c>
    </row>
    <row r="189" ht="15.75" customHeight="1">
      <c r="A189" s="435"/>
      <c r="B189" s="436"/>
      <c r="C189" s="95" t="str">
        <f t="array" ref="C189">IF(I189&gt;0,INDEX(DB,I189,8),"")</f>
        <v/>
      </c>
      <c r="D189" s="437">
        <f t="shared" si="1"/>
        <v>0</v>
      </c>
      <c r="F189" s="438">
        <f t="shared" si="2"/>
        <v>0</v>
      </c>
      <c r="G189" t="str">
        <f t="shared" si="3"/>
        <v/>
      </c>
      <c r="H189" t="b">
        <f t="shared" si="4"/>
        <v>0</v>
      </c>
      <c r="I189" s="439">
        <f>IF(OR(ISBLANK(A189),ISNA(MATCH(A189&amp;"",AthleteNumbers,0))),0,MATCH(A189&amp;"",AthleteNumbers,0))</f>
        <v>0</v>
      </c>
      <c r="J189" s="209">
        <f t="array" ref="J189">IF(I189&gt;0,INDEX(DB,$I189,6),0)</f>
        <v>0</v>
      </c>
      <c r="K189" s="446">
        <f t="shared" si="5"/>
        <v>0</v>
      </c>
      <c r="L189" s="446">
        <f t="shared" si="6"/>
        <v>0</v>
      </c>
      <c r="M189" s="441">
        <f>IF(L189&lt;O189,MinPoints,IF(AND(L189&gt;N189,O189&gt;0),100,+INT(($L189-O189)/P189)+MinPoints))</f>
        <v>10</v>
      </c>
      <c r="N189" s="440">
        <f t="shared" si="7"/>
        <v>4.9</v>
      </c>
      <c r="O189" s="440">
        <f t="shared" si="8"/>
        <v>2.2</v>
      </c>
      <c r="P189" s="440">
        <f t="shared" si="9"/>
        <v>0.03</v>
      </c>
      <c r="Q189">
        <f t="array" ref="Q189">IF(I189&gt;0,INDEX(DB,I189,9),EventIndex)</f>
        <v>6</v>
      </c>
      <c r="S189" s="447">
        <f t="array" ref="S189">INDEX(MINVALUES,$Q189,$K$1)</f>
        <v>2.2</v>
      </c>
      <c r="T189" s="448">
        <f t="array" ref="T189">INDEX(INCVALUES,$Q189,$K$1)</f>
        <v>0.03</v>
      </c>
      <c r="V189">
        <f t="array" ref="V189">+J189+(4*(INDEX(MatchScoreTable,$Q189,20)-1))</f>
        <v>4</v>
      </c>
      <c r="W189" s="442">
        <f t="array" ref="W189">INDEX(INC_MINVALUES,$V189,$K$1)</f>
        <v>0.2</v>
      </c>
      <c r="X189" s="212">
        <f t="array" ref="X189">INDEX(INC_INCVALUES,$V189,$K$1)</f>
        <v>0.02</v>
      </c>
    </row>
    <row r="190" ht="15.75" customHeight="1">
      <c r="A190" s="435"/>
      <c r="B190" s="436"/>
      <c r="C190" s="95" t="str">
        <f t="array" ref="C190">IF(I190&gt;0,INDEX(DB,I190,8),"")</f>
        <v/>
      </c>
      <c r="D190" s="437">
        <f t="shared" si="1"/>
        <v>0</v>
      </c>
      <c r="F190" s="438">
        <f t="shared" si="2"/>
        <v>0</v>
      </c>
      <c r="G190" t="str">
        <f t="shared" si="3"/>
        <v/>
      </c>
      <c r="H190" t="b">
        <f t="shared" si="4"/>
        <v>0</v>
      </c>
      <c r="I190" s="439">
        <f>IF(OR(ISBLANK(A190),ISNA(MATCH(A190&amp;"",AthleteNumbers,0))),0,MATCH(A190&amp;"",AthleteNumbers,0))</f>
        <v>0</v>
      </c>
      <c r="J190" s="209">
        <f t="array" ref="J190">IF(I190&gt;0,INDEX(DB,$I190,6),0)</f>
        <v>0</v>
      </c>
      <c r="K190" s="446">
        <f t="shared" si="5"/>
        <v>0</v>
      </c>
      <c r="L190" s="446">
        <f t="shared" si="6"/>
        <v>0</v>
      </c>
      <c r="M190" s="441">
        <f>IF(L190&lt;O190,MinPoints,IF(AND(L190&gt;N190,O190&gt;0),100,+INT(($L190-O190)/P190)+MinPoints))</f>
        <v>10</v>
      </c>
      <c r="N190" s="440">
        <f t="shared" si="7"/>
        <v>4.9</v>
      </c>
      <c r="O190" s="440">
        <f t="shared" si="8"/>
        <v>2.2</v>
      </c>
      <c r="P190" s="440">
        <f t="shared" si="9"/>
        <v>0.03</v>
      </c>
      <c r="Q190">
        <f t="array" ref="Q190">IF(I190&gt;0,INDEX(DB,I190,9),EventIndex)</f>
        <v>6</v>
      </c>
      <c r="S190" s="447">
        <f t="array" ref="S190">INDEX(MINVALUES,$Q190,$K$1)</f>
        <v>2.2</v>
      </c>
      <c r="T190" s="448">
        <f t="array" ref="T190">INDEX(INCVALUES,$Q190,$K$1)</f>
        <v>0.03</v>
      </c>
      <c r="V190">
        <f t="array" ref="V190">+J190+(4*(INDEX(MatchScoreTable,$Q190,20)-1))</f>
        <v>4</v>
      </c>
      <c r="W190" s="442">
        <f t="array" ref="W190">INDEX(INC_MINVALUES,$V190,$K$1)</f>
        <v>0.2</v>
      </c>
      <c r="X190" s="212">
        <f t="array" ref="X190">INDEX(INC_INCVALUES,$V190,$K$1)</f>
        <v>0.02</v>
      </c>
    </row>
    <row r="191" ht="15.75" customHeight="1">
      <c r="A191" s="435"/>
      <c r="B191" s="436"/>
      <c r="C191" s="95" t="str">
        <f t="array" ref="C191">IF(I191&gt;0,INDEX(DB,I191,8),"")</f>
        <v/>
      </c>
      <c r="D191" s="437">
        <f t="shared" si="1"/>
        <v>0</v>
      </c>
      <c r="F191" s="438">
        <f t="shared" si="2"/>
        <v>0</v>
      </c>
      <c r="G191" t="str">
        <f t="shared" si="3"/>
        <v/>
      </c>
      <c r="H191" t="b">
        <f t="shared" si="4"/>
        <v>0</v>
      </c>
      <c r="I191" s="439">
        <f>IF(OR(ISBLANK(A191),ISNA(MATCH(A191&amp;"",AthleteNumbers,0))),0,MATCH(A191&amp;"",AthleteNumbers,0))</f>
        <v>0</v>
      </c>
      <c r="J191" s="209">
        <f t="array" ref="J191">IF(I191&gt;0,INDEX(DB,$I191,6),0)</f>
        <v>0</v>
      </c>
      <c r="K191" s="446">
        <f t="shared" si="5"/>
        <v>0</v>
      </c>
      <c r="L191" s="446">
        <f t="shared" si="6"/>
        <v>0</v>
      </c>
      <c r="M191" s="441">
        <f>IF(L191&lt;O191,MinPoints,IF(AND(L191&gt;N191,O191&gt;0),100,+INT(($L191-O191)/P191)+MinPoints))</f>
        <v>10</v>
      </c>
      <c r="N191" s="440">
        <f t="shared" si="7"/>
        <v>4.9</v>
      </c>
      <c r="O191" s="440">
        <f t="shared" si="8"/>
        <v>2.2</v>
      </c>
      <c r="P191" s="440">
        <f t="shared" si="9"/>
        <v>0.03</v>
      </c>
      <c r="Q191">
        <f t="array" ref="Q191">IF(I191&gt;0,INDEX(DB,I191,9),EventIndex)</f>
        <v>6</v>
      </c>
      <c r="S191" s="447">
        <f t="array" ref="S191">INDEX(MINVALUES,$Q191,$K$1)</f>
        <v>2.2</v>
      </c>
      <c r="T191" s="448">
        <f t="array" ref="T191">INDEX(INCVALUES,$Q191,$K$1)</f>
        <v>0.03</v>
      </c>
      <c r="V191">
        <f t="array" ref="V191">+J191+(4*(INDEX(MatchScoreTable,$Q191,20)-1))</f>
        <v>4</v>
      </c>
      <c r="W191" s="442">
        <f t="array" ref="W191">INDEX(INC_MINVALUES,$V191,$K$1)</f>
        <v>0.2</v>
      </c>
      <c r="X191" s="212">
        <f t="array" ref="X191">INDEX(INC_INCVALUES,$V191,$K$1)</f>
        <v>0.02</v>
      </c>
    </row>
    <row r="192" ht="15.75" customHeight="1">
      <c r="A192" s="435"/>
      <c r="B192" s="436"/>
      <c r="C192" s="95" t="str">
        <f t="array" ref="C192">IF(I192&gt;0,INDEX(DB,I192,8),"")</f>
        <v/>
      </c>
      <c r="D192" s="437">
        <f t="shared" si="1"/>
        <v>0</v>
      </c>
      <c r="F192" s="438">
        <f t="shared" si="2"/>
        <v>0</v>
      </c>
      <c r="G192" t="str">
        <f t="shared" si="3"/>
        <v/>
      </c>
      <c r="H192" t="b">
        <f t="shared" si="4"/>
        <v>0</v>
      </c>
      <c r="I192" s="439">
        <f>IF(OR(ISBLANK(A192),ISNA(MATCH(A192&amp;"",AthleteNumbers,0))),0,MATCH(A192&amp;"",AthleteNumbers,0))</f>
        <v>0</v>
      </c>
      <c r="J192" s="209">
        <f t="array" ref="J192">IF(I192&gt;0,INDEX(DB,$I192,6),0)</f>
        <v>0</v>
      </c>
      <c r="K192" s="446">
        <f t="shared" si="5"/>
        <v>0</v>
      </c>
      <c r="L192" s="446">
        <f t="shared" si="6"/>
        <v>0</v>
      </c>
      <c r="M192" s="441">
        <f>IF(L192&lt;O192,MinPoints,IF(AND(L192&gt;N192,O192&gt;0),100,+INT(($L192-O192)/P192)+MinPoints))</f>
        <v>10</v>
      </c>
      <c r="N192" s="440">
        <f t="shared" si="7"/>
        <v>4.9</v>
      </c>
      <c r="O192" s="440">
        <f t="shared" si="8"/>
        <v>2.2</v>
      </c>
      <c r="P192" s="440">
        <f t="shared" si="9"/>
        <v>0.03</v>
      </c>
      <c r="Q192">
        <f t="array" ref="Q192">IF(I192&gt;0,INDEX(DB,I192,9),EventIndex)</f>
        <v>6</v>
      </c>
      <c r="S192" s="447">
        <f t="array" ref="S192">INDEX(MINVALUES,$Q192,$K$1)</f>
        <v>2.2</v>
      </c>
      <c r="T192" s="448">
        <f t="array" ref="T192">INDEX(INCVALUES,$Q192,$K$1)</f>
        <v>0.03</v>
      </c>
      <c r="V192">
        <f t="array" ref="V192">+J192+(4*(INDEX(MatchScoreTable,$Q192,20)-1))</f>
        <v>4</v>
      </c>
      <c r="W192" s="442">
        <f t="array" ref="W192">INDEX(INC_MINVALUES,$V192,$K$1)</f>
        <v>0.2</v>
      </c>
      <c r="X192" s="212">
        <f t="array" ref="X192">INDEX(INC_INCVALUES,$V192,$K$1)</f>
        <v>0.02</v>
      </c>
    </row>
    <row r="193" ht="15.75" customHeight="1">
      <c r="A193" s="435"/>
      <c r="B193" s="436"/>
      <c r="C193" s="95" t="str">
        <f t="array" ref="C193">IF(I193&gt;0,INDEX(DB,I193,8),"")</f>
        <v/>
      </c>
      <c r="D193" s="437">
        <f t="shared" si="1"/>
        <v>0</v>
      </c>
      <c r="F193" s="438">
        <f t="shared" si="2"/>
        <v>0</v>
      </c>
      <c r="G193" t="str">
        <f t="shared" si="3"/>
        <v/>
      </c>
      <c r="H193" t="b">
        <f t="shared" si="4"/>
        <v>0</v>
      </c>
      <c r="I193" s="439">
        <f>IF(OR(ISBLANK(A193),ISNA(MATCH(A193&amp;"",AthleteNumbers,0))),0,MATCH(A193&amp;"",AthleteNumbers,0))</f>
        <v>0</v>
      </c>
      <c r="J193" s="209">
        <f t="array" ref="J193">IF(I193&gt;0,INDEX(DB,$I193,6),0)</f>
        <v>0</v>
      </c>
      <c r="K193" s="446">
        <f t="shared" si="5"/>
        <v>0</v>
      </c>
      <c r="L193" s="446">
        <f t="shared" si="6"/>
        <v>0</v>
      </c>
      <c r="M193" s="441">
        <f>IF(L193&lt;O193,MinPoints,IF(AND(L193&gt;N193,O193&gt;0),100,+INT(($L193-O193)/P193)+MinPoints))</f>
        <v>10</v>
      </c>
      <c r="N193" s="440">
        <f t="shared" si="7"/>
        <v>4.9</v>
      </c>
      <c r="O193" s="440">
        <f t="shared" si="8"/>
        <v>2.2</v>
      </c>
      <c r="P193" s="440">
        <f t="shared" si="9"/>
        <v>0.03</v>
      </c>
      <c r="Q193">
        <f t="array" ref="Q193">IF(I193&gt;0,INDEX(DB,I193,9),EventIndex)</f>
        <v>6</v>
      </c>
      <c r="S193" s="447">
        <f t="array" ref="S193">INDEX(MINVALUES,$Q193,$K$1)</f>
        <v>2.2</v>
      </c>
      <c r="T193" s="448">
        <f t="array" ref="T193">INDEX(INCVALUES,$Q193,$K$1)</f>
        <v>0.03</v>
      </c>
      <c r="V193">
        <f t="array" ref="V193">+J193+(4*(INDEX(MatchScoreTable,$Q193,20)-1))</f>
        <v>4</v>
      </c>
      <c r="W193" s="442">
        <f t="array" ref="W193">INDEX(INC_MINVALUES,$V193,$K$1)</f>
        <v>0.2</v>
      </c>
      <c r="X193" s="212">
        <f t="array" ref="X193">INDEX(INC_INCVALUES,$V193,$K$1)</f>
        <v>0.02</v>
      </c>
    </row>
    <row r="194" ht="15.75" customHeight="1">
      <c r="A194" s="435"/>
      <c r="B194" s="436"/>
      <c r="C194" s="95" t="str">
        <f t="array" ref="C194">IF(I194&gt;0,INDEX(DB,I194,8),"")</f>
        <v/>
      </c>
      <c r="D194" s="437">
        <f t="shared" si="1"/>
        <v>0</v>
      </c>
      <c r="F194" s="438">
        <f t="shared" si="2"/>
        <v>0</v>
      </c>
      <c r="G194" t="str">
        <f t="shared" si="3"/>
        <v/>
      </c>
      <c r="H194" t="b">
        <f t="shared" si="4"/>
        <v>0</v>
      </c>
      <c r="I194" s="439">
        <f>IF(OR(ISBLANK(A194),ISNA(MATCH(A194&amp;"",AthleteNumbers,0))),0,MATCH(A194&amp;"",AthleteNumbers,0))</f>
        <v>0</v>
      </c>
      <c r="J194" s="209">
        <f t="array" ref="J194">IF(I194&gt;0,INDEX(DB,$I194,6),0)</f>
        <v>0</v>
      </c>
      <c r="K194" s="446">
        <f t="shared" si="5"/>
        <v>0</v>
      </c>
      <c r="L194" s="446">
        <f t="shared" si="6"/>
        <v>0</v>
      </c>
      <c r="M194" s="441">
        <f>IF(L194&lt;O194,MinPoints,IF(AND(L194&gt;N194,O194&gt;0),100,+INT(($L194-O194)/P194)+MinPoints))</f>
        <v>10</v>
      </c>
      <c r="N194" s="440">
        <f t="shared" si="7"/>
        <v>4.9</v>
      </c>
      <c r="O194" s="440">
        <f t="shared" si="8"/>
        <v>2.2</v>
      </c>
      <c r="P194" s="440">
        <f t="shared" si="9"/>
        <v>0.03</v>
      </c>
      <c r="Q194">
        <f t="array" ref="Q194">IF(I194&gt;0,INDEX(DB,I194,9),EventIndex)</f>
        <v>6</v>
      </c>
      <c r="S194" s="447">
        <f t="array" ref="S194">INDEX(MINVALUES,$Q194,$K$1)</f>
        <v>2.2</v>
      </c>
      <c r="T194" s="448">
        <f t="array" ref="T194">INDEX(INCVALUES,$Q194,$K$1)</f>
        <v>0.03</v>
      </c>
      <c r="V194">
        <f t="array" ref="V194">+J194+(4*(INDEX(MatchScoreTable,$Q194,20)-1))</f>
        <v>4</v>
      </c>
      <c r="W194" s="442">
        <f t="array" ref="W194">INDEX(INC_MINVALUES,$V194,$K$1)</f>
        <v>0.2</v>
      </c>
      <c r="X194" s="212">
        <f t="array" ref="X194">INDEX(INC_INCVALUES,$V194,$K$1)</f>
        <v>0.02</v>
      </c>
    </row>
    <row r="195" ht="15.75" customHeight="1">
      <c r="A195" s="435"/>
      <c r="B195" s="436"/>
      <c r="C195" s="95" t="str">
        <f t="array" ref="C195">IF(I195&gt;0,INDEX(DB,I195,8),"")</f>
        <v/>
      </c>
      <c r="D195" s="437">
        <f t="shared" si="1"/>
        <v>0</v>
      </c>
      <c r="F195" s="438">
        <f t="shared" si="2"/>
        <v>0</v>
      </c>
      <c r="G195" t="str">
        <f t="shared" si="3"/>
        <v/>
      </c>
      <c r="H195" t="b">
        <f t="shared" si="4"/>
        <v>0</v>
      </c>
      <c r="I195" s="439">
        <f>IF(OR(ISBLANK(A195),ISNA(MATCH(A195&amp;"",AthleteNumbers,0))),0,MATCH(A195&amp;"",AthleteNumbers,0))</f>
        <v>0</v>
      </c>
      <c r="J195" s="209">
        <f t="array" ref="J195">IF(I195&gt;0,INDEX(DB,$I195,6),0)</f>
        <v>0</v>
      </c>
      <c r="K195" s="446">
        <f t="shared" si="5"/>
        <v>0</v>
      </c>
      <c r="L195" s="446">
        <f t="shared" si="6"/>
        <v>0</v>
      </c>
      <c r="M195" s="441">
        <f>IF(L195&lt;O195,MinPoints,IF(AND(L195&gt;N195,O195&gt;0),100,+INT(($L195-O195)/P195)+MinPoints))</f>
        <v>10</v>
      </c>
      <c r="N195" s="440">
        <f t="shared" si="7"/>
        <v>4.9</v>
      </c>
      <c r="O195" s="440">
        <f t="shared" si="8"/>
        <v>2.2</v>
      </c>
      <c r="P195" s="440">
        <f t="shared" si="9"/>
        <v>0.03</v>
      </c>
      <c r="Q195">
        <f t="array" ref="Q195">IF(I195&gt;0,INDEX(DB,I195,9),EventIndex)</f>
        <v>6</v>
      </c>
      <c r="S195" s="447">
        <f t="array" ref="S195">INDEX(MINVALUES,$Q195,$K$1)</f>
        <v>2.2</v>
      </c>
      <c r="T195" s="448">
        <f t="array" ref="T195">INDEX(INCVALUES,$Q195,$K$1)</f>
        <v>0.03</v>
      </c>
      <c r="V195">
        <f t="array" ref="V195">+J195+(4*(INDEX(MatchScoreTable,$Q195,20)-1))</f>
        <v>4</v>
      </c>
      <c r="W195" s="442">
        <f t="array" ref="W195">INDEX(INC_MINVALUES,$V195,$K$1)</f>
        <v>0.2</v>
      </c>
      <c r="X195" s="212">
        <f t="array" ref="X195">INDEX(INC_INCVALUES,$V195,$K$1)</f>
        <v>0.02</v>
      </c>
    </row>
    <row r="196" ht="15.75" customHeight="1">
      <c r="A196" s="435"/>
      <c r="B196" s="436"/>
      <c r="C196" s="95" t="str">
        <f t="array" ref="C196">IF(I196&gt;0,INDEX(DB,I196,8),"")</f>
        <v/>
      </c>
      <c r="D196" s="437">
        <f t="shared" si="1"/>
        <v>0</v>
      </c>
      <c r="F196" s="438">
        <f t="shared" si="2"/>
        <v>0</v>
      </c>
      <c r="G196" t="str">
        <f t="shared" si="3"/>
        <v/>
      </c>
      <c r="H196" t="b">
        <f t="shared" si="4"/>
        <v>0</v>
      </c>
      <c r="I196" s="439">
        <f>IF(OR(ISBLANK(A196),ISNA(MATCH(A196&amp;"",AthleteNumbers,0))),0,MATCH(A196&amp;"",AthleteNumbers,0))</f>
        <v>0</v>
      </c>
      <c r="J196" s="209">
        <f t="array" ref="J196">IF(I196&gt;0,INDEX(DB,$I196,6),0)</f>
        <v>0</v>
      </c>
      <c r="K196" s="446">
        <f t="shared" si="5"/>
        <v>0</v>
      </c>
      <c r="L196" s="446">
        <f t="shared" si="6"/>
        <v>0</v>
      </c>
      <c r="M196" s="441">
        <f>IF(L196&lt;O196,MinPoints,IF(AND(L196&gt;N196,O196&gt;0),100,+INT(($L196-O196)/P196)+MinPoints))</f>
        <v>10</v>
      </c>
      <c r="N196" s="440">
        <f t="shared" si="7"/>
        <v>4.9</v>
      </c>
      <c r="O196" s="440">
        <f t="shared" si="8"/>
        <v>2.2</v>
      </c>
      <c r="P196" s="440">
        <f t="shared" si="9"/>
        <v>0.03</v>
      </c>
      <c r="Q196">
        <f t="array" ref="Q196">IF(I196&gt;0,INDEX(DB,I196,9),EventIndex)</f>
        <v>6</v>
      </c>
      <c r="S196" s="447">
        <f t="array" ref="S196">INDEX(MINVALUES,$Q196,$K$1)</f>
        <v>2.2</v>
      </c>
      <c r="T196" s="448">
        <f t="array" ref="T196">INDEX(INCVALUES,$Q196,$K$1)</f>
        <v>0.03</v>
      </c>
      <c r="V196">
        <f t="array" ref="V196">+J196+(4*(INDEX(MatchScoreTable,$Q196,20)-1))</f>
        <v>4</v>
      </c>
      <c r="W196" s="442">
        <f t="array" ref="W196">INDEX(INC_MINVALUES,$V196,$K$1)</f>
        <v>0.2</v>
      </c>
      <c r="X196" s="212">
        <f t="array" ref="X196">INDEX(INC_INCVALUES,$V196,$K$1)</f>
        <v>0.02</v>
      </c>
    </row>
    <row r="197" ht="15.75" customHeight="1">
      <c r="A197" s="435"/>
      <c r="B197" s="436"/>
      <c r="C197" s="95" t="str">
        <f t="array" ref="C197">IF(I197&gt;0,INDEX(DB,I197,8),"")</f>
        <v/>
      </c>
      <c r="D197" s="437">
        <f t="shared" si="1"/>
        <v>0</v>
      </c>
      <c r="F197" s="438">
        <f t="shared" si="2"/>
        <v>0</v>
      </c>
      <c r="G197" t="str">
        <f t="shared" si="3"/>
        <v/>
      </c>
      <c r="H197" t="b">
        <f t="shared" si="4"/>
        <v>0</v>
      </c>
      <c r="I197" s="439">
        <f>IF(OR(ISBLANK(A197),ISNA(MATCH(A197&amp;"",AthleteNumbers,0))),0,MATCH(A197&amp;"",AthleteNumbers,0))</f>
        <v>0</v>
      </c>
      <c r="J197" s="209">
        <f t="array" ref="J197">IF(I197&gt;0,INDEX(DB,$I197,6),0)</f>
        <v>0</v>
      </c>
      <c r="K197" s="446">
        <f t="shared" si="5"/>
        <v>0</v>
      </c>
      <c r="L197" s="446">
        <f t="shared" si="6"/>
        <v>0</v>
      </c>
      <c r="M197" s="441">
        <f>IF(L197&lt;O197,MinPoints,IF(AND(L197&gt;N197,O197&gt;0),100,+INT(($L197-O197)/P197)+MinPoints))</f>
        <v>10</v>
      </c>
      <c r="N197" s="440">
        <f t="shared" si="7"/>
        <v>4.9</v>
      </c>
      <c r="O197" s="440">
        <f t="shared" si="8"/>
        <v>2.2</v>
      </c>
      <c r="P197" s="440">
        <f t="shared" si="9"/>
        <v>0.03</v>
      </c>
      <c r="Q197">
        <f t="array" ref="Q197">IF(I197&gt;0,INDEX(DB,I197,9),EventIndex)</f>
        <v>6</v>
      </c>
      <c r="S197" s="447">
        <f t="array" ref="S197">INDEX(MINVALUES,$Q197,$K$1)</f>
        <v>2.2</v>
      </c>
      <c r="T197" s="448">
        <f t="array" ref="T197">INDEX(INCVALUES,$Q197,$K$1)</f>
        <v>0.03</v>
      </c>
      <c r="V197">
        <f t="array" ref="V197">+J197+(4*(INDEX(MatchScoreTable,$Q197,20)-1))</f>
        <v>4</v>
      </c>
      <c r="W197" s="442">
        <f t="array" ref="W197">INDEX(INC_MINVALUES,$V197,$K$1)</f>
        <v>0.2</v>
      </c>
      <c r="X197" s="212">
        <f t="array" ref="X197">INDEX(INC_INCVALUES,$V197,$K$1)</f>
        <v>0.02</v>
      </c>
    </row>
    <row r="198" ht="15.75" customHeight="1">
      <c r="A198" s="435"/>
      <c r="B198" s="436"/>
      <c r="C198" s="95" t="str">
        <f t="array" ref="C198">IF(I198&gt;0,INDEX(DB,I198,8),"")</f>
        <v/>
      </c>
      <c r="D198" s="437">
        <f t="shared" si="1"/>
        <v>0</v>
      </c>
      <c r="F198" s="438">
        <f t="shared" si="2"/>
        <v>0</v>
      </c>
      <c r="G198" t="str">
        <f t="shared" si="3"/>
        <v/>
      </c>
      <c r="H198" t="b">
        <f t="shared" si="4"/>
        <v>0</v>
      </c>
      <c r="I198" s="439">
        <f>IF(OR(ISBLANK(A198),ISNA(MATCH(A198&amp;"",AthleteNumbers,0))),0,MATCH(A198&amp;"",AthleteNumbers,0))</f>
        <v>0</v>
      </c>
      <c r="J198" s="209">
        <f t="array" ref="J198">IF(I198&gt;0,INDEX(DB,$I198,6),0)</f>
        <v>0</v>
      </c>
      <c r="K198" s="446">
        <f t="shared" si="5"/>
        <v>0</v>
      </c>
      <c r="L198" s="446">
        <f t="shared" si="6"/>
        <v>0</v>
      </c>
      <c r="M198" s="441">
        <f>IF(L198&lt;O198,MinPoints,IF(AND(L198&gt;N198,O198&gt;0),100,+INT(($L198-O198)/P198)+MinPoints))</f>
        <v>10</v>
      </c>
      <c r="N198" s="440">
        <f t="shared" si="7"/>
        <v>4.9</v>
      </c>
      <c r="O198" s="440">
        <f t="shared" si="8"/>
        <v>2.2</v>
      </c>
      <c r="P198" s="440">
        <f t="shared" si="9"/>
        <v>0.03</v>
      </c>
      <c r="Q198">
        <f t="array" ref="Q198">IF(I198&gt;0,INDEX(DB,I198,9),EventIndex)</f>
        <v>6</v>
      </c>
      <c r="S198" s="447">
        <f t="array" ref="S198">INDEX(MINVALUES,$Q198,$K$1)</f>
        <v>2.2</v>
      </c>
      <c r="T198" s="448">
        <f t="array" ref="T198">INDEX(INCVALUES,$Q198,$K$1)</f>
        <v>0.03</v>
      </c>
      <c r="V198">
        <f t="array" ref="V198">+J198+(4*(INDEX(MatchScoreTable,$Q198,20)-1))</f>
        <v>4</v>
      </c>
      <c r="W198" s="442">
        <f t="array" ref="W198">INDEX(INC_MINVALUES,$V198,$K$1)</f>
        <v>0.2</v>
      </c>
      <c r="X198" s="212">
        <f t="array" ref="X198">INDEX(INC_INCVALUES,$V198,$K$1)</f>
        <v>0.02</v>
      </c>
    </row>
    <row r="199" ht="15.75" customHeight="1">
      <c r="A199" s="435"/>
      <c r="B199" s="436"/>
      <c r="C199" s="95" t="str">
        <f t="array" ref="C199">IF(I199&gt;0,INDEX(DB,I199,8),"")</f>
        <v/>
      </c>
      <c r="D199" s="437">
        <f t="shared" si="1"/>
        <v>0</v>
      </c>
      <c r="F199" s="438">
        <f t="shared" si="2"/>
        <v>0</v>
      </c>
      <c r="G199" t="str">
        <f t="shared" si="3"/>
        <v/>
      </c>
      <c r="H199" t="b">
        <f t="shared" si="4"/>
        <v>0</v>
      </c>
      <c r="I199" s="439">
        <f>IF(OR(ISBLANK(A199),ISNA(MATCH(A199&amp;"",AthleteNumbers,0))),0,MATCH(A199&amp;"",AthleteNumbers,0))</f>
        <v>0</v>
      </c>
      <c r="J199" s="209">
        <f t="array" ref="J199">IF(I199&gt;0,INDEX(DB,$I199,6),0)</f>
        <v>0</v>
      </c>
      <c r="K199" s="446">
        <f t="shared" si="5"/>
        <v>0</v>
      </c>
      <c r="L199" s="446">
        <f t="shared" si="6"/>
        <v>0</v>
      </c>
      <c r="M199" s="441">
        <f>IF(L199&lt;O199,MinPoints,IF(AND(L199&gt;N199,O199&gt;0),100,+INT(($L199-O199)/P199)+MinPoints))</f>
        <v>10</v>
      </c>
      <c r="N199" s="440">
        <f t="shared" si="7"/>
        <v>4.9</v>
      </c>
      <c r="O199" s="440">
        <f t="shared" si="8"/>
        <v>2.2</v>
      </c>
      <c r="P199" s="440">
        <f t="shared" si="9"/>
        <v>0.03</v>
      </c>
      <c r="Q199">
        <f t="array" ref="Q199">IF(I199&gt;0,INDEX(DB,I199,9),EventIndex)</f>
        <v>6</v>
      </c>
      <c r="S199" s="447">
        <f t="array" ref="S199">INDEX(MINVALUES,$Q199,$K$1)</f>
        <v>2.2</v>
      </c>
      <c r="T199" s="448">
        <f t="array" ref="T199">INDEX(INCVALUES,$Q199,$K$1)</f>
        <v>0.03</v>
      </c>
      <c r="V199">
        <f t="array" ref="V199">+J199+(4*(INDEX(MatchScoreTable,$Q199,20)-1))</f>
        <v>4</v>
      </c>
      <c r="W199" s="442">
        <f t="array" ref="W199">INDEX(INC_MINVALUES,$V199,$K$1)</f>
        <v>0.2</v>
      </c>
      <c r="X199" s="212">
        <f t="array" ref="X199">INDEX(INC_INCVALUES,$V199,$K$1)</f>
        <v>0.02</v>
      </c>
    </row>
    <row r="200" ht="15.75" customHeight="1">
      <c r="A200" s="435"/>
      <c r="B200" s="436"/>
      <c r="C200" s="95" t="str">
        <f t="array" ref="C200">IF(I200&gt;0,INDEX(DB,I200,8),"")</f>
        <v/>
      </c>
      <c r="D200" s="437">
        <f t="shared" si="1"/>
        <v>0</v>
      </c>
      <c r="F200" s="438">
        <f t="shared" si="2"/>
        <v>0</v>
      </c>
      <c r="G200" t="str">
        <f t="shared" si="3"/>
        <v/>
      </c>
      <c r="H200" t="b">
        <f t="shared" si="4"/>
        <v>0</v>
      </c>
      <c r="I200" s="439">
        <f>IF(OR(ISBLANK(A200),ISNA(MATCH(A200&amp;"",AthleteNumbers,0))),0,MATCH(A200&amp;"",AthleteNumbers,0))</f>
        <v>0</v>
      </c>
      <c r="J200" s="209">
        <f t="array" ref="J200">IF(I200&gt;0,INDEX(DB,$I200,6),0)</f>
        <v>0</v>
      </c>
      <c r="K200" s="446">
        <f t="shared" si="5"/>
        <v>0</v>
      </c>
      <c r="L200" s="446">
        <f t="shared" si="6"/>
        <v>0</v>
      </c>
      <c r="M200" s="441">
        <f>IF(L200&lt;O200,MinPoints,IF(AND(L200&gt;N200,O200&gt;0),100,+INT(($L200-O200)/P200)+MinPoints))</f>
        <v>10</v>
      </c>
      <c r="N200" s="440">
        <f t="shared" si="7"/>
        <v>4.9</v>
      </c>
      <c r="O200" s="440">
        <f t="shared" si="8"/>
        <v>2.2</v>
      </c>
      <c r="P200" s="440">
        <f t="shared" si="9"/>
        <v>0.03</v>
      </c>
      <c r="Q200">
        <f t="array" ref="Q200">IF(I200&gt;0,INDEX(DB,I200,9),EventIndex)</f>
        <v>6</v>
      </c>
      <c r="S200" s="447">
        <f t="array" ref="S200">INDEX(MINVALUES,$Q200,$K$1)</f>
        <v>2.2</v>
      </c>
      <c r="T200" s="448">
        <f t="array" ref="T200">INDEX(INCVALUES,$Q200,$K$1)</f>
        <v>0.03</v>
      </c>
      <c r="V200">
        <f t="array" ref="V200">+J200+(4*(INDEX(MatchScoreTable,$Q200,20)-1))</f>
        <v>4</v>
      </c>
      <c r="W200" s="442">
        <f t="array" ref="W200">INDEX(INC_MINVALUES,$V200,$K$1)</f>
        <v>0.2</v>
      </c>
      <c r="X200" s="212">
        <f t="array" ref="X200">INDEX(INC_INCVALUES,$V200,$K$1)</f>
        <v>0.02</v>
      </c>
    </row>
    <row r="201" ht="15.75" customHeight="1">
      <c r="A201" s="435"/>
      <c r="B201" s="436"/>
      <c r="C201" s="95" t="str">
        <f t="array" ref="C201">IF(I201&gt;0,INDEX(DB,I201,8),"")</f>
        <v/>
      </c>
      <c r="D201" s="437">
        <f t="shared" si="1"/>
        <v>0</v>
      </c>
      <c r="F201" s="438">
        <f t="shared" si="2"/>
        <v>0</v>
      </c>
      <c r="G201" t="str">
        <f t="shared" si="3"/>
        <v/>
      </c>
      <c r="H201" t="b">
        <f t="shared" si="4"/>
        <v>0</v>
      </c>
      <c r="I201" s="439">
        <f>IF(OR(ISBLANK(A201),ISNA(MATCH(A201&amp;"",AthleteNumbers,0))),0,MATCH(A201&amp;"",AthleteNumbers,0))</f>
        <v>0</v>
      </c>
      <c r="J201" s="209">
        <f t="array" ref="J201">IF(I201&gt;0,INDEX(DB,$I201,6),0)</f>
        <v>0</v>
      </c>
      <c r="K201" s="446">
        <f t="shared" si="5"/>
        <v>0</v>
      </c>
      <c r="L201" s="446">
        <f t="shared" si="6"/>
        <v>0</v>
      </c>
      <c r="M201" s="441">
        <f>IF(L201&lt;O201,MinPoints,IF(AND(L201&gt;N201,O201&gt;0),100,+INT(($L201-O201)/P201)+MinPoints))</f>
        <v>10</v>
      </c>
      <c r="N201" s="440">
        <f t="shared" si="7"/>
        <v>4.9</v>
      </c>
      <c r="O201" s="440">
        <f t="shared" si="8"/>
        <v>2.2</v>
      </c>
      <c r="P201" s="440">
        <f t="shared" si="9"/>
        <v>0.03</v>
      </c>
      <c r="Q201">
        <f t="array" ref="Q201">IF(I201&gt;0,INDEX(DB,I201,9),EventIndex)</f>
        <v>6</v>
      </c>
      <c r="S201" s="447">
        <f t="array" ref="S201">INDEX(MINVALUES,$Q201,$K$1)</f>
        <v>2.2</v>
      </c>
      <c r="T201" s="448">
        <f t="array" ref="T201">INDEX(INCVALUES,$Q201,$K$1)</f>
        <v>0.03</v>
      </c>
      <c r="V201">
        <f t="array" ref="V201">+J201+(4*(INDEX(MatchScoreTable,$Q201,20)-1))</f>
        <v>4</v>
      </c>
      <c r="W201" s="442">
        <f t="array" ref="W201">INDEX(INC_MINVALUES,$V201,$K$1)</f>
        <v>0.2</v>
      </c>
      <c r="X201" s="212">
        <f t="array" ref="X201">INDEX(INC_INCVALUES,$V201,$K$1)</f>
        <v>0.02</v>
      </c>
    </row>
    <row r="202" ht="15.75" customHeight="1">
      <c r="A202" s="435"/>
      <c r="B202" s="436"/>
      <c r="C202" s="95" t="str">
        <f t="array" ref="C202">IF(I202&gt;0,INDEX(DB,I202,8),"")</f>
        <v/>
      </c>
      <c r="D202" s="437">
        <f t="shared" si="1"/>
        <v>0</v>
      </c>
      <c r="F202" s="438">
        <f t="shared" si="2"/>
        <v>0</v>
      </c>
      <c r="G202" t="str">
        <f t="shared" si="3"/>
        <v/>
      </c>
      <c r="H202" t="b">
        <f t="shared" si="4"/>
        <v>0</v>
      </c>
      <c r="I202" s="439">
        <f>IF(OR(ISBLANK(A202),ISNA(MATCH(A202&amp;"",AthleteNumbers,0))),0,MATCH(A202&amp;"",AthleteNumbers,0))</f>
        <v>0</v>
      </c>
      <c r="J202" s="209">
        <f t="array" ref="J202">IF(I202&gt;0,INDEX(DB,$I202,6),0)</f>
        <v>0</v>
      </c>
      <c r="K202" s="446">
        <f t="shared" si="5"/>
        <v>0</v>
      </c>
      <c r="L202" s="446">
        <f t="shared" si="6"/>
        <v>0</v>
      </c>
      <c r="M202" s="441">
        <f>IF(L202&lt;O202,MinPoints,IF(AND(L202&gt;N202,O202&gt;0),100,+INT(($L202-O202)/P202)+MinPoints))</f>
        <v>10</v>
      </c>
      <c r="N202" s="440">
        <f t="shared" si="7"/>
        <v>4.9</v>
      </c>
      <c r="O202" s="440">
        <f t="shared" si="8"/>
        <v>2.2</v>
      </c>
      <c r="P202" s="440">
        <f t="shared" si="9"/>
        <v>0.03</v>
      </c>
      <c r="Q202">
        <f t="array" ref="Q202">IF(I202&gt;0,INDEX(DB,I202,9),EventIndex)</f>
        <v>6</v>
      </c>
      <c r="S202" s="447">
        <f t="array" ref="S202">INDEX(MINVALUES,$Q202,$K$1)</f>
        <v>2.2</v>
      </c>
      <c r="T202" s="448">
        <f t="array" ref="T202">INDEX(INCVALUES,$Q202,$K$1)</f>
        <v>0.03</v>
      </c>
      <c r="V202">
        <f t="array" ref="V202">+J202+(4*(INDEX(MatchScoreTable,$Q202,20)-1))</f>
        <v>4</v>
      </c>
      <c r="W202" s="442">
        <f t="array" ref="W202">INDEX(INC_MINVALUES,$V202,$K$1)</f>
        <v>0.2</v>
      </c>
      <c r="X202" s="212">
        <f t="array" ref="X202">INDEX(INC_INCVALUES,$V202,$K$1)</f>
        <v>0.02</v>
      </c>
    </row>
    <row r="203" ht="15.75" customHeight="1">
      <c r="A203" s="435"/>
      <c r="B203" s="436"/>
      <c r="C203" s="95" t="str">
        <f t="array" ref="C203">IF(I203&gt;0,INDEX(DB,I203,8),"")</f>
        <v/>
      </c>
      <c r="D203" s="437">
        <f t="shared" si="1"/>
        <v>0</v>
      </c>
      <c r="F203" s="438">
        <f t="shared" si="2"/>
        <v>0</v>
      </c>
      <c r="G203" t="str">
        <f t="shared" si="3"/>
        <v/>
      </c>
      <c r="H203" t="b">
        <f t="shared" si="4"/>
        <v>0</v>
      </c>
      <c r="I203" s="439">
        <f>IF(OR(ISBLANK(A203),ISNA(MATCH(A203&amp;"",AthleteNumbers,0))),0,MATCH(A203&amp;"",AthleteNumbers,0))</f>
        <v>0</v>
      </c>
      <c r="J203" s="209">
        <f t="array" ref="J203">IF(I203&gt;0,INDEX(DB,$I203,6),0)</f>
        <v>0</v>
      </c>
      <c r="K203" s="446">
        <f t="shared" si="5"/>
        <v>0</v>
      </c>
      <c r="L203" s="446">
        <f t="shared" si="6"/>
        <v>0</v>
      </c>
      <c r="M203" s="441">
        <f>IF(L203&lt;O203,MinPoints,IF(AND(L203&gt;N203,O203&gt;0),100,+INT(($L203-O203)/P203)+MinPoints))</f>
        <v>10</v>
      </c>
      <c r="N203" s="440">
        <f t="shared" si="7"/>
        <v>4.9</v>
      </c>
      <c r="O203" s="440">
        <f t="shared" si="8"/>
        <v>2.2</v>
      </c>
      <c r="P203" s="440">
        <f t="shared" si="9"/>
        <v>0.03</v>
      </c>
      <c r="Q203">
        <f t="array" ref="Q203">IF(I203&gt;0,INDEX(DB,I203,9),EventIndex)</f>
        <v>6</v>
      </c>
      <c r="S203" s="447">
        <f t="array" ref="S203">INDEX(MINVALUES,$Q203,$K$1)</f>
        <v>2.2</v>
      </c>
      <c r="T203" s="448">
        <f t="array" ref="T203">INDEX(INCVALUES,$Q203,$K$1)</f>
        <v>0.03</v>
      </c>
      <c r="V203">
        <f t="array" ref="V203">+J203+(4*(INDEX(MatchScoreTable,$Q203,20)-1))</f>
        <v>4</v>
      </c>
      <c r="W203" s="442">
        <f t="array" ref="W203">INDEX(INC_MINVALUES,$V203,$K$1)</f>
        <v>0.2</v>
      </c>
      <c r="X203" s="212">
        <f t="array" ref="X203">INDEX(INC_INCVALUES,$V203,$K$1)</f>
        <v>0.02</v>
      </c>
    </row>
    <row r="204" ht="15.75" customHeight="1">
      <c r="A204" s="435"/>
      <c r="B204" s="436"/>
      <c r="C204" s="95" t="str">
        <f t="array" ref="C204">IF(I204&gt;0,INDEX(DB,I204,8),"")</f>
        <v/>
      </c>
      <c r="D204" s="437">
        <f t="shared" si="1"/>
        <v>0</v>
      </c>
      <c r="F204" s="438">
        <f t="shared" si="2"/>
        <v>0</v>
      </c>
      <c r="G204" t="str">
        <f t="shared" si="3"/>
        <v/>
      </c>
      <c r="H204" t="b">
        <f t="shared" si="4"/>
        <v>0</v>
      </c>
      <c r="I204" s="439">
        <f>IF(OR(ISBLANK(A204),ISNA(MATCH(A204&amp;"",AthleteNumbers,0))),0,MATCH(A204&amp;"",AthleteNumbers,0))</f>
        <v>0</v>
      </c>
      <c r="J204" s="209">
        <f t="array" ref="J204">IF(I204&gt;0,INDEX(DB,$I204,6),0)</f>
        <v>0</v>
      </c>
      <c r="K204" s="446">
        <f t="shared" si="5"/>
        <v>0</v>
      </c>
      <c r="L204" s="446">
        <f t="shared" si="6"/>
        <v>0</v>
      </c>
      <c r="M204" s="441">
        <f>IF(L204&lt;O204,MinPoints,IF(AND(L204&gt;N204,O204&gt;0),100,+INT(($L204-O204)/P204)+MinPoints))</f>
        <v>10</v>
      </c>
      <c r="N204" s="440">
        <f t="shared" si="7"/>
        <v>4.9</v>
      </c>
      <c r="O204" s="440">
        <f t="shared" si="8"/>
        <v>2.2</v>
      </c>
      <c r="P204" s="440">
        <f t="shared" si="9"/>
        <v>0.03</v>
      </c>
      <c r="Q204">
        <f t="array" ref="Q204">IF(I204&gt;0,INDEX(DB,I204,9),EventIndex)</f>
        <v>6</v>
      </c>
      <c r="S204" s="447">
        <f t="array" ref="S204">INDEX(MINVALUES,$Q204,$K$1)</f>
        <v>2.2</v>
      </c>
      <c r="T204" s="448">
        <f t="array" ref="T204">INDEX(INCVALUES,$Q204,$K$1)</f>
        <v>0.03</v>
      </c>
      <c r="V204">
        <f t="array" ref="V204">+J204+(4*(INDEX(MatchScoreTable,$Q204,20)-1))</f>
        <v>4</v>
      </c>
      <c r="W204" s="442">
        <f t="array" ref="W204">INDEX(INC_MINVALUES,$V204,$K$1)</f>
        <v>0.2</v>
      </c>
      <c r="X204" s="212">
        <f t="array" ref="X204">INDEX(INC_INCVALUES,$V204,$K$1)</f>
        <v>0.02</v>
      </c>
    </row>
    <row r="205" ht="15.75" customHeight="1">
      <c r="A205" s="435"/>
      <c r="B205" s="436"/>
      <c r="C205" s="95" t="str">
        <f t="array" ref="C205">IF(I205&gt;0,INDEX(DB,I205,8),"")</f>
        <v/>
      </c>
      <c r="D205" s="437">
        <f t="shared" si="1"/>
        <v>0</v>
      </c>
      <c r="F205" s="438">
        <f t="shared" si="2"/>
        <v>0</v>
      </c>
      <c r="G205" t="str">
        <f t="shared" si="3"/>
        <v/>
      </c>
      <c r="H205" t="b">
        <f t="shared" si="4"/>
        <v>0</v>
      </c>
      <c r="I205" s="439">
        <f>IF(OR(ISBLANK(A205),ISNA(MATCH(A205&amp;"",AthleteNumbers,0))),0,MATCH(A205&amp;"",AthleteNumbers,0))</f>
        <v>0</v>
      </c>
      <c r="J205" s="209">
        <f t="array" ref="J205">IF(I205&gt;0,INDEX(DB,$I205,6),0)</f>
        <v>0</v>
      </c>
      <c r="K205" s="446">
        <f t="shared" si="5"/>
        <v>0</v>
      </c>
      <c r="L205" s="446">
        <f t="shared" si="6"/>
        <v>0</v>
      </c>
      <c r="M205" s="441">
        <f>IF(L205&lt;O205,MinPoints,IF(AND(L205&gt;N205,O205&gt;0),100,+INT(($L205-O205)/P205)+MinPoints))</f>
        <v>10</v>
      </c>
      <c r="N205" s="440">
        <f t="shared" si="7"/>
        <v>4.9</v>
      </c>
      <c r="O205" s="440">
        <f t="shared" si="8"/>
        <v>2.2</v>
      </c>
      <c r="P205" s="440">
        <f t="shared" si="9"/>
        <v>0.03</v>
      </c>
      <c r="Q205">
        <f t="array" ref="Q205">IF(I205&gt;0,INDEX(DB,I205,9),EventIndex)</f>
        <v>6</v>
      </c>
      <c r="S205" s="447">
        <f t="array" ref="S205">INDEX(MINVALUES,$Q205,$K$1)</f>
        <v>2.2</v>
      </c>
      <c r="T205" s="448">
        <f t="array" ref="T205">INDEX(INCVALUES,$Q205,$K$1)</f>
        <v>0.03</v>
      </c>
      <c r="V205">
        <f t="array" ref="V205">+J205+(4*(INDEX(MatchScoreTable,$Q205,20)-1))</f>
        <v>4</v>
      </c>
      <c r="W205" s="442">
        <f t="array" ref="W205">INDEX(INC_MINVALUES,$V205,$K$1)</f>
        <v>0.2</v>
      </c>
      <c r="X205" s="212">
        <f t="array" ref="X205">INDEX(INC_INCVALUES,$V205,$K$1)</f>
        <v>0.02</v>
      </c>
    </row>
    <row r="206" ht="15.75" customHeight="1">
      <c r="A206" s="435"/>
      <c r="B206" s="436"/>
      <c r="C206" s="95" t="str">
        <f t="array" ref="C206">IF(I206&gt;0,INDEX(DB,I206,8),"")</f>
        <v/>
      </c>
      <c r="D206" s="437">
        <f t="shared" si="1"/>
        <v>0</v>
      </c>
      <c r="F206" s="438">
        <f t="shared" si="2"/>
        <v>0</v>
      </c>
      <c r="G206" t="str">
        <f t="shared" si="3"/>
        <v/>
      </c>
      <c r="H206" t="b">
        <f t="shared" si="4"/>
        <v>0</v>
      </c>
      <c r="I206" s="439">
        <f>IF(OR(ISBLANK(A206),ISNA(MATCH(A206&amp;"",AthleteNumbers,0))),0,MATCH(A206&amp;"",AthleteNumbers,0))</f>
        <v>0</v>
      </c>
      <c r="J206" s="209">
        <f t="array" ref="J206">IF(I206&gt;0,INDEX(DB,$I206,6),0)</f>
        <v>0</v>
      </c>
      <c r="K206" s="446">
        <f t="shared" si="5"/>
        <v>0</v>
      </c>
      <c r="L206" s="446">
        <f t="shared" si="6"/>
        <v>0</v>
      </c>
      <c r="M206" s="441">
        <f>IF(L206&lt;O206,MinPoints,IF(AND(L206&gt;N206,O206&gt;0),100,+INT(($L206-O206)/P206)+MinPoints))</f>
        <v>10</v>
      </c>
      <c r="N206" s="440">
        <f t="shared" si="7"/>
        <v>4.9</v>
      </c>
      <c r="O206" s="440">
        <f t="shared" si="8"/>
        <v>2.2</v>
      </c>
      <c r="P206" s="440">
        <f t="shared" si="9"/>
        <v>0.03</v>
      </c>
      <c r="Q206">
        <f t="array" ref="Q206">IF(I206&gt;0,INDEX(DB,I206,9),EventIndex)</f>
        <v>6</v>
      </c>
      <c r="S206" s="447">
        <f t="array" ref="S206">INDEX(MINVALUES,$Q206,$K$1)</f>
        <v>2.2</v>
      </c>
      <c r="T206" s="448">
        <f t="array" ref="T206">INDEX(INCVALUES,$Q206,$K$1)</f>
        <v>0.03</v>
      </c>
      <c r="V206">
        <f t="array" ref="V206">+J206+(4*(INDEX(MatchScoreTable,$Q206,20)-1))</f>
        <v>4</v>
      </c>
      <c r="W206" s="442">
        <f t="array" ref="W206">INDEX(INC_MINVALUES,$V206,$K$1)</f>
        <v>0.2</v>
      </c>
      <c r="X206" s="212">
        <f t="array" ref="X206">INDEX(INC_INCVALUES,$V206,$K$1)</f>
        <v>0.02</v>
      </c>
    </row>
    <row r="207" ht="15.75" customHeight="1">
      <c r="A207" s="435"/>
      <c r="B207" s="436"/>
      <c r="C207" s="95" t="str">
        <f t="array" ref="C207">IF(I207&gt;0,INDEX(DB,I207,8),"")</f>
        <v/>
      </c>
      <c r="D207" s="437">
        <f t="shared" si="1"/>
        <v>0</v>
      </c>
      <c r="F207" s="438">
        <f t="shared" si="2"/>
        <v>0</v>
      </c>
      <c r="G207" t="str">
        <f t="shared" si="3"/>
        <v/>
      </c>
      <c r="H207" t="b">
        <f t="shared" si="4"/>
        <v>0</v>
      </c>
      <c r="I207" s="439">
        <f>IF(OR(ISBLANK(A207),ISNA(MATCH(A207&amp;"",AthleteNumbers,0))),0,MATCH(A207&amp;"",AthleteNumbers,0))</f>
        <v>0</v>
      </c>
      <c r="J207" s="209">
        <f t="array" ref="J207">IF(I207&gt;0,INDEX(DB,$I207,6),0)</f>
        <v>0</v>
      </c>
      <c r="K207" s="446">
        <f t="shared" si="5"/>
        <v>0</v>
      </c>
      <c r="L207" s="446">
        <f t="shared" si="6"/>
        <v>0</v>
      </c>
      <c r="M207" s="441">
        <f>IF(L207&lt;O207,MinPoints,IF(AND(L207&gt;N207,O207&gt;0),100,+INT(($L207-O207)/P207)+MinPoints))</f>
        <v>10</v>
      </c>
      <c r="N207" s="440">
        <f t="shared" si="7"/>
        <v>4.9</v>
      </c>
      <c r="O207" s="440">
        <f t="shared" si="8"/>
        <v>2.2</v>
      </c>
      <c r="P207" s="440">
        <f t="shared" si="9"/>
        <v>0.03</v>
      </c>
      <c r="Q207">
        <f t="array" ref="Q207">IF(I207&gt;0,INDEX(DB,I207,9),EventIndex)</f>
        <v>6</v>
      </c>
      <c r="S207" s="447">
        <f t="array" ref="S207">INDEX(MINVALUES,$Q207,$K$1)</f>
        <v>2.2</v>
      </c>
      <c r="T207" s="448">
        <f t="array" ref="T207">INDEX(INCVALUES,$Q207,$K$1)</f>
        <v>0.03</v>
      </c>
      <c r="V207">
        <f t="array" ref="V207">+J207+(4*(INDEX(MatchScoreTable,$Q207,20)-1))</f>
        <v>4</v>
      </c>
      <c r="W207" s="442">
        <f t="array" ref="W207">INDEX(INC_MINVALUES,$V207,$K$1)</f>
        <v>0.2</v>
      </c>
      <c r="X207" s="212">
        <f t="array" ref="X207">INDEX(INC_INCVALUES,$V207,$K$1)</f>
        <v>0.02</v>
      </c>
    </row>
    <row r="208" ht="15.75" customHeight="1">
      <c r="A208" s="435"/>
      <c r="B208" s="436"/>
      <c r="C208" s="95" t="str">
        <f t="array" ref="C208">IF(I208&gt;0,INDEX(DB,I208,8),"")</f>
        <v/>
      </c>
      <c r="D208" s="437">
        <f t="shared" si="1"/>
        <v>0</v>
      </c>
      <c r="F208" s="438">
        <f t="shared" si="2"/>
        <v>0</v>
      </c>
      <c r="G208" t="str">
        <f t="shared" si="3"/>
        <v/>
      </c>
      <c r="H208" t="b">
        <f t="shared" si="4"/>
        <v>0</v>
      </c>
      <c r="I208" s="439">
        <f>IF(OR(ISBLANK(A208),ISNA(MATCH(A208&amp;"",AthleteNumbers,0))),0,MATCH(A208&amp;"",AthleteNumbers,0))</f>
        <v>0</v>
      </c>
      <c r="J208" s="209">
        <f t="array" ref="J208">IF(I208&gt;0,INDEX(DB,$I208,6),0)</f>
        <v>0</v>
      </c>
      <c r="K208" s="446">
        <f t="shared" si="5"/>
        <v>0</v>
      </c>
      <c r="L208" s="446">
        <f t="shared" si="6"/>
        <v>0</v>
      </c>
      <c r="M208" s="441">
        <f>IF(L208&lt;O208,MinPoints,IF(AND(L208&gt;N208,O208&gt;0),100,+INT(($L208-O208)/P208)+MinPoints))</f>
        <v>10</v>
      </c>
      <c r="N208" s="440">
        <f t="shared" si="7"/>
        <v>4.9</v>
      </c>
      <c r="O208" s="440">
        <f t="shared" si="8"/>
        <v>2.2</v>
      </c>
      <c r="P208" s="440">
        <f t="shared" si="9"/>
        <v>0.03</v>
      </c>
      <c r="Q208">
        <f t="array" ref="Q208">IF(I208&gt;0,INDEX(DB,I208,9),EventIndex)</f>
        <v>6</v>
      </c>
      <c r="S208" s="447">
        <f t="array" ref="S208">INDEX(MINVALUES,$Q208,$K$1)</f>
        <v>2.2</v>
      </c>
      <c r="T208" s="448">
        <f t="array" ref="T208">INDEX(INCVALUES,$Q208,$K$1)</f>
        <v>0.03</v>
      </c>
      <c r="V208">
        <f t="array" ref="V208">+J208+(4*(INDEX(MatchScoreTable,$Q208,20)-1))</f>
        <v>4</v>
      </c>
      <c r="W208" s="442">
        <f t="array" ref="W208">INDEX(INC_MINVALUES,$V208,$K$1)</f>
        <v>0.2</v>
      </c>
      <c r="X208" s="212">
        <f t="array" ref="X208">INDEX(INC_INCVALUES,$V208,$K$1)</f>
        <v>0.02</v>
      </c>
    </row>
    <row r="209" ht="15.75" customHeight="1">
      <c r="A209" s="435"/>
      <c r="B209" s="436"/>
      <c r="C209" s="95" t="str">
        <f t="array" ref="C209">IF(I209&gt;0,INDEX(DB,I209,8),"")</f>
        <v/>
      </c>
      <c r="D209" s="437">
        <f t="shared" si="1"/>
        <v>0</v>
      </c>
      <c r="F209" s="438">
        <f t="shared" si="2"/>
        <v>0</v>
      </c>
      <c r="G209" t="str">
        <f t="shared" si="3"/>
        <v/>
      </c>
      <c r="H209" t="b">
        <f t="shared" si="4"/>
        <v>0</v>
      </c>
      <c r="I209" s="439">
        <f>IF(OR(ISBLANK(A209),ISNA(MATCH(A209&amp;"",AthleteNumbers,0))),0,MATCH(A209&amp;"",AthleteNumbers,0))</f>
        <v>0</v>
      </c>
      <c r="J209" s="209">
        <f t="array" ref="J209">IF(I209&gt;0,INDEX(DB,$I209,6),0)</f>
        <v>0</v>
      </c>
      <c r="K209" s="446">
        <f t="shared" si="5"/>
        <v>0</v>
      </c>
      <c r="L209" s="446">
        <f t="shared" si="6"/>
        <v>0</v>
      </c>
      <c r="M209" s="441">
        <f>IF(L209&lt;O209,MinPoints,IF(AND(L209&gt;N209,O209&gt;0),100,+INT(($L209-O209)/P209)+MinPoints))</f>
        <v>10</v>
      </c>
      <c r="N209" s="440">
        <f t="shared" si="7"/>
        <v>4.9</v>
      </c>
      <c r="O209" s="440">
        <f t="shared" si="8"/>
        <v>2.2</v>
      </c>
      <c r="P209" s="440">
        <f t="shared" si="9"/>
        <v>0.03</v>
      </c>
      <c r="Q209">
        <f t="array" ref="Q209">IF(I209&gt;0,INDEX(DB,I209,9),EventIndex)</f>
        <v>6</v>
      </c>
      <c r="S209" s="447">
        <f t="array" ref="S209">INDEX(MINVALUES,$Q209,$K$1)</f>
        <v>2.2</v>
      </c>
      <c r="T209" s="448">
        <f t="array" ref="T209">INDEX(INCVALUES,$Q209,$K$1)</f>
        <v>0.03</v>
      </c>
      <c r="V209">
        <f t="array" ref="V209">+J209+(4*(INDEX(MatchScoreTable,$Q209,20)-1))</f>
        <v>4</v>
      </c>
      <c r="W209" s="442">
        <f t="array" ref="W209">INDEX(INC_MINVALUES,$V209,$K$1)</f>
        <v>0.2</v>
      </c>
      <c r="X209" s="212">
        <f t="array" ref="X209">INDEX(INC_INCVALUES,$V209,$K$1)</f>
        <v>0.02</v>
      </c>
    </row>
    <row r="210" ht="15.75" customHeight="1">
      <c r="A210" s="435"/>
      <c r="B210" s="436"/>
      <c r="C210" s="95" t="str">
        <f t="array" ref="C210">IF(I210&gt;0,INDEX(DB,I210,8),"")</f>
        <v/>
      </c>
      <c r="D210" s="437">
        <f t="shared" si="1"/>
        <v>0</v>
      </c>
      <c r="F210" s="438">
        <f t="shared" si="2"/>
        <v>0</v>
      </c>
      <c r="G210" t="str">
        <f t="shared" si="3"/>
        <v/>
      </c>
      <c r="H210" t="b">
        <f t="shared" si="4"/>
        <v>0</v>
      </c>
      <c r="I210" s="439">
        <f>IF(OR(ISBLANK(A210),ISNA(MATCH(A210&amp;"",AthleteNumbers,0))),0,MATCH(A210&amp;"",AthleteNumbers,0))</f>
        <v>0</v>
      </c>
      <c r="J210" s="209">
        <f t="array" ref="J210">IF(I210&gt;0,INDEX(DB,$I210,6),0)</f>
        <v>0</v>
      </c>
      <c r="K210" s="446">
        <f t="shared" si="5"/>
        <v>0</v>
      </c>
      <c r="L210" s="446">
        <f t="shared" si="6"/>
        <v>0</v>
      </c>
      <c r="M210" s="441">
        <f>IF(L210&lt;O210,MinPoints,IF(AND(L210&gt;N210,O210&gt;0),100,+INT(($L210-O210)/P210)+MinPoints))</f>
        <v>10</v>
      </c>
      <c r="N210" s="440">
        <f t="shared" si="7"/>
        <v>4.9</v>
      </c>
      <c r="O210" s="440">
        <f t="shared" si="8"/>
        <v>2.2</v>
      </c>
      <c r="P210" s="440">
        <f t="shared" si="9"/>
        <v>0.03</v>
      </c>
      <c r="Q210">
        <f t="array" ref="Q210">IF(I210&gt;0,INDEX(DB,I210,9),EventIndex)</f>
        <v>6</v>
      </c>
      <c r="S210" s="447">
        <f t="array" ref="S210">INDEX(MINVALUES,$Q210,$K$1)</f>
        <v>2.2</v>
      </c>
      <c r="T210" s="448">
        <f t="array" ref="T210">INDEX(INCVALUES,$Q210,$K$1)</f>
        <v>0.03</v>
      </c>
      <c r="V210">
        <f t="array" ref="V210">+J210+(4*(INDEX(MatchScoreTable,$Q210,20)-1))</f>
        <v>4</v>
      </c>
      <c r="W210" s="442">
        <f t="array" ref="W210">INDEX(INC_MINVALUES,$V210,$K$1)</f>
        <v>0.2</v>
      </c>
      <c r="X210" s="212">
        <f t="array" ref="X210">INDEX(INC_INCVALUES,$V210,$K$1)</f>
        <v>0.02</v>
      </c>
    </row>
    <row r="211" ht="15.75" customHeight="1">
      <c r="A211" s="435"/>
      <c r="B211" s="436"/>
      <c r="C211" s="95" t="str">
        <f t="array" ref="C211">IF(I211&gt;0,INDEX(DB,I211,8),"")</f>
        <v/>
      </c>
      <c r="D211" s="437">
        <f t="shared" si="1"/>
        <v>0</v>
      </c>
      <c r="F211" s="438">
        <f t="shared" si="2"/>
        <v>0</v>
      </c>
      <c r="G211" t="str">
        <f t="shared" si="3"/>
        <v/>
      </c>
      <c r="H211" t="b">
        <f t="shared" si="4"/>
        <v>0</v>
      </c>
      <c r="I211" s="439">
        <f>IF(OR(ISBLANK(A211),ISNA(MATCH(A211&amp;"",AthleteNumbers,0))),0,MATCH(A211&amp;"",AthleteNumbers,0))</f>
        <v>0</v>
      </c>
      <c r="J211" s="209">
        <f t="array" ref="J211">IF(I211&gt;0,INDEX(DB,$I211,6),0)</f>
        <v>0</v>
      </c>
      <c r="K211" s="446">
        <f t="shared" si="5"/>
        <v>0</v>
      </c>
      <c r="L211" s="446">
        <f t="shared" si="6"/>
        <v>0</v>
      </c>
      <c r="M211" s="441">
        <f>IF(L211&lt;O211,MinPoints,IF(AND(L211&gt;N211,O211&gt;0),100,+INT(($L211-O211)/P211)+MinPoints))</f>
        <v>10</v>
      </c>
      <c r="N211" s="440">
        <f t="shared" si="7"/>
        <v>4.9</v>
      </c>
      <c r="O211" s="440">
        <f t="shared" si="8"/>
        <v>2.2</v>
      </c>
      <c r="P211" s="440">
        <f t="shared" si="9"/>
        <v>0.03</v>
      </c>
      <c r="Q211">
        <f t="array" ref="Q211">IF(I211&gt;0,INDEX(DB,I211,9),EventIndex)</f>
        <v>6</v>
      </c>
      <c r="S211" s="447">
        <f t="array" ref="S211">INDEX(MINVALUES,$Q211,$K$1)</f>
        <v>2.2</v>
      </c>
      <c r="T211" s="448">
        <f t="array" ref="T211">INDEX(INCVALUES,$Q211,$K$1)</f>
        <v>0.03</v>
      </c>
      <c r="V211">
        <f t="array" ref="V211">+J211+(4*(INDEX(MatchScoreTable,$Q211,20)-1))</f>
        <v>4</v>
      </c>
      <c r="W211" s="442">
        <f t="array" ref="W211">INDEX(INC_MINVALUES,$V211,$K$1)</f>
        <v>0.2</v>
      </c>
      <c r="X211" s="212">
        <f t="array" ref="X211">INDEX(INC_INCVALUES,$V211,$K$1)</f>
        <v>0.02</v>
      </c>
    </row>
    <row r="212" ht="15.75" customHeight="1">
      <c r="A212" s="435"/>
      <c r="B212" s="436"/>
      <c r="C212" s="95" t="str">
        <f t="array" ref="C212">IF(I212&gt;0,INDEX(DB,I212,8),"")</f>
        <v/>
      </c>
      <c r="D212" s="437">
        <f t="shared" si="1"/>
        <v>0</v>
      </c>
      <c r="F212" s="438">
        <f t="shared" si="2"/>
        <v>0</v>
      </c>
      <c r="G212" t="str">
        <f t="shared" si="3"/>
        <v/>
      </c>
      <c r="H212" t="b">
        <f t="shared" si="4"/>
        <v>0</v>
      </c>
      <c r="I212" s="439">
        <f>IF(OR(ISBLANK(A212),ISNA(MATCH(A212&amp;"",AthleteNumbers,0))),0,MATCH(A212&amp;"",AthleteNumbers,0))</f>
        <v>0</v>
      </c>
      <c r="J212" s="209">
        <f t="array" ref="J212">IF(I212&gt;0,INDEX(DB,$I212,6),0)</f>
        <v>0</v>
      </c>
      <c r="K212" s="446">
        <f t="shared" si="5"/>
        <v>0</v>
      </c>
      <c r="L212" s="446">
        <f t="shared" si="6"/>
        <v>0</v>
      </c>
      <c r="M212" s="441">
        <f>IF(L212&lt;O212,MinPoints,IF(AND(L212&gt;N212,O212&gt;0),100,+INT(($L212-O212)/P212)+MinPoints))</f>
        <v>10</v>
      </c>
      <c r="N212" s="440">
        <f t="shared" si="7"/>
        <v>4.9</v>
      </c>
      <c r="O212" s="440">
        <f t="shared" si="8"/>
        <v>2.2</v>
      </c>
      <c r="P212" s="440">
        <f t="shared" si="9"/>
        <v>0.03</v>
      </c>
      <c r="Q212">
        <f t="array" ref="Q212">IF(I212&gt;0,INDEX(DB,I212,9),EventIndex)</f>
        <v>6</v>
      </c>
      <c r="S212" s="447">
        <f t="array" ref="S212">INDEX(MINVALUES,$Q212,$K$1)</f>
        <v>2.2</v>
      </c>
      <c r="T212" s="448">
        <f t="array" ref="T212">INDEX(INCVALUES,$Q212,$K$1)</f>
        <v>0.03</v>
      </c>
      <c r="V212">
        <f t="array" ref="V212">+J212+(4*(INDEX(MatchScoreTable,$Q212,20)-1))</f>
        <v>4</v>
      </c>
      <c r="W212" s="442">
        <f t="array" ref="W212">INDEX(INC_MINVALUES,$V212,$K$1)</f>
        <v>0.2</v>
      </c>
      <c r="X212" s="212">
        <f t="array" ref="X212">INDEX(INC_INCVALUES,$V212,$K$1)</f>
        <v>0.02</v>
      </c>
    </row>
    <row r="213" ht="15.75" customHeight="1">
      <c r="A213" s="435"/>
      <c r="B213" s="436"/>
      <c r="C213" s="95" t="str">
        <f t="array" ref="C213">IF(I213&gt;0,INDEX(DB,I213,8),"")</f>
        <v/>
      </c>
      <c r="D213" s="437">
        <f t="shared" si="1"/>
        <v>0</v>
      </c>
      <c r="F213" s="438">
        <f t="shared" si="2"/>
        <v>0</v>
      </c>
      <c r="G213" t="str">
        <f t="shared" si="3"/>
        <v/>
      </c>
      <c r="H213" t="b">
        <f t="shared" si="4"/>
        <v>0</v>
      </c>
      <c r="I213" s="439">
        <f>IF(OR(ISBLANK(A213),ISNA(MATCH(A213&amp;"",AthleteNumbers,0))),0,MATCH(A213&amp;"",AthleteNumbers,0))</f>
        <v>0</v>
      </c>
      <c r="J213" s="209">
        <f t="array" ref="J213">IF(I213&gt;0,INDEX(DB,$I213,6),0)</f>
        <v>0</v>
      </c>
      <c r="K213" s="446">
        <f t="shared" si="5"/>
        <v>0</v>
      </c>
      <c r="L213" s="446">
        <f t="shared" si="6"/>
        <v>0</v>
      </c>
      <c r="M213" s="441">
        <f>IF(L213&lt;O213,MinPoints,IF(AND(L213&gt;N213,O213&gt;0),100,+INT(($L213-O213)/P213)+MinPoints))</f>
        <v>10</v>
      </c>
      <c r="N213" s="440">
        <f t="shared" si="7"/>
        <v>4.9</v>
      </c>
      <c r="O213" s="440">
        <f t="shared" si="8"/>
        <v>2.2</v>
      </c>
      <c r="P213" s="440">
        <f t="shared" si="9"/>
        <v>0.03</v>
      </c>
      <c r="Q213">
        <f t="array" ref="Q213">IF(I213&gt;0,INDEX(DB,I213,9),EventIndex)</f>
        <v>6</v>
      </c>
      <c r="S213" s="447">
        <f t="array" ref="S213">INDEX(MINVALUES,$Q213,$K$1)</f>
        <v>2.2</v>
      </c>
      <c r="T213" s="448">
        <f t="array" ref="T213">INDEX(INCVALUES,$Q213,$K$1)</f>
        <v>0.03</v>
      </c>
      <c r="V213">
        <f t="array" ref="V213">+J213+(4*(INDEX(MatchScoreTable,$Q213,20)-1))</f>
        <v>4</v>
      </c>
      <c r="W213" s="442">
        <f t="array" ref="W213">INDEX(INC_MINVALUES,$V213,$K$1)</f>
        <v>0.2</v>
      </c>
      <c r="X213" s="212">
        <f t="array" ref="X213">INDEX(INC_INCVALUES,$V213,$K$1)</f>
        <v>0.02</v>
      </c>
    </row>
    <row r="214" ht="15.75" customHeight="1">
      <c r="A214" s="435"/>
      <c r="B214" s="436"/>
      <c r="C214" s="95" t="str">
        <f t="array" ref="C214">IF(I214&gt;0,INDEX(DB,I214,8),"")</f>
        <v/>
      </c>
      <c r="D214" s="437">
        <f t="shared" si="1"/>
        <v>0</v>
      </c>
      <c r="F214" s="438">
        <f t="shared" si="2"/>
        <v>0</v>
      </c>
      <c r="G214" t="str">
        <f t="shared" si="3"/>
        <v/>
      </c>
      <c r="H214" t="b">
        <f t="shared" si="4"/>
        <v>0</v>
      </c>
      <c r="I214" s="439">
        <f>IF(OR(ISBLANK(A214),ISNA(MATCH(A214&amp;"",AthleteNumbers,0))),0,MATCH(A214&amp;"",AthleteNumbers,0))</f>
        <v>0</v>
      </c>
      <c r="J214" s="209">
        <f t="array" ref="J214">IF(I214&gt;0,INDEX(DB,$I214,6),0)</f>
        <v>0</v>
      </c>
      <c r="K214" s="446">
        <f t="shared" si="5"/>
        <v>0</v>
      </c>
      <c r="L214" s="446">
        <f t="shared" si="6"/>
        <v>0</v>
      </c>
      <c r="M214" s="441">
        <f>IF(L214&lt;O214,MinPoints,IF(AND(L214&gt;N214,O214&gt;0),100,+INT(($L214-O214)/P214)+MinPoints))</f>
        <v>10</v>
      </c>
      <c r="N214" s="440">
        <f t="shared" si="7"/>
        <v>4.9</v>
      </c>
      <c r="O214" s="440">
        <f t="shared" si="8"/>
        <v>2.2</v>
      </c>
      <c r="P214" s="440">
        <f t="shared" si="9"/>
        <v>0.03</v>
      </c>
      <c r="Q214">
        <f t="array" ref="Q214">IF(I214&gt;0,INDEX(DB,I214,9),EventIndex)</f>
        <v>6</v>
      </c>
      <c r="S214" s="447">
        <f t="array" ref="S214">INDEX(MINVALUES,$Q214,$K$1)</f>
        <v>2.2</v>
      </c>
      <c r="T214" s="448">
        <f t="array" ref="T214">INDEX(INCVALUES,$Q214,$K$1)</f>
        <v>0.03</v>
      </c>
      <c r="V214">
        <f t="array" ref="V214">+J214+(4*(INDEX(MatchScoreTable,$Q214,20)-1))</f>
        <v>4</v>
      </c>
      <c r="W214" s="442">
        <f t="array" ref="W214">INDEX(INC_MINVALUES,$V214,$K$1)</f>
        <v>0.2</v>
      </c>
      <c r="X214" s="212">
        <f t="array" ref="X214">INDEX(INC_INCVALUES,$V214,$K$1)</f>
        <v>0.02</v>
      </c>
    </row>
    <row r="215" ht="15.75" customHeight="1">
      <c r="A215" s="435"/>
      <c r="B215" s="436"/>
      <c r="C215" s="95" t="str">
        <f t="array" ref="C215">IF(I215&gt;0,INDEX(DB,I215,8),"")</f>
        <v/>
      </c>
      <c r="D215" s="437">
        <f t="shared" si="1"/>
        <v>0</v>
      </c>
      <c r="F215" s="438">
        <f t="shared" si="2"/>
        <v>0</v>
      </c>
      <c r="G215" t="str">
        <f t="shared" si="3"/>
        <v/>
      </c>
      <c r="H215" t="b">
        <f t="shared" si="4"/>
        <v>0</v>
      </c>
      <c r="I215" s="439">
        <f>IF(OR(ISBLANK(A215),ISNA(MATCH(A215&amp;"",AthleteNumbers,0))),0,MATCH(A215&amp;"",AthleteNumbers,0))</f>
        <v>0</v>
      </c>
      <c r="J215" s="209">
        <f t="array" ref="J215">IF(I215&gt;0,INDEX(DB,$I215,6),0)</f>
        <v>0</v>
      </c>
      <c r="K215" s="446">
        <f t="shared" si="5"/>
        <v>0</v>
      </c>
      <c r="L215" s="446">
        <f t="shared" si="6"/>
        <v>0</v>
      </c>
      <c r="M215" s="441">
        <f>IF(L215&lt;O215,MinPoints,IF(AND(L215&gt;N215,O215&gt;0),100,+INT(($L215-O215)/P215)+MinPoints))</f>
        <v>10</v>
      </c>
      <c r="N215" s="440">
        <f t="shared" si="7"/>
        <v>4.9</v>
      </c>
      <c r="O215" s="440">
        <f t="shared" si="8"/>
        <v>2.2</v>
      </c>
      <c r="P215" s="440">
        <f t="shared" si="9"/>
        <v>0.03</v>
      </c>
      <c r="Q215">
        <f t="array" ref="Q215">IF(I215&gt;0,INDEX(DB,I215,9),EventIndex)</f>
        <v>6</v>
      </c>
      <c r="S215" s="447">
        <f t="array" ref="S215">INDEX(MINVALUES,$Q215,$K$1)</f>
        <v>2.2</v>
      </c>
      <c r="T215" s="448">
        <f t="array" ref="T215">INDEX(INCVALUES,$Q215,$K$1)</f>
        <v>0.03</v>
      </c>
      <c r="V215">
        <f t="array" ref="V215">+J215+(4*(INDEX(MatchScoreTable,$Q215,20)-1))</f>
        <v>4</v>
      </c>
      <c r="W215" s="442">
        <f t="array" ref="W215">INDEX(INC_MINVALUES,$V215,$K$1)</f>
        <v>0.2</v>
      </c>
      <c r="X215" s="212">
        <f t="array" ref="X215">INDEX(INC_INCVALUES,$V215,$K$1)</f>
        <v>0.02</v>
      </c>
    </row>
    <row r="216" ht="15.75" customHeight="1">
      <c r="A216" s="435"/>
      <c r="B216" s="436"/>
      <c r="C216" s="95" t="str">
        <f t="array" ref="C216">IF(I216&gt;0,INDEX(DB,I216,8),"")</f>
        <v/>
      </c>
      <c r="D216" s="437">
        <f t="shared" si="1"/>
        <v>0</v>
      </c>
      <c r="F216" s="438">
        <f t="shared" si="2"/>
        <v>0</v>
      </c>
      <c r="G216" t="str">
        <f t="shared" si="3"/>
        <v/>
      </c>
      <c r="H216" t="b">
        <f t="shared" si="4"/>
        <v>0</v>
      </c>
      <c r="I216" s="439">
        <f>IF(OR(ISBLANK(A216),ISNA(MATCH(A216&amp;"",AthleteNumbers,0))),0,MATCH(A216&amp;"",AthleteNumbers,0))</f>
        <v>0</v>
      </c>
      <c r="J216" s="209">
        <f t="array" ref="J216">IF(I216&gt;0,INDEX(DB,$I216,6),0)</f>
        <v>0</v>
      </c>
      <c r="K216" s="446">
        <f t="shared" si="5"/>
        <v>0</v>
      </c>
      <c r="L216" s="446">
        <f t="shared" si="6"/>
        <v>0</v>
      </c>
      <c r="M216" s="441">
        <f>IF(L216&lt;O216,MinPoints,IF(AND(L216&gt;N216,O216&gt;0),100,+INT(($L216-O216)/P216)+MinPoints))</f>
        <v>10</v>
      </c>
      <c r="N216" s="440">
        <f t="shared" si="7"/>
        <v>4.9</v>
      </c>
      <c r="O216" s="440">
        <f t="shared" si="8"/>
        <v>2.2</v>
      </c>
      <c r="P216" s="440">
        <f t="shared" si="9"/>
        <v>0.03</v>
      </c>
      <c r="Q216">
        <f t="array" ref="Q216">IF(I216&gt;0,INDEX(DB,I216,9),EventIndex)</f>
        <v>6</v>
      </c>
      <c r="S216" s="447">
        <f t="array" ref="S216">INDEX(MINVALUES,$Q216,$K$1)</f>
        <v>2.2</v>
      </c>
      <c r="T216" s="448">
        <f t="array" ref="T216">INDEX(INCVALUES,$Q216,$K$1)</f>
        <v>0.03</v>
      </c>
      <c r="V216">
        <f t="array" ref="V216">+J216+(4*(INDEX(MatchScoreTable,$Q216,20)-1))</f>
        <v>4</v>
      </c>
      <c r="W216" s="442">
        <f t="array" ref="W216">INDEX(INC_MINVALUES,$V216,$K$1)</f>
        <v>0.2</v>
      </c>
      <c r="X216" s="212">
        <f t="array" ref="X216">INDEX(INC_INCVALUES,$V216,$K$1)</f>
        <v>0.02</v>
      </c>
    </row>
    <row r="217" ht="15.75" customHeight="1">
      <c r="A217" s="435"/>
      <c r="B217" s="436"/>
      <c r="C217" s="95" t="str">
        <f t="array" ref="C217">IF(I217&gt;0,INDEX(DB,I217,8),"")</f>
        <v/>
      </c>
      <c r="D217" s="437">
        <f t="shared" si="1"/>
        <v>0</v>
      </c>
      <c r="F217" s="438">
        <f t="shared" si="2"/>
        <v>0</v>
      </c>
      <c r="G217" t="str">
        <f t="shared" si="3"/>
        <v/>
      </c>
      <c r="H217" t="b">
        <f t="shared" si="4"/>
        <v>0</v>
      </c>
      <c r="I217" s="439">
        <f>IF(OR(ISBLANK(A217),ISNA(MATCH(A217&amp;"",AthleteNumbers,0))),0,MATCH(A217&amp;"",AthleteNumbers,0))</f>
        <v>0</v>
      </c>
      <c r="J217" s="209">
        <f t="array" ref="J217">IF(I217&gt;0,INDEX(DB,$I217,6),0)</f>
        <v>0</v>
      </c>
      <c r="K217" s="446">
        <f t="shared" si="5"/>
        <v>0</v>
      </c>
      <c r="L217" s="446">
        <f t="shared" si="6"/>
        <v>0</v>
      </c>
      <c r="M217" s="441">
        <f>IF(L217&lt;O217,MinPoints,IF(AND(L217&gt;N217,O217&gt;0),100,+INT(($L217-O217)/P217)+MinPoints))</f>
        <v>10</v>
      </c>
      <c r="N217" s="440">
        <f t="shared" si="7"/>
        <v>4.9</v>
      </c>
      <c r="O217" s="440">
        <f t="shared" si="8"/>
        <v>2.2</v>
      </c>
      <c r="P217" s="440">
        <f t="shared" si="9"/>
        <v>0.03</v>
      </c>
      <c r="Q217">
        <f t="array" ref="Q217">IF(I217&gt;0,INDEX(DB,I217,9),EventIndex)</f>
        <v>6</v>
      </c>
      <c r="S217" s="447">
        <f t="array" ref="S217">INDEX(MINVALUES,$Q217,$K$1)</f>
        <v>2.2</v>
      </c>
      <c r="T217" s="448">
        <f t="array" ref="T217">INDEX(INCVALUES,$Q217,$K$1)</f>
        <v>0.03</v>
      </c>
      <c r="V217">
        <f t="array" ref="V217">+J217+(4*(INDEX(MatchScoreTable,$Q217,20)-1))</f>
        <v>4</v>
      </c>
      <c r="W217" s="442">
        <f t="array" ref="W217">INDEX(INC_MINVALUES,$V217,$K$1)</f>
        <v>0.2</v>
      </c>
      <c r="X217" s="212">
        <f t="array" ref="X217">INDEX(INC_INCVALUES,$V217,$K$1)</f>
        <v>0.02</v>
      </c>
    </row>
    <row r="218" ht="15.75" customHeight="1">
      <c r="A218" s="435"/>
      <c r="B218" s="436"/>
      <c r="C218" s="95" t="str">
        <f t="array" ref="C218">IF(I218&gt;0,INDEX(DB,I218,8),"")</f>
        <v/>
      </c>
      <c r="D218" s="437">
        <f t="shared" si="1"/>
        <v>0</v>
      </c>
      <c r="F218" s="438">
        <f t="shared" si="2"/>
        <v>0</v>
      </c>
      <c r="G218" t="str">
        <f t="shared" si="3"/>
        <v/>
      </c>
      <c r="H218" t="b">
        <f t="shared" si="4"/>
        <v>0</v>
      </c>
      <c r="I218" s="439">
        <f>IF(OR(ISBLANK(A218),ISNA(MATCH(A218&amp;"",AthleteNumbers,0))),0,MATCH(A218&amp;"",AthleteNumbers,0))</f>
        <v>0</v>
      </c>
      <c r="J218" s="209">
        <f t="array" ref="J218">IF(I218&gt;0,INDEX(DB,$I218,6),0)</f>
        <v>0</v>
      </c>
      <c r="K218" s="446">
        <f t="shared" si="5"/>
        <v>0</v>
      </c>
      <c r="L218" s="446">
        <f t="shared" si="6"/>
        <v>0</v>
      </c>
      <c r="M218" s="441">
        <f>IF(L218&lt;O218,MinPoints,IF(AND(L218&gt;N218,O218&gt;0),100,+INT(($L218-O218)/P218)+MinPoints))</f>
        <v>10</v>
      </c>
      <c r="N218" s="440">
        <f t="shared" si="7"/>
        <v>4.9</v>
      </c>
      <c r="O218" s="440">
        <f t="shared" si="8"/>
        <v>2.2</v>
      </c>
      <c r="P218" s="440">
        <f t="shared" si="9"/>
        <v>0.03</v>
      </c>
      <c r="Q218">
        <f t="array" ref="Q218">IF(I218&gt;0,INDEX(DB,I218,9),EventIndex)</f>
        <v>6</v>
      </c>
      <c r="S218" s="447">
        <f t="array" ref="S218">INDEX(MINVALUES,$Q218,$K$1)</f>
        <v>2.2</v>
      </c>
      <c r="T218" s="448">
        <f t="array" ref="T218">INDEX(INCVALUES,$Q218,$K$1)</f>
        <v>0.03</v>
      </c>
      <c r="V218">
        <f t="array" ref="V218">+J218+(4*(INDEX(MatchScoreTable,$Q218,20)-1))</f>
        <v>4</v>
      </c>
      <c r="W218" s="442">
        <f t="array" ref="W218">INDEX(INC_MINVALUES,$V218,$K$1)</f>
        <v>0.2</v>
      </c>
      <c r="X218" s="212">
        <f t="array" ref="X218">INDEX(INC_INCVALUES,$V218,$K$1)</f>
        <v>0.02</v>
      </c>
    </row>
    <row r="219" ht="15.75" customHeight="1">
      <c r="A219" s="435"/>
      <c r="B219" s="436"/>
      <c r="C219" s="95" t="str">
        <f t="array" ref="C219">IF(I219&gt;0,INDEX(DB,I219,8),"")</f>
        <v/>
      </c>
      <c r="D219" s="437">
        <f t="shared" si="1"/>
        <v>0</v>
      </c>
      <c r="F219" s="438">
        <f t="shared" si="2"/>
        <v>0</v>
      </c>
      <c r="G219" t="str">
        <f t="shared" si="3"/>
        <v/>
      </c>
      <c r="H219" t="b">
        <f t="shared" si="4"/>
        <v>0</v>
      </c>
      <c r="I219" s="439">
        <f>IF(OR(ISBLANK(A219),ISNA(MATCH(A219&amp;"",AthleteNumbers,0))),0,MATCH(A219&amp;"",AthleteNumbers,0))</f>
        <v>0</v>
      </c>
      <c r="J219" s="209">
        <f t="array" ref="J219">IF(I219&gt;0,INDEX(DB,$I219,6),0)</f>
        <v>0</v>
      </c>
      <c r="K219" s="446">
        <f t="shared" si="5"/>
        <v>0</v>
      </c>
      <c r="L219" s="446">
        <f t="shared" si="6"/>
        <v>0</v>
      </c>
      <c r="M219" s="441">
        <f>IF(L219&lt;O219,MinPoints,IF(AND(L219&gt;N219,O219&gt;0),100,+INT(($L219-O219)/P219)+MinPoints))</f>
        <v>10</v>
      </c>
      <c r="N219" s="440">
        <f t="shared" si="7"/>
        <v>4.9</v>
      </c>
      <c r="O219" s="440">
        <f t="shared" si="8"/>
        <v>2.2</v>
      </c>
      <c r="P219" s="440">
        <f t="shared" si="9"/>
        <v>0.03</v>
      </c>
      <c r="Q219">
        <f t="array" ref="Q219">IF(I219&gt;0,INDEX(DB,I219,9),EventIndex)</f>
        <v>6</v>
      </c>
      <c r="S219" s="447">
        <f t="array" ref="S219">INDEX(MINVALUES,$Q219,$K$1)</f>
        <v>2.2</v>
      </c>
      <c r="T219" s="448">
        <f t="array" ref="T219">INDEX(INCVALUES,$Q219,$K$1)</f>
        <v>0.03</v>
      </c>
      <c r="V219">
        <f t="array" ref="V219">+J219+(4*(INDEX(MatchScoreTable,$Q219,20)-1))</f>
        <v>4</v>
      </c>
      <c r="W219" s="442">
        <f t="array" ref="W219">INDEX(INC_MINVALUES,$V219,$K$1)</f>
        <v>0.2</v>
      </c>
      <c r="X219" s="212">
        <f t="array" ref="X219">INDEX(INC_INCVALUES,$V219,$K$1)</f>
        <v>0.02</v>
      </c>
    </row>
    <row r="220" ht="15.75" customHeight="1">
      <c r="A220" s="435"/>
      <c r="B220" s="436"/>
      <c r="C220" s="95" t="str">
        <f t="array" ref="C220">IF(I220&gt;0,INDEX(DB,I220,8),"")</f>
        <v/>
      </c>
      <c r="D220" s="437">
        <f t="shared" si="1"/>
        <v>0</v>
      </c>
      <c r="F220" s="438">
        <f t="shared" si="2"/>
        <v>0</v>
      </c>
      <c r="G220" t="str">
        <f t="shared" si="3"/>
        <v/>
      </c>
      <c r="H220" t="b">
        <f t="shared" si="4"/>
        <v>0</v>
      </c>
      <c r="I220" s="439">
        <f>IF(OR(ISBLANK(A220),ISNA(MATCH(A220&amp;"",AthleteNumbers,0))),0,MATCH(A220&amp;"",AthleteNumbers,0))</f>
        <v>0</v>
      </c>
      <c r="J220" s="209">
        <f t="array" ref="J220">IF(I220&gt;0,INDEX(DB,$I220,6),0)</f>
        <v>0</v>
      </c>
      <c r="K220" s="446">
        <f t="shared" si="5"/>
        <v>0</v>
      </c>
      <c r="L220" s="446">
        <f t="shared" si="6"/>
        <v>0</v>
      </c>
      <c r="M220" s="441">
        <f>IF(L220&lt;O220,MinPoints,IF(AND(L220&gt;N220,O220&gt;0),100,+INT(($L220-O220)/P220)+MinPoints))</f>
        <v>10</v>
      </c>
      <c r="N220" s="440">
        <f t="shared" si="7"/>
        <v>4.9</v>
      </c>
      <c r="O220" s="440">
        <f t="shared" si="8"/>
        <v>2.2</v>
      </c>
      <c r="P220" s="440">
        <f t="shared" si="9"/>
        <v>0.03</v>
      </c>
      <c r="Q220">
        <f t="array" ref="Q220">IF(I220&gt;0,INDEX(DB,I220,9),EventIndex)</f>
        <v>6</v>
      </c>
      <c r="S220" s="447">
        <f t="array" ref="S220">INDEX(MINVALUES,$Q220,$K$1)</f>
        <v>2.2</v>
      </c>
      <c r="T220" s="448">
        <f t="array" ref="T220">INDEX(INCVALUES,$Q220,$K$1)</f>
        <v>0.03</v>
      </c>
      <c r="V220">
        <f t="array" ref="V220">+J220+(4*(INDEX(MatchScoreTable,$Q220,20)-1))</f>
        <v>4</v>
      </c>
      <c r="W220" s="442">
        <f t="array" ref="W220">INDEX(INC_MINVALUES,$V220,$K$1)</f>
        <v>0.2</v>
      </c>
      <c r="X220" s="212">
        <f t="array" ref="X220">INDEX(INC_INCVALUES,$V220,$K$1)</f>
        <v>0.02</v>
      </c>
    </row>
    <row r="221" ht="15.75" customHeight="1">
      <c r="A221" s="435"/>
      <c r="B221" s="436"/>
      <c r="C221" s="95" t="str">
        <f t="array" ref="C221">IF(I221&gt;0,INDEX(DB,I221,8),"")</f>
        <v/>
      </c>
      <c r="D221" s="437">
        <f t="shared" si="1"/>
        <v>0</v>
      </c>
      <c r="F221" s="438">
        <f t="shared" si="2"/>
        <v>0</v>
      </c>
      <c r="G221" t="str">
        <f t="shared" si="3"/>
        <v/>
      </c>
      <c r="H221" t="b">
        <f t="shared" si="4"/>
        <v>0</v>
      </c>
      <c r="I221" s="439">
        <f>IF(OR(ISBLANK(A221),ISNA(MATCH(A221&amp;"",AthleteNumbers,0))),0,MATCH(A221&amp;"",AthleteNumbers,0))</f>
        <v>0</v>
      </c>
      <c r="J221" s="209">
        <f t="array" ref="J221">IF(I221&gt;0,INDEX(DB,$I221,6),0)</f>
        <v>0</v>
      </c>
      <c r="K221" s="446">
        <f t="shared" si="5"/>
        <v>0</v>
      </c>
      <c r="L221" s="446">
        <f t="shared" si="6"/>
        <v>0</v>
      </c>
      <c r="M221" s="441">
        <f>IF(L221&lt;O221,MinPoints,IF(AND(L221&gt;N221,O221&gt;0),100,+INT(($L221-O221)/P221)+MinPoints))</f>
        <v>10</v>
      </c>
      <c r="N221" s="440">
        <f t="shared" si="7"/>
        <v>4.9</v>
      </c>
      <c r="O221" s="440">
        <f t="shared" si="8"/>
        <v>2.2</v>
      </c>
      <c r="P221" s="440">
        <f t="shared" si="9"/>
        <v>0.03</v>
      </c>
      <c r="Q221">
        <f t="array" ref="Q221">IF(I221&gt;0,INDEX(DB,I221,9),EventIndex)</f>
        <v>6</v>
      </c>
      <c r="S221" s="447">
        <f t="array" ref="S221">INDEX(MINVALUES,$Q221,$K$1)</f>
        <v>2.2</v>
      </c>
      <c r="T221" s="448">
        <f t="array" ref="T221">INDEX(INCVALUES,$Q221,$K$1)</f>
        <v>0.03</v>
      </c>
      <c r="V221">
        <f t="array" ref="V221">+J221+(4*(INDEX(MatchScoreTable,$Q221,20)-1))</f>
        <v>4</v>
      </c>
      <c r="W221" s="442">
        <f t="array" ref="W221">INDEX(INC_MINVALUES,$V221,$K$1)</f>
        <v>0.2</v>
      </c>
      <c r="X221" s="212">
        <f t="array" ref="X221">INDEX(INC_INCVALUES,$V221,$K$1)</f>
        <v>0.02</v>
      </c>
    </row>
    <row r="222" ht="15.75" customHeight="1">
      <c r="A222" s="435"/>
      <c r="B222" s="436"/>
      <c r="C222" s="95" t="str">
        <f t="array" ref="C222">IF(I222&gt;0,INDEX(DB,I222,8),"")</f>
        <v/>
      </c>
      <c r="D222" s="437">
        <f t="shared" si="1"/>
        <v>0</v>
      </c>
      <c r="F222" s="438">
        <f t="shared" si="2"/>
        <v>0</v>
      </c>
      <c r="G222" t="str">
        <f t="shared" si="3"/>
        <v/>
      </c>
      <c r="H222" t="b">
        <f t="shared" si="4"/>
        <v>0</v>
      </c>
      <c r="I222" s="439">
        <f>IF(OR(ISBLANK(A222),ISNA(MATCH(A222&amp;"",AthleteNumbers,0))),0,MATCH(A222&amp;"",AthleteNumbers,0))</f>
        <v>0</v>
      </c>
      <c r="J222" s="209">
        <f t="array" ref="J222">IF(I222&gt;0,INDEX(DB,$I222,6),0)</f>
        <v>0</v>
      </c>
      <c r="K222" s="446">
        <f t="shared" si="5"/>
        <v>0</v>
      </c>
      <c r="L222" s="446">
        <f t="shared" si="6"/>
        <v>0</v>
      </c>
      <c r="M222" s="441">
        <f>IF(L222&lt;O222,MinPoints,IF(AND(L222&gt;N222,O222&gt;0),100,+INT(($L222-O222)/P222)+MinPoints))</f>
        <v>10</v>
      </c>
      <c r="N222" s="440">
        <f t="shared" si="7"/>
        <v>4.9</v>
      </c>
      <c r="O222" s="440">
        <f t="shared" si="8"/>
        <v>2.2</v>
      </c>
      <c r="P222" s="440">
        <f t="shared" si="9"/>
        <v>0.03</v>
      </c>
      <c r="Q222">
        <f t="array" ref="Q222">IF(I222&gt;0,INDEX(DB,I222,9),EventIndex)</f>
        <v>6</v>
      </c>
      <c r="S222" s="447">
        <f t="array" ref="S222">INDEX(MINVALUES,$Q222,$K$1)</f>
        <v>2.2</v>
      </c>
      <c r="T222" s="448">
        <f t="array" ref="T222">INDEX(INCVALUES,$Q222,$K$1)</f>
        <v>0.03</v>
      </c>
      <c r="V222">
        <f t="array" ref="V222">+J222+(4*(INDEX(MatchScoreTable,$Q222,20)-1))</f>
        <v>4</v>
      </c>
      <c r="W222" s="442">
        <f t="array" ref="W222">INDEX(INC_MINVALUES,$V222,$K$1)</f>
        <v>0.2</v>
      </c>
      <c r="X222" s="212">
        <f t="array" ref="X222">INDEX(INC_INCVALUES,$V222,$K$1)</f>
        <v>0.02</v>
      </c>
    </row>
    <row r="223" ht="15.75" customHeight="1">
      <c r="A223" s="435"/>
      <c r="B223" s="436"/>
      <c r="C223" s="95" t="str">
        <f t="array" ref="C223">IF(I223&gt;0,INDEX(DB,I223,8),"")</f>
        <v/>
      </c>
      <c r="D223" s="437">
        <f t="shared" si="1"/>
        <v>0</v>
      </c>
      <c r="F223" s="438">
        <f t="shared" si="2"/>
        <v>0</v>
      </c>
      <c r="G223" t="str">
        <f t="shared" si="3"/>
        <v/>
      </c>
      <c r="H223" t="b">
        <f t="shared" si="4"/>
        <v>0</v>
      </c>
      <c r="I223" s="439">
        <f>IF(OR(ISBLANK(A223),ISNA(MATCH(A223&amp;"",AthleteNumbers,0))),0,MATCH(A223&amp;"",AthleteNumbers,0))</f>
        <v>0</v>
      </c>
      <c r="J223" s="209">
        <f t="array" ref="J223">IF(I223&gt;0,INDEX(DB,$I223,6),0)</f>
        <v>0</v>
      </c>
      <c r="K223" s="446">
        <f t="shared" si="5"/>
        <v>0</v>
      </c>
      <c r="L223" s="446">
        <f t="shared" si="6"/>
        <v>0</v>
      </c>
      <c r="M223" s="441">
        <f>IF(L223&lt;O223,MinPoints,IF(AND(L223&gt;N223,O223&gt;0),100,+INT(($L223-O223)/P223)+MinPoints))</f>
        <v>10</v>
      </c>
      <c r="N223" s="440">
        <f t="shared" si="7"/>
        <v>4.9</v>
      </c>
      <c r="O223" s="440">
        <f t="shared" si="8"/>
        <v>2.2</v>
      </c>
      <c r="P223" s="440">
        <f t="shared" si="9"/>
        <v>0.03</v>
      </c>
      <c r="Q223">
        <f t="array" ref="Q223">IF(I223&gt;0,INDEX(DB,I223,9),EventIndex)</f>
        <v>6</v>
      </c>
      <c r="S223" s="447">
        <f t="array" ref="S223">INDEX(MINVALUES,$Q223,$K$1)</f>
        <v>2.2</v>
      </c>
      <c r="T223" s="448">
        <f t="array" ref="T223">INDEX(INCVALUES,$Q223,$K$1)</f>
        <v>0.03</v>
      </c>
      <c r="V223">
        <f t="array" ref="V223">+J223+(4*(INDEX(MatchScoreTable,$Q223,20)-1))</f>
        <v>4</v>
      </c>
      <c r="W223" s="442">
        <f t="array" ref="W223">INDEX(INC_MINVALUES,$V223,$K$1)</f>
        <v>0.2</v>
      </c>
      <c r="X223" s="212">
        <f t="array" ref="X223">INDEX(INC_INCVALUES,$V223,$K$1)</f>
        <v>0.02</v>
      </c>
    </row>
    <row r="224" ht="15.75" customHeight="1">
      <c r="A224" s="435"/>
      <c r="B224" s="436"/>
      <c r="C224" s="95" t="str">
        <f t="array" ref="C224">IF(I224&gt;0,INDEX(DB,I224,8),"")</f>
        <v/>
      </c>
      <c r="D224" s="437">
        <f t="shared" si="1"/>
        <v>0</v>
      </c>
      <c r="F224" s="438">
        <f t="shared" si="2"/>
        <v>0</v>
      </c>
      <c r="G224" t="str">
        <f t="shared" si="3"/>
        <v/>
      </c>
      <c r="H224" t="b">
        <f t="shared" si="4"/>
        <v>0</v>
      </c>
      <c r="I224" s="439">
        <f>IF(OR(ISBLANK(A224),ISNA(MATCH(A224&amp;"",AthleteNumbers,0))),0,MATCH(A224&amp;"",AthleteNumbers,0))</f>
        <v>0</v>
      </c>
      <c r="J224" s="209">
        <f t="array" ref="J224">IF(I224&gt;0,INDEX(DB,$I224,6),0)</f>
        <v>0</v>
      </c>
      <c r="K224" s="446">
        <f t="shared" si="5"/>
        <v>0</v>
      </c>
      <c r="L224" s="446">
        <f t="shared" si="6"/>
        <v>0</v>
      </c>
      <c r="M224" s="441">
        <f>IF(L224&lt;O224,MinPoints,IF(AND(L224&gt;N224,O224&gt;0),100,+INT(($L224-O224)/P224)+MinPoints))</f>
        <v>10</v>
      </c>
      <c r="N224" s="440">
        <f t="shared" si="7"/>
        <v>4.9</v>
      </c>
      <c r="O224" s="440">
        <f t="shared" si="8"/>
        <v>2.2</v>
      </c>
      <c r="P224" s="440">
        <f t="shared" si="9"/>
        <v>0.03</v>
      </c>
      <c r="Q224">
        <f t="array" ref="Q224">IF(I224&gt;0,INDEX(DB,I224,9),EventIndex)</f>
        <v>6</v>
      </c>
      <c r="S224" s="447">
        <f t="array" ref="S224">INDEX(MINVALUES,$Q224,$K$1)</f>
        <v>2.2</v>
      </c>
      <c r="T224" s="448">
        <f t="array" ref="T224">INDEX(INCVALUES,$Q224,$K$1)</f>
        <v>0.03</v>
      </c>
      <c r="V224">
        <f t="array" ref="V224">+J224+(4*(INDEX(MatchScoreTable,$Q224,20)-1))</f>
        <v>4</v>
      </c>
      <c r="W224" s="442">
        <f t="array" ref="W224">INDEX(INC_MINVALUES,$V224,$K$1)</f>
        <v>0.2</v>
      </c>
      <c r="X224" s="212">
        <f t="array" ref="X224">INDEX(INC_INCVALUES,$V224,$K$1)</f>
        <v>0.02</v>
      </c>
    </row>
    <row r="225" ht="15.75" customHeight="1">
      <c r="A225" s="435"/>
      <c r="B225" s="436"/>
      <c r="C225" s="95" t="str">
        <f t="array" ref="C225">IF(I225&gt;0,INDEX(DB,I225,8),"")</f>
        <v/>
      </c>
      <c r="D225" s="437">
        <f t="shared" si="1"/>
        <v>0</v>
      </c>
      <c r="F225" s="438">
        <f t="shared" si="2"/>
        <v>0</v>
      </c>
      <c r="G225" t="str">
        <f t="shared" si="3"/>
        <v/>
      </c>
      <c r="H225" t="b">
        <f t="shared" si="4"/>
        <v>0</v>
      </c>
      <c r="I225" s="439">
        <f>IF(OR(ISBLANK(A225),ISNA(MATCH(A225&amp;"",AthleteNumbers,0))),0,MATCH(A225&amp;"",AthleteNumbers,0))</f>
        <v>0</v>
      </c>
      <c r="J225" s="209">
        <f t="array" ref="J225">IF(I225&gt;0,INDEX(DB,$I225,6),0)</f>
        <v>0</v>
      </c>
      <c r="K225" s="446">
        <f t="shared" si="5"/>
        <v>0</v>
      </c>
      <c r="L225" s="446">
        <f t="shared" si="6"/>
        <v>0</v>
      </c>
      <c r="M225" s="441">
        <f>IF(L225&lt;O225,MinPoints,IF(AND(L225&gt;N225,O225&gt;0),100,+INT(($L225-O225)/P225)+MinPoints))</f>
        <v>10</v>
      </c>
      <c r="N225" s="440">
        <f t="shared" si="7"/>
        <v>4.9</v>
      </c>
      <c r="O225" s="440">
        <f t="shared" si="8"/>
        <v>2.2</v>
      </c>
      <c r="P225" s="440">
        <f t="shared" si="9"/>
        <v>0.03</v>
      </c>
      <c r="Q225">
        <f t="array" ref="Q225">IF(I225&gt;0,INDEX(DB,I225,9),EventIndex)</f>
        <v>6</v>
      </c>
      <c r="S225" s="447">
        <f t="array" ref="S225">INDEX(MINVALUES,$Q225,$K$1)</f>
        <v>2.2</v>
      </c>
      <c r="T225" s="448">
        <f t="array" ref="T225">INDEX(INCVALUES,$Q225,$K$1)</f>
        <v>0.03</v>
      </c>
      <c r="V225">
        <f t="array" ref="V225">+J225+(4*(INDEX(MatchScoreTable,$Q225,20)-1))</f>
        <v>4</v>
      </c>
      <c r="W225" s="442">
        <f t="array" ref="W225">INDEX(INC_MINVALUES,$V225,$K$1)</f>
        <v>0.2</v>
      </c>
      <c r="X225" s="212">
        <f t="array" ref="X225">INDEX(INC_INCVALUES,$V225,$K$1)</f>
        <v>0.02</v>
      </c>
    </row>
    <row r="226" ht="15.75" customHeight="1">
      <c r="A226" s="435"/>
      <c r="B226" s="436"/>
      <c r="C226" s="95" t="str">
        <f t="array" ref="C226">IF(I226&gt;0,INDEX(DB,I226,8),"")</f>
        <v/>
      </c>
      <c r="D226" s="437">
        <f t="shared" si="1"/>
        <v>0</v>
      </c>
      <c r="F226" s="438">
        <f t="shared" si="2"/>
        <v>0</v>
      </c>
      <c r="G226" t="str">
        <f t="shared" si="3"/>
        <v/>
      </c>
      <c r="H226" t="b">
        <f t="shared" si="4"/>
        <v>0</v>
      </c>
      <c r="I226" s="439">
        <f>IF(OR(ISBLANK(A226),ISNA(MATCH(A226&amp;"",AthleteNumbers,0))),0,MATCH(A226&amp;"",AthleteNumbers,0))</f>
        <v>0</v>
      </c>
      <c r="J226" s="209">
        <f t="array" ref="J226">IF(I226&gt;0,INDEX(DB,$I226,6),0)</f>
        <v>0</v>
      </c>
      <c r="K226" s="446">
        <f t="shared" si="5"/>
        <v>0</v>
      </c>
      <c r="L226" s="446">
        <f t="shared" si="6"/>
        <v>0</v>
      </c>
      <c r="M226" s="441">
        <f>IF(L226&lt;O226,MinPoints,IF(AND(L226&gt;N226,O226&gt;0),100,+INT(($L226-O226)/P226)+MinPoints))</f>
        <v>10</v>
      </c>
      <c r="N226" s="440">
        <f t="shared" si="7"/>
        <v>4.9</v>
      </c>
      <c r="O226" s="440">
        <f t="shared" si="8"/>
        <v>2.2</v>
      </c>
      <c r="P226" s="440">
        <f t="shared" si="9"/>
        <v>0.03</v>
      </c>
      <c r="Q226">
        <f t="array" ref="Q226">IF(I226&gt;0,INDEX(DB,I226,9),EventIndex)</f>
        <v>6</v>
      </c>
      <c r="S226" s="447">
        <f t="array" ref="S226">INDEX(MINVALUES,$Q226,$K$1)</f>
        <v>2.2</v>
      </c>
      <c r="T226" s="448">
        <f t="array" ref="T226">INDEX(INCVALUES,$Q226,$K$1)</f>
        <v>0.03</v>
      </c>
      <c r="V226">
        <f t="array" ref="V226">+J226+(4*(INDEX(MatchScoreTable,$Q226,20)-1))</f>
        <v>4</v>
      </c>
      <c r="W226" s="442">
        <f t="array" ref="W226">INDEX(INC_MINVALUES,$V226,$K$1)</f>
        <v>0.2</v>
      </c>
      <c r="X226" s="212">
        <f t="array" ref="X226">INDEX(INC_INCVALUES,$V226,$K$1)</f>
        <v>0.02</v>
      </c>
    </row>
    <row r="227" ht="15.75" customHeight="1">
      <c r="A227" s="435"/>
      <c r="B227" s="436"/>
      <c r="C227" s="95" t="str">
        <f t="array" ref="C227">IF(I227&gt;0,INDEX(DB,I227,8),"")</f>
        <v/>
      </c>
      <c r="D227" s="437">
        <f t="shared" si="1"/>
        <v>0</v>
      </c>
      <c r="F227" s="438">
        <f t="shared" si="2"/>
        <v>0</v>
      </c>
      <c r="G227" t="str">
        <f t="shared" si="3"/>
        <v/>
      </c>
      <c r="H227" t="b">
        <f t="shared" si="4"/>
        <v>0</v>
      </c>
      <c r="I227" s="439">
        <f>IF(OR(ISBLANK(A227),ISNA(MATCH(A227&amp;"",AthleteNumbers,0))),0,MATCH(A227&amp;"",AthleteNumbers,0))</f>
        <v>0</v>
      </c>
      <c r="J227" s="209">
        <f t="array" ref="J227">IF(I227&gt;0,INDEX(DB,$I227,6),0)</f>
        <v>0</v>
      </c>
      <c r="K227" s="446">
        <f t="shared" si="5"/>
        <v>0</v>
      </c>
      <c r="L227" s="446">
        <f t="shared" si="6"/>
        <v>0</v>
      </c>
      <c r="M227" s="441">
        <f>IF(L227&lt;O227,MinPoints,IF(AND(L227&gt;N227,O227&gt;0),100,+INT(($L227-O227)/P227)+MinPoints))</f>
        <v>10</v>
      </c>
      <c r="N227" s="440">
        <f t="shared" si="7"/>
        <v>4.9</v>
      </c>
      <c r="O227" s="440">
        <f t="shared" si="8"/>
        <v>2.2</v>
      </c>
      <c r="P227" s="440">
        <f t="shared" si="9"/>
        <v>0.03</v>
      </c>
      <c r="Q227">
        <f t="array" ref="Q227">IF(I227&gt;0,INDEX(DB,I227,9),EventIndex)</f>
        <v>6</v>
      </c>
      <c r="S227" s="447">
        <f t="array" ref="S227">INDEX(MINVALUES,$Q227,$K$1)</f>
        <v>2.2</v>
      </c>
      <c r="T227" s="448">
        <f t="array" ref="T227">INDEX(INCVALUES,$Q227,$K$1)</f>
        <v>0.03</v>
      </c>
      <c r="V227">
        <f t="array" ref="V227">+J227+(4*(INDEX(MatchScoreTable,$Q227,20)-1))</f>
        <v>4</v>
      </c>
      <c r="W227" s="442">
        <f t="array" ref="W227">INDEX(INC_MINVALUES,$V227,$K$1)</f>
        <v>0.2</v>
      </c>
      <c r="X227" s="212">
        <f t="array" ref="X227">INDEX(INC_INCVALUES,$V227,$K$1)</f>
        <v>0.02</v>
      </c>
    </row>
    <row r="228" ht="15.75" customHeight="1">
      <c r="A228" s="435"/>
      <c r="B228" s="436"/>
      <c r="C228" s="95" t="str">
        <f t="array" ref="C228">IF(I228&gt;0,INDEX(DB,I228,8),"")</f>
        <v/>
      </c>
      <c r="D228" s="437">
        <f t="shared" si="1"/>
        <v>0</v>
      </c>
      <c r="F228" s="438">
        <f t="shared" si="2"/>
        <v>0</v>
      </c>
      <c r="G228" t="str">
        <f t="shared" si="3"/>
        <v/>
      </c>
      <c r="H228" t="b">
        <f t="shared" si="4"/>
        <v>0</v>
      </c>
      <c r="I228" s="439">
        <f>IF(OR(ISBLANK(A228),ISNA(MATCH(A228&amp;"",AthleteNumbers,0))),0,MATCH(A228&amp;"",AthleteNumbers,0))</f>
        <v>0</v>
      </c>
      <c r="J228" s="209">
        <f t="array" ref="J228">IF(I228&gt;0,INDEX(DB,$I228,6),0)</f>
        <v>0</v>
      </c>
      <c r="K228" s="446">
        <f t="shared" si="5"/>
        <v>0</v>
      </c>
      <c r="L228" s="446">
        <f t="shared" si="6"/>
        <v>0</v>
      </c>
      <c r="M228" s="441">
        <f>IF(L228&lt;O228,MinPoints,IF(AND(L228&gt;N228,O228&gt;0),100,+INT(($L228-O228)/P228)+MinPoints))</f>
        <v>10</v>
      </c>
      <c r="N228" s="440">
        <f t="shared" si="7"/>
        <v>4.9</v>
      </c>
      <c r="O228" s="440">
        <f t="shared" si="8"/>
        <v>2.2</v>
      </c>
      <c r="P228" s="440">
        <f t="shared" si="9"/>
        <v>0.03</v>
      </c>
      <c r="Q228">
        <f t="array" ref="Q228">IF(I228&gt;0,INDEX(DB,I228,9),EventIndex)</f>
        <v>6</v>
      </c>
      <c r="S228" s="447">
        <f t="array" ref="S228">INDEX(MINVALUES,$Q228,$K$1)</f>
        <v>2.2</v>
      </c>
      <c r="T228" s="448">
        <f t="array" ref="T228">INDEX(INCVALUES,$Q228,$K$1)</f>
        <v>0.03</v>
      </c>
      <c r="V228">
        <f t="array" ref="V228">+J228+(4*(INDEX(MatchScoreTable,$Q228,20)-1))</f>
        <v>4</v>
      </c>
      <c r="W228" s="442">
        <f t="array" ref="W228">INDEX(INC_MINVALUES,$V228,$K$1)</f>
        <v>0.2</v>
      </c>
      <c r="X228" s="212">
        <f t="array" ref="X228">INDEX(INC_INCVALUES,$V228,$K$1)</f>
        <v>0.02</v>
      </c>
    </row>
    <row r="229" ht="15.75" customHeight="1">
      <c r="A229" s="435"/>
      <c r="B229" s="436"/>
      <c r="C229" s="95" t="str">
        <f t="array" ref="C229">IF(I229&gt;0,INDEX(DB,I229,8),"")</f>
        <v/>
      </c>
      <c r="D229" s="437">
        <f t="shared" si="1"/>
        <v>0</v>
      </c>
      <c r="F229" s="438">
        <f t="shared" si="2"/>
        <v>0</v>
      </c>
      <c r="G229" t="str">
        <f t="shared" si="3"/>
        <v/>
      </c>
      <c r="H229" t="b">
        <f t="shared" si="4"/>
        <v>0</v>
      </c>
      <c r="I229" s="439">
        <f>IF(OR(ISBLANK(A229),ISNA(MATCH(A229&amp;"",AthleteNumbers,0))),0,MATCH(A229&amp;"",AthleteNumbers,0))</f>
        <v>0</v>
      </c>
      <c r="J229" s="209">
        <f t="array" ref="J229">IF(I229&gt;0,INDEX(DB,$I229,6),0)</f>
        <v>0</v>
      </c>
      <c r="K229" s="446">
        <f t="shared" si="5"/>
        <v>0</v>
      </c>
      <c r="L229" s="446">
        <f t="shared" si="6"/>
        <v>0</v>
      </c>
      <c r="M229" s="441">
        <f>IF(L229&lt;O229,MinPoints,IF(AND(L229&gt;N229,O229&gt;0),100,+INT(($L229-O229)/P229)+MinPoints))</f>
        <v>10</v>
      </c>
      <c r="N229" s="440">
        <f t="shared" si="7"/>
        <v>4.9</v>
      </c>
      <c r="O229" s="440">
        <f t="shared" si="8"/>
        <v>2.2</v>
      </c>
      <c r="P229" s="440">
        <f t="shared" si="9"/>
        <v>0.03</v>
      </c>
      <c r="Q229">
        <f t="array" ref="Q229">IF(I229&gt;0,INDEX(DB,I229,9),EventIndex)</f>
        <v>6</v>
      </c>
      <c r="S229" s="447">
        <f t="array" ref="S229">INDEX(MINVALUES,$Q229,$K$1)</f>
        <v>2.2</v>
      </c>
      <c r="T229" s="448">
        <f t="array" ref="T229">INDEX(INCVALUES,$Q229,$K$1)</f>
        <v>0.03</v>
      </c>
      <c r="V229">
        <f t="array" ref="V229">+J229+(4*(INDEX(MatchScoreTable,$Q229,20)-1))</f>
        <v>4</v>
      </c>
      <c r="W229" s="442">
        <f t="array" ref="W229">INDEX(INC_MINVALUES,$V229,$K$1)</f>
        <v>0.2</v>
      </c>
      <c r="X229" s="212">
        <f t="array" ref="X229">INDEX(INC_INCVALUES,$V229,$K$1)</f>
        <v>0.02</v>
      </c>
    </row>
    <row r="230" ht="15.75" customHeight="1">
      <c r="A230" s="435"/>
      <c r="B230" s="436"/>
      <c r="C230" s="95" t="str">
        <f t="array" ref="C230">IF(I230&gt;0,INDEX(DB,I230,8),"")</f>
        <v/>
      </c>
      <c r="D230" s="437">
        <f t="shared" si="1"/>
        <v>0</v>
      </c>
      <c r="F230" s="438">
        <f t="shared" si="2"/>
        <v>0</v>
      </c>
      <c r="G230" t="str">
        <f t="shared" si="3"/>
        <v/>
      </c>
      <c r="H230" t="b">
        <f t="shared" si="4"/>
        <v>0</v>
      </c>
      <c r="I230" s="439">
        <f>IF(OR(ISBLANK(A230),ISNA(MATCH(A230&amp;"",AthleteNumbers,0))),0,MATCH(A230&amp;"",AthleteNumbers,0))</f>
        <v>0</v>
      </c>
      <c r="J230" s="209">
        <f t="array" ref="J230">IF(I230&gt;0,INDEX(DB,$I230,6),0)</f>
        <v>0</v>
      </c>
      <c r="K230" s="446">
        <f t="shared" si="5"/>
        <v>0</v>
      </c>
      <c r="L230" s="446">
        <f t="shared" si="6"/>
        <v>0</v>
      </c>
      <c r="M230" s="441">
        <f>IF(L230&lt;O230,MinPoints,IF(AND(L230&gt;N230,O230&gt;0),100,+INT(($L230-O230)/P230)+MinPoints))</f>
        <v>10</v>
      </c>
      <c r="N230" s="440">
        <f t="shared" si="7"/>
        <v>4.9</v>
      </c>
      <c r="O230" s="440">
        <f t="shared" si="8"/>
        <v>2.2</v>
      </c>
      <c r="P230" s="440">
        <f t="shared" si="9"/>
        <v>0.03</v>
      </c>
      <c r="Q230">
        <f t="array" ref="Q230">IF(I230&gt;0,INDEX(DB,I230,9),EventIndex)</f>
        <v>6</v>
      </c>
      <c r="S230" s="447">
        <f t="array" ref="S230">INDEX(MINVALUES,$Q230,$K$1)</f>
        <v>2.2</v>
      </c>
      <c r="T230" s="448">
        <f t="array" ref="T230">INDEX(INCVALUES,$Q230,$K$1)</f>
        <v>0.03</v>
      </c>
      <c r="V230">
        <f t="array" ref="V230">+J230+(4*(INDEX(MatchScoreTable,$Q230,20)-1))</f>
        <v>4</v>
      </c>
      <c r="W230" s="442">
        <f t="array" ref="W230">INDEX(INC_MINVALUES,$V230,$K$1)</f>
        <v>0.2</v>
      </c>
      <c r="X230" s="212">
        <f t="array" ref="X230">INDEX(INC_INCVALUES,$V230,$K$1)</f>
        <v>0.02</v>
      </c>
    </row>
    <row r="231" ht="15.75" customHeight="1">
      <c r="A231" s="435"/>
      <c r="B231" s="436"/>
      <c r="C231" s="95" t="str">
        <f t="array" ref="C231">IF(I231&gt;0,INDEX(DB,I231,8),"")</f>
        <v/>
      </c>
      <c r="D231" s="437">
        <f t="shared" si="1"/>
        <v>0</v>
      </c>
      <c r="F231" s="438">
        <f t="shared" si="2"/>
        <v>0</v>
      </c>
      <c r="G231" t="str">
        <f t="shared" si="3"/>
        <v/>
      </c>
      <c r="H231" t="b">
        <f t="shared" si="4"/>
        <v>0</v>
      </c>
      <c r="I231" s="439">
        <f>IF(OR(ISBLANK(A231),ISNA(MATCH(A231&amp;"",AthleteNumbers,0))),0,MATCH(A231&amp;"",AthleteNumbers,0))</f>
        <v>0</v>
      </c>
      <c r="J231" s="209">
        <f t="array" ref="J231">IF(I231&gt;0,INDEX(DB,$I231,6),0)</f>
        <v>0</v>
      </c>
      <c r="K231" s="446">
        <f t="shared" si="5"/>
        <v>0</v>
      </c>
      <c r="L231" s="446">
        <f t="shared" si="6"/>
        <v>0</v>
      </c>
      <c r="M231" s="441">
        <f>IF(L231&lt;O231,MinPoints,IF(AND(L231&gt;N231,O231&gt;0),100,+INT(($L231-O231)/P231)+MinPoints))</f>
        <v>10</v>
      </c>
      <c r="N231" s="440">
        <f t="shared" si="7"/>
        <v>4.9</v>
      </c>
      <c r="O231" s="440">
        <f t="shared" si="8"/>
        <v>2.2</v>
      </c>
      <c r="P231" s="440">
        <f t="shared" si="9"/>
        <v>0.03</v>
      </c>
      <c r="Q231">
        <f t="array" ref="Q231">IF(I231&gt;0,INDEX(DB,I231,9),EventIndex)</f>
        <v>6</v>
      </c>
      <c r="S231" s="447">
        <f t="array" ref="S231">INDEX(MINVALUES,$Q231,$K$1)</f>
        <v>2.2</v>
      </c>
      <c r="T231" s="448">
        <f t="array" ref="T231">INDEX(INCVALUES,$Q231,$K$1)</f>
        <v>0.03</v>
      </c>
      <c r="V231">
        <f t="array" ref="V231">+J231+(4*(INDEX(MatchScoreTable,$Q231,20)-1))</f>
        <v>4</v>
      </c>
      <c r="W231" s="442">
        <f t="array" ref="W231">INDEX(INC_MINVALUES,$V231,$K$1)</f>
        <v>0.2</v>
      </c>
      <c r="X231" s="212">
        <f t="array" ref="X231">INDEX(INC_INCVALUES,$V231,$K$1)</f>
        <v>0.02</v>
      </c>
    </row>
    <row r="232" ht="15.75" customHeight="1">
      <c r="A232" s="435"/>
      <c r="B232" s="436"/>
      <c r="C232" s="95" t="str">
        <f t="array" ref="C232">IF(I232&gt;0,INDEX(DB,I232,8),"")</f>
        <v/>
      </c>
      <c r="D232" s="437">
        <f t="shared" si="1"/>
        <v>0</v>
      </c>
      <c r="F232" s="438">
        <f t="shared" si="2"/>
        <v>0</v>
      </c>
      <c r="G232" t="str">
        <f t="shared" si="3"/>
        <v/>
      </c>
      <c r="H232" t="b">
        <f t="shared" si="4"/>
        <v>0</v>
      </c>
      <c r="I232" s="439">
        <f>IF(OR(ISBLANK(A232),ISNA(MATCH(A232&amp;"",AthleteNumbers,0))),0,MATCH(A232&amp;"",AthleteNumbers,0))</f>
        <v>0</v>
      </c>
      <c r="J232" s="209">
        <f t="array" ref="J232">IF(I232&gt;0,INDEX(DB,$I232,6),0)</f>
        <v>0</v>
      </c>
      <c r="K232" s="446">
        <f t="shared" si="5"/>
        <v>0</v>
      </c>
      <c r="L232" s="446">
        <f t="shared" si="6"/>
        <v>0</v>
      </c>
      <c r="M232" s="441">
        <f>IF(L232&lt;O232,MinPoints,IF(AND(L232&gt;N232,O232&gt;0),100,+INT(($L232-O232)/P232)+MinPoints))</f>
        <v>10</v>
      </c>
      <c r="N232" s="440">
        <f t="shared" si="7"/>
        <v>4.9</v>
      </c>
      <c r="O232" s="440">
        <f t="shared" si="8"/>
        <v>2.2</v>
      </c>
      <c r="P232" s="440">
        <f t="shared" si="9"/>
        <v>0.03</v>
      </c>
      <c r="Q232">
        <f t="array" ref="Q232">IF(I232&gt;0,INDEX(DB,I232,9),EventIndex)</f>
        <v>6</v>
      </c>
      <c r="S232" s="447">
        <f t="array" ref="S232">INDEX(MINVALUES,$Q232,$K$1)</f>
        <v>2.2</v>
      </c>
      <c r="T232" s="448">
        <f t="array" ref="T232">INDEX(INCVALUES,$Q232,$K$1)</f>
        <v>0.03</v>
      </c>
      <c r="V232">
        <f t="array" ref="V232">+J232+(4*(INDEX(MatchScoreTable,$Q232,20)-1))</f>
        <v>4</v>
      </c>
      <c r="W232" s="442">
        <f t="array" ref="W232">INDEX(INC_MINVALUES,$V232,$K$1)</f>
        <v>0.2</v>
      </c>
      <c r="X232" s="212">
        <f t="array" ref="X232">INDEX(INC_INCVALUES,$V232,$K$1)</f>
        <v>0.02</v>
      </c>
    </row>
    <row r="233" ht="15.75" customHeight="1">
      <c r="A233" s="435"/>
      <c r="B233" s="436"/>
      <c r="C233" s="95" t="str">
        <f t="array" ref="C233">IF(I233&gt;0,INDEX(DB,I233,8),"")</f>
        <v/>
      </c>
      <c r="D233" s="437">
        <f t="shared" si="1"/>
        <v>0</v>
      </c>
      <c r="F233" s="438">
        <f t="shared" si="2"/>
        <v>0</v>
      </c>
      <c r="G233" t="str">
        <f t="shared" si="3"/>
        <v/>
      </c>
      <c r="H233" t="b">
        <f t="shared" si="4"/>
        <v>0</v>
      </c>
      <c r="I233" s="439">
        <f>IF(OR(ISBLANK(A233),ISNA(MATCH(A233&amp;"",AthleteNumbers,0))),0,MATCH(A233&amp;"",AthleteNumbers,0))</f>
        <v>0</v>
      </c>
      <c r="J233" s="209">
        <f t="array" ref="J233">IF(I233&gt;0,INDEX(DB,$I233,6),0)</f>
        <v>0</v>
      </c>
      <c r="K233" s="446">
        <f t="shared" si="5"/>
        <v>0</v>
      </c>
      <c r="L233" s="446">
        <f t="shared" si="6"/>
        <v>0</v>
      </c>
      <c r="M233" s="441">
        <f>IF(L233&lt;O233,MinPoints,IF(AND(L233&gt;N233,O233&gt;0),100,+INT(($L233-O233)/P233)+MinPoints))</f>
        <v>10</v>
      </c>
      <c r="N233" s="440">
        <f t="shared" si="7"/>
        <v>4.9</v>
      </c>
      <c r="O233" s="440">
        <f t="shared" si="8"/>
        <v>2.2</v>
      </c>
      <c r="P233" s="440">
        <f t="shared" si="9"/>
        <v>0.03</v>
      </c>
      <c r="Q233">
        <f t="array" ref="Q233">IF(I233&gt;0,INDEX(DB,I233,9),EventIndex)</f>
        <v>6</v>
      </c>
      <c r="S233" s="447">
        <f t="array" ref="S233">INDEX(MINVALUES,$Q233,$K$1)</f>
        <v>2.2</v>
      </c>
      <c r="T233" s="448">
        <f t="array" ref="T233">INDEX(INCVALUES,$Q233,$K$1)</f>
        <v>0.03</v>
      </c>
      <c r="V233">
        <f t="array" ref="V233">+J233+(4*(INDEX(MatchScoreTable,$Q233,20)-1))</f>
        <v>4</v>
      </c>
      <c r="W233" s="442">
        <f t="array" ref="W233">INDEX(INC_MINVALUES,$V233,$K$1)</f>
        <v>0.2</v>
      </c>
      <c r="X233" s="212">
        <f t="array" ref="X233">INDEX(INC_INCVALUES,$V233,$K$1)</f>
        <v>0.02</v>
      </c>
    </row>
    <row r="234" ht="15.75" customHeight="1">
      <c r="A234" s="435"/>
      <c r="B234" s="436"/>
      <c r="C234" s="95" t="str">
        <f t="array" ref="C234">IF(I234&gt;0,INDEX(DB,I234,8),"")</f>
        <v/>
      </c>
      <c r="D234" s="437">
        <f t="shared" si="1"/>
        <v>0</v>
      </c>
      <c r="F234" s="438">
        <f t="shared" si="2"/>
        <v>0</v>
      </c>
      <c r="G234" t="str">
        <f t="shared" si="3"/>
        <v/>
      </c>
      <c r="H234" t="b">
        <f t="shared" si="4"/>
        <v>0</v>
      </c>
      <c r="I234" s="439">
        <f>IF(OR(ISBLANK(A234),ISNA(MATCH(A234&amp;"",AthleteNumbers,0))),0,MATCH(A234&amp;"",AthleteNumbers,0))</f>
        <v>0</v>
      </c>
      <c r="J234" s="209">
        <f t="array" ref="J234">IF(I234&gt;0,INDEX(DB,$I234,6),0)</f>
        <v>0</v>
      </c>
      <c r="K234" s="446">
        <f t="shared" si="5"/>
        <v>0</v>
      </c>
      <c r="L234" s="446">
        <f t="shared" si="6"/>
        <v>0</v>
      </c>
      <c r="M234" s="441">
        <f>IF(L234&lt;O234,MinPoints,IF(AND(L234&gt;N234,O234&gt;0),100,+INT(($L234-O234)/P234)+MinPoints))</f>
        <v>10</v>
      </c>
      <c r="N234" s="440">
        <f t="shared" si="7"/>
        <v>4.9</v>
      </c>
      <c r="O234" s="440">
        <f t="shared" si="8"/>
        <v>2.2</v>
      </c>
      <c r="P234" s="440">
        <f t="shared" si="9"/>
        <v>0.03</v>
      </c>
      <c r="Q234">
        <f t="array" ref="Q234">IF(I234&gt;0,INDEX(DB,I234,9),EventIndex)</f>
        <v>6</v>
      </c>
      <c r="S234" s="447">
        <f t="array" ref="S234">INDEX(MINVALUES,$Q234,$K$1)</f>
        <v>2.2</v>
      </c>
      <c r="T234" s="448">
        <f t="array" ref="T234">INDEX(INCVALUES,$Q234,$K$1)</f>
        <v>0.03</v>
      </c>
      <c r="V234">
        <f t="array" ref="V234">+J234+(4*(INDEX(MatchScoreTable,$Q234,20)-1))</f>
        <v>4</v>
      </c>
      <c r="W234" s="442">
        <f t="array" ref="W234">INDEX(INC_MINVALUES,$V234,$K$1)</f>
        <v>0.2</v>
      </c>
      <c r="X234" s="212">
        <f t="array" ref="X234">INDEX(INC_INCVALUES,$V234,$K$1)</f>
        <v>0.02</v>
      </c>
    </row>
    <row r="235" ht="15.75" customHeight="1">
      <c r="A235" s="435"/>
      <c r="B235" s="436"/>
      <c r="C235" s="95" t="str">
        <f t="array" ref="C235">IF(I235&gt;0,INDEX(DB,I235,8),"")</f>
        <v/>
      </c>
      <c r="D235" s="437">
        <f t="shared" si="1"/>
        <v>0</v>
      </c>
      <c r="F235" s="438">
        <f t="shared" si="2"/>
        <v>0</v>
      </c>
      <c r="G235" t="str">
        <f t="shared" si="3"/>
        <v/>
      </c>
      <c r="H235" t="b">
        <f t="shared" si="4"/>
        <v>0</v>
      </c>
      <c r="I235" s="439">
        <f>IF(OR(ISBLANK(A235),ISNA(MATCH(A235&amp;"",AthleteNumbers,0))),0,MATCH(A235&amp;"",AthleteNumbers,0))</f>
        <v>0</v>
      </c>
      <c r="J235" s="209">
        <f t="array" ref="J235">IF(I235&gt;0,INDEX(DB,$I235,6),0)</f>
        <v>0</v>
      </c>
      <c r="K235" s="446">
        <f t="shared" si="5"/>
        <v>0</v>
      </c>
      <c r="L235" s="446">
        <f t="shared" si="6"/>
        <v>0</v>
      </c>
      <c r="M235" s="441">
        <f>IF(L235&lt;O235,MinPoints,IF(AND(L235&gt;N235,O235&gt;0),100,+INT(($L235-O235)/P235)+MinPoints))</f>
        <v>10</v>
      </c>
      <c r="N235" s="440">
        <f t="shared" si="7"/>
        <v>4.9</v>
      </c>
      <c r="O235" s="440">
        <f t="shared" si="8"/>
        <v>2.2</v>
      </c>
      <c r="P235" s="440">
        <f t="shared" si="9"/>
        <v>0.03</v>
      </c>
      <c r="Q235">
        <f t="array" ref="Q235">IF(I235&gt;0,INDEX(DB,I235,9),EventIndex)</f>
        <v>6</v>
      </c>
      <c r="S235" s="447">
        <f t="array" ref="S235">INDEX(MINVALUES,$Q235,$K$1)</f>
        <v>2.2</v>
      </c>
      <c r="T235" s="448">
        <f t="array" ref="T235">INDEX(INCVALUES,$Q235,$K$1)</f>
        <v>0.03</v>
      </c>
      <c r="V235">
        <f t="array" ref="V235">+J235+(4*(INDEX(MatchScoreTable,$Q235,20)-1))</f>
        <v>4</v>
      </c>
      <c r="W235" s="442">
        <f t="array" ref="W235">INDEX(INC_MINVALUES,$V235,$K$1)</f>
        <v>0.2</v>
      </c>
      <c r="X235" s="212">
        <f t="array" ref="X235">INDEX(INC_INCVALUES,$V235,$K$1)</f>
        <v>0.02</v>
      </c>
    </row>
    <row r="236" ht="15.75" customHeight="1">
      <c r="A236" s="435"/>
      <c r="B236" s="436"/>
      <c r="C236" s="95" t="str">
        <f t="array" ref="C236">IF(I236&gt;0,INDEX(DB,I236,8),"")</f>
        <v/>
      </c>
      <c r="D236" s="437">
        <f t="shared" si="1"/>
        <v>0</v>
      </c>
      <c r="F236" s="438">
        <f t="shared" si="2"/>
        <v>0</v>
      </c>
      <c r="G236" t="str">
        <f t="shared" si="3"/>
        <v/>
      </c>
      <c r="H236" t="b">
        <f t="shared" si="4"/>
        <v>0</v>
      </c>
      <c r="I236" s="439">
        <f>IF(OR(ISBLANK(A236),ISNA(MATCH(A236&amp;"",AthleteNumbers,0))),0,MATCH(A236&amp;"",AthleteNumbers,0))</f>
        <v>0</v>
      </c>
      <c r="J236" s="209">
        <f t="array" ref="J236">IF(I236&gt;0,INDEX(DB,$I236,6),0)</f>
        <v>0</v>
      </c>
      <c r="K236" s="446">
        <f t="shared" si="5"/>
        <v>0</v>
      </c>
      <c r="L236" s="446">
        <f t="shared" si="6"/>
        <v>0</v>
      </c>
      <c r="M236" s="441">
        <f>IF(L236&lt;O236,MinPoints,IF(AND(L236&gt;N236,O236&gt;0),100,+INT(($L236-O236)/P236)+MinPoints))</f>
        <v>10</v>
      </c>
      <c r="N236" s="440">
        <f t="shared" si="7"/>
        <v>4.9</v>
      </c>
      <c r="O236" s="440">
        <f t="shared" si="8"/>
        <v>2.2</v>
      </c>
      <c r="P236" s="440">
        <f t="shared" si="9"/>
        <v>0.03</v>
      </c>
      <c r="Q236">
        <f t="array" ref="Q236">IF(I236&gt;0,INDEX(DB,I236,9),EventIndex)</f>
        <v>6</v>
      </c>
      <c r="S236" s="447">
        <f t="array" ref="S236">INDEX(MINVALUES,$Q236,$K$1)</f>
        <v>2.2</v>
      </c>
      <c r="T236" s="448">
        <f t="array" ref="T236">INDEX(INCVALUES,$Q236,$K$1)</f>
        <v>0.03</v>
      </c>
      <c r="V236">
        <f t="array" ref="V236">+J236+(4*(INDEX(MatchScoreTable,$Q236,20)-1))</f>
        <v>4</v>
      </c>
      <c r="W236" s="442">
        <f t="array" ref="W236">INDEX(INC_MINVALUES,$V236,$K$1)</f>
        <v>0.2</v>
      </c>
      <c r="X236" s="212">
        <f t="array" ref="X236">INDEX(INC_INCVALUES,$V236,$K$1)</f>
        <v>0.02</v>
      </c>
    </row>
    <row r="237" ht="15.75" customHeight="1">
      <c r="A237" s="435"/>
      <c r="B237" s="436"/>
      <c r="C237" s="95" t="str">
        <f t="array" ref="C237">IF(I237&gt;0,INDEX(DB,I237,8),"")</f>
        <v/>
      </c>
      <c r="D237" s="437">
        <f t="shared" si="1"/>
        <v>0</v>
      </c>
      <c r="F237" s="438">
        <f t="shared" si="2"/>
        <v>0</v>
      </c>
      <c r="G237" t="str">
        <f t="shared" si="3"/>
        <v/>
      </c>
      <c r="H237" t="b">
        <f t="shared" si="4"/>
        <v>0</v>
      </c>
      <c r="I237" s="439">
        <f>IF(OR(ISBLANK(A237),ISNA(MATCH(A237&amp;"",AthleteNumbers,0))),0,MATCH(A237&amp;"",AthleteNumbers,0))</f>
        <v>0</v>
      </c>
      <c r="J237" s="209">
        <f t="array" ref="J237">IF(I237&gt;0,INDEX(DB,$I237,6),0)</f>
        <v>0</v>
      </c>
      <c r="K237" s="446">
        <f t="shared" si="5"/>
        <v>0</v>
      </c>
      <c r="L237" s="446">
        <f t="shared" si="6"/>
        <v>0</v>
      </c>
      <c r="M237" s="441">
        <f>IF(L237&lt;O237,MinPoints,IF(AND(L237&gt;N237,O237&gt;0),100,+INT(($L237-O237)/P237)+MinPoints))</f>
        <v>10</v>
      </c>
      <c r="N237" s="440">
        <f t="shared" si="7"/>
        <v>4.9</v>
      </c>
      <c r="O237" s="440">
        <f t="shared" si="8"/>
        <v>2.2</v>
      </c>
      <c r="P237" s="440">
        <f t="shared" si="9"/>
        <v>0.03</v>
      </c>
      <c r="Q237">
        <f t="array" ref="Q237">IF(I237&gt;0,INDEX(DB,I237,9),EventIndex)</f>
        <v>6</v>
      </c>
      <c r="S237" s="447">
        <f t="array" ref="S237">INDEX(MINVALUES,$Q237,$K$1)</f>
        <v>2.2</v>
      </c>
      <c r="T237" s="448">
        <f t="array" ref="T237">INDEX(INCVALUES,$Q237,$K$1)</f>
        <v>0.03</v>
      </c>
      <c r="V237">
        <f t="array" ref="V237">+J237+(4*(INDEX(MatchScoreTable,$Q237,20)-1))</f>
        <v>4</v>
      </c>
      <c r="W237" s="442">
        <f t="array" ref="W237">INDEX(INC_MINVALUES,$V237,$K$1)</f>
        <v>0.2</v>
      </c>
      <c r="X237" s="212">
        <f t="array" ref="X237">INDEX(INC_INCVALUES,$V237,$K$1)</f>
        <v>0.02</v>
      </c>
    </row>
    <row r="238" ht="15.75" customHeight="1">
      <c r="A238" s="435"/>
      <c r="B238" s="436"/>
      <c r="C238" s="95" t="str">
        <f t="array" ref="C238">IF(I238&gt;0,INDEX(DB,I238,8),"")</f>
        <v/>
      </c>
      <c r="D238" s="437">
        <f t="shared" si="1"/>
        <v>0</v>
      </c>
      <c r="F238" s="438">
        <f t="shared" si="2"/>
        <v>0</v>
      </c>
      <c r="G238" t="str">
        <f t="shared" si="3"/>
        <v/>
      </c>
      <c r="H238" t="b">
        <f t="shared" si="4"/>
        <v>0</v>
      </c>
      <c r="I238" s="439">
        <f>IF(OR(ISBLANK(A238),ISNA(MATCH(A238&amp;"",AthleteNumbers,0))),0,MATCH(A238&amp;"",AthleteNumbers,0))</f>
        <v>0</v>
      </c>
      <c r="J238" s="209">
        <f t="array" ref="J238">IF(I238&gt;0,INDEX(DB,$I238,6),0)</f>
        <v>0</v>
      </c>
      <c r="K238" s="446">
        <f t="shared" si="5"/>
        <v>0</v>
      </c>
      <c r="L238" s="446">
        <f t="shared" si="6"/>
        <v>0</v>
      </c>
      <c r="M238" s="441">
        <f>IF(L238&lt;O238,MinPoints,IF(AND(L238&gt;N238,O238&gt;0),100,+INT(($L238-O238)/P238)+MinPoints))</f>
        <v>10</v>
      </c>
      <c r="N238" s="440">
        <f t="shared" si="7"/>
        <v>4.9</v>
      </c>
      <c r="O238" s="440">
        <f t="shared" si="8"/>
        <v>2.2</v>
      </c>
      <c r="P238" s="440">
        <f t="shared" si="9"/>
        <v>0.03</v>
      </c>
      <c r="Q238">
        <f t="array" ref="Q238">IF(I238&gt;0,INDEX(DB,I238,9),EventIndex)</f>
        <v>6</v>
      </c>
      <c r="S238" s="447">
        <f t="array" ref="S238">INDEX(MINVALUES,$Q238,$K$1)</f>
        <v>2.2</v>
      </c>
      <c r="T238" s="448">
        <f t="array" ref="T238">INDEX(INCVALUES,$Q238,$K$1)</f>
        <v>0.03</v>
      </c>
      <c r="V238">
        <f t="array" ref="V238">+J238+(4*(INDEX(MatchScoreTable,$Q238,20)-1))</f>
        <v>4</v>
      </c>
      <c r="W238" s="442">
        <f t="array" ref="W238">INDEX(INC_MINVALUES,$V238,$K$1)</f>
        <v>0.2</v>
      </c>
      <c r="X238" s="212">
        <f t="array" ref="X238">INDEX(INC_INCVALUES,$V238,$K$1)</f>
        <v>0.02</v>
      </c>
    </row>
    <row r="239" ht="15.75" customHeight="1">
      <c r="A239" s="435"/>
      <c r="B239" s="436"/>
      <c r="C239" s="95" t="str">
        <f t="array" ref="C239">IF(I239&gt;0,INDEX(DB,I239,8),"")</f>
        <v/>
      </c>
      <c r="D239" s="437">
        <f t="shared" si="1"/>
        <v>0</v>
      </c>
      <c r="F239" s="438">
        <f t="shared" si="2"/>
        <v>0</v>
      </c>
      <c r="G239" t="str">
        <f t="shared" si="3"/>
        <v/>
      </c>
      <c r="H239" t="b">
        <f t="shared" si="4"/>
        <v>0</v>
      </c>
      <c r="I239" s="439">
        <f>IF(OR(ISBLANK(A239),ISNA(MATCH(A239&amp;"",AthleteNumbers,0))),0,MATCH(A239&amp;"",AthleteNumbers,0))</f>
        <v>0</v>
      </c>
      <c r="J239" s="209">
        <f t="array" ref="J239">IF(I239&gt;0,INDEX(DB,$I239,6),0)</f>
        <v>0</v>
      </c>
      <c r="K239" s="446">
        <f t="shared" si="5"/>
        <v>0</v>
      </c>
      <c r="L239" s="446">
        <f t="shared" si="6"/>
        <v>0</v>
      </c>
      <c r="M239" s="441">
        <f>IF(L239&lt;O239,MinPoints,IF(AND(L239&gt;N239,O239&gt;0),100,+INT(($L239-O239)/P239)+MinPoints))</f>
        <v>10</v>
      </c>
      <c r="N239" s="440">
        <f t="shared" si="7"/>
        <v>4.9</v>
      </c>
      <c r="O239" s="440">
        <f t="shared" si="8"/>
        <v>2.2</v>
      </c>
      <c r="P239" s="440">
        <f t="shared" si="9"/>
        <v>0.03</v>
      </c>
      <c r="Q239">
        <f t="array" ref="Q239">IF(I239&gt;0,INDEX(DB,I239,9),EventIndex)</f>
        <v>6</v>
      </c>
      <c r="S239" s="447">
        <f t="array" ref="S239">INDEX(MINVALUES,$Q239,$K$1)</f>
        <v>2.2</v>
      </c>
      <c r="T239" s="448">
        <f t="array" ref="T239">INDEX(INCVALUES,$Q239,$K$1)</f>
        <v>0.03</v>
      </c>
      <c r="V239">
        <f t="array" ref="V239">+J239+(4*(INDEX(MatchScoreTable,$Q239,20)-1))</f>
        <v>4</v>
      </c>
      <c r="W239" s="442">
        <f t="array" ref="W239">INDEX(INC_MINVALUES,$V239,$K$1)</f>
        <v>0.2</v>
      </c>
      <c r="X239" s="212">
        <f t="array" ref="X239">INDEX(INC_INCVALUES,$V239,$K$1)</f>
        <v>0.02</v>
      </c>
    </row>
    <row r="240" ht="15.75" customHeight="1">
      <c r="A240" s="435"/>
      <c r="B240" s="436"/>
      <c r="C240" s="95" t="str">
        <f t="array" ref="C240">IF(I240&gt;0,INDEX(DB,I240,8),"")</f>
        <v/>
      </c>
      <c r="D240" s="437">
        <f t="shared" si="1"/>
        <v>0</v>
      </c>
      <c r="F240" s="438">
        <f t="shared" si="2"/>
        <v>0</v>
      </c>
      <c r="G240" t="str">
        <f t="shared" si="3"/>
        <v/>
      </c>
      <c r="H240" t="b">
        <f t="shared" si="4"/>
        <v>0</v>
      </c>
      <c r="I240" s="439">
        <f>IF(OR(ISBLANK(A240),ISNA(MATCH(A240&amp;"",AthleteNumbers,0))),0,MATCH(A240&amp;"",AthleteNumbers,0))</f>
        <v>0</v>
      </c>
      <c r="J240" s="209">
        <f t="array" ref="J240">IF(I240&gt;0,INDEX(DB,$I240,6),0)</f>
        <v>0</v>
      </c>
      <c r="K240" s="446">
        <f t="shared" si="5"/>
        <v>0</v>
      </c>
      <c r="L240" s="446">
        <f t="shared" si="6"/>
        <v>0</v>
      </c>
      <c r="M240" s="441">
        <f>IF(L240&lt;O240,MinPoints,IF(AND(L240&gt;N240,O240&gt;0),100,+INT(($L240-O240)/P240)+MinPoints))</f>
        <v>10</v>
      </c>
      <c r="N240" s="440">
        <f t="shared" si="7"/>
        <v>4.9</v>
      </c>
      <c r="O240" s="440">
        <f t="shared" si="8"/>
        <v>2.2</v>
      </c>
      <c r="P240" s="440">
        <f t="shared" si="9"/>
        <v>0.03</v>
      </c>
      <c r="Q240">
        <f t="array" ref="Q240">IF(I240&gt;0,INDEX(DB,I240,9),EventIndex)</f>
        <v>6</v>
      </c>
      <c r="S240" s="447">
        <f t="array" ref="S240">INDEX(MINVALUES,$Q240,$K$1)</f>
        <v>2.2</v>
      </c>
      <c r="T240" s="448">
        <f t="array" ref="T240">INDEX(INCVALUES,$Q240,$K$1)</f>
        <v>0.03</v>
      </c>
      <c r="V240">
        <f t="array" ref="V240">+J240+(4*(INDEX(MatchScoreTable,$Q240,20)-1))</f>
        <v>4</v>
      </c>
      <c r="W240" s="442">
        <f t="array" ref="W240">INDEX(INC_MINVALUES,$V240,$K$1)</f>
        <v>0.2</v>
      </c>
      <c r="X240" s="212">
        <f t="array" ref="X240">INDEX(INC_INCVALUES,$V240,$K$1)</f>
        <v>0.02</v>
      </c>
    </row>
    <row r="241" ht="15.75" customHeight="1">
      <c r="A241" s="435"/>
      <c r="B241" s="436"/>
      <c r="C241" s="95" t="str">
        <f t="array" ref="C241">IF(I241&gt;0,INDEX(DB,I241,8),"")</f>
        <v/>
      </c>
      <c r="D241" s="437">
        <f t="shared" si="1"/>
        <v>0</v>
      </c>
      <c r="F241" s="438">
        <f t="shared" si="2"/>
        <v>0</v>
      </c>
      <c r="G241" t="str">
        <f t="shared" si="3"/>
        <v/>
      </c>
      <c r="H241" t="b">
        <f t="shared" si="4"/>
        <v>0</v>
      </c>
      <c r="I241" s="439">
        <f>IF(OR(ISBLANK(A241),ISNA(MATCH(A241&amp;"",AthleteNumbers,0))),0,MATCH(A241&amp;"",AthleteNumbers,0))</f>
        <v>0</v>
      </c>
      <c r="J241" s="209">
        <f t="array" ref="J241">IF(I241&gt;0,INDEX(DB,$I241,6),0)</f>
        <v>0</v>
      </c>
      <c r="K241" s="446">
        <f t="shared" si="5"/>
        <v>0</v>
      </c>
      <c r="L241" s="446">
        <f t="shared" si="6"/>
        <v>0</v>
      </c>
      <c r="M241" s="441">
        <f>IF(L241&lt;O241,MinPoints,IF(AND(L241&gt;N241,O241&gt;0),100,+INT(($L241-O241)/P241)+MinPoints))</f>
        <v>10</v>
      </c>
      <c r="N241" s="440">
        <f t="shared" si="7"/>
        <v>4.9</v>
      </c>
      <c r="O241" s="440">
        <f t="shared" si="8"/>
        <v>2.2</v>
      </c>
      <c r="P241" s="440">
        <f t="shared" si="9"/>
        <v>0.03</v>
      </c>
      <c r="Q241">
        <f t="array" ref="Q241">IF(I241&gt;0,INDEX(DB,I241,9),EventIndex)</f>
        <v>6</v>
      </c>
      <c r="S241" s="447">
        <f t="array" ref="S241">INDEX(MINVALUES,$Q241,$K$1)</f>
        <v>2.2</v>
      </c>
      <c r="T241" s="448">
        <f t="array" ref="T241">INDEX(INCVALUES,$Q241,$K$1)</f>
        <v>0.03</v>
      </c>
      <c r="V241">
        <f t="array" ref="V241">+J241+(4*(INDEX(MatchScoreTable,$Q241,20)-1))</f>
        <v>4</v>
      </c>
      <c r="W241" s="442">
        <f t="array" ref="W241">INDEX(INC_MINVALUES,$V241,$K$1)</f>
        <v>0.2</v>
      </c>
      <c r="X241" s="212">
        <f t="array" ref="X241">INDEX(INC_INCVALUES,$V241,$K$1)</f>
        <v>0.02</v>
      </c>
    </row>
    <row r="242" ht="15.75" customHeight="1">
      <c r="A242" s="435"/>
      <c r="B242" s="436"/>
      <c r="C242" s="95" t="str">
        <f t="array" ref="C242">IF(I242&gt;0,INDEX(DB,I242,8),"")</f>
        <v/>
      </c>
      <c r="D242" s="437">
        <f t="shared" si="1"/>
        <v>0</v>
      </c>
      <c r="F242" s="438">
        <f t="shared" si="2"/>
        <v>0</v>
      </c>
      <c r="G242" t="str">
        <f t="shared" si="3"/>
        <v/>
      </c>
      <c r="H242" t="b">
        <f t="shared" si="4"/>
        <v>0</v>
      </c>
      <c r="I242" s="439">
        <f>IF(OR(ISBLANK(A242),ISNA(MATCH(A242&amp;"",AthleteNumbers,0))),0,MATCH(A242&amp;"",AthleteNumbers,0))</f>
        <v>0</v>
      </c>
      <c r="J242" s="209">
        <f t="array" ref="J242">IF(I242&gt;0,INDEX(DB,$I242,6),0)</f>
        <v>0</v>
      </c>
      <c r="K242" s="446">
        <f t="shared" si="5"/>
        <v>0</v>
      </c>
      <c r="L242" s="446">
        <f t="shared" si="6"/>
        <v>0</v>
      </c>
      <c r="M242" s="441">
        <f>IF(L242&lt;O242,MinPoints,IF(AND(L242&gt;N242,O242&gt;0),100,+INT(($L242-O242)/P242)+MinPoints))</f>
        <v>10</v>
      </c>
      <c r="N242" s="440">
        <f t="shared" si="7"/>
        <v>4.9</v>
      </c>
      <c r="O242" s="440">
        <f t="shared" si="8"/>
        <v>2.2</v>
      </c>
      <c r="P242" s="440">
        <f t="shared" si="9"/>
        <v>0.03</v>
      </c>
      <c r="Q242">
        <f t="array" ref="Q242">IF(I242&gt;0,INDEX(DB,I242,9),EventIndex)</f>
        <v>6</v>
      </c>
      <c r="S242" s="447">
        <f t="array" ref="S242">INDEX(MINVALUES,$Q242,$K$1)</f>
        <v>2.2</v>
      </c>
      <c r="T242" s="448">
        <f t="array" ref="T242">INDEX(INCVALUES,$Q242,$K$1)</f>
        <v>0.03</v>
      </c>
      <c r="V242">
        <f t="array" ref="V242">+J242+(4*(INDEX(MatchScoreTable,$Q242,20)-1))</f>
        <v>4</v>
      </c>
      <c r="W242" s="442">
        <f t="array" ref="W242">INDEX(INC_MINVALUES,$V242,$K$1)</f>
        <v>0.2</v>
      </c>
      <c r="X242" s="212">
        <f t="array" ref="X242">INDEX(INC_INCVALUES,$V242,$K$1)</f>
        <v>0.02</v>
      </c>
    </row>
    <row r="243" ht="15.75" customHeight="1">
      <c r="A243" s="435"/>
      <c r="B243" s="436"/>
      <c r="C243" s="95" t="str">
        <f t="array" ref="C243">IF(I243&gt;0,INDEX(DB,I243,8),"")</f>
        <v/>
      </c>
      <c r="D243" s="437">
        <f t="shared" si="1"/>
        <v>0</v>
      </c>
      <c r="F243" s="438">
        <f t="shared" si="2"/>
        <v>0</v>
      </c>
      <c r="G243" t="str">
        <f t="shared" si="3"/>
        <v/>
      </c>
      <c r="H243" t="b">
        <f t="shared" si="4"/>
        <v>0</v>
      </c>
      <c r="I243" s="439">
        <f>IF(OR(ISBLANK(A243),ISNA(MATCH(A243&amp;"",AthleteNumbers,0))),0,MATCH(A243&amp;"",AthleteNumbers,0))</f>
        <v>0</v>
      </c>
      <c r="J243" s="209">
        <f t="array" ref="J243">IF(I243&gt;0,INDEX(DB,$I243,6),0)</f>
        <v>0</v>
      </c>
      <c r="K243" s="446">
        <f t="shared" si="5"/>
        <v>0</v>
      </c>
      <c r="L243" s="446">
        <f t="shared" si="6"/>
        <v>0</v>
      </c>
      <c r="M243" s="441">
        <f>IF(L243&lt;O243,MinPoints,IF(AND(L243&gt;N243,O243&gt;0),100,+INT(($L243-O243)/P243)+MinPoints))</f>
        <v>10</v>
      </c>
      <c r="N243" s="440">
        <f t="shared" si="7"/>
        <v>4.9</v>
      </c>
      <c r="O243" s="440">
        <f t="shared" si="8"/>
        <v>2.2</v>
      </c>
      <c r="P243" s="440">
        <f t="shared" si="9"/>
        <v>0.03</v>
      </c>
      <c r="Q243">
        <f t="array" ref="Q243">IF(I243&gt;0,INDEX(DB,I243,9),EventIndex)</f>
        <v>6</v>
      </c>
      <c r="S243" s="447">
        <f t="array" ref="S243">INDEX(MINVALUES,$Q243,$K$1)</f>
        <v>2.2</v>
      </c>
      <c r="T243" s="448">
        <f t="array" ref="T243">INDEX(INCVALUES,$Q243,$K$1)</f>
        <v>0.03</v>
      </c>
      <c r="V243">
        <f t="array" ref="V243">+J243+(4*(INDEX(MatchScoreTable,$Q243,20)-1))</f>
        <v>4</v>
      </c>
      <c r="W243" s="442">
        <f t="array" ref="W243">INDEX(INC_MINVALUES,$V243,$K$1)</f>
        <v>0.2</v>
      </c>
      <c r="X243" s="212">
        <f t="array" ref="X243">INDEX(INC_INCVALUES,$V243,$K$1)</f>
        <v>0.02</v>
      </c>
    </row>
    <row r="244" ht="15.75" customHeight="1">
      <c r="A244" s="435"/>
      <c r="B244" s="436"/>
      <c r="C244" s="95" t="str">
        <f t="array" ref="C244">IF(I244&gt;0,INDEX(DB,I244,8),"")</f>
        <v/>
      </c>
      <c r="D244" s="437">
        <f t="shared" si="1"/>
        <v>0</v>
      </c>
      <c r="F244" s="438">
        <f t="shared" si="2"/>
        <v>0</v>
      </c>
      <c r="G244" t="str">
        <f t="shared" si="3"/>
        <v/>
      </c>
      <c r="H244" t="b">
        <f t="shared" si="4"/>
        <v>0</v>
      </c>
      <c r="I244" s="439">
        <f>IF(OR(ISBLANK(A244),ISNA(MATCH(A244&amp;"",AthleteNumbers,0))),0,MATCH(A244&amp;"",AthleteNumbers,0))</f>
        <v>0</v>
      </c>
      <c r="J244" s="209">
        <f t="array" ref="J244">IF(I244&gt;0,INDEX(DB,$I244,6),0)</f>
        <v>0</v>
      </c>
      <c r="K244" s="446">
        <f t="shared" si="5"/>
        <v>0</v>
      </c>
      <c r="L244" s="446">
        <f t="shared" si="6"/>
        <v>0</v>
      </c>
      <c r="M244" s="441">
        <f>IF(L244&lt;O244,MinPoints,IF(AND(L244&gt;N244,O244&gt;0),100,+INT(($L244-O244)/P244)+MinPoints))</f>
        <v>10</v>
      </c>
      <c r="N244" s="440">
        <f t="shared" si="7"/>
        <v>4.9</v>
      </c>
      <c r="O244" s="440">
        <f t="shared" si="8"/>
        <v>2.2</v>
      </c>
      <c r="P244" s="440">
        <f t="shared" si="9"/>
        <v>0.03</v>
      </c>
      <c r="Q244">
        <f t="array" ref="Q244">IF(I244&gt;0,INDEX(DB,I244,9),EventIndex)</f>
        <v>6</v>
      </c>
      <c r="S244" s="447">
        <f t="array" ref="S244">INDEX(MINVALUES,$Q244,$K$1)</f>
        <v>2.2</v>
      </c>
      <c r="T244" s="448">
        <f t="array" ref="T244">INDEX(INCVALUES,$Q244,$K$1)</f>
        <v>0.03</v>
      </c>
      <c r="V244">
        <f t="array" ref="V244">+J244+(4*(INDEX(MatchScoreTable,$Q244,20)-1))</f>
        <v>4</v>
      </c>
      <c r="W244" s="442">
        <f t="array" ref="W244">INDEX(INC_MINVALUES,$V244,$K$1)</f>
        <v>0.2</v>
      </c>
      <c r="X244" s="212">
        <f t="array" ref="X244">INDEX(INC_INCVALUES,$V244,$K$1)</f>
        <v>0.02</v>
      </c>
    </row>
    <row r="245" ht="15.75" customHeight="1">
      <c r="A245" s="435"/>
      <c r="B245" s="436"/>
      <c r="C245" s="95" t="str">
        <f t="array" ref="C245">IF(I245&gt;0,INDEX(DB,I245,8),"")</f>
        <v/>
      </c>
      <c r="D245" s="437">
        <f t="shared" si="1"/>
        <v>0</v>
      </c>
      <c r="F245" s="438">
        <f t="shared" si="2"/>
        <v>0</v>
      </c>
      <c r="G245" t="str">
        <f t="shared" si="3"/>
        <v/>
      </c>
      <c r="H245" t="b">
        <f t="shared" si="4"/>
        <v>0</v>
      </c>
      <c r="I245" s="439">
        <f>IF(OR(ISBLANK(A245),ISNA(MATCH(A245&amp;"",AthleteNumbers,0))),0,MATCH(A245&amp;"",AthleteNumbers,0))</f>
        <v>0</v>
      </c>
      <c r="J245" s="209">
        <f t="array" ref="J245">IF(I245&gt;0,INDEX(DB,$I245,6),0)</f>
        <v>0</v>
      </c>
      <c r="K245" s="446">
        <f t="shared" si="5"/>
        <v>0</v>
      </c>
      <c r="L245" s="446">
        <f t="shared" si="6"/>
        <v>0</v>
      </c>
      <c r="M245" s="441">
        <f>IF(L245&lt;O245,MinPoints,IF(AND(L245&gt;N245,O245&gt;0),100,+INT(($L245-O245)/P245)+MinPoints))</f>
        <v>10</v>
      </c>
      <c r="N245" s="440">
        <f t="shared" si="7"/>
        <v>4.9</v>
      </c>
      <c r="O245" s="440">
        <f t="shared" si="8"/>
        <v>2.2</v>
      </c>
      <c r="P245" s="440">
        <f t="shared" si="9"/>
        <v>0.03</v>
      </c>
      <c r="Q245">
        <f t="array" ref="Q245">IF(I245&gt;0,INDEX(DB,I245,9),EventIndex)</f>
        <v>6</v>
      </c>
      <c r="S245" s="447">
        <f t="array" ref="S245">INDEX(MINVALUES,$Q245,$K$1)</f>
        <v>2.2</v>
      </c>
      <c r="T245" s="448">
        <f t="array" ref="T245">INDEX(INCVALUES,$Q245,$K$1)</f>
        <v>0.03</v>
      </c>
      <c r="V245">
        <f t="array" ref="V245">+J245+(4*(INDEX(MatchScoreTable,$Q245,20)-1))</f>
        <v>4</v>
      </c>
      <c r="W245" s="442">
        <f t="array" ref="W245">INDEX(INC_MINVALUES,$V245,$K$1)</f>
        <v>0.2</v>
      </c>
      <c r="X245" s="212">
        <f t="array" ref="X245">INDEX(INC_INCVALUES,$V245,$K$1)</f>
        <v>0.02</v>
      </c>
    </row>
    <row r="246" ht="15.75" customHeight="1">
      <c r="A246" s="435"/>
      <c r="B246" s="436"/>
      <c r="C246" s="95" t="str">
        <f t="array" ref="C246">IF(I246&gt;0,INDEX(DB,I246,8),"")</f>
        <v/>
      </c>
      <c r="D246" s="437">
        <f t="shared" si="1"/>
        <v>0</v>
      </c>
      <c r="F246" s="438">
        <f t="shared" si="2"/>
        <v>0</v>
      </c>
      <c r="G246" t="str">
        <f t="shared" si="3"/>
        <v/>
      </c>
      <c r="H246" t="b">
        <f t="shared" si="4"/>
        <v>0</v>
      </c>
      <c r="I246" s="439">
        <f>IF(OR(ISBLANK(A246),ISNA(MATCH(A246&amp;"",AthleteNumbers,0))),0,MATCH(A246&amp;"",AthleteNumbers,0))</f>
        <v>0</v>
      </c>
      <c r="J246" s="209">
        <f t="array" ref="J246">IF(I246&gt;0,INDEX(DB,$I246,6),0)</f>
        <v>0</v>
      </c>
      <c r="K246" s="446">
        <f t="shared" si="5"/>
        <v>0</v>
      </c>
      <c r="L246" s="446">
        <f t="shared" si="6"/>
        <v>0</v>
      </c>
      <c r="M246" s="441">
        <f>IF(L246&lt;O246,MinPoints,IF(AND(L246&gt;N246,O246&gt;0),100,+INT(($L246-O246)/P246)+MinPoints))</f>
        <v>10</v>
      </c>
      <c r="N246" s="440">
        <f t="shared" si="7"/>
        <v>4.9</v>
      </c>
      <c r="O246" s="440">
        <f t="shared" si="8"/>
        <v>2.2</v>
      </c>
      <c r="P246" s="440">
        <f t="shared" si="9"/>
        <v>0.03</v>
      </c>
      <c r="Q246">
        <f t="array" ref="Q246">IF(I246&gt;0,INDEX(DB,I246,9),EventIndex)</f>
        <v>6</v>
      </c>
      <c r="S246" s="447">
        <f t="array" ref="S246">INDEX(MINVALUES,$Q246,$K$1)</f>
        <v>2.2</v>
      </c>
      <c r="T246" s="448">
        <f t="array" ref="T246">INDEX(INCVALUES,$Q246,$K$1)</f>
        <v>0.03</v>
      </c>
      <c r="V246">
        <f t="array" ref="V246">+J246+(4*(INDEX(MatchScoreTable,$Q246,20)-1))</f>
        <v>4</v>
      </c>
      <c r="W246" s="442">
        <f t="array" ref="W246">INDEX(INC_MINVALUES,$V246,$K$1)</f>
        <v>0.2</v>
      </c>
      <c r="X246" s="212">
        <f t="array" ref="X246">INDEX(INC_INCVALUES,$V246,$K$1)</f>
        <v>0.02</v>
      </c>
    </row>
    <row r="247" ht="15.75" customHeight="1">
      <c r="A247" s="435"/>
      <c r="B247" s="436"/>
      <c r="C247" s="95" t="str">
        <f t="array" ref="C247">IF(I247&gt;0,INDEX(DB,I247,8),"")</f>
        <v/>
      </c>
      <c r="D247" s="437">
        <f t="shared" si="1"/>
        <v>0</v>
      </c>
      <c r="F247" s="438">
        <f t="shared" si="2"/>
        <v>0</v>
      </c>
      <c r="G247" t="str">
        <f t="shared" si="3"/>
        <v/>
      </c>
      <c r="H247" t="b">
        <f t="shared" si="4"/>
        <v>0</v>
      </c>
      <c r="I247" s="439">
        <f>IF(OR(ISBLANK(A247),ISNA(MATCH(A247&amp;"",AthleteNumbers,0))),0,MATCH(A247&amp;"",AthleteNumbers,0))</f>
        <v>0</v>
      </c>
      <c r="J247" s="209">
        <f t="array" ref="J247">IF(I247&gt;0,INDEX(DB,$I247,6),0)</f>
        <v>0</v>
      </c>
      <c r="K247" s="446">
        <f t="shared" si="5"/>
        <v>0</v>
      </c>
      <c r="L247" s="446">
        <f t="shared" si="6"/>
        <v>0</v>
      </c>
      <c r="M247" s="441">
        <f>IF(L247&lt;O247,MinPoints,IF(AND(L247&gt;N247,O247&gt;0),100,+INT(($L247-O247)/P247)+MinPoints))</f>
        <v>10</v>
      </c>
      <c r="N247" s="440">
        <f t="shared" si="7"/>
        <v>4.9</v>
      </c>
      <c r="O247" s="440">
        <f t="shared" si="8"/>
        <v>2.2</v>
      </c>
      <c r="P247" s="440">
        <f t="shared" si="9"/>
        <v>0.03</v>
      </c>
      <c r="Q247">
        <f t="array" ref="Q247">IF(I247&gt;0,INDEX(DB,I247,9),EventIndex)</f>
        <v>6</v>
      </c>
      <c r="S247" s="447">
        <f t="array" ref="S247">INDEX(MINVALUES,$Q247,$K$1)</f>
        <v>2.2</v>
      </c>
      <c r="T247" s="448">
        <f t="array" ref="T247">INDEX(INCVALUES,$Q247,$K$1)</f>
        <v>0.03</v>
      </c>
      <c r="V247">
        <f t="array" ref="V247">+J247+(4*(INDEX(MatchScoreTable,$Q247,20)-1))</f>
        <v>4</v>
      </c>
      <c r="W247" s="442">
        <f t="array" ref="W247">INDEX(INC_MINVALUES,$V247,$K$1)</f>
        <v>0.2</v>
      </c>
      <c r="X247" s="212">
        <f t="array" ref="X247">INDEX(INC_INCVALUES,$V247,$K$1)</f>
        <v>0.02</v>
      </c>
    </row>
    <row r="248" ht="15.75" customHeight="1">
      <c r="A248" s="435"/>
      <c r="B248" s="436"/>
      <c r="C248" s="95" t="str">
        <f t="array" ref="C248">IF(I248&gt;0,INDEX(DB,I248,8),"")</f>
        <v/>
      </c>
      <c r="D248" s="437">
        <f t="shared" si="1"/>
        <v>0</v>
      </c>
      <c r="F248" s="438">
        <f t="shared" si="2"/>
        <v>0</v>
      </c>
      <c r="G248" t="str">
        <f t="shared" si="3"/>
        <v/>
      </c>
      <c r="H248" t="b">
        <f t="shared" si="4"/>
        <v>0</v>
      </c>
      <c r="I248" s="439">
        <f>IF(OR(ISBLANK(A248),ISNA(MATCH(A248&amp;"",AthleteNumbers,0))),0,MATCH(A248&amp;"",AthleteNumbers,0))</f>
        <v>0</v>
      </c>
      <c r="J248" s="209">
        <f t="array" ref="J248">IF(I248&gt;0,INDEX(DB,$I248,6),0)</f>
        <v>0</v>
      </c>
      <c r="K248" s="446">
        <f t="shared" si="5"/>
        <v>0</v>
      </c>
      <c r="L248" s="446">
        <f t="shared" si="6"/>
        <v>0</v>
      </c>
      <c r="M248" s="441">
        <f>IF(L248&lt;O248,MinPoints,IF(AND(L248&gt;N248,O248&gt;0),100,+INT(($L248-O248)/P248)+MinPoints))</f>
        <v>10</v>
      </c>
      <c r="N248" s="440">
        <f t="shared" si="7"/>
        <v>4.9</v>
      </c>
      <c r="O248" s="440">
        <f t="shared" si="8"/>
        <v>2.2</v>
      </c>
      <c r="P248" s="440">
        <f t="shared" si="9"/>
        <v>0.03</v>
      </c>
      <c r="Q248">
        <f t="array" ref="Q248">IF(I248&gt;0,INDEX(DB,I248,9),EventIndex)</f>
        <v>6</v>
      </c>
      <c r="S248" s="447">
        <f t="array" ref="S248">INDEX(MINVALUES,$Q248,$K$1)</f>
        <v>2.2</v>
      </c>
      <c r="T248" s="448">
        <f t="array" ref="T248">INDEX(INCVALUES,$Q248,$K$1)</f>
        <v>0.03</v>
      </c>
      <c r="V248">
        <f t="array" ref="V248">+J248+(4*(INDEX(MatchScoreTable,$Q248,20)-1))</f>
        <v>4</v>
      </c>
      <c r="W248" s="442">
        <f t="array" ref="W248">INDEX(INC_MINVALUES,$V248,$K$1)</f>
        <v>0.2</v>
      </c>
      <c r="X248" s="212">
        <f t="array" ref="X248">INDEX(INC_INCVALUES,$V248,$K$1)</f>
        <v>0.02</v>
      </c>
    </row>
    <row r="249" ht="15.75" customHeight="1">
      <c r="A249" s="435"/>
      <c r="B249" s="436"/>
      <c r="C249" s="95" t="str">
        <f t="array" ref="C249">IF(I249&gt;0,INDEX(DB,I249,8),"")</f>
        <v/>
      </c>
      <c r="D249" s="437">
        <f t="shared" si="1"/>
        <v>0</v>
      </c>
      <c r="F249" s="438">
        <f t="shared" si="2"/>
        <v>0</v>
      </c>
      <c r="G249" t="str">
        <f t="shared" si="3"/>
        <v/>
      </c>
      <c r="H249" t="b">
        <f t="shared" si="4"/>
        <v>0</v>
      </c>
      <c r="I249" s="439">
        <f>IF(OR(ISBLANK(A249),ISNA(MATCH(A249&amp;"",AthleteNumbers,0))),0,MATCH(A249&amp;"",AthleteNumbers,0))</f>
        <v>0</v>
      </c>
      <c r="J249" s="209">
        <f t="array" ref="J249">IF(I249&gt;0,INDEX(DB,$I249,6),0)</f>
        <v>0</v>
      </c>
      <c r="K249" s="446">
        <f t="shared" si="5"/>
        <v>0</v>
      </c>
      <c r="L249" s="446">
        <f t="shared" si="6"/>
        <v>0</v>
      </c>
      <c r="M249" s="441">
        <f>IF(L249&lt;O249,MinPoints,IF(AND(L249&gt;N249,O249&gt;0),100,+INT(($L249-O249)/P249)+MinPoints))</f>
        <v>10</v>
      </c>
      <c r="N249" s="440">
        <f t="shared" si="7"/>
        <v>4.9</v>
      </c>
      <c r="O249" s="440">
        <f t="shared" si="8"/>
        <v>2.2</v>
      </c>
      <c r="P249" s="440">
        <f t="shared" si="9"/>
        <v>0.03</v>
      </c>
      <c r="Q249">
        <f t="array" ref="Q249">IF(I249&gt;0,INDEX(DB,I249,9),EventIndex)</f>
        <v>6</v>
      </c>
      <c r="S249" s="447">
        <f t="array" ref="S249">INDEX(MINVALUES,$Q249,$K$1)</f>
        <v>2.2</v>
      </c>
      <c r="T249" s="448">
        <f t="array" ref="T249">INDEX(INCVALUES,$Q249,$K$1)</f>
        <v>0.03</v>
      </c>
      <c r="V249">
        <f t="array" ref="V249">+J249+(4*(INDEX(MatchScoreTable,$Q249,20)-1))</f>
        <v>4</v>
      </c>
      <c r="W249" s="442">
        <f t="array" ref="W249">INDEX(INC_MINVALUES,$V249,$K$1)</f>
        <v>0.2</v>
      </c>
      <c r="X249" s="212">
        <f t="array" ref="X249">INDEX(INC_INCVALUES,$V249,$K$1)</f>
        <v>0.02</v>
      </c>
    </row>
    <row r="250" ht="15.75" customHeight="1">
      <c r="A250" s="435"/>
      <c r="B250" s="436"/>
      <c r="C250" s="95" t="str">
        <f t="array" ref="C250">IF(I250&gt;0,INDEX(DB,I250,8),"")</f>
        <v/>
      </c>
      <c r="D250" s="437">
        <f t="shared" si="1"/>
        <v>0</v>
      </c>
      <c r="F250" s="438">
        <f t="shared" si="2"/>
        <v>0</v>
      </c>
      <c r="G250" t="str">
        <f t="shared" si="3"/>
        <v/>
      </c>
      <c r="H250" t="b">
        <f t="shared" si="4"/>
        <v>0</v>
      </c>
      <c r="I250" s="439">
        <f>IF(OR(ISBLANK(A250),ISNA(MATCH(A250&amp;"",AthleteNumbers,0))),0,MATCH(A250&amp;"",AthleteNumbers,0))</f>
        <v>0</v>
      </c>
      <c r="J250" s="209">
        <f t="array" ref="J250">IF(I250&gt;0,INDEX(DB,$I250,6),0)</f>
        <v>0</v>
      </c>
      <c r="K250" s="446">
        <f t="shared" si="5"/>
        <v>0</v>
      </c>
      <c r="L250" s="446">
        <f t="shared" si="6"/>
        <v>0</v>
      </c>
      <c r="M250" s="441">
        <f>IF(L250&lt;O250,MinPoints,IF(AND(L250&gt;N250,O250&gt;0),100,+INT(($L250-O250)/P250)+MinPoints))</f>
        <v>10</v>
      </c>
      <c r="N250" s="440">
        <f t="shared" si="7"/>
        <v>4.9</v>
      </c>
      <c r="O250" s="440">
        <f t="shared" si="8"/>
        <v>2.2</v>
      </c>
      <c r="P250" s="440">
        <f t="shared" si="9"/>
        <v>0.03</v>
      </c>
      <c r="Q250">
        <f t="array" ref="Q250">IF(I250&gt;0,INDEX(DB,I250,9),EventIndex)</f>
        <v>6</v>
      </c>
      <c r="S250" s="447">
        <f t="array" ref="S250">INDEX(MINVALUES,$Q250,$K$1)</f>
        <v>2.2</v>
      </c>
      <c r="T250" s="448">
        <f t="array" ref="T250">INDEX(INCVALUES,$Q250,$K$1)</f>
        <v>0.03</v>
      </c>
      <c r="V250">
        <f t="array" ref="V250">+J250+(4*(INDEX(MatchScoreTable,$Q250,20)-1))</f>
        <v>4</v>
      </c>
      <c r="W250" s="442">
        <f t="array" ref="W250">INDEX(INC_MINVALUES,$V250,$K$1)</f>
        <v>0.2</v>
      </c>
      <c r="X250" s="212">
        <f t="array" ref="X250">INDEX(INC_INCVALUES,$V250,$K$1)</f>
        <v>0.02</v>
      </c>
    </row>
    <row r="251" ht="15.75" customHeight="1">
      <c r="A251" s="435"/>
      <c r="B251" s="436"/>
      <c r="C251" s="95" t="str">
        <f t="array" ref="C251">IF(I251&gt;0,INDEX(DB,I251,8),"")</f>
        <v/>
      </c>
      <c r="D251" s="437">
        <f t="shared" si="1"/>
        <v>0</v>
      </c>
      <c r="F251" s="438">
        <f t="shared" si="2"/>
        <v>0</v>
      </c>
      <c r="G251" t="str">
        <f t="shared" si="3"/>
        <v/>
      </c>
      <c r="H251" t="b">
        <f t="shared" si="4"/>
        <v>0</v>
      </c>
      <c r="I251" s="439">
        <f>IF(OR(ISBLANK(A251),ISNA(MATCH(A251&amp;"",AthleteNumbers,0))),0,MATCH(A251&amp;"",AthleteNumbers,0))</f>
        <v>0</v>
      </c>
      <c r="J251" s="209">
        <f t="array" ref="J251">IF(I251&gt;0,INDEX(DB,$I251,6),0)</f>
        <v>0</v>
      </c>
      <c r="K251" s="446">
        <f t="shared" si="5"/>
        <v>0</v>
      </c>
      <c r="L251" s="446">
        <f t="shared" si="6"/>
        <v>0</v>
      </c>
      <c r="M251" s="441">
        <f>IF(L251&lt;O251,MinPoints,IF(AND(L251&gt;N251,O251&gt;0),100,+INT(($L251-O251)/P251)+MinPoints))</f>
        <v>10</v>
      </c>
      <c r="N251" s="440">
        <f t="shared" si="7"/>
        <v>4.9</v>
      </c>
      <c r="O251" s="440">
        <f t="shared" si="8"/>
        <v>2.2</v>
      </c>
      <c r="P251" s="440">
        <f t="shared" si="9"/>
        <v>0.03</v>
      </c>
      <c r="Q251">
        <f t="array" ref="Q251">IF(I251&gt;0,INDEX(DB,I251,9),EventIndex)</f>
        <v>6</v>
      </c>
      <c r="S251" s="447">
        <f t="array" ref="S251">INDEX(MINVALUES,$Q251,$K$1)</f>
        <v>2.2</v>
      </c>
      <c r="T251" s="448">
        <f t="array" ref="T251">INDEX(INCVALUES,$Q251,$K$1)</f>
        <v>0.03</v>
      </c>
      <c r="V251">
        <f t="array" ref="V251">+J251+(4*(INDEX(MatchScoreTable,$Q251,20)-1))</f>
        <v>4</v>
      </c>
      <c r="W251" s="442">
        <f t="array" ref="W251">INDEX(INC_MINVALUES,$V251,$K$1)</f>
        <v>0.2</v>
      </c>
      <c r="X251" s="212">
        <f t="array" ref="X251">INDEX(INC_INCVALUES,$V251,$K$1)</f>
        <v>0.02</v>
      </c>
    </row>
    <row r="252" ht="15.75" customHeight="1">
      <c r="A252" s="435"/>
      <c r="B252" s="436"/>
      <c r="C252" s="95" t="str">
        <f t="array" ref="C252">IF(I252&gt;0,INDEX(DB,I252,8),"")</f>
        <v/>
      </c>
      <c r="D252" s="437">
        <f t="shared" si="1"/>
        <v>0</v>
      </c>
      <c r="F252" s="438">
        <f t="shared" si="2"/>
        <v>0</v>
      </c>
      <c r="G252" t="str">
        <f t="shared" si="3"/>
        <v/>
      </c>
      <c r="H252" t="b">
        <f t="shared" si="4"/>
        <v>0</v>
      </c>
      <c r="I252" s="439">
        <f>IF(OR(ISBLANK(A252),ISNA(MATCH(A252&amp;"",AthleteNumbers,0))),0,MATCH(A252&amp;"",AthleteNumbers,0))</f>
        <v>0</v>
      </c>
      <c r="J252" s="209">
        <f t="array" ref="J252">IF(I252&gt;0,INDEX(DB,$I252,6),0)</f>
        <v>0</v>
      </c>
      <c r="K252" s="446">
        <f t="shared" si="5"/>
        <v>0</v>
      </c>
      <c r="L252" s="446">
        <f t="shared" si="6"/>
        <v>0</v>
      </c>
      <c r="M252" s="441">
        <f>IF(L252&lt;O252,MinPoints,IF(AND(L252&gt;N252,O252&gt;0),100,+INT(($L252-O252)/P252)+MinPoints))</f>
        <v>10</v>
      </c>
      <c r="N252" s="440">
        <f t="shared" si="7"/>
        <v>4.9</v>
      </c>
      <c r="O252" s="440">
        <f t="shared" si="8"/>
        <v>2.2</v>
      </c>
      <c r="P252" s="440">
        <f t="shared" si="9"/>
        <v>0.03</v>
      </c>
      <c r="Q252">
        <f t="array" ref="Q252">IF(I252&gt;0,INDEX(DB,I252,9),EventIndex)</f>
        <v>6</v>
      </c>
      <c r="S252" s="447">
        <f t="array" ref="S252">INDEX(MINVALUES,$Q252,$K$1)</f>
        <v>2.2</v>
      </c>
      <c r="T252" s="448">
        <f t="array" ref="T252">INDEX(INCVALUES,$Q252,$K$1)</f>
        <v>0.03</v>
      </c>
      <c r="V252">
        <f t="array" ref="V252">+J252+(4*(INDEX(MatchScoreTable,$Q252,20)-1))</f>
        <v>4</v>
      </c>
      <c r="W252" s="442">
        <f t="array" ref="W252">INDEX(INC_MINVALUES,$V252,$K$1)</f>
        <v>0.2</v>
      </c>
      <c r="X252" s="212">
        <f t="array" ref="X252">INDEX(INC_INCVALUES,$V252,$K$1)</f>
        <v>0.02</v>
      </c>
    </row>
    <row r="253" ht="15.75" customHeight="1">
      <c r="A253" s="435"/>
      <c r="B253" s="436"/>
      <c r="C253" s="95" t="str">
        <f t="array" ref="C253">IF(I253&gt;0,INDEX(DB,I253,8),"")</f>
        <v/>
      </c>
      <c r="D253" s="437">
        <f t="shared" si="1"/>
        <v>0</v>
      </c>
      <c r="F253" s="438">
        <f t="shared" si="2"/>
        <v>0</v>
      </c>
      <c r="G253" t="str">
        <f t="shared" si="3"/>
        <v/>
      </c>
      <c r="H253" t="b">
        <f t="shared" si="4"/>
        <v>0</v>
      </c>
      <c r="I253" s="439">
        <f>IF(OR(ISBLANK(A253),ISNA(MATCH(A253&amp;"",AthleteNumbers,0))),0,MATCH(A253&amp;"",AthleteNumbers,0))</f>
        <v>0</v>
      </c>
      <c r="J253" s="209">
        <f t="array" ref="J253">IF(I253&gt;0,INDEX(DB,$I253,6),0)</f>
        <v>0</v>
      </c>
      <c r="K253" s="446">
        <f t="shared" si="5"/>
        <v>0</v>
      </c>
      <c r="L253" s="446">
        <f t="shared" si="6"/>
        <v>0</v>
      </c>
      <c r="M253" s="441">
        <f>IF(L253&lt;O253,MinPoints,IF(AND(L253&gt;N253,O253&gt;0),100,+INT(($L253-O253)/P253)+MinPoints))</f>
        <v>10</v>
      </c>
      <c r="N253" s="440">
        <f t="shared" si="7"/>
        <v>4.9</v>
      </c>
      <c r="O253" s="440">
        <f t="shared" si="8"/>
        <v>2.2</v>
      </c>
      <c r="P253" s="440">
        <f t="shared" si="9"/>
        <v>0.03</v>
      </c>
      <c r="Q253">
        <f t="array" ref="Q253">IF(I253&gt;0,INDEX(DB,I253,9),EventIndex)</f>
        <v>6</v>
      </c>
      <c r="S253" s="447">
        <f t="array" ref="S253">INDEX(MINVALUES,$Q253,$K$1)</f>
        <v>2.2</v>
      </c>
      <c r="T253" s="448">
        <f t="array" ref="T253">INDEX(INCVALUES,$Q253,$K$1)</f>
        <v>0.03</v>
      </c>
      <c r="V253">
        <f t="array" ref="V253">+J253+(4*(INDEX(MatchScoreTable,$Q253,20)-1))</f>
        <v>4</v>
      </c>
      <c r="W253" s="442">
        <f t="array" ref="W253">INDEX(INC_MINVALUES,$V253,$K$1)</f>
        <v>0.2</v>
      </c>
      <c r="X253" s="212">
        <f t="array" ref="X253">INDEX(INC_INCVALUES,$V253,$K$1)</f>
        <v>0.02</v>
      </c>
    </row>
    <row r="254" ht="15.75" customHeight="1">
      <c r="A254" s="435"/>
      <c r="B254" s="436"/>
      <c r="C254" s="95" t="str">
        <f t="array" ref="C254">IF(I254&gt;0,INDEX(DB,I254,8),"")</f>
        <v/>
      </c>
      <c r="D254" s="437">
        <f t="shared" si="1"/>
        <v>0</v>
      </c>
      <c r="F254" s="438">
        <f t="shared" si="2"/>
        <v>0</v>
      </c>
      <c r="G254" t="str">
        <f t="shared" si="3"/>
        <v/>
      </c>
      <c r="H254" t="b">
        <f t="shared" si="4"/>
        <v>0</v>
      </c>
      <c r="I254" s="439">
        <f>IF(OR(ISBLANK(A254),ISNA(MATCH(A254&amp;"",AthleteNumbers,0))),0,MATCH(A254&amp;"",AthleteNumbers,0))</f>
        <v>0</v>
      </c>
      <c r="J254" s="209">
        <f t="array" ref="J254">IF(I254&gt;0,INDEX(DB,$I254,6),0)</f>
        <v>0</v>
      </c>
      <c r="K254" s="446">
        <f t="shared" si="5"/>
        <v>0</v>
      </c>
      <c r="L254" s="446">
        <f t="shared" si="6"/>
        <v>0</v>
      </c>
      <c r="M254" s="441">
        <f>IF(L254&lt;O254,MinPoints,IF(AND(L254&gt;N254,O254&gt;0),100,+INT(($L254-O254)/P254)+MinPoints))</f>
        <v>10</v>
      </c>
      <c r="N254" s="440">
        <f t="shared" si="7"/>
        <v>4.9</v>
      </c>
      <c r="O254" s="440">
        <f t="shared" si="8"/>
        <v>2.2</v>
      </c>
      <c r="P254" s="440">
        <f t="shared" si="9"/>
        <v>0.03</v>
      </c>
      <c r="Q254">
        <f t="array" ref="Q254">IF(I254&gt;0,INDEX(DB,I254,9),EventIndex)</f>
        <v>6</v>
      </c>
      <c r="S254" s="447">
        <f t="array" ref="S254">INDEX(MINVALUES,$Q254,$K$1)</f>
        <v>2.2</v>
      </c>
      <c r="T254" s="448">
        <f t="array" ref="T254">INDEX(INCVALUES,$Q254,$K$1)</f>
        <v>0.03</v>
      </c>
      <c r="V254">
        <f t="array" ref="V254">+J254+(4*(INDEX(MatchScoreTable,$Q254,20)-1))</f>
        <v>4</v>
      </c>
      <c r="W254" s="442">
        <f t="array" ref="W254">INDEX(INC_MINVALUES,$V254,$K$1)</f>
        <v>0.2</v>
      </c>
      <c r="X254" s="212">
        <f t="array" ref="X254">INDEX(INC_INCVALUES,$V254,$K$1)</f>
        <v>0.02</v>
      </c>
    </row>
    <row r="255" ht="15.75" customHeight="1">
      <c r="A255" s="435"/>
      <c r="B255" s="436"/>
      <c r="C255" s="95" t="str">
        <f t="array" ref="C255">IF(I255&gt;0,INDEX(DB,I255,8),"")</f>
        <v/>
      </c>
      <c r="D255" s="437">
        <f t="shared" si="1"/>
        <v>0</v>
      </c>
      <c r="F255" s="438">
        <f t="shared" si="2"/>
        <v>0</v>
      </c>
      <c r="G255" t="str">
        <f t="shared" si="3"/>
        <v/>
      </c>
      <c r="H255" t="b">
        <f t="shared" si="4"/>
        <v>0</v>
      </c>
      <c r="I255" s="439">
        <f>IF(OR(ISBLANK(A255),ISNA(MATCH(A255&amp;"",AthleteNumbers,0))),0,MATCH(A255&amp;"",AthleteNumbers,0))</f>
        <v>0</v>
      </c>
      <c r="J255" s="209">
        <f t="array" ref="J255">IF(I255&gt;0,INDEX(DB,$I255,6),0)</f>
        <v>0</v>
      </c>
      <c r="K255" s="446">
        <f t="shared" si="5"/>
        <v>0</v>
      </c>
      <c r="L255" s="446">
        <f t="shared" si="6"/>
        <v>0</v>
      </c>
      <c r="M255" s="441">
        <f>IF(L255&lt;O255,MinPoints,IF(AND(L255&gt;N255,O255&gt;0),100,+INT(($L255-O255)/P255)+MinPoints))</f>
        <v>10</v>
      </c>
      <c r="N255" s="440">
        <f t="shared" si="7"/>
        <v>4.9</v>
      </c>
      <c r="O255" s="440">
        <f t="shared" si="8"/>
        <v>2.2</v>
      </c>
      <c r="P255" s="440">
        <f t="shared" si="9"/>
        <v>0.03</v>
      </c>
      <c r="Q255">
        <f t="array" ref="Q255">IF(I255&gt;0,INDEX(DB,I255,9),EventIndex)</f>
        <v>6</v>
      </c>
      <c r="S255" s="447">
        <f t="array" ref="S255">INDEX(MINVALUES,$Q255,$K$1)</f>
        <v>2.2</v>
      </c>
      <c r="T255" s="448">
        <f t="array" ref="T255">INDEX(INCVALUES,$Q255,$K$1)</f>
        <v>0.03</v>
      </c>
      <c r="V255">
        <f t="array" ref="V255">+J255+(4*(INDEX(MatchScoreTable,$Q255,20)-1))</f>
        <v>4</v>
      </c>
      <c r="W255" s="442">
        <f t="array" ref="W255">INDEX(INC_MINVALUES,$V255,$K$1)</f>
        <v>0.2</v>
      </c>
      <c r="X255" s="212">
        <f t="array" ref="X255">INDEX(INC_INCVALUES,$V255,$K$1)</f>
        <v>0.02</v>
      </c>
    </row>
    <row r="256" ht="15.75" customHeight="1">
      <c r="A256" s="435"/>
      <c r="B256" s="436"/>
      <c r="C256" s="95" t="str">
        <f t="array" ref="C256">IF(I256&gt;0,INDEX(DB,I256,8),"")</f>
        <v/>
      </c>
      <c r="D256" s="437">
        <f t="shared" si="1"/>
        <v>0</v>
      </c>
      <c r="F256" s="438">
        <f t="shared" si="2"/>
        <v>0</v>
      </c>
      <c r="G256" t="str">
        <f t="shared" si="3"/>
        <v/>
      </c>
      <c r="H256" t="b">
        <f t="shared" si="4"/>
        <v>0</v>
      </c>
      <c r="I256" s="439">
        <f>IF(OR(ISBLANK(A256),ISNA(MATCH(A256&amp;"",AthleteNumbers,0))),0,MATCH(A256&amp;"",AthleteNumbers,0))</f>
        <v>0</v>
      </c>
      <c r="J256" s="209">
        <f t="array" ref="J256">IF(I256&gt;0,INDEX(DB,$I256,6),0)</f>
        <v>0</v>
      </c>
      <c r="K256" s="446">
        <f t="shared" si="5"/>
        <v>0</v>
      </c>
      <c r="L256" s="446">
        <f t="shared" si="6"/>
        <v>0</v>
      </c>
      <c r="M256" s="441">
        <f>IF(L256&lt;O256,MinPoints,IF(AND(L256&gt;N256,O256&gt;0),100,+INT(($L256-O256)/P256)+MinPoints))</f>
        <v>10</v>
      </c>
      <c r="N256" s="440">
        <f t="shared" si="7"/>
        <v>4.9</v>
      </c>
      <c r="O256" s="440">
        <f t="shared" si="8"/>
        <v>2.2</v>
      </c>
      <c r="P256" s="440">
        <f t="shared" si="9"/>
        <v>0.03</v>
      </c>
      <c r="Q256">
        <f t="array" ref="Q256">IF(I256&gt;0,INDEX(DB,I256,9),EventIndex)</f>
        <v>6</v>
      </c>
      <c r="S256" s="447">
        <f t="array" ref="S256">INDEX(MINVALUES,$Q256,$K$1)</f>
        <v>2.2</v>
      </c>
      <c r="T256" s="448">
        <f t="array" ref="T256">INDEX(INCVALUES,$Q256,$K$1)</f>
        <v>0.03</v>
      </c>
      <c r="V256">
        <f t="array" ref="V256">+J256+(4*(INDEX(MatchScoreTable,$Q256,20)-1))</f>
        <v>4</v>
      </c>
      <c r="W256" s="442">
        <f t="array" ref="W256">INDEX(INC_MINVALUES,$V256,$K$1)</f>
        <v>0.2</v>
      </c>
      <c r="X256" s="212">
        <f t="array" ref="X256">INDEX(INC_INCVALUES,$V256,$K$1)</f>
        <v>0.02</v>
      </c>
    </row>
    <row r="257" ht="15.75" customHeight="1">
      <c r="A257" s="435"/>
      <c r="B257" s="436"/>
      <c r="C257" s="95" t="str">
        <f t="array" ref="C257">IF(I257&gt;0,INDEX(DB,I257,8),"")</f>
        <v/>
      </c>
      <c r="D257" s="437">
        <f t="shared" si="1"/>
        <v>0</v>
      </c>
      <c r="F257" s="438">
        <f t="shared" si="2"/>
        <v>0</v>
      </c>
      <c r="G257" t="str">
        <f t="shared" si="3"/>
        <v/>
      </c>
      <c r="H257" t="b">
        <f t="shared" si="4"/>
        <v>0</v>
      </c>
      <c r="I257" s="439">
        <f>IF(OR(ISBLANK(A257),ISNA(MATCH(A257&amp;"",AthleteNumbers,0))),0,MATCH(A257&amp;"",AthleteNumbers,0))</f>
        <v>0</v>
      </c>
      <c r="J257" s="209">
        <f t="array" ref="J257">IF(I257&gt;0,INDEX(DB,$I257,6),0)</f>
        <v>0</v>
      </c>
      <c r="K257" s="446">
        <f t="shared" si="5"/>
        <v>0</v>
      </c>
      <c r="L257" s="446">
        <f t="shared" si="6"/>
        <v>0</v>
      </c>
      <c r="M257" s="441">
        <f>IF(L257&lt;O257,MinPoints,IF(AND(L257&gt;N257,O257&gt;0),100,+INT(($L257-O257)/P257)+MinPoints))</f>
        <v>10</v>
      </c>
      <c r="N257" s="440">
        <f t="shared" si="7"/>
        <v>4.9</v>
      </c>
      <c r="O257" s="440">
        <f t="shared" si="8"/>
        <v>2.2</v>
      </c>
      <c r="P257" s="440">
        <f t="shared" si="9"/>
        <v>0.03</v>
      </c>
      <c r="Q257">
        <f t="array" ref="Q257">IF(I257&gt;0,INDEX(DB,I257,9),EventIndex)</f>
        <v>6</v>
      </c>
      <c r="S257" s="447">
        <f t="array" ref="S257">INDEX(MINVALUES,$Q257,$K$1)</f>
        <v>2.2</v>
      </c>
      <c r="T257" s="448">
        <f t="array" ref="T257">INDEX(INCVALUES,$Q257,$K$1)</f>
        <v>0.03</v>
      </c>
      <c r="V257">
        <f t="array" ref="V257">+J257+(4*(INDEX(MatchScoreTable,$Q257,20)-1))</f>
        <v>4</v>
      </c>
      <c r="W257" s="442">
        <f t="array" ref="W257">INDEX(INC_MINVALUES,$V257,$K$1)</f>
        <v>0.2</v>
      </c>
      <c r="X257" s="212">
        <f t="array" ref="X257">INDEX(INC_INCVALUES,$V257,$K$1)</f>
        <v>0.02</v>
      </c>
    </row>
    <row r="258" ht="15.75" customHeight="1">
      <c r="A258" s="435"/>
      <c r="B258" s="436"/>
      <c r="C258" s="95" t="str">
        <f t="array" ref="C258">IF(I258&gt;0,INDEX(DB,I258,8),"")</f>
        <v/>
      </c>
      <c r="D258" s="437">
        <f t="shared" si="1"/>
        <v>0</v>
      </c>
      <c r="F258" s="438">
        <f t="shared" si="2"/>
        <v>0</v>
      </c>
      <c r="G258" t="str">
        <f t="shared" si="3"/>
        <v/>
      </c>
      <c r="H258" t="b">
        <f t="shared" si="4"/>
        <v>0</v>
      </c>
      <c r="I258" s="439">
        <f>IF(OR(ISBLANK(A258),ISNA(MATCH(A258&amp;"",AthleteNumbers,0))),0,MATCH(A258&amp;"",AthleteNumbers,0))</f>
        <v>0</v>
      </c>
      <c r="J258" s="209">
        <f t="array" ref="J258">IF(I258&gt;0,INDEX(DB,$I258,6),0)</f>
        <v>0</v>
      </c>
      <c r="K258" s="446">
        <f t="shared" si="5"/>
        <v>0</v>
      </c>
      <c r="L258" s="446">
        <f t="shared" si="6"/>
        <v>0</v>
      </c>
      <c r="M258" s="441">
        <f>IF(L258&lt;O258,MinPoints,IF(AND(L258&gt;N258,O258&gt;0),100,+INT(($L258-O258)/P258)+MinPoints))</f>
        <v>10</v>
      </c>
      <c r="N258" s="440">
        <f t="shared" si="7"/>
        <v>4.9</v>
      </c>
      <c r="O258" s="440">
        <f t="shared" si="8"/>
        <v>2.2</v>
      </c>
      <c r="P258" s="440">
        <f t="shared" si="9"/>
        <v>0.03</v>
      </c>
      <c r="Q258">
        <f t="array" ref="Q258">IF(I258&gt;0,INDEX(DB,I258,9),EventIndex)</f>
        <v>6</v>
      </c>
      <c r="S258" s="447">
        <f t="array" ref="S258">INDEX(MINVALUES,$Q258,$K$1)</f>
        <v>2.2</v>
      </c>
      <c r="T258" s="448">
        <f t="array" ref="T258">INDEX(INCVALUES,$Q258,$K$1)</f>
        <v>0.03</v>
      </c>
      <c r="V258">
        <f t="array" ref="V258">+J258+(4*(INDEX(MatchScoreTable,$Q258,20)-1))</f>
        <v>4</v>
      </c>
      <c r="W258" s="442">
        <f t="array" ref="W258">INDEX(INC_MINVALUES,$V258,$K$1)</f>
        <v>0.2</v>
      </c>
      <c r="X258" s="212">
        <f t="array" ref="X258">INDEX(INC_INCVALUES,$V258,$K$1)</f>
        <v>0.02</v>
      </c>
    </row>
    <row r="259" ht="15.75" customHeight="1">
      <c r="A259" s="435"/>
      <c r="B259" s="436"/>
      <c r="C259" s="95" t="str">
        <f t="array" ref="C259">IF(I259&gt;0,INDEX(DB,I259,8),"")</f>
        <v/>
      </c>
      <c r="D259" s="437">
        <f t="shared" si="1"/>
        <v>0</v>
      </c>
      <c r="F259" s="438">
        <f t="shared" si="2"/>
        <v>0</v>
      </c>
      <c r="G259" t="str">
        <f t="shared" si="3"/>
        <v/>
      </c>
      <c r="H259" t="b">
        <f t="shared" si="4"/>
        <v>0</v>
      </c>
      <c r="I259" s="439">
        <f>IF(OR(ISBLANK(A259),ISNA(MATCH(A259&amp;"",AthleteNumbers,0))),0,MATCH(A259&amp;"",AthleteNumbers,0))</f>
        <v>0</v>
      </c>
      <c r="J259" s="209">
        <f t="array" ref="J259">IF(I259&gt;0,INDEX(DB,$I259,6),0)</f>
        <v>0</v>
      </c>
      <c r="K259" s="446">
        <f t="shared" si="5"/>
        <v>0</v>
      </c>
      <c r="L259" s="446">
        <f t="shared" si="6"/>
        <v>0</v>
      </c>
      <c r="M259" s="441">
        <f>IF(L259&lt;O259,MinPoints,IF(AND(L259&gt;N259,O259&gt;0),100,+INT(($L259-O259)/P259)+MinPoints))</f>
        <v>10</v>
      </c>
      <c r="N259" s="440">
        <f t="shared" si="7"/>
        <v>4.9</v>
      </c>
      <c r="O259" s="440">
        <f t="shared" si="8"/>
        <v>2.2</v>
      </c>
      <c r="P259" s="440">
        <f t="shared" si="9"/>
        <v>0.03</v>
      </c>
      <c r="Q259">
        <f t="array" ref="Q259">IF(I259&gt;0,INDEX(DB,I259,9),EventIndex)</f>
        <v>6</v>
      </c>
      <c r="S259" s="447">
        <f t="array" ref="S259">INDEX(MINVALUES,$Q259,$K$1)</f>
        <v>2.2</v>
      </c>
      <c r="T259" s="448">
        <f t="array" ref="T259">INDEX(INCVALUES,$Q259,$K$1)</f>
        <v>0.03</v>
      </c>
      <c r="V259">
        <f t="array" ref="V259">+J259+(4*(INDEX(MatchScoreTable,$Q259,20)-1))</f>
        <v>4</v>
      </c>
      <c r="W259" s="442">
        <f t="array" ref="W259">INDEX(INC_MINVALUES,$V259,$K$1)</f>
        <v>0.2</v>
      </c>
      <c r="X259" s="212">
        <f t="array" ref="X259">INDEX(INC_INCVALUES,$V259,$K$1)</f>
        <v>0.02</v>
      </c>
    </row>
    <row r="260" ht="15.75" customHeight="1">
      <c r="A260" s="435"/>
      <c r="B260" s="436"/>
      <c r="C260" s="95" t="str">
        <f t="array" ref="C260">IF(I260&gt;0,INDEX(DB,I260,8),"")</f>
        <v/>
      </c>
      <c r="D260" s="437">
        <f t="shared" si="1"/>
        <v>0</v>
      </c>
      <c r="F260" s="438">
        <f t="shared" si="2"/>
        <v>0</v>
      </c>
      <c r="G260" t="str">
        <f t="shared" si="3"/>
        <v/>
      </c>
      <c r="H260" t="b">
        <f t="shared" si="4"/>
        <v>0</v>
      </c>
      <c r="I260" s="439">
        <f>IF(OR(ISBLANK(A260),ISNA(MATCH(A260&amp;"",AthleteNumbers,0))),0,MATCH(A260&amp;"",AthleteNumbers,0))</f>
        <v>0</v>
      </c>
      <c r="J260" s="209">
        <f t="array" ref="J260">IF(I260&gt;0,INDEX(DB,$I260,6),0)</f>
        <v>0</v>
      </c>
      <c r="K260" s="446">
        <f t="shared" si="5"/>
        <v>0</v>
      </c>
      <c r="L260" s="446">
        <f t="shared" si="6"/>
        <v>0</v>
      </c>
      <c r="M260" s="441">
        <f>IF(L260&lt;O260,MinPoints,IF(AND(L260&gt;N260,O260&gt;0),100,+INT(($L260-O260)/P260)+MinPoints))</f>
        <v>10</v>
      </c>
      <c r="N260" s="440">
        <f t="shared" si="7"/>
        <v>4.9</v>
      </c>
      <c r="O260" s="440">
        <f t="shared" si="8"/>
        <v>2.2</v>
      </c>
      <c r="P260" s="440">
        <f t="shared" si="9"/>
        <v>0.03</v>
      </c>
      <c r="Q260">
        <f t="array" ref="Q260">IF(I260&gt;0,INDEX(DB,I260,9),EventIndex)</f>
        <v>6</v>
      </c>
      <c r="S260" s="447">
        <f t="array" ref="S260">INDEX(MINVALUES,$Q260,$K$1)</f>
        <v>2.2</v>
      </c>
      <c r="T260" s="448">
        <f t="array" ref="T260">INDEX(INCVALUES,$Q260,$K$1)</f>
        <v>0.03</v>
      </c>
      <c r="V260">
        <f t="array" ref="V260">+J260+(4*(INDEX(MatchScoreTable,$Q260,20)-1))</f>
        <v>4</v>
      </c>
      <c r="W260" s="442">
        <f t="array" ref="W260">INDEX(INC_MINVALUES,$V260,$K$1)</f>
        <v>0.2</v>
      </c>
      <c r="X260" s="212">
        <f t="array" ref="X260">INDEX(INC_INCVALUES,$V260,$K$1)</f>
        <v>0.02</v>
      </c>
    </row>
    <row r="261" ht="15.75" customHeight="1">
      <c r="A261" s="435"/>
      <c r="B261" s="436"/>
      <c r="C261" s="95" t="str">
        <f t="array" ref="C261">IF(I261&gt;0,INDEX(DB,I261,8),"")</f>
        <v/>
      </c>
      <c r="D261" s="437">
        <f t="shared" si="1"/>
        <v>0</v>
      </c>
      <c r="F261" s="438">
        <f t="shared" si="2"/>
        <v>0</v>
      </c>
      <c r="G261" t="str">
        <f t="shared" si="3"/>
        <v/>
      </c>
      <c r="H261" t="b">
        <f t="shared" si="4"/>
        <v>0</v>
      </c>
      <c r="I261" s="439">
        <f>IF(OR(ISBLANK(A261),ISNA(MATCH(A261&amp;"",AthleteNumbers,0))),0,MATCH(A261&amp;"",AthleteNumbers,0))</f>
        <v>0</v>
      </c>
      <c r="J261" s="209">
        <f t="array" ref="J261">IF(I261&gt;0,INDEX(DB,$I261,6),0)</f>
        <v>0</v>
      </c>
      <c r="K261" s="446">
        <f t="shared" si="5"/>
        <v>0</v>
      </c>
      <c r="L261" s="446">
        <f t="shared" si="6"/>
        <v>0</v>
      </c>
      <c r="M261" s="441">
        <f>IF(L261&lt;O261,MinPoints,IF(AND(L261&gt;N261,O261&gt;0),100,+INT(($L261-O261)/P261)+MinPoints))</f>
        <v>10</v>
      </c>
      <c r="N261" s="440">
        <f t="shared" si="7"/>
        <v>4.9</v>
      </c>
      <c r="O261" s="440">
        <f t="shared" si="8"/>
        <v>2.2</v>
      </c>
      <c r="P261" s="440">
        <f t="shared" si="9"/>
        <v>0.03</v>
      </c>
      <c r="Q261">
        <f t="array" ref="Q261">IF(I261&gt;0,INDEX(DB,I261,9),EventIndex)</f>
        <v>6</v>
      </c>
      <c r="S261" s="447">
        <f t="array" ref="S261">INDEX(MINVALUES,$Q261,$K$1)</f>
        <v>2.2</v>
      </c>
      <c r="T261" s="448">
        <f t="array" ref="T261">INDEX(INCVALUES,$Q261,$K$1)</f>
        <v>0.03</v>
      </c>
      <c r="V261">
        <f t="array" ref="V261">+J261+(4*(INDEX(MatchScoreTable,$Q261,20)-1))</f>
        <v>4</v>
      </c>
      <c r="W261" s="442">
        <f t="array" ref="W261">INDEX(INC_MINVALUES,$V261,$K$1)</f>
        <v>0.2</v>
      </c>
      <c r="X261" s="212">
        <f t="array" ref="X261">INDEX(INC_INCVALUES,$V261,$K$1)</f>
        <v>0.02</v>
      </c>
    </row>
    <row r="262" ht="15.75" customHeight="1">
      <c r="A262" s="435"/>
      <c r="B262" s="436"/>
      <c r="C262" s="95" t="str">
        <f t="array" ref="C262">IF(I262&gt;0,INDEX(DB,I262,8),"")</f>
        <v/>
      </c>
      <c r="D262" s="437">
        <f t="shared" si="1"/>
        <v>0</v>
      </c>
      <c r="F262" s="438">
        <f t="shared" si="2"/>
        <v>0</v>
      </c>
      <c r="G262" t="str">
        <f t="shared" si="3"/>
        <v/>
      </c>
      <c r="H262" t="b">
        <f t="shared" si="4"/>
        <v>0</v>
      </c>
      <c r="I262" s="439">
        <f>IF(OR(ISBLANK(A262),ISNA(MATCH(A262&amp;"",AthleteNumbers,0))),0,MATCH(A262&amp;"",AthleteNumbers,0))</f>
        <v>0</v>
      </c>
      <c r="J262" s="209">
        <f t="array" ref="J262">IF(I262&gt;0,INDEX(DB,$I262,6),0)</f>
        <v>0</v>
      </c>
      <c r="K262" s="446">
        <f t="shared" si="5"/>
        <v>0</v>
      </c>
      <c r="L262" s="446">
        <f t="shared" si="6"/>
        <v>0</v>
      </c>
      <c r="M262" s="441">
        <f>IF(L262&lt;O262,MinPoints,IF(AND(L262&gt;N262,O262&gt;0),100,+INT(($L262-O262)/P262)+MinPoints))</f>
        <v>10</v>
      </c>
      <c r="N262" s="440">
        <f t="shared" si="7"/>
        <v>4.9</v>
      </c>
      <c r="O262" s="440">
        <f t="shared" si="8"/>
        <v>2.2</v>
      </c>
      <c r="P262" s="440">
        <f t="shared" si="9"/>
        <v>0.03</v>
      </c>
      <c r="Q262">
        <f t="array" ref="Q262">IF(I262&gt;0,INDEX(DB,I262,9),EventIndex)</f>
        <v>6</v>
      </c>
      <c r="S262" s="447">
        <f t="array" ref="S262">INDEX(MINVALUES,$Q262,$K$1)</f>
        <v>2.2</v>
      </c>
      <c r="T262" s="448">
        <f t="array" ref="T262">INDEX(INCVALUES,$Q262,$K$1)</f>
        <v>0.03</v>
      </c>
      <c r="V262">
        <f t="array" ref="V262">+J262+(4*(INDEX(MatchScoreTable,$Q262,20)-1))</f>
        <v>4</v>
      </c>
      <c r="W262" s="442">
        <f t="array" ref="W262">INDEX(INC_MINVALUES,$V262,$K$1)</f>
        <v>0.2</v>
      </c>
      <c r="X262" s="212">
        <f t="array" ref="X262">INDEX(INC_INCVALUES,$V262,$K$1)</f>
        <v>0.02</v>
      </c>
    </row>
    <row r="263" ht="15.75" customHeight="1">
      <c r="A263" s="435"/>
      <c r="B263" s="436"/>
      <c r="C263" s="95" t="str">
        <f t="array" ref="C263">IF(I263&gt;0,INDEX(DB,I263,8),"")</f>
        <v/>
      </c>
      <c r="D263" s="437">
        <f t="shared" si="1"/>
        <v>0</v>
      </c>
      <c r="F263" s="438">
        <f t="shared" si="2"/>
        <v>0</v>
      </c>
      <c r="G263" t="str">
        <f t="shared" si="3"/>
        <v/>
      </c>
      <c r="H263" t="b">
        <f t="shared" si="4"/>
        <v>0</v>
      </c>
      <c r="I263" s="439">
        <f>IF(OR(ISBLANK(A263),ISNA(MATCH(A263&amp;"",AthleteNumbers,0))),0,MATCH(A263&amp;"",AthleteNumbers,0))</f>
        <v>0</v>
      </c>
      <c r="J263" s="209">
        <f t="array" ref="J263">IF(I263&gt;0,INDEX(DB,$I263,6),0)</f>
        <v>0</v>
      </c>
      <c r="K263" s="446">
        <f t="shared" si="5"/>
        <v>0</v>
      </c>
      <c r="L263" s="446">
        <f t="shared" si="6"/>
        <v>0</v>
      </c>
      <c r="M263" s="441">
        <f>IF(L263&lt;O263,MinPoints,IF(AND(L263&gt;N263,O263&gt;0),100,+INT(($L263-O263)/P263)+MinPoints))</f>
        <v>10</v>
      </c>
      <c r="N263" s="440">
        <f t="shared" si="7"/>
        <v>4.9</v>
      </c>
      <c r="O263" s="440">
        <f t="shared" si="8"/>
        <v>2.2</v>
      </c>
      <c r="P263" s="440">
        <f t="shared" si="9"/>
        <v>0.03</v>
      </c>
      <c r="Q263">
        <f t="array" ref="Q263">IF(I263&gt;0,INDEX(DB,I263,9),EventIndex)</f>
        <v>6</v>
      </c>
      <c r="S263" s="447">
        <f t="array" ref="S263">INDEX(MINVALUES,$Q263,$K$1)</f>
        <v>2.2</v>
      </c>
      <c r="T263" s="448">
        <f t="array" ref="T263">INDEX(INCVALUES,$Q263,$K$1)</f>
        <v>0.03</v>
      </c>
      <c r="V263">
        <f t="array" ref="V263">+J263+(4*(INDEX(MatchScoreTable,$Q263,20)-1))</f>
        <v>4</v>
      </c>
      <c r="W263" s="442">
        <f t="array" ref="W263">INDEX(INC_MINVALUES,$V263,$K$1)</f>
        <v>0.2</v>
      </c>
      <c r="X263" s="212">
        <f t="array" ref="X263">INDEX(INC_INCVALUES,$V263,$K$1)</f>
        <v>0.02</v>
      </c>
    </row>
    <row r="264" ht="15.75" customHeight="1">
      <c r="A264" s="435"/>
      <c r="B264" s="436"/>
      <c r="C264" s="95" t="str">
        <f t="array" ref="C264">IF(I264&gt;0,INDEX(DB,I264,8),"")</f>
        <v/>
      </c>
      <c r="D264" s="437">
        <f t="shared" si="1"/>
        <v>0</v>
      </c>
      <c r="F264" s="438">
        <f t="shared" si="2"/>
        <v>0</v>
      </c>
      <c r="G264" t="str">
        <f t="shared" si="3"/>
        <v/>
      </c>
      <c r="H264" t="b">
        <f t="shared" si="4"/>
        <v>0</v>
      </c>
      <c r="I264" s="439">
        <f>IF(OR(ISBLANK(A264),ISNA(MATCH(A264&amp;"",AthleteNumbers,0))),0,MATCH(A264&amp;"",AthleteNumbers,0))</f>
        <v>0</v>
      </c>
      <c r="J264" s="209">
        <f t="array" ref="J264">IF(I264&gt;0,INDEX(DB,$I264,6),0)</f>
        <v>0</v>
      </c>
      <c r="K264" s="446">
        <f t="shared" si="5"/>
        <v>0</v>
      </c>
      <c r="L264" s="446">
        <f t="shared" si="6"/>
        <v>0</v>
      </c>
      <c r="M264" s="441">
        <f>IF(L264&lt;O264,MinPoints,IF(AND(L264&gt;N264,O264&gt;0),100,+INT(($L264-O264)/P264)+MinPoints))</f>
        <v>10</v>
      </c>
      <c r="N264" s="440">
        <f t="shared" si="7"/>
        <v>4.9</v>
      </c>
      <c r="O264" s="440">
        <f t="shared" si="8"/>
        <v>2.2</v>
      </c>
      <c r="P264" s="440">
        <f t="shared" si="9"/>
        <v>0.03</v>
      </c>
      <c r="Q264">
        <f t="array" ref="Q264">IF(I264&gt;0,INDEX(DB,I264,9),EventIndex)</f>
        <v>6</v>
      </c>
      <c r="S264" s="447">
        <f t="array" ref="S264">INDEX(MINVALUES,$Q264,$K$1)</f>
        <v>2.2</v>
      </c>
      <c r="T264" s="448">
        <f t="array" ref="T264">INDEX(INCVALUES,$Q264,$K$1)</f>
        <v>0.03</v>
      </c>
      <c r="V264">
        <f t="array" ref="V264">+J264+(4*(INDEX(MatchScoreTable,$Q264,20)-1))</f>
        <v>4</v>
      </c>
      <c r="W264" s="442">
        <f t="array" ref="W264">INDEX(INC_MINVALUES,$V264,$K$1)</f>
        <v>0.2</v>
      </c>
      <c r="X264" s="212">
        <f t="array" ref="X264">INDEX(INC_INCVALUES,$V264,$K$1)</f>
        <v>0.02</v>
      </c>
    </row>
    <row r="265" ht="15.75" customHeight="1">
      <c r="A265" s="435"/>
      <c r="B265" s="436"/>
      <c r="C265" s="95" t="str">
        <f t="array" ref="C265">IF(I265&gt;0,INDEX(DB,I265,8),"")</f>
        <v/>
      </c>
      <c r="D265" s="437">
        <f t="shared" si="1"/>
        <v>0</v>
      </c>
      <c r="F265" s="438">
        <f t="shared" si="2"/>
        <v>0</v>
      </c>
      <c r="G265" t="str">
        <f t="shared" si="3"/>
        <v/>
      </c>
      <c r="H265" t="b">
        <f t="shared" si="4"/>
        <v>0</v>
      </c>
      <c r="I265" s="439">
        <f>IF(OR(ISBLANK(A265),ISNA(MATCH(A265&amp;"",AthleteNumbers,0))),0,MATCH(A265&amp;"",AthleteNumbers,0))</f>
        <v>0</v>
      </c>
      <c r="J265" s="209">
        <f t="array" ref="J265">IF(I265&gt;0,INDEX(DB,$I265,6),0)</f>
        <v>0</v>
      </c>
      <c r="K265" s="446">
        <f t="shared" si="5"/>
        <v>0</v>
      </c>
      <c r="L265" s="446">
        <f t="shared" si="6"/>
        <v>0</v>
      </c>
      <c r="M265" s="441">
        <f>IF(L265&lt;O265,MinPoints,IF(AND(L265&gt;N265,O265&gt;0),100,+INT(($L265-O265)/P265)+MinPoints))</f>
        <v>10</v>
      </c>
      <c r="N265" s="440">
        <f t="shared" si="7"/>
        <v>4.9</v>
      </c>
      <c r="O265" s="440">
        <f t="shared" si="8"/>
        <v>2.2</v>
      </c>
      <c r="P265" s="440">
        <f t="shared" si="9"/>
        <v>0.03</v>
      </c>
      <c r="Q265">
        <f t="array" ref="Q265">IF(I265&gt;0,INDEX(DB,I265,9),EventIndex)</f>
        <v>6</v>
      </c>
      <c r="S265" s="447">
        <f t="array" ref="S265">INDEX(MINVALUES,$Q265,$K$1)</f>
        <v>2.2</v>
      </c>
      <c r="T265" s="448">
        <f t="array" ref="T265">INDEX(INCVALUES,$Q265,$K$1)</f>
        <v>0.03</v>
      </c>
      <c r="V265">
        <f t="array" ref="V265">+J265+(4*(INDEX(MatchScoreTable,$Q265,20)-1))</f>
        <v>4</v>
      </c>
      <c r="W265" s="442">
        <f t="array" ref="W265">INDEX(INC_MINVALUES,$V265,$K$1)</f>
        <v>0.2</v>
      </c>
      <c r="X265" s="212">
        <f t="array" ref="X265">INDEX(INC_INCVALUES,$V265,$K$1)</f>
        <v>0.02</v>
      </c>
    </row>
    <row r="266" ht="15.75" customHeight="1">
      <c r="A266" s="435"/>
      <c r="B266" s="436"/>
      <c r="C266" s="95" t="str">
        <f t="array" ref="C266">IF(I266&gt;0,INDEX(DB,I266,8),"")</f>
        <v/>
      </c>
      <c r="D266" s="437">
        <f t="shared" si="1"/>
        <v>0</v>
      </c>
      <c r="F266" s="438">
        <f t="shared" si="2"/>
        <v>0</v>
      </c>
      <c r="G266" t="str">
        <f t="shared" si="3"/>
        <v/>
      </c>
      <c r="H266" t="b">
        <f t="shared" si="4"/>
        <v>0</v>
      </c>
      <c r="I266" s="439">
        <f>IF(OR(ISBLANK(A266),ISNA(MATCH(A266&amp;"",AthleteNumbers,0))),0,MATCH(A266&amp;"",AthleteNumbers,0))</f>
        <v>0</v>
      </c>
      <c r="J266" s="209">
        <f t="array" ref="J266">IF(I266&gt;0,INDEX(DB,$I266,6),0)</f>
        <v>0</v>
      </c>
      <c r="K266" s="446">
        <f t="shared" si="5"/>
        <v>0</v>
      </c>
      <c r="L266" s="446">
        <f t="shared" si="6"/>
        <v>0</v>
      </c>
      <c r="M266" s="441">
        <f>IF(L266&lt;O266,MinPoints,IF(AND(L266&gt;N266,O266&gt;0),100,+INT(($L266-O266)/P266)+MinPoints))</f>
        <v>10</v>
      </c>
      <c r="N266" s="440">
        <f t="shared" si="7"/>
        <v>4.9</v>
      </c>
      <c r="O266" s="440">
        <f t="shared" si="8"/>
        <v>2.2</v>
      </c>
      <c r="P266" s="440">
        <f t="shared" si="9"/>
        <v>0.03</v>
      </c>
      <c r="Q266">
        <f t="array" ref="Q266">IF(I266&gt;0,INDEX(DB,I266,9),EventIndex)</f>
        <v>6</v>
      </c>
      <c r="S266" s="447">
        <f t="array" ref="S266">INDEX(MINVALUES,$Q266,$K$1)</f>
        <v>2.2</v>
      </c>
      <c r="T266" s="448">
        <f t="array" ref="T266">INDEX(INCVALUES,$Q266,$K$1)</f>
        <v>0.03</v>
      </c>
      <c r="V266">
        <f t="array" ref="V266">+J266+(4*(INDEX(MatchScoreTable,$Q266,20)-1))</f>
        <v>4</v>
      </c>
      <c r="W266" s="442">
        <f t="array" ref="W266">INDEX(INC_MINVALUES,$V266,$K$1)</f>
        <v>0.2</v>
      </c>
      <c r="X266" s="212">
        <f t="array" ref="X266">INDEX(INC_INCVALUES,$V266,$K$1)</f>
        <v>0.02</v>
      </c>
    </row>
    <row r="267" ht="15.75" customHeight="1">
      <c r="A267" s="435"/>
      <c r="B267" s="436"/>
      <c r="C267" s="95" t="str">
        <f t="array" ref="C267">IF(I267&gt;0,INDEX(DB,I267,8),"")</f>
        <v/>
      </c>
      <c r="D267" s="437">
        <f t="shared" si="1"/>
        <v>0</v>
      </c>
      <c r="F267" s="438">
        <f t="shared" si="2"/>
        <v>0</v>
      </c>
      <c r="G267" t="str">
        <f t="shared" si="3"/>
        <v/>
      </c>
      <c r="H267" t="b">
        <f t="shared" si="4"/>
        <v>0</v>
      </c>
      <c r="I267" s="439">
        <f>IF(OR(ISBLANK(A267),ISNA(MATCH(A267&amp;"",AthleteNumbers,0))),0,MATCH(A267&amp;"",AthleteNumbers,0))</f>
        <v>0</v>
      </c>
      <c r="J267" s="209">
        <f t="array" ref="J267">IF(I267&gt;0,INDEX(DB,$I267,6),0)</f>
        <v>0</v>
      </c>
      <c r="K267" s="446">
        <f t="shared" si="5"/>
        <v>0</v>
      </c>
      <c r="L267" s="446">
        <f t="shared" si="6"/>
        <v>0</v>
      </c>
      <c r="M267" s="441">
        <f>IF(L267&lt;O267,MinPoints,IF(AND(L267&gt;N267,O267&gt;0),100,+INT(($L267-O267)/P267)+MinPoints))</f>
        <v>10</v>
      </c>
      <c r="N267" s="440">
        <f t="shared" si="7"/>
        <v>4.9</v>
      </c>
      <c r="O267" s="440">
        <f t="shared" si="8"/>
        <v>2.2</v>
      </c>
      <c r="P267" s="440">
        <f t="shared" si="9"/>
        <v>0.03</v>
      </c>
      <c r="Q267">
        <f t="array" ref="Q267">IF(I267&gt;0,INDEX(DB,I267,9),EventIndex)</f>
        <v>6</v>
      </c>
      <c r="S267" s="447">
        <f t="array" ref="S267">INDEX(MINVALUES,$Q267,$K$1)</f>
        <v>2.2</v>
      </c>
      <c r="T267" s="448">
        <f t="array" ref="T267">INDEX(INCVALUES,$Q267,$K$1)</f>
        <v>0.03</v>
      </c>
      <c r="V267">
        <f t="array" ref="V267">+J267+(4*(INDEX(MatchScoreTable,$Q267,20)-1))</f>
        <v>4</v>
      </c>
      <c r="W267" s="442">
        <f t="array" ref="W267">INDEX(INC_MINVALUES,$V267,$K$1)</f>
        <v>0.2</v>
      </c>
      <c r="X267" s="212">
        <f t="array" ref="X267">INDEX(INC_INCVALUES,$V267,$K$1)</f>
        <v>0.02</v>
      </c>
    </row>
    <row r="268" ht="15.75" customHeight="1">
      <c r="A268" s="435"/>
      <c r="B268" s="436"/>
      <c r="C268" s="95" t="str">
        <f t="array" ref="C268">IF(I268&gt;0,INDEX(DB,I268,8),"")</f>
        <v/>
      </c>
      <c r="D268" s="437">
        <f t="shared" si="1"/>
        <v>0</v>
      </c>
      <c r="F268" s="438">
        <f t="shared" si="2"/>
        <v>0</v>
      </c>
      <c r="G268" t="str">
        <f t="shared" si="3"/>
        <v/>
      </c>
      <c r="H268" t="b">
        <f t="shared" si="4"/>
        <v>0</v>
      </c>
      <c r="I268" s="439">
        <f>IF(OR(ISBLANK(A268),ISNA(MATCH(A268&amp;"",AthleteNumbers,0))),0,MATCH(A268&amp;"",AthleteNumbers,0))</f>
        <v>0</v>
      </c>
      <c r="J268" s="209">
        <f t="array" ref="J268">IF(I268&gt;0,INDEX(DB,$I268,6),0)</f>
        <v>0</v>
      </c>
      <c r="K268" s="446">
        <f t="shared" si="5"/>
        <v>0</v>
      </c>
      <c r="L268" s="446">
        <f t="shared" si="6"/>
        <v>0</v>
      </c>
      <c r="M268" s="441">
        <f>IF(L268&lt;O268,MinPoints,IF(AND(L268&gt;N268,O268&gt;0),100,+INT(($L268-O268)/P268)+MinPoints))</f>
        <v>10</v>
      </c>
      <c r="N268" s="440">
        <f t="shared" si="7"/>
        <v>4.9</v>
      </c>
      <c r="O268" s="440">
        <f t="shared" si="8"/>
        <v>2.2</v>
      </c>
      <c r="P268" s="440">
        <f t="shared" si="9"/>
        <v>0.03</v>
      </c>
      <c r="Q268">
        <f t="array" ref="Q268">IF(I268&gt;0,INDEX(DB,I268,9),EventIndex)</f>
        <v>6</v>
      </c>
      <c r="S268" s="447">
        <f t="array" ref="S268">INDEX(MINVALUES,$Q268,$K$1)</f>
        <v>2.2</v>
      </c>
      <c r="T268" s="448">
        <f t="array" ref="T268">INDEX(INCVALUES,$Q268,$K$1)</f>
        <v>0.03</v>
      </c>
      <c r="V268">
        <f t="array" ref="V268">+J268+(4*(INDEX(MatchScoreTable,$Q268,20)-1))</f>
        <v>4</v>
      </c>
      <c r="W268" s="442">
        <f t="array" ref="W268">INDEX(INC_MINVALUES,$V268,$K$1)</f>
        <v>0.2</v>
      </c>
      <c r="X268" s="212">
        <f t="array" ref="X268">INDEX(INC_INCVALUES,$V268,$K$1)</f>
        <v>0.02</v>
      </c>
    </row>
    <row r="269" ht="15.75" customHeight="1">
      <c r="A269" s="435"/>
      <c r="B269" s="436"/>
      <c r="C269" s="95" t="str">
        <f t="array" ref="C269">IF(I269&gt;0,INDEX(DB,I269,8),"")</f>
        <v/>
      </c>
      <c r="D269" s="437">
        <f t="shared" si="1"/>
        <v>0</v>
      </c>
      <c r="F269" s="438">
        <f t="shared" si="2"/>
        <v>0</v>
      </c>
      <c r="G269" t="str">
        <f t="shared" si="3"/>
        <v/>
      </c>
      <c r="H269" t="b">
        <f t="shared" si="4"/>
        <v>0</v>
      </c>
      <c r="I269" s="439">
        <f>IF(OR(ISBLANK(A269),ISNA(MATCH(A269&amp;"",AthleteNumbers,0))),0,MATCH(A269&amp;"",AthleteNumbers,0))</f>
        <v>0</v>
      </c>
      <c r="J269" s="209">
        <f t="array" ref="J269">IF(I269&gt;0,INDEX(DB,$I269,6),0)</f>
        <v>0</v>
      </c>
      <c r="K269" s="446">
        <f t="shared" si="5"/>
        <v>0</v>
      </c>
      <c r="L269" s="446">
        <f t="shared" si="6"/>
        <v>0</v>
      </c>
      <c r="M269" s="441">
        <f>IF(L269&lt;O269,MinPoints,IF(AND(L269&gt;N269,O269&gt;0),100,+INT(($L269-O269)/P269)+MinPoints))</f>
        <v>10</v>
      </c>
      <c r="N269" s="440">
        <f t="shared" si="7"/>
        <v>4.9</v>
      </c>
      <c r="O269" s="440">
        <f t="shared" si="8"/>
        <v>2.2</v>
      </c>
      <c r="P269" s="440">
        <f t="shared" si="9"/>
        <v>0.03</v>
      </c>
      <c r="Q269">
        <f t="array" ref="Q269">IF(I269&gt;0,INDEX(DB,I269,9),EventIndex)</f>
        <v>6</v>
      </c>
      <c r="S269" s="447">
        <f t="array" ref="S269">INDEX(MINVALUES,$Q269,$K$1)</f>
        <v>2.2</v>
      </c>
      <c r="T269" s="448">
        <f t="array" ref="T269">INDEX(INCVALUES,$Q269,$K$1)</f>
        <v>0.03</v>
      </c>
      <c r="V269">
        <f t="array" ref="V269">+J269+(4*(INDEX(MatchScoreTable,$Q269,20)-1))</f>
        <v>4</v>
      </c>
      <c r="W269" s="442">
        <f t="array" ref="W269">INDEX(INC_MINVALUES,$V269,$K$1)</f>
        <v>0.2</v>
      </c>
      <c r="X269" s="212">
        <f t="array" ref="X269">INDEX(INC_INCVALUES,$V269,$K$1)</f>
        <v>0.02</v>
      </c>
    </row>
    <row r="270" ht="15.75" customHeight="1">
      <c r="A270" s="435"/>
      <c r="B270" s="436"/>
      <c r="C270" s="95" t="str">
        <f t="array" ref="C270">IF(I270&gt;0,INDEX(DB,I270,8),"")</f>
        <v/>
      </c>
      <c r="D270" s="437">
        <f t="shared" si="1"/>
        <v>0</v>
      </c>
      <c r="F270" s="438">
        <f t="shared" si="2"/>
        <v>0</v>
      </c>
      <c r="G270" t="str">
        <f t="shared" si="3"/>
        <v/>
      </c>
      <c r="H270" t="b">
        <f t="shared" si="4"/>
        <v>0</v>
      </c>
      <c r="I270" s="439">
        <f>IF(OR(ISBLANK(A270),ISNA(MATCH(A270&amp;"",AthleteNumbers,0))),0,MATCH(A270&amp;"",AthleteNumbers,0))</f>
        <v>0</v>
      </c>
      <c r="J270" s="209">
        <f t="array" ref="J270">IF(I270&gt;0,INDEX(DB,$I270,6),0)</f>
        <v>0</v>
      </c>
      <c r="K270" s="446">
        <f t="shared" si="5"/>
        <v>0</v>
      </c>
      <c r="L270" s="446">
        <f t="shared" si="6"/>
        <v>0</v>
      </c>
      <c r="M270" s="441">
        <f>IF(L270&lt;O270,MinPoints,IF(AND(L270&gt;N270,O270&gt;0),100,+INT(($L270-O270)/P270)+MinPoints))</f>
        <v>10</v>
      </c>
      <c r="N270" s="440">
        <f t="shared" si="7"/>
        <v>4.9</v>
      </c>
      <c r="O270" s="440">
        <f t="shared" si="8"/>
        <v>2.2</v>
      </c>
      <c r="P270" s="440">
        <f t="shared" si="9"/>
        <v>0.03</v>
      </c>
      <c r="Q270">
        <f t="array" ref="Q270">IF(I270&gt;0,INDEX(DB,I270,9),EventIndex)</f>
        <v>6</v>
      </c>
      <c r="S270" s="447">
        <f t="array" ref="S270">INDEX(MINVALUES,$Q270,$K$1)</f>
        <v>2.2</v>
      </c>
      <c r="T270" s="448">
        <f t="array" ref="T270">INDEX(INCVALUES,$Q270,$K$1)</f>
        <v>0.03</v>
      </c>
      <c r="V270">
        <f t="array" ref="V270">+J270+(4*(INDEX(MatchScoreTable,$Q270,20)-1))</f>
        <v>4</v>
      </c>
      <c r="W270" s="442">
        <f t="array" ref="W270">INDEX(INC_MINVALUES,$V270,$K$1)</f>
        <v>0.2</v>
      </c>
      <c r="X270" s="212">
        <f t="array" ref="X270">INDEX(INC_INCVALUES,$V270,$K$1)</f>
        <v>0.02</v>
      </c>
    </row>
    <row r="271" ht="15.75" customHeight="1">
      <c r="A271" s="435"/>
      <c r="B271" s="436"/>
      <c r="C271" s="95" t="str">
        <f t="array" ref="C271">IF(I271&gt;0,INDEX(DB,I271,8),"")</f>
        <v/>
      </c>
      <c r="D271" s="437">
        <f t="shared" si="1"/>
        <v>0</v>
      </c>
      <c r="F271" s="438">
        <f t="shared" si="2"/>
        <v>0</v>
      </c>
      <c r="G271" t="str">
        <f t="shared" si="3"/>
        <v/>
      </c>
      <c r="H271" t="b">
        <f t="shared" si="4"/>
        <v>0</v>
      </c>
      <c r="I271" s="439">
        <f>IF(OR(ISBLANK(A271),ISNA(MATCH(A271&amp;"",AthleteNumbers,0))),0,MATCH(A271&amp;"",AthleteNumbers,0))</f>
        <v>0</v>
      </c>
      <c r="J271" s="209">
        <f t="array" ref="J271">IF(I271&gt;0,INDEX(DB,$I271,6),0)</f>
        <v>0</v>
      </c>
      <c r="K271" s="446">
        <f t="shared" si="5"/>
        <v>0</v>
      </c>
      <c r="L271" s="446">
        <f t="shared" si="6"/>
        <v>0</v>
      </c>
      <c r="M271" s="441">
        <f>IF(L271&lt;O271,MinPoints,IF(AND(L271&gt;N271,O271&gt;0),100,+INT(($L271-O271)/P271)+MinPoints))</f>
        <v>10</v>
      </c>
      <c r="N271" s="440">
        <f t="shared" si="7"/>
        <v>4.9</v>
      </c>
      <c r="O271" s="440">
        <f t="shared" si="8"/>
        <v>2.2</v>
      </c>
      <c r="P271" s="440">
        <f t="shared" si="9"/>
        <v>0.03</v>
      </c>
      <c r="Q271">
        <f t="array" ref="Q271">IF(I271&gt;0,INDEX(DB,I271,9),EventIndex)</f>
        <v>6</v>
      </c>
      <c r="S271" s="447">
        <f t="array" ref="S271">INDEX(MINVALUES,$Q271,$K$1)</f>
        <v>2.2</v>
      </c>
      <c r="T271" s="448">
        <f t="array" ref="T271">INDEX(INCVALUES,$Q271,$K$1)</f>
        <v>0.03</v>
      </c>
      <c r="V271">
        <f t="array" ref="V271">+J271+(4*(INDEX(MatchScoreTable,$Q271,20)-1))</f>
        <v>4</v>
      </c>
      <c r="W271" s="442">
        <f t="array" ref="W271">INDEX(INC_MINVALUES,$V271,$K$1)</f>
        <v>0.2</v>
      </c>
      <c r="X271" s="212">
        <f t="array" ref="X271">INDEX(INC_INCVALUES,$V271,$K$1)</f>
        <v>0.02</v>
      </c>
    </row>
    <row r="272" ht="15.75" customHeight="1">
      <c r="A272" s="435"/>
      <c r="B272" s="436"/>
      <c r="C272" s="95" t="str">
        <f t="array" ref="C272">IF(I272&gt;0,INDEX(DB,I272,8),"")</f>
        <v/>
      </c>
      <c r="D272" s="437">
        <f t="shared" si="1"/>
        <v>0</v>
      </c>
      <c r="F272" s="438">
        <f t="shared" si="2"/>
        <v>0</v>
      </c>
      <c r="G272" t="str">
        <f t="shared" si="3"/>
        <v/>
      </c>
      <c r="H272" t="b">
        <f t="shared" si="4"/>
        <v>0</v>
      </c>
      <c r="I272" s="439">
        <f>IF(OR(ISBLANK(A272),ISNA(MATCH(A272&amp;"",AthleteNumbers,0))),0,MATCH(A272&amp;"",AthleteNumbers,0))</f>
        <v>0</v>
      </c>
      <c r="J272" s="209">
        <f t="array" ref="J272">IF(I272&gt;0,INDEX(DB,$I272,6),0)</f>
        <v>0</v>
      </c>
      <c r="K272" s="446">
        <f t="shared" si="5"/>
        <v>0</v>
      </c>
      <c r="L272" s="446">
        <f t="shared" si="6"/>
        <v>0</v>
      </c>
      <c r="M272" s="441">
        <f>IF(L272&lt;O272,MinPoints,IF(AND(L272&gt;N272,O272&gt;0),100,+INT(($L272-O272)/P272)+MinPoints))</f>
        <v>10</v>
      </c>
      <c r="N272" s="440">
        <f t="shared" si="7"/>
        <v>4.9</v>
      </c>
      <c r="O272" s="440">
        <f t="shared" si="8"/>
        <v>2.2</v>
      </c>
      <c r="P272" s="440">
        <f t="shared" si="9"/>
        <v>0.03</v>
      </c>
      <c r="Q272">
        <f t="array" ref="Q272">IF(I272&gt;0,INDEX(DB,I272,9),EventIndex)</f>
        <v>6</v>
      </c>
      <c r="S272" s="447">
        <f t="array" ref="S272">INDEX(MINVALUES,$Q272,$K$1)</f>
        <v>2.2</v>
      </c>
      <c r="T272" s="448">
        <f t="array" ref="T272">INDEX(INCVALUES,$Q272,$K$1)</f>
        <v>0.03</v>
      </c>
      <c r="V272">
        <f t="array" ref="V272">+J272+(4*(INDEX(MatchScoreTable,$Q272,20)-1))</f>
        <v>4</v>
      </c>
      <c r="W272" s="442">
        <f t="array" ref="W272">INDEX(INC_MINVALUES,$V272,$K$1)</f>
        <v>0.2</v>
      </c>
      <c r="X272" s="212">
        <f t="array" ref="X272">INDEX(INC_INCVALUES,$V272,$K$1)</f>
        <v>0.02</v>
      </c>
    </row>
    <row r="273" ht="15.75" customHeight="1">
      <c r="A273" s="435"/>
      <c r="B273" s="436"/>
      <c r="C273" s="95" t="str">
        <f t="array" ref="C273">IF(I273&gt;0,INDEX(DB,I273,8),"")</f>
        <v/>
      </c>
      <c r="D273" s="437">
        <f t="shared" si="1"/>
        <v>0</v>
      </c>
      <c r="F273" s="438">
        <f t="shared" si="2"/>
        <v>0</v>
      </c>
      <c r="G273" t="str">
        <f t="shared" si="3"/>
        <v/>
      </c>
      <c r="H273" t="b">
        <f t="shared" si="4"/>
        <v>0</v>
      </c>
      <c r="I273" s="439">
        <f>IF(OR(ISBLANK(A273),ISNA(MATCH(A273&amp;"",AthleteNumbers,0))),0,MATCH(A273&amp;"",AthleteNumbers,0))</f>
        <v>0</v>
      </c>
      <c r="J273" s="209">
        <f t="array" ref="J273">IF(I273&gt;0,INDEX(DB,$I273,6),0)</f>
        <v>0</v>
      </c>
      <c r="K273" s="446">
        <f t="shared" si="5"/>
        <v>0</v>
      </c>
      <c r="L273" s="446">
        <f t="shared" si="6"/>
        <v>0</v>
      </c>
      <c r="M273" s="441">
        <f>IF(L273&lt;O273,MinPoints,IF(AND(L273&gt;N273,O273&gt;0),100,+INT(($L273-O273)/P273)+MinPoints))</f>
        <v>10</v>
      </c>
      <c r="N273" s="440">
        <f t="shared" si="7"/>
        <v>4.9</v>
      </c>
      <c r="O273" s="440">
        <f t="shared" si="8"/>
        <v>2.2</v>
      </c>
      <c r="P273" s="440">
        <f t="shared" si="9"/>
        <v>0.03</v>
      </c>
      <c r="Q273">
        <f t="array" ref="Q273">IF(I273&gt;0,INDEX(DB,I273,9),EventIndex)</f>
        <v>6</v>
      </c>
      <c r="S273" s="447">
        <f t="array" ref="S273">INDEX(MINVALUES,$Q273,$K$1)</f>
        <v>2.2</v>
      </c>
      <c r="T273" s="448">
        <f t="array" ref="T273">INDEX(INCVALUES,$Q273,$K$1)</f>
        <v>0.03</v>
      </c>
      <c r="V273">
        <f t="array" ref="V273">+J273+(4*(INDEX(MatchScoreTable,$Q273,20)-1))</f>
        <v>4</v>
      </c>
      <c r="W273" s="442">
        <f t="array" ref="W273">INDEX(INC_MINVALUES,$V273,$K$1)</f>
        <v>0.2</v>
      </c>
      <c r="X273" s="212">
        <f t="array" ref="X273">INDEX(INC_INCVALUES,$V273,$K$1)</f>
        <v>0.02</v>
      </c>
    </row>
    <row r="274" ht="15.75" customHeight="1">
      <c r="A274" s="435"/>
      <c r="B274" s="436"/>
      <c r="C274" s="95" t="str">
        <f t="array" ref="C274">IF(I274&gt;0,INDEX(DB,I274,8),"")</f>
        <v/>
      </c>
      <c r="D274" s="437">
        <f t="shared" si="1"/>
        <v>0</v>
      </c>
      <c r="F274" s="438">
        <f t="shared" si="2"/>
        <v>0</v>
      </c>
      <c r="G274" t="str">
        <f t="shared" si="3"/>
        <v/>
      </c>
      <c r="H274" t="b">
        <f t="shared" si="4"/>
        <v>0</v>
      </c>
      <c r="I274" s="439">
        <f>IF(OR(ISBLANK(A274),ISNA(MATCH(A274&amp;"",AthleteNumbers,0))),0,MATCH(A274&amp;"",AthleteNumbers,0))</f>
        <v>0</v>
      </c>
      <c r="J274" s="209">
        <f t="array" ref="J274">IF(I274&gt;0,INDEX(DB,$I274,6),0)</f>
        <v>0</v>
      </c>
      <c r="K274" s="446">
        <f t="shared" si="5"/>
        <v>0</v>
      </c>
      <c r="L274" s="446">
        <f t="shared" si="6"/>
        <v>0</v>
      </c>
      <c r="M274" s="441">
        <f>IF(L274&lt;O274,MinPoints,IF(AND(L274&gt;N274,O274&gt;0),100,+INT(($L274-O274)/P274)+MinPoints))</f>
        <v>10</v>
      </c>
      <c r="N274" s="440">
        <f t="shared" si="7"/>
        <v>4.9</v>
      </c>
      <c r="O274" s="440">
        <f t="shared" si="8"/>
        <v>2.2</v>
      </c>
      <c r="P274" s="440">
        <f t="shared" si="9"/>
        <v>0.03</v>
      </c>
      <c r="Q274">
        <f t="array" ref="Q274">IF(I274&gt;0,INDEX(DB,I274,9),EventIndex)</f>
        <v>6</v>
      </c>
      <c r="S274" s="447">
        <f t="array" ref="S274">INDEX(MINVALUES,$Q274,$K$1)</f>
        <v>2.2</v>
      </c>
      <c r="T274" s="448">
        <f t="array" ref="T274">INDEX(INCVALUES,$Q274,$K$1)</f>
        <v>0.03</v>
      </c>
      <c r="V274">
        <f t="array" ref="V274">+J274+(4*(INDEX(MatchScoreTable,$Q274,20)-1))</f>
        <v>4</v>
      </c>
      <c r="W274" s="442">
        <f t="array" ref="W274">INDEX(INC_MINVALUES,$V274,$K$1)</f>
        <v>0.2</v>
      </c>
      <c r="X274" s="212">
        <f t="array" ref="X274">INDEX(INC_INCVALUES,$V274,$K$1)</f>
        <v>0.02</v>
      </c>
    </row>
    <row r="275" ht="15.75" customHeight="1">
      <c r="A275" s="435"/>
      <c r="B275" s="436"/>
      <c r="C275" s="95" t="str">
        <f t="array" ref="C275">IF(I275&gt;0,INDEX(DB,I275,8),"")</f>
        <v/>
      </c>
      <c r="D275" s="437">
        <f t="shared" si="1"/>
        <v>0</v>
      </c>
      <c r="F275" s="438">
        <f t="shared" si="2"/>
        <v>0</v>
      </c>
      <c r="G275" t="str">
        <f t="shared" si="3"/>
        <v/>
      </c>
      <c r="H275" t="b">
        <f t="shared" si="4"/>
        <v>0</v>
      </c>
      <c r="I275" s="439">
        <f>IF(OR(ISBLANK(A275),ISNA(MATCH(A275&amp;"",AthleteNumbers,0))),0,MATCH(A275&amp;"",AthleteNumbers,0))</f>
        <v>0</v>
      </c>
      <c r="J275" s="209">
        <f t="array" ref="J275">IF(I275&gt;0,INDEX(DB,$I275,6),0)</f>
        <v>0</v>
      </c>
      <c r="K275" s="446">
        <f t="shared" si="5"/>
        <v>0</v>
      </c>
      <c r="L275" s="446">
        <f t="shared" si="6"/>
        <v>0</v>
      </c>
      <c r="M275" s="441">
        <f>IF(L275&lt;O275,MinPoints,IF(AND(L275&gt;N275,O275&gt;0),100,+INT(($L275-O275)/P275)+MinPoints))</f>
        <v>10</v>
      </c>
      <c r="N275" s="440">
        <f t="shared" si="7"/>
        <v>4.9</v>
      </c>
      <c r="O275" s="440">
        <f t="shared" si="8"/>
        <v>2.2</v>
      </c>
      <c r="P275" s="440">
        <f t="shared" si="9"/>
        <v>0.03</v>
      </c>
      <c r="Q275">
        <f t="array" ref="Q275">IF(I275&gt;0,INDEX(DB,I275,9),EventIndex)</f>
        <v>6</v>
      </c>
      <c r="S275" s="447">
        <f t="array" ref="S275">INDEX(MINVALUES,$Q275,$K$1)</f>
        <v>2.2</v>
      </c>
      <c r="T275" s="448">
        <f t="array" ref="T275">INDEX(INCVALUES,$Q275,$K$1)</f>
        <v>0.03</v>
      </c>
      <c r="V275">
        <f t="array" ref="V275">+J275+(4*(INDEX(MatchScoreTable,$Q275,20)-1))</f>
        <v>4</v>
      </c>
      <c r="W275" s="442">
        <f t="array" ref="W275">INDEX(INC_MINVALUES,$V275,$K$1)</f>
        <v>0.2</v>
      </c>
      <c r="X275" s="212">
        <f t="array" ref="X275">INDEX(INC_INCVALUES,$V275,$K$1)</f>
        <v>0.02</v>
      </c>
    </row>
    <row r="276" ht="15.75" customHeight="1">
      <c r="A276" s="435"/>
      <c r="B276" s="436"/>
      <c r="C276" s="95" t="str">
        <f t="array" ref="C276">IF(I276&gt;0,INDEX(DB,I276,8),"")</f>
        <v/>
      </c>
      <c r="D276" s="437">
        <f t="shared" si="1"/>
        <v>0</v>
      </c>
      <c r="F276" s="438">
        <f t="shared" si="2"/>
        <v>0</v>
      </c>
      <c r="G276" t="str">
        <f t="shared" si="3"/>
        <v/>
      </c>
      <c r="H276" t="b">
        <f t="shared" si="4"/>
        <v>0</v>
      </c>
      <c r="I276" s="439">
        <f>IF(OR(ISBLANK(A276),ISNA(MATCH(A276&amp;"",AthleteNumbers,0))),0,MATCH(A276&amp;"",AthleteNumbers,0))</f>
        <v>0</v>
      </c>
      <c r="J276" s="209">
        <f t="array" ref="J276">IF(I276&gt;0,INDEX(DB,$I276,6),0)</f>
        <v>0</v>
      </c>
      <c r="K276" s="446">
        <f t="shared" si="5"/>
        <v>0</v>
      </c>
      <c r="L276" s="446">
        <f t="shared" si="6"/>
        <v>0</v>
      </c>
      <c r="M276" s="441">
        <f>IF(L276&lt;O276,MinPoints,IF(AND(L276&gt;N276,O276&gt;0),100,+INT(($L276-O276)/P276)+MinPoints))</f>
        <v>10</v>
      </c>
      <c r="N276" s="440">
        <f t="shared" si="7"/>
        <v>4.9</v>
      </c>
      <c r="O276" s="440">
        <f t="shared" si="8"/>
        <v>2.2</v>
      </c>
      <c r="P276" s="440">
        <f t="shared" si="9"/>
        <v>0.03</v>
      </c>
      <c r="Q276">
        <f t="array" ref="Q276">IF(I276&gt;0,INDEX(DB,I276,9),EventIndex)</f>
        <v>6</v>
      </c>
      <c r="S276" s="447">
        <f t="array" ref="S276">INDEX(MINVALUES,$Q276,$K$1)</f>
        <v>2.2</v>
      </c>
      <c r="T276" s="448">
        <f t="array" ref="T276">INDEX(INCVALUES,$Q276,$K$1)</f>
        <v>0.03</v>
      </c>
      <c r="V276">
        <f t="array" ref="V276">+J276+(4*(INDEX(MatchScoreTable,$Q276,20)-1))</f>
        <v>4</v>
      </c>
      <c r="W276" s="442">
        <f t="array" ref="W276">INDEX(INC_MINVALUES,$V276,$K$1)</f>
        <v>0.2</v>
      </c>
      <c r="X276" s="212">
        <f t="array" ref="X276">INDEX(INC_INCVALUES,$V276,$K$1)</f>
        <v>0.02</v>
      </c>
    </row>
    <row r="277" ht="15.75" customHeight="1">
      <c r="A277" s="435"/>
      <c r="B277" s="436"/>
      <c r="C277" s="95" t="str">
        <f t="array" ref="C277">IF(I277&gt;0,INDEX(DB,I277,8),"")</f>
        <v/>
      </c>
      <c r="D277" s="437">
        <f t="shared" si="1"/>
        <v>0</v>
      </c>
      <c r="F277" s="438">
        <f t="shared" si="2"/>
        <v>0</v>
      </c>
      <c r="G277" t="str">
        <f t="shared" si="3"/>
        <v/>
      </c>
      <c r="H277" t="b">
        <f t="shared" si="4"/>
        <v>0</v>
      </c>
      <c r="I277" s="439">
        <f>IF(OR(ISBLANK(A277),ISNA(MATCH(A277&amp;"",AthleteNumbers,0))),0,MATCH(A277&amp;"",AthleteNumbers,0))</f>
        <v>0</v>
      </c>
      <c r="J277" s="209">
        <f t="array" ref="J277">IF(I277&gt;0,INDEX(DB,$I277,6),0)</f>
        <v>0</v>
      </c>
      <c r="K277" s="446">
        <f t="shared" si="5"/>
        <v>0</v>
      </c>
      <c r="L277" s="446">
        <f t="shared" si="6"/>
        <v>0</v>
      </c>
      <c r="M277" s="441">
        <f>IF(L277&lt;O277,MinPoints,IF(AND(L277&gt;N277,O277&gt;0),100,+INT(($L277-O277)/P277)+MinPoints))</f>
        <v>10</v>
      </c>
      <c r="N277" s="440">
        <f t="shared" si="7"/>
        <v>4.9</v>
      </c>
      <c r="O277" s="440">
        <f t="shared" si="8"/>
        <v>2.2</v>
      </c>
      <c r="P277" s="440">
        <f t="shared" si="9"/>
        <v>0.03</v>
      </c>
      <c r="Q277">
        <f t="array" ref="Q277">IF(I277&gt;0,INDEX(DB,I277,9),EventIndex)</f>
        <v>6</v>
      </c>
      <c r="S277" s="447">
        <f t="array" ref="S277">INDEX(MINVALUES,$Q277,$K$1)</f>
        <v>2.2</v>
      </c>
      <c r="T277" s="448">
        <f t="array" ref="T277">INDEX(INCVALUES,$Q277,$K$1)</f>
        <v>0.03</v>
      </c>
      <c r="V277">
        <f t="array" ref="V277">+J277+(4*(INDEX(MatchScoreTable,$Q277,20)-1))</f>
        <v>4</v>
      </c>
      <c r="W277" s="442">
        <f t="array" ref="W277">INDEX(INC_MINVALUES,$V277,$K$1)</f>
        <v>0.2</v>
      </c>
      <c r="X277" s="212">
        <f t="array" ref="X277">INDEX(INC_INCVALUES,$V277,$K$1)</f>
        <v>0.02</v>
      </c>
    </row>
    <row r="278" ht="15.75" customHeight="1">
      <c r="A278" s="435"/>
      <c r="B278" s="436"/>
      <c r="C278" s="95" t="str">
        <f t="array" ref="C278">IF(I278&gt;0,INDEX(DB,I278,8),"")</f>
        <v/>
      </c>
      <c r="D278" s="437">
        <f t="shared" si="1"/>
        <v>0</v>
      </c>
      <c r="F278" s="438">
        <f t="shared" si="2"/>
        <v>0</v>
      </c>
      <c r="G278" t="str">
        <f t="shared" si="3"/>
        <v/>
      </c>
      <c r="H278" t="b">
        <f t="shared" si="4"/>
        <v>0</v>
      </c>
      <c r="I278" s="439">
        <f>IF(OR(ISBLANK(A278),ISNA(MATCH(A278&amp;"",AthleteNumbers,0))),0,MATCH(A278&amp;"",AthleteNumbers,0))</f>
        <v>0</v>
      </c>
      <c r="J278" s="209">
        <f t="array" ref="J278">IF(I278&gt;0,INDEX(DB,$I278,6),0)</f>
        <v>0</v>
      </c>
      <c r="K278" s="446">
        <f t="shared" si="5"/>
        <v>0</v>
      </c>
      <c r="L278" s="446">
        <f t="shared" si="6"/>
        <v>0</v>
      </c>
      <c r="M278" s="441">
        <f>IF(L278&lt;O278,MinPoints,IF(AND(L278&gt;N278,O278&gt;0),100,+INT(($L278-O278)/P278)+MinPoints))</f>
        <v>10</v>
      </c>
      <c r="N278" s="440">
        <f t="shared" si="7"/>
        <v>4.9</v>
      </c>
      <c r="O278" s="440">
        <f t="shared" si="8"/>
        <v>2.2</v>
      </c>
      <c r="P278" s="440">
        <f t="shared" si="9"/>
        <v>0.03</v>
      </c>
      <c r="Q278">
        <f t="array" ref="Q278">IF(I278&gt;0,INDEX(DB,I278,9),EventIndex)</f>
        <v>6</v>
      </c>
      <c r="S278" s="447">
        <f t="array" ref="S278">INDEX(MINVALUES,$Q278,$K$1)</f>
        <v>2.2</v>
      </c>
      <c r="T278" s="448">
        <f t="array" ref="T278">INDEX(INCVALUES,$Q278,$K$1)</f>
        <v>0.03</v>
      </c>
      <c r="V278">
        <f t="array" ref="V278">+J278+(4*(INDEX(MatchScoreTable,$Q278,20)-1))</f>
        <v>4</v>
      </c>
      <c r="W278" s="442">
        <f t="array" ref="W278">INDEX(INC_MINVALUES,$V278,$K$1)</f>
        <v>0.2</v>
      </c>
      <c r="X278" s="212">
        <f t="array" ref="X278">INDEX(INC_INCVALUES,$V278,$K$1)</f>
        <v>0.02</v>
      </c>
    </row>
    <row r="279" ht="15.75" customHeight="1">
      <c r="A279" s="435"/>
      <c r="B279" s="436"/>
      <c r="C279" s="95" t="str">
        <f t="array" ref="C279">IF(I279&gt;0,INDEX(DB,I279,8),"")</f>
        <v/>
      </c>
      <c r="D279" s="437">
        <f t="shared" si="1"/>
        <v>0</v>
      </c>
      <c r="F279" s="438">
        <f t="shared" si="2"/>
        <v>0</v>
      </c>
      <c r="G279" t="str">
        <f t="shared" si="3"/>
        <v/>
      </c>
      <c r="H279" t="b">
        <f t="shared" si="4"/>
        <v>0</v>
      </c>
      <c r="I279" s="439">
        <f>IF(OR(ISBLANK(A279),ISNA(MATCH(A279&amp;"",AthleteNumbers,0))),0,MATCH(A279&amp;"",AthleteNumbers,0))</f>
        <v>0</v>
      </c>
      <c r="J279" s="209">
        <f t="array" ref="J279">IF(I279&gt;0,INDEX(DB,$I279,6),0)</f>
        <v>0</v>
      </c>
      <c r="K279" s="446">
        <f t="shared" si="5"/>
        <v>0</v>
      </c>
      <c r="L279" s="446">
        <f t="shared" si="6"/>
        <v>0</v>
      </c>
      <c r="M279" s="441">
        <f>IF(L279&lt;O279,MinPoints,IF(AND(L279&gt;N279,O279&gt;0),100,+INT(($L279-O279)/P279)+MinPoints))</f>
        <v>10</v>
      </c>
      <c r="N279" s="440">
        <f t="shared" si="7"/>
        <v>4.9</v>
      </c>
      <c r="O279" s="440">
        <f t="shared" si="8"/>
        <v>2.2</v>
      </c>
      <c r="P279" s="440">
        <f t="shared" si="9"/>
        <v>0.03</v>
      </c>
      <c r="Q279">
        <f t="array" ref="Q279">IF(I279&gt;0,INDEX(DB,I279,9),EventIndex)</f>
        <v>6</v>
      </c>
      <c r="S279" s="447">
        <f t="array" ref="S279">INDEX(MINVALUES,$Q279,$K$1)</f>
        <v>2.2</v>
      </c>
      <c r="T279" s="448">
        <f t="array" ref="T279">INDEX(INCVALUES,$Q279,$K$1)</f>
        <v>0.03</v>
      </c>
      <c r="V279">
        <f t="array" ref="V279">+J279+(4*(INDEX(MatchScoreTable,$Q279,20)-1))</f>
        <v>4</v>
      </c>
      <c r="W279" s="442">
        <f t="array" ref="W279">INDEX(INC_MINVALUES,$V279,$K$1)</f>
        <v>0.2</v>
      </c>
      <c r="X279" s="212">
        <f t="array" ref="X279">INDEX(INC_INCVALUES,$V279,$K$1)</f>
        <v>0.02</v>
      </c>
    </row>
    <row r="280" ht="15.75" customHeight="1">
      <c r="A280" s="435"/>
      <c r="B280" s="436"/>
      <c r="C280" s="95" t="str">
        <f t="array" ref="C280">IF(I280&gt;0,INDEX(DB,I280,8),"")</f>
        <v/>
      </c>
      <c r="D280" s="437">
        <f t="shared" si="1"/>
        <v>0</v>
      </c>
      <c r="F280" s="438">
        <f t="shared" si="2"/>
        <v>0</v>
      </c>
      <c r="G280" t="str">
        <f t="shared" si="3"/>
        <v/>
      </c>
      <c r="H280" t="b">
        <f t="shared" si="4"/>
        <v>0</v>
      </c>
      <c r="I280" s="439">
        <f>IF(OR(ISBLANK(A280),ISNA(MATCH(A280&amp;"",AthleteNumbers,0))),0,MATCH(A280&amp;"",AthleteNumbers,0))</f>
        <v>0</v>
      </c>
      <c r="J280" s="209">
        <f t="array" ref="J280">IF(I280&gt;0,INDEX(DB,$I280,6),0)</f>
        <v>0</v>
      </c>
      <c r="K280" s="446">
        <f t="shared" si="5"/>
        <v>0</v>
      </c>
      <c r="L280" s="446">
        <f t="shared" si="6"/>
        <v>0</v>
      </c>
      <c r="M280" s="441">
        <f>IF(L280&lt;O280,MinPoints,IF(AND(L280&gt;N280,O280&gt;0),100,+INT(($L280-O280)/P280)+MinPoints))</f>
        <v>10</v>
      </c>
      <c r="N280" s="440">
        <f t="shared" si="7"/>
        <v>4.9</v>
      </c>
      <c r="O280" s="440">
        <f t="shared" si="8"/>
        <v>2.2</v>
      </c>
      <c r="P280" s="440">
        <f t="shared" si="9"/>
        <v>0.03</v>
      </c>
      <c r="Q280">
        <f t="array" ref="Q280">IF(I280&gt;0,INDEX(DB,I280,9),EventIndex)</f>
        <v>6</v>
      </c>
      <c r="S280" s="447">
        <f t="array" ref="S280">INDEX(MINVALUES,$Q280,$K$1)</f>
        <v>2.2</v>
      </c>
      <c r="T280" s="448">
        <f t="array" ref="T280">INDEX(INCVALUES,$Q280,$K$1)</f>
        <v>0.03</v>
      </c>
      <c r="V280">
        <f t="array" ref="V280">+J280+(4*(INDEX(MatchScoreTable,$Q280,20)-1))</f>
        <v>4</v>
      </c>
      <c r="W280" s="442">
        <f t="array" ref="W280">INDEX(INC_MINVALUES,$V280,$K$1)</f>
        <v>0.2</v>
      </c>
      <c r="X280" s="212">
        <f t="array" ref="X280">INDEX(INC_INCVALUES,$V280,$K$1)</f>
        <v>0.02</v>
      </c>
    </row>
    <row r="281" ht="15.75" customHeight="1">
      <c r="A281" s="435"/>
      <c r="B281" s="436"/>
      <c r="C281" s="95" t="str">
        <f t="array" ref="C281">IF(I281&gt;0,INDEX(DB,I281,8),"")</f>
        <v/>
      </c>
      <c r="D281" s="437">
        <f t="shared" si="1"/>
        <v>0</v>
      </c>
      <c r="F281" s="438">
        <f t="shared" si="2"/>
        <v>0</v>
      </c>
      <c r="G281" t="str">
        <f t="shared" si="3"/>
        <v/>
      </c>
      <c r="H281" t="b">
        <f t="shared" si="4"/>
        <v>0</v>
      </c>
      <c r="I281" s="439">
        <f>IF(OR(ISBLANK(A281),ISNA(MATCH(A281&amp;"",AthleteNumbers,0))),0,MATCH(A281&amp;"",AthleteNumbers,0))</f>
        <v>0</v>
      </c>
      <c r="J281" s="209">
        <f t="array" ref="J281">IF(I281&gt;0,INDEX(DB,$I281,6),0)</f>
        <v>0</v>
      </c>
      <c r="K281" s="446">
        <f t="shared" si="5"/>
        <v>0</v>
      </c>
      <c r="L281" s="446">
        <f t="shared" si="6"/>
        <v>0</v>
      </c>
      <c r="M281" s="441">
        <f>IF(L281&lt;O281,MinPoints,IF(AND(L281&gt;N281,O281&gt;0),100,+INT(($L281-O281)/P281)+MinPoints))</f>
        <v>10</v>
      </c>
      <c r="N281" s="440">
        <f t="shared" si="7"/>
        <v>4.9</v>
      </c>
      <c r="O281" s="440">
        <f t="shared" si="8"/>
        <v>2.2</v>
      </c>
      <c r="P281" s="440">
        <f t="shared" si="9"/>
        <v>0.03</v>
      </c>
      <c r="Q281">
        <f t="array" ref="Q281">IF(I281&gt;0,INDEX(DB,I281,9),EventIndex)</f>
        <v>6</v>
      </c>
      <c r="S281" s="447">
        <f t="array" ref="S281">INDEX(MINVALUES,$Q281,$K$1)</f>
        <v>2.2</v>
      </c>
      <c r="T281" s="448">
        <f t="array" ref="T281">INDEX(INCVALUES,$Q281,$K$1)</f>
        <v>0.03</v>
      </c>
      <c r="V281">
        <f t="array" ref="V281">+J281+(4*(INDEX(MatchScoreTable,$Q281,20)-1))</f>
        <v>4</v>
      </c>
      <c r="W281" s="442">
        <f t="array" ref="W281">INDEX(INC_MINVALUES,$V281,$K$1)</f>
        <v>0.2</v>
      </c>
      <c r="X281" s="212">
        <f t="array" ref="X281">INDEX(INC_INCVALUES,$V281,$K$1)</f>
        <v>0.02</v>
      </c>
    </row>
    <row r="282" ht="15.75" customHeight="1">
      <c r="A282" s="435"/>
      <c r="B282" s="436"/>
      <c r="C282" s="95" t="str">
        <f t="array" ref="C282">IF(I282&gt;0,INDEX(DB,I282,8),"")</f>
        <v/>
      </c>
      <c r="D282" s="437">
        <f t="shared" si="1"/>
        <v>0</v>
      </c>
      <c r="F282" s="438">
        <f t="shared" si="2"/>
        <v>0</v>
      </c>
      <c r="G282" t="str">
        <f t="shared" si="3"/>
        <v/>
      </c>
      <c r="H282" t="b">
        <f t="shared" si="4"/>
        <v>0</v>
      </c>
      <c r="I282" s="439">
        <f>IF(OR(ISBLANK(A282),ISNA(MATCH(A282&amp;"",AthleteNumbers,0))),0,MATCH(A282&amp;"",AthleteNumbers,0))</f>
        <v>0</v>
      </c>
      <c r="J282" s="209">
        <f t="array" ref="J282">IF(I282&gt;0,INDEX(DB,$I282,6),0)</f>
        <v>0</v>
      </c>
      <c r="K282" s="446">
        <f t="shared" si="5"/>
        <v>0</v>
      </c>
      <c r="L282" s="446">
        <f t="shared" si="6"/>
        <v>0</v>
      </c>
      <c r="M282" s="441">
        <f>IF(L282&lt;O282,MinPoints,IF(AND(L282&gt;N282,O282&gt;0),100,+INT(($L282-O282)/P282)+MinPoints))</f>
        <v>10</v>
      </c>
      <c r="N282" s="440">
        <f t="shared" si="7"/>
        <v>4.9</v>
      </c>
      <c r="O282" s="440">
        <f t="shared" si="8"/>
        <v>2.2</v>
      </c>
      <c r="P282" s="440">
        <f t="shared" si="9"/>
        <v>0.03</v>
      </c>
      <c r="Q282">
        <f t="array" ref="Q282">IF(I282&gt;0,INDEX(DB,I282,9),EventIndex)</f>
        <v>6</v>
      </c>
      <c r="S282" s="447">
        <f t="array" ref="S282">INDEX(MINVALUES,$Q282,$K$1)</f>
        <v>2.2</v>
      </c>
      <c r="T282" s="448">
        <f t="array" ref="T282">INDEX(INCVALUES,$Q282,$K$1)</f>
        <v>0.03</v>
      </c>
      <c r="V282">
        <f t="array" ref="V282">+J282+(4*(INDEX(MatchScoreTable,$Q282,20)-1))</f>
        <v>4</v>
      </c>
      <c r="W282" s="442">
        <f t="array" ref="W282">INDEX(INC_MINVALUES,$V282,$K$1)</f>
        <v>0.2</v>
      </c>
      <c r="X282" s="212">
        <f t="array" ref="X282">INDEX(INC_INCVALUES,$V282,$K$1)</f>
        <v>0.02</v>
      </c>
    </row>
    <row r="283" ht="15.75" customHeight="1">
      <c r="A283" s="435"/>
      <c r="B283" s="436"/>
      <c r="C283" s="95" t="str">
        <f t="array" ref="C283">IF(I283&gt;0,INDEX(DB,I283,8),"")</f>
        <v/>
      </c>
      <c r="D283" s="437">
        <f t="shared" si="1"/>
        <v>0</v>
      </c>
      <c r="F283" s="438">
        <f t="shared" si="2"/>
        <v>0</v>
      </c>
      <c r="G283" t="str">
        <f t="shared" si="3"/>
        <v/>
      </c>
      <c r="H283" t="b">
        <f t="shared" si="4"/>
        <v>0</v>
      </c>
      <c r="I283" s="439">
        <f>IF(OR(ISBLANK(A283),ISNA(MATCH(A283&amp;"",AthleteNumbers,0))),0,MATCH(A283&amp;"",AthleteNumbers,0))</f>
        <v>0</v>
      </c>
      <c r="J283" s="209">
        <f t="array" ref="J283">IF(I283&gt;0,INDEX(DB,$I283,6),0)</f>
        <v>0</v>
      </c>
      <c r="K283" s="446">
        <f t="shared" si="5"/>
        <v>0</v>
      </c>
      <c r="L283" s="446">
        <f t="shared" si="6"/>
        <v>0</v>
      </c>
      <c r="M283" s="441">
        <f>IF(L283&lt;O283,MinPoints,IF(AND(L283&gt;N283,O283&gt;0),100,+INT(($L283-O283)/P283)+MinPoints))</f>
        <v>10</v>
      </c>
      <c r="N283" s="440">
        <f t="shared" si="7"/>
        <v>4.9</v>
      </c>
      <c r="O283" s="440">
        <f t="shared" si="8"/>
        <v>2.2</v>
      </c>
      <c r="P283" s="440">
        <f t="shared" si="9"/>
        <v>0.03</v>
      </c>
      <c r="Q283">
        <f t="array" ref="Q283">IF(I283&gt;0,INDEX(DB,I283,9),EventIndex)</f>
        <v>6</v>
      </c>
      <c r="S283" s="447">
        <f t="array" ref="S283">INDEX(MINVALUES,$Q283,$K$1)</f>
        <v>2.2</v>
      </c>
      <c r="T283" s="448">
        <f t="array" ref="T283">INDEX(INCVALUES,$Q283,$K$1)</f>
        <v>0.03</v>
      </c>
      <c r="V283">
        <f t="array" ref="V283">+J283+(4*(INDEX(MatchScoreTable,$Q283,20)-1))</f>
        <v>4</v>
      </c>
      <c r="W283" s="442">
        <f t="array" ref="W283">INDEX(INC_MINVALUES,$V283,$K$1)</f>
        <v>0.2</v>
      </c>
      <c r="X283" s="212">
        <f t="array" ref="X283">INDEX(INC_INCVALUES,$V283,$K$1)</f>
        <v>0.02</v>
      </c>
    </row>
    <row r="284" ht="15.75" customHeight="1">
      <c r="A284" s="435"/>
      <c r="B284" s="436"/>
      <c r="C284" s="95" t="str">
        <f t="array" ref="C284">IF(I284&gt;0,INDEX(DB,I284,8),"")</f>
        <v/>
      </c>
      <c r="D284" s="437">
        <f t="shared" si="1"/>
        <v>0</v>
      </c>
      <c r="F284" s="438">
        <f t="shared" si="2"/>
        <v>0</v>
      </c>
      <c r="G284" t="str">
        <f t="shared" si="3"/>
        <v/>
      </c>
      <c r="H284" t="b">
        <f t="shared" si="4"/>
        <v>0</v>
      </c>
      <c r="I284" s="439">
        <f>IF(OR(ISBLANK(A284),ISNA(MATCH(A284&amp;"",AthleteNumbers,0))),0,MATCH(A284&amp;"",AthleteNumbers,0))</f>
        <v>0</v>
      </c>
      <c r="J284" s="209">
        <f t="array" ref="J284">IF(I284&gt;0,INDEX(DB,$I284,6),0)</f>
        <v>0</v>
      </c>
      <c r="K284" s="446">
        <f t="shared" si="5"/>
        <v>0</v>
      </c>
      <c r="L284" s="446">
        <f t="shared" si="6"/>
        <v>0</v>
      </c>
      <c r="M284" s="441">
        <f>IF(L284&lt;O284,MinPoints,IF(AND(L284&gt;N284,O284&gt;0),100,+INT(($L284-O284)/P284)+MinPoints))</f>
        <v>10</v>
      </c>
      <c r="N284" s="440">
        <f t="shared" si="7"/>
        <v>4.9</v>
      </c>
      <c r="O284" s="440">
        <f t="shared" si="8"/>
        <v>2.2</v>
      </c>
      <c r="P284" s="440">
        <f t="shared" si="9"/>
        <v>0.03</v>
      </c>
      <c r="Q284">
        <f t="array" ref="Q284">IF(I284&gt;0,INDEX(DB,I284,9),EventIndex)</f>
        <v>6</v>
      </c>
      <c r="S284" s="447">
        <f t="array" ref="S284">INDEX(MINVALUES,$Q284,$K$1)</f>
        <v>2.2</v>
      </c>
      <c r="T284" s="448">
        <f t="array" ref="T284">INDEX(INCVALUES,$Q284,$K$1)</f>
        <v>0.03</v>
      </c>
      <c r="V284">
        <f t="array" ref="V284">+J284+(4*(INDEX(MatchScoreTable,$Q284,20)-1))</f>
        <v>4</v>
      </c>
      <c r="W284" s="442">
        <f t="array" ref="W284">INDEX(INC_MINVALUES,$V284,$K$1)</f>
        <v>0.2</v>
      </c>
      <c r="X284" s="212">
        <f t="array" ref="X284">INDEX(INC_INCVALUES,$V284,$K$1)</f>
        <v>0.02</v>
      </c>
    </row>
    <row r="285" ht="15.75" customHeight="1">
      <c r="A285" s="435"/>
      <c r="B285" s="436"/>
      <c r="C285" s="95" t="str">
        <f t="array" ref="C285">IF(I285&gt;0,INDEX(DB,I285,8),"")</f>
        <v/>
      </c>
      <c r="D285" s="437">
        <f t="shared" si="1"/>
        <v>0</v>
      </c>
      <c r="F285" s="438">
        <f t="shared" si="2"/>
        <v>0</v>
      </c>
      <c r="G285" t="str">
        <f t="shared" si="3"/>
        <v/>
      </c>
      <c r="H285" t="b">
        <f t="shared" si="4"/>
        <v>0</v>
      </c>
      <c r="I285" s="439">
        <f>IF(OR(ISBLANK(A285),ISNA(MATCH(A285&amp;"",AthleteNumbers,0))),0,MATCH(A285&amp;"",AthleteNumbers,0))</f>
        <v>0</v>
      </c>
      <c r="J285" s="209">
        <f t="array" ref="J285">IF(I285&gt;0,INDEX(DB,$I285,6),0)</f>
        <v>0</v>
      </c>
      <c r="K285" s="446">
        <f t="shared" si="5"/>
        <v>0</v>
      </c>
      <c r="L285" s="446">
        <f t="shared" si="6"/>
        <v>0</v>
      </c>
      <c r="M285" s="441">
        <f>IF(L285&lt;O285,MinPoints,IF(AND(L285&gt;N285,O285&gt;0),100,+INT(($L285-O285)/P285)+MinPoints))</f>
        <v>10</v>
      </c>
      <c r="N285" s="440">
        <f t="shared" si="7"/>
        <v>4.9</v>
      </c>
      <c r="O285" s="440">
        <f t="shared" si="8"/>
        <v>2.2</v>
      </c>
      <c r="P285" s="440">
        <f t="shared" si="9"/>
        <v>0.03</v>
      </c>
      <c r="Q285">
        <f t="array" ref="Q285">IF(I285&gt;0,INDEX(DB,I285,9),EventIndex)</f>
        <v>6</v>
      </c>
      <c r="S285" s="447">
        <f t="array" ref="S285">INDEX(MINVALUES,$Q285,$K$1)</f>
        <v>2.2</v>
      </c>
      <c r="T285" s="448">
        <f t="array" ref="T285">INDEX(INCVALUES,$Q285,$K$1)</f>
        <v>0.03</v>
      </c>
      <c r="V285">
        <f t="array" ref="V285">+J285+(4*(INDEX(MatchScoreTable,$Q285,20)-1))</f>
        <v>4</v>
      </c>
      <c r="W285" s="442">
        <f t="array" ref="W285">INDEX(INC_MINVALUES,$V285,$K$1)</f>
        <v>0.2</v>
      </c>
      <c r="X285" s="212">
        <f t="array" ref="X285">INDEX(INC_INCVALUES,$V285,$K$1)</f>
        <v>0.02</v>
      </c>
    </row>
    <row r="286" ht="15.75" customHeight="1">
      <c r="A286" s="435"/>
      <c r="B286" s="436"/>
      <c r="C286" s="95" t="str">
        <f t="array" ref="C286">IF(I286&gt;0,INDEX(DB,I286,8),"")</f>
        <v/>
      </c>
      <c r="D286" s="437">
        <f t="shared" si="1"/>
        <v>0</v>
      </c>
      <c r="F286" s="438">
        <f t="shared" si="2"/>
        <v>0</v>
      </c>
      <c r="G286" t="str">
        <f t="shared" si="3"/>
        <v/>
      </c>
      <c r="H286" t="b">
        <f t="shared" si="4"/>
        <v>0</v>
      </c>
      <c r="I286" s="439">
        <f>IF(OR(ISBLANK(A286),ISNA(MATCH(A286&amp;"",AthleteNumbers,0))),0,MATCH(A286&amp;"",AthleteNumbers,0))</f>
        <v>0</v>
      </c>
      <c r="J286" s="209">
        <f t="array" ref="J286">IF(I286&gt;0,INDEX(DB,$I286,6),0)</f>
        <v>0</v>
      </c>
      <c r="K286" s="446">
        <f t="shared" si="5"/>
        <v>0</v>
      </c>
      <c r="L286" s="446">
        <f t="shared" si="6"/>
        <v>0</v>
      </c>
      <c r="M286" s="441">
        <f>IF(L286&lt;O286,MinPoints,IF(AND(L286&gt;N286,O286&gt;0),100,+INT(($L286-O286)/P286)+MinPoints))</f>
        <v>10</v>
      </c>
      <c r="N286" s="440">
        <f t="shared" si="7"/>
        <v>4.9</v>
      </c>
      <c r="O286" s="440">
        <f t="shared" si="8"/>
        <v>2.2</v>
      </c>
      <c r="P286" s="440">
        <f t="shared" si="9"/>
        <v>0.03</v>
      </c>
      <c r="Q286">
        <f t="array" ref="Q286">IF(I286&gt;0,INDEX(DB,I286,9),EventIndex)</f>
        <v>6</v>
      </c>
      <c r="S286" s="447">
        <f t="array" ref="S286">INDEX(MINVALUES,$Q286,$K$1)</f>
        <v>2.2</v>
      </c>
      <c r="T286" s="448">
        <f t="array" ref="T286">INDEX(INCVALUES,$Q286,$K$1)</f>
        <v>0.03</v>
      </c>
      <c r="V286">
        <f t="array" ref="V286">+J286+(4*(INDEX(MatchScoreTable,$Q286,20)-1))</f>
        <v>4</v>
      </c>
      <c r="W286" s="442">
        <f t="array" ref="W286">INDEX(INC_MINVALUES,$V286,$K$1)</f>
        <v>0.2</v>
      </c>
      <c r="X286" s="212">
        <f t="array" ref="X286">INDEX(INC_INCVALUES,$V286,$K$1)</f>
        <v>0.02</v>
      </c>
    </row>
    <row r="287" ht="15.75" customHeight="1">
      <c r="A287" s="435"/>
      <c r="B287" s="436"/>
      <c r="C287" s="95" t="str">
        <f t="array" ref="C287">IF(I287&gt;0,INDEX(DB,I287,8),"")</f>
        <v/>
      </c>
      <c r="D287" s="437">
        <f t="shared" si="1"/>
        <v>0</v>
      </c>
      <c r="F287" s="438">
        <f t="shared" si="2"/>
        <v>0</v>
      </c>
      <c r="G287" t="str">
        <f t="shared" si="3"/>
        <v/>
      </c>
      <c r="H287" t="b">
        <f t="shared" si="4"/>
        <v>0</v>
      </c>
      <c r="I287" s="439">
        <f>IF(OR(ISBLANK(A287),ISNA(MATCH(A287&amp;"",AthleteNumbers,0))),0,MATCH(A287&amp;"",AthleteNumbers,0))</f>
        <v>0</v>
      </c>
      <c r="J287" s="209">
        <f t="array" ref="J287">IF(I287&gt;0,INDEX(DB,$I287,6),0)</f>
        <v>0</v>
      </c>
      <c r="K287" s="446">
        <f t="shared" si="5"/>
        <v>0</v>
      </c>
      <c r="L287" s="446">
        <f t="shared" si="6"/>
        <v>0</v>
      </c>
      <c r="M287" s="441">
        <f>IF(L287&lt;O287,MinPoints,IF(AND(L287&gt;N287,O287&gt;0),100,+INT(($L287-O287)/P287)+MinPoints))</f>
        <v>10</v>
      </c>
      <c r="N287" s="440">
        <f t="shared" si="7"/>
        <v>4.9</v>
      </c>
      <c r="O287" s="440">
        <f t="shared" si="8"/>
        <v>2.2</v>
      </c>
      <c r="P287" s="440">
        <f t="shared" si="9"/>
        <v>0.03</v>
      </c>
      <c r="Q287">
        <f t="array" ref="Q287">IF(I287&gt;0,INDEX(DB,I287,9),EventIndex)</f>
        <v>6</v>
      </c>
      <c r="S287" s="447">
        <f t="array" ref="S287">INDEX(MINVALUES,$Q287,$K$1)</f>
        <v>2.2</v>
      </c>
      <c r="T287" s="448">
        <f t="array" ref="T287">INDEX(INCVALUES,$Q287,$K$1)</f>
        <v>0.03</v>
      </c>
      <c r="V287">
        <f t="array" ref="V287">+J287+(4*(INDEX(MatchScoreTable,$Q287,20)-1))</f>
        <v>4</v>
      </c>
      <c r="W287" s="442">
        <f t="array" ref="W287">INDEX(INC_MINVALUES,$V287,$K$1)</f>
        <v>0.2</v>
      </c>
      <c r="X287" s="212">
        <f t="array" ref="X287">INDEX(INC_INCVALUES,$V287,$K$1)</f>
        <v>0.02</v>
      </c>
    </row>
    <row r="288" ht="15.75" customHeight="1">
      <c r="A288" s="435"/>
      <c r="B288" s="436"/>
      <c r="C288" s="95" t="str">
        <f t="array" ref="C288">IF(I288&gt;0,INDEX(DB,I288,8),"")</f>
        <v/>
      </c>
      <c r="D288" s="437">
        <f t="shared" si="1"/>
        <v>0</v>
      </c>
      <c r="F288" s="438">
        <f t="shared" si="2"/>
        <v>0</v>
      </c>
      <c r="G288" t="str">
        <f t="shared" si="3"/>
        <v/>
      </c>
      <c r="H288" t="b">
        <f t="shared" si="4"/>
        <v>0</v>
      </c>
      <c r="I288" s="439">
        <f>IF(OR(ISBLANK(A288),ISNA(MATCH(A288&amp;"",AthleteNumbers,0))),0,MATCH(A288&amp;"",AthleteNumbers,0))</f>
        <v>0</v>
      </c>
      <c r="J288" s="209">
        <f t="array" ref="J288">IF(I288&gt;0,INDEX(DB,$I288,6),0)</f>
        <v>0</v>
      </c>
      <c r="K288" s="446">
        <f t="shared" si="5"/>
        <v>0</v>
      </c>
      <c r="L288" s="446">
        <f t="shared" si="6"/>
        <v>0</v>
      </c>
      <c r="M288" s="441">
        <f>IF(L288&lt;O288,MinPoints,IF(AND(L288&gt;N288,O288&gt;0),100,+INT(($L288-O288)/P288)+MinPoints))</f>
        <v>10</v>
      </c>
      <c r="N288" s="440">
        <f t="shared" si="7"/>
        <v>4.9</v>
      </c>
      <c r="O288" s="440">
        <f t="shared" si="8"/>
        <v>2.2</v>
      </c>
      <c r="P288" s="440">
        <f t="shared" si="9"/>
        <v>0.03</v>
      </c>
      <c r="Q288">
        <f t="array" ref="Q288">IF(I288&gt;0,INDEX(DB,I288,9),EventIndex)</f>
        <v>6</v>
      </c>
      <c r="S288" s="447">
        <f t="array" ref="S288">INDEX(MINVALUES,$Q288,$K$1)</f>
        <v>2.2</v>
      </c>
      <c r="T288" s="448">
        <f t="array" ref="T288">INDEX(INCVALUES,$Q288,$K$1)</f>
        <v>0.03</v>
      </c>
      <c r="V288">
        <f t="array" ref="V288">+J288+(4*(INDEX(MatchScoreTable,$Q288,20)-1))</f>
        <v>4</v>
      </c>
      <c r="W288" s="442">
        <f t="array" ref="W288">INDEX(INC_MINVALUES,$V288,$K$1)</f>
        <v>0.2</v>
      </c>
      <c r="X288" s="212">
        <f t="array" ref="X288">INDEX(INC_INCVALUES,$V288,$K$1)</f>
        <v>0.02</v>
      </c>
    </row>
    <row r="289" ht="15.75" customHeight="1">
      <c r="A289" s="435"/>
      <c r="B289" s="436"/>
      <c r="C289" s="95" t="str">
        <f t="array" ref="C289">IF(I289&gt;0,INDEX(DB,I289,8),"")</f>
        <v/>
      </c>
      <c r="D289" s="437">
        <f t="shared" si="1"/>
        <v>0</v>
      </c>
      <c r="F289" s="438">
        <f t="shared" si="2"/>
        <v>0</v>
      </c>
      <c r="G289" t="str">
        <f t="shared" si="3"/>
        <v/>
      </c>
      <c r="H289" t="b">
        <f t="shared" si="4"/>
        <v>0</v>
      </c>
      <c r="I289" s="439">
        <f>IF(OR(ISBLANK(A289),ISNA(MATCH(A289&amp;"",AthleteNumbers,0))),0,MATCH(A289&amp;"",AthleteNumbers,0))</f>
        <v>0</v>
      </c>
      <c r="J289" s="209">
        <f t="array" ref="J289">IF(I289&gt;0,INDEX(DB,$I289,6),0)</f>
        <v>0</v>
      </c>
      <c r="K289" s="446">
        <f t="shared" si="5"/>
        <v>0</v>
      </c>
      <c r="L289" s="446">
        <f t="shared" si="6"/>
        <v>0</v>
      </c>
      <c r="M289" s="441">
        <f>IF(L289&lt;O289,MinPoints,IF(AND(L289&gt;N289,O289&gt;0),100,+INT(($L289-O289)/P289)+MinPoints))</f>
        <v>10</v>
      </c>
      <c r="N289" s="440">
        <f t="shared" si="7"/>
        <v>4.9</v>
      </c>
      <c r="O289" s="440">
        <f t="shared" si="8"/>
        <v>2.2</v>
      </c>
      <c r="P289" s="440">
        <f t="shared" si="9"/>
        <v>0.03</v>
      </c>
      <c r="Q289">
        <f t="array" ref="Q289">IF(I289&gt;0,INDEX(DB,I289,9),EventIndex)</f>
        <v>6</v>
      </c>
      <c r="S289" s="447">
        <f t="array" ref="S289">INDEX(MINVALUES,$Q289,$K$1)</f>
        <v>2.2</v>
      </c>
      <c r="T289" s="448">
        <f t="array" ref="T289">INDEX(INCVALUES,$Q289,$K$1)</f>
        <v>0.03</v>
      </c>
      <c r="V289">
        <f t="array" ref="V289">+J289+(4*(INDEX(MatchScoreTable,$Q289,20)-1))</f>
        <v>4</v>
      </c>
      <c r="W289" s="442">
        <f t="array" ref="W289">INDEX(INC_MINVALUES,$V289,$K$1)</f>
        <v>0.2</v>
      </c>
      <c r="X289" s="212">
        <f t="array" ref="X289">INDEX(INC_INCVALUES,$V289,$K$1)</f>
        <v>0.02</v>
      </c>
    </row>
    <row r="290" ht="15.75" customHeight="1">
      <c r="A290" s="435"/>
      <c r="B290" s="436"/>
      <c r="C290" s="95" t="str">
        <f t="array" ref="C290">IF(I290&gt;0,INDEX(DB,I290,8),"")</f>
        <v/>
      </c>
      <c r="D290" s="437">
        <f t="shared" si="1"/>
        <v>0</v>
      </c>
      <c r="F290" s="438">
        <f t="shared" si="2"/>
        <v>0</v>
      </c>
      <c r="G290" t="str">
        <f t="shared" si="3"/>
        <v/>
      </c>
      <c r="H290" t="b">
        <f t="shared" si="4"/>
        <v>0</v>
      </c>
      <c r="I290" s="439">
        <f>IF(OR(ISBLANK(A290),ISNA(MATCH(A290&amp;"",AthleteNumbers,0))),0,MATCH(A290&amp;"",AthleteNumbers,0))</f>
        <v>0</v>
      </c>
      <c r="J290" s="209">
        <f t="array" ref="J290">IF(I290&gt;0,INDEX(DB,$I290,6),0)</f>
        <v>0</v>
      </c>
      <c r="K290" s="446">
        <f t="shared" si="5"/>
        <v>0</v>
      </c>
      <c r="L290" s="446">
        <f t="shared" si="6"/>
        <v>0</v>
      </c>
      <c r="M290" s="441">
        <f>IF(L290&lt;O290,MinPoints,IF(AND(L290&gt;N290,O290&gt;0),100,+INT(($L290-O290)/P290)+MinPoints))</f>
        <v>10</v>
      </c>
      <c r="N290" s="440">
        <f t="shared" si="7"/>
        <v>4.9</v>
      </c>
      <c r="O290" s="440">
        <f t="shared" si="8"/>
        <v>2.2</v>
      </c>
      <c r="P290" s="440">
        <f t="shared" si="9"/>
        <v>0.03</v>
      </c>
      <c r="Q290">
        <f t="array" ref="Q290">IF(I290&gt;0,INDEX(DB,I290,9),EventIndex)</f>
        <v>6</v>
      </c>
      <c r="S290" s="447">
        <f t="array" ref="S290">INDEX(MINVALUES,$Q290,$K$1)</f>
        <v>2.2</v>
      </c>
      <c r="T290" s="448">
        <f t="array" ref="T290">INDEX(INCVALUES,$Q290,$K$1)</f>
        <v>0.03</v>
      </c>
      <c r="V290">
        <f t="array" ref="V290">+J290+(4*(INDEX(MatchScoreTable,$Q290,20)-1))</f>
        <v>4</v>
      </c>
      <c r="W290" s="442">
        <f t="array" ref="W290">INDEX(INC_MINVALUES,$V290,$K$1)</f>
        <v>0.2</v>
      </c>
      <c r="X290" s="212">
        <f t="array" ref="X290">INDEX(INC_INCVALUES,$V290,$K$1)</f>
        <v>0.02</v>
      </c>
    </row>
    <row r="291" ht="15.75" customHeight="1">
      <c r="A291" s="435"/>
      <c r="B291" s="436"/>
      <c r="C291" s="95" t="str">
        <f t="array" ref="C291">IF(I291&gt;0,INDEX(DB,I291,8),"")</f>
        <v/>
      </c>
      <c r="D291" s="437">
        <f t="shared" si="1"/>
        <v>0</v>
      </c>
      <c r="F291" s="438">
        <f t="shared" si="2"/>
        <v>0</v>
      </c>
      <c r="G291" t="str">
        <f t="shared" si="3"/>
        <v/>
      </c>
      <c r="H291" t="b">
        <f t="shared" si="4"/>
        <v>0</v>
      </c>
      <c r="I291" s="439">
        <f>IF(OR(ISBLANK(A291),ISNA(MATCH(A291&amp;"",AthleteNumbers,0))),0,MATCH(A291&amp;"",AthleteNumbers,0))</f>
        <v>0</v>
      </c>
      <c r="J291" s="209">
        <f t="array" ref="J291">IF(I291&gt;0,INDEX(DB,$I291,6),0)</f>
        <v>0</v>
      </c>
      <c r="K291" s="446">
        <f t="shared" si="5"/>
        <v>0</v>
      </c>
      <c r="L291" s="446">
        <f t="shared" si="6"/>
        <v>0</v>
      </c>
      <c r="M291" s="441">
        <f>IF(L291&lt;O291,MinPoints,IF(AND(L291&gt;N291,O291&gt;0),100,+INT(($L291-O291)/P291)+MinPoints))</f>
        <v>10</v>
      </c>
      <c r="N291" s="440">
        <f t="shared" si="7"/>
        <v>4.9</v>
      </c>
      <c r="O291" s="440">
        <f t="shared" si="8"/>
        <v>2.2</v>
      </c>
      <c r="P291" s="440">
        <f t="shared" si="9"/>
        <v>0.03</v>
      </c>
      <c r="Q291">
        <f t="array" ref="Q291">IF(I291&gt;0,INDEX(DB,I291,9),EventIndex)</f>
        <v>6</v>
      </c>
      <c r="S291" s="447">
        <f t="array" ref="S291">INDEX(MINVALUES,$Q291,$K$1)</f>
        <v>2.2</v>
      </c>
      <c r="T291" s="448">
        <f t="array" ref="T291">INDEX(INCVALUES,$Q291,$K$1)</f>
        <v>0.03</v>
      </c>
      <c r="V291">
        <f t="array" ref="V291">+J291+(4*(INDEX(MatchScoreTable,$Q291,20)-1))</f>
        <v>4</v>
      </c>
      <c r="W291" s="442">
        <f t="array" ref="W291">INDEX(INC_MINVALUES,$V291,$K$1)</f>
        <v>0.2</v>
      </c>
      <c r="X291" s="212">
        <f t="array" ref="X291">INDEX(INC_INCVALUES,$V291,$K$1)</f>
        <v>0.02</v>
      </c>
    </row>
    <row r="292" ht="15.75" customHeight="1">
      <c r="A292" s="435"/>
      <c r="B292" s="436"/>
      <c r="C292" s="95" t="str">
        <f t="array" ref="C292">IF(I292&gt;0,INDEX(DB,I292,8),"")</f>
        <v/>
      </c>
      <c r="D292" s="437">
        <f t="shared" si="1"/>
        <v>0</v>
      </c>
      <c r="F292" s="438">
        <f t="shared" si="2"/>
        <v>0</v>
      </c>
      <c r="G292" t="str">
        <f t="shared" si="3"/>
        <v/>
      </c>
      <c r="H292" t="b">
        <f t="shared" si="4"/>
        <v>0</v>
      </c>
      <c r="I292" s="439">
        <f>IF(OR(ISBLANK(A292),ISNA(MATCH(A292&amp;"",AthleteNumbers,0))),0,MATCH(A292&amp;"",AthleteNumbers,0))</f>
        <v>0</v>
      </c>
      <c r="J292" s="209">
        <f t="array" ref="J292">IF(I292&gt;0,INDEX(DB,$I292,6),0)</f>
        <v>0</v>
      </c>
      <c r="K292" s="446">
        <f t="shared" si="5"/>
        <v>0</v>
      </c>
      <c r="L292" s="446">
        <f t="shared" si="6"/>
        <v>0</v>
      </c>
      <c r="M292" s="441">
        <f>IF(L292&lt;O292,MinPoints,IF(AND(L292&gt;N292,O292&gt;0),100,+INT(($L292-O292)/P292)+MinPoints))</f>
        <v>10</v>
      </c>
      <c r="N292" s="440">
        <f t="shared" si="7"/>
        <v>4.9</v>
      </c>
      <c r="O292" s="440">
        <f t="shared" si="8"/>
        <v>2.2</v>
      </c>
      <c r="P292" s="440">
        <f t="shared" si="9"/>
        <v>0.03</v>
      </c>
      <c r="Q292">
        <f t="array" ref="Q292">IF(I292&gt;0,INDEX(DB,I292,9),EventIndex)</f>
        <v>6</v>
      </c>
      <c r="S292" s="447">
        <f t="array" ref="S292">INDEX(MINVALUES,$Q292,$K$1)</f>
        <v>2.2</v>
      </c>
      <c r="T292" s="448">
        <f t="array" ref="T292">INDEX(INCVALUES,$Q292,$K$1)</f>
        <v>0.03</v>
      </c>
      <c r="V292">
        <f t="array" ref="V292">+J292+(4*(INDEX(MatchScoreTable,$Q292,20)-1))</f>
        <v>4</v>
      </c>
      <c r="W292" s="442">
        <f t="array" ref="W292">INDEX(INC_MINVALUES,$V292,$K$1)</f>
        <v>0.2</v>
      </c>
      <c r="X292" s="212">
        <f t="array" ref="X292">INDEX(INC_INCVALUES,$V292,$K$1)</f>
        <v>0.02</v>
      </c>
    </row>
    <row r="293" ht="15.75" customHeight="1">
      <c r="A293" s="435"/>
      <c r="B293" s="436"/>
      <c r="C293" s="95" t="str">
        <f t="array" ref="C293">IF(I293&gt;0,INDEX(DB,I293,8),"")</f>
        <v/>
      </c>
      <c r="D293" s="437">
        <f t="shared" si="1"/>
        <v>0</v>
      </c>
      <c r="F293" s="438">
        <f t="shared" si="2"/>
        <v>0</v>
      </c>
      <c r="G293" t="str">
        <f t="shared" si="3"/>
        <v/>
      </c>
      <c r="H293" t="b">
        <f t="shared" si="4"/>
        <v>0</v>
      </c>
      <c r="I293" s="439">
        <f>IF(OR(ISBLANK(A293),ISNA(MATCH(A293&amp;"",AthleteNumbers,0))),0,MATCH(A293&amp;"",AthleteNumbers,0))</f>
        <v>0</v>
      </c>
      <c r="J293" s="209">
        <f t="array" ref="J293">IF(I293&gt;0,INDEX(DB,$I293,6),0)</f>
        <v>0</v>
      </c>
      <c r="K293" s="446">
        <f t="shared" si="5"/>
        <v>0</v>
      </c>
      <c r="L293" s="446">
        <f t="shared" si="6"/>
        <v>0</v>
      </c>
      <c r="M293" s="441">
        <f>IF(L293&lt;O293,MinPoints,IF(AND(L293&gt;N293,O293&gt;0),100,+INT(($L293-O293)/P293)+MinPoints))</f>
        <v>10</v>
      </c>
      <c r="N293" s="440">
        <f t="shared" si="7"/>
        <v>4.9</v>
      </c>
      <c r="O293" s="440">
        <f t="shared" si="8"/>
        <v>2.2</v>
      </c>
      <c r="P293" s="440">
        <f t="shared" si="9"/>
        <v>0.03</v>
      </c>
      <c r="Q293">
        <f t="array" ref="Q293">IF(I293&gt;0,INDEX(DB,I293,9),EventIndex)</f>
        <v>6</v>
      </c>
      <c r="S293" s="447">
        <f t="array" ref="S293">INDEX(MINVALUES,$Q293,$K$1)</f>
        <v>2.2</v>
      </c>
      <c r="T293" s="448">
        <f t="array" ref="T293">INDEX(INCVALUES,$Q293,$K$1)</f>
        <v>0.03</v>
      </c>
      <c r="V293">
        <f t="array" ref="V293">+J293+(4*(INDEX(MatchScoreTable,$Q293,20)-1))</f>
        <v>4</v>
      </c>
      <c r="W293" s="442">
        <f t="array" ref="W293">INDEX(INC_MINVALUES,$V293,$K$1)</f>
        <v>0.2</v>
      </c>
      <c r="X293" s="212">
        <f t="array" ref="X293">INDEX(INC_INCVALUES,$V293,$K$1)</f>
        <v>0.02</v>
      </c>
    </row>
    <row r="294" ht="15.75" customHeight="1">
      <c r="A294" s="435"/>
      <c r="B294" s="436"/>
      <c r="C294" s="95" t="str">
        <f t="array" ref="C294">IF(I294&gt;0,INDEX(DB,I294,8),"")</f>
        <v/>
      </c>
      <c r="D294" s="437">
        <f t="shared" si="1"/>
        <v>0</v>
      </c>
      <c r="F294" s="438">
        <f t="shared" si="2"/>
        <v>0</v>
      </c>
      <c r="G294" t="str">
        <f t="shared" si="3"/>
        <v/>
      </c>
      <c r="H294" t="b">
        <f t="shared" si="4"/>
        <v>0</v>
      </c>
      <c r="I294" s="439">
        <f>IF(OR(ISBLANK(A294),ISNA(MATCH(A294&amp;"",AthleteNumbers,0))),0,MATCH(A294&amp;"",AthleteNumbers,0))</f>
        <v>0</v>
      </c>
      <c r="J294" s="209">
        <f t="array" ref="J294">IF(I294&gt;0,INDEX(DB,$I294,6),0)</f>
        <v>0</v>
      </c>
      <c r="K294" s="446">
        <f t="shared" si="5"/>
        <v>0</v>
      </c>
      <c r="L294" s="446">
        <f t="shared" si="6"/>
        <v>0</v>
      </c>
      <c r="M294" s="441">
        <f>IF(L294&lt;O294,MinPoints,IF(AND(L294&gt;N294,O294&gt;0),100,+INT(($L294-O294)/P294)+MinPoints))</f>
        <v>10</v>
      </c>
      <c r="N294" s="440">
        <f t="shared" si="7"/>
        <v>4.9</v>
      </c>
      <c r="O294" s="440">
        <f t="shared" si="8"/>
        <v>2.2</v>
      </c>
      <c r="P294" s="440">
        <f t="shared" si="9"/>
        <v>0.03</v>
      </c>
      <c r="Q294">
        <f t="array" ref="Q294">IF(I294&gt;0,INDEX(DB,I294,9),EventIndex)</f>
        <v>6</v>
      </c>
      <c r="S294" s="447">
        <f t="array" ref="S294">INDEX(MINVALUES,$Q294,$K$1)</f>
        <v>2.2</v>
      </c>
      <c r="T294" s="448">
        <f t="array" ref="T294">INDEX(INCVALUES,$Q294,$K$1)</f>
        <v>0.03</v>
      </c>
      <c r="V294">
        <f t="array" ref="V294">+J294+(4*(INDEX(MatchScoreTable,$Q294,20)-1))</f>
        <v>4</v>
      </c>
      <c r="W294" s="442">
        <f t="array" ref="W294">INDEX(INC_MINVALUES,$V294,$K$1)</f>
        <v>0.2</v>
      </c>
      <c r="X294" s="212">
        <f t="array" ref="X294">INDEX(INC_INCVALUES,$V294,$K$1)</f>
        <v>0.02</v>
      </c>
    </row>
    <row r="295" ht="15.75" customHeight="1">
      <c r="A295" s="435"/>
      <c r="B295" s="436"/>
      <c r="C295" s="95" t="str">
        <f t="array" ref="C295">IF(I295&gt;0,INDEX(DB,I295,8),"")</f>
        <v/>
      </c>
      <c r="D295" s="437">
        <f t="shared" si="1"/>
        <v>0</v>
      </c>
      <c r="F295" s="438">
        <f t="shared" si="2"/>
        <v>0</v>
      </c>
      <c r="G295" t="str">
        <f t="shared" si="3"/>
        <v/>
      </c>
      <c r="H295" t="b">
        <f t="shared" si="4"/>
        <v>0</v>
      </c>
      <c r="I295" s="439">
        <f>IF(OR(ISBLANK(A295),ISNA(MATCH(A295&amp;"",AthleteNumbers,0))),0,MATCH(A295&amp;"",AthleteNumbers,0))</f>
        <v>0</v>
      </c>
      <c r="J295" s="209">
        <f t="array" ref="J295">IF(I295&gt;0,INDEX(DB,$I295,6),0)</f>
        <v>0</v>
      </c>
      <c r="K295" s="446">
        <f t="shared" si="5"/>
        <v>0</v>
      </c>
      <c r="L295" s="446">
        <f t="shared" si="6"/>
        <v>0</v>
      </c>
      <c r="M295" s="441">
        <f>IF(L295&lt;O295,MinPoints,IF(AND(L295&gt;N295,O295&gt;0),100,+INT(($L295-O295)/P295)+MinPoints))</f>
        <v>10</v>
      </c>
      <c r="N295" s="440">
        <f t="shared" si="7"/>
        <v>4.9</v>
      </c>
      <c r="O295" s="440">
        <f t="shared" si="8"/>
        <v>2.2</v>
      </c>
      <c r="P295" s="440">
        <f t="shared" si="9"/>
        <v>0.03</v>
      </c>
      <c r="Q295">
        <f t="array" ref="Q295">IF(I295&gt;0,INDEX(DB,I295,9),EventIndex)</f>
        <v>6</v>
      </c>
      <c r="S295" s="447">
        <f t="array" ref="S295">INDEX(MINVALUES,$Q295,$K$1)</f>
        <v>2.2</v>
      </c>
      <c r="T295" s="448">
        <f t="array" ref="T295">INDEX(INCVALUES,$Q295,$K$1)</f>
        <v>0.03</v>
      </c>
      <c r="V295">
        <f t="array" ref="V295">+J295+(4*(INDEX(MatchScoreTable,$Q295,20)-1))</f>
        <v>4</v>
      </c>
      <c r="W295" s="442">
        <f t="array" ref="W295">INDEX(INC_MINVALUES,$V295,$K$1)</f>
        <v>0.2</v>
      </c>
      <c r="X295" s="212">
        <f t="array" ref="X295">INDEX(INC_INCVALUES,$V295,$K$1)</f>
        <v>0.02</v>
      </c>
    </row>
    <row r="296" ht="15.75" customHeight="1">
      <c r="A296" s="435"/>
      <c r="B296" s="436"/>
      <c r="C296" s="95" t="str">
        <f t="array" ref="C296">IF(I296&gt;0,INDEX(DB,I296,8),"")</f>
        <v/>
      </c>
      <c r="D296" s="437">
        <f t="shared" si="1"/>
        <v>0</v>
      </c>
      <c r="F296" s="438">
        <f t="shared" si="2"/>
        <v>0</v>
      </c>
      <c r="G296" t="str">
        <f t="shared" si="3"/>
        <v/>
      </c>
      <c r="H296" t="b">
        <f t="shared" si="4"/>
        <v>0</v>
      </c>
      <c r="I296" s="439">
        <f>IF(OR(ISBLANK(A296),ISNA(MATCH(A296&amp;"",AthleteNumbers,0))),0,MATCH(A296&amp;"",AthleteNumbers,0))</f>
        <v>0</v>
      </c>
      <c r="J296" s="209">
        <f t="array" ref="J296">IF(I296&gt;0,INDEX(DB,$I296,6),0)</f>
        <v>0</v>
      </c>
      <c r="K296" s="446">
        <f t="shared" si="5"/>
        <v>0</v>
      </c>
      <c r="L296" s="446">
        <f t="shared" si="6"/>
        <v>0</v>
      </c>
      <c r="M296" s="441">
        <f>IF(L296&lt;O296,MinPoints,IF(AND(L296&gt;N296,O296&gt;0),100,+INT(($L296-O296)/P296)+MinPoints))</f>
        <v>10</v>
      </c>
      <c r="N296" s="440">
        <f t="shared" si="7"/>
        <v>4.9</v>
      </c>
      <c r="O296" s="440">
        <f t="shared" si="8"/>
        <v>2.2</v>
      </c>
      <c r="P296" s="440">
        <f t="shared" si="9"/>
        <v>0.03</v>
      </c>
      <c r="Q296">
        <f t="array" ref="Q296">IF(I296&gt;0,INDEX(DB,I296,9),EventIndex)</f>
        <v>6</v>
      </c>
      <c r="S296" s="447">
        <f t="array" ref="S296">INDEX(MINVALUES,$Q296,$K$1)</f>
        <v>2.2</v>
      </c>
      <c r="T296" s="448">
        <f t="array" ref="T296">INDEX(INCVALUES,$Q296,$K$1)</f>
        <v>0.03</v>
      </c>
      <c r="V296">
        <f t="array" ref="V296">+J296+(4*(INDEX(MatchScoreTable,$Q296,20)-1))</f>
        <v>4</v>
      </c>
      <c r="W296" s="442">
        <f t="array" ref="W296">INDEX(INC_MINVALUES,$V296,$K$1)</f>
        <v>0.2</v>
      </c>
      <c r="X296" s="212">
        <f t="array" ref="X296">INDEX(INC_INCVALUES,$V296,$K$1)</f>
        <v>0.02</v>
      </c>
    </row>
    <row r="297" ht="15.75" customHeight="1">
      <c r="A297" s="435"/>
      <c r="B297" s="436"/>
      <c r="C297" s="95" t="str">
        <f t="array" ref="C297">IF(I297&gt;0,INDEX(DB,I297,8),"")</f>
        <v/>
      </c>
      <c r="D297" s="437">
        <f t="shared" si="1"/>
        <v>0</v>
      </c>
      <c r="F297" s="438">
        <f t="shared" si="2"/>
        <v>0</v>
      </c>
      <c r="G297" t="str">
        <f t="shared" si="3"/>
        <v/>
      </c>
      <c r="H297" t="b">
        <f t="shared" si="4"/>
        <v>0</v>
      </c>
      <c r="I297" s="439">
        <f>IF(OR(ISBLANK(A297),ISNA(MATCH(A297&amp;"",AthleteNumbers,0))),0,MATCH(A297&amp;"",AthleteNumbers,0))</f>
        <v>0</v>
      </c>
      <c r="J297" s="209">
        <f t="array" ref="J297">IF(I297&gt;0,INDEX(DB,$I297,6),0)</f>
        <v>0</v>
      </c>
      <c r="K297" s="446">
        <f t="shared" si="5"/>
        <v>0</v>
      </c>
      <c r="L297" s="446">
        <f t="shared" si="6"/>
        <v>0</v>
      </c>
      <c r="M297" s="441">
        <f>IF(L297&lt;O297,MinPoints,IF(AND(L297&gt;N297,O297&gt;0),100,+INT(($L297-O297)/P297)+MinPoints))</f>
        <v>10</v>
      </c>
      <c r="N297" s="440">
        <f t="shared" si="7"/>
        <v>4.9</v>
      </c>
      <c r="O297" s="440">
        <f t="shared" si="8"/>
        <v>2.2</v>
      </c>
      <c r="P297" s="440">
        <f t="shared" si="9"/>
        <v>0.03</v>
      </c>
      <c r="Q297">
        <f t="array" ref="Q297">IF(I297&gt;0,INDEX(DB,I297,9),EventIndex)</f>
        <v>6</v>
      </c>
      <c r="S297" s="447">
        <f t="array" ref="S297">INDEX(MINVALUES,$Q297,$K$1)</f>
        <v>2.2</v>
      </c>
      <c r="T297" s="448">
        <f t="array" ref="T297">INDEX(INCVALUES,$Q297,$K$1)</f>
        <v>0.03</v>
      </c>
      <c r="V297">
        <f t="array" ref="V297">+J297+(4*(INDEX(MatchScoreTable,$Q297,20)-1))</f>
        <v>4</v>
      </c>
      <c r="W297" s="442">
        <f t="array" ref="W297">INDEX(INC_MINVALUES,$V297,$K$1)</f>
        <v>0.2</v>
      </c>
      <c r="X297" s="212">
        <f t="array" ref="X297">INDEX(INC_INCVALUES,$V297,$K$1)</f>
        <v>0.02</v>
      </c>
    </row>
    <row r="298" ht="15.75" customHeight="1">
      <c r="A298" s="435"/>
      <c r="B298" s="436"/>
      <c r="C298" s="95" t="str">
        <f t="array" ref="C298">IF(I298&gt;0,INDEX(DB,I298,8),"")</f>
        <v/>
      </c>
      <c r="D298" s="437">
        <f t="shared" si="1"/>
        <v>0</v>
      </c>
      <c r="F298" s="438">
        <f t="shared" si="2"/>
        <v>0</v>
      </c>
      <c r="G298" t="str">
        <f t="shared" si="3"/>
        <v/>
      </c>
      <c r="H298" t="b">
        <f t="shared" si="4"/>
        <v>0</v>
      </c>
      <c r="I298" s="439">
        <f>IF(OR(ISBLANK(A298),ISNA(MATCH(A298&amp;"",AthleteNumbers,0))),0,MATCH(A298&amp;"",AthleteNumbers,0))</f>
        <v>0</v>
      </c>
      <c r="J298" s="209">
        <f t="array" ref="J298">IF(I298&gt;0,INDEX(DB,$I298,6),0)</f>
        <v>0</v>
      </c>
      <c r="K298" s="446">
        <f t="shared" si="5"/>
        <v>0</v>
      </c>
      <c r="L298" s="446">
        <f t="shared" si="6"/>
        <v>0</v>
      </c>
      <c r="M298" s="441">
        <f>IF(L298&lt;O298,MinPoints,IF(AND(L298&gt;N298,O298&gt;0),100,+INT(($L298-O298)/P298)+MinPoints))</f>
        <v>10</v>
      </c>
      <c r="N298" s="440">
        <f t="shared" si="7"/>
        <v>4.9</v>
      </c>
      <c r="O298" s="440">
        <f t="shared" si="8"/>
        <v>2.2</v>
      </c>
      <c r="P298" s="440">
        <f t="shared" si="9"/>
        <v>0.03</v>
      </c>
      <c r="Q298">
        <f t="array" ref="Q298">IF(I298&gt;0,INDEX(DB,I298,9),EventIndex)</f>
        <v>6</v>
      </c>
      <c r="S298" s="447">
        <f t="array" ref="S298">INDEX(MINVALUES,$Q298,$K$1)</f>
        <v>2.2</v>
      </c>
      <c r="T298" s="448">
        <f t="array" ref="T298">INDEX(INCVALUES,$Q298,$K$1)</f>
        <v>0.03</v>
      </c>
      <c r="V298">
        <f t="array" ref="V298">+J298+(4*(INDEX(MatchScoreTable,$Q298,20)-1))</f>
        <v>4</v>
      </c>
      <c r="W298" s="442">
        <f t="array" ref="W298">INDEX(INC_MINVALUES,$V298,$K$1)</f>
        <v>0.2</v>
      </c>
      <c r="X298" s="212">
        <f t="array" ref="X298">INDEX(INC_INCVALUES,$V298,$K$1)</f>
        <v>0.02</v>
      </c>
    </row>
    <row r="299" ht="15.75" customHeight="1">
      <c r="A299" s="435"/>
      <c r="B299" s="436"/>
      <c r="C299" s="95" t="str">
        <f t="array" ref="C299">IF(I299&gt;0,INDEX(DB,I299,8),"")</f>
        <v/>
      </c>
      <c r="D299" s="437">
        <f t="shared" si="1"/>
        <v>0</v>
      </c>
      <c r="F299" s="438">
        <f t="shared" si="2"/>
        <v>0</v>
      </c>
      <c r="G299" t="str">
        <f t="shared" si="3"/>
        <v/>
      </c>
      <c r="H299" t="b">
        <f t="shared" si="4"/>
        <v>0</v>
      </c>
      <c r="I299" s="439">
        <f>IF(OR(ISBLANK(A299),ISNA(MATCH(A299&amp;"",AthleteNumbers,0))),0,MATCH(A299&amp;"",AthleteNumbers,0))</f>
        <v>0</v>
      </c>
      <c r="J299" s="209">
        <f t="array" ref="J299">IF(I299&gt;0,INDEX(DB,$I299,6),0)</f>
        <v>0</v>
      </c>
      <c r="K299" s="446">
        <f t="shared" si="5"/>
        <v>0</v>
      </c>
      <c r="L299" s="446">
        <f t="shared" si="6"/>
        <v>0</v>
      </c>
      <c r="M299" s="441">
        <f>IF(L299&lt;O299,MinPoints,IF(AND(L299&gt;N299,O299&gt;0),100,+INT(($L299-O299)/P299)+MinPoints))</f>
        <v>10</v>
      </c>
      <c r="N299" s="440">
        <f t="shared" si="7"/>
        <v>4.9</v>
      </c>
      <c r="O299" s="440">
        <f t="shared" si="8"/>
        <v>2.2</v>
      </c>
      <c r="P299" s="440">
        <f t="shared" si="9"/>
        <v>0.03</v>
      </c>
      <c r="Q299">
        <f t="array" ref="Q299">IF(I299&gt;0,INDEX(DB,I299,9),EventIndex)</f>
        <v>6</v>
      </c>
      <c r="S299" s="447">
        <f t="array" ref="S299">INDEX(MINVALUES,$Q299,$K$1)</f>
        <v>2.2</v>
      </c>
      <c r="T299" s="448">
        <f t="array" ref="T299">INDEX(INCVALUES,$Q299,$K$1)</f>
        <v>0.03</v>
      </c>
      <c r="V299">
        <f t="array" ref="V299">+J299+(4*(INDEX(MatchScoreTable,$Q299,20)-1))</f>
        <v>4</v>
      </c>
      <c r="W299" s="442">
        <f t="array" ref="W299">INDEX(INC_MINVALUES,$V299,$K$1)</f>
        <v>0.2</v>
      </c>
      <c r="X299" s="212">
        <f t="array" ref="X299">INDEX(INC_INCVALUES,$V299,$K$1)</f>
        <v>0.02</v>
      </c>
    </row>
    <row r="300" ht="15.75" customHeight="1">
      <c r="A300" s="435"/>
      <c r="B300" s="436"/>
      <c r="C300" s="95" t="str">
        <f t="array" ref="C300">IF(I300&gt;0,INDEX(DB,I300,8),"")</f>
        <v/>
      </c>
      <c r="D300" s="437">
        <f t="shared" si="1"/>
        <v>0</v>
      </c>
      <c r="F300" s="438">
        <f t="shared" si="2"/>
        <v>0</v>
      </c>
      <c r="G300" t="str">
        <f t="shared" si="3"/>
        <v/>
      </c>
      <c r="H300" t="b">
        <f t="shared" si="4"/>
        <v>0</v>
      </c>
      <c r="I300" s="439">
        <f>IF(OR(ISBLANK(A300),ISNA(MATCH(A300&amp;"",AthleteNumbers,0))),0,MATCH(A300&amp;"",AthleteNumbers,0))</f>
        <v>0</v>
      </c>
      <c r="J300" s="209">
        <f t="array" ref="J300">IF(I300&gt;0,INDEX(DB,$I300,6),0)</f>
        <v>0</v>
      </c>
      <c r="K300" s="446">
        <f t="shared" si="5"/>
        <v>0</v>
      </c>
      <c r="L300" s="446">
        <f t="shared" si="6"/>
        <v>0</v>
      </c>
      <c r="M300" s="441">
        <f>IF(L300&lt;O300,MinPoints,IF(AND(L300&gt;N300,O300&gt;0),100,+INT(($L300-O300)/P300)+MinPoints))</f>
        <v>10</v>
      </c>
      <c r="N300" s="440">
        <f t="shared" si="7"/>
        <v>4.9</v>
      </c>
      <c r="O300" s="440">
        <f t="shared" si="8"/>
        <v>2.2</v>
      </c>
      <c r="P300" s="440">
        <f t="shared" si="9"/>
        <v>0.03</v>
      </c>
      <c r="Q300">
        <f t="array" ref="Q300">IF(I300&gt;0,INDEX(DB,I300,9),EventIndex)</f>
        <v>6</v>
      </c>
      <c r="S300" s="447">
        <f t="array" ref="S300">INDEX(MINVALUES,$Q300,$K$1)</f>
        <v>2.2</v>
      </c>
      <c r="T300" s="448">
        <f t="array" ref="T300">INDEX(INCVALUES,$Q300,$K$1)</f>
        <v>0.03</v>
      </c>
      <c r="V300">
        <f t="array" ref="V300">+J300+(4*(INDEX(MatchScoreTable,$Q300,20)-1))</f>
        <v>4</v>
      </c>
      <c r="W300" s="442">
        <f t="array" ref="W300">INDEX(INC_MINVALUES,$V300,$K$1)</f>
        <v>0.2</v>
      </c>
      <c r="X300" s="212">
        <f t="array" ref="X300">INDEX(INC_INCVALUES,$V300,$K$1)</f>
        <v>0.02</v>
      </c>
    </row>
    <row r="301" ht="15.75" customHeight="1">
      <c r="A301" s="435"/>
      <c r="B301" s="436"/>
      <c r="C301" s="95" t="str">
        <f t="array" ref="C301">IF(I301&gt;0,INDEX(DB,I301,8),"")</f>
        <v/>
      </c>
      <c r="D301" s="437">
        <f t="shared" si="1"/>
        <v>0</v>
      </c>
      <c r="F301" s="438">
        <f t="shared" si="2"/>
        <v>0</v>
      </c>
      <c r="G301" t="str">
        <f t="shared" si="3"/>
        <v/>
      </c>
      <c r="H301" t="b">
        <f t="shared" si="4"/>
        <v>0</v>
      </c>
      <c r="I301" s="439">
        <f>IF(OR(ISBLANK(A301),ISNA(MATCH(A301&amp;"",AthleteNumbers,0))),0,MATCH(A301&amp;"",AthleteNumbers,0))</f>
        <v>0</v>
      </c>
      <c r="J301" s="209">
        <f t="array" ref="J301">IF(I301&gt;0,INDEX(DB,$I301,6),0)</f>
        <v>0</v>
      </c>
      <c r="K301" s="446">
        <f t="shared" si="5"/>
        <v>0</v>
      </c>
      <c r="L301" s="446">
        <f t="shared" si="6"/>
        <v>0</v>
      </c>
      <c r="M301" s="441">
        <f>IF(L301&lt;O301,MinPoints,IF(AND(L301&gt;N301,O301&gt;0),100,+INT(($L301-O301)/P301)+MinPoints))</f>
        <v>10</v>
      </c>
      <c r="N301" s="440">
        <f t="shared" si="7"/>
        <v>4.9</v>
      </c>
      <c r="O301" s="440">
        <f t="shared" si="8"/>
        <v>2.2</v>
      </c>
      <c r="P301" s="440">
        <f t="shared" si="9"/>
        <v>0.03</v>
      </c>
      <c r="Q301">
        <f t="array" ref="Q301">IF(I301&gt;0,INDEX(DB,I301,9),EventIndex)</f>
        <v>6</v>
      </c>
      <c r="S301" s="447">
        <f t="array" ref="S301">INDEX(MINVALUES,$Q301,$K$1)</f>
        <v>2.2</v>
      </c>
      <c r="T301" s="448">
        <f t="array" ref="T301">INDEX(INCVALUES,$Q301,$K$1)</f>
        <v>0.03</v>
      </c>
      <c r="V301">
        <f t="array" ref="V301">+J301+(4*(INDEX(MatchScoreTable,$Q301,20)-1))</f>
        <v>4</v>
      </c>
      <c r="W301" s="442">
        <f t="array" ref="W301">INDEX(INC_MINVALUES,$V301,$K$1)</f>
        <v>0.2</v>
      </c>
      <c r="X301" s="212">
        <f t="array" ref="X301">INDEX(INC_INCVALUES,$V301,$K$1)</f>
        <v>0.02</v>
      </c>
    </row>
    <row r="302" ht="15.75" customHeight="1">
      <c r="A302" s="435"/>
      <c r="B302" s="436"/>
      <c r="C302" s="95" t="str">
        <f t="array" ref="C302">IF(I302&gt;0,INDEX(DB,I302,8),"")</f>
        <v/>
      </c>
      <c r="D302" s="437">
        <f t="shared" si="1"/>
        <v>0</v>
      </c>
      <c r="F302" s="438">
        <f t="shared" si="2"/>
        <v>0</v>
      </c>
      <c r="G302" t="str">
        <f t="shared" si="3"/>
        <v/>
      </c>
      <c r="H302" t="b">
        <f t="shared" si="4"/>
        <v>0</v>
      </c>
      <c r="I302" s="439">
        <f>IF(OR(ISBLANK(A302),ISNA(MATCH(A302&amp;"",AthleteNumbers,0))),0,MATCH(A302&amp;"",AthleteNumbers,0))</f>
        <v>0</v>
      </c>
      <c r="J302" s="209">
        <f t="array" ref="J302">IF(I302&gt;0,INDEX(DB,$I302,6),0)</f>
        <v>0</v>
      </c>
      <c r="K302" s="446">
        <f t="shared" si="5"/>
        <v>0</v>
      </c>
      <c r="L302" s="446">
        <f t="shared" si="6"/>
        <v>0</v>
      </c>
      <c r="M302" s="441">
        <f>IF(L302&lt;O302,MinPoints,IF(AND(L302&gt;N302,O302&gt;0),100,+INT(($L302-O302)/P302)+MinPoints))</f>
        <v>10</v>
      </c>
      <c r="N302" s="440">
        <f t="shared" si="7"/>
        <v>4.9</v>
      </c>
      <c r="O302" s="440">
        <f t="shared" si="8"/>
        <v>2.2</v>
      </c>
      <c r="P302" s="440">
        <f t="shared" si="9"/>
        <v>0.03</v>
      </c>
      <c r="Q302">
        <f t="array" ref="Q302">IF(I302&gt;0,INDEX(DB,I302,9),EventIndex)</f>
        <v>6</v>
      </c>
      <c r="S302" s="447">
        <f t="array" ref="S302">INDEX(MINVALUES,$Q302,$K$1)</f>
        <v>2.2</v>
      </c>
      <c r="T302" s="448">
        <f t="array" ref="T302">INDEX(INCVALUES,$Q302,$K$1)</f>
        <v>0.03</v>
      </c>
      <c r="V302">
        <f t="array" ref="V302">+J302+(4*(INDEX(MatchScoreTable,$Q302,20)-1))</f>
        <v>4</v>
      </c>
      <c r="W302" s="442">
        <f t="array" ref="W302">INDEX(INC_MINVALUES,$V302,$K$1)</f>
        <v>0.2</v>
      </c>
      <c r="X302" s="212">
        <f t="array" ref="X302">INDEX(INC_INCVALUES,$V302,$K$1)</f>
        <v>0.02</v>
      </c>
    </row>
    <row r="303" ht="15.75" customHeight="1">
      <c r="A303" s="435"/>
      <c r="B303" s="436"/>
      <c r="C303" s="95" t="str">
        <f t="array" ref="C303">IF(I303&gt;0,INDEX(DB,I303,8),"")</f>
        <v/>
      </c>
      <c r="D303" s="437">
        <f t="shared" si="1"/>
        <v>0</v>
      </c>
      <c r="F303" s="438">
        <f t="shared" si="2"/>
        <v>0</v>
      </c>
      <c r="G303" t="str">
        <f t="shared" si="3"/>
        <v/>
      </c>
      <c r="H303" t="b">
        <f t="shared" si="4"/>
        <v>0</v>
      </c>
      <c r="I303" s="439">
        <f>IF(OR(ISBLANK(A303),ISNA(MATCH(A303&amp;"",AthleteNumbers,0))),0,MATCH(A303&amp;"",AthleteNumbers,0))</f>
        <v>0</v>
      </c>
      <c r="J303" s="209">
        <f t="array" ref="J303">IF(I303&gt;0,INDEX(DB,$I303,6),0)</f>
        <v>0</v>
      </c>
      <c r="K303" s="446">
        <f t="shared" si="5"/>
        <v>0</v>
      </c>
      <c r="L303" s="446">
        <f t="shared" si="6"/>
        <v>0</v>
      </c>
      <c r="M303" s="441">
        <f>IF(L303&lt;O303,MinPoints,IF(AND(L303&gt;N303,O303&gt;0),100,+INT(($L303-O303)/P303)+MinPoints))</f>
        <v>10</v>
      </c>
      <c r="N303" s="440">
        <f t="shared" si="7"/>
        <v>4.9</v>
      </c>
      <c r="O303" s="440">
        <f t="shared" si="8"/>
        <v>2.2</v>
      </c>
      <c r="P303" s="440">
        <f t="shared" si="9"/>
        <v>0.03</v>
      </c>
      <c r="Q303">
        <f t="array" ref="Q303">IF(I303&gt;0,INDEX(DB,I303,9),EventIndex)</f>
        <v>6</v>
      </c>
      <c r="S303" s="447">
        <f t="array" ref="S303">INDEX(MINVALUES,$Q303,$K$1)</f>
        <v>2.2</v>
      </c>
      <c r="T303" s="448">
        <f t="array" ref="T303">INDEX(INCVALUES,$Q303,$K$1)</f>
        <v>0.03</v>
      </c>
      <c r="V303">
        <f t="array" ref="V303">+J303+(4*(INDEX(MatchScoreTable,$Q303,20)-1))</f>
        <v>4</v>
      </c>
      <c r="W303" s="442">
        <f t="array" ref="W303">INDEX(INC_MINVALUES,$V303,$K$1)</f>
        <v>0.2</v>
      </c>
      <c r="X303" s="212">
        <f t="array" ref="X303">INDEX(INC_INCVALUES,$V303,$K$1)</f>
        <v>0.02</v>
      </c>
    </row>
    <row r="304" ht="15.75" customHeight="1">
      <c r="A304" s="435"/>
      <c r="B304" s="436"/>
      <c r="C304" s="95" t="str">
        <f t="array" ref="C304">IF(I304&gt;0,INDEX(DB,I304,8),"")</f>
        <v/>
      </c>
      <c r="D304" s="437">
        <f t="shared" si="1"/>
        <v>0</v>
      </c>
      <c r="F304" s="438">
        <f t="shared" si="2"/>
        <v>0</v>
      </c>
      <c r="G304" t="str">
        <f t="shared" si="3"/>
        <v/>
      </c>
      <c r="H304" t="b">
        <f t="shared" si="4"/>
        <v>0</v>
      </c>
      <c r="I304" s="439">
        <f>IF(OR(ISBLANK(A304),ISNA(MATCH(A304&amp;"",AthleteNumbers,0))),0,MATCH(A304&amp;"",AthleteNumbers,0))</f>
        <v>0</v>
      </c>
      <c r="J304" s="209">
        <f t="array" ref="J304">IF(I304&gt;0,INDEX(DB,$I304,6),0)</f>
        <v>0</v>
      </c>
      <c r="K304" s="446">
        <f t="shared" si="5"/>
        <v>0</v>
      </c>
      <c r="L304" s="446">
        <f t="shared" si="6"/>
        <v>0</v>
      </c>
      <c r="M304" s="441">
        <f>IF(L304&lt;O304,MinPoints,IF(AND(L304&gt;N304,O304&gt;0),100,+INT(($L304-O304)/P304)+MinPoints))</f>
        <v>10</v>
      </c>
      <c r="N304" s="440">
        <f t="shared" si="7"/>
        <v>4.9</v>
      </c>
      <c r="O304" s="440">
        <f t="shared" si="8"/>
        <v>2.2</v>
      </c>
      <c r="P304" s="440">
        <f t="shared" si="9"/>
        <v>0.03</v>
      </c>
      <c r="Q304">
        <f t="array" ref="Q304">IF(I304&gt;0,INDEX(DB,I304,9),EventIndex)</f>
        <v>6</v>
      </c>
      <c r="S304" s="447">
        <f t="array" ref="S304">INDEX(MINVALUES,$Q304,$K$1)</f>
        <v>2.2</v>
      </c>
      <c r="T304" s="448">
        <f t="array" ref="T304">INDEX(INCVALUES,$Q304,$K$1)</f>
        <v>0.03</v>
      </c>
      <c r="V304">
        <f t="array" ref="V304">+J304+(4*(INDEX(MatchScoreTable,$Q304,20)-1))</f>
        <v>4</v>
      </c>
      <c r="W304" s="442">
        <f t="array" ref="W304">INDEX(INC_MINVALUES,$V304,$K$1)</f>
        <v>0.2</v>
      </c>
      <c r="X304" s="212">
        <f t="array" ref="X304">INDEX(INC_INCVALUES,$V304,$K$1)</f>
        <v>0.02</v>
      </c>
    </row>
    <row r="305" ht="15.75" customHeight="1">
      <c r="A305" s="435"/>
      <c r="B305" s="436"/>
      <c r="C305" s="95" t="str">
        <f t="array" ref="C305">IF(I305&gt;0,INDEX(DB,I305,8),"")</f>
        <v/>
      </c>
      <c r="D305" s="437">
        <f t="shared" si="1"/>
        <v>0</v>
      </c>
      <c r="F305" s="438">
        <f t="shared" si="2"/>
        <v>0</v>
      </c>
      <c r="G305" t="str">
        <f t="shared" si="3"/>
        <v/>
      </c>
      <c r="H305" t="b">
        <f t="shared" si="4"/>
        <v>0</v>
      </c>
      <c r="I305" s="439">
        <f>IF(OR(ISBLANK(A305),ISNA(MATCH(A305&amp;"",AthleteNumbers,0))),0,MATCH(A305&amp;"",AthleteNumbers,0))</f>
        <v>0</v>
      </c>
      <c r="J305" s="209">
        <f t="array" ref="J305">IF(I305&gt;0,INDEX(DB,$I305,6),0)</f>
        <v>0</v>
      </c>
      <c r="K305" s="446">
        <f t="shared" si="5"/>
        <v>0</v>
      </c>
      <c r="L305" s="446">
        <f t="shared" si="6"/>
        <v>0</v>
      </c>
      <c r="M305" s="441">
        <f>IF(L305&lt;O305,MinPoints,IF(AND(L305&gt;N305,O305&gt;0),100,+INT(($L305-O305)/P305)+MinPoints))</f>
        <v>10</v>
      </c>
      <c r="N305" s="440">
        <f t="shared" si="7"/>
        <v>4.9</v>
      </c>
      <c r="O305" s="440">
        <f t="shared" si="8"/>
        <v>2.2</v>
      </c>
      <c r="P305" s="440">
        <f t="shared" si="9"/>
        <v>0.03</v>
      </c>
      <c r="Q305">
        <f t="array" ref="Q305">IF(I305&gt;0,INDEX(DB,I305,9),EventIndex)</f>
        <v>6</v>
      </c>
      <c r="S305" s="447">
        <f t="array" ref="S305">INDEX(MINVALUES,$Q305,$K$1)</f>
        <v>2.2</v>
      </c>
      <c r="T305" s="448">
        <f t="array" ref="T305">INDEX(INCVALUES,$Q305,$K$1)</f>
        <v>0.03</v>
      </c>
      <c r="V305">
        <f t="array" ref="V305">+J305+(4*(INDEX(MatchScoreTable,$Q305,20)-1))</f>
        <v>4</v>
      </c>
      <c r="W305" s="442">
        <f t="array" ref="W305">INDEX(INC_MINVALUES,$V305,$K$1)</f>
        <v>0.2</v>
      </c>
      <c r="X305" s="212">
        <f t="array" ref="X305">INDEX(INC_INCVALUES,$V305,$K$1)</f>
        <v>0.02</v>
      </c>
    </row>
    <row r="306" ht="15.75" customHeight="1">
      <c r="A306" s="435"/>
      <c r="B306" s="436"/>
      <c r="C306" s="95" t="str">
        <f t="array" ref="C306">IF(I306&gt;0,INDEX(DB,I306,8),"")</f>
        <v/>
      </c>
      <c r="D306" s="437">
        <f t="shared" si="1"/>
        <v>0</v>
      </c>
      <c r="F306" s="438">
        <f t="shared" si="2"/>
        <v>0</v>
      </c>
      <c r="G306" t="str">
        <f t="shared" si="3"/>
        <v/>
      </c>
      <c r="H306" t="b">
        <f t="shared" si="4"/>
        <v>0</v>
      </c>
      <c r="I306" s="439">
        <f>IF(OR(ISBLANK(A306),ISNA(MATCH(A306&amp;"",AthleteNumbers,0))),0,MATCH(A306&amp;"",AthleteNumbers,0))</f>
        <v>0</v>
      </c>
      <c r="J306" s="209">
        <f t="array" ref="J306">IF(I306&gt;0,INDEX(DB,$I306,6),0)</f>
        <v>0</v>
      </c>
      <c r="K306" s="446">
        <f t="shared" si="5"/>
        <v>0</v>
      </c>
      <c r="L306" s="446">
        <f t="shared" si="6"/>
        <v>0</v>
      </c>
      <c r="M306" s="441">
        <f>IF(L306&lt;O306,MinPoints,IF(AND(L306&gt;N306,O306&gt;0),100,+INT(($L306-O306)/P306)+MinPoints))</f>
        <v>10</v>
      </c>
      <c r="N306" s="440">
        <f t="shared" si="7"/>
        <v>4.9</v>
      </c>
      <c r="O306" s="440">
        <f t="shared" si="8"/>
        <v>2.2</v>
      </c>
      <c r="P306" s="440">
        <f t="shared" si="9"/>
        <v>0.03</v>
      </c>
      <c r="Q306">
        <f t="array" ref="Q306">IF(I306&gt;0,INDEX(DB,I306,9),EventIndex)</f>
        <v>6</v>
      </c>
      <c r="S306" s="447">
        <f t="array" ref="S306">INDEX(MINVALUES,$Q306,$K$1)</f>
        <v>2.2</v>
      </c>
      <c r="T306" s="448">
        <f t="array" ref="T306">INDEX(INCVALUES,$Q306,$K$1)</f>
        <v>0.03</v>
      </c>
      <c r="V306">
        <f t="array" ref="V306">+J306+(4*(INDEX(MatchScoreTable,$Q306,20)-1))</f>
        <v>4</v>
      </c>
      <c r="W306" s="442">
        <f t="array" ref="W306">INDEX(INC_MINVALUES,$V306,$K$1)</f>
        <v>0.2</v>
      </c>
      <c r="X306" s="212">
        <f t="array" ref="X306">INDEX(INC_INCVALUES,$V306,$K$1)</f>
        <v>0.02</v>
      </c>
    </row>
    <row r="307" ht="15.75" customHeight="1">
      <c r="A307" s="435"/>
      <c r="B307" s="436"/>
      <c r="C307" s="95" t="str">
        <f t="array" ref="C307">IF(I307&gt;0,INDEX(DB,I307,8),"")</f>
        <v/>
      </c>
      <c r="D307" s="437">
        <f t="shared" si="1"/>
        <v>0</v>
      </c>
      <c r="F307" s="438">
        <f t="shared" si="2"/>
        <v>0</v>
      </c>
      <c r="G307" t="str">
        <f t="shared" si="3"/>
        <v/>
      </c>
      <c r="H307" t="b">
        <f t="shared" si="4"/>
        <v>0</v>
      </c>
      <c r="I307" s="439">
        <f>IF(OR(ISBLANK(A307),ISNA(MATCH(A307&amp;"",AthleteNumbers,0))),0,MATCH(A307&amp;"",AthleteNumbers,0))</f>
        <v>0</v>
      </c>
      <c r="J307" s="209">
        <f t="array" ref="J307">IF(I307&gt;0,INDEX(DB,$I307,6),0)</f>
        <v>0</v>
      </c>
      <c r="K307" s="446">
        <f t="shared" si="5"/>
        <v>0</v>
      </c>
      <c r="L307" s="446">
        <f t="shared" si="6"/>
        <v>0</v>
      </c>
      <c r="M307" s="441">
        <f>IF(L307&lt;O307,MinPoints,IF(AND(L307&gt;N307,O307&gt;0),100,+INT(($L307-O307)/P307)+MinPoints))</f>
        <v>10</v>
      </c>
      <c r="N307" s="440">
        <f t="shared" si="7"/>
        <v>4.9</v>
      </c>
      <c r="O307" s="440">
        <f t="shared" si="8"/>
        <v>2.2</v>
      </c>
      <c r="P307" s="440">
        <f t="shared" si="9"/>
        <v>0.03</v>
      </c>
      <c r="Q307">
        <f t="array" ref="Q307">IF(I307&gt;0,INDEX(DB,I307,9),EventIndex)</f>
        <v>6</v>
      </c>
      <c r="S307" s="447">
        <f t="array" ref="S307">INDEX(MINVALUES,$Q307,$K$1)</f>
        <v>2.2</v>
      </c>
      <c r="T307" s="448">
        <f t="array" ref="T307">INDEX(INCVALUES,$Q307,$K$1)</f>
        <v>0.03</v>
      </c>
      <c r="V307">
        <f t="array" ref="V307">+J307+(4*(INDEX(MatchScoreTable,$Q307,20)-1))</f>
        <v>4</v>
      </c>
      <c r="W307" s="442">
        <f t="array" ref="W307">INDEX(INC_MINVALUES,$V307,$K$1)</f>
        <v>0.2</v>
      </c>
      <c r="X307" s="212">
        <f t="array" ref="X307">INDEX(INC_INCVALUES,$V307,$K$1)</f>
        <v>0.02</v>
      </c>
    </row>
    <row r="308" ht="15.75" customHeight="1">
      <c r="A308" s="435"/>
      <c r="B308" s="436"/>
      <c r="C308" s="95" t="str">
        <f t="array" ref="C308">IF(I308&gt;0,INDEX(DB,I308,8),"")</f>
        <v/>
      </c>
      <c r="D308" s="437">
        <f t="shared" si="1"/>
        <v>0</v>
      </c>
      <c r="F308" s="438">
        <f t="shared" si="2"/>
        <v>0</v>
      </c>
      <c r="G308" t="str">
        <f t="shared" si="3"/>
        <v/>
      </c>
      <c r="H308" t="b">
        <f t="shared" si="4"/>
        <v>0</v>
      </c>
      <c r="I308" s="439">
        <f>IF(OR(ISBLANK(A308),ISNA(MATCH(A308&amp;"",AthleteNumbers,0))),0,MATCH(A308&amp;"",AthleteNumbers,0))</f>
        <v>0</v>
      </c>
      <c r="J308" s="209">
        <f t="array" ref="J308">IF(I308&gt;0,INDEX(DB,$I308,6),0)</f>
        <v>0</v>
      </c>
      <c r="K308" s="446">
        <f t="shared" si="5"/>
        <v>0</v>
      </c>
      <c r="L308" s="446">
        <f t="shared" si="6"/>
        <v>0</v>
      </c>
      <c r="M308" s="441">
        <f>IF(L308&lt;O308,MinPoints,IF(AND(L308&gt;N308,O308&gt;0),100,+INT(($L308-O308)/P308)+MinPoints))</f>
        <v>10</v>
      </c>
      <c r="N308" s="440">
        <f t="shared" si="7"/>
        <v>4.9</v>
      </c>
      <c r="O308" s="440">
        <f t="shared" si="8"/>
        <v>2.2</v>
      </c>
      <c r="P308" s="440">
        <f t="shared" si="9"/>
        <v>0.03</v>
      </c>
      <c r="Q308">
        <f t="array" ref="Q308">IF(I308&gt;0,INDEX(DB,I308,9),EventIndex)</f>
        <v>6</v>
      </c>
      <c r="S308" s="447">
        <f t="array" ref="S308">INDEX(MINVALUES,$Q308,$K$1)</f>
        <v>2.2</v>
      </c>
      <c r="T308" s="448">
        <f t="array" ref="T308">INDEX(INCVALUES,$Q308,$K$1)</f>
        <v>0.03</v>
      </c>
      <c r="V308">
        <f t="array" ref="V308">+J308+(4*(INDEX(MatchScoreTable,$Q308,20)-1))</f>
        <v>4</v>
      </c>
      <c r="W308" s="442">
        <f t="array" ref="W308">INDEX(INC_MINVALUES,$V308,$K$1)</f>
        <v>0.2</v>
      </c>
      <c r="X308" s="212">
        <f t="array" ref="X308">INDEX(INC_INCVALUES,$V308,$K$1)</f>
        <v>0.02</v>
      </c>
    </row>
    <row r="309" ht="15.75" customHeight="1">
      <c r="A309" s="435"/>
      <c r="B309" s="436"/>
      <c r="C309" s="95" t="str">
        <f t="array" ref="C309">IF(I309&gt;0,INDEX(DB,I309,8),"")</f>
        <v/>
      </c>
      <c r="D309" s="437">
        <f t="shared" si="1"/>
        <v>0</v>
      </c>
      <c r="F309" s="438">
        <f t="shared" si="2"/>
        <v>0</v>
      </c>
      <c r="G309" t="str">
        <f t="shared" si="3"/>
        <v/>
      </c>
      <c r="H309" t="b">
        <f t="shared" si="4"/>
        <v>0</v>
      </c>
      <c r="I309" s="439">
        <f>IF(OR(ISBLANK(A309),ISNA(MATCH(A309&amp;"",AthleteNumbers,0))),0,MATCH(A309&amp;"",AthleteNumbers,0))</f>
        <v>0</v>
      </c>
      <c r="J309" s="209">
        <f t="array" ref="J309">IF(I309&gt;0,INDEX(DB,$I309,6),0)</f>
        <v>0</v>
      </c>
      <c r="K309" s="446">
        <f t="shared" si="5"/>
        <v>0</v>
      </c>
      <c r="L309" s="446">
        <f t="shared" si="6"/>
        <v>0</v>
      </c>
      <c r="M309" s="441">
        <f>IF(L309&lt;O309,MinPoints,IF(AND(L309&gt;N309,O309&gt;0),100,+INT(($L309-O309)/P309)+MinPoints))</f>
        <v>10</v>
      </c>
      <c r="N309" s="440">
        <f t="shared" si="7"/>
        <v>4.9</v>
      </c>
      <c r="O309" s="440">
        <f t="shared" si="8"/>
        <v>2.2</v>
      </c>
      <c r="P309" s="440">
        <f t="shared" si="9"/>
        <v>0.03</v>
      </c>
      <c r="Q309">
        <f t="array" ref="Q309">IF(I309&gt;0,INDEX(DB,I309,9),EventIndex)</f>
        <v>6</v>
      </c>
      <c r="S309" s="447">
        <f t="array" ref="S309">INDEX(MINVALUES,$Q309,$K$1)</f>
        <v>2.2</v>
      </c>
      <c r="T309" s="448">
        <f t="array" ref="T309">INDEX(INCVALUES,$Q309,$K$1)</f>
        <v>0.03</v>
      </c>
      <c r="V309">
        <f t="array" ref="V309">+J309+(4*(INDEX(MatchScoreTable,$Q309,20)-1))</f>
        <v>4</v>
      </c>
      <c r="W309" s="442">
        <f t="array" ref="W309">INDEX(INC_MINVALUES,$V309,$K$1)</f>
        <v>0.2</v>
      </c>
      <c r="X309" s="212">
        <f t="array" ref="X309">INDEX(INC_INCVALUES,$V309,$K$1)</f>
        <v>0.02</v>
      </c>
    </row>
    <row r="310" ht="15.75" customHeight="1">
      <c r="A310" s="435"/>
      <c r="B310" s="436"/>
      <c r="C310" s="95" t="str">
        <f t="array" ref="C310">IF(I310&gt;0,INDEX(DB,I310,8),"")</f>
        <v/>
      </c>
      <c r="D310" s="437">
        <f t="shared" si="1"/>
        <v>0</v>
      </c>
      <c r="F310" s="438">
        <f t="shared" si="2"/>
        <v>0</v>
      </c>
      <c r="G310" t="str">
        <f t="shared" si="3"/>
        <v/>
      </c>
      <c r="H310" t="b">
        <f t="shared" si="4"/>
        <v>0</v>
      </c>
      <c r="I310" s="439">
        <f>IF(OR(ISBLANK(A310),ISNA(MATCH(A310&amp;"",AthleteNumbers,0))),0,MATCH(A310&amp;"",AthleteNumbers,0))</f>
        <v>0</v>
      </c>
      <c r="J310" s="209">
        <f t="array" ref="J310">IF(I310&gt;0,INDEX(DB,$I310,6),0)</f>
        <v>0</v>
      </c>
      <c r="K310" s="446">
        <f t="shared" si="5"/>
        <v>0</v>
      </c>
      <c r="L310" s="446">
        <f t="shared" si="6"/>
        <v>0</v>
      </c>
      <c r="M310" s="441">
        <f>IF(L310&lt;O310,MinPoints,IF(AND(L310&gt;N310,O310&gt;0),100,+INT(($L310-O310)/P310)+MinPoints))</f>
        <v>10</v>
      </c>
      <c r="N310" s="440">
        <f t="shared" si="7"/>
        <v>4.9</v>
      </c>
      <c r="O310" s="440">
        <f t="shared" si="8"/>
        <v>2.2</v>
      </c>
      <c r="P310" s="440">
        <f t="shared" si="9"/>
        <v>0.03</v>
      </c>
      <c r="Q310">
        <f t="array" ref="Q310">IF(I310&gt;0,INDEX(DB,I310,9),EventIndex)</f>
        <v>6</v>
      </c>
      <c r="S310" s="447">
        <f t="array" ref="S310">INDEX(MINVALUES,$Q310,$K$1)</f>
        <v>2.2</v>
      </c>
      <c r="T310" s="448">
        <f t="array" ref="T310">INDEX(INCVALUES,$Q310,$K$1)</f>
        <v>0.03</v>
      </c>
      <c r="V310">
        <f t="array" ref="V310">+J310+(4*(INDEX(MatchScoreTable,$Q310,20)-1))</f>
        <v>4</v>
      </c>
      <c r="W310" s="442">
        <f t="array" ref="W310">INDEX(INC_MINVALUES,$V310,$K$1)</f>
        <v>0.2</v>
      </c>
      <c r="X310" s="212">
        <f t="array" ref="X310">INDEX(INC_INCVALUES,$V310,$K$1)</f>
        <v>0.02</v>
      </c>
    </row>
    <row r="311" ht="15.75" customHeight="1">
      <c r="A311" s="435"/>
      <c r="B311" s="436"/>
      <c r="C311" s="95" t="str">
        <f t="array" ref="C311">IF(I311&gt;0,INDEX(DB,I311,8),"")</f>
        <v/>
      </c>
      <c r="D311" s="437">
        <f t="shared" si="1"/>
        <v>0</v>
      </c>
      <c r="F311" s="438">
        <f t="shared" si="2"/>
        <v>0</v>
      </c>
      <c r="G311" t="str">
        <f t="shared" si="3"/>
        <v/>
      </c>
      <c r="H311" t="b">
        <f t="shared" si="4"/>
        <v>0</v>
      </c>
      <c r="I311" s="439">
        <f>IF(OR(ISBLANK(A311),ISNA(MATCH(A311&amp;"",AthleteNumbers,0))),0,MATCH(A311&amp;"",AthleteNumbers,0))</f>
        <v>0</v>
      </c>
      <c r="J311" s="209">
        <f t="array" ref="J311">IF(I311&gt;0,INDEX(DB,$I311,6),0)</f>
        <v>0</v>
      </c>
      <c r="K311" s="446">
        <f t="shared" si="5"/>
        <v>0</v>
      </c>
      <c r="L311" s="446">
        <f t="shared" si="6"/>
        <v>0</v>
      </c>
      <c r="M311" s="441">
        <f>IF(L311&lt;O311,MinPoints,IF(AND(L311&gt;N311,O311&gt;0),100,+INT(($L311-O311)/P311)+MinPoints))</f>
        <v>10</v>
      </c>
      <c r="N311" s="440">
        <f t="shared" si="7"/>
        <v>4.9</v>
      </c>
      <c r="O311" s="440">
        <f t="shared" si="8"/>
        <v>2.2</v>
      </c>
      <c r="P311" s="440">
        <f t="shared" si="9"/>
        <v>0.03</v>
      </c>
      <c r="Q311">
        <f t="array" ref="Q311">IF(I311&gt;0,INDEX(DB,I311,9),EventIndex)</f>
        <v>6</v>
      </c>
      <c r="S311" s="447">
        <f t="array" ref="S311">INDEX(MINVALUES,$Q311,$K$1)</f>
        <v>2.2</v>
      </c>
      <c r="T311" s="448">
        <f t="array" ref="T311">INDEX(INCVALUES,$Q311,$K$1)</f>
        <v>0.03</v>
      </c>
      <c r="V311">
        <f t="array" ref="V311">+J311+(4*(INDEX(MatchScoreTable,$Q311,20)-1))</f>
        <v>4</v>
      </c>
      <c r="W311" s="442">
        <f t="array" ref="W311">INDEX(INC_MINVALUES,$V311,$K$1)</f>
        <v>0.2</v>
      </c>
      <c r="X311" s="212">
        <f t="array" ref="X311">INDEX(INC_INCVALUES,$V311,$K$1)</f>
        <v>0.02</v>
      </c>
    </row>
    <row r="312" ht="15.75" customHeight="1">
      <c r="A312" s="435"/>
      <c r="B312" s="436"/>
      <c r="C312" s="95" t="str">
        <f t="array" ref="C312">IF(I312&gt;0,INDEX(DB,I312,8),"")</f>
        <v/>
      </c>
      <c r="D312" s="437">
        <f t="shared" si="1"/>
        <v>0</v>
      </c>
      <c r="F312" s="438">
        <f t="shared" si="2"/>
        <v>0</v>
      </c>
      <c r="G312" t="str">
        <f t="shared" si="3"/>
        <v/>
      </c>
      <c r="H312" t="b">
        <f t="shared" si="4"/>
        <v>0</v>
      </c>
      <c r="I312" s="439">
        <f>IF(OR(ISBLANK(A312),ISNA(MATCH(A312&amp;"",AthleteNumbers,0))),0,MATCH(A312&amp;"",AthleteNumbers,0))</f>
        <v>0</v>
      </c>
      <c r="J312" s="209">
        <f t="array" ref="J312">IF(I312&gt;0,INDEX(DB,$I312,6),0)</f>
        <v>0</v>
      </c>
      <c r="K312" s="446">
        <f t="shared" si="5"/>
        <v>0</v>
      </c>
      <c r="L312" s="446">
        <f t="shared" si="6"/>
        <v>0</v>
      </c>
      <c r="M312" s="441">
        <f>IF(L312&lt;O312,MinPoints,IF(AND(L312&gt;N312,O312&gt;0),100,+INT(($L312-O312)/P312)+MinPoints))</f>
        <v>10</v>
      </c>
      <c r="N312" s="440">
        <f t="shared" si="7"/>
        <v>4.9</v>
      </c>
      <c r="O312" s="440">
        <f t="shared" si="8"/>
        <v>2.2</v>
      </c>
      <c r="P312" s="440">
        <f t="shared" si="9"/>
        <v>0.03</v>
      </c>
      <c r="Q312">
        <f t="array" ref="Q312">IF(I312&gt;0,INDEX(DB,I312,9),EventIndex)</f>
        <v>6</v>
      </c>
      <c r="S312" s="447">
        <f t="array" ref="S312">INDEX(MINVALUES,$Q312,$K$1)</f>
        <v>2.2</v>
      </c>
      <c r="T312" s="448">
        <f t="array" ref="T312">INDEX(INCVALUES,$Q312,$K$1)</f>
        <v>0.03</v>
      </c>
      <c r="V312">
        <f t="array" ref="V312">+J312+(4*(INDEX(MatchScoreTable,$Q312,20)-1))</f>
        <v>4</v>
      </c>
      <c r="W312" s="442">
        <f t="array" ref="W312">INDEX(INC_MINVALUES,$V312,$K$1)</f>
        <v>0.2</v>
      </c>
      <c r="X312" s="212">
        <f t="array" ref="X312">INDEX(INC_INCVALUES,$V312,$K$1)</f>
        <v>0.02</v>
      </c>
    </row>
    <row r="313" ht="15.75" customHeight="1">
      <c r="A313" s="435"/>
      <c r="B313" s="436"/>
      <c r="C313" s="95" t="str">
        <f t="array" ref="C313">IF(I313&gt;0,INDEX(DB,I313,8),"")</f>
        <v/>
      </c>
      <c r="D313" s="437">
        <f t="shared" si="1"/>
        <v>0</v>
      </c>
      <c r="F313" s="438">
        <f t="shared" si="2"/>
        <v>0</v>
      </c>
      <c r="G313" t="str">
        <f t="shared" si="3"/>
        <v/>
      </c>
      <c r="H313" t="b">
        <f t="shared" si="4"/>
        <v>0</v>
      </c>
      <c r="I313" s="439">
        <f>IF(OR(ISBLANK(A313),ISNA(MATCH(A313&amp;"",AthleteNumbers,0))),0,MATCH(A313&amp;"",AthleteNumbers,0))</f>
        <v>0</v>
      </c>
      <c r="J313" s="209">
        <f t="array" ref="J313">IF(I313&gt;0,INDEX(DB,$I313,6),0)</f>
        <v>0</v>
      </c>
      <c r="K313" s="446">
        <f t="shared" si="5"/>
        <v>0</v>
      </c>
      <c r="L313" s="446">
        <f t="shared" si="6"/>
        <v>0</v>
      </c>
      <c r="M313" s="441">
        <f>IF(L313&lt;O313,MinPoints,IF(AND(L313&gt;N313,O313&gt;0),100,+INT(($L313-O313)/P313)+MinPoints))</f>
        <v>10</v>
      </c>
      <c r="N313" s="440">
        <f t="shared" si="7"/>
        <v>4.9</v>
      </c>
      <c r="O313" s="440">
        <f t="shared" si="8"/>
        <v>2.2</v>
      </c>
      <c r="P313" s="440">
        <f t="shared" si="9"/>
        <v>0.03</v>
      </c>
      <c r="Q313">
        <f t="array" ref="Q313">IF(I313&gt;0,INDEX(DB,I313,9),EventIndex)</f>
        <v>6</v>
      </c>
      <c r="S313" s="447">
        <f t="array" ref="S313">INDEX(MINVALUES,$Q313,$K$1)</f>
        <v>2.2</v>
      </c>
      <c r="T313" s="448">
        <f t="array" ref="T313">INDEX(INCVALUES,$Q313,$K$1)</f>
        <v>0.03</v>
      </c>
      <c r="V313">
        <f t="array" ref="V313">+J313+(4*(INDEX(MatchScoreTable,$Q313,20)-1))</f>
        <v>4</v>
      </c>
      <c r="W313" s="442">
        <f t="array" ref="W313">INDEX(INC_MINVALUES,$V313,$K$1)</f>
        <v>0.2</v>
      </c>
      <c r="X313" s="212">
        <f t="array" ref="X313">INDEX(INC_INCVALUES,$V313,$K$1)</f>
        <v>0.02</v>
      </c>
    </row>
    <row r="314" ht="15.75" customHeight="1">
      <c r="A314" s="435"/>
      <c r="B314" s="436"/>
      <c r="C314" s="95" t="str">
        <f t="array" ref="C314">IF(I314&gt;0,INDEX(DB,I314,8),"")</f>
        <v/>
      </c>
      <c r="D314" s="437">
        <f t="shared" si="1"/>
        <v>0</v>
      </c>
      <c r="F314" s="438">
        <f t="shared" si="2"/>
        <v>0</v>
      </c>
      <c r="G314" t="str">
        <f t="shared" si="3"/>
        <v/>
      </c>
      <c r="H314" t="b">
        <f t="shared" si="4"/>
        <v>0</v>
      </c>
      <c r="I314" s="439">
        <f>IF(OR(ISBLANK(A314),ISNA(MATCH(A314&amp;"",AthleteNumbers,0))),0,MATCH(A314&amp;"",AthleteNumbers,0))</f>
        <v>0</v>
      </c>
      <c r="J314" s="209">
        <f t="array" ref="J314">IF(I314&gt;0,INDEX(DB,$I314,6),0)</f>
        <v>0</v>
      </c>
      <c r="K314" s="446">
        <f t="shared" si="5"/>
        <v>0</v>
      </c>
      <c r="L314" s="446">
        <f t="shared" si="6"/>
        <v>0</v>
      </c>
      <c r="M314" s="441">
        <f>IF(L314&lt;O314,MinPoints,IF(AND(L314&gt;N314,O314&gt;0),100,+INT(($L314-O314)/P314)+MinPoints))</f>
        <v>10</v>
      </c>
      <c r="N314" s="440">
        <f t="shared" si="7"/>
        <v>4.9</v>
      </c>
      <c r="O314" s="440">
        <f t="shared" si="8"/>
        <v>2.2</v>
      </c>
      <c r="P314" s="440">
        <f t="shared" si="9"/>
        <v>0.03</v>
      </c>
      <c r="Q314">
        <f t="array" ref="Q314">IF(I314&gt;0,INDEX(DB,I314,9),EventIndex)</f>
        <v>6</v>
      </c>
      <c r="S314" s="447">
        <f t="array" ref="S314">INDEX(MINVALUES,$Q314,$K$1)</f>
        <v>2.2</v>
      </c>
      <c r="T314" s="448">
        <f t="array" ref="T314">INDEX(INCVALUES,$Q314,$K$1)</f>
        <v>0.03</v>
      </c>
      <c r="V314">
        <f t="array" ref="V314">+J314+(4*(INDEX(MatchScoreTable,$Q314,20)-1))</f>
        <v>4</v>
      </c>
      <c r="W314" s="442">
        <f t="array" ref="W314">INDEX(INC_MINVALUES,$V314,$K$1)</f>
        <v>0.2</v>
      </c>
      <c r="X314" s="212">
        <f t="array" ref="X314">INDEX(INC_INCVALUES,$V314,$K$1)</f>
        <v>0.02</v>
      </c>
    </row>
    <row r="315" ht="15.75" customHeight="1">
      <c r="A315" s="435"/>
      <c r="B315" s="436"/>
      <c r="C315" s="95" t="str">
        <f t="array" ref="C315">IF(I315&gt;0,INDEX(DB,I315,8),"")</f>
        <v/>
      </c>
      <c r="D315" s="437">
        <f t="shared" si="1"/>
        <v>0</v>
      </c>
      <c r="F315" s="438">
        <f t="shared" si="2"/>
        <v>0</v>
      </c>
      <c r="G315" t="str">
        <f t="shared" si="3"/>
        <v/>
      </c>
      <c r="H315" t="b">
        <f t="shared" si="4"/>
        <v>0</v>
      </c>
      <c r="I315" s="439">
        <f>IF(OR(ISBLANK(A315),ISNA(MATCH(A315&amp;"",AthleteNumbers,0))),0,MATCH(A315&amp;"",AthleteNumbers,0))</f>
        <v>0</v>
      </c>
      <c r="J315" s="209">
        <f t="array" ref="J315">IF(I315&gt;0,INDEX(DB,$I315,6),0)</f>
        <v>0</v>
      </c>
      <c r="K315" s="446">
        <f t="shared" si="5"/>
        <v>0</v>
      </c>
      <c r="L315" s="446">
        <f t="shared" si="6"/>
        <v>0</v>
      </c>
      <c r="M315" s="441">
        <f>IF(L315&lt;O315,MinPoints,IF(AND(L315&gt;N315,O315&gt;0),100,+INT(($L315-O315)/P315)+MinPoints))</f>
        <v>10</v>
      </c>
      <c r="N315" s="440">
        <f t="shared" si="7"/>
        <v>4.9</v>
      </c>
      <c r="O315" s="440">
        <f t="shared" si="8"/>
        <v>2.2</v>
      </c>
      <c r="P315" s="440">
        <f t="shared" si="9"/>
        <v>0.03</v>
      </c>
      <c r="Q315">
        <f t="array" ref="Q315">IF(I315&gt;0,INDEX(DB,I315,9),EventIndex)</f>
        <v>6</v>
      </c>
      <c r="S315" s="447">
        <f t="array" ref="S315">INDEX(MINVALUES,$Q315,$K$1)</f>
        <v>2.2</v>
      </c>
      <c r="T315" s="448">
        <f t="array" ref="T315">INDEX(INCVALUES,$Q315,$K$1)</f>
        <v>0.03</v>
      </c>
      <c r="V315">
        <f t="array" ref="V315">+J315+(4*(INDEX(MatchScoreTable,$Q315,20)-1))</f>
        <v>4</v>
      </c>
      <c r="W315" s="442">
        <f t="array" ref="W315">INDEX(INC_MINVALUES,$V315,$K$1)</f>
        <v>0.2</v>
      </c>
      <c r="X315" s="212">
        <f t="array" ref="X315">INDEX(INC_INCVALUES,$V315,$K$1)</f>
        <v>0.02</v>
      </c>
    </row>
    <row r="316" ht="15.75" customHeight="1">
      <c r="A316" s="435"/>
      <c r="B316" s="436"/>
      <c r="C316" s="95" t="str">
        <f t="array" ref="C316">IF(I316&gt;0,INDEX(DB,I316,8),"")</f>
        <v/>
      </c>
      <c r="D316" s="437">
        <f t="shared" si="1"/>
        <v>0</v>
      </c>
      <c r="F316" s="438">
        <f t="shared" si="2"/>
        <v>0</v>
      </c>
      <c r="G316" t="str">
        <f t="shared" si="3"/>
        <v/>
      </c>
      <c r="H316" t="b">
        <f t="shared" si="4"/>
        <v>0</v>
      </c>
      <c r="I316" s="439">
        <f>IF(OR(ISBLANK(A316),ISNA(MATCH(A316&amp;"",AthleteNumbers,0))),0,MATCH(A316&amp;"",AthleteNumbers,0))</f>
        <v>0</v>
      </c>
      <c r="J316" s="209">
        <f t="array" ref="J316">IF(I316&gt;0,INDEX(DB,$I316,6),0)</f>
        <v>0</v>
      </c>
      <c r="K316" s="446">
        <f t="shared" si="5"/>
        <v>0</v>
      </c>
      <c r="L316" s="446">
        <f t="shared" si="6"/>
        <v>0</v>
      </c>
      <c r="M316" s="441">
        <f>IF(L316&lt;O316,MinPoints,IF(AND(L316&gt;N316,O316&gt;0),100,+INT(($L316-O316)/P316)+MinPoints))</f>
        <v>10</v>
      </c>
      <c r="N316" s="440">
        <f t="shared" si="7"/>
        <v>4.9</v>
      </c>
      <c r="O316" s="440">
        <f t="shared" si="8"/>
        <v>2.2</v>
      </c>
      <c r="P316" s="440">
        <f t="shared" si="9"/>
        <v>0.03</v>
      </c>
      <c r="Q316">
        <f t="array" ref="Q316">IF(I316&gt;0,INDEX(DB,I316,9),EventIndex)</f>
        <v>6</v>
      </c>
      <c r="S316" s="447">
        <f t="array" ref="S316">INDEX(MINVALUES,$Q316,$K$1)</f>
        <v>2.2</v>
      </c>
      <c r="T316" s="448">
        <f t="array" ref="T316">INDEX(INCVALUES,$Q316,$K$1)</f>
        <v>0.03</v>
      </c>
      <c r="V316">
        <f t="array" ref="V316">+J316+(4*(INDEX(MatchScoreTable,$Q316,20)-1))</f>
        <v>4</v>
      </c>
      <c r="W316" s="442">
        <f t="array" ref="W316">INDEX(INC_MINVALUES,$V316,$K$1)</f>
        <v>0.2</v>
      </c>
      <c r="X316" s="212">
        <f t="array" ref="X316">INDEX(INC_INCVALUES,$V316,$K$1)</f>
        <v>0.02</v>
      </c>
    </row>
    <row r="317" ht="15.75" customHeight="1">
      <c r="A317" s="435"/>
      <c r="B317" s="436"/>
      <c r="C317" s="95" t="str">
        <f t="array" ref="C317">IF(I317&gt;0,INDEX(DB,I317,8),"")</f>
        <v/>
      </c>
      <c r="D317" s="437">
        <f t="shared" si="1"/>
        <v>0</v>
      </c>
      <c r="F317" s="438">
        <f t="shared" si="2"/>
        <v>0</v>
      </c>
      <c r="G317" t="str">
        <f t="shared" si="3"/>
        <v/>
      </c>
      <c r="H317" t="b">
        <f t="shared" si="4"/>
        <v>0</v>
      </c>
      <c r="I317" s="439">
        <f>IF(OR(ISBLANK(A317),ISNA(MATCH(A317&amp;"",AthleteNumbers,0))),0,MATCH(A317&amp;"",AthleteNumbers,0))</f>
        <v>0</v>
      </c>
      <c r="J317" s="209">
        <f t="array" ref="J317">IF(I317&gt;0,INDEX(DB,$I317,6),0)</f>
        <v>0</v>
      </c>
      <c r="K317" s="446">
        <f t="shared" si="5"/>
        <v>0</v>
      </c>
      <c r="L317" s="446">
        <f t="shared" si="6"/>
        <v>0</v>
      </c>
      <c r="M317" s="441">
        <f>IF(L317&lt;O317,MinPoints,IF(AND(L317&gt;N317,O317&gt;0),100,+INT(($L317-O317)/P317)+MinPoints))</f>
        <v>10</v>
      </c>
      <c r="N317" s="440">
        <f t="shared" si="7"/>
        <v>4.9</v>
      </c>
      <c r="O317" s="440">
        <f t="shared" si="8"/>
        <v>2.2</v>
      </c>
      <c r="P317" s="440">
        <f t="shared" si="9"/>
        <v>0.03</v>
      </c>
      <c r="Q317">
        <f t="array" ref="Q317">IF(I317&gt;0,INDEX(DB,I317,9),EventIndex)</f>
        <v>6</v>
      </c>
      <c r="S317" s="447">
        <f t="array" ref="S317">INDEX(MINVALUES,$Q317,$K$1)</f>
        <v>2.2</v>
      </c>
      <c r="T317" s="448">
        <f t="array" ref="T317">INDEX(INCVALUES,$Q317,$K$1)</f>
        <v>0.03</v>
      </c>
      <c r="V317">
        <f t="array" ref="V317">+J317+(4*(INDEX(MatchScoreTable,$Q317,20)-1))</f>
        <v>4</v>
      </c>
      <c r="W317" s="442">
        <f t="array" ref="W317">INDEX(INC_MINVALUES,$V317,$K$1)</f>
        <v>0.2</v>
      </c>
      <c r="X317" s="212">
        <f t="array" ref="X317">INDEX(INC_INCVALUES,$V317,$K$1)</f>
        <v>0.02</v>
      </c>
    </row>
    <row r="318" ht="15.75" customHeight="1">
      <c r="A318" s="435"/>
      <c r="B318" s="436"/>
      <c r="C318" s="95" t="str">
        <f t="array" ref="C318">IF(I318&gt;0,INDEX(DB,I318,8),"")</f>
        <v/>
      </c>
      <c r="D318" s="437">
        <f t="shared" si="1"/>
        <v>0</v>
      </c>
      <c r="F318" s="438">
        <f t="shared" si="2"/>
        <v>0</v>
      </c>
      <c r="G318" t="str">
        <f t="shared" si="3"/>
        <v/>
      </c>
      <c r="H318" t="b">
        <f t="shared" si="4"/>
        <v>0</v>
      </c>
      <c r="I318" s="439">
        <f>IF(OR(ISBLANK(A318),ISNA(MATCH(A318&amp;"",AthleteNumbers,0))),0,MATCH(A318&amp;"",AthleteNumbers,0))</f>
        <v>0</v>
      </c>
      <c r="J318" s="209">
        <f t="array" ref="J318">IF(I318&gt;0,INDEX(DB,$I318,6),0)</f>
        <v>0</v>
      </c>
      <c r="K318" s="446">
        <f t="shared" si="5"/>
        <v>0</v>
      </c>
      <c r="L318" s="446">
        <f t="shared" si="6"/>
        <v>0</v>
      </c>
      <c r="M318" s="441">
        <f>IF(L318&lt;O318,MinPoints,IF(AND(L318&gt;N318,O318&gt;0),100,+INT(($L318-O318)/P318)+MinPoints))</f>
        <v>10</v>
      </c>
      <c r="N318" s="440">
        <f t="shared" si="7"/>
        <v>4.9</v>
      </c>
      <c r="O318" s="440">
        <f t="shared" si="8"/>
        <v>2.2</v>
      </c>
      <c r="P318" s="440">
        <f t="shared" si="9"/>
        <v>0.03</v>
      </c>
      <c r="Q318">
        <f t="array" ref="Q318">IF(I318&gt;0,INDEX(DB,I318,9),EventIndex)</f>
        <v>6</v>
      </c>
      <c r="S318" s="447">
        <f t="array" ref="S318">INDEX(MINVALUES,$Q318,$K$1)</f>
        <v>2.2</v>
      </c>
      <c r="T318" s="448">
        <f t="array" ref="T318">INDEX(INCVALUES,$Q318,$K$1)</f>
        <v>0.03</v>
      </c>
      <c r="V318">
        <f t="array" ref="V318">+J318+(4*(INDEX(MatchScoreTable,$Q318,20)-1))</f>
        <v>4</v>
      </c>
      <c r="W318" s="442">
        <f t="array" ref="W318">INDEX(INC_MINVALUES,$V318,$K$1)</f>
        <v>0.2</v>
      </c>
      <c r="X318" s="212">
        <f t="array" ref="X318">INDEX(INC_INCVALUES,$V318,$K$1)</f>
        <v>0.02</v>
      </c>
    </row>
    <row r="319" ht="15.75" customHeight="1">
      <c r="A319" s="435"/>
      <c r="B319" s="436"/>
      <c r="C319" s="95" t="str">
        <f t="array" ref="C319">IF(I319&gt;0,INDEX(DB,I319,8),"")</f>
        <v/>
      </c>
      <c r="D319" s="437">
        <f t="shared" si="1"/>
        <v>0</v>
      </c>
      <c r="F319" s="438">
        <f t="shared" si="2"/>
        <v>0</v>
      </c>
      <c r="G319" t="str">
        <f t="shared" si="3"/>
        <v/>
      </c>
      <c r="H319" t="b">
        <f t="shared" si="4"/>
        <v>0</v>
      </c>
      <c r="I319" s="439">
        <f>IF(OR(ISBLANK(A319),ISNA(MATCH(A319&amp;"",AthleteNumbers,0))),0,MATCH(A319&amp;"",AthleteNumbers,0))</f>
        <v>0</v>
      </c>
      <c r="J319" s="209">
        <f t="array" ref="J319">IF(I319&gt;0,INDEX(DB,$I319,6),0)</f>
        <v>0</v>
      </c>
      <c r="K319" s="446">
        <f t="shared" si="5"/>
        <v>0</v>
      </c>
      <c r="L319" s="446">
        <f t="shared" si="6"/>
        <v>0</v>
      </c>
      <c r="M319" s="441">
        <f>IF(L319&lt;O319,MinPoints,IF(AND(L319&gt;N319,O319&gt;0),100,+INT(($L319-O319)/P319)+MinPoints))</f>
        <v>10</v>
      </c>
      <c r="N319" s="440">
        <f t="shared" si="7"/>
        <v>4.9</v>
      </c>
      <c r="O319" s="440">
        <f t="shared" si="8"/>
        <v>2.2</v>
      </c>
      <c r="P319" s="440">
        <f t="shared" si="9"/>
        <v>0.03</v>
      </c>
      <c r="Q319">
        <f t="array" ref="Q319">IF(I319&gt;0,INDEX(DB,I319,9),EventIndex)</f>
        <v>6</v>
      </c>
      <c r="S319" s="447">
        <f t="array" ref="S319">INDEX(MINVALUES,$Q319,$K$1)</f>
        <v>2.2</v>
      </c>
      <c r="T319" s="448">
        <f t="array" ref="T319">INDEX(INCVALUES,$Q319,$K$1)</f>
        <v>0.03</v>
      </c>
      <c r="V319">
        <f t="array" ref="V319">+J319+(4*(INDEX(MatchScoreTable,$Q319,20)-1))</f>
        <v>4</v>
      </c>
      <c r="W319" s="442">
        <f t="array" ref="W319">INDEX(INC_MINVALUES,$V319,$K$1)</f>
        <v>0.2</v>
      </c>
      <c r="X319" s="212">
        <f t="array" ref="X319">INDEX(INC_INCVALUES,$V319,$K$1)</f>
        <v>0.02</v>
      </c>
    </row>
    <row r="320" ht="15.75" customHeight="1">
      <c r="A320" s="435"/>
      <c r="B320" s="436"/>
      <c r="C320" s="95" t="str">
        <f t="array" ref="C320">IF(I320&gt;0,INDEX(DB,I320,8),"")</f>
        <v/>
      </c>
      <c r="D320" s="437">
        <f t="shared" si="1"/>
        <v>0</v>
      </c>
      <c r="F320" s="438">
        <f t="shared" si="2"/>
        <v>0</v>
      </c>
      <c r="G320" t="str">
        <f t="shared" si="3"/>
        <v/>
      </c>
      <c r="H320" t="b">
        <f t="shared" si="4"/>
        <v>0</v>
      </c>
      <c r="I320" s="439">
        <f>IF(OR(ISBLANK(A320),ISNA(MATCH(A320&amp;"",AthleteNumbers,0))),0,MATCH(A320&amp;"",AthleteNumbers,0))</f>
        <v>0</v>
      </c>
      <c r="J320" s="209">
        <f t="array" ref="J320">IF(I320&gt;0,INDEX(DB,$I320,6),0)</f>
        <v>0</v>
      </c>
      <c r="K320" s="446">
        <f t="shared" si="5"/>
        <v>0</v>
      </c>
      <c r="L320" s="446">
        <f t="shared" si="6"/>
        <v>0</v>
      </c>
      <c r="M320" s="441">
        <f>IF(L320&lt;O320,MinPoints,IF(AND(L320&gt;N320,O320&gt;0),100,+INT(($L320-O320)/P320)+MinPoints))</f>
        <v>10</v>
      </c>
      <c r="N320" s="440">
        <f t="shared" si="7"/>
        <v>4.9</v>
      </c>
      <c r="O320" s="440">
        <f t="shared" si="8"/>
        <v>2.2</v>
      </c>
      <c r="P320" s="440">
        <f t="shared" si="9"/>
        <v>0.03</v>
      </c>
      <c r="Q320">
        <f t="array" ref="Q320">IF(I320&gt;0,INDEX(DB,I320,9),EventIndex)</f>
        <v>6</v>
      </c>
      <c r="S320" s="447">
        <f t="array" ref="S320">INDEX(MINVALUES,$Q320,$K$1)</f>
        <v>2.2</v>
      </c>
      <c r="T320" s="448">
        <f t="array" ref="T320">INDEX(INCVALUES,$Q320,$K$1)</f>
        <v>0.03</v>
      </c>
      <c r="V320">
        <f t="array" ref="V320">+J320+(4*(INDEX(MatchScoreTable,$Q320,20)-1))</f>
        <v>4</v>
      </c>
      <c r="W320" s="442">
        <f t="array" ref="W320">INDEX(INC_MINVALUES,$V320,$K$1)</f>
        <v>0.2</v>
      </c>
      <c r="X320" s="212">
        <f t="array" ref="X320">INDEX(INC_INCVALUES,$V320,$K$1)</f>
        <v>0.02</v>
      </c>
    </row>
    <row r="321" ht="15.75" customHeight="1">
      <c r="A321" s="435"/>
      <c r="B321" s="436"/>
      <c r="C321" s="95" t="str">
        <f t="array" ref="C321">IF(I321&gt;0,INDEX(DB,I321,8),"")</f>
        <v/>
      </c>
      <c r="D321" s="437">
        <f t="shared" si="1"/>
        <v>0</v>
      </c>
      <c r="F321" s="438">
        <f t="shared" si="2"/>
        <v>0</v>
      </c>
      <c r="G321" t="str">
        <f t="shared" si="3"/>
        <v/>
      </c>
      <c r="H321" t="b">
        <f t="shared" si="4"/>
        <v>0</v>
      </c>
      <c r="I321" s="439">
        <f>IF(OR(ISBLANK(A321),ISNA(MATCH(A321&amp;"",AthleteNumbers,0))),0,MATCH(A321&amp;"",AthleteNumbers,0))</f>
        <v>0</v>
      </c>
      <c r="J321" s="209">
        <f t="array" ref="J321">IF(I321&gt;0,INDEX(DB,$I321,6),0)</f>
        <v>0</v>
      </c>
      <c r="K321" s="446">
        <f t="shared" si="5"/>
        <v>0</v>
      </c>
      <c r="L321" s="446">
        <f t="shared" si="6"/>
        <v>0</v>
      </c>
      <c r="M321" s="441">
        <f>IF(L321&lt;O321,MinPoints,IF(AND(L321&gt;N321,O321&gt;0),100,+INT(($L321-O321)/P321)+MinPoints))</f>
        <v>10</v>
      </c>
      <c r="N321" s="440">
        <f t="shared" si="7"/>
        <v>4.9</v>
      </c>
      <c r="O321" s="440">
        <f t="shared" si="8"/>
        <v>2.2</v>
      </c>
      <c r="P321" s="440">
        <f t="shared" si="9"/>
        <v>0.03</v>
      </c>
      <c r="Q321">
        <f t="array" ref="Q321">IF(I321&gt;0,INDEX(DB,I321,9),EventIndex)</f>
        <v>6</v>
      </c>
      <c r="S321" s="447">
        <f t="array" ref="S321">INDEX(MINVALUES,$Q321,$K$1)</f>
        <v>2.2</v>
      </c>
      <c r="T321" s="448">
        <f t="array" ref="T321">INDEX(INCVALUES,$Q321,$K$1)</f>
        <v>0.03</v>
      </c>
      <c r="V321">
        <f t="array" ref="V321">+J321+(4*(INDEX(MatchScoreTable,$Q321,20)-1))</f>
        <v>4</v>
      </c>
      <c r="W321" s="442">
        <f t="array" ref="W321">INDEX(INC_MINVALUES,$V321,$K$1)</f>
        <v>0.2</v>
      </c>
      <c r="X321" s="212">
        <f t="array" ref="X321">INDEX(INC_INCVALUES,$V321,$K$1)</f>
        <v>0.02</v>
      </c>
    </row>
    <row r="322" ht="15.75" customHeight="1">
      <c r="A322" s="435"/>
      <c r="B322" s="436"/>
      <c r="C322" s="95" t="str">
        <f t="array" ref="C322">IF(I322&gt;0,INDEX(DB,I322,8),"")</f>
        <v/>
      </c>
      <c r="D322" s="437">
        <f t="shared" si="1"/>
        <v>0</v>
      </c>
      <c r="F322" s="438">
        <f t="shared" si="2"/>
        <v>0</v>
      </c>
      <c r="G322" t="str">
        <f t="shared" si="3"/>
        <v/>
      </c>
      <c r="H322" t="b">
        <f t="shared" si="4"/>
        <v>0</v>
      </c>
      <c r="I322" s="439">
        <f>IF(OR(ISBLANK(A322),ISNA(MATCH(A322&amp;"",AthleteNumbers,0))),0,MATCH(A322&amp;"",AthleteNumbers,0))</f>
        <v>0</v>
      </c>
      <c r="J322" s="209">
        <f t="array" ref="J322">IF(I322&gt;0,INDEX(DB,$I322,6),0)</f>
        <v>0</v>
      </c>
      <c r="K322" s="446">
        <f t="shared" si="5"/>
        <v>0</v>
      </c>
      <c r="L322" s="446">
        <f t="shared" si="6"/>
        <v>0</v>
      </c>
      <c r="M322" s="441">
        <f>IF(L322&lt;O322,MinPoints,IF(AND(L322&gt;N322,O322&gt;0),100,+INT(($L322-O322)/P322)+MinPoints))</f>
        <v>10</v>
      </c>
      <c r="N322" s="440">
        <f t="shared" si="7"/>
        <v>4.9</v>
      </c>
      <c r="O322" s="440">
        <f t="shared" si="8"/>
        <v>2.2</v>
      </c>
      <c r="P322" s="440">
        <f t="shared" si="9"/>
        <v>0.03</v>
      </c>
      <c r="Q322">
        <f t="array" ref="Q322">IF(I322&gt;0,INDEX(DB,I322,9),EventIndex)</f>
        <v>6</v>
      </c>
      <c r="S322" s="447">
        <f t="array" ref="S322">INDEX(MINVALUES,$Q322,$K$1)</f>
        <v>2.2</v>
      </c>
      <c r="T322" s="448">
        <f t="array" ref="T322">INDEX(INCVALUES,$Q322,$K$1)</f>
        <v>0.03</v>
      </c>
      <c r="V322">
        <f t="array" ref="V322">+J322+(4*(INDEX(MatchScoreTable,$Q322,20)-1))</f>
        <v>4</v>
      </c>
      <c r="W322" s="442">
        <f t="array" ref="W322">INDEX(INC_MINVALUES,$V322,$K$1)</f>
        <v>0.2</v>
      </c>
      <c r="X322" s="212">
        <f t="array" ref="X322">INDEX(INC_INCVALUES,$V322,$K$1)</f>
        <v>0.02</v>
      </c>
    </row>
    <row r="323" ht="15.75" customHeight="1">
      <c r="A323" s="435"/>
      <c r="B323" s="436"/>
      <c r="C323" s="95" t="str">
        <f t="array" ref="C323">IF(I323&gt;0,INDEX(DB,I323,8),"")</f>
        <v/>
      </c>
      <c r="D323" s="437">
        <f t="shared" si="1"/>
        <v>0</v>
      </c>
      <c r="F323" s="438">
        <f t="shared" si="2"/>
        <v>0</v>
      </c>
      <c r="G323" t="str">
        <f t="shared" si="3"/>
        <v/>
      </c>
      <c r="H323" t="b">
        <f t="shared" si="4"/>
        <v>0</v>
      </c>
      <c r="I323" s="439">
        <f>IF(OR(ISBLANK(A323),ISNA(MATCH(A323&amp;"",AthleteNumbers,0))),0,MATCH(A323&amp;"",AthleteNumbers,0))</f>
        <v>0</v>
      </c>
      <c r="J323" s="209">
        <f t="array" ref="J323">IF(I323&gt;0,INDEX(DB,$I323,6),0)</f>
        <v>0</v>
      </c>
      <c r="K323" s="446">
        <f t="shared" si="5"/>
        <v>0</v>
      </c>
      <c r="L323" s="446">
        <f t="shared" si="6"/>
        <v>0</v>
      </c>
      <c r="M323" s="441">
        <f>IF(L323&lt;O323,MinPoints,IF(AND(L323&gt;N323,O323&gt;0),100,+INT(($L323-O323)/P323)+MinPoints))</f>
        <v>10</v>
      </c>
      <c r="N323" s="440">
        <f t="shared" si="7"/>
        <v>4.9</v>
      </c>
      <c r="O323" s="440">
        <f t="shared" si="8"/>
        <v>2.2</v>
      </c>
      <c r="P323" s="440">
        <f t="shared" si="9"/>
        <v>0.03</v>
      </c>
      <c r="Q323">
        <f t="array" ref="Q323">IF(I323&gt;0,INDEX(DB,I323,9),EventIndex)</f>
        <v>6</v>
      </c>
      <c r="S323" s="447">
        <f t="array" ref="S323">INDEX(MINVALUES,$Q323,$K$1)</f>
        <v>2.2</v>
      </c>
      <c r="T323" s="448">
        <f t="array" ref="T323">INDEX(INCVALUES,$Q323,$K$1)</f>
        <v>0.03</v>
      </c>
      <c r="V323">
        <f t="array" ref="V323">+J323+(4*(INDEX(MatchScoreTable,$Q323,20)-1))</f>
        <v>4</v>
      </c>
      <c r="W323" s="442">
        <f t="array" ref="W323">INDEX(INC_MINVALUES,$V323,$K$1)</f>
        <v>0.2</v>
      </c>
      <c r="X323" s="212">
        <f t="array" ref="X323">INDEX(INC_INCVALUES,$V323,$K$1)</f>
        <v>0.02</v>
      </c>
    </row>
    <row r="324" ht="15.75" customHeight="1">
      <c r="A324" s="435"/>
      <c r="B324" s="436"/>
      <c r="C324" s="95" t="str">
        <f t="array" ref="C324">IF(I324&gt;0,INDEX(DB,I324,8),"")</f>
        <v/>
      </c>
      <c r="D324" s="437">
        <f t="shared" si="1"/>
        <v>0</v>
      </c>
      <c r="F324" s="438">
        <f t="shared" si="2"/>
        <v>0</v>
      </c>
      <c r="G324" t="str">
        <f t="shared" si="3"/>
        <v/>
      </c>
      <c r="H324" t="b">
        <f t="shared" si="4"/>
        <v>0</v>
      </c>
      <c r="I324" s="439">
        <f>IF(OR(ISBLANK(A324),ISNA(MATCH(A324&amp;"",AthleteNumbers,0))),0,MATCH(A324&amp;"",AthleteNumbers,0))</f>
        <v>0</v>
      </c>
      <c r="J324" s="209">
        <f t="array" ref="J324">IF(I324&gt;0,INDEX(DB,$I324,6),0)</f>
        <v>0</v>
      </c>
      <c r="K324" s="446">
        <f t="shared" si="5"/>
        <v>0</v>
      </c>
      <c r="L324" s="446">
        <f t="shared" si="6"/>
        <v>0</v>
      </c>
      <c r="M324" s="441">
        <f>IF(L324&lt;O324,MinPoints,IF(AND(L324&gt;N324,O324&gt;0),100,+INT(($L324-O324)/P324)+MinPoints))</f>
        <v>10</v>
      </c>
      <c r="N324" s="440">
        <f t="shared" si="7"/>
        <v>4.9</v>
      </c>
      <c r="O324" s="440">
        <f t="shared" si="8"/>
        <v>2.2</v>
      </c>
      <c r="P324" s="440">
        <f t="shared" si="9"/>
        <v>0.03</v>
      </c>
      <c r="Q324">
        <f t="array" ref="Q324">IF(I324&gt;0,INDEX(DB,I324,9),EventIndex)</f>
        <v>6</v>
      </c>
      <c r="S324" s="447">
        <f t="array" ref="S324">INDEX(MINVALUES,$Q324,$K$1)</f>
        <v>2.2</v>
      </c>
      <c r="T324" s="448">
        <f t="array" ref="T324">INDEX(INCVALUES,$Q324,$K$1)</f>
        <v>0.03</v>
      </c>
      <c r="V324">
        <f t="array" ref="V324">+J324+(4*(INDEX(MatchScoreTable,$Q324,20)-1))</f>
        <v>4</v>
      </c>
      <c r="W324" s="442">
        <f t="array" ref="W324">INDEX(INC_MINVALUES,$V324,$K$1)</f>
        <v>0.2</v>
      </c>
      <c r="X324" s="212">
        <f t="array" ref="X324">INDEX(INC_INCVALUES,$V324,$K$1)</f>
        <v>0.02</v>
      </c>
    </row>
    <row r="325" ht="15.75" customHeight="1">
      <c r="A325" s="435"/>
      <c r="B325" s="436"/>
      <c r="C325" s="95" t="str">
        <f t="array" ref="C325">IF(I325&gt;0,INDEX(DB,I325,8),"")</f>
        <v/>
      </c>
      <c r="D325" s="437">
        <f t="shared" si="1"/>
        <v>0</v>
      </c>
      <c r="F325" s="438">
        <f t="shared" si="2"/>
        <v>0</v>
      </c>
      <c r="G325" t="str">
        <f t="shared" si="3"/>
        <v/>
      </c>
      <c r="H325" t="b">
        <f t="shared" si="4"/>
        <v>0</v>
      </c>
      <c r="I325" s="439">
        <f>IF(OR(ISBLANK(A325),ISNA(MATCH(A325&amp;"",AthleteNumbers,0))),0,MATCH(A325&amp;"",AthleteNumbers,0))</f>
        <v>0</v>
      </c>
      <c r="J325" s="209">
        <f t="array" ref="J325">IF(I325&gt;0,INDEX(DB,$I325,6),0)</f>
        <v>0</v>
      </c>
      <c r="K325" s="446">
        <f t="shared" si="5"/>
        <v>0</v>
      </c>
      <c r="L325" s="446">
        <f t="shared" si="6"/>
        <v>0</v>
      </c>
      <c r="M325" s="441">
        <f>IF(L325&lt;O325,MinPoints,IF(AND(L325&gt;N325,O325&gt;0),100,+INT(($L325-O325)/P325)+MinPoints))</f>
        <v>10</v>
      </c>
      <c r="N325" s="440">
        <f t="shared" si="7"/>
        <v>4.9</v>
      </c>
      <c r="O325" s="440">
        <f t="shared" si="8"/>
        <v>2.2</v>
      </c>
      <c r="P325" s="440">
        <f t="shared" si="9"/>
        <v>0.03</v>
      </c>
      <c r="Q325">
        <f t="array" ref="Q325">IF(I325&gt;0,INDEX(DB,I325,9),EventIndex)</f>
        <v>6</v>
      </c>
      <c r="S325" s="447">
        <f t="array" ref="S325">INDEX(MINVALUES,$Q325,$K$1)</f>
        <v>2.2</v>
      </c>
      <c r="T325" s="448">
        <f t="array" ref="T325">INDEX(INCVALUES,$Q325,$K$1)</f>
        <v>0.03</v>
      </c>
      <c r="V325">
        <f t="array" ref="V325">+J325+(4*(INDEX(MatchScoreTable,$Q325,20)-1))</f>
        <v>4</v>
      </c>
      <c r="W325" s="442">
        <f t="array" ref="W325">INDEX(INC_MINVALUES,$V325,$K$1)</f>
        <v>0.2</v>
      </c>
      <c r="X325" s="212">
        <f t="array" ref="X325">INDEX(INC_INCVALUES,$V325,$K$1)</f>
        <v>0.02</v>
      </c>
    </row>
    <row r="326" ht="15.75" customHeight="1">
      <c r="A326" s="435"/>
      <c r="B326" s="436"/>
      <c r="C326" s="95" t="str">
        <f t="array" ref="C326">IF(I326&gt;0,INDEX(DB,I326,8),"")</f>
        <v/>
      </c>
      <c r="D326" s="437">
        <f t="shared" si="1"/>
        <v>0</v>
      </c>
      <c r="F326" s="438">
        <f t="shared" si="2"/>
        <v>0</v>
      </c>
      <c r="G326" t="str">
        <f t="shared" si="3"/>
        <v/>
      </c>
      <c r="H326" t="b">
        <f t="shared" si="4"/>
        <v>0</v>
      </c>
      <c r="I326" s="439">
        <f>IF(OR(ISBLANK(A326),ISNA(MATCH(A326&amp;"",AthleteNumbers,0))),0,MATCH(A326&amp;"",AthleteNumbers,0))</f>
        <v>0</v>
      </c>
      <c r="J326" s="209">
        <f t="array" ref="J326">IF(I326&gt;0,INDEX(DB,$I326,6),0)</f>
        <v>0</v>
      </c>
      <c r="K326" s="446">
        <f t="shared" si="5"/>
        <v>0</v>
      </c>
      <c r="L326" s="446">
        <f t="shared" si="6"/>
        <v>0</v>
      </c>
      <c r="M326" s="441">
        <f>IF(L326&lt;O326,MinPoints,IF(AND(L326&gt;N326,O326&gt;0),100,+INT(($L326-O326)/P326)+MinPoints))</f>
        <v>10</v>
      </c>
      <c r="N326" s="440">
        <f t="shared" si="7"/>
        <v>4.9</v>
      </c>
      <c r="O326" s="440">
        <f t="shared" si="8"/>
        <v>2.2</v>
      </c>
      <c r="P326" s="440">
        <f t="shared" si="9"/>
        <v>0.03</v>
      </c>
      <c r="Q326">
        <f t="array" ref="Q326">IF(I326&gt;0,INDEX(DB,I326,9),EventIndex)</f>
        <v>6</v>
      </c>
      <c r="S326" s="447">
        <f t="array" ref="S326">INDEX(MINVALUES,$Q326,$K$1)</f>
        <v>2.2</v>
      </c>
      <c r="T326" s="448">
        <f t="array" ref="T326">INDEX(INCVALUES,$Q326,$K$1)</f>
        <v>0.03</v>
      </c>
      <c r="V326">
        <f t="array" ref="V326">+J326+(4*(INDEX(MatchScoreTable,$Q326,20)-1))</f>
        <v>4</v>
      </c>
      <c r="W326" s="442">
        <f t="array" ref="W326">INDEX(INC_MINVALUES,$V326,$K$1)</f>
        <v>0.2</v>
      </c>
      <c r="X326" s="212">
        <f t="array" ref="X326">INDEX(INC_INCVALUES,$V326,$K$1)</f>
        <v>0.02</v>
      </c>
    </row>
    <row r="327" ht="15.75" customHeight="1">
      <c r="A327" s="435"/>
      <c r="B327" s="436"/>
      <c r="C327" s="95" t="str">
        <f t="array" ref="C327">IF(I327&gt;0,INDEX(DB,I327,8),"")</f>
        <v/>
      </c>
      <c r="D327" s="437">
        <f t="shared" si="1"/>
        <v>0</v>
      </c>
      <c r="F327" s="438">
        <f t="shared" si="2"/>
        <v>0</v>
      </c>
      <c r="G327" t="str">
        <f t="shared" si="3"/>
        <v/>
      </c>
      <c r="H327" t="b">
        <f t="shared" si="4"/>
        <v>0</v>
      </c>
      <c r="I327" s="439">
        <f>IF(OR(ISBLANK(A327),ISNA(MATCH(A327&amp;"",AthleteNumbers,0))),0,MATCH(A327&amp;"",AthleteNumbers,0))</f>
        <v>0</v>
      </c>
      <c r="J327" s="209">
        <f t="array" ref="J327">IF(I327&gt;0,INDEX(DB,$I327,6),0)</f>
        <v>0</v>
      </c>
      <c r="K327" s="446">
        <f t="shared" si="5"/>
        <v>0</v>
      </c>
      <c r="L327" s="446">
        <f t="shared" si="6"/>
        <v>0</v>
      </c>
      <c r="M327" s="441">
        <f>IF(L327&lt;O327,MinPoints,IF(AND(L327&gt;N327,O327&gt;0),100,+INT(($L327-O327)/P327)+MinPoints))</f>
        <v>10</v>
      </c>
      <c r="N327" s="440">
        <f t="shared" si="7"/>
        <v>4.9</v>
      </c>
      <c r="O327" s="440">
        <f t="shared" si="8"/>
        <v>2.2</v>
      </c>
      <c r="P327" s="440">
        <f t="shared" si="9"/>
        <v>0.03</v>
      </c>
      <c r="Q327">
        <f t="array" ref="Q327">IF(I327&gt;0,INDEX(DB,I327,9),EventIndex)</f>
        <v>6</v>
      </c>
      <c r="S327" s="447">
        <f t="array" ref="S327">INDEX(MINVALUES,$Q327,$K$1)</f>
        <v>2.2</v>
      </c>
      <c r="T327" s="448">
        <f t="array" ref="T327">INDEX(INCVALUES,$Q327,$K$1)</f>
        <v>0.03</v>
      </c>
      <c r="V327">
        <f t="array" ref="V327">+J327+(4*(INDEX(MatchScoreTable,$Q327,20)-1))</f>
        <v>4</v>
      </c>
      <c r="W327" s="442">
        <f t="array" ref="W327">INDEX(INC_MINVALUES,$V327,$K$1)</f>
        <v>0.2</v>
      </c>
      <c r="X327" s="212">
        <f t="array" ref="X327">INDEX(INC_INCVALUES,$V327,$K$1)</f>
        <v>0.02</v>
      </c>
    </row>
    <row r="328" ht="15.75" customHeight="1">
      <c r="A328" s="435"/>
      <c r="B328" s="436"/>
      <c r="C328" s="95" t="str">
        <f t="array" ref="C328">IF(I328&gt;0,INDEX(DB,I328,8),"")</f>
        <v/>
      </c>
      <c r="D328" s="437">
        <f t="shared" si="1"/>
        <v>0</v>
      </c>
      <c r="F328" s="438">
        <f t="shared" si="2"/>
        <v>0</v>
      </c>
      <c r="G328" t="str">
        <f t="shared" si="3"/>
        <v/>
      </c>
      <c r="H328" t="b">
        <f t="shared" si="4"/>
        <v>0</v>
      </c>
      <c r="I328" s="439">
        <f>IF(OR(ISBLANK(A328),ISNA(MATCH(A328&amp;"",AthleteNumbers,0))),0,MATCH(A328&amp;"",AthleteNumbers,0))</f>
        <v>0</v>
      </c>
      <c r="J328" s="209">
        <f t="array" ref="J328">IF(I328&gt;0,INDEX(DB,$I328,6),0)</f>
        <v>0</v>
      </c>
      <c r="K328" s="446">
        <f t="shared" si="5"/>
        <v>0</v>
      </c>
      <c r="L328" s="446">
        <f t="shared" si="6"/>
        <v>0</v>
      </c>
      <c r="M328" s="441">
        <f>IF(L328&lt;O328,MinPoints,IF(AND(L328&gt;N328,O328&gt;0),100,+INT(($L328-O328)/P328)+MinPoints))</f>
        <v>10</v>
      </c>
      <c r="N328" s="440">
        <f t="shared" si="7"/>
        <v>4.9</v>
      </c>
      <c r="O328" s="440">
        <f t="shared" si="8"/>
        <v>2.2</v>
      </c>
      <c r="P328" s="440">
        <f t="shared" si="9"/>
        <v>0.03</v>
      </c>
      <c r="Q328">
        <f t="array" ref="Q328">IF(I328&gt;0,INDEX(DB,I328,9),EventIndex)</f>
        <v>6</v>
      </c>
      <c r="S328" s="447">
        <f t="array" ref="S328">INDEX(MINVALUES,$Q328,$K$1)</f>
        <v>2.2</v>
      </c>
      <c r="T328" s="448">
        <f t="array" ref="T328">INDEX(INCVALUES,$Q328,$K$1)</f>
        <v>0.03</v>
      </c>
      <c r="V328">
        <f t="array" ref="V328">+J328+(4*(INDEX(MatchScoreTable,$Q328,20)-1))</f>
        <v>4</v>
      </c>
      <c r="W328" s="442">
        <f t="array" ref="W328">INDEX(INC_MINVALUES,$V328,$K$1)</f>
        <v>0.2</v>
      </c>
      <c r="X328" s="212">
        <f t="array" ref="X328">INDEX(INC_INCVALUES,$V328,$K$1)</f>
        <v>0.02</v>
      </c>
    </row>
    <row r="329" ht="15.75" customHeight="1">
      <c r="A329" s="435"/>
      <c r="B329" s="436"/>
      <c r="C329" s="95" t="str">
        <f t="array" ref="C329">IF(I329&gt;0,INDEX(DB,I329,8),"")</f>
        <v/>
      </c>
      <c r="D329" s="437">
        <f t="shared" si="1"/>
        <v>0</v>
      </c>
      <c r="F329" s="438">
        <f t="shared" si="2"/>
        <v>0</v>
      </c>
      <c r="G329" t="str">
        <f t="shared" si="3"/>
        <v/>
      </c>
      <c r="H329" t="b">
        <f t="shared" si="4"/>
        <v>0</v>
      </c>
      <c r="I329" s="439">
        <f>IF(OR(ISBLANK(A329),ISNA(MATCH(A329&amp;"",AthleteNumbers,0))),0,MATCH(A329&amp;"",AthleteNumbers,0))</f>
        <v>0</v>
      </c>
      <c r="J329" s="209">
        <f t="array" ref="J329">IF(I329&gt;0,INDEX(DB,$I329,6),0)</f>
        <v>0</v>
      </c>
      <c r="K329" s="446">
        <f t="shared" si="5"/>
        <v>0</v>
      </c>
      <c r="L329" s="446">
        <f t="shared" si="6"/>
        <v>0</v>
      </c>
      <c r="M329" s="441">
        <f>IF(L329&lt;O329,MinPoints,IF(AND(L329&gt;N329,O329&gt;0),100,+INT(($L329-O329)/P329)+MinPoints))</f>
        <v>10</v>
      </c>
      <c r="N329" s="440">
        <f t="shared" si="7"/>
        <v>4.9</v>
      </c>
      <c r="O329" s="440">
        <f t="shared" si="8"/>
        <v>2.2</v>
      </c>
      <c r="P329" s="440">
        <f t="shared" si="9"/>
        <v>0.03</v>
      </c>
      <c r="Q329">
        <f t="array" ref="Q329">IF(I329&gt;0,INDEX(DB,I329,9),EventIndex)</f>
        <v>6</v>
      </c>
      <c r="S329" s="447">
        <f t="array" ref="S329">INDEX(MINVALUES,$Q329,$K$1)</f>
        <v>2.2</v>
      </c>
      <c r="T329" s="448">
        <f t="array" ref="T329">INDEX(INCVALUES,$Q329,$K$1)</f>
        <v>0.03</v>
      </c>
      <c r="V329">
        <f t="array" ref="V329">+J329+(4*(INDEX(MatchScoreTable,$Q329,20)-1))</f>
        <v>4</v>
      </c>
      <c r="W329" s="442">
        <f t="array" ref="W329">INDEX(INC_MINVALUES,$V329,$K$1)</f>
        <v>0.2</v>
      </c>
      <c r="X329" s="212">
        <f t="array" ref="X329">INDEX(INC_INCVALUES,$V329,$K$1)</f>
        <v>0.02</v>
      </c>
    </row>
    <row r="330" ht="15.75" customHeight="1">
      <c r="A330" s="435"/>
      <c r="B330" s="436"/>
      <c r="C330" s="95" t="str">
        <f t="array" ref="C330">IF(I330&gt;0,INDEX(DB,I330,8),"")</f>
        <v/>
      </c>
      <c r="D330" s="437">
        <f t="shared" si="1"/>
        <v>0</v>
      </c>
      <c r="F330" s="438">
        <f t="shared" si="2"/>
        <v>0</v>
      </c>
      <c r="G330" t="str">
        <f t="shared" si="3"/>
        <v/>
      </c>
      <c r="H330" t="b">
        <f t="shared" si="4"/>
        <v>0</v>
      </c>
      <c r="I330" s="439">
        <f>IF(OR(ISBLANK(A330),ISNA(MATCH(A330&amp;"",AthleteNumbers,0))),0,MATCH(A330&amp;"",AthleteNumbers,0))</f>
        <v>0</v>
      </c>
      <c r="J330" s="209">
        <f t="array" ref="J330">IF(I330&gt;0,INDEX(DB,$I330,6),0)</f>
        <v>0</v>
      </c>
      <c r="K330" s="446">
        <f t="shared" si="5"/>
        <v>0</v>
      </c>
      <c r="L330" s="446">
        <f t="shared" si="6"/>
        <v>0</v>
      </c>
      <c r="M330" s="441">
        <f>IF(L330&lt;O330,MinPoints,IF(AND(L330&gt;N330,O330&gt;0),100,+INT(($L330-O330)/P330)+MinPoints))</f>
        <v>10</v>
      </c>
      <c r="N330" s="440">
        <f t="shared" si="7"/>
        <v>4.9</v>
      </c>
      <c r="O330" s="440">
        <f t="shared" si="8"/>
        <v>2.2</v>
      </c>
      <c r="P330" s="440">
        <f t="shared" si="9"/>
        <v>0.03</v>
      </c>
      <c r="Q330">
        <f t="array" ref="Q330">IF(I330&gt;0,INDEX(DB,I330,9),EventIndex)</f>
        <v>6</v>
      </c>
      <c r="S330" s="447">
        <f t="array" ref="S330">INDEX(MINVALUES,$Q330,$K$1)</f>
        <v>2.2</v>
      </c>
      <c r="T330" s="448">
        <f t="array" ref="T330">INDEX(INCVALUES,$Q330,$K$1)</f>
        <v>0.03</v>
      </c>
      <c r="V330">
        <f t="array" ref="V330">+J330+(4*(INDEX(MatchScoreTable,$Q330,20)-1))</f>
        <v>4</v>
      </c>
      <c r="W330" s="442">
        <f t="array" ref="W330">INDEX(INC_MINVALUES,$V330,$K$1)</f>
        <v>0.2</v>
      </c>
      <c r="X330" s="212">
        <f t="array" ref="X330">INDEX(INC_INCVALUES,$V330,$K$1)</f>
        <v>0.02</v>
      </c>
    </row>
    <row r="331" ht="15.75" customHeight="1">
      <c r="A331" s="435"/>
      <c r="B331" s="436"/>
      <c r="C331" s="95" t="str">
        <f t="array" ref="C331">IF(I331&gt;0,INDEX(DB,I331,8),"")</f>
        <v/>
      </c>
      <c r="D331" s="437">
        <f t="shared" si="1"/>
        <v>0</v>
      </c>
      <c r="F331" s="438">
        <f t="shared" si="2"/>
        <v>0</v>
      </c>
      <c r="G331" t="str">
        <f t="shared" si="3"/>
        <v/>
      </c>
      <c r="H331" t="b">
        <f t="shared" si="4"/>
        <v>0</v>
      </c>
      <c r="I331" s="439">
        <f>IF(OR(ISBLANK(A331),ISNA(MATCH(A331&amp;"",AthleteNumbers,0))),0,MATCH(A331&amp;"",AthleteNumbers,0))</f>
        <v>0</v>
      </c>
      <c r="J331" s="209">
        <f t="array" ref="J331">IF(I331&gt;0,INDEX(DB,$I331,6),0)</f>
        <v>0</v>
      </c>
      <c r="K331" s="446">
        <f t="shared" si="5"/>
        <v>0</v>
      </c>
      <c r="L331" s="446">
        <f t="shared" si="6"/>
        <v>0</v>
      </c>
      <c r="M331" s="441">
        <f>IF(L331&lt;O331,MinPoints,IF(AND(L331&gt;N331,O331&gt;0),100,+INT(($L331-O331)/P331)+MinPoints))</f>
        <v>10</v>
      </c>
      <c r="N331" s="440">
        <f t="shared" si="7"/>
        <v>4.9</v>
      </c>
      <c r="O331" s="440">
        <f t="shared" si="8"/>
        <v>2.2</v>
      </c>
      <c r="P331" s="440">
        <f t="shared" si="9"/>
        <v>0.03</v>
      </c>
      <c r="Q331">
        <f t="array" ref="Q331">IF(I331&gt;0,INDEX(DB,I331,9),EventIndex)</f>
        <v>6</v>
      </c>
      <c r="S331" s="447">
        <f t="array" ref="S331">INDEX(MINVALUES,$Q331,$K$1)</f>
        <v>2.2</v>
      </c>
      <c r="T331" s="448">
        <f t="array" ref="T331">INDEX(INCVALUES,$Q331,$K$1)</f>
        <v>0.03</v>
      </c>
      <c r="V331">
        <f t="array" ref="V331">+J331+(4*(INDEX(MatchScoreTable,$Q331,20)-1))</f>
        <v>4</v>
      </c>
      <c r="W331" s="442">
        <f t="array" ref="W331">INDEX(INC_MINVALUES,$V331,$K$1)</f>
        <v>0.2</v>
      </c>
      <c r="X331" s="212">
        <f t="array" ref="X331">INDEX(INC_INCVALUES,$V331,$K$1)</f>
        <v>0.02</v>
      </c>
    </row>
    <row r="332" ht="15.75" customHeight="1">
      <c r="A332" s="435"/>
      <c r="B332" s="436"/>
      <c r="C332" s="95" t="str">
        <f t="array" ref="C332">IF(I332&gt;0,INDEX(DB,I332,8),"")</f>
        <v/>
      </c>
      <c r="D332" s="437">
        <f t="shared" si="1"/>
        <v>0</v>
      </c>
      <c r="F332" s="438">
        <f t="shared" si="2"/>
        <v>0</v>
      </c>
      <c r="G332" t="str">
        <f t="shared" si="3"/>
        <v/>
      </c>
      <c r="H332" t="b">
        <f t="shared" si="4"/>
        <v>0</v>
      </c>
      <c r="I332" s="439">
        <f>IF(OR(ISBLANK(A332),ISNA(MATCH(A332&amp;"",AthleteNumbers,0))),0,MATCH(A332&amp;"",AthleteNumbers,0))</f>
        <v>0</v>
      </c>
      <c r="J332" s="209">
        <f t="array" ref="J332">IF(I332&gt;0,INDEX(DB,$I332,6),0)</f>
        <v>0</v>
      </c>
      <c r="K332" s="446">
        <f t="shared" si="5"/>
        <v>0</v>
      </c>
      <c r="L332" s="446">
        <f t="shared" si="6"/>
        <v>0</v>
      </c>
      <c r="M332" s="441">
        <f>IF(L332&lt;O332,MinPoints,IF(AND(L332&gt;N332,O332&gt;0),100,+INT(($L332-O332)/P332)+MinPoints))</f>
        <v>10</v>
      </c>
      <c r="N332" s="440">
        <f t="shared" si="7"/>
        <v>4.9</v>
      </c>
      <c r="O332" s="440">
        <f t="shared" si="8"/>
        <v>2.2</v>
      </c>
      <c r="P332" s="440">
        <f t="shared" si="9"/>
        <v>0.03</v>
      </c>
      <c r="Q332">
        <f t="array" ref="Q332">IF(I332&gt;0,INDEX(DB,I332,9),EventIndex)</f>
        <v>6</v>
      </c>
      <c r="S332" s="447">
        <f t="array" ref="S332">INDEX(MINVALUES,$Q332,$K$1)</f>
        <v>2.2</v>
      </c>
      <c r="T332" s="448">
        <f t="array" ref="T332">INDEX(INCVALUES,$Q332,$K$1)</f>
        <v>0.03</v>
      </c>
      <c r="V332">
        <f t="array" ref="V332">+J332+(4*(INDEX(MatchScoreTable,$Q332,20)-1))</f>
        <v>4</v>
      </c>
      <c r="W332" s="442">
        <f t="array" ref="W332">INDEX(INC_MINVALUES,$V332,$K$1)</f>
        <v>0.2</v>
      </c>
      <c r="X332" s="212">
        <f t="array" ref="X332">INDEX(INC_INCVALUES,$V332,$K$1)</f>
        <v>0.02</v>
      </c>
    </row>
    <row r="333" ht="15.75" customHeight="1">
      <c r="A333" s="435"/>
      <c r="B333" s="436"/>
      <c r="C333" s="95" t="str">
        <f t="array" ref="C333">IF(I333&gt;0,INDEX(DB,I333,8),"")</f>
        <v/>
      </c>
      <c r="D333" s="437">
        <f t="shared" si="1"/>
        <v>0</v>
      </c>
      <c r="F333" s="438">
        <f t="shared" si="2"/>
        <v>0</v>
      </c>
      <c r="G333" t="str">
        <f t="shared" si="3"/>
        <v/>
      </c>
      <c r="H333" t="b">
        <f t="shared" si="4"/>
        <v>0</v>
      </c>
      <c r="I333" s="439">
        <f>IF(OR(ISBLANK(A333),ISNA(MATCH(A333&amp;"",AthleteNumbers,0))),0,MATCH(A333&amp;"",AthleteNumbers,0))</f>
        <v>0</v>
      </c>
      <c r="J333" s="209">
        <f t="array" ref="J333">IF(I333&gt;0,INDEX(DB,$I333,6),0)</f>
        <v>0</v>
      </c>
      <c r="K333" s="446">
        <f t="shared" si="5"/>
        <v>0</v>
      </c>
      <c r="L333" s="446">
        <f t="shared" si="6"/>
        <v>0</v>
      </c>
      <c r="M333" s="441">
        <f>IF(L333&lt;O333,MinPoints,IF(AND(L333&gt;N333,O333&gt;0),100,+INT(($L333-O333)/P333)+MinPoints))</f>
        <v>10</v>
      </c>
      <c r="N333" s="440">
        <f t="shared" si="7"/>
        <v>4.9</v>
      </c>
      <c r="O333" s="440">
        <f t="shared" si="8"/>
        <v>2.2</v>
      </c>
      <c r="P333" s="440">
        <f t="shared" si="9"/>
        <v>0.03</v>
      </c>
      <c r="Q333">
        <f t="array" ref="Q333">IF(I333&gt;0,INDEX(DB,I333,9),EventIndex)</f>
        <v>6</v>
      </c>
      <c r="S333" s="447">
        <f t="array" ref="S333">INDEX(MINVALUES,$Q333,$K$1)</f>
        <v>2.2</v>
      </c>
      <c r="T333" s="448">
        <f t="array" ref="T333">INDEX(INCVALUES,$Q333,$K$1)</f>
        <v>0.03</v>
      </c>
      <c r="V333">
        <f t="array" ref="V333">+J333+(4*(INDEX(MatchScoreTable,$Q333,20)-1))</f>
        <v>4</v>
      </c>
      <c r="W333" s="442">
        <f t="array" ref="W333">INDEX(INC_MINVALUES,$V333,$K$1)</f>
        <v>0.2</v>
      </c>
      <c r="X333" s="212">
        <f t="array" ref="X333">INDEX(INC_INCVALUES,$V333,$K$1)</f>
        <v>0.02</v>
      </c>
    </row>
    <row r="334" ht="15.75" customHeight="1">
      <c r="A334" s="435"/>
      <c r="B334" s="436"/>
      <c r="C334" s="95" t="str">
        <f t="array" ref="C334">IF(I334&gt;0,INDEX(DB,I334,8),"")</f>
        <v/>
      </c>
      <c r="D334" s="437">
        <f t="shared" si="1"/>
        <v>0</v>
      </c>
      <c r="F334" s="438">
        <f t="shared" si="2"/>
        <v>0</v>
      </c>
      <c r="G334" t="str">
        <f t="shared" si="3"/>
        <v/>
      </c>
      <c r="H334" t="b">
        <f t="shared" si="4"/>
        <v>0</v>
      </c>
      <c r="I334" s="439">
        <f>IF(OR(ISBLANK(A334),ISNA(MATCH(A334&amp;"",AthleteNumbers,0))),0,MATCH(A334&amp;"",AthleteNumbers,0))</f>
        <v>0</v>
      </c>
      <c r="J334" s="209">
        <f t="array" ref="J334">IF(I334&gt;0,INDEX(DB,$I334,6),0)</f>
        <v>0</v>
      </c>
      <c r="K334" s="446">
        <f t="shared" si="5"/>
        <v>0</v>
      </c>
      <c r="L334" s="446">
        <f t="shared" si="6"/>
        <v>0</v>
      </c>
      <c r="M334" s="441">
        <f>IF(L334&lt;O334,MinPoints,IF(AND(L334&gt;N334,O334&gt;0),100,+INT(($L334-O334)/P334)+MinPoints))</f>
        <v>10</v>
      </c>
      <c r="N334" s="440">
        <f t="shared" si="7"/>
        <v>4.9</v>
      </c>
      <c r="O334" s="440">
        <f t="shared" si="8"/>
        <v>2.2</v>
      </c>
      <c r="P334" s="440">
        <f t="shared" si="9"/>
        <v>0.03</v>
      </c>
      <c r="Q334">
        <f t="array" ref="Q334">IF(I334&gt;0,INDEX(DB,I334,9),EventIndex)</f>
        <v>6</v>
      </c>
      <c r="S334" s="447">
        <f t="array" ref="S334">INDEX(MINVALUES,$Q334,$K$1)</f>
        <v>2.2</v>
      </c>
      <c r="T334" s="448">
        <f t="array" ref="T334">INDEX(INCVALUES,$Q334,$K$1)</f>
        <v>0.03</v>
      </c>
      <c r="V334">
        <f t="array" ref="V334">+J334+(4*(INDEX(MatchScoreTable,$Q334,20)-1))</f>
        <v>4</v>
      </c>
      <c r="W334" s="442">
        <f t="array" ref="W334">INDEX(INC_MINVALUES,$V334,$K$1)</f>
        <v>0.2</v>
      </c>
      <c r="X334" s="212">
        <f t="array" ref="X334">INDEX(INC_INCVALUES,$V334,$K$1)</f>
        <v>0.02</v>
      </c>
    </row>
    <row r="335" ht="15.75" customHeight="1">
      <c r="A335" s="435"/>
      <c r="B335" s="436"/>
      <c r="C335" s="95" t="str">
        <f t="array" ref="C335">IF(I335&gt;0,INDEX(DB,I335,8),"")</f>
        <v/>
      </c>
      <c r="D335" s="437">
        <f t="shared" si="1"/>
        <v>0</v>
      </c>
      <c r="F335" s="438">
        <f t="shared" si="2"/>
        <v>0</v>
      </c>
      <c r="G335" t="str">
        <f t="shared" si="3"/>
        <v/>
      </c>
      <c r="H335" t="b">
        <f t="shared" si="4"/>
        <v>0</v>
      </c>
      <c r="I335" s="439">
        <f>IF(OR(ISBLANK(A335),ISNA(MATCH(A335&amp;"",AthleteNumbers,0))),0,MATCH(A335&amp;"",AthleteNumbers,0))</f>
        <v>0</v>
      </c>
      <c r="J335" s="209">
        <f t="array" ref="J335">IF(I335&gt;0,INDEX(DB,$I335,6),0)</f>
        <v>0</v>
      </c>
      <c r="K335" s="446">
        <f t="shared" si="5"/>
        <v>0</v>
      </c>
      <c r="L335" s="446">
        <f t="shared" si="6"/>
        <v>0</v>
      </c>
      <c r="M335" s="441">
        <f>IF(L335&lt;O335,MinPoints,IF(AND(L335&gt;N335,O335&gt;0),100,+INT(($L335-O335)/P335)+MinPoints))</f>
        <v>10</v>
      </c>
      <c r="N335" s="440">
        <f t="shared" si="7"/>
        <v>4.9</v>
      </c>
      <c r="O335" s="440">
        <f t="shared" si="8"/>
        <v>2.2</v>
      </c>
      <c r="P335" s="440">
        <f t="shared" si="9"/>
        <v>0.03</v>
      </c>
      <c r="Q335">
        <f t="array" ref="Q335">IF(I335&gt;0,INDEX(DB,I335,9),EventIndex)</f>
        <v>6</v>
      </c>
      <c r="S335" s="447">
        <f t="array" ref="S335">INDEX(MINVALUES,$Q335,$K$1)</f>
        <v>2.2</v>
      </c>
      <c r="T335" s="448">
        <f t="array" ref="T335">INDEX(INCVALUES,$Q335,$K$1)</f>
        <v>0.03</v>
      </c>
      <c r="V335">
        <f t="array" ref="V335">+J335+(4*(INDEX(MatchScoreTable,$Q335,20)-1))</f>
        <v>4</v>
      </c>
      <c r="W335" s="442">
        <f t="array" ref="W335">INDEX(INC_MINVALUES,$V335,$K$1)</f>
        <v>0.2</v>
      </c>
      <c r="X335" s="212">
        <f t="array" ref="X335">INDEX(INC_INCVALUES,$V335,$K$1)</f>
        <v>0.02</v>
      </c>
    </row>
    <row r="336" ht="15.75" customHeight="1">
      <c r="A336" s="435"/>
      <c r="B336" s="436"/>
      <c r="C336" s="95" t="str">
        <f t="array" ref="C336">IF(I336&gt;0,INDEX(DB,I336,8),"")</f>
        <v/>
      </c>
      <c r="D336" s="437">
        <f t="shared" si="1"/>
        <v>0</v>
      </c>
      <c r="F336" s="438">
        <f t="shared" si="2"/>
        <v>0</v>
      </c>
      <c r="G336" t="str">
        <f t="shared" si="3"/>
        <v/>
      </c>
      <c r="H336" t="b">
        <f t="shared" si="4"/>
        <v>0</v>
      </c>
      <c r="I336" s="439">
        <f>IF(OR(ISBLANK(A336),ISNA(MATCH(A336&amp;"",AthleteNumbers,0))),0,MATCH(A336&amp;"",AthleteNumbers,0))</f>
        <v>0</v>
      </c>
      <c r="J336" s="209">
        <f t="array" ref="J336">IF(I336&gt;0,INDEX(DB,$I336,6),0)</f>
        <v>0</v>
      </c>
      <c r="K336" s="446">
        <f t="shared" si="5"/>
        <v>0</v>
      </c>
      <c r="L336" s="446">
        <f t="shared" si="6"/>
        <v>0</v>
      </c>
      <c r="M336" s="441">
        <f>IF(L336&lt;O336,MinPoints,IF(AND(L336&gt;N336,O336&gt;0),100,+INT(($L336-O336)/P336)+MinPoints))</f>
        <v>10</v>
      </c>
      <c r="N336" s="440">
        <f t="shared" si="7"/>
        <v>4.9</v>
      </c>
      <c r="O336" s="440">
        <f t="shared" si="8"/>
        <v>2.2</v>
      </c>
      <c r="P336" s="440">
        <f t="shared" si="9"/>
        <v>0.03</v>
      </c>
      <c r="Q336">
        <f t="array" ref="Q336">IF(I336&gt;0,INDEX(DB,I336,9),EventIndex)</f>
        <v>6</v>
      </c>
      <c r="S336" s="447">
        <f t="array" ref="S336">INDEX(MINVALUES,$Q336,$K$1)</f>
        <v>2.2</v>
      </c>
      <c r="T336" s="448">
        <f t="array" ref="T336">INDEX(INCVALUES,$Q336,$K$1)</f>
        <v>0.03</v>
      </c>
      <c r="V336">
        <f t="array" ref="V336">+J336+(4*(INDEX(MatchScoreTable,$Q336,20)-1))</f>
        <v>4</v>
      </c>
      <c r="W336" s="442">
        <f t="array" ref="W336">INDEX(INC_MINVALUES,$V336,$K$1)</f>
        <v>0.2</v>
      </c>
      <c r="X336" s="212">
        <f t="array" ref="X336">INDEX(INC_INCVALUES,$V336,$K$1)</f>
        <v>0.02</v>
      </c>
    </row>
    <row r="337" ht="15.75" customHeight="1">
      <c r="A337" s="435"/>
      <c r="B337" s="436"/>
      <c r="C337" s="95" t="str">
        <f t="array" ref="C337">IF(I337&gt;0,INDEX(DB,I337,8),"")</f>
        <v/>
      </c>
      <c r="D337" s="437">
        <f t="shared" si="1"/>
        <v>0</v>
      </c>
      <c r="F337" s="438">
        <f t="shared" si="2"/>
        <v>0</v>
      </c>
      <c r="G337" t="str">
        <f t="shared" si="3"/>
        <v/>
      </c>
      <c r="H337" t="b">
        <f t="shared" si="4"/>
        <v>0</v>
      </c>
      <c r="I337" s="439">
        <f>IF(OR(ISBLANK(A337),ISNA(MATCH(A337&amp;"",AthleteNumbers,0))),0,MATCH(A337&amp;"",AthleteNumbers,0))</f>
        <v>0</v>
      </c>
      <c r="J337" s="209">
        <f t="array" ref="J337">IF(I337&gt;0,INDEX(DB,$I337,6),0)</f>
        <v>0</v>
      </c>
      <c r="K337" s="446">
        <f t="shared" si="5"/>
        <v>0</v>
      </c>
      <c r="L337" s="446">
        <f t="shared" si="6"/>
        <v>0</v>
      </c>
      <c r="M337" s="441">
        <f>IF(L337&lt;O337,MinPoints,IF(AND(L337&gt;N337,O337&gt;0),100,+INT(($L337-O337)/P337)+MinPoints))</f>
        <v>10</v>
      </c>
      <c r="N337" s="440">
        <f t="shared" si="7"/>
        <v>4.9</v>
      </c>
      <c r="O337" s="440">
        <f t="shared" si="8"/>
        <v>2.2</v>
      </c>
      <c r="P337" s="440">
        <f t="shared" si="9"/>
        <v>0.03</v>
      </c>
      <c r="Q337">
        <f t="array" ref="Q337">IF(I337&gt;0,INDEX(DB,I337,9),EventIndex)</f>
        <v>6</v>
      </c>
      <c r="S337" s="447">
        <f t="array" ref="S337">INDEX(MINVALUES,$Q337,$K$1)</f>
        <v>2.2</v>
      </c>
      <c r="T337" s="448">
        <f t="array" ref="T337">INDEX(INCVALUES,$Q337,$K$1)</f>
        <v>0.03</v>
      </c>
      <c r="V337">
        <f t="array" ref="V337">+J337+(4*(INDEX(MatchScoreTable,$Q337,20)-1))</f>
        <v>4</v>
      </c>
      <c r="W337" s="442">
        <f t="array" ref="W337">INDEX(INC_MINVALUES,$V337,$K$1)</f>
        <v>0.2</v>
      </c>
      <c r="X337" s="212">
        <f t="array" ref="X337">INDEX(INC_INCVALUES,$V337,$K$1)</f>
        <v>0.02</v>
      </c>
    </row>
    <row r="338" ht="15.75" customHeight="1">
      <c r="A338" s="435"/>
      <c r="B338" s="436"/>
      <c r="C338" s="95" t="str">
        <f t="array" ref="C338">IF(I338&gt;0,INDEX(DB,I338,8),"")</f>
        <v/>
      </c>
      <c r="D338" s="437">
        <f t="shared" si="1"/>
        <v>0</v>
      </c>
      <c r="F338" s="438">
        <f t="shared" si="2"/>
        <v>0</v>
      </c>
      <c r="G338" t="str">
        <f t="shared" si="3"/>
        <v/>
      </c>
      <c r="H338" t="b">
        <f t="shared" si="4"/>
        <v>0</v>
      </c>
      <c r="I338" s="439">
        <f>IF(OR(ISBLANK(A338),ISNA(MATCH(A338&amp;"",AthleteNumbers,0))),0,MATCH(A338&amp;"",AthleteNumbers,0))</f>
        <v>0</v>
      </c>
      <c r="J338" s="209">
        <f t="array" ref="J338">IF(I338&gt;0,INDEX(DB,$I338,6),0)</f>
        <v>0</v>
      </c>
      <c r="K338" s="446">
        <f t="shared" si="5"/>
        <v>0</v>
      </c>
      <c r="L338" s="446">
        <f t="shared" si="6"/>
        <v>0</v>
      </c>
      <c r="M338" s="441">
        <f>IF(L338&lt;O338,MinPoints,IF(AND(L338&gt;N338,O338&gt;0),100,+INT(($L338-O338)/P338)+MinPoints))</f>
        <v>10</v>
      </c>
      <c r="N338" s="440">
        <f t="shared" si="7"/>
        <v>4.9</v>
      </c>
      <c r="O338" s="440">
        <f t="shared" si="8"/>
        <v>2.2</v>
      </c>
      <c r="P338" s="440">
        <f t="shared" si="9"/>
        <v>0.03</v>
      </c>
      <c r="Q338">
        <f t="array" ref="Q338">IF(I338&gt;0,INDEX(DB,I338,9),EventIndex)</f>
        <v>6</v>
      </c>
      <c r="S338" s="447">
        <f t="array" ref="S338">INDEX(MINVALUES,$Q338,$K$1)</f>
        <v>2.2</v>
      </c>
      <c r="T338" s="448">
        <f t="array" ref="T338">INDEX(INCVALUES,$Q338,$K$1)</f>
        <v>0.03</v>
      </c>
      <c r="V338">
        <f t="array" ref="V338">+J338+(4*(INDEX(MatchScoreTable,$Q338,20)-1))</f>
        <v>4</v>
      </c>
      <c r="W338" s="442">
        <f t="array" ref="W338">INDEX(INC_MINVALUES,$V338,$K$1)</f>
        <v>0.2</v>
      </c>
      <c r="X338" s="212">
        <f t="array" ref="X338">INDEX(INC_INCVALUES,$V338,$K$1)</f>
        <v>0.02</v>
      </c>
    </row>
    <row r="339" ht="15.75" customHeight="1">
      <c r="A339" s="435"/>
      <c r="B339" s="436"/>
      <c r="C339" s="95" t="str">
        <f t="array" ref="C339">IF(I339&gt;0,INDEX(DB,I339,8),"")</f>
        <v/>
      </c>
      <c r="D339" s="437">
        <f t="shared" si="1"/>
        <v>0</v>
      </c>
      <c r="F339" s="438">
        <f t="shared" si="2"/>
        <v>0</v>
      </c>
      <c r="G339" t="str">
        <f t="shared" si="3"/>
        <v/>
      </c>
      <c r="H339" t="b">
        <f t="shared" si="4"/>
        <v>0</v>
      </c>
      <c r="I339" s="439">
        <f>IF(OR(ISBLANK(A339),ISNA(MATCH(A339&amp;"",AthleteNumbers,0))),0,MATCH(A339&amp;"",AthleteNumbers,0))</f>
        <v>0</v>
      </c>
      <c r="J339" s="209">
        <f t="array" ref="J339">IF(I339&gt;0,INDEX(DB,$I339,6),0)</f>
        <v>0</v>
      </c>
      <c r="K339" s="446">
        <f t="shared" si="5"/>
        <v>0</v>
      </c>
      <c r="L339" s="446">
        <f t="shared" si="6"/>
        <v>0</v>
      </c>
      <c r="M339" s="441">
        <f>IF(L339&lt;O339,MinPoints,IF(AND(L339&gt;N339,O339&gt;0),100,+INT(($L339-O339)/P339)+MinPoints))</f>
        <v>10</v>
      </c>
      <c r="N339" s="440">
        <f t="shared" si="7"/>
        <v>4.9</v>
      </c>
      <c r="O339" s="440">
        <f t="shared" si="8"/>
        <v>2.2</v>
      </c>
      <c r="P339" s="440">
        <f t="shared" si="9"/>
        <v>0.03</v>
      </c>
      <c r="Q339">
        <f t="array" ref="Q339">IF(I339&gt;0,INDEX(DB,I339,9),EventIndex)</f>
        <v>6</v>
      </c>
      <c r="S339" s="447">
        <f t="array" ref="S339">INDEX(MINVALUES,$Q339,$K$1)</f>
        <v>2.2</v>
      </c>
      <c r="T339" s="448">
        <f t="array" ref="T339">INDEX(INCVALUES,$Q339,$K$1)</f>
        <v>0.03</v>
      </c>
      <c r="V339">
        <f t="array" ref="V339">+J339+(4*(INDEX(MatchScoreTable,$Q339,20)-1))</f>
        <v>4</v>
      </c>
      <c r="W339" s="442">
        <f t="array" ref="W339">INDEX(INC_MINVALUES,$V339,$K$1)</f>
        <v>0.2</v>
      </c>
      <c r="X339" s="212">
        <f t="array" ref="X339">INDEX(INC_INCVALUES,$V339,$K$1)</f>
        <v>0.02</v>
      </c>
    </row>
    <row r="340" ht="15.75" customHeight="1">
      <c r="A340" s="435"/>
      <c r="B340" s="436"/>
      <c r="C340" s="95" t="str">
        <f t="array" ref="C340">IF(I340&gt;0,INDEX(DB,I340,8),"")</f>
        <v/>
      </c>
      <c r="D340" s="437">
        <f t="shared" si="1"/>
        <v>0</v>
      </c>
      <c r="F340" s="438">
        <f t="shared" si="2"/>
        <v>0</v>
      </c>
      <c r="G340" t="str">
        <f t="shared" si="3"/>
        <v/>
      </c>
      <c r="H340" t="b">
        <f t="shared" si="4"/>
        <v>0</v>
      </c>
      <c r="I340" s="439">
        <f>IF(OR(ISBLANK(A340),ISNA(MATCH(A340&amp;"",AthleteNumbers,0))),0,MATCH(A340&amp;"",AthleteNumbers,0))</f>
        <v>0</v>
      </c>
      <c r="J340" s="209">
        <f t="array" ref="J340">IF(I340&gt;0,INDEX(DB,$I340,6),0)</f>
        <v>0</v>
      </c>
      <c r="K340" s="446">
        <f t="shared" si="5"/>
        <v>0</v>
      </c>
      <c r="L340" s="446">
        <f t="shared" si="6"/>
        <v>0</v>
      </c>
      <c r="M340" s="441">
        <f>IF(L340&lt;O340,MinPoints,IF(AND(L340&gt;N340,O340&gt;0),100,+INT(($L340-O340)/P340)+MinPoints))</f>
        <v>10</v>
      </c>
      <c r="N340" s="440">
        <f t="shared" si="7"/>
        <v>4.9</v>
      </c>
      <c r="O340" s="440">
        <f t="shared" si="8"/>
        <v>2.2</v>
      </c>
      <c r="P340" s="440">
        <f t="shared" si="9"/>
        <v>0.03</v>
      </c>
      <c r="Q340">
        <f t="array" ref="Q340">IF(I340&gt;0,INDEX(DB,I340,9),EventIndex)</f>
        <v>6</v>
      </c>
      <c r="S340" s="447">
        <f t="array" ref="S340">INDEX(MINVALUES,$Q340,$K$1)</f>
        <v>2.2</v>
      </c>
      <c r="T340" s="448">
        <f t="array" ref="T340">INDEX(INCVALUES,$Q340,$K$1)</f>
        <v>0.03</v>
      </c>
      <c r="V340">
        <f t="array" ref="V340">+J340+(4*(INDEX(MatchScoreTable,$Q340,20)-1))</f>
        <v>4</v>
      </c>
      <c r="W340" s="442">
        <f t="array" ref="W340">INDEX(INC_MINVALUES,$V340,$K$1)</f>
        <v>0.2</v>
      </c>
      <c r="X340" s="212">
        <f t="array" ref="X340">INDEX(INC_INCVALUES,$V340,$K$1)</f>
        <v>0.02</v>
      </c>
    </row>
    <row r="341" ht="15.75" customHeight="1">
      <c r="A341" s="435"/>
      <c r="B341" s="436"/>
      <c r="C341" s="95" t="str">
        <f t="array" ref="C341">IF(I341&gt;0,INDEX(DB,I341,8),"")</f>
        <v/>
      </c>
      <c r="D341" s="437">
        <f t="shared" si="1"/>
        <v>0</v>
      </c>
      <c r="F341" s="438">
        <f t="shared" si="2"/>
        <v>0</v>
      </c>
      <c r="G341" t="str">
        <f t="shared" si="3"/>
        <v/>
      </c>
      <c r="H341" t="b">
        <f t="shared" si="4"/>
        <v>0</v>
      </c>
      <c r="I341" s="439">
        <f>IF(OR(ISBLANK(A341),ISNA(MATCH(A341&amp;"",AthleteNumbers,0))),0,MATCH(A341&amp;"",AthleteNumbers,0))</f>
        <v>0</v>
      </c>
      <c r="J341" s="209">
        <f t="array" ref="J341">IF(I341&gt;0,INDEX(DB,$I341,6),0)</f>
        <v>0</v>
      </c>
      <c r="K341" s="446">
        <f t="shared" si="5"/>
        <v>0</v>
      </c>
      <c r="L341" s="446">
        <f t="shared" si="6"/>
        <v>0</v>
      </c>
      <c r="M341" s="441">
        <f>IF(L341&lt;O341,MinPoints,IF(AND(L341&gt;N341,O341&gt;0),100,+INT(($L341-O341)/P341)+MinPoints))</f>
        <v>10</v>
      </c>
      <c r="N341" s="440">
        <f t="shared" si="7"/>
        <v>4.9</v>
      </c>
      <c r="O341" s="440">
        <f t="shared" si="8"/>
        <v>2.2</v>
      </c>
      <c r="P341" s="440">
        <f t="shared" si="9"/>
        <v>0.03</v>
      </c>
      <c r="Q341">
        <f t="array" ref="Q341">IF(I341&gt;0,INDEX(DB,I341,9),EventIndex)</f>
        <v>6</v>
      </c>
      <c r="S341" s="447">
        <f t="array" ref="S341">INDEX(MINVALUES,$Q341,$K$1)</f>
        <v>2.2</v>
      </c>
      <c r="T341" s="448">
        <f t="array" ref="T341">INDEX(INCVALUES,$Q341,$K$1)</f>
        <v>0.03</v>
      </c>
      <c r="V341">
        <f t="array" ref="V341">+J341+(4*(INDEX(MatchScoreTable,$Q341,20)-1))</f>
        <v>4</v>
      </c>
      <c r="W341" s="442">
        <f t="array" ref="W341">INDEX(INC_MINVALUES,$V341,$K$1)</f>
        <v>0.2</v>
      </c>
      <c r="X341" s="212">
        <f t="array" ref="X341">INDEX(INC_INCVALUES,$V341,$K$1)</f>
        <v>0.02</v>
      </c>
    </row>
    <row r="342" ht="15.75" customHeight="1">
      <c r="A342" s="435"/>
      <c r="B342" s="436"/>
      <c r="C342" s="95" t="str">
        <f t="array" ref="C342">IF(I342&gt;0,INDEX(DB,I342,8),"")</f>
        <v/>
      </c>
      <c r="D342" s="437">
        <f t="shared" si="1"/>
        <v>0</v>
      </c>
      <c r="F342" s="438">
        <f t="shared" si="2"/>
        <v>0</v>
      </c>
      <c r="G342" t="str">
        <f t="shared" si="3"/>
        <v/>
      </c>
      <c r="H342" t="b">
        <f t="shared" si="4"/>
        <v>0</v>
      </c>
      <c r="I342" s="439">
        <f>IF(OR(ISBLANK(A342),ISNA(MATCH(A342&amp;"",AthleteNumbers,0))),0,MATCH(A342&amp;"",AthleteNumbers,0))</f>
        <v>0</v>
      </c>
      <c r="J342" s="209">
        <f t="array" ref="J342">IF(I342&gt;0,INDEX(DB,$I342,6),0)</f>
        <v>0</v>
      </c>
      <c r="K342" s="446">
        <f t="shared" si="5"/>
        <v>0</v>
      </c>
      <c r="L342" s="446">
        <f t="shared" si="6"/>
        <v>0</v>
      </c>
      <c r="M342" s="441">
        <f>IF(L342&lt;O342,MinPoints,IF(AND(L342&gt;N342,O342&gt;0),100,+INT(($L342-O342)/P342)+MinPoints))</f>
        <v>10</v>
      </c>
      <c r="N342" s="440">
        <f t="shared" si="7"/>
        <v>4.9</v>
      </c>
      <c r="O342" s="440">
        <f t="shared" si="8"/>
        <v>2.2</v>
      </c>
      <c r="P342" s="440">
        <f t="shared" si="9"/>
        <v>0.03</v>
      </c>
      <c r="Q342">
        <f t="array" ref="Q342">IF(I342&gt;0,INDEX(DB,I342,9),EventIndex)</f>
        <v>6</v>
      </c>
      <c r="S342" s="447">
        <f t="array" ref="S342">INDEX(MINVALUES,$Q342,$K$1)</f>
        <v>2.2</v>
      </c>
      <c r="T342" s="448">
        <f t="array" ref="T342">INDEX(INCVALUES,$Q342,$K$1)</f>
        <v>0.03</v>
      </c>
      <c r="V342">
        <f t="array" ref="V342">+J342+(4*(INDEX(MatchScoreTable,$Q342,20)-1))</f>
        <v>4</v>
      </c>
      <c r="W342" s="442">
        <f t="array" ref="W342">INDEX(INC_MINVALUES,$V342,$K$1)</f>
        <v>0.2</v>
      </c>
      <c r="X342" s="212">
        <f t="array" ref="X342">INDEX(INC_INCVALUES,$V342,$K$1)</f>
        <v>0.02</v>
      </c>
    </row>
    <row r="343" ht="15.75" customHeight="1">
      <c r="A343" s="435"/>
      <c r="B343" s="436"/>
      <c r="C343" s="95" t="str">
        <f t="array" ref="C343">IF(I343&gt;0,INDEX(DB,I343,8),"")</f>
        <v/>
      </c>
      <c r="D343" s="437">
        <f t="shared" si="1"/>
        <v>0</v>
      </c>
      <c r="F343" s="438">
        <f t="shared" si="2"/>
        <v>0</v>
      </c>
      <c r="G343" t="str">
        <f t="shared" si="3"/>
        <v/>
      </c>
      <c r="H343" t="b">
        <f t="shared" si="4"/>
        <v>0</v>
      </c>
      <c r="I343" s="439">
        <f>IF(OR(ISBLANK(A343),ISNA(MATCH(A343&amp;"",AthleteNumbers,0))),0,MATCH(A343&amp;"",AthleteNumbers,0))</f>
        <v>0</v>
      </c>
      <c r="J343" s="209">
        <f t="array" ref="J343">IF(I343&gt;0,INDEX(DB,$I343,6),0)</f>
        <v>0</v>
      </c>
      <c r="K343" s="446">
        <f t="shared" si="5"/>
        <v>0</v>
      </c>
      <c r="L343" s="446">
        <f t="shared" si="6"/>
        <v>0</v>
      </c>
      <c r="M343" s="441">
        <f>IF(L343&lt;O343,MinPoints,IF(AND(L343&gt;N343,O343&gt;0),100,+INT(($L343-O343)/P343)+MinPoints))</f>
        <v>10</v>
      </c>
      <c r="N343" s="440">
        <f t="shared" si="7"/>
        <v>4.9</v>
      </c>
      <c r="O343" s="440">
        <f t="shared" si="8"/>
        <v>2.2</v>
      </c>
      <c r="P343" s="440">
        <f t="shared" si="9"/>
        <v>0.03</v>
      </c>
      <c r="Q343">
        <f t="array" ref="Q343">IF(I343&gt;0,INDEX(DB,I343,9),EventIndex)</f>
        <v>6</v>
      </c>
      <c r="S343" s="447">
        <f t="array" ref="S343">INDEX(MINVALUES,$Q343,$K$1)</f>
        <v>2.2</v>
      </c>
      <c r="T343" s="448">
        <f t="array" ref="T343">INDEX(INCVALUES,$Q343,$K$1)</f>
        <v>0.03</v>
      </c>
      <c r="V343">
        <f t="array" ref="V343">+J343+(4*(INDEX(MatchScoreTable,$Q343,20)-1))</f>
        <v>4</v>
      </c>
      <c r="W343" s="442">
        <f t="array" ref="W343">INDEX(INC_MINVALUES,$V343,$K$1)</f>
        <v>0.2</v>
      </c>
      <c r="X343" s="212">
        <f t="array" ref="X343">INDEX(INC_INCVALUES,$V343,$K$1)</f>
        <v>0.02</v>
      </c>
    </row>
    <row r="344" ht="15.75" customHeight="1">
      <c r="A344" s="435"/>
      <c r="B344" s="436"/>
      <c r="C344" s="95" t="str">
        <f t="array" ref="C344">IF(I344&gt;0,INDEX(DB,I344,8),"")</f>
        <v/>
      </c>
      <c r="D344" s="437">
        <f t="shared" si="1"/>
        <v>0</v>
      </c>
      <c r="F344" s="438">
        <f t="shared" si="2"/>
        <v>0</v>
      </c>
      <c r="G344" t="str">
        <f t="shared" si="3"/>
        <v/>
      </c>
      <c r="H344" t="b">
        <f t="shared" si="4"/>
        <v>0</v>
      </c>
      <c r="I344" s="439">
        <f>IF(OR(ISBLANK(A344),ISNA(MATCH(A344&amp;"",AthleteNumbers,0))),0,MATCH(A344&amp;"",AthleteNumbers,0))</f>
        <v>0</v>
      </c>
      <c r="J344" s="209">
        <f t="array" ref="J344">IF(I344&gt;0,INDEX(DB,$I344,6),0)</f>
        <v>0</v>
      </c>
      <c r="K344" s="446">
        <f t="shared" si="5"/>
        <v>0</v>
      </c>
      <c r="L344" s="446">
        <f t="shared" si="6"/>
        <v>0</v>
      </c>
      <c r="M344" s="441">
        <f>IF(L344&lt;O344,MinPoints,IF(AND(L344&gt;N344,O344&gt;0),100,+INT(($L344-O344)/P344)+MinPoints))</f>
        <v>10</v>
      </c>
      <c r="N344" s="440">
        <f t="shared" si="7"/>
        <v>4.9</v>
      </c>
      <c r="O344" s="440">
        <f t="shared" si="8"/>
        <v>2.2</v>
      </c>
      <c r="P344" s="440">
        <f t="shared" si="9"/>
        <v>0.03</v>
      </c>
      <c r="Q344">
        <f t="array" ref="Q344">IF(I344&gt;0,INDEX(DB,I344,9),EventIndex)</f>
        <v>6</v>
      </c>
      <c r="S344" s="447">
        <f t="array" ref="S344">INDEX(MINVALUES,$Q344,$K$1)</f>
        <v>2.2</v>
      </c>
      <c r="T344" s="448">
        <f t="array" ref="T344">INDEX(INCVALUES,$Q344,$K$1)</f>
        <v>0.03</v>
      </c>
      <c r="V344">
        <f t="array" ref="V344">+J344+(4*(INDEX(MatchScoreTable,$Q344,20)-1))</f>
        <v>4</v>
      </c>
      <c r="W344" s="442">
        <f t="array" ref="W344">INDEX(INC_MINVALUES,$V344,$K$1)</f>
        <v>0.2</v>
      </c>
      <c r="X344" s="212">
        <f t="array" ref="X344">INDEX(INC_INCVALUES,$V344,$K$1)</f>
        <v>0.02</v>
      </c>
    </row>
    <row r="345" ht="15.75" customHeight="1">
      <c r="A345" s="435"/>
      <c r="B345" s="436"/>
      <c r="C345" s="95" t="str">
        <f t="array" ref="C345">IF(I345&gt;0,INDEX(DB,I345,8),"")</f>
        <v/>
      </c>
      <c r="D345" s="437">
        <f t="shared" si="1"/>
        <v>0</v>
      </c>
      <c r="F345" s="438">
        <f t="shared" si="2"/>
        <v>0</v>
      </c>
      <c r="G345" t="str">
        <f t="shared" si="3"/>
        <v/>
      </c>
      <c r="H345" t="b">
        <f t="shared" si="4"/>
        <v>0</v>
      </c>
      <c r="I345" s="439">
        <f>IF(OR(ISBLANK(A345),ISNA(MATCH(A345&amp;"",AthleteNumbers,0))),0,MATCH(A345&amp;"",AthleteNumbers,0))</f>
        <v>0</v>
      </c>
      <c r="J345" s="209">
        <f t="array" ref="J345">IF(I345&gt;0,INDEX(DB,$I345,6),0)</f>
        <v>0</v>
      </c>
      <c r="K345" s="446">
        <f t="shared" si="5"/>
        <v>0</v>
      </c>
      <c r="L345" s="446">
        <f t="shared" si="6"/>
        <v>0</v>
      </c>
      <c r="M345" s="441">
        <f>IF(L345&lt;O345,MinPoints,IF(AND(L345&gt;N345,O345&gt;0),100,+INT(($L345-O345)/P345)+MinPoints))</f>
        <v>10</v>
      </c>
      <c r="N345" s="440">
        <f t="shared" si="7"/>
        <v>4.9</v>
      </c>
      <c r="O345" s="440">
        <f t="shared" si="8"/>
        <v>2.2</v>
      </c>
      <c r="P345" s="440">
        <f t="shared" si="9"/>
        <v>0.03</v>
      </c>
      <c r="Q345">
        <f t="array" ref="Q345">IF(I345&gt;0,INDEX(DB,I345,9),EventIndex)</f>
        <v>6</v>
      </c>
      <c r="S345" s="447">
        <f t="array" ref="S345">INDEX(MINVALUES,$Q345,$K$1)</f>
        <v>2.2</v>
      </c>
      <c r="T345" s="448">
        <f t="array" ref="T345">INDEX(INCVALUES,$Q345,$K$1)</f>
        <v>0.03</v>
      </c>
      <c r="V345">
        <f t="array" ref="V345">+J345+(4*(INDEX(MatchScoreTable,$Q345,20)-1))</f>
        <v>4</v>
      </c>
      <c r="W345" s="442">
        <f t="array" ref="W345">INDEX(INC_MINVALUES,$V345,$K$1)</f>
        <v>0.2</v>
      </c>
      <c r="X345" s="212">
        <f t="array" ref="X345">INDEX(INC_INCVALUES,$V345,$K$1)</f>
        <v>0.02</v>
      </c>
    </row>
    <row r="346" ht="15.75" customHeight="1">
      <c r="A346" s="435"/>
      <c r="B346" s="436"/>
      <c r="C346" s="95" t="str">
        <f t="array" ref="C346">IF(I346&gt;0,INDEX(DB,I346,8),"")</f>
        <v/>
      </c>
      <c r="D346" s="437">
        <f t="shared" si="1"/>
        <v>0</v>
      </c>
      <c r="F346" s="438">
        <f t="shared" si="2"/>
        <v>0</v>
      </c>
      <c r="G346" t="str">
        <f t="shared" si="3"/>
        <v/>
      </c>
      <c r="H346" t="b">
        <f t="shared" si="4"/>
        <v>0</v>
      </c>
      <c r="I346" s="439">
        <f>IF(OR(ISBLANK(A346),ISNA(MATCH(A346&amp;"",AthleteNumbers,0))),0,MATCH(A346&amp;"",AthleteNumbers,0))</f>
        <v>0</v>
      </c>
      <c r="J346" s="209">
        <f t="array" ref="J346">IF(I346&gt;0,INDEX(DB,$I346,6),0)</f>
        <v>0</v>
      </c>
      <c r="K346" s="446">
        <f t="shared" si="5"/>
        <v>0</v>
      </c>
      <c r="L346" s="446">
        <f t="shared" si="6"/>
        <v>0</v>
      </c>
      <c r="M346" s="441">
        <f>IF(L346&lt;O346,MinPoints,IF(AND(L346&gt;N346,O346&gt;0),100,+INT(($L346-O346)/P346)+MinPoints))</f>
        <v>10</v>
      </c>
      <c r="N346" s="440">
        <f t="shared" si="7"/>
        <v>4.9</v>
      </c>
      <c r="O346" s="440">
        <f t="shared" si="8"/>
        <v>2.2</v>
      </c>
      <c r="P346" s="440">
        <f t="shared" si="9"/>
        <v>0.03</v>
      </c>
      <c r="Q346">
        <f t="array" ref="Q346">IF(I346&gt;0,INDEX(DB,I346,9),EventIndex)</f>
        <v>6</v>
      </c>
      <c r="S346" s="447">
        <f t="array" ref="S346">INDEX(MINVALUES,$Q346,$K$1)</f>
        <v>2.2</v>
      </c>
      <c r="T346" s="448">
        <f t="array" ref="T346">INDEX(INCVALUES,$Q346,$K$1)</f>
        <v>0.03</v>
      </c>
      <c r="V346">
        <f t="array" ref="V346">+J346+(4*(INDEX(MatchScoreTable,$Q346,20)-1))</f>
        <v>4</v>
      </c>
      <c r="W346" s="442">
        <f t="array" ref="W346">INDEX(INC_MINVALUES,$V346,$K$1)</f>
        <v>0.2</v>
      </c>
      <c r="X346" s="212">
        <f t="array" ref="X346">INDEX(INC_INCVALUES,$V346,$K$1)</f>
        <v>0.02</v>
      </c>
    </row>
    <row r="347" ht="15.75" customHeight="1">
      <c r="A347" s="435"/>
      <c r="B347" s="436"/>
      <c r="C347" s="95" t="str">
        <f t="array" ref="C347">IF(I347&gt;0,INDEX(DB,I347,8),"")</f>
        <v/>
      </c>
      <c r="D347" s="437">
        <f t="shared" si="1"/>
        <v>0</v>
      </c>
      <c r="F347" s="438">
        <f t="shared" si="2"/>
        <v>0</v>
      </c>
      <c r="G347" t="str">
        <f t="shared" si="3"/>
        <v/>
      </c>
      <c r="H347" t="b">
        <f t="shared" si="4"/>
        <v>0</v>
      </c>
      <c r="I347" s="439">
        <f>IF(OR(ISBLANK(A347),ISNA(MATCH(A347&amp;"",AthleteNumbers,0))),0,MATCH(A347&amp;"",AthleteNumbers,0))</f>
        <v>0</v>
      </c>
      <c r="J347" s="209">
        <f t="array" ref="J347">IF(I347&gt;0,INDEX(DB,$I347,6),0)</f>
        <v>0</v>
      </c>
      <c r="K347" s="446">
        <f t="shared" si="5"/>
        <v>0</v>
      </c>
      <c r="L347" s="446">
        <f t="shared" si="6"/>
        <v>0</v>
      </c>
      <c r="M347" s="441">
        <f>IF(L347&lt;O347,MinPoints,IF(AND(L347&gt;N347,O347&gt;0),100,+INT(($L347-O347)/P347)+MinPoints))</f>
        <v>10</v>
      </c>
      <c r="N347" s="440">
        <f t="shared" si="7"/>
        <v>4.9</v>
      </c>
      <c r="O347" s="440">
        <f t="shared" si="8"/>
        <v>2.2</v>
      </c>
      <c r="P347" s="440">
        <f t="shared" si="9"/>
        <v>0.03</v>
      </c>
      <c r="Q347">
        <f t="array" ref="Q347">IF(I347&gt;0,INDEX(DB,I347,9),EventIndex)</f>
        <v>6</v>
      </c>
      <c r="S347" s="447">
        <f t="array" ref="S347">INDEX(MINVALUES,$Q347,$K$1)</f>
        <v>2.2</v>
      </c>
      <c r="T347" s="448">
        <f t="array" ref="T347">INDEX(INCVALUES,$Q347,$K$1)</f>
        <v>0.03</v>
      </c>
      <c r="V347">
        <f t="array" ref="V347">+J347+(4*(INDEX(MatchScoreTable,$Q347,20)-1))</f>
        <v>4</v>
      </c>
      <c r="W347" s="442">
        <f t="array" ref="W347">INDEX(INC_MINVALUES,$V347,$K$1)</f>
        <v>0.2</v>
      </c>
      <c r="X347" s="212">
        <f t="array" ref="X347">INDEX(INC_INCVALUES,$V347,$K$1)</f>
        <v>0.02</v>
      </c>
    </row>
    <row r="348" ht="15.75" customHeight="1">
      <c r="A348" s="435"/>
      <c r="B348" s="436"/>
      <c r="C348" s="95" t="str">
        <f t="array" ref="C348">IF(I348&gt;0,INDEX(DB,I348,8),"")</f>
        <v/>
      </c>
      <c r="D348" s="437">
        <f t="shared" si="1"/>
        <v>0</v>
      </c>
      <c r="F348" s="438">
        <f t="shared" si="2"/>
        <v>0</v>
      </c>
      <c r="G348" t="str">
        <f t="shared" si="3"/>
        <v/>
      </c>
      <c r="H348" t="b">
        <f t="shared" si="4"/>
        <v>0</v>
      </c>
      <c r="I348" s="439">
        <f>IF(OR(ISBLANK(A348),ISNA(MATCH(A348&amp;"",AthleteNumbers,0))),0,MATCH(A348&amp;"",AthleteNumbers,0))</f>
        <v>0</v>
      </c>
      <c r="J348" s="209">
        <f t="array" ref="J348">IF(I348&gt;0,INDEX(DB,$I348,6),0)</f>
        <v>0</v>
      </c>
      <c r="K348" s="446">
        <f t="shared" si="5"/>
        <v>0</v>
      </c>
      <c r="L348" s="446">
        <f t="shared" si="6"/>
        <v>0</v>
      </c>
      <c r="M348" s="441">
        <f>IF(L348&lt;O348,MinPoints,IF(AND(L348&gt;N348,O348&gt;0),100,+INT(($L348-O348)/P348)+MinPoints))</f>
        <v>10</v>
      </c>
      <c r="N348" s="440">
        <f t="shared" si="7"/>
        <v>4.9</v>
      </c>
      <c r="O348" s="440">
        <f t="shared" si="8"/>
        <v>2.2</v>
      </c>
      <c r="P348" s="440">
        <f t="shared" si="9"/>
        <v>0.03</v>
      </c>
      <c r="Q348">
        <f t="array" ref="Q348">IF(I348&gt;0,INDEX(DB,I348,9),EventIndex)</f>
        <v>6</v>
      </c>
      <c r="S348" s="447">
        <f t="array" ref="S348">INDEX(MINVALUES,$Q348,$K$1)</f>
        <v>2.2</v>
      </c>
      <c r="T348" s="448">
        <f t="array" ref="T348">INDEX(INCVALUES,$Q348,$K$1)</f>
        <v>0.03</v>
      </c>
      <c r="V348">
        <f t="array" ref="V348">+J348+(4*(INDEX(MatchScoreTable,$Q348,20)-1))</f>
        <v>4</v>
      </c>
      <c r="W348" s="442">
        <f t="array" ref="W348">INDEX(INC_MINVALUES,$V348,$K$1)</f>
        <v>0.2</v>
      </c>
      <c r="X348" s="212">
        <f t="array" ref="X348">INDEX(INC_INCVALUES,$V348,$K$1)</f>
        <v>0.02</v>
      </c>
    </row>
    <row r="349" ht="15.75" customHeight="1">
      <c r="A349" s="435"/>
      <c r="B349" s="436"/>
      <c r="C349" s="95" t="str">
        <f t="array" ref="C349">IF(I349&gt;0,INDEX(DB,I349,8),"")</f>
        <v/>
      </c>
      <c r="D349" s="437">
        <f t="shared" si="1"/>
        <v>0</v>
      </c>
      <c r="F349" s="438">
        <f t="shared" si="2"/>
        <v>0</v>
      </c>
      <c r="G349" t="str">
        <f t="shared" si="3"/>
        <v/>
      </c>
      <c r="H349" t="b">
        <f t="shared" si="4"/>
        <v>0</v>
      </c>
      <c r="I349" s="439">
        <f>IF(OR(ISBLANK(A349),ISNA(MATCH(A349&amp;"",AthleteNumbers,0))),0,MATCH(A349&amp;"",AthleteNumbers,0))</f>
        <v>0</v>
      </c>
      <c r="J349" s="209">
        <f t="array" ref="J349">IF(I349&gt;0,INDEX(DB,$I349,6),0)</f>
        <v>0</v>
      </c>
      <c r="K349" s="446">
        <f t="shared" si="5"/>
        <v>0</v>
      </c>
      <c r="L349" s="446">
        <f t="shared" si="6"/>
        <v>0</v>
      </c>
      <c r="M349" s="441">
        <f>IF(L349&lt;O349,MinPoints,IF(AND(L349&gt;N349,O349&gt;0),100,+INT(($L349-O349)/P349)+MinPoints))</f>
        <v>10</v>
      </c>
      <c r="N349" s="440">
        <f t="shared" si="7"/>
        <v>4.9</v>
      </c>
      <c r="O349" s="440">
        <f t="shared" si="8"/>
        <v>2.2</v>
      </c>
      <c r="P349" s="440">
        <f t="shared" si="9"/>
        <v>0.03</v>
      </c>
      <c r="Q349">
        <f t="array" ref="Q349">IF(I349&gt;0,INDEX(DB,I349,9),EventIndex)</f>
        <v>6</v>
      </c>
      <c r="S349" s="447">
        <f t="array" ref="S349">INDEX(MINVALUES,$Q349,$K$1)</f>
        <v>2.2</v>
      </c>
      <c r="T349" s="448">
        <f t="array" ref="T349">INDEX(INCVALUES,$Q349,$K$1)</f>
        <v>0.03</v>
      </c>
      <c r="V349">
        <f t="array" ref="V349">+J349+(4*(INDEX(MatchScoreTable,$Q349,20)-1))</f>
        <v>4</v>
      </c>
      <c r="W349" s="442">
        <f t="array" ref="W349">INDEX(INC_MINVALUES,$V349,$K$1)</f>
        <v>0.2</v>
      </c>
      <c r="X349" s="212">
        <f t="array" ref="X349">INDEX(INC_INCVALUES,$V349,$K$1)</f>
        <v>0.02</v>
      </c>
    </row>
    <row r="350" ht="15.75" customHeight="1">
      <c r="A350" s="435"/>
      <c r="B350" s="436"/>
      <c r="C350" s="95" t="str">
        <f t="array" ref="C350">IF(I350&gt;0,INDEX(DB,I350,8),"")</f>
        <v/>
      </c>
      <c r="D350" s="437">
        <f t="shared" si="1"/>
        <v>0</v>
      </c>
      <c r="F350" s="438">
        <f t="shared" si="2"/>
        <v>0</v>
      </c>
      <c r="G350" t="str">
        <f t="shared" si="3"/>
        <v/>
      </c>
      <c r="H350" t="b">
        <f t="shared" si="4"/>
        <v>0</v>
      </c>
      <c r="I350" s="439">
        <f>IF(OR(ISBLANK(A350),ISNA(MATCH(A350&amp;"",AthleteNumbers,0))),0,MATCH(A350&amp;"",AthleteNumbers,0))</f>
        <v>0</v>
      </c>
      <c r="J350" s="209">
        <f t="array" ref="J350">IF(I350&gt;0,INDEX(DB,$I350,6),0)</f>
        <v>0</v>
      </c>
      <c r="K350" s="446">
        <f t="shared" si="5"/>
        <v>0</v>
      </c>
      <c r="L350" s="446">
        <f t="shared" si="6"/>
        <v>0</v>
      </c>
      <c r="M350" s="441">
        <f>IF(L350&lt;O350,MinPoints,IF(AND(L350&gt;N350,O350&gt;0),100,+INT(($L350-O350)/P350)+MinPoints))</f>
        <v>10</v>
      </c>
      <c r="N350" s="440">
        <f t="shared" si="7"/>
        <v>4.9</v>
      </c>
      <c r="O350" s="440">
        <f t="shared" si="8"/>
        <v>2.2</v>
      </c>
      <c r="P350" s="440">
        <f t="shared" si="9"/>
        <v>0.03</v>
      </c>
      <c r="Q350">
        <f t="array" ref="Q350">IF(I350&gt;0,INDEX(DB,I350,9),EventIndex)</f>
        <v>6</v>
      </c>
      <c r="S350" s="447">
        <f t="array" ref="S350">INDEX(MINVALUES,$Q350,$K$1)</f>
        <v>2.2</v>
      </c>
      <c r="T350" s="448">
        <f t="array" ref="T350">INDEX(INCVALUES,$Q350,$K$1)</f>
        <v>0.03</v>
      </c>
      <c r="V350">
        <f t="array" ref="V350">+J350+(4*(INDEX(MatchScoreTable,$Q350,20)-1))</f>
        <v>4</v>
      </c>
      <c r="W350" s="442">
        <f t="array" ref="W350">INDEX(INC_MINVALUES,$V350,$K$1)</f>
        <v>0.2</v>
      </c>
      <c r="X350" s="212">
        <f t="array" ref="X350">INDEX(INC_INCVALUES,$V350,$K$1)</f>
        <v>0.02</v>
      </c>
    </row>
    <row r="351" ht="15.75" customHeight="1">
      <c r="A351" s="435"/>
      <c r="B351" s="436"/>
      <c r="C351" s="95" t="str">
        <f t="array" ref="C351">IF(I351&gt;0,INDEX(DB,I351,8),"")</f>
        <v/>
      </c>
      <c r="D351" s="437">
        <f t="shared" si="1"/>
        <v>0</v>
      </c>
      <c r="F351" s="438">
        <f t="shared" si="2"/>
        <v>0</v>
      </c>
      <c r="G351" t="str">
        <f t="shared" si="3"/>
        <v/>
      </c>
      <c r="H351" t="b">
        <f t="shared" si="4"/>
        <v>0</v>
      </c>
      <c r="I351" s="439">
        <f>IF(OR(ISBLANK(A351),ISNA(MATCH(A351&amp;"",AthleteNumbers,0))),0,MATCH(A351&amp;"",AthleteNumbers,0))</f>
        <v>0</v>
      </c>
      <c r="J351" s="209">
        <f t="array" ref="J351">IF(I351&gt;0,INDEX(DB,$I351,6),0)</f>
        <v>0</v>
      </c>
      <c r="K351" s="446">
        <f t="shared" si="5"/>
        <v>0</v>
      </c>
      <c r="L351" s="446">
        <f t="shared" si="6"/>
        <v>0</v>
      </c>
      <c r="M351" s="441">
        <f>IF(L351&lt;O351,MinPoints,IF(AND(L351&gt;N351,O351&gt;0),100,+INT(($L351-O351)/P351)+MinPoints))</f>
        <v>10</v>
      </c>
      <c r="N351" s="440">
        <f t="shared" si="7"/>
        <v>4.9</v>
      </c>
      <c r="O351" s="440">
        <f t="shared" si="8"/>
        <v>2.2</v>
      </c>
      <c r="P351" s="440">
        <f t="shared" si="9"/>
        <v>0.03</v>
      </c>
      <c r="Q351">
        <f t="array" ref="Q351">IF(I351&gt;0,INDEX(DB,I351,9),EventIndex)</f>
        <v>6</v>
      </c>
      <c r="S351" s="447">
        <f t="array" ref="S351">INDEX(MINVALUES,$Q351,$K$1)</f>
        <v>2.2</v>
      </c>
      <c r="T351" s="448">
        <f t="array" ref="T351">INDEX(INCVALUES,$Q351,$K$1)</f>
        <v>0.03</v>
      </c>
      <c r="V351">
        <f t="array" ref="V351">+J351+(4*(INDEX(MatchScoreTable,$Q351,20)-1))</f>
        <v>4</v>
      </c>
      <c r="W351" s="442">
        <f t="array" ref="W351">INDEX(INC_MINVALUES,$V351,$K$1)</f>
        <v>0.2</v>
      </c>
      <c r="X351" s="212">
        <f t="array" ref="X351">INDEX(INC_INCVALUES,$V351,$K$1)</f>
        <v>0.02</v>
      </c>
    </row>
    <row r="352" ht="15.75" customHeight="1">
      <c r="A352" s="435"/>
      <c r="B352" s="436"/>
      <c r="C352" s="95" t="str">
        <f t="array" ref="C352">IF(I352&gt;0,INDEX(DB,I352,8),"")</f>
        <v/>
      </c>
      <c r="D352" s="437">
        <f t="shared" si="1"/>
        <v>0</v>
      </c>
      <c r="F352" s="438">
        <f t="shared" si="2"/>
        <v>0</v>
      </c>
      <c r="G352" t="str">
        <f t="shared" si="3"/>
        <v/>
      </c>
      <c r="H352" t="b">
        <f t="shared" si="4"/>
        <v>0</v>
      </c>
      <c r="I352" s="439">
        <f>IF(OR(ISBLANK(A352),ISNA(MATCH(A352&amp;"",AthleteNumbers,0))),0,MATCH(A352&amp;"",AthleteNumbers,0))</f>
        <v>0</v>
      </c>
      <c r="J352" s="209">
        <f t="array" ref="J352">IF(I352&gt;0,INDEX(DB,$I352,6),0)</f>
        <v>0</v>
      </c>
      <c r="K352" s="446">
        <f t="shared" si="5"/>
        <v>0</v>
      </c>
      <c r="L352" s="446">
        <f t="shared" si="6"/>
        <v>0</v>
      </c>
      <c r="M352" s="441">
        <f>IF(L352&lt;O352,MinPoints,IF(AND(L352&gt;N352,O352&gt;0),100,+INT(($L352-O352)/P352)+MinPoints))</f>
        <v>10</v>
      </c>
      <c r="N352" s="440">
        <f t="shared" si="7"/>
        <v>4.9</v>
      </c>
      <c r="O352" s="440">
        <f t="shared" si="8"/>
        <v>2.2</v>
      </c>
      <c r="P352" s="440">
        <f t="shared" si="9"/>
        <v>0.03</v>
      </c>
      <c r="Q352">
        <f t="array" ref="Q352">IF(I352&gt;0,INDEX(DB,I352,9),EventIndex)</f>
        <v>6</v>
      </c>
      <c r="S352" s="447">
        <f t="array" ref="S352">INDEX(MINVALUES,$Q352,$K$1)</f>
        <v>2.2</v>
      </c>
      <c r="T352" s="448">
        <f t="array" ref="T352">INDEX(INCVALUES,$Q352,$K$1)</f>
        <v>0.03</v>
      </c>
      <c r="V352">
        <f t="array" ref="V352">+J352+(4*(INDEX(MatchScoreTable,$Q352,20)-1))</f>
        <v>4</v>
      </c>
      <c r="W352" s="442">
        <f t="array" ref="W352">INDEX(INC_MINVALUES,$V352,$K$1)</f>
        <v>0.2</v>
      </c>
      <c r="X352" s="212">
        <f t="array" ref="X352">INDEX(INC_INCVALUES,$V352,$K$1)</f>
        <v>0.02</v>
      </c>
    </row>
    <row r="353" ht="15.75" customHeight="1">
      <c r="A353" s="435"/>
      <c r="B353" s="436"/>
      <c r="C353" s="95" t="str">
        <f t="array" ref="C353">IF(I353&gt;0,INDEX(DB,I353,8),"")</f>
        <v/>
      </c>
      <c r="D353" s="437">
        <f t="shared" si="1"/>
        <v>0</v>
      </c>
      <c r="F353" s="438">
        <f t="shared" si="2"/>
        <v>0</v>
      </c>
      <c r="G353" t="str">
        <f t="shared" si="3"/>
        <v/>
      </c>
      <c r="H353" t="b">
        <f t="shared" si="4"/>
        <v>0</v>
      </c>
      <c r="I353" s="439">
        <f>IF(OR(ISBLANK(A353),ISNA(MATCH(A353&amp;"",AthleteNumbers,0))),0,MATCH(A353&amp;"",AthleteNumbers,0))</f>
        <v>0</v>
      </c>
      <c r="J353" s="209">
        <f t="array" ref="J353">IF(I353&gt;0,INDEX(DB,$I353,6),0)</f>
        <v>0</v>
      </c>
      <c r="K353" s="446">
        <f t="shared" si="5"/>
        <v>0</v>
      </c>
      <c r="L353" s="446">
        <f t="shared" si="6"/>
        <v>0</v>
      </c>
      <c r="M353" s="441">
        <f>IF(L353&lt;O353,MinPoints,IF(AND(L353&gt;N353,O353&gt;0),100,+INT(($L353-O353)/P353)+MinPoints))</f>
        <v>10</v>
      </c>
      <c r="N353" s="440">
        <f t="shared" si="7"/>
        <v>4.9</v>
      </c>
      <c r="O353" s="440">
        <f t="shared" si="8"/>
        <v>2.2</v>
      </c>
      <c r="P353" s="440">
        <f t="shared" si="9"/>
        <v>0.03</v>
      </c>
      <c r="Q353">
        <f t="array" ref="Q353">IF(I353&gt;0,INDEX(DB,I353,9),EventIndex)</f>
        <v>6</v>
      </c>
      <c r="S353" s="447">
        <f t="array" ref="S353">INDEX(MINVALUES,$Q353,$K$1)</f>
        <v>2.2</v>
      </c>
      <c r="T353" s="448">
        <f t="array" ref="T353">INDEX(INCVALUES,$Q353,$K$1)</f>
        <v>0.03</v>
      </c>
      <c r="V353">
        <f t="array" ref="V353">+J353+(4*(INDEX(MatchScoreTable,$Q353,20)-1))</f>
        <v>4</v>
      </c>
      <c r="W353" s="442">
        <f t="array" ref="W353">INDEX(INC_MINVALUES,$V353,$K$1)</f>
        <v>0.2</v>
      </c>
      <c r="X353" s="212">
        <f t="array" ref="X353">INDEX(INC_INCVALUES,$V353,$K$1)</f>
        <v>0.02</v>
      </c>
    </row>
    <row r="354" ht="15.75" customHeight="1">
      <c r="A354" s="435"/>
      <c r="B354" s="436"/>
      <c r="C354" s="95" t="str">
        <f t="array" ref="C354">IF(I354&gt;0,INDEX(DB,I354,8),"")</f>
        <v/>
      </c>
      <c r="D354" s="437">
        <f t="shared" si="1"/>
        <v>0</v>
      </c>
      <c r="F354" s="438">
        <f t="shared" si="2"/>
        <v>0</v>
      </c>
      <c r="G354" t="str">
        <f t="shared" si="3"/>
        <v/>
      </c>
      <c r="H354" t="b">
        <f t="shared" si="4"/>
        <v>0</v>
      </c>
      <c r="I354" s="439">
        <f>IF(OR(ISBLANK(A354),ISNA(MATCH(A354&amp;"",AthleteNumbers,0))),0,MATCH(A354&amp;"",AthleteNumbers,0))</f>
        <v>0</v>
      </c>
      <c r="J354" s="209">
        <f t="array" ref="J354">IF(I354&gt;0,INDEX(DB,$I354,6),0)</f>
        <v>0</v>
      </c>
      <c r="K354" s="446">
        <f t="shared" si="5"/>
        <v>0</v>
      </c>
      <c r="L354" s="446">
        <f t="shared" si="6"/>
        <v>0</v>
      </c>
      <c r="M354" s="441">
        <f>IF(L354&lt;O354,MinPoints,IF(AND(L354&gt;N354,O354&gt;0),100,+INT(($L354-O354)/P354)+MinPoints))</f>
        <v>10</v>
      </c>
      <c r="N354" s="440">
        <f t="shared" si="7"/>
        <v>4.9</v>
      </c>
      <c r="O354" s="440">
        <f t="shared" si="8"/>
        <v>2.2</v>
      </c>
      <c r="P354" s="440">
        <f t="shared" si="9"/>
        <v>0.03</v>
      </c>
      <c r="Q354">
        <f t="array" ref="Q354">IF(I354&gt;0,INDEX(DB,I354,9),EventIndex)</f>
        <v>6</v>
      </c>
      <c r="S354" s="447">
        <f t="array" ref="S354">INDEX(MINVALUES,$Q354,$K$1)</f>
        <v>2.2</v>
      </c>
      <c r="T354" s="448">
        <f t="array" ref="T354">INDEX(INCVALUES,$Q354,$K$1)</f>
        <v>0.03</v>
      </c>
      <c r="V354">
        <f t="array" ref="V354">+J354+(4*(INDEX(MatchScoreTable,$Q354,20)-1))</f>
        <v>4</v>
      </c>
      <c r="W354" s="442">
        <f t="array" ref="W354">INDEX(INC_MINVALUES,$V354,$K$1)</f>
        <v>0.2</v>
      </c>
      <c r="X354" s="212">
        <f t="array" ref="X354">INDEX(INC_INCVALUES,$V354,$K$1)</f>
        <v>0.02</v>
      </c>
    </row>
    <row r="355" ht="15.75" customHeight="1">
      <c r="A355" s="435"/>
      <c r="B355" s="436"/>
      <c r="C355" s="95" t="str">
        <f t="array" ref="C355">IF(I355&gt;0,INDEX(DB,I355,8),"")</f>
        <v/>
      </c>
      <c r="D355" s="437">
        <f t="shared" si="1"/>
        <v>0</v>
      </c>
      <c r="F355" s="438">
        <f t="shared" si="2"/>
        <v>0</v>
      </c>
      <c r="G355" t="str">
        <f t="shared" si="3"/>
        <v/>
      </c>
      <c r="H355" t="b">
        <f t="shared" si="4"/>
        <v>0</v>
      </c>
      <c r="I355" s="439">
        <f>IF(OR(ISBLANK(A355),ISNA(MATCH(A355&amp;"",AthleteNumbers,0))),0,MATCH(A355&amp;"",AthleteNumbers,0))</f>
        <v>0</v>
      </c>
      <c r="J355" s="209">
        <f t="array" ref="J355">IF(I355&gt;0,INDEX(DB,$I355,6),0)</f>
        <v>0</v>
      </c>
      <c r="K355" s="446">
        <f t="shared" si="5"/>
        <v>0</v>
      </c>
      <c r="L355" s="446">
        <f t="shared" si="6"/>
        <v>0</v>
      </c>
      <c r="M355" s="441">
        <f>IF(L355&lt;O355,MinPoints,IF(AND(L355&gt;N355,O355&gt;0),100,+INT(($L355-O355)/P355)+MinPoints))</f>
        <v>10</v>
      </c>
      <c r="N355" s="440">
        <f t="shared" si="7"/>
        <v>4.9</v>
      </c>
      <c r="O355" s="440">
        <f t="shared" si="8"/>
        <v>2.2</v>
      </c>
      <c r="P355" s="440">
        <f t="shared" si="9"/>
        <v>0.03</v>
      </c>
      <c r="Q355">
        <f t="array" ref="Q355">IF(I355&gt;0,INDEX(DB,I355,9),EventIndex)</f>
        <v>6</v>
      </c>
      <c r="S355" s="447">
        <f t="array" ref="S355">INDEX(MINVALUES,$Q355,$K$1)</f>
        <v>2.2</v>
      </c>
      <c r="T355" s="448">
        <f t="array" ref="T355">INDEX(INCVALUES,$Q355,$K$1)</f>
        <v>0.03</v>
      </c>
      <c r="V355">
        <f t="array" ref="V355">+J355+(4*(INDEX(MatchScoreTable,$Q355,20)-1))</f>
        <v>4</v>
      </c>
      <c r="W355" s="442">
        <f t="array" ref="W355">INDEX(INC_MINVALUES,$V355,$K$1)</f>
        <v>0.2</v>
      </c>
      <c r="X355" s="212">
        <f t="array" ref="X355">INDEX(INC_INCVALUES,$V355,$K$1)</f>
        <v>0.02</v>
      </c>
    </row>
    <row r="356" ht="15.75" customHeight="1">
      <c r="A356" s="435"/>
      <c r="B356" s="436"/>
      <c r="C356" s="95" t="str">
        <f t="array" ref="C356">IF(I356&gt;0,INDEX(DB,I356,8),"")</f>
        <v/>
      </c>
      <c r="D356" s="437">
        <f t="shared" si="1"/>
        <v>0</v>
      </c>
      <c r="F356" s="438">
        <f t="shared" si="2"/>
        <v>0</v>
      </c>
      <c r="G356" t="str">
        <f t="shared" si="3"/>
        <v/>
      </c>
      <c r="H356" t="b">
        <f t="shared" si="4"/>
        <v>0</v>
      </c>
      <c r="I356" s="439">
        <f>IF(OR(ISBLANK(A356),ISNA(MATCH(A356&amp;"",AthleteNumbers,0))),0,MATCH(A356&amp;"",AthleteNumbers,0))</f>
        <v>0</v>
      </c>
      <c r="J356" s="209">
        <f t="array" ref="J356">IF(I356&gt;0,INDEX(DB,$I356,6),0)</f>
        <v>0</v>
      </c>
      <c r="K356" s="446">
        <f t="shared" si="5"/>
        <v>0</v>
      </c>
      <c r="L356" s="446">
        <f t="shared" si="6"/>
        <v>0</v>
      </c>
      <c r="M356" s="441">
        <f>IF(L356&lt;O356,MinPoints,IF(AND(L356&gt;N356,O356&gt;0),100,+INT(($L356-O356)/P356)+MinPoints))</f>
        <v>10</v>
      </c>
      <c r="N356" s="440">
        <f t="shared" si="7"/>
        <v>4.9</v>
      </c>
      <c r="O356" s="440">
        <f t="shared" si="8"/>
        <v>2.2</v>
      </c>
      <c r="P356" s="440">
        <f t="shared" si="9"/>
        <v>0.03</v>
      </c>
      <c r="Q356">
        <f t="array" ref="Q356">IF(I356&gt;0,INDEX(DB,I356,9),EventIndex)</f>
        <v>6</v>
      </c>
      <c r="S356" s="447">
        <f t="array" ref="S356">INDEX(MINVALUES,$Q356,$K$1)</f>
        <v>2.2</v>
      </c>
      <c r="T356" s="448">
        <f t="array" ref="T356">INDEX(INCVALUES,$Q356,$K$1)</f>
        <v>0.03</v>
      </c>
      <c r="V356">
        <f t="array" ref="V356">+J356+(4*(INDEX(MatchScoreTable,$Q356,20)-1))</f>
        <v>4</v>
      </c>
      <c r="W356" s="442">
        <f t="array" ref="W356">INDEX(INC_MINVALUES,$V356,$K$1)</f>
        <v>0.2</v>
      </c>
      <c r="X356" s="212">
        <f t="array" ref="X356">INDEX(INC_INCVALUES,$V356,$K$1)</f>
        <v>0.02</v>
      </c>
    </row>
    <row r="357" ht="15.75" customHeight="1">
      <c r="A357" s="435"/>
      <c r="B357" s="436"/>
      <c r="C357" s="95" t="str">
        <f t="array" ref="C357">IF(I357&gt;0,INDEX(DB,I357,8),"")</f>
        <v/>
      </c>
      <c r="D357" s="437">
        <f t="shared" si="1"/>
        <v>0</v>
      </c>
      <c r="F357" s="438">
        <f t="shared" si="2"/>
        <v>0</v>
      </c>
      <c r="G357" t="str">
        <f t="shared" si="3"/>
        <v/>
      </c>
      <c r="H357" t="b">
        <f t="shared" si="4"/>
        <v>0</v>
      </c>
      <c r="I357" s="439">
        <f>IF(OR(ISBLANK(A357),ISNA(MATCH(A357&amp;"",AthleteNumbers,0))),0,MATCH(A357&amp;"",AthleteNumbers,0))</f>
        <v>0</v>
      </c>
      <c r="J357" s="209">
        <f t="array" ref="J357">IF(I357&gt;0,INDEX(DB,$I357,6),0)</f>
        <v>0</v>
      </c>
      <c r="K357" s="446">
        <f t="shared" si="5"/>
        <v>0</v>
      </c>
      <c r="L357" s="446">
        <f t="shared" si="6"/>
        <v>0</v>
      </c>
      <c r="M357" s="441">
        <f>IF(L357&lt;O357,MinPoints,IF(AND(L357&gt;N357,O357&gt;0),100,+INT(($L357-O357)/P357)+MinPoints))</f>
        <v>10</v>
      </c>
      <c r="N357" s="440">
        <f t="shared" si="7"/>
        <v>4.9</v>
      </c>
      <c r="O357" s="440">
        <f t="shared" si="8"/>
        <v>2.2</v>
      </c>
      <c r="P357" s="440">
        <f t="shared" si="9"/>
        <v>0.03</v>
      </c>
      <c r="Q357">
        <f t="array" ref="Q357">IF(I357&gt;0,INDEX(DB,I357,9),EventIndex)</f>
        <v>6</v>
      </c>
      <c r="S357" s="447">
        <f t="array" ref="S357">INDEX(MINVALUES,$Q357,$K$1)</f>
        <v>2.2</v>
      </c>
      <c r="T357" s="448">
        <f t="array" ref="T357">INDEX(INCVALUES,$Q357,$K$1)</f>
        <v>0.03</v>
      </c>
      <c r="V357">
        <f t="array" ref="V357">+J357+(4*(INDEX(MatchScoreTable,$Q357,20)-1))</f>
        <v>4</v>
      </c>
      <c r="W357" s="442">
        <f t="array" ref="W357">INDEX(INC_MINVALUES,$V357,$K$1)</f>
        <v>0.2</v>
      </c>
      <c r="X357" s="212">
        <f t="array" ref="X357">INDEX(INC_INCVALUES,$V357,$K$1)</f>
        <v>0.02</v>
      </c>
    </row>
    <row r="358" ht="15.75" customHeight="1">
      <c r="A358" s="435"/>
      <c r="B358" s="436"/>
      <c r="C358" s="95" t="str">
        <f t="array" ref="C358">IF(I358&gt;0,INDEX(DB,I358,8),"")</f>
        <v/>
      </c>
      <c r="D358" s="437">
        <f t="shared" si="1"/>
        <v>0</v>
      </c>
      <c r="F358" s="438">
        <f t="shared" si="2"/>
        <v>0</v>
      </c>
      <c r="G358" t="str">
        <f t="shared" si="3"/>
        <v/>
      </c>
      <c r="H358" t="b">
        <f t="shared" si="4"/>
        <v>0</v>
      </c>
      <c r="I358" s="439">
        <f>IF(OR(ISBLANK(A358),ISNA(MATCH(A358&amp;"",AthleteNumbers,0))),0,MATCH(A358&amp;"",AthleteNumbers,0))</f>
        <v>0</v>
      </c>
      <c r="J358" s="209">
        <f t="array" ref="J358">IF(I358&gt;0,INDEX(DB,$I358,6),0)</f>
        <v>0</v>
      </c>
      <c r="K358" s="446">
        <f t="shared" si="5"/>
        <v>0</v>
      </c>
      <c r="L358" s="446">
        <f t="shared" si="6"/>
        <v>0</v>
      </c>
      <c r="M358" s="441">
        <f>IF(L358&lt;O358,MinPoints,IF(AND(L358&gt;N358,O358&gt;0),100,+INT(($L358-O358)/P358)+MinPoints))</f>
        <v>10</v>
      </c>
      <c r="N358" s="440">
        <f t="shared" si="7"/>
        <v>4.9</v>
      </c>
      <c r="O358" s="440">
        <f t="shared" si="8"/>
        <v>2.2</v>
      </c>
      <c r="P358" s="440">
        <f t="shared" si="9"/>
        <v>0.03</v>
      </c>
      <c r="Q358">
        <f t="array" ref="Q358">IF(I358&gt;0,INDEX(DB,I358,9),EventIndex)</f>
        <v>6</v>
      </c>
      <c r="S358" s="447">
        <f t="array" ref="S358">INDEX(MINVALUES,$Q358,$K$1)</f>
        <v>2.2</v>
      </c>
      <c r="T358" s="448">
        <f t="array" ref="T358">INDEX(INCVALUES,$Q358,$K$1)</f>
        <v>0.03</v>
      </c>
      <c r="V358">
        <f t="array" ref="V358">+J358+(4*(INDEX(MatchScoreTable,$Q358,20)-1))</f>
        <v>4</v>
      </c>
      <c r="W358" s="442">
        <f t="array" ref="W358">INDEX(INC_MINVALUES,$V358,$K$1)</f>
        <v>0.2</v>
      </c>
      <c r="X358" s="212">
        <f t="array" ref="X358">INDEX(INC_INCVALUES,$V358,$K$1)</f>
        <v>0.02</v>
      </c>
    </row>
    <row r="359" ht="15.75" customHeight="1">
      <c r="A359" s="435"/>
      <c r="B359" s="436"/>
      <c r="C359" s="95" t="str">
        <f t="array" ref="C359">IF(I359&gt;0,INDEX(DB,I359,8),"")</f>
        <v/>
      </c>
      <c r="D359" s="437">
        <f t="shared" si="1"/>
        <v>0</v>
      </c>
      <c r="F359" s="438">
        <f t="shared" si="2"/>
        <v>0</v>
      </c>
      <c r="G359" t="str">
        <f t="shared" si="3"/>
        <v/>
      </c>
      <c r="H359" t="b">
        <f t="shared" si="4"/>
        <v>0</v>
      </c>
      <c r="I359" s="439">
        <f>IF(OR(ISBLANK(A359),ISNA(MATCH(A359&amp;"",AthleteNumbers,0))),0,MATCH(A359&amp;"",AthleteNumbers,0))</f>
        <v>0</v>
      </c>
      <c r="J359" s="209">
        <f t="array" ref="J359">IF(I359&gt;0,INDEX(DB,$I359,6),0)</f>
        <v>0</v>
      </c>
      <c r="K359" s="446">
        <f t="shared" si="5"/>
        <v>0</v>
      </c>
      <c r="L359" s="446">
        <f t="shared" si="6"/>
        <v>0</v>
      </c>
      <c r="M359" s="441">
        <f>IF(L359&lt;O359,MinPoints,IF(AND(L359&gt;N359,O359&gt;0),100,+INT(($L359-O359)/P359)+MinPoints))</f>
        <v>10</v>
      </c>
      <c r="N359" s="440">
        <f t="shared" si="7"/>
        <v>4.9</v>
      </c>
      <c r="O359" s="440">
        <f t="shared" si="8"/>
        <v>2.2</v>
      </c>
      <c r="P359" s="440">
        <f t="shared" si="9"/>
        <v>0.03</v>
      </c>
      <c r="Q359">
        <f t="array" ref="Q359">IF(I359&gt;0,INDEX(DB,I359,9),EventIndex)</f>
        <v>6</v>
      </c>
      <c r="S359" s="447">
        <f t="array" ref="S359">INDEX(MINVALUES,$Q359,$K$1)</f>
        <v>2.2</v>
      </c>
      <c r="T359" s="448">
        <f t="array" ref="T359">INDEX(INCVALUES,$Q359,$K$1)</f>
        <v>0.03</v>
      </c>
      <c r="V359">
        <f t="array" ref="V359">+J359+(4*(INDEX(MatchScoreTable,$Q359,20)-1))</f>
        <v>4</v>
      </c>
      <c r="W359" s="442">
        <f t="array" ref="W359">INDEX(INC_MINVALUES,$V359,$K$1)</f>
        <v>0.2</v>
      </c>
      <c r="X359" s="212">
        <f t="array" ref="X359">INDEX(INC_INCVALUES,$V359,$K$1)</f>
        <v>0.02</v>
      </c>
    </row>
    <row r="360" ht="15.75" customHeight="1">
      <c r="A360" s="435"/>
      <c r="B360" s="436"/>
      <c r="C360" s="95" t="str">
        <f t="array" ref="C360">IF(I360&gt;0,INDEX(DB,I360,8),"")</f>
        <v/>
      </c>
      <c r="D360" s="437">
        <f t="shared" si="1"/>
        <v>0</v>
      </c>
      <c r="F360" s="438">
        <f t="shared" si="2"/>
        <v>0</v>
      </c>
      <c r="G360" t="str">
        <f t="shared" si="3"/>
        <v/>
      </c>
      <c r="H360" t="b">
        <f t="shared" si="4"/>
        <v>0</v>
      </c>
      <c r="I360" s="439">
        <f>IF(OR(ISBLANK(A360),ISNA(MATCH(A360&amp;"",AthleteNumbers,0))),0,MATCH(A360&amp;"",AthleteNumbers,0))</f>
        <v>0</v>
      </c>
      <c r="J360" s="209">
        <f t="array" ref="J360">IF(I360&gt;0,INDEX(DB,$I360,6),0)</f>
        <v>0</v>
      </c>
      <c r="K360" s="446">
        <f t="shared" si="5"/>
        <v>0</v>
      </c>
      <c r="L360" s="446">
        <f t="shared" si="6"/>
        <v>0</v>
      </c>
      <c r="M360" s="441">
        <f>IF(L360&lt;O360,MinPoints,IF(AND(L360&gt;N360,O360&gt;0),100,+INT(($L360-O360)/P360)+MinPoints))</f>
        <v>10</v>
      </c>
      <c r="N360" s="440">
        <f t="shared" si="7"/>
        <v>4.9</v>
      </c>
      <c r="O360" s="440">
        <f t="shared" si="8"/>
        <v>2.2</v>
      </c>
      <c r="P360" s="440">
        <f t="shared" si="9"/>
        <v>0.03</v>
      </c>
      <c r="Q360">
        <f t="array" ref="Q360">IF(I360&gt;0,INDEX(DB,I360,9),EventIndex)</f>
        <v>6</v>
      </c>
      <c r="S360" s="447">
        <f t="array" ref="S360">INDEX(MINVALUES,$Q360,$K$1)</f>
        <v>2.2</v>
      </c>
      <c r="T360" s="448">
        <f t="array" ref="T360">INDEX(INCVALUES,$Q360,$K$1)</f>
        <v>0.03</v>
      </c>
      <c r="V360">
        <f t="array" ref="V360">+J360+(4*(INDEX(MatchScoreTable,$Q360,20)-1))</f>
        <v>4</v>
      </c>
      <c r="W360" s="442">
        <f t="array" ref="W360">INDEX(INC_MINVALUES,$V360,$K$1)</f>
        <v>0.2</v>
      </c>
      <c r="X360" s="212">
        <f t="array" ref="X360">INDEX(INC_INCVALUES,$V360,$K$1)</f>
        <v>0.02</v>
      </c>
    </row>
    <row r="361" ht="15.75" customHeight="1">
      <c r="A361" s="435"/>
      <c r="B361" s="436"/>
      <c r="C361" s="95" t="str">
        <f t="array" ref="C361">IF(I361&gt;0,INDEX(DB,I361,8),"")</f>
        <v/>
      </c>
      <c r="D361" s="437">
        <f t="shared" si="1"/>
        <v>0</v>
      </c>
      <c r="F361" s="438">
        <f t="shared" si="2"/>
        <v>0</v>
      </c>
      <c r="G361" t="str">
        <f t="shared" si="3"/>
        <v/>
      </c>
      <c r="H361" t="b">
        <f t="shared" si="4"/>
        <v>0</v>
      </c>
      <c r="I361" s="439">
        <f>IF(OR(ISBLANK(A361),ISNA(MATCH(A361&amp;"",AthleteNumbers,0))),0,MATCH(A361&amp;"",AthleteNumbers,0))</f>
        <v>0</v>
      </c>
      <c r="J361" s="209">
        <f t="array" ref="J361">IF(I361&gt;0,INDEX(DB,$I361,6),0)</f>
        <v>0</v>
      </c>
      <c r="K361" s="446">
        <f t="shared" si="5"/>
        <v>0</v>
      </c>
      <c r="L361" s="446">
        <f t="shared" si="6"/>
        <v>0</v>
      </c>
      <c r="M361" s="441">
        <f>IF(L361&lt;O361,MinPoints,IF(AND(L361&gt;N361,O361&gt;0),100,+INT(($L361-O361)/P361)+MinPoints))</f>
        <v>10</v>
      </c>
      <c r="N361" s="440">
        <f t="shared" si="7"/>
        <v>4.9</v>
      </c>
      <c r="O361" s="440">
        <f t="shared" si="8"/>
        <v>2.2</v>
      </c>
      <c r="P361" s="440">
        <f t="shared" si="9"/>
        <v>0.03</v>
      </c>
      <c r="Q361">
        <f t="array" ref="Q361">IF(I361&gt;0,INDEX(DB,I361,9),EventIndex)</f>
        <v>6</v>
      </c>
      <c r="S361" s="447">
        <f t="array" ref="S361">INDEX(MINVALUES,$Q361,$K$1)</f>
        <v>2.2</v>
      </c>
      <c r="T361" s="448">
        <f t="array" ref="T361">INDEX(INCVALUES,$Q361,$K$1)</f>
        <v>0.03</v>
      </c>
      <c r="V361">
        <f t="array" ref="V361">+J361+(4*(INDEX(MatchScoreTable,$Q361,20)-1))</f>
        <v>4</v>
      </c>
      <c r="W361" s="442">
        <f t="array" ref="W361">INDEX(INC_MINVALUES,$V361,$K$1)</f>
        <v>0.2</v>
      </c>
      <c r="X361" s="212">
        <f t="array" ref="X361">INDEX(INC_INCVALUES,$V361,$K$1)</f>
        <v>0.02</v>
      </c>
    </row>
    <row r="362" ht="15.75" customHeight="1">
      <c r="A362" s="435"/>
      <c r="B362" s="436"/>
      <c r="C362" s="95" t="str">
        <f t="array" ref="C362">IF(I362&gt;0,INDEX(DB,I362,8),"")</f>
        <v/>
      </c>
      <c r="D362" s="437">
        <f t="shared" si="1"/>
        <v>0</v>
      </c>
      <c r="F362" s="438">
        <f t="shared" si="2"/>
        <v>0</v>
      </c>
      <c r="G362" t="str">
        <f t="shared" si="3"/>
        <v/>
      </c>
      <c r="H362" t="b">
        <f t="shared" si="4"/>
        <v>0</v>
      </c>
      <c r="I362" s="439">
        <f>IF(OR(ISBLANK(A362),ISNA(MATCH(A362&amp;"",AthleteNumbers,0))),0,MATCH(A362&amp;"",AthleteNumbers,0))</f>
        <v>0</v>
      </c>
      <c r="J362" s="209">
        <f t="array" ref="J362">IF(I362&gt;0,INDEX(DB,$I362,6),0)</f>
        <v>0</v>
      </c>
      <c r="K362" s="446">
        <f t="shared" si="5"/>
        <v>0</v>
      </c>
      <c r="L362" s="446">
        <f t="shared" si="6"/>
        <v>0</v>
      </c>
      <c r="M362" s="441">
        <f>IF(L362&lt;O362,MinPoints,IF(AND(L362&gt;N362,O362&gt;0),100,+INT(($L362-O362)/P362)+MinPoints))</f>
        <v>10</v>
      </c>
      <c r="N362" s="440">
        <f t="shared" si="7"/>
        <v>4.9</v>
      </c>
      <c r="O362" s="440">
        <f t="shared" si="8"/>
        <v>2.2</v>
      </c>
      <c r="P362" s="440">
        <f t="shared" si="9"/>
        <v>0.03</v>
      </c>
      <c r="Q362">
        <f t="array" ref="Q362">IF(I362&gt;0,INDEX(DB,I362,9),EventIndex)</f>
        <v>6</v>
      </c>
      <c r="S362" s="447">
        <f t="array" ref="S362">INDEX(MINVALUES,$Q362,$K$1)</f>
        <v>2.2</v>
      </c>
      <c r="T362" s="448">
        <f t="array" ref="T362">INDEX(INCVALUES,$Q362,$K$1)</f>
        <v>0.03</v>
      </c>
      <c r="V362">
        <f t="array" ref="V362">+J362+(4*(INDEX(MatchScoreTable,$Q362,20)-1))</f>
        <v>4</v>
      </c>
      <c r="W362" s="442">
        <f t="array" ref="W362">INDEX(INC_MINVALUES,$V362,$K$1)</f>
        <v>0.2</v>
      </c>
      <c r="X362" s="212">
        <f t="array" ref="X362">INDEX(INC_INCVALUES,$V362,$K$1)</f>
        <v>0.02</v>
      </c>
    </row>
    <row r="363" ht="15.75" customHeight="1">
      <c r="A363" s="435"/>
      <c r="B363" s="436"/>
      <c r="C363" s="95" t="str">
        <f t="array" ref="C363">IF(I363&gt;0,INDEX(DB,I363,8),"")</f>
        <v/>
      </c>
      <c r="D363" s="437">
        <f t="shared" si="1"/>
        <v>0</v>
      </c>
      <c r="F363" s="438">
        <f t="shared" si="2"/>
        <v>0</v>
      </c>
      <c r="G363" t="str">
        <f t="shared" si="3"/>
        <v/>
      </c>
      <c r="H363" t="b">
        <f t="shared" si="4"/>
        <v>0</v>
      </c>
      <c r="I363" s="439">
        <f>IF(OR(ISBLANK(A363),ISNA(MATCH(A363&amp;"",AthleteNumbers,0))),0,MATCH(A363&amp;"",AthleteNumbers,0))</f>
        <v>0</v>
      </c>
      <c r="J363" s="209">
        <f t="array" ref="J363">IF(I363&gt;0,INDEX(DB,$I363,6),0)</f>
        <v>0</v>
      </c>
      <c r="K363" s="446">
        <f t="shared" si="5"/>
        <v>0</v>
      </c>
      <c r="L363" s="446">
        <f t="shared" si="6"/>
        <v>0</v>
      </c>
      <c r="M363" s="441">
        <f>IF(L363&lt;O363,MinPoints,IF(AND(L363&gt;N363,O363&gt;0),100,+INT(($L363-O363)/P363)+MinPoints))</f>
        <v>10</v>
      </c>
      <c r="N363" s="440">
        <f t="shared" si="7"/>
        <v>4.9</v>
      </c>
      <c r="O363" s="440">
        <f t="shared" si="8"/>
        <v>2.2</v>
      </c>
      <c r="P363" s="440">
        <f t="shared" si="9"/>
        <v>0.03</v>
      </c>
      <c r="Q363">
        <f t="array" ref="Q363">IF(I363&gt;0,INDEX(DB,I363,9),EventIndex)</f>
        <v>6</v>
      </c>
      <c r="S363" s="447">
        <f t="array" ref="S363">INDEX(MINVALUES,$Q363,$K$1)</f>
        <v>2.2</v>
      </c>
      <c r="T363" s="448">
        <f t="array" ref="T363">INDEX(INCVALUES,$Q363,$K$1)</f>
        <v>0.03</v>
      </c>
      <c r="V363">
        <f t="array" ref="V363">+J363+(4*(INDEX(MatchScoreTable,$Q363,20)-1))</f>
        <v>4</v>
      </c>
      <c r="W363" s="442">
        <f t="array" ref="W363">INDEX(INC_MINVALUES,$V363,$K$1)</f>
        <v>0.2</v>
      </c>
      <c r="X363" s="212">
        <f t="array" ref="X363">INDEX(INC_INCVALUES,$V363,$K$1)</f>
        <v>0.02</v>
      </c>
    </row>
    <row r="364" ht="15.75" customHeight="1">
      <c r="A364" s="435"/>
      <c r="B364" s="436"/>
      <c r="C364" s="95" t="str">
        <f t="array" ref="C364">IF(I364&gt;0,INDEX(DB,I364,8),"")</f>
        <v/>
      </c>
      <c r="D364" s="437">
        <f t="shared" si="1"/>
        <v>0</v>
      </c>
      <c r="F364" s="438">
        <f t="shared" si="2"/>
        <v>0</v>
      </c>
      <c r="G364" t="str">
        <f t="shared" si="3"/>
        <v/>
      </c>
      <c r="H364" t="b">
        <f t="shared" si="4"/>
        <v>0</v>
      </c>
      <c r="I364" s="439">
        <f>IF(OR(ISBLANK(A364),ISNA(MATCH(A364&amp;"",AthleteNumbers,0))),0,MATCH(A364&amp;"",AthleteNumbers,0))</f>
        <v>0</v>
      </c>
      <c r="J364" s="209">
        <f t="array" ref="J364">IF(I364&gt;0,INDEX(DB,$I364,6),0)</f>
        <v>0</v>
      </c>
      <c r="K364" s="446">
        <f t="shared" si="5"/>
        <v>0</v>
      </c>
      <c r="L364" s="446">
        <f t="shared" si="6"/>
        <v>0</v>
      </c>
      <c r="M364" s="441">
        <f>IF(L364&lt;O364,MinPoints,IF(AND(L364&gt;N364,O364&gt;0),100,+INT(($L364-O364)/P364)+MinPoints))</f>
        <v>10</v>
      </c>
      <c r="N364" s="440">
        <f t="shared" si="7"/>
        <v>4.9</v>
      </c>
      <c r="O364" s="440">
        <f t="shared" si="8"/>
        <v>2.2</v>
      </c>
      <c r="P364" s="440">
        <f t="shared" si="9"/>
        <v>0.03</v>
      </c>
      <c r="Q364">
        <f t="array" ref="Q364">IF(I364&gt;0,INDEX(DB,I364,9),EventIndex)</f>
        <v>6</v>
      </c>
      <c r="S364" s="447">
        <f t="array" ref="S364">INDEX(MINVALUES,$Q364,$K$1)</f>
        <v>2.2</v>
      </c>
      <c r="T364" s="448">
        <f t="array" ref="T364">INDEX(INCVALUES,$Q364,$K$1)</f>
        <v>0.03</v>
      </c>
      <c r="V364">
        <f t="array" ref="V364">+J364+(4*(INDEX(MatchScoreTable,$Q364,20)-1))</f>
        <v>4</v>
      </c>
      <c r="W364" s="442">
        <f t="array" ref="W364">INDEX(INC_MINVALUES,$V364,$K$1)</f>
        <v>0.2</v>
      </c>
      <c r="X364" s="212">
        <f t="array" ref="X364">INDEX(INC_INCVALUES,$V364,$K$1)</f>
        <v>0.02</v>
      </c>
    </row>
    <row r="365" ht="15.75" customHeight="1">
      <c r="A365" s="435"/>
      <c r="B365" s="436"/>
      <c r="C365" s="95" t="str">
        <f t="array" ref="C365">IF(I365&gt;0,INDEX(DB,I365,8),"")</f>
        <v/>
      </c>
      <c r="D365" s="437">
        <f t="shared" si="1"/>
        <v>0</v>
      </c>
      <c r="F365" s="438">
        <f t="shared" si="2"/>
        <v>0</v>
      </c>
      <c r="G365" t="str">
        <f t="shared" si="3"/>
        <v/>
      </c>
      <c r="H365" t="b">
        <f t="shared" si="4"/>
        <v>0</v>
      </c>
      <c r="I365" s="439">
        <f>IF(OR(ISBLANK(A365),ISNA(MATCH(A365&amp;"",AthleteNumbers,0))),0,MATCH(A365&amp;"",AthleteNumbers,0))</f>
        <v>0</v>
      </c>
      <c r="J365" s="209">
        <f t="array" ref="J365">IF(I365&gt;0,INDEX(DB,$I365,6),0)</f>
        <v>0</v>
      </c>
      <c r="K365" s="446">
        <f t="shared" si="5"/>
        <v>0</v>
      </c>
      <c r="L365" s="446">
        <f t="shared" si="6"/>
        <v>0</v>
      </c>
      <c r="M365" s="441">
        <f>IF(L365&lt;O365,MinPoints,IF(AND(L365&gt;N365,O365&gt;0),100,+INT(($L365-O365)/P365)+MinPoints))</f>
        <v>10</v>
      </c>
      <c r="N365" s="440">
        <f t="shared" si="7"/>
        <v>4.9</v>
      </c>
      <c r="O365" s="440">
        <f t="shared" si="8"/>
        <v>2.2</v>
      </c>
      <c r="P365" s="440">
        <f t="shared" si="9"/>
        <v>0.03</v>
      </c>
      <c r="Q365">
        <f t="array" ref="Q365">IF(I365&gt;0,INDEX(DB,I365,9),EventIndex)</f>
        <v>6</v>
      </c>
      <c r="S365" s="447">
        <f t="array" ref="S365">INDEX(MINVALUES,$Q365,$K$1)</f>
        <v>2.2</v>
      </c>
      <c r="T365" s="448">
        <f t="array" ref="T365">INDEX(INCVALUES,$Q365,$K$1)</f>
        <v>0.03</v>
      </c>
      <c r="V365">
        <f t="array" ref="V365">+J365+(4*(INDEX(MatchScoreTable,$Q365,20)-1))</f>
        <v>4</v>
      </c>
      <c r="W365" s="442">
        <f t="array" ref="W365">INDEX(INC_MINVALUES,$V365,$K$1)</f>
        <v>0.2</v>
      </c>
      <c r="X365" s="212">
        <f t="array" ref="X365">INDEX(INC_INCVALUES,$V365,$K$1)</f>
        <v>0.02</v>
      </c>
    </row>
    <row r="366" ht="15.75" customHeight="1">
      <c r="A366" s="435"/>
      <c r="B366" s="436"/>
      <c r="C366" s="95" t="str">
        <f t="array" ref="C366">IF(I366&gt;0,INDEX(DB,I366,8),"")</f>
        <v/>
      </c>
      <c r="D366" s="437">
        <f t="shared" si="1"/>
        <v>0</v>
      </c>
      <c r="F366" s="438">
        <f t="shared" si="2"/>
        <v>0</v>
      </c>
      <c r="G366" t="str">
        <f t="shared" si="3"/>
        <v/>
      </c>
      <c r="H366" t="b">
        <f t="shared" si="4"/>
        <v>0</v>
      </c>
      <c r="I366" s="439">
        <f>IF(OR(ISBLANK(A366),ISNA(MATCH(A366&amp;"",AthleteNumbers,0))),0,MATCH(A366&amp;"",AthleteNumbers,0))</f>
        <v>0</v>
      </c>
      <c r="J366" s="209">
        <f t="array" ref="J366">IF(I366&gt;0,INDEX(DB,$I366,6),0)</f>
        <v>0</v>
      </c>
      <c r="K366" s="446">
        <f t="shared" si="5"/>
        <v>0</v>
      </c>
      <c r="L366" s="446">
        <f t="shared" si="6"/>
        <v>0</v>
      </c>
      <c r="M366" s="441">
        <f>IF(L366&lt;O366,MinPoints,IF(AND(L366&gt;N366,O366&gt;0),100,+INT(($L366-O366)/P366)+MinPoints))</f>
        <v>10</v>
      </c>
      <c r="N366" s="440">
        <f t="shared" si="7"/>
        <v>4.9</v>
      </c>
      <c r="O366" s="440">
        <f t="shared" si="8"/>
        <v>2.2</v>
      </c>
      <c r="P366" s="440">
        <f t="shared" si="9"/>
        <v>0.03</v>
      </c>
      <c r="Q366">
        <f t="array" ref="Q366">IF(I366&gt;0,INDEX(DB,I366,9),EventIndex)</f>
        <v>6</v>
      </c>
      <c r="S366" s="447">
        <f t="array" ref="S366">INDEX(MINVALUES,$Q366,$K$1)</f>
        <v>2.2</v>
      </c>
      <c r="T366" s="448">
        <f t="array" ref="T366">INDEX(INCVALUES,$Q366,$K$1)</f>
        <v>0.03</v>
      </c>
      <c r="V366">
        <f t="array" ref="V366">+J366+(4*(INDEX(MatchScoreTable,$Q366,20)-1))</f>
        <v>4</v>
      </c>
      <c r="W366" s="442">
        <f t="array" ref="W366">INDEX(INC_MINVALUES,$V366,$K$1)</f>
        <v>0.2</v>
      </c>
      <c r="X366" s="212">
        <f t="array" ref="X366">INDEX(INC_INCVALUES,$V366,$K$1)</f>
        <v>0.02</v>
      </c>
    </row>
    <row r="367" ht="15.75" customHeight="1">
      <c r="A367" s="435"/>
      <c r="B367" s="436"/>
      <c r="C367" s="95" t="str">
        <f t="array" ref="C367">IF(I367&gt;0,INDEX(DB,I367,8),"")</f>
        <v/>
      </c>
      <c r="D367" s="437">
        <f t="shared" si="1"/>
        <v>0</v>
      </c>
      <c r="F367" s="438">
        <f t="shared" si="2"/>
        <v>0</v>
      </c>
      <c r="G367" t="str">
        <f t="shared" si="3"/>
        <v/>
      </c>
      <c r="H367" t="b">
        <f t="shared" si="4"/>
        <v>0</v>
      </c>
      <c r="I367" s="439">
        <f>IF(OR(ISBLANK(A367),ISNA(MATCH(A367&amp;"",AthleteNumbers,0))),0,MATCH(A367&amp;"",AthleteNumbers,0))</f>
        <v>0</v>
      </c>
      <c r="J367" s="209">
        <f t="array" ref="J367">IF(I367&gt;0,INDEX(DB,$I367,6),0)</f>
        <v>0</v>
      </c>
      <c r="K367" s="446">
        <f t="shared" si="5"/>
        <v>0</v>
      </c>
      <c r="L367" s="446">
        <f t="shared" si="6"/>
        <v>0</v>
      </c>
      <c r="M367" s="441">
        <f>IF(L367&lt;O367,MinPoints,IF(AND(L367&gt;N367,O367&gt;0),100,+INT(($L367-O367)/P367)+MinPoints))</f>
        <v>10</v>
      </c>
      <c r="N367" s="440">
        <f t="shared" si="7"/>
        <v>4.9</v>
      </c>
      <c r="O367" s="440">
        <f t="shared" si="8"/>
        <v>2.2</v>
      </c>
      <c r="P367" s="440">
        <f t="shared" si="9"/>
        <v>0.03</v>
      </c>
      <c r="Q367">
        <f t="array" ref="Q367">IF(I367&gt;0,INDEX(DB,I367,9),EventIndex)</f>
        <v>6</v>
      </c>
      <c r="S367" s="447">
        <f t="array" ref="S367">INDEX(MINVALUES,$Q367,$K$1)</f>
        <v>2.2</v>
      </c>
      <c r="T367" s="448">
        <f t="array" ref="T367">INDEX(INCVALUES,$Q367,$K$1)</f>
        <v>0.03</v>
      </c>
      <c r="V367">
        <f t="array" ref="V367">+J367+(4*(INDEX(MatchScoreTable,$Q367,20)-1))</f>
        <v>4</v>
      </c>
      <c r="W367" s="442">
        <f t="array" ref="W367">INDEX(INC_MINVALUES,$V367,$K$1)</f>
        <v>0.2</v>
      </c>
      <c r="X367" s="212">
        <f t="array" ref="X367">INDEX(INC_INCVALUES,$V367,$K$1)</f>
        <v>0.02</v>
      </c>
    </row>
    <row r="368" ht="15.75" customHeight="1">
      <c r="A368" s="435"/>
      <c r="B368" s="436"/>
      <c r="C368" s="95" t="str">
        <f t="array" ref="C368">IF(I368&gt;0,INDEX(DB,I368,8),"")</f>
        <v/>
      </c>
      <c r="D368" s="437">
        <f t="shared" si="1"/>
        <v>0</v>
      </c>
      <c r="F368" s="438">
        <f t="shared" si="2"/>
        <v>0</v>
      </c>
      <c r="G368" t="str">
        <f t="shared" si="3"/>
        <v/>
      </c>
      <c r="H368" t="b">
        <f t="shared" si="4"/>
        <v>0</v>
      </c>
      <c r="I368" s="439">
        <f>IF(OR(ISBLANK(A368),ISNA(MATCH(A368&amp;"",AthleteNumbers,0))),0,MATCH(A368&amp;"",AthleteNumbers,0))</f>
        <v>0</v>
      </c>
      <c r="J368" s="209">
        <f t="array" ref="J368">IF(I368&gt;0,INDEX(DB,$I368,6),0)</f>
        <v>0</v>
      </c>
      <c r="K368" s="446">
        <f t="shared" si="5"/>
        <v>0</v>
      </c>
      <c r="L368" s="446">
        <f t="shared" si="6"/>
        <v>0</v>
      </c>
      <c r="M368" s="441">
        <f>IF(L368&lt;O368,MinPoints,IF(AND(L368&gt;N368,O368&gt;0),100,+INT(($L368-O368)/P368)+MinPoints))</f>
        <v>10</v>
      </c>
      <c r="N368" s="440">
        <f t="shared" si="7"/>
        <v>4.9</v>
      </c>
      <c r="O368" s="440">
        <f t="shared" si="8"/>
        <v>2.2</v>
      </c>
      <c r="P368" s="440">
        <f t="shared" si="9"/>
        <v>0.03</v>
      </c>
      <c r="Q368">
        <f t="array" ref="Q368">IF(I368&gt;0,INDEX(DB,I368,9),EventIndex)</f>
        <v>6</v>
      </c>
      <c r="S368" s="447">
        <f t="array" ref="S368">INDEX(MINVALUES,$Q368,$K$1)</f>
        <v>2.2</v>
      </c>
      <c r="T368" s="448">
        <f t="array" ref="T368">INDEX(INCVALUES,$Q368,$K$1)</f>
        <v>0.03</v>
      </c>
      <c r="V368">
        <f t="array" ref="V368">+J368+(4*(INDEX(MatchScoreTable,$Q368,20)-1))</f>
        <v>4</v>
      </c>
      <c r="W368" s="442">
        <f t="array" ref="W368">INDEX(INC_MINVALUES,$V368,$K$1)</f>
        <v>0.2</v>
      </c>
      <c r="X368" s="212">
        <f t="array" ref="X368">INDEX(INC_INCVALUES,$V368,$K$1)</f>
        <v>0.02</v>
      </c>
    </row>
    <row r="369" ht="15.75" customHeight="1">
      <c r="A369" s="435"/>
      <c r="B369" s="436"/>
      <c r="C369" s="95" t="str">
        <f t="array" ref="C369">IF(I369&gt;0,INDEX(DB,I369,8),"")</f>
        <v/>
      </c>
      <c r="D369" s="437">
        <f t="shared" si="1"/>
        <v>0</v>
      </c>
      <c r="F369" s="438">
        <f t="shared" si="2"/>
        <v>0</v>
      </c>
      <c r="G369" t="str">
        <f t="shared" si="3"/>
        <v/>
      </c>
      <c r="H369" t="b">
        <f t="shared" si="4"/>
        <v>0</v>
      </c>
      <c r="I369" s="439">
        <f>IF(OR(ISBLANK(A369),ISNA(MATCH(A369&amp;"",AthleteNumbers,0))),0,MATCH(A369&amp;"",AthleteNumbers,0))</f>
        <v>0</v>
      </c>
      <c r="J369" s="209">
        <f t="array" ref="J369">IF(I369&gt;0,INDEX(DB,$I369,6),0)</f>
        <v>0</v>
      </c>
      <c r="K369" s="446">
        <f t="shared" si="5"/>
        <v>0</v>
      </c>
      <c r="L369" s="446">
        <f t="shared" si="6"/>
        <v>0</v>
      </c>
      <c r="M369" s="441">
        <f>IF(L369&lt;O369,MinPoints,IF(AND(L369&gt;N369,O369&gt;0),100,+INT(($L369-O369)/P369)+MinPoints))</f>
        <v>10</v>
      </c>
      <c r="N369" s="440">
        <f t="shared" si="7"/>
        <v>4.9</v>
      </c>
      <c r="O369" s="440">
        <f t="shared" si="8"/>
        <v>2.2</v>
      </c>
      <c r="P369" s="440">
        <f t="shared" si="9"/>
        <v>0.03</v>
      </c>
      <c r="Q369">
        <f t="array" ref="Q369">IF(I369&gt;0,INDEX(DB,I369,9),EventIndex)</f>
        <v>6</v>
      </c>
      <c r="S369" s="447">
        <f t="array" ref="S369">INDEX(MINVALUES,$Q369,$K$1)</f>
        <v>2.2</v>
      </c>
      <c r="T369" s="448">
        <f t="array" ref="T369">INDEX(INCVALUES,$Q369,$K$1)</f>
        <v>0.03</v>
      </c>
      <c r="V369">
        <f t="array" ref="V369">+J369+(4*(INDEX(MatchScoreTable,$Q369,20)-1))</f>
        <v>4</v>
      </c>
      <c r="W369" s="442">
        <f t="array" ref="W369">INDEX(INC_MINVALUES,$V369,$K$1)</f>
        <v>0.2</v>
      </c>
      <c r="X369" s="212">
        <f t="array" ref="X369">INDEX(INC_INCVALUES,$V369,$K$1)</f>
        <v>0.02</v>
      </c>
    </row>
    <row r="370" ht="15.75" customHeight="1">
      <c r="A370" s="435"/>
      <c r="B370" s="436"/>
      <c r="C370" s="95" t="str">
        <f t="array" ref="C370">IF(I370&gt;0,INDEX(DB,I370,8),"")</f>
        <v/>
      </c>
      <c r="D370" s="437">
        <f t="shared" si="1"/>
        <v>0</v>
      </c>
      <c r="F370" s="438">
        <f t="shared" si="2"/>
        <v>0</v>
      </c>
      <c r="G370" t="str">
        <f t="shared" si="3"/>
        <v/>
      </c>
      <c r="H370" t="b">
        <f t="shared" si="4"/>
        <v>0</v>
      </c>
      <c r="I370" s="439">
        <f>IF(OR(ISBLANK(A370),ISNA(MATCH(A370&amp;"",AthleteNumbers,0))),0,MATCH(A370&amp;"",AthleteNumbers,0))</f>
        <v>0</v>
      </c>
      <c r="J370" s="209">
        <f t="array" ref="J370">IF(I370&gt;0,INDEX(DB,$I370,6),0)</f>
        <v>0</v>
      </c>
      <c r="K370" s="446">
        <f t="shared" si="5"/>
        <v>0</v>
      </c>
      <c r="L370" s="446">
        <f t="shared" si="6"/>
        <v>0</v>
      </c>
      <c r="M370" s="441">
        <f>IF(L370&lt;O370,MinPoints,IF(AND(L370&gt;N370,O370&gt;0),100,+INT(($L370-O370)/P370)+MinPoints))</f>
        <v>10</v>
      </c>
      <c r="N370" s="440">
        <f t="shared" si="7"/>
        <v>4.9</v>
      </c>
      <c r="O370" s="440">
        <f t="shared" si="8"/>
        <v>2.2</v>
      </c>
      <c r="P370" s="440">
        <f t="shared" si="9"/>
        <v>0.03</v>
      </c>
      <c r="Q370">
        <f t="array" ref="Q370">IF(I370&gt;0,INDEX(DB,I370,9),EventIndex)</f>
        <v>6</v>
      </c>
      <c r="S370" s="447">
        <f t="array" ref="S370">INDEX(MINVALUES,$Q370,$K$1)</f>
        <v>2.2</v>
      </c>
      <c r="T370" s="448">
        <f t="array" ref="T370">INDEX(INCVALUES,$Q370,$K$1)</f>
        <v>0.03</v>
      </c>
      <c r="V370">
        <f t="array" ref="V370">+J370+(4*(INDEX(MatchScoreTable,$Q370,20)-1))</f>
        <v>4</v>
      </c>
      <c r="W370" s="442">
        <f t="array" ref="W370">INDEX(INC_MINVALUES,$V370,$K$1)</f>
        <v>0.2</v>
      </c>
      <c r="X370" s="212">
        <f t="array" ref="X370">INDEX(INC_INCVALUES,$V370,$K$1)</f>
        <v>0.02</v>
      </c>
    </row>
    <row r="371" ht="15.75" customHeight="1">
      <c r="A371" s="435"/>
      <c r="B371" s="436"/>
      <c r="C371" s="95" t="str">
        <f t="array" ref="C371">IF(I371&gt;0,INDEX(DB,I371,8),"")</f>
        <v/>
      </c>
      <c r="D371" s="437">
        <f t="shared" si="1"/>
        <v>0</v>
      </c>
      <c r="F371" s="438">
        <f t="shared" si="2"/>
        <v>0</v>
      </c>
      <c r="G371" t="str">
        <f t="shared" si="3"/>
        <v/>
      </c>
      <c r="H371" t="b">
        <f t="shared" si="4"/>
        <v>0</v>
      </c>
      <c r="I371" s="439">
        <f>IF(OR(ISBLANK(A371),ISNA(MATCH(A371&amp;"",AthleteNumbers,0))),0,MATCH(A371&amp;"",AthleteNumbers,0))</f>
        <v>0</v>
      </c>
      <c r="J371" s="209">
        <f t="array" ref="J371">IF(I371&gt;0,INDEX(DB,$I371,6),0)</f>
        <v>0</v>
      </c>
      <c r="K371" s="446">
        <f t="shared" si="5"/>
        <v>0</v>
      </c>
      <c r="L371" s="446">
        <f t="shared" si="6"/>
        <v>0</v>
      </c>
      <c r="M371" s="441">
        <f>IF(L371&lt;O371,MinPoints,IF(AND(L371&gt;N371,O371&gt;0),100,+INT(($L371-O371)/P371)+MinPoints))</f>
        <v>10</v>
      </c>
      <c r="N371" s="440">
        <f t="shared" si="7"/>
        <v>4.9</v>
      </c>
      <c r="O371" s="440">
        <f t="shared" si="8"/>
        <v>2.2</v>
      </c>
      <c r="P371" s="440">
        <f t="shared" si="9"/>
        <v>0.03</v>
      </c>
      <c r="Q371">
        <f t="array" ref="Q371">IF(I371&gt;0,INDEX(DB,I371,9),EventIndex)</f>
        <v>6</v>
      </c>
      <c r="S371" s="447">
        <f t="array" ref="S371">INDEX(MINVALUES,$Q371,$K$1)</f>
        <v>2.2</v>
      </c>
      <c r="T371" s="448">
        <f t="array" ref="T371">INDEX(INCVALUES,$Q371,$K$1)</f>
        <v>0.03</v>
      </c>
      <c r="V371">
        <f t="array" ref="V371">+J371+(4*(INDEX(MatchScoreTable,$Q371,20)-1))</f>
        <v>4</v>
      </c>
      <c r="W371" s="442">
        <f t="array" ref="W371">INDEX(INC_MINVALUES,$V371,$K$1)</f>
        <v>0.2</v>
      </c>
      <c r="X371" s="212">
        <f t="array" ref="X371">INDEX(INC_INCVALUES,$V371,$K$1)</f>
        <v>0.02</v>
      </c>
    </row>
    <row r="372" ht="15.75" customHeight="1">
      <c r="A372" s="435"/>
      <c r="B372" s="436"/>
      <c r="C372" s="95" t="str">
        <f t="array" ref="C372">IF(I372&gt;0,INDEX(DB,I372,8),"")</f>
        <v/>
      </c>
      <c r="D372" s="437">
        <f t="shared" si="1"/>
        <v>0</v>
      </c>
      <c r="F372" s="438">
        <f t="shared" si="2"/>
        <v>0</v>
      </c>
      <c r="G372" t="str">
        <f t="shared" si="3"/>
        <v/>
      </c>
      <c r="H372" t="b">
        <f t="shared" si="4"/>
        <v>0</v>
      </c>
      <c r="I372" s="439">
        <f>IF(OR(ISBLANK(A372),ISNA(MATCH(A372&amp;"",AthleteNumbers,0))),0,MATCH(A372&amp;"",AthleteNumbers,0))</f>
        <v>0</v>
      </c>
      <c r="J372" s="209">
        <f t="array" ref="J372">IF(I372&gt;0,INDEX(DB,$I372,6),0)</f>
        <v>0</v>
      </c>
      <c r="K372" s="446">
        <f t="shared" si="5"/>
        <v>0</v>
      </c>
      <c r="L372" s="446">
        <f t="shared" si="6"/>
        <v>0</v>
      </c>
      <c r="M372" s="441">
        <f>IF(L372&lt;O372,MinPoints,IF(AND(L372&gt;N372,O372&gt;0),100,+INT(($L372-O372)/P372)+MinPoints))</f>
        <v>10</v>
      </c>
      <c r="N372" s="440">
        <f t="shared" si="7"/>
        <v>4.9</v>
      </c>
      <c r="O372" s="440">
        <f t="shared" si="8"/>
        <v>2.2</v>
      </c>
      <c r="P372" s="440">
        <f t="shared" si="9"/>
        <v>0.03</v>
      </c>
      <c r="Q372">
        <f t="array" ref="Q372">IF(I372&gt;0,INDEX(DB,I372,9),EventIndex)</f>
        <v>6</v>
      </c>
      <c r="S372" s="447">
        <f t="array" ref="S372">INDEX(MINVALUES,$Q372,$K$1)</f>
        <v>2.2</v>
      </c>
      <c r="T372" s="448">
        <f t="array" ref="T372">INDEX(INCVALUES,$Q372,$K$1)</f>
        <v>0.03</v>
      </c>
      <c r="V372">
        <f t="array" ref="V372">+J372+(4*(INDEX(MatchScoreTable,$Q372,20)-1))</f>
        <v>4</v>
      </c>
      <c r="W372" s="442">
        <f t="array" ref="W372">INDEX(INC_MINVALUES,$V372,$K$1)</f>
        <v>0.2</v>
      </c>
      <c r="X372" s="212">
        <f t="array" ref="X372">INDEX(INC_INCVALUES,$V372,$K$1)</f>
        <v>0.02</v>
      </c>
    </row>
    <row r="373" ht="15.75" customHeight="1">
      <c r="A373" s="435"/>
      <c r="B373" s="436"/>
      <c r="C373" s="95" t="str">
        <f t="array" ref="C373">IF(I373&gt;0,INDEX(DB,I373,8),"")</f>
        <v/>
      </c>
      <c r="D373" s="437">
        <f t="shared" si="1"/>
        <v>0</v>
      </c>
      <c r="F373" s="438">
        <f t="shared" si="2"/>
        <v>0</v>
      </c>
      <c r="G373" t="str">
        <f t="shared" si="3"/>
        <v/>
      </c>
      <c r="H373" t="b">
        <f t="shared" si="4"/>
        <v>0</v>
      </c>
      <c r="I373" s="439">
        <f>IF(OR(ISBLANK(A373),ISNA(MATCH(A373&amp;"",AthleteNumbers,0))),0,MATCH(A373&amp;"",AthleteNumbers,0))</f>
        <v>0</v>
      </c>
      <c r="J373" s="209">
        <f t="array" ref="J373">IF(I373&gt;0,INDEX(DB,$I373,6),0)</f>
        <v>0</v>
      </c>
      <c r="K373" s="446">
        <f t="shared" si="5"/>
        <v>0</v>
      </c>
      <c r="L373" s="446">
        <f t="shared" si="6"/>
        <v>0</v>
      </c>
      <c r="M373" s="441">
        <f>IF(L373&lt;O373,MinPoints,IF(AND(L373&gt;N373,O373&gt;0),100,+INT(($L373-O373)/P373)+MinPoints))</f>
        <v>10</v>
      </c>
      <c r="N373" s="440">
        <f t="shared" si="7"/>
        <v>4.9</v>
      </c>
      <c r="O373" s="440">
        <f t="shared" si="8"/>
        <v>2.2</v>
      </c>
      <c r="P373" s="440">
        <f t="shared" si="9"/>
        <v>0.03</v>
      </c>
      <c r="Q373">
        <f t="array" ref="Q373">IF(I373&gt;0,INDEX(DB,I373,9),EventIndex)</f>
        <v>6</v>
      </c>
      <c r="S373" s="447">
        <f t="array" ref="S373">INDEX(MINVALUES,$Q373,$K$1)</f>
        <v>2.2</v>
      </c>
      <c r="T373" s="448">
        <f t="array" ref="T373">INDEX(INCVALUES,$Q373,$K$1)</f>
        <v>0.03</v>
      </c>
      <c r="V373">
        <f t="array" ref="V373">+J373+(4*(INDEX(MatchScoreTable,$Q373,20)-1))</f>
        <v>4</v>
      </c>
      <c r="W373" s="442">
        <f t="array" ref="W373">INDEX(INC_MINVALUES,$V373,$K$1)</f>
        <v>0.2</v>
      </c>
      <c r="X373" s="212">
        <f t="array" ref="X373">INDEX(INC_INCVALUES,$V373,$K$1)</f>
        <v>0.02</v>
      </c>
    </row>
    <row r="374" ht="15.75" customHeight="1">
      <c r="A374" s="435"/>
      <c r="B374" s="436"/>
      <c r="C374" s="95" t="str">
        <f t="array" ref="C374">IF(I374&gt;0,INDEX(DB,I374,8),"")</f>
        <v/>
      </c>
      <c r="D374" s="437">
        <f t="shared" si="1"/>
        <v>0</v>
      </c>
      <c r="F374" s="438">
        <f t="shared" si="2"/>
        <v>0</v>
      </c>
      <c r="G374" t="str">
        <f t="shared" si="3"/>
        <v/>
      </c>
      <c r="H374" t="b">
        <f t="shared" si="4"/>
        <v>0</v>
      </c>
      <c r="I374" s="439">
        <f>IF(OR(ISBLANK(A374),ISNA(MATCH(A374&amp;"",AthleteNumbers,0))),0,MATCH(A374&amp;"",AthleteNumbers,0))</f>
        <v>0</v>
      </c>
      <c r="J374" s="209">
        <f t="array" ref="J374">IF(I374&gt;0,INDEX(DB,$I374,6),0)</f>
        <v>0</v>
      </c>
      <c r="K374" s="446">
        <f t="shared" si="5"/>
        <v>0</v>
      </c>
      <c r="L374" s="446">
        <f t="shared" si="6"/>
        <v>0</v>
      </c>
      <c r="M374" s="441">
        <f>IF(L374&lt;O374,MinPoints,IF(AND(L374&gt;N374,O374&gt;0),100,+INT(($L374-O374)/P374)+MinPoints))</f>
        <v>10</v>
      </c>
      <c r="N374" s="440">
        <f t="shared" si="7"/>
        <v>4.9</v>
      </c>
      <c r="O374" s="440">
        <f t="shared" si="8"/>
        <v>2.2</v>
      </c>
      <c r="P374" s="440">
        <f t="shared" si="9"/>
        <v>0.03</v>
      </c>
      <c r="Q374">
        <f t="array" ref="Q374">IF(I374&gt;0,INDEX(DB,I374,9),EventIndex)</f>
        <v>6</v>
      </c>
      <c r="S374" s="447">
        <f t="array" ref="S374">INDEX(MINVALUES,$Q374,$K$1)</f>
        <v>2.2</v>
      </c>
      <c r="T374" s="448">
        <f t="array" ref="T374">INDEX(INCVALUES,$Q374,$K$1)</f>
        <v>0.03</v>
      </c>
      <c r="V374">
        <f t="array" ref="V374">+J374+(4*(INDEX(MatchScoreTable,$Q374,20)-1))</f>
        <v>4</v>
      </c>
      <c r="W374" s="442">
        <f t="array" ref="W374">INDEX(INC_MINVALUES,$V374,$K$1)</f>
        <v>0.2</v>
      </c>
      <c r="X374" s="212">
        <f t="array" ref="X374">INDEX(INC_INCVALUES,$V374,$K$1)</f>
        <v>0.02</v>
      </c>
    </row>
    <row r="375" ht="15.75" customHeight="1">
      <c r="A375" s="435"/>
      <c r="B375" s="436"/>
      <c r="C375" s="95" t="str">
        <f t="array" ref="C375">IF(I375&gt;0,INDEX(DB,I375,8),"")</f>
        <v/>
      </c>
      <c r="D375" s="437">
        <f t="shared" si="1"/>
        <v>0</v>
      </c>
      <c r="F375" s="438">
        <f t="shared" si="2"/>
        <v>0</v>
      </c>
      <c r="G375" t="str">
        <f t="shared" si="3"/>
        <v/>
      </c>
      <c r="H375" t="b">
        <f t="shared" si="4"/>
        <v>0</v>
      </c>
      <c r="I375" s="439">
        <f>IF(OR(ISBLANK(A375),ISNA(MATCH(A375&amp;"",AthleteNumbers,0))),0,MATCH(A375&amp;"",AthleteNumbers,0))</f>
        <v>0</v>
      </c>
      <c r="J375" s="209">
        <f t="array" ref="J375">IF(I375&gt;0,INDEX(DB,$I375,6),0)</f>
        <v>0</v>
      </c>
      <c r="K375" s="446">
        <f t="shared" si="5"/>
        <v>0</v>
      </c>
      <c r="L375" s="446">
        <f t="shared" si="6"/>
        <v>0</v>
      </c>
      <c r="M375" s="441">
        <f>IF(L375&lt;O375,MinPoints,IF(AND(L375&gt;N375,O375&gt;0),100,+INT(($L375-O375)/P375)+MinPoints))</f>
        <v>10</v>
      </c>
      <c r="N375" s="440">
        <f t="shared" si="7"/>
        <v>4.9</v>
      </c>
      <c r="O375" s="440">
        <f t="shared" si="8"/>
        <v>2.2</v>
      </c>
      <c r="P375" s="440">
        <f t="shared" si="9"/>
        <v>0.03</v>
      </c>
      <c r="Q375">
        <f t="array" ref="Q375">IF(I375&gt;0,INDEX(DB,I375,9),EventIndex)</f>
        <v>6</v>
      </c>
      <c r="S375" s="447">
        <f t="array" ref="S375">INDEX(MINVALUES,$Q375,$K$1)</f>
        <v>2.2</v>
      </c>
      <c r="T375" s="448">
        <f t="array" ref="T375">INDEX(INCVALUES,$Q375,$K$1)</f>
        <v>0.03</v>
      </c>
      <c r="V375">
        <f t="array" ref="V375">+J375+(4*(INDEX(MatchScoreTable,$Q375,20)-1))</f>
        <v>4</v>
      </c>
      <c r="W375" s="442">
        <f t="array" ref="W375">INDEX(INC_MINVALUES,$V375,$K$1)</f>
        <v>0.2</v>
      </c>
      <c r="X375" s="212">
        <f t="array" ref="X375">INDEX(INC_INCVALUES,$V375,$K$1)</f>
        <v>0.02</v>
      </c>
    </row>
    <row r="376" ht="15.75" customHeight="1">
      <c r="A376" s="435"/>
      <c r="B376" s="436"/>
      <c r="C376" s="95" t="str">
        <f t="array" ref="C376">IF(I376&gt;0,INDEX(DB,I376,8),"")</f>
        <v/>
      </c>
      <c r="D376" s="437">
        <f t="shared" si="1"/>
        <v>0</v>
      </c>
      <c r="F376" s="438">
        <f t="shared" si="2"/>
        <v>0</v>
      </c>
      <c r="G376" t="str">
        <f t="shared" si="3"/>
        <v/>
      </c>
      <c r="H376" t="b">
        <f t="shared" si="4"/>
        <v>0</v>
      </c>
      <c r="I376" s="439">
        <f>IF(OR(ISBLANK(A376),ISNA(MATCH(A376&amp;"",AthleteNumbers,0))),0,MATCH(A376&amp;"",AthleteNumbers,0))</f>
        <v>0</v>
      </c>
      <c r="J376" s="209">
        <f t="array" ref="J376">IF(I376&gt;0,INDEX(DB,$I376,6),0)</f>
        <v>0</v>
      </c>
      <c r="K376" s="446">
        <f t="shared" si="5"/>
        <v>0</v>
      </c>
      <c r="L376" s="446">
        <f t="shared" si="6"/>
        <v>0</v>
      </c>
      <c r="M376" s="441">
        <f>IF(L376&lt;O376,MinPoints,IF(AND(L376&gt;N376,O376&gt;0),100,+INT(($L376-O376)/P376)+MinPoints))</f>
        <v>10</v>
      </c>
      <c r="N376" s="440">
        <f t="shared" si="7"/>
        <v>4.9</v>
      </c>
      <c r="O376" s="440">
        <f t="shared" si="8"/>
        <v>2.2</v>
      </c>
      <c r="P376" s="440">
        <f t="shared" si="9"/>
        <v>0.03</v>
      </c>
      <c r="Q376">
        <f t="array" ref="Q376">IF(I376&gt;0,INDEX(DB,I376,9),EventIndex)</f>
        <v>6</v>
      </c>
      <c r="S376" s="447">
        <f t="array" ref="S376">INDEX(MINVALUES,$Q376,$K$1)</f>
        <v>2.2</v>
      </c>
      <c r="T376" s="448">
        <f t="array" ref="T376">INDEX(INCVALUES,$Q376,$K$1)</f>
        <v>0.03</v>
      </c>
      <c r="V376">
        <f t="array" ref="V376">+J376+(4*(INDEX(MatchScoreTable,$Q376,20)-1))</f>
        <v>4</v>
      </c>
      <c r="W376" s="442">
        <f t="array" ref="W376">INDEX(INC_MINVALUES,$V376,$K$1)</f>
        <v>0.2</v>
      </c>
      <c r="X376" s="212">
        <f t="array" ref="X376">INDEX(INC_INCVALUES,$V376,$K$1)</f>
        <v>0.02</v>
      </c>
    </row>
    <row r="377" ht="15.75" customHeight="1">
      <c r="A377" s="435"/>
      <c r="B377" s="436"/>
      <c r="C377" s="95" t="str">
        <f t="array" ref="C377">IF(I377&gt;0,INDEX(DB,I377,8),"")</f>
        <v/>
      </c>
      <c r="D377" s="437">
        <f t="shared" si="1"/>
        <v>0</v>
      </c>
      <c r="F377" s="438">
        <f t="shared" si="2"/>
        <v>0</v>
      </c>
      <c r="G377" t="str">
        <f t="shared" si="3"/>
        <v/>
      </c>
      <c r="H377" t="b">
        <f t="shared" si="4"/>
        <v>0</v>
      </c>
      <c r="I377" s="439">
        <f>IF(OR(ISBLANK(A377),ISNA(MATCH(A377&amp;"",AthleteNumbers,0))),0,MATCH(A377&amp;"",AthleteNumbers,0))</f>
        <v>0</v>
      </c>
      <c r="J377" s="209">
        <f t="array" ref="J377">IF(I377&gt;0,INDEX(DB,$I377,6),0)</f>
        <v>0</v>
      </c>
      <c r="K377" s="446">
        <f t="shared" si="5"/>
        <v>0</v>
      </c>
      <c r="L377" s="446">
        <f t="shared" si="6"/>
        <v>0</v>
      </c>
      <c r="M377" s="441">
        <f>IF(L377&lt;O377,MinPoints,IF(AND(L377&gt;N377,O377&gt;0),100,+INT(($L377-O377)/P377)+MinPoints))</f>
        <v>10</v>
      </c>
      <c r="N377" s="440">
        <f t="shared" si="7"/>
        <v>4.9</v>
      </c>
      <c r="O377" s="440">
        <f t="shared" si="8"/>
        <v>2.2</v>
      </c>
      <c r="P377" s="440">
        <f t="shared" si="9"/>
        <v>0.03</v>
      </c>
      <c r="Q377">
        <f t="array" ref="Q377">IF(I377&gt;0,INDEX(DB,I377,9),EventIndex)</f>
        <v>6</v>
      </c>
      <c r="S377" s="447">
        <f t="array" ref="S377">INDEX(MINVALUES,$Q377,$K$1)</f>
        <v>2.2</v>
      </c>
      <c r="T377" s="448">
        <f t="array" ref="T377">INDEX(INCVALUES,$Q377,$K$1)</f>
        <v>0.03</v>
      </c>
      <c r="V377">
        <f t="array" ref="V377">+J377+(4*(INDEX(MatchScoreTable,$Q377,20)-1))</f>
        <v>4</v>
      </c>
      <c r="W377" s="442">
        <f t="array" ref="W377">INDEX(INC_MINVALUES,$V377,$K$1)</f>
        <v>0.2</v>
      </c>
      <c r="X377" s="212">
        <f t="array" ref="X377">INDEX(INC_INCVALUES,$V377,$K$1)</f>
        <v>0.02</v>
      </c>
    </row>
    <row r="378" ht="15.75" customHeight="1">
      <c r="A378" s="435"/>
      <c r="B378" s="436"/>
      <c r="C378" s="95" t="str">
        <f t="array" ref="C378">IF(I378&gt;0,INDEX(DB,I378,8),"")</f>
        <v/>
      </c>
      <c r="D378" s="437">
        <f t="shared" si="1"/>
        <v>0</v>
      </c>
      <c r="F378" s="438">
        <f t="shared" si="2"/>
        <v>0</v>
      </c>
      <c r="G378" t="str">
        <f t="shared" si="3"/>
        <v/>
      </c>
      <c r="H378" t="b">
        <f t="shared" si="4"/>
        <v>0</v>
      </c>
      <c r="I378" s="439">
        <f>IF(OR(ISBLANK(A378),ISNA(MATCH(A378&amp;"",AthleteNumbers,0))),0,MATCH(A378&amp;"",AthleteNumbers,0))</f>
        <v>0</v>
      </c>
      <c r="J378" s="209">
        <f t="array" ref="J378">IF(I378&gt;0,INDEX(DB,$I378,6),0)</f>
        <v>0</v>
      </c>
      <c r="K378" s="446">
        <f t="shared" si="5"/>
        <v>0</v>
      </c>
      <c r="L378" s="446">
        <f t="shared" si="6"/>
        <v>0</v>
      </c>
      <c r="M378" s="441">
        <f>IF(L378&lt;O378,MinPoints,IF(AND(L378&gt;N378,O378&gt;0),100,+INT(($L378-O378)/P378)+MinPoints))</f>
        <v>10</v>
      </c>
      <c r="N378" s="440">
        <f t="shared" si="7"/>
        <v>4.9</v>
      </c>
      <c r="O378" s="440">
        <f t="shared" si="8"/>
        <v>2.2</v>
      </c>
      <c r="P378" s="440">
        <f t="shared" si="9"/>
        <v>0.03</v>
      </c>
      <c r="Q378">
        <f t="array" ref="Q378">IF(I378&gt;0,INDEX(DB,I378,9),EventIndex)</f>
        <v>6</v>
      </c>
      <c r="S378" s="447">
        <f t="array" ref="S378">INDEX(MINVALUES,$Q378,$K$1)</f>
        <v>2.2</v>
      </c>
      <c r="T378" s="448">
        <f t="array" ref="T378">INDEX(INCVALUES,$Q378,$K$1)</f>
        <v>0.03</v>
      </c>
      <c r="V378">
        <f t="array" ref="V378">+J378+(4*(INDEX(MatchScoreTable,$Q378,20)-1))</f>
        <v>4</v>
      </c>
      <c r="W378" s="442">
        <f t="array" ref="W378">INDEX(INC_MINVALUES,$V378,$K$1)</f>
        <v>0.2</v>
      </c>
      <c r="X378" s="212">
        <f t="array" ref="X378">INDEX(INC_INCVALUES,$V378,$K$1)</f>
        <v>0.02</v>
      </c>
    </row>
    <row r="379" ht="15.75" customHeight="1">
      <c r="A379" s="435"/>
      <c r="B379" s="436"/>
      <c r="C379" s="95" t="str">
        <f t="array" ref="C379">IF(I379&gt;0,INDEX(DB,I379,8),"")</f>
        <v/>
      </c>
      <c r="D379" s="437">
        <f t="shared" si="1"/>
        <v>0</v>
      </c>
      <c r="F379" s="438">
        <f t="shared" si="2"/>
        <v>0</v>
      </c>
      <c r="G379" t="str">
        <f t="shared" si="3"/>
        <v/>
      </c>
      <c r="H379" t="b">
        <f t="shared" si="4"/>
        <v>0</v>
      </c>
      <c r="I379" s="439">
        <f>IF(OR(ISBLANK(A379),ISNA(MATCH(A379&amp;"",AthleteNumbers,0))),0,MATCH(A379&amp;"",AthleteNumbers,0))</f>
        <v>0</v>
      </c>
      <c r="J379" s="209">
        <f t="array" ref="J379">IF(I379&gt;0,INDEX(DB,$I379,6),0)</f>
        <v>0</v>
      </c>
      <c r="K379" s="446">
        <f t="shared" si="5"/>
        <v>0</v>
      </c>
      <c r="L379" s="446">
        <f t="shared" si="6"/>
        <v>0</v>
      </c>
      <c r="M379" s="441">
        <f>IF(L379&lt;O379,MinPoints,IF(AND(L379&gt;N379,O379&gt;0),100,+INT(($L379-O379)/P379)+MinPoints))</f>
        <v>10</v>
      </c>
      <c r="N379" s="440">
        <f t="shared" si="7"/>
        <v>4.9</v>
      </c>
      <c r="O379" s="440">
        <f t="shared" si="8"/>
        <v>2.2</v>
      </c>
      <c r="P379" s="440">
        <f t="shared" si="9"/>
        <v>0.03</v>
      </c>
      <c r="Q379">
        <f t="array" ref="Q379">IF(I379&gt;0,INDEX(DB,I379,9),EventIndex)</f>
        <v>6</v>
      </c>
      <c r="S379" s="447">
        <f t="array" ref="S379">INDEX(MINVALUES,$Q379,$K$1)</f>
        <v>2.2</v>
      </c>
      <c r="T379" s="448">
        <f t="array" ref="T379">INDEX(INCVALUES,$Q379,$K$1)</f>
        <v>0.03</v>
      </c>
      <c r="V379">
        <f t="array" ref="V379">+J379+(4*(INDEX(MatchScoreTable,$Q379,20)-1))</f>
        <v>4</v>
      </c>
      <c r="W379" s="442">
        <f t="array" ref="W379">INDEX(INC_MINVALUES,$V379,$K$1)</f>
        <v>0.2</v>
      </c>
      <c r="X379" s="212">
        <f t="array" ref="X379">INDEX(INC_INCVALUES,$V379,$K$1)</f>
        <v>0.02</v>
      </c>
    </row>
    <row r="380" ht="15.75" customHeight="1">
      <c r="A380" s="435"/>
      <c r="B380" s="436"/>
      <c r="C380" s="95" t="str">
        <f t="array" ref="C380">IF(I380&gt;0,INDEX(DB,I380,8),"")</f>
        <v/>
      </c>
      <c r="D380" s="437">
        <f t="shared" si="1"/>
        <v>0</v>
      </c>
      <c r="F380" s="438">
        <f t="shared" si="2"/>
        <v>0</v>
      </c>
      <c r="G380" t="str">
        <f t="shared" si="3"/>
        <v/>
      </c>
      <c r="H380" t="b">
        <f t="shared" si="4"/>
        <v>0</v>
      </c>
      <c r="I380" s="439">
        <f>IF(OR(ISBLANK(A380),ISNA(MATCH(A380&amp;"",AthleteNumbers,0))),0,MATCH(A380&amp;"",AthleteNumbers,0))</f>
        <v>0</v>
      </c>
      <c r="J380" s="209">
        <f t="array" ref="J380">IF(I380&gt;0,INDEX(DB,$I380,6),0)</f>
        <v>0</v>
      </c>
      <c r="K380" s="446">
        <f t="shared" si="5"/>
        <v>0</v>
      </c>
      <c r="L380" s="446">
        <f t="shared" si="6"/>
        <v>0</v>
      </c>
      <c r="M380" s="441">
        <f>IF(L380&lt;O380,MinPoints,IF(AND(L380&gt;N380,O380&gt;0),100,+INT(($L380-O380)/P380)+MinPoints))</f>
        <v>10</v>
      </c>
      <c r="N380" s="440">
        <f t="shared" si="7"/>
        <v>4.9</v>
      </c>
      <c r="O380" s="440">
        <f t="shared" si="8"/>
        <v>2.2</v>
      </c>
      <c r="P380" s="440">
        <f t="shared" si="9"/>
        <v>0.03</v>
      </c>
      <c r="Q380">
        <f t="array" ref="Q380">IF(I380&gt;0,INDEX(DB,I380,9),EventIndex)</f>
        <v>6</v>
      </c>
      <c r="S380" s="447">
        <f t="array" ref="S380">INDEX(MINVALUES,$Q380,$K$1)</f>
        <v>2.2</v>
      </c>
      <c r="T380" s="448">
        <f t="array" ref="T380">INDEX(INCVALUES,$Q380,$K$1)</f>
        <v>0.03</v>
      </c>
      <c r="V380">
        <f t="array" ref="V380">+J380+(4*(INDEX(MatchScoreTable,$Q380,20)-1))</f>
        <v>4</v>
      </c>
      <c r="W380" s="442">
        <f t="array" ref="W380">INDEX(INC_MINVALUES,$V380,$K$1)</f>
        <v>0.2</v>
      </c>
      <c r="X380" s="212">
        <f t="array" ref="X380">INDEX(INC_INCVALUES,$V380,$K$1)</f>
        <v>0.02</v>
      </c>
    </row>
    <row r="381" ht="15.75" customHeight="1">
      <c r="A381" s="435"/>
      <c r="B381" s="436"/>
      <c r="C381" s="95" t="str">
        <f t="array" ref="C381">IF(I381&gt;0,INDEX(DB,I381,8),"")</f>
        <v/>
      </c>
      <c r="D381" s="437">
        <f t="shared" si="1"/>
        <v>0</v>
      </c>
      <c r="F381" s="438">
        <f t="shared" si="2"/>
        <v>0</v>
      </c>
      <c r="G381" t="str">
        <f t="shared" si="3"/>
        <v/>
      </c>
      <c r="H381" t="b">
        <f t="shared" si="4"/>
        <v>0</v>
      </c>
      <c r="I381" s="439">
        <f>IF(OR(ISBLANK(A381),ISNA(MATCH(A381&amp;"",AthleteNumbers,0))),0,MATCH(A381&amp;"",AthleteNumbers,0))</f>
        <v>0</v>
      </c>
      <c r="J381" s="209">
        <f t="array" ref="J381">IF(I381&gt;0,INDEX(DB,$I381,6),0)</f>
        <v>0</v>
      </c>
      <c r="K381" s="446">
        <f t="shared" si="5"/>
        <v>0</v>
      </c>
      <c r="L381" s="446">
        <f t="shared" si="6"/>
        <v>0</v>
      </c>
      <c r="M381" s="441">
        <f>IF(L381&lt;O381,MinPoints,IF(AND(L381&gt;N381,O381&gt;0),100,+INT(($L381-O381)/P381)+MinPoints))</f>
        <v>10</v>
      </c>
      <c r="N381" s="440">
        <f t="shared" si="7"/>
        <v>4.9</v>
      </c>
      <c r="O381" s="440">
        <f t="shared" si="8"/>
        <v>2.2</v>
      </c>
      <c r="P381" s="440">
        <f t="shared" si="9"/>
        <v>0.03</v>
      </c>
      <c r="Q381">
        <f t="array" ref="Q381">IF(I381&gt;0,INDEX(DB,I381,9),EventIndex)</f>
        <v>6</v>
      </c>
      <c r="S381" s="447">
        <f t="array" ref="S381">INDEX(MINVALUES,$Q381,$K$1)</f>
        <v>2.2</v>
      </c>
      <c r="T381" s="448">
        <f t="array" ref="T381">INDEX(INCVALUES,$Q381,$K$1)</f>
        <v>0.03</v>
      </c>
      <c r="V381">
        <f t="array" ref="V381">+J381+(4*(INDEX(MatchScoreTable,$Q381,20)-1))</f>
        <v>4</v>
      </c>
      <c r="W381" s="442">
        <f t="array" ref="W381">INDEX(INC_MINVALUES,$V381,$K$1)</f>
        <v>0.2</v>
      </c>
      <c r="X381" s="212">
        <f t="array" ref="X381">INDEX(INC_INCVALUES,$V381,$K$1)</f>
        <v>0.02</v>
      </c>
    </row>
    <row r="382" ht="15.75" customHeight="1">
      <c r="A382" s="435"/>
      <c r="B382" s="436"/>
      <c r="C382" s="95" t="str">
        <f t="array" ref="C382">IF(I382&gt;0,INDEX(DB,I382,8),"")</f>
        <v/>
      </c>
      <c r="D382" s="437">
        <f t="shared" si="1"/>
        <v>0</v>
      </c>
      <c r="F382" s="438">
        <f t="shared" si="2"/>
        <v>0</v>
      </c>
      <c r="G382" t="str">
        <f t="shared" si="3"/>
        <v/>
      </c>
      <c r="H382" t="b">
        <f t="shared" si="4"/>
        <v>0</v>
      </c>
      <c r="I382" s="439">
        <f>IF(OR(ISBLANK(A382),ISNA(MATCH(A382&amp;"",AthleteNumbers,0))),0,MATCH(A382&amp;"",AthleteNumbers,0))</f>
        <v>0</v>
      </c>
      <c r="J382" s="209">
        <f t="array" ref="J382">IF(I382&gt;0,INDEX(DB,$I382,6),0)</f>
        <v>0</v>
      </c>
      <c r="K382" s="446">
        <f t="shared" si="5"/>
        <v>0</v>
      </c>
      <c r="L382" s="446">
        <f t="shared" si="6"/>
        <v>0</v>
      </c>
      <c r="M382" s="441">
        <f>IF(L382&lt;O382,MinPoints,IF(AND(L382&gt;N382,O382&gt;0),100,+INT(($L382-O382)/P382)+MinPoints))</f>
        <v>10</v>
      </c>
      <c r="N382" s="440">
        <f t="shared" si="7"/>
        <v>4.9</v>
      </c>
      <c r="O382" s="440">
        <f t="shared" si="8"/>
        <v>2.2</v>
      </c>
      <c r="P382" s="440">
        <f t="shared" si="9"/>
        <v>0.03</v>
      </c>
      <c r="Q382">
        <f t="array" ref="Q382">IF(I382&gt;0,INDEX(DB,I382,9),EventIndex)</f>
        <v>6</v>
      </c>
      <c r="S382" s="447">
        <f t="array" ref="S382">INDEX(MINVALUES,$Q382,$K$1)</f>
        <v>2.2</v>
      </c>
      <c r="T382" s="448">
        <f t="array" ref="T382">INDEX(INCVALUES,$Q382,$K$1)</f>
        <v>0.03</v>
      </c>
      <c r="V382">
        <f t="array" ref="V382">+J382+(4*(INDEX(MatchScoreTable,$Q382,20)-1))</f>
        <v>4</v>
      </c>
      <c r="W382" s="442">
        <f t="array" ref="W382">INDEX(INC_MINVALUES,$V382,$K$1)</f>
        <v>0.2</v>
      </c>
      <c r="X382" s="212">
        <f t="array" ref="X382">INDEX(INC_INCVALUES,$V382,$K$1)</f>
        <v>0.02</v>
      </c>
    </row>
    <row r="383" ht="15.75" customHeight="1">
      <c r="A383" s="435"/>
      <c r="B383" s="436"/>
      <c r="C383" s="95" t="str">
        <f t="array" ref="C383">IF(I383&gt;0,INDEX(DB,I383,8),"")</f>
        <v/>
      </c>
      <c r="D383" s="437">
        <f t="shared" si="1"/>
        <v>0</v>
      </c>
      <c r="F383" s="438">
        <f t="shared" si="2"/>
        <v>0</v>
      </c>
      <c r="G383" t="str">
        <f t="shared" si="3"/>
        <v/>
      </c>
      <c r="H383" t="b">
        <f t="shared" si="4"/>
        <v>0</v>
      </c>
      <c r="I383" s="439">
        <f>IF(OR(ISBLANK(A383),ISNA(MATCH(A383&amp;"",AthleteNumbers,0))),0,MATCH(A383&amp;"",AthleteNumbers,0))</f>
        <v>0</v>
      </c>
      <c r="J383" s="209">
        <f t="array" ref="J383">IF(I383&gt;0,INDEX(DB,$I383,6),0)</f>
        <v>0</v>
      </c>
      <c r="K383" s="446">
        <f t="shared" si="5"/>
        <v>0</v>
      </c>
      <c r="L383" s="446">
        <f t="shared" si="6"/>
        <v>0</v>
      </c>
      <c r="M383" s="441">
        <f>IF(L383&lt;O383,MinPoints,IF(AND(L383&gt;N383,O383&gt;0),100,+INT(($L383-O383)/P383)+MinPoints))</f>
        <v>10</v>
      </c>
      <c r="N383" s="440">
        <f t="shared" si="7"/>
        <v>4.9</v>
      </c>
      <c r="O383" s="440">
        <f t="shared" si="8"/>
        <v>2.2</v>
      </c>
      <c r="P383" s="440">
        <f t="shared" si="9"/>
        <v>0.03</v>
      </c>
      <c r="Q383">
        <f t="array" ref="Q383">IF(I383&gt;0,INDEX(DB,I383,9),EventIndex)</f>
        <v>6</v>
      </c>
      <c r="S383" s="447">
        <f t="array" ref="S383">INDEX(MINVALUES,$Q383,$K$1)</f>
        <v>2.2</v>
      </c>
      <c r="T383" s="448">
        <f t="array" ref="T383">INDEX(INCVALUES,$Q383,$K$1)</f>
        <v>0.03</v>
      </c>
      <c r="V383">
        <f t="array" ref="V383">+J383+(4*(INDEX(MatchScoreTable,$Q383,20)-1))</f>
        <v>4</v>
      </c>
      <c r="W383" s="442">
        <f t="array" ref="W383">INDEX(INC_MINVALUES,$V383,$K$1)</f>
        <v>0.2</v>
      </c>
      <c r="X383" s="212">
        <f t="array" ref="X383">INDEX(INC_INCVALUES,$V383,$K$1)</f>
        <v>0.02</v>
      </c>
    </row>
    <row r="384" ht="15.75" customHeight="1">
      <c r="A384" s="435"/>
      <c r="B384" s="436"/>
      <c r="C384" s="95" t="str">
        <f t="array" ref="C384">IF(I384&gt;0,INDEX(DB,I384,8),"")</f>
        <v/>
      </c>
      <c r="D384" s="437">
        <f t="shared" si="1"/>
        <v>0</v>
      </c>
      <c r="F384" s="438">
        <f t="shared" si="2"/>
        <v>0</v>
      </c>
      <c r="G384" t="str">
        <f t="shared" si="3"/>
        <v/>
      </c>
      <c r="H384" t="b">
        <f t="shared" si="4"/>
        <v>0</v>
      </c>
      <c r="I384" s="439">
        <f>IF(OR(ISBLANK(A384),ISNA(MATCH(A384&amp;"",AthleteNumbers,0))),0,MATCH(A384&amp;"",AthleteNumbers,0))</f>
        <v>0</v>
      </c>
      <c r="J384" s="209">
        <f t="array" ref="J384">IF(I384&gt;0,INDEX(DB,$I384,6),0)</f>
        <v>0</v>
      </c>
      <c r="K384" s="446">
        <f t="shared" si="5"/>
        <v>0</v>
      </c>
      <c r="L384" s="446">
        <f t="shared" si="6"/>
        <v>0</v>
      </c>
      <c r="M384" s="441">
        <f>IF(L384&lt;O384,MinPoints,IF(AND(L384&gt;N384,O384&gt;0),100,+INT(($L384-O384)/P384)+MinPoints))</f>
        <v>10</v>
      </c>
      <c r="N384" s="440">
        <f t="shared" si="7"/>
        <v>4.9</v>
      </c>
      <c r="O384" s="440">
        <f t="shared" si="8"/>
        <v>2.2</v>
      </c>
      <c r="P384" s="440">
        <f t="shared" si="9"/>
        <v>0.03</v>
      </c>
      <c r="Q384">
        <f t="array" ref="Q384">IF(I384&gt;0,INDEX(DB,I384,9),EventIndex)</f>
        <v>6</v>
      </c>
      <c r="S384" s="447">
        <f t="array" ref="S384">INDEX(MINVALUES,$Q384,$K$1)</f>
        <v>2.2</v>
      </c>
      <c r="T384" s="448">
        <f t="array" ref="T384">INDEX(INCVALUES,$Q384,$K$1)</f>
        <v>0.03</v>
      </c>
      <c r="V384">
        <f t="array" ref="V384">+J384+(4*(INDEX(MatchScoreTable,$Q384,20)-1))</f>
        <v>4</v>
      </c>
      <c r="W384" s="442">
        <f t="array" ref="W384">INDEX(INC_MINVALUES,$V384,$K$1)</f>
        <v>0.2</v>
      </c>
      <c r="X384" s="212">
        <f t="array" ref="X384">INDEX(INC_INCVALUES,$V384,$K$1)</f>
        <v>0.02</v>
      </c>
    </row>
    <row r="385" ht="15.75" customHeight="1">
      <c r="A385" s="435"/>
      <c r="B385" s="436"/>
      <c r="C385" s="95" t="str">
        <f t="array" ref="C385">IF(I385&gt;0,INDEX(DB,I385,8),"")</f>
        <v/>
      </c>
      <c r="D385" s="437">
        <f t="shared" si="1"/>
        <v>0</v>
      </c>
      <c r="F385" s="438">
        <f t="shared" si="2"/>
        <v>0</v>
      </c>
      <c r="G385" t="str">
        <f t="shared" si="3"/>
        <v/>
      </c>
      <c r="H385" t="b">
        <f t="shared" si="4"/>
        <v>0</v>
      </c>
      <c r="I385" s="439">
        <f>IF(OR(ISBLANK(A385),ISNA(MATCH(A385&amp;"",AthleteNumbers,0))),0,MATCH(A385&amp;"",AthleteNumbers,0))</f>
        <v>0</v>
      </c>
      <c r="J385" s="209">
        <f t="array" ref="J385">IF(I385&gt;0,INDEX(DB,$I385,6),0)</f>
        <v>0</v>
      </c>
      <c r="K385" s="446">
        <f t="shared" si="5"/>
        <v>0</v>
      </c>
      <c r="L385" s="446">
        <f t="shared" si="6"/>
        <v>0</v>
      </c>
      <c r="M385" s="441">
        <f>IF(L385&lt;O385,MinPoints,IF(AND(L385&gt;N385,O385&gt;0),100,+INT(($L385-O385)/P385)+MinPoints))</f>
        <v>10</v>
      </c>
      <c r="N385" s="440">
        <f t="shared" si="7"/>
        <v>4.9</v>
      </c>
      <c r="O385" s="440">
        <f t="shared" si="8"/>
        <v>2.2</v>
      </c>
      <c r="P385" s="440">
        <f t="shared" si="9"/>
        <v>0.03</v>
      </c>
      <c r="Q385">
        <f t="array" ref="Q385">IF(I385&gt;0,INDEX(DB,I385,9),EventIndex)</f>
        <v>6</v>
      </c>
      <c r="S385" s="447">
        <f t="array" ref="S385">INDEX(MINVALUES,$Q385,$K$1)</f>
        <v>2.2</v>
      </c>
      <c r="T385" s="448">
        <f t="array" ref="T385">INDEX(INCVALUES,$Q385,$K$1)</f>
        <v>0.03</v>
      </c>
      <c r="V385">
        <f t="array" ref="V385">+J385+(4*(INDEX(MatchScoreTable,$Q385,20)-1))</f>
        <v>4</v>
      </c>
      <c r="W385" s="442">
        <f t="array" ref="W385">INDEX(INC_MINVALUES,$V385,$K$1)</f>
        <v>0.2</v>
      </c>
      <c r="X385" s="212">
        <f t="array" ref="X385">INDEX(INC_INCVALUES,$V385,$K$1)</f>
        <v>0.02</v>
      </c>
    </row>
    <row r="386" ht="15.75" customHeight="1">
      <c r="A386" s="435"/>
      <c r="B386" s="436"/>
      <c r="C386" s="95" t="str">
        <f t="array" ref="C386">IF(I386&gt;0,INDEX(DB,I386,8),"")</f>
        <v/>
      </c>
      <c r="D386" s="437">
        <f t="shared" si="1"/>
        <v>0</v>
      </c>
      <c r="F386" s="438">
        <f t="shared" si="2"/>
        <v>0</v>
      </c>
      <c r="G386" t="str">
        <f t="shared" si="3"/>
        <v/>
      </c>
      <c r="H386" t="b">
        <f t="shared" si="4"/>
        <v>0</v>
      </c>
      <c r="I386" s="439">
        <f>IF(OR(ISBLANK(A386),ISNA(MATCH(A386&amp;"",AthleteNumbers,0))),0,MATCH(A386&amp;"",AthleteNumbers,0))</f>
        <v>0</v>
      </c>
      <c r="J386" s="209">
        <f t="array" ref="J386">IF(I386&gt;0,INDEX(DB,$I386,6),0)</f>
        <v>0</v>
      </c>
      <c r="K386" s="446">
        <f t="shared" si="5"/>
        <v>0</v>
      </c>
      <c r="L386" s="446">
        <f t="shared" si="6"/>
        <v>0</v>
      </c>
      <c r="M386" s="441">
        <f>IF(L386&lt;O386,MinPoints,IF(AND(L386&gt;N386,O386&gt;0),100,+INT(($L386-O386)/P386)+MinPoints))</f>
        <v>10</v>
      </c>
      <c r="N386" s="440">
        <f t="shared" si="7"/>
        <v>4.9</v>
      </c>
      <c r="O386" s="440">
        <f t="shared" si="8"/>
        <v>2.2</v>
      </c>
      <c r="P386" s="440">
        <f t="shared" si="9"/>
        <v>0.03</v>
      </c>
      <c r="Q386">
        <f t="array" ref="Q386">IF(I386&gt;0,INDEX(DB,I386,9),EventIndex)</f>
        <v>6</v>
      </c>
      <c r="S386" s="447">
        <f t="array" ref="S386">INDEX(MINVALUES,$Q386,$K$1)</f>
        <v>2.2</v>
      </c>
      <c r="T386" s="448">
        <f t="array" ref="T386">INDEX(INCVALUES,$Q386,$K$1)</f>
        <v>0.03</v>
      </c>
      <c r="V386">
        <f t="array" ref="V386">+J386+(4*(INDEX(MatchScoreTable,$Q386,20)-1))</f>
        <v>4</v>
      </c>
      <c r="W386" s="442">
        <f t="array" ref="W386">INDEX(INC_MINVALUES,$V386,$K$1)</f>
        <v>0.2</v>
      </c>
      <c r="X386" s="212">
        <f t="array" ref="X386">INDEX(INC_INCVALUES,$V386,$K$1)</f>
        <v>0.02</v>
      </c>
    </row>
    <row r="387" ht="15.75" customHeight="1">
      <c r="A387" s="435"/>
      <c r="B387" s="436"/>
      <c r="C387" s="95" t="str">
        <f t="array" ref="C387">IF(I387&gt;0,INDEX(DB,I387,8),"")</f>
        <v/>
      </c>
      <c r="D387" s="437">
        <f t="shared" si="1"/>
        <v>0</v>
      </c>
      <c r="F387" s="438">
        <f t="shared" si="2"/>
        <v>0</v>
      </c>
      <c r="G387" t="str">
        <f t="shared" si="3"/>
        <v/>
      </c>
      <c r="H387" t="b">
        <f t="shared" si="4"/>
        <v>0</v>
      </c>
      <c r="I387" s="439">
        <f>IF(OR(ISBLANK(A387),ISNA(MATCH(A387&amp;"",AthleteNumbers,0))),0,MATCH(A387&amp;"",AthleteNumbers,0))</f>
        <v>0</v>
      </c>
      <c r="J387" s="209">
        <f t="array" ref="J387">IF(I387&gt;0,INDEX(DB,$I387,6),0)</f>
        <v>0</v>
      </c>
      <c r="K387" s="446">
        <f t="shared" si="5"/>
        <v>0</v>
      </c>
      <c r="L387" s="446">
        <f t="shared" si="6"/>
        <v>0</v>
      </c>
      <c r="M387" s="441">
        <f>IF(L387&lt;O387,MinPoints,IF(AND(L387&gt;N387,O387&gt;0),100,+INT(($L387-O387)/P387)+MinPoints))</f>
        <v>10</v>
      </c>
      <c r="N387" s="440">
        <f t="shared" si="7"/>
        <v>4.9</v>
      </c>
      <c r="O387" s="440">
        <f t="shared" si="8"/>
        <v>2.2</v>
      </c>
      <c r="P387" s="440">
        <f t="shared" si="9"/>
        <v>0.03</v>
      </c>
      <c r="Q387">
        <f t="array" ref="Q387">IF(I387&gt;0,INDEX(DB,I387,9),EventIndex)</f>
        <v>6</v>
      </c>
      <c r="S387" s="447">
        <f t="array" ref="S387">INDEX(MINVALUES,$Q387,$K$1)</f>
        <v>2.2</v>
      </c>
      <c r="T387" s="448">
        <f t="array" ref="T387">INDEX(INCVALUES,$Q387,$K$1)</f>
        <v>0.03</v>
      </c>
      <c r="V387">
        <f t="array" ref="V387">+J387+(4*(INDEX(MatchScoreTable,$Q387,20)-1))</f>
        <v>4</v>
      </c>
      <c r="W387" s="442">
        <f t="array" ref="W387">INDEX(INC_MINVALUES,$V387,$K$1)</f>
        <v>0.2</v>
      </c>
      <c r="X387" s="212">
        <f t="array" ref="X387">INDEX(INC_INCVALUES,$V387,$K$1)</f>
        <v>0.02</v>
      </c>
    </row>
    <row r="388" ht="15.75" customHeight="1">
      <c r="A388" s="435"/>
      <c r="B388" s="436"/>
      <c r="C388" s="95" t="str">
        <f t="array" ref="C388">IF(I388&gt;0,INDEX(DB,I388,8),"")</f>
        <v/>
      </c>
      <c r="D388" s="437">
        <f t="shared" si="1"/>
        <v>0</v>
      </c>
      <c r="F388" s="438">
        <f t="shared" si="2"/>
        <v>0</v>
      </c>
      <c r="G388" t="str">
        <f t="shared" si="3"/>
        <v/>
      </c>
      <c r="H388" t="b">
        <f t="shared" si="4"/>
        <v>0</v>
      </c>
      <c r="I388" s="439">
        <f>IF(OR(ISBLANK(A388),ISNA(MATCH(A388&amp;"",AthleteNumbers,0))),0,MATCH(A388&amp;"",AthleteNumbers,0))</f>
        <v>0</v>
      </c>
      <c r="J388" s="209">
        <f t="array" ref="J388">IF(I388&gt;0,INDEX(DB,$I388,6),0)</f>
        <v>0</v>
      </c>
      <c r="K388" s="446">
        <f t="shared" si="5"/>
        <v>0</v>
      </c>
      <c r="L388" s="446">
        <f t="shared" si="6"/>
        <v>0</v>
      </c>
      <c r="M388" s="441">
        <f>IF(L388&lt;O388,MinPoints,IF(AND(L388&gt;N388,O388&gt;0),100,+INT(($L388-O388)/P388)+MinPoints))</f>
        <v>10</v>
      </c>
      <c r="N388" s="440">
        <f t="shared" si="7"/>
        <v>4.9</v>
      </c>
      <c r="O388" s="440">
        <f t="shared" si="8"/>
        <v>2.2</v>
      </c>
      <c r="P388" s="440">
        <f t="shared" si="9"/>
        <v>0.03</v>
      </c>
      <c r="Q388">
        <f t="array" ref="Q388">IF(I388&gt;0,INDEX(DB,I388,9),EventIndex)</f>
        <v>6</v>
      </c>
      <c r="S388" s="447">
        <f t="array" ref="S388">INDEX(MINVALUES,$Q388,$K$1)</f>
        <v>2.2</v>
      </c>
      <c r="T388" s="448">
        <f t="array" ref="T388">INDEX(INCVALUES,$Q388,$K$1)</f>
        <v>0.03</v>
      </c>
      <c r="V388">
        <f t="array" ref="V388">+J388+(4*(INDEX(MatchScoreTable,$Q388,20)-1))</f>
        <v>4</v>
      </c>
      <c r="W388" s="442">
        <f t="array" ref="W388">INDEX(INC_MINVALUES,$V388,$K$1)</f>
        <v>0.2</v>
      </c>
      <c r="X388" s="212">
        <f t="array" ref="X388">INDEX(INC_INCVALUES,$V388,$K$1)</f>
        <v>0.02</v>
      </c>
    </row>
    <row r="389" ht="15.75" customHeight="1">
      <c r="A389" s="435"/>
      <c r="B389" s="436"/>
      <c r="C389" s="95" t="str">
        <f t="array" ref="C389">IF(I389&gt;0,INDEX(DB,I389,8),"")</f>
        <v/>
      </c>
      <c r="D389" s="437">
        <f t="shared" si="1"/>
        <v>0</v>
      </c>
      <c r="F389" s="438">
        <f t="shared" si="2"/>
        <v>0</v>
      </c>
      <c r="G389" t="str">
        <f t="shared" si="3"/>
        <v/>
      </c>
      <c r="H389" t="b">
        <f t="shared" si="4"/>
        <v>0</v>
      </c>
      <c r="I389" s="439">
        <f>IF(OR(ISBLANK(A389),ISNA(MATCH(A389&amp;"",AthleteNumbers,0))),0,MATCH(A389&amp;"",AthleteNumbers,0))</f>
        <v>0</v>
      </c>
      <c r="J389" s="209">
        <f t="array" ref="J389">IF(I389&gt;0,INDEX(DB,$I389,6),0)</f>
        <v>0</v>
      </c>
      <c r="K389" s="446">
        <f t="shared" si="5"/>
        <v>0</v>
      </c>
      <c r="L389" s="446">
        <f t="shared" si="6"/>
        <v>0</v>
      </c>
      <c r="M389" s="441">
        <f>IF(L389&lt;O389,MinPoints,IF(AND(L389&gt;N389,O389&gt;0),100,+INT(($L389-O389)/P389)+MinPoints))</f>
        <v>10</v>
      </c>
      <c r="N389" s="440">
        <f t="shared" si="7"/>
        <v>4.9</v>
      </c>
      <c r="O389" s="440">
        <f t="shared" si="8"/>
        <v>2.2</v>
      </c>
      <c r="P389" s="440">
        <f t="shared" si="9"/>
        <v>0.03</v>
      </c>
      <c r="Q389">
        <f t="array" ref="Q389">IF(I389&gt;0,INDEX(DB,I389,9),EventIndex)</f>
        <v>6</v>
      </c>
      <c r="S389" s="447">
        <f t="array" ref="S389">INDEX(MINVALUES,$Q389,$K$1)</f>
        <v>2.2</v>
      </c>
      <c r="T389" s="448">
        <f t="array" ref="T389">INDEX(INCVALUES,$Q389,$K$1)</f>
        <v>0.03</v>
      </c>
      <c r="V389">
        <f t="array" ref="V389">+J389+(4*(INDEX(MatchScoreTable,$Q389,20)-1))</f>
        <v>4</v>
      </c>
      <c r="W389" s="442">
        <f t="array" ref="W389">INDEX(INC_MINVALUES,$V389,$K$1)</f>
        <v>0.2</v>
      </c>
      <c r="X389" s="212">
        <f t="array" ref="X389">INDEX(INC_INCVALUES,$V389,$K$1)</f>
        <v>0.02</v>
      </c>
    </row>
    <row r="390" ht="15.75" customHeight="1">
      <c r="A390" s="435"/>
      <c r="B390" s="436"/>
      <c r="C390" s="95" t="str">
        <f t="array" ref="C390">IF(I390&gt;0,INDEX(DB,I390,8),"")</f>
        <v/>
      </c>
      <c r="D390" s="437">
        <f t="shared" si="1"/>
        <v>0</v>
      </c>
      <c r="F390" s="438">
        <f t="shared" si="2"/>
        <v>0</v>
      </c>
      <c r="G390" t="str">
        <f t="shared" si="3"/>
        <v/>
      </c>
      <c r="H390" t="b">
        <f t="shared" si="4"/>
        <v>0</v>
      </c>
      <c r="I390" s="439">
        <f>IF(OR(ISBLANK(A390),ISNA(MATCH(A390&amp;"",AthleteNumbers,0))),0,MATCH(A390&amp;"",AthleteNumbers,0))</f>
        <v>0</v>
      </c>
      <c r="J390" s="209">
        <f t="array" ref="J390">IF(I390&gt;0,INDEX(DB,$I390,6),0)</f>
        <v>0</v>
      </c>
      <c r="K390" s="446">
        <f t="shared" si="5"/>
        <v>0</v>
      </c>
      <c r="L390" s="446">
        <f t="shared" si="6"/>
        <v>0</v>
      </c>
      <c r="M390" s="441">
        <f>IF(L390&lt;O390,MinPoints,IF(AND(L390&gt;N390,O390&gt;0),100,+INT(($L390-O390)/P390)+MinPoints))</f>
        <v>10</v>
      </c>
      <c r="N390" s="440">
        <f t="shared" si="7"/>
        <v>4.9</v>
      </c>
      <c r="O390" s="440">
        <f t="shared" si="8"/>
        <v>2.2</v>
      </c>
      <c r="P390" s="440">
        <f t="shared" si="9"/>
        <v>0.03</v>
      </c>
      <c r="Q390">
        <f t="array" ref="Q390">IF(I390&gt;0,INDEX(DB,I390,9),EventIndex)</f>
        <v>6</v>
      </c>
      <c r="S390" s="447">
        <f t="array" ref="S390">INDEX(MINVALUES,$Q390,$K$1)</f>
        <v>2.2</v>
      </c>
      <c r="T390" s="448">
        <f t="array" ref="T390">INDEX(INCVALUES,$Q390,$K$1)</f>
        <v>0.03</v>
      </c>
      <c r="V390">
        <f t="array" ref="V390">+J390+(4*(INDEX(MatchScoreTable,$Q390,20)-1))</f>
        <v>4</v>
      </c>
      <c r="W390" s="442">
        <f t="array" ref="W390">INDEX(INC_MINVALUES,$V390,$K$1)</f>
        <v>0.2</v>
      </c>
      <c r="X390" s="212">
        <f t="array" ref="X390">INDEX(INC_INCVALUES,$V390,$K$1)</f>
        <v>0.02</v>
      </c>
    </row>
    <row r="391" ht="15.75" customHeight="1">
      <c r="A391" s="435"/>
      <c r="B391" s="436"/>
      <c r="C391" s="95" t="str">
        <f t="array" ref="C391">IF(I391&gt;0,INDEX(DB,I391,8),"")</f>
        <v/>
      </c>
      <c r="D391" s="437">
        <f t="shared" si="1"/>
        <v>0</v>
      </c>
      <c r="F391" s="438">
        <f t="shared" si="2"/>
        <v>0</v>
      </c>
      <c r="G391" t="str">
        <f t="shared" si="3"/>
        <v/>
      </c>
      <c r="H391" t="b">
        <f t="shared" si="4"/>
        <v>0</v>
      </c>
      <c r="I391" s="439">
        <f>IF(OR(ISBLANK(A391),ISNA(MATCH(A391&amp;"",AthleteNumbers,0))),0,MATCH(A391&amp;"",AthleteNumbers,0))</f>
        <v>0</v>
      </c>
      <c r="J391" s="209">
        <f t="array" ref="J391">IF(I391&gt;0,INDEX(DB,$I391,6),0)</f>
        <v>0</v>
      </c>
      <c r="K391" s="446">
        <f t="shared" si="5"/>
        <v>0</v>
      </c>
      <c r="L391" s="446">
        <f t="shared" si="6"/>
        <v>0</v>
      </c>
      <c r="M391" s="441">
        <f>IF(L391&lt;O391,MinPoints,IF(AND(L391&gt;N391,O391&gt;0),100,+INT(($L391-O391)/P391)+MinPoints))</f>
        <v>10</v>
      </c>
      <c r="N391" s="440">
        <f t="shared" si="7"/>
        <v>4.9</v>
      </c>
      <c r="O391" s="440">
        <f t="shared" si="8"/>
        <v>2.2</v>
      </c>
      <c r="P391" s="440">
        <f t="shared" si="9"/>
        <v>0.03</v>
      </c>
      <c r="Q391">
        <f t="array" ref="Q391">IF(I391&gt;0,INDEX(DB,I391,9),EventIndex)</f>
        <v>6</v>
      </c>
      <c r="S391" s="447">
        <f t="array" ref="S391">INDEX(MINVALUES,$Q391,$K$1)</f>
        <v>2.2</v>
      </c>
      <c r="T391" s="448">
        <f t="array" ref="T391">INDEX(INCVALUES,$Q391,$K$1)</f>
        <v>0.03</v>
      </c>
      <c r="V391">
        <f t="array" ref="V391">+J391+(4*(INDEX(MatchScoreTable,$Q391,20)-1))</f>
        <v>4</v>
      </c>
      <c r="W391" s="442">
        <f t="array" ref="W391">INDEX(INC_MINVALUES,$V391,$K$1)</f>
        <v>0.2</v>
      </c>
      <c r="X391" s="212">
        <f t="array" ref="X391">INDEX(INC_INCVALUES,$V391,$K$1)</f>
        <v>0.02</v>
      </c>
    </row>
    <row r="392" ht="15.75" customHeight="1">
      <c r="A392" s="435"/>
      <c r="B392" s="436"/>
      <c r="C392" s="95" t="str">
        <f t="array" ref="C392">IF(I392&gt;0,INDEX(DB,I392,8),"")</f>
        <v/>
      </c>
      <c r="D392" s="437">
        <f t="shared" si="1"/>
        <v>0</v>
      </c>
      <c r="F392" s="438">
        <f t="shared" si="2"/>
        <v>0</v>
      </c>
      <c r="G392" t="str">
        <f t="shared" si="3"/>
        <v/>
      </c>
      <c r="H392" t="b">
        <f t="shared" si="4"/>
        <v>0</v>
      </c>
      <c r="I392" s="439">
        <f>IF(OR(ISBLANK(A392),ISNA(MATCH(A392&amp;"",AthleteNumbers,0))),0,MATCH(A392&amp;"",AthleteNumbers,0))</f>
        <v>0</v>
      </c>
      <c r="J392" s="209">
        <f t="array" ref="J392">IF(I392&gt;0,INDEX(DB,$I392,6),0)</f>
        <v>0</v>
      </c>
      <c r="K392" s="446">
        <f t="shared" si="5"/>
        <v>0</v>
      </c>
      <c r="L392" s="446">
        <f t="shared" si="6"/>
        <v>0</v>
      </c>
      <c r="M392" s="441">
        <f>IF(L392&lt;O392,MinPoints,IF(AND(L392&gt;N392,O392&gt;0),100,+INT(($L392-O392)/P392)+MinPoints))</f>
        <v>10</v>
      </c>
      <c r="N392" s="440">
        <f t="shared" si="7"/>
        <v>4.9</v>
      </c>
      <c r="O392" s="440">
        <f t="shared" si="8"/>
        <v>2.2</v>
      </c>
      <c r="P392" s="440">
        <f t="shared" si="9"/>
        <v>0.03</v>
      </c>
      <c r="Q392">
        <f t="array" ref="Q392">IF(I392&gt;0,INDEX(DB,I392,9),EventIndex)</f>
        <v>6</v>
      </c>
      <c r="S392" s="447">
        <f t="array" ref="S392">INDEX(MINVALUES,$Q392,$K$1)</f>
        <v>2.2</v>
      </c>
      <c r="T392" s="448">
        <f t="array" ref="T392">INDEX(INCVALUES,$Q392,$K$1)</f>
        <v>0.03</v>
      </c>
      <c r="V392">
        <f t="array" ref="V392">+J392+(4*(INDEX(MatchScoreTable,$Q392,20)-1))</f>
        <v>4</v>
      </c>
      <c r="W392" s="442">
        <f t="array" ref="W392">INDEX(INC_MINVALUES,$V392,$K$1)</f>
        <v>0.2</v>
      </c>
      <c r="X392" s="212">
        <f t="array" ref="X392">INDEX(INC_INCVALUES,$V392,$K$1)</f>
        <v>0.02</v>
      </c>
    </row>
    <row r="393" ht="15.75" customHeight="1">
      <c r="A393" s="435"/>
      <c r="B393" s="436"/>
      <c r="C393" s="95" t="str">
        <f t="array" ref="C393">IF(I393&gt;0,INDEX(DB,I393,8),"")</f>
        <v/>
      </c>
      <c r="D393" s="437">
        <f t="shared" si="1"/>
        <v>0</v>
      </c>
      <c r="F393" s="438">
        <f t="shared" si="2"/>
        <v>0</v>
      </c>
      <c r="G393" t="str">
        <f t="shared" si="3"/>
        <v/>
      </c>
      <c r="H393" t="b">
        <f t="shared" si="4"/>
        <v>0</v>
      </c>
      <c r="I393" s="439">
        <f>IF(OR(ISBLANK(A393),ISNA(MATCH(A393&amp;"",AthleteNumbers,0))),0,MATCH(A393&amp;"",AthleteNumbers,0))</f>
        <v>0</v>
      </c>
      <c r="J393" s="209">
        <f t="array" ref="J393">IF(I393&gt;0,INDEX(DB,$I393,6),0)</f>
        <v>0</v>
      </c>
      <c r="K393" s="446">
        <f t="shared" si="5"/>
        <v>0</v>
      </c>
      <c r="L393" s="446">
        <f t="shared" si="6"/>
        <v>0</v>
      </c>
      <c r="M393" s="441">
        <f>IF(L393&lt;O393,MinPoints,IF(AND(L393&gt;N393,O393&gt;0),100,+INT(($L393-O393)/P393)+MinPoints))</f>
        <v>10</v>
      </c>
      <c r="N393" s="440">
        <f t="shared" si="7"/>
        <v>4.9</v>
      </c>
      <c r="O393" s="440">
        <f t="shared" si="8"/>
        <v>2.2</v>
      </c>
      <c r="P393" s="440">
        <f t="shared" si="9"/>
        <v>0.03</v>
      </c>
      <c r="Q393">
        <f t="array" ref="Q393">IF(I393&gt;0,INDEX(DB,I393,9),EventIndex)</f>
        <v>6</v>
      </c>
      <c r="S393" s="447">
        <f t="array" ref="S393">INDEX(MINVALUES,$Q393,$K$1)</f>
        <v>2.2</v>
      </c>
      <c r="T393" s="448">
        <f t="array" ref="T393">INDEX(INCVALUES,$Q393,$K$1)</f>
        <v>0.03</v>
      </c>
      <c r="V393">
        <f t="array" ref="V393">+J393+(4*(INDEX(MatchScoreTable,$Q393,20)-1))</f>
        <v>4</v>
      </c>
      <c r="W393" s="442">
        <f t="array" ref="W393">INDEX(INC_MINVALUES,$V393,$K$1)</f>
        <v>0.2</v>
      </c>
      <c r="X393" s="212">
        <f t="array" ref="X393">INDEX(INC_INCVALUES,$V393,$K$1)</f>
        <v>0.02</v>
      </c>
    </row>
    <row r="394" ht="15.75" customHeight="1">
      <c r="A394" s="435"/>
      <c r="B394" s="436"/>
      <c r="C394" s="95" t="str">
        <f t="array" ref="C394">IF(I394&gt;0,INDEX(DB,I394,8),"")</f>
        <v/>
      </c>
      <c r="D394" s="437">
        <f t="shared" si="1"/>
        <v>0</v>
      </c>
      <c r="F394" s="438">
        <f t="shared" si="2"/>
        <v>0</v>
      </c>
      <c r="G394" t="str">
        <f t="shared" si="3"/>
        <v/>
      </c>
      <c r="H394" t="b">
        <f t="shared" si="4"/>
        <v>0</v>
      </c>
      <c r="I394" s="439">
        <f>IF(OR(ISBLANK(A394),ISNA(MATCH(A394&amp;"",AthleteNumbers,0))),0,MATCH(A394&amp;"",AthleteNumbers,0))</f>
        <v>0</v>
      </c>
      <c r="J394" s="209">
        <f t="array" ref="J394">IF(I394&gt;0,INDEX(DB,$I394,6),0)</f>
        <v>0</v>
      </c>
      <c r="K394" s="446">
        <f t="shared" si="5"/>
        <v>0</v>
      </c>
      <c r="L394" s="446">
        <f t="shared" si="6"/>
        <v>0</v>
      </c>
      <c r="M394" s="441">
        <f>IF(L394&lt;O394,MinPoints,IF(AND(L394&gt;N394,O394&gt;0),100,+INT(($L394-O394)/P394)+MinPoints))</f>
        <v>10</v>
      </c>
      <c r="N394" s="440">
        <f t="shared" si="7"/>
        <v>4.9</v>
      </c>
      <c r="O394" s="440">
        <f t="shared" si="8"/>
        <v>2.2</v>
      </c>
      <c r="P394" s="440">
        <f t="shared" si="9"/>
        <v>0.03</v>
      </c>
      <c r="Q394">
        <f t="array" ref="Q394">IF(I394&gt;0,INDEX(DB,I394,9),EventIndex)</f>
        <v>6</v>
      </c>
      <c r="S394" s="447">
        <f t="array" ref="S394">INDEX(MINVALUES,$Q394,$K$1)</f>
        <v>2.2</v>
      </c>
      <c r="T394" s="448">
        <f t="array" ref="T394">INDEX(INCVALUES,$Q394,$K$1)</f>
        <v>0.03</v>
      </c>
      <c r="V394">
        <f t="array" ref="V394">+J394+(4*(INDEX(MatchScoreTable,$Q394,20)-1))</f>
        <v>4</v>
      </c>
      <c r="W394" s="442">
        <f t="array" ref="W394">INDEX(INC_MINVALUES,$V394,$K$1)</f>
        <v>0.2</v>
      </c>
      <c r="X394" s="212">
        <f t="array" ref="X394">INDEX(INC_INCVALUES,$V394,$K$1)</f>
        <v>0.02</v>
      </c>
    </row>
    <row r="395" ht="15.75" customHeight="1">
      <c r="A395" s="435"/>
      <c r="B395" s="436"/>
      <c r="C395" s="95" t="str">
        <f t="array" ref="C395">IF(I395&gt;0,INDEX(DB,I395,8),"")</f>
        <v/>
      </c>
      <c r="D395" s="437">
        <f t="shared" si="1"/>
        <v>0</v>
      </c>
      <c r="F395" s="438">
        <f t="shared" si="2"/>
        <v>0</v>
      </c>
      <c r="G395" t="str">
        <f t="shared" si="3"/>
        <v/>
      </c>
      <c r="H395" t="b">
        <f t="shared" si="4"/>
        <v>0</v>
      </c>
      <c r="I395" s="439">
        <f>IF(OR(ISBLANK(A395),ISNA(MATCH(A395&amp;"",AthleteNumbers,0))),0,MATCH(A395&amp;"",AthleteNumbers,0))</f>
        <v>0</v>
      </c>
      <c r="J395" s="209">
        <f t="array" ref="J395">IF(I395&gt;0,INDEX(DB,$I395,6),0)</f>
        <v>0</v>
      </c>
      <c r="K395" s="446">
        <f t="shared" si="5"/>
        <v>0</v>
      </c>
      <c r="L395" s="446">
        <f t="shared" si="6"/>
        <v>0</v>
      </c>
      <c r="M395" s="441">
        <f>IF(L395&lt;O395,MinPoints,IF(AND(L395&gt;N395,O395&gt;0),100,+INT(($L395-O395)/P395)+MinPoints))</f>
        <v>10</v>
      </c>
      <c r="N395" s="440">
        <f t="shared" si="7"/>
        <v>4.9</v>
      </c>
      <c r="O395" s="440">
        <f t="shared" si="8"/>
        <v>2.2</v>
      </c>
      <c r="P395" s="440">
        <f t="shared" si="9"/>
        <v>0.03</v>
      </c>
      <c r="Q395">
        <f t="array" ref="Q395">IF(I395&gt;0,INDEX(DB,I395,9),EventIndex)</f>
        <v>6</v>
      </c>
      <c r="S395" s="447">
        <f t="array" ref="S395">INDEX(MINVALUES,$Q395,$K$1)</f>
        <v>2.2</v>
      </c>
      <c r="T395" s="448">
        <f t="array" ref="T395">INDEX(INCVALUES,$Q395,$K$1)</f>
        <v>0.03</v>
      </c>
      <c r="V395">
        <f t="array" ref="V395">+J395+(4*(INDEX(MatchScoreTable,$Q395,20)-1))</f>
        <v>4</v>
      </c>
      <c r="W395" s="442">
        <f t="array" ref="W395">INDEX(INC_MINVALUES,$V395,$K$1)</f>
        <v>0.2</v>
      </c>
      <c r="X395" s="212">
        <f t="array" ref="X395">INDEX(INC_INCVALUES,$V395,$K$1)</f>
        <v>0.02</v>
      </c>
    </row>
    <row r="396" ht="15.75" customHeight="1">
      <c r="A396" s="435"/>
      <c r="B396" s="436"/>
      <c r="C396" s="95" t="str">
        <f t="array" ref="C396">IF(I396&gt;0,INDEX(DB,I396,8),"")</f>
        <v/>
      </c>
      <c r="D396" s="437">
        <f t="shared" si="1"/>
        <v>0</v>
      </c>
      <c r="F396" s="438">
        <f t="shared" si="2"/>
        <v>0</v>
      </c>
      <c r="G396" t="str">
        <f t="shared" si="3"/>
        <v/>
      </c>
      <c r="H396" t="b">
        <f t="shared" si="4"/>
        <v>0</v>
      </c>
      <c r="I396" s="439">
        <f>IF(OR(ISBLANK(A396),ISNA(MATCH(A396&amp;"",AthleteNumbers,0))),0,MATCH(A396&amp;"",AthleteNumbers,0))</f>
        <v>0</v>
      </c>
      <c r="J396" s="209">
        <f t="array" ref="J396">IF(I396&gt;0,INDEX(DB,$I396,6),0)</f>
        <v>0</v>
      </c>
      <c r="K396" s="446">
        <f t="shared" si="5"/>
        <v>0</v>
      </c>
      <c r="L396" s="446">
        <f t="shared" si="6"/>
        <v>0</v>
      </c>
      <c r="M396" s="441">
        <f>IF(L396&lt;O396,MinPoints,IF(AND(L396&gt;N396,O396&gt;0),100,+INT(($L396-O396)/P396)+MinPoints))</f>
        <v>10</v>
      </c>
      <c r="N396" s="440">
        <f t="shared" si="7"/>
        <v>4.9</v>
      </c>
      <c r="O396" s="440">
        <f t="shared" si="8"/>
        <v>2.2</v>
      </c>
      <c r="P396" s="440">
        <f t="shared" si="9"/>
        <v>0.03</v>
      </c>
      <c r="Q396">
        <f t="array" ref="Q396">IF(I396&gt;0,INDEX(DB,I396,9),EventIndex)</f>
        <v>6</v>
      </c>
      <c r="S396" s="447">
        <f t="array" ref="S396">INDEX(MINVALUES,$Q396,$K$1)</f>
        <v>2.2</v>
      </c>
      <c r="T396" s="448">
        <f t="array" ref="T396">INDEX(INCVALUES,$Q396,$K$1)</f>
        <v>0.03</v>
      </c>
      <c r="V396">
        <f t="array" ref="V396">+J396+(4*(INDEX(MatchScoreTable,$Q396,20)-1))</f>
        <v>4</v>
      </c>
      <c r="W396" s="442">
        <f t="array" ref="W396">INDEX(INC_MINVALUES,$V396,$K$1)</f>
        <v>0.2</v>
      </c>
      <c r="X396" s="212">
        <f t="array" ref="X396">INDEX(INC_INCVALUES,$V396,$K$1)</f>
        <v>0.02</v>
      </c>
    </row>
    <row r="397" ht="15.75" customHeight="1">
      <c r="A397" s="435"/>
      <c r="B397" s="436"/>
      <c r="C397" s="95" t="str">
        <f t="array" ref="C397">IF(I397&gt;0,INDEX(DB,I397,8),"")</f>
        <v/>
      </c>
      <c r="D397" s="437">
        <f t="shared" si="1"/>
        <v>0</v>
      </c>
      <c r="F397" s="438">
        <f t="shared" si="2"/>
        <v>0</v>
      </c>
      <c r="G397" t="str">
        <f t="shared" si="3"/>
        <v/>
      </c>
      <c r="H397" t="b">
        <f t="shared" si="4"/>
        <v>0</v>
      </c>
      <c r="I397" s="439">
        <f>IF(OR(ISBLANK(A397),ISNA(MATCH(A397&amp;"",AthleteNumbers,0))),0,MATCH(A397&amp;"",AthleteNumbers,0))</f>
        <v>0</v>
      </c>
      <c r="J397" s="209">
        <f t="array" ref="J397">IF(I397&gt;0,INDEX(DB,$I397,6),0)</f>
        <v>0</v>
      </c>
      <c r="K397" s="446">
        <f t="shared" si="5"/>
        <v>0</v>
      </c>
      <c r="L397" s="446">
        <f t="shared" si="6"/>
        <v>0</v>
      </c>
      <c r="M397" s="441">
        <f>IF(L397&lt;O397,MinPoints,IF(AND(L397&gt;N397,O397&gt;0),100,+INT(($L397-O397)/P397)+MinPoints))</f>
        <v>10</v>
      </c>
      <c r="N397" s="440">
        <f t="shared" si="7"/>
        <v>4.9</v>
      </c>
      <c r="O397" s="440">
        <f t="shared" si="8"/>
        <v>2.2</v>
      </c>
      <c r="P397" s="440">
        <f t="shared" si="9"/>
        <v>0.03</v>
      </c>
      <c r="Q397">
        <f t="array" ref="Q397">IF(I397&gt;0,INDEX(DB,I397,9),EventIndex)</f>
        <v>6</v>
      </c>
      <c r="S397" s="447">
        <f t="array" ref="S397">INDEX(MINVALUES,$Q397,$K$1)</f>
        <v>2.2</v>
      </c>
      <c r="T397" s="448">
        <f t="array" ref="T397">INDEX(INCVALUES,$Q397,$K$1)</f>
        <v>0.03</v>
      </c>
      <c r="V397">
        <f t="array" ref="V397">+J397+(4*(INDEX(MatchScoreTable,$Q397,20)-1))</f>
        <v>4</v>
      </c>
      <c r="W397" s="442">
        <f t="array" ref="W397">INDEX(INC_MINVALUES,$V397,$K$1)</f>
        <v>0.2</v>
      </c>
      <c r="X397" s="212">
        <f t="array" ref="X397">INDEX(INC_INCVALUES,$V397,$K$1)</f>
        <v>0.02</v>
      </c>
    </row>
    <row r="398" ht="15.75" customHeight="1">
      <c r="A398" s="435"/>
      <c r="B398" s="436"/>
      <c r="C398" s="95" t="str">
        <f t="array" ref="C398">IF(I398&gt;0,INDEX(DB,I398,8),"")</f>
        <v/>
      </c>
      <c r="D398" s="437">
        <f t="shared" si="1"/>
        <v>0</v>
      </c>
      <c r="F398" s="438">
        <f t="shared" si="2"/>
        <v>0</v>
      </c>
      <c r="G398" t="str">
        <f t="shared" si="3"/>
        <v/>
      </c>
      <c r="H398" t="b">
        <f t="shared" si="4"/>
        <v>0</v>
      </c>
      <c r="I398" s="439">
        <f>IF(OR(ISBLANK(A398),ISNA(MATCH(A398&amp;"",AthleteNumbers,0))),0,MATCH(A398&amp;"",AthleteNumbers,0))</f>
        <v>0</v>
      </c>
      <c r="J398" s="209">
        <f t="array" ref="J398">IF(I398&gt;0,INDEX(DB,$I398,6),0)</f>
        <v>0</v>
      </c>
      <c r="K398" s="446">
        <f t="shared" si="5"/>
        <v>0</v>
      </c>
      <c r="L398" s="446">
        <f t="shared" si="6"/>
        <v>0</v>
      </c>
      <c r="M398" s="441">
        <f>IF(L398&lt;O398,MinPoints,IF(AND(L398&gt;N398,O398&gt;0),100,+INT(($L398-O398)/P398)+MinPoints))</f>
        <v>10</v>
      </c>
      <c r="N398" s="440">
        <f t="shared" si="7"/>
        <v>4.9</v>
      </c>
      <c r="O398" s="440">
        <f t="shared" si="8"/>
        <v>2.2</v>
      </c>
      <c r="P398" s="440">
        <f t="shared" si="9"/>
        <v>0.03</v>
      </c>
      <c r="Q398">
        <f t="array" ref="Q398">IF(I398&gt;0,INDEX(DB,I398,9),EventIndex)</f>
        <v>6</v>
      </c>
      <c r="S398" s="447">
        <f t="array" ref="S398">INDEX(MINVALUES,$Q398,$K$1)</f>
        <v>2.2</v>
      </c>
      <c r="T398" s="448">
        <f t="array" ref="T398">INDEX(INCVALUES,$Q398,$K$1)</f>
        <v>0.03</v>
      </c>
      <c r="V398">
        <f t="array" ref="V398">+J398+(4*(INDEX(MatchScoreTable,$Q398,20)-1))</f>
        <v>4</v>
      </c>
      <c r="W398" s="442">
        <f t="array" ref="W398">INDEX(INC_MINVALUES,$V398,$K$1)</f>
        <v>0.2</v>
      </c>
      <c r="X398" s="212">
        <f t="array" ref="X398">INDEX(INC_INCVALUES,$V398,$K$1)</f>
        <v>0.02</v>
      </c>
    </row>
    <row r="399" ht="15.75" customHeight="1">
      <c r="A399" s="435"/>
      <c r="B399" s="436"/>
      <c r="C399" s="95" t="str">
        <f t="array" ref="C399">IF(I399&gt;0,INDEX(DB,I399,8),"")</f>
        <v/>
      </c>
      <c r="D399" s="437">
        <f t="shared" si="1"/>
        <v>0</v>
      </c>
      <c r="F399" s="438">
        <f t="shared" si="2"/>
        <v>0</v>
      </c>
      <c r="G399" t="str">
        <f t="shared" si="3"/>
        <v/>
      </c>
      <c r="H399" t="b">
        <f t="shared" si="4"/>
        <v>0</v>
      </c>
      <c r="I399" s="439">
        <f>IF(OR(ISBLANK(A399),ISNA(MATCH(A399&amp;"",AthleteNumbers,0))),0,MATCH(A399&amp;"",AthleteNumbers,0))</f>
        <v>0</v>
      </c>
      <c r="J399" s="209">
        <f t="array" ref="J399">IF(I399&gt;0,INDEX(DB,$I399,6),0)</f>
        <v>0</v>
      </c>
      <c r="K399" s="446">
        <f t="shared" si="5"/>
        <v>0</v>
      </c>
      <c r="L399" s="446">
        <f t="shared" si="6"/>
        <v>0</v>
      </c>
      <c r="M399" s="441">
        <f>IF(L399&lt;O399,MinPoints,IF(AND(L399&gt;N399,O399&gt;0),100,+INT(($L399-O399)/P399)+MinPoints))</f>
        <v>10</v>
      </c>
      <c r="N399" s="440">
        <f t="shared" si="7"/>
        <v>4.9</v>
      </c>
      <c r="O399" s="440">
        <f t="shared" si="8"/>
        <v>2.2</v>
      </c>
      <c r="P399" s="440">
        <f t="shared" si="9"/>
        <v>0.03</v>
      </c>
      <c r="Q399">
        <f t="array" ref="Q399">IF(I399&gt;0,INDEX(DB,I399,9),EventIndex)</f>
        <v>6</v>
      </c>
      <c r="S399" s="447">
        <f t="array" ref="S399">INDEX(MINVALUES,$Q399,$K$1)</f>
        <v>2.2</v>
      </c>
      <c r="T399" s="448">
        <f t="array" ref="T399">INDEX(INCVALUES,$Q399,$K$1)</f>
        <v>0.03</v>
      </c>
      <c r="V399">
        <f t="array" ref="V399">+J399+(4*(INDEX(MatchScoreTable,$Q399,20)-1))</f>
        <v>4</v>
      </c>
      <c r="W399" s="442">
        <f t="array" ref="W399">INDEX(INC_MINVALUES,$V399,$K$1)</f>
        <v>0.2</v>
      </c>
      <c r="X399" s="212">
        <f t="array" ref="X399">INDEX(INC_INCVALUES,$V399,$K$1)</f>
        <v>0.02</v>
      </c>
    </row>
    <row r="400" ht="15.75" customHeight="1">
      <c r="A400" s="435"/>
      <c r="B400" s="436"/>
      <c r="C400" s="95" t="str">
        <f t="array" ref="C400">IF(I400&gt;0,INDEX(DB,I400,8),"")</f>
        <v/>
      </c>
      <c r="D400" s="437">
        <f t="shared" si="1"/>
        <v>0</v>
      </c>
      <c r="F400" s="438">
        <f t="shared" si="2"/>
        <v>0</v>
      </c>
      <c r="G400" t="str">
        <f t="shared" si="3"/>
        <v/>
      </c>
      <c r="H400" t="b">
        <f t="shared" si="4"/>
        <v>0</v>
      </c>
      <c r="I400" s="439">
        <f>IF(OR(ISBLANK(A400),ISNA(MATCH(A400&amp;"",AthleteNumbers,0))),0,MATCH(A400&amp;"",AthleteNumbers,0))</f>
        <v>0</v>
      </c>
      <c r="J400" s="209">
        <f t="array" ref="J400">IF(I400&gt;0,INDEX(DB,$I400,6),0)</f>
        <v>0</v>
      </c>
      <c r="K400" s="446">
        <f t="shared" si="5"/>
        <v>0</v>
      </c>
      <c r="L400" s="446">
        <f t="shared" si="6"/>
        <v>0</v>
      </c>
      <c r="M400" s="441">
        <f>IF(L400&lt;O400,MinPoints,IF(AND(L400&gt;N400,O400&gt;0),100,+INT(($L400-O400)/P400)+MinPoints))</f>
        <v>10</v>
      </c>
      <c r="N400" s="440">
        <f t="shared" si="7"/>
        <v>4.9</v>
      </c>
      <c r="O400" s="440">
        <f t="shared" si="8"/>
        <v>2.2</v>
      </c>
      <c r="P400" s="440">
        <f t="shared" si="9"/>
        <v>0.03</v>
      </c>
      <c r="Q400">
        <f t="array" ref="Q400">IF(I400&gt;0,INDEX(DB,I400,9),EventIndex)</f>
        <v>6</v>
      </c>
      <c r="S400" s="447">
        <f t="array" ref="S400">INDEX(MINVALUES,$Q400,$K$1)</f>
        <v>2.2</v>
      </c>
      <c r="T400" s="448">
        <f t="array" ref="T400">INDEX(INCVALUES,$Q400,$K$1)</f>
        <v>0.03</v>
      </c>
      <c r="V400">
        <f t="array" ref="V400">+J400+(4*(INDEX(MatchScoreTable,$Q400,20)-1))</f>
        <v>4</v>
      </c>
      <c r="W400" s="442">
        <f t="array" ref="W400">INDEX(INC_MINVALUES,$V400,$K$1)</f>
        <v>0.2</v>
      </c>
      <c r="X400" s="212">
        <f t="array" ref="X400">INDEX(INC_INCVALUES,$V400,$K$1)</f>
        <v>0.02</v>
      </c>
    </row>
    <row r="401" ht="15.75" customHeight="1">
      <c r="A401" s="435"/>
      <c r="B401" s="436"/>
      <c r="C401" s="95" t="str">
        <f t="array" ref="C401">IF(I401&gt;0,INDEX(DB,I401,8),"")</f>
        <v/>
      </c>
      <c r="D401" s="437">
        <f t="shared" si="1"/>
        <v>0</v>
      </c>
      <c r="F401" s="438">
        <f t="shared" si="2"/>
        <v>0</v>
      </c>
      <c r="G401" t="str">
        <f t="shared" si="3"/>
        <v/>
      </c>
      <c r="H401" t="b">
        <f t="shared" si="4"/>
        <v>0</v>
      </c>
      <c r="I401" s="439">
        <f>IF(OR(ISBLANK(A401),ISNA(MATCH(A401&amp;"",AthleteNumbers,0))),0,MATCH(A401&amp;"",AthleteNumbers,0))</f>
        <v>0</v>
      </c>
      <c r="J401" s="209">
        <f t="array" ref="J401">IF(I401&gt;0,INDEX(DB,$I401,6),0)</f>
        <v>0</v>
      </c>
      <c r="K401" s="446">
        <f t="shared" si="5"/>
        <v>0</v>
      </c>
      <c r="L401" s="446">
        <f t="shared" si="6"/>
        <v>0</v>
      </c>
      <c r="M401" s="441">
        <f>IF(L401&lt;O401,MinPoints,IF(AND(L401&gt;N401,O401&gt;0),100,+INT(($L401-O401)/P401)+MinPoints))</f>
        <v>10</v>
      </c>
      <c r="N401" s="440">
        <f t="shared" si="7"/>
        <v>4.9</v>
      </c>
      <c r="O401" s="440">
        <f t="shared" si="8"/>
        <v>2.2</v>
      </c>
      <c r="P401" s="440">
        <f t="shared" si="9"/>
        <v>0.03</v>
      </c>
      <c r="Q401">
        <f t="array" ref="Q401">IF(I401&gt;0,INDEX(DB,I401,9),EventIndex)</f>
        <v>6</v>
      </c>
      <c r="S401" s="447">
        <f t="array" ref="S401">INDEX(MINVALUES,$Q401,$K$1)</f>
        <v>2.2</v>
      </c>
      <c r="T401" s="448">
        <f t="array" ref="T401">INDEX(INCVALUES,$Q401,$K$1)</f>
        <v>0.03</v>
      </c>
      <c r="V401">
        <f t="array" ref="V401">+J401+(4*(INDEX(MatchScoreTable,$Q401,20)-1))</f>
        <v>4</v>
      </c>
      <c r="W401" s="442">
        <f t="array" ref="W401">INDEX(INC_MINVALUES,$V401,$K$1)</f>
        <v>0.2</v>
      </c>
      <c r="X401" s="212">
        <f t="array" ref="X401">INDEX(INC_INCVALUES,$V401,$K$1)</f>
        <v>0.02</v>
      </c>
    </row>
    <row r="402" ht="15.75" customHeight="1">
      <c r="A402" s="435"/>
      <c r="B402" s="436"/>
      <c r="C402" s="95" t="str">
        <f t="array" ref="C402">IF(I402&gt;0,INDEX(DB,I402,8),"")</f>
        <v/>
      </c>
      <c r="D402" s="437">
        <f t="shared" si="1"/>
        <v>0</v>
      </c>
      <c r="F402" s="438">
        <f t="shared" si="2"/>
        <v>0</v>
      </c>
      <c r="G402" t="str">
        <f t="shared" si="3"/>
        <v/>
      </c>
      <c r="H402" t="b">
        <f t="shared" si="4"/>
        <v>0</v>
      </c>
      <c r="I402" s="439">
        <f>IF(OR(ISBLANK(A402),ISNA(MATCH(A402&amp;"",AthleteNumbers,0))),0,MATCH(A402&amp;"",AthleteNumbers,0))</f>
        <v>0</v>
      </c>
      <c r="J402" s="209">
        <f t="array" ref="J402">IF(I402&gt;0,INDEX(DB,$I402,6),0)</f>
        <v>0</v>
      </c>
      <c r="K402" s="446">
        <f t="shared" si="5"/>
        <v>0</v>
      </c>
      <c r="L402" s="446">
        <f t="shared" si="6"/>
        <v>0</v>
      </c>
      <c r="M402" s="441">
        <f>IF(L402&lt;O402,MinPoints,IF(AND(L402&gt;N402,O402&gt;0),100,+INT(($L402-O402)/P402)+MinPoints))</f>
        <v>10</v>
      </c>
      <c r="N402" s="440">
        <f t="shared" si="7"/>
        <v>4.9</v>
      </c>
      <c r="O402" s="440">
        <f t="shared" si="8"/>
        <v>2.2</v>
      </c>
      <c r="P402" s="440">
        <f t="shared" si="9"/>
        <v>0.03</v>
      </c>
      <c r="Q402">
        <f t="array" ref="Q402">IF(I402&gt;0,INDEX(DB,I402,9),EventIndex)</f>
        <v>6</v>
      </c>
      <c r="S402" s="447">
        <f t="array" ref="S402">INDEX(MINVALUES,$Q402,$K$1)</f>
        <v>2.2</v>
      </c>
      <c r="T402" s="448">
        <f t="array" ref="T402">INDEX(INCVALUES,$Q402,$K$1)</f>
        <v>0.03</v>
      </c>
      <c r="V402">
        <f t="array" ref="V402">+J402+(4*(INDEX(MatchScoreTable,$Q402,20)-1))</f>
        <v>4</v>
      </c>
      <c r="W402" s="442">
        <f t="array" ref="W402">INDEX(INC_MINVALUES,$V402,$K$1)</f>
        <v>0.2</v>
      </c>
      <c r="X402" s="212">
        <f t="array" ref="X402">INDEX(INC_INCVALUES,$V402,$K$1)</f>
        <v>0.02</v>
      </c>
    </row>
    <row r="403" ht="15.75" customHeight="1">
      <c r="A403" s="435"/>
      <c r="B403" s="436"/>
      <c r="C403" s="95" t="str">
        <f t="array" ref="C403">IF(I403&gt;0,INDEX(DB,I403,8),"")</f>
        <v/>
      </c>
      <c r="D403" s="437">
        <f t="shared" si="1"/>
        <v>0</v>
      </c>
      <c r="F403" s="438">
        <f t="shared" si="2"/>
        <v>0</v>
      </c>
      <c r="G403" t="str">
        <f t="shared" si="3"/>
        <v/>
      </c>
      <c r="H403" t="b">
        <f t="shared" si="4"/>
        <v>0</v>
      </c>
      <c r="I403" s="439">
        <f>IF(OR(ISBLANK(A403),ISNA(MATCH(A403&amp;"",AthleteNumbers,0))),0,MATCH(A403&amp;"",AthleteNumbers,0))</f>
        <v>0</v>
      </c>
      <c r="J403" s="209">
        <f t="array" ref="J403">IF(I403&gt;0,INDEX(DB,$I403,6),0)</f>
        <v>0</v>
      </c>
      <c r="K403" s="446">
        <f t="shared" si="5"/>
        <v>0</v>
      </c>
      <c r="L403" s="446">
        <f t="shared" si="6"/>
        <v>0</v>
      </c>
      <c r="M403" s="441">
        <f>IF(L403&lt;O403,MinPoints,IF(AND(L403&gt;N403,O403&gt;0),100,+INT(($L403-O403)/P403)+MinPoints))</f>
        <v>10</v>
      </c>
      <c r="N403" s="440">
        <f t="shared" si="7"/>
        <v>4.9</v>
      </c>
      <c r="O403" s="440">
        <f t="shared" si="8"/>
        <v>2.2</v>
      </c>
      <c r="P403" s="440">
        <f t="shared" si="9"/>
        <v>0.03</v>
      </c>
      <c r="Q403">
        <f t="array" ref="Q403">IF(I403&gt;0,INDEX(DB,I403,9),EventIndex)</f>
        <v>6</v>
      </c>
      <c r="S403" s="447">
        <f t="array" ref="S403">INDEX(MINVALUES,$Q403,$K$1)</f>
        <v>2.2</v>
      </c>
      <c r="T403" s="448">
        <f t="array" ref="T403">INDEX(INCVALUES,$Q403,$K$1)</f>
        <v>0.03</v>
      </c>
      <c r="V403">
        <f t="array" ref="V403">+J403+(4*(INDEX(MatchScoreTable,$Q403,20)-1))</f>
        <v>4</v>
      </c>
      <c r="W403" s="442">
        <f t="array" ref="W403">INDEX(INC_MINVALUES,$V403,$K$1)</f>
        <v>0.2</v>
      </c>
      <c r="X403" s="212">
        <f t="array" ref="X403">INDEX(INC_INCVALUES,$V403,$K$1)</f>
        <v>0.02</v>
      </c>
    </row>
    <row r="404" ht="15.75" customHeight="1">
      <c r="A404" s="435"/>
      <c r="B404" s="436"/>
      <c r="C404" s="95" t="str">
        <f t="array" ref="C404">IF(I404&gt;0,INDEX(DB,I404,8),"")</f>
        <v/>
      </c>
      <c r="D404" s="437">
        <f t="shared" si="1"/>
        <v>0</v>
      </c>
      <c r="F404" s="438">
        <f t="shared" si="2"/>
        <v>0</v>
      </c>
      <c r="G404" t="str">
        <f t="shared" si="3"/>
        <v/>
      </c>
      <c r="H404" t="b">
        <f t="shared" si="4"/>
        <v>0</v>
      </c>
      <c r="I404" s="439">
        <f>IF(OR(ISBLANK(A404),ISNA(MATCH(A404&amp;"",AthleteNumbers,0))),0,MATCH(A404&amp;"",AthleteNumbers,0))</f>
        <v>0</v>
      </c>
      <c r="J404" s="209">
        <f t="array" ref="J404">IF(I404&gt;0,INDEX(DB,$I404,6),0)</f>
        <v>0</v>
      </c>
      <c r="K404" s="446">
        <f t="shared" si="5"/>
        <v>0</v>
      </c>
      <c r="L404" s="446">
        <f t="shared" si="6"/>
        <v>0</v>
      </c>
      <c r="M404" s="441">
        <f>IF(L404&lt;O404,MinPoints,IF(AND(L404&gt;N404,O404&gt;0),100,+INT(($L404-O404)/P404)+MinPoints))</f>
        <v>10</v>
      </c>
      <c r="N404" s="440">
        <f t="shared" si="7"/>
        <v>4.9</v>
      </c>
      <c r="O404" s="440">
        <f t="shared" si="8"/>
        <v>2.2</v>
      </c>
      <c r="P404" s="440">
        <f t="shared" si="9"/>
        <v>0.03</v>
      </c>
      <c r="Q404">
        <f t="array" ref="Q404">IF(I404&gt;0,INDEX(DB,I404,9),EventIndex)</f>
        <v>6</v>
      </c>
      <c r="S404" s="447">
        <f t="array" ref="S404">INDEX(MINVALUES,$Q404,$K$1)</f>
        <v>2.2</v>
      </c>
      <c r="T404" s="448">
        <f t="array" ref="T404">INDEX(INCVALUES,$Q404,$K$1)</f>
        <v>0.03</v>
      </c>
      <c r="V404">
        <f t="array" ref="V404">+J404+(4*(INDEX(MatchScoreTable,$Q404,20)-1))</f>
        <v>4</v>
      </c>
      <c r="W404" s="442">
        <f t="array" ref="W404">INDEX(INC_MINVALUES,$V404,$K$1)</f>
        <v>0.2</v>
      </c>
      <c r="X404" s="212">
        <f t="array" ref="X404">INDEX(INC_INCVALUES,$V404,$K$1)</f>
        <v>0.02</v>
      </c>
    </row>
    <row r="405" ht="15.75" customHeight="1">
      <c r="A405" s="435"/>
      <c r="B405" s="436"/>
      <c r="C405" s="95" t="str">
        <f t="array" ref="C405">IF(I405&gt;0,INDEX(DB,I405,8),"")</f>
        <v/>
      </c>
      <c r="D405" s="437">
        <f t="shared" si="1"/>
        <v>0</v>
      </c>
      <c r="F405" s="438">
        <f t="shared" si="2"/>
        <v>0</v>
      </c>
      <c r="G405" t="str">
        <f t="shared" si="3"/>
        <v/>
      </c>
      <c r="H405" t="b">
        <f t="shared" si="4"/>
        <v>0</v>
      </c>
      <c r="I405" s="439">
        <f>IF(OR(ISBLANK(A405),ISNA(MATCH(A405&amp;"",AthleteNumbers,0))),0,MATCH(A405&amp;"",AthleteNumbers,0))</f>
        <v>0</v>
      </c>
      <c r="J405" s="209">
        <f t="array" ref="J405">IF(I405&gt;0,INDEX(DB,$I405,6),0)</f>
        <v>0</v>
      </c>
      <c r="K405" s="446">
        <f t="shared" si="5"/>
        <v>0</v>
      </c>
      <c r="L405" s="446">
        <f t="shared" si="6"/>
        <v>0</v>
      </c>
      <c r="M405" s="441">
        <f>IF(L405&lt;O405,MinPoints,IF(AND(L405&gt;N405,O405&gt;0),100,+INT(($L405-O405)/P405)+MinPoints))</f>
        <v>10</v>
      </c>
      <c r="N405" s="440">
        <f t="shared" si="7"/>
        <v>4.9</v>
      </c>
      <c r="O405" s="440">
        <f t="shared" si="8"/>
        <v>2.2</v>
      </c>
      <c r="P405" s="440">
        <f t="shared" si="9"/>
        <v>0.03</v>
      </c>
      <c r="Q405">
        <f t="array" ref="Q405">IF(I405&gt;0,INDEX(DB,I405,9),EventIndex)</f>
        <v>6</v>
      </c>
      <c r="S405" s="447">
        <f t="array" ref="S405">INDEX(MINVALUES,$Q405,$K$1)</f>
        <v>2.2</v>
      </c>
      <c r="T405" s="448">
        <f t="array" ref="T405">INDEX(INCVALUES,$Q405,$K$1)</f>
        <v>0.03</v>
      </c>
      <c r="V405">
        <f t="array" ref="V405">+J405+(4*(INDEX(MatchScoreTable,$Q405,20)-1))</f>
        <v>4</v>
      </c>
      <c r="W405" s="442">
        <f t="array" ref="W405">INDEX(INC_MINVALUES,$V405,$K$1)</f>
        <v>0.2</v>
      </c>
      <c r="X405" s="212">
        <f t="array" ref="X405">INDEX(INC_INCVALUES,$V405,$K$1)</f>
        <v>0.02</v>
      </c>
    </row>
    <row r="406" ht="15.75" customHeight="1">
      <c r="A406" s="435"/>
      <c r="B406" s="436"/>
      <c r="C406" s="95" t="str">
        <f t="array" ref="C406">IF(I406&gt;0,INDEX(DB,I406,8),"")</f>
        <v/>
      </c>
      <c r="D406" s="437">
        <f t="shared" si="1"/>
        <v>0</v>
      </c>
      <c r="F406" s="438">
        <f t="shared" si="2"/>
        <v>0</v>
      </c>
      <c r="G406" t="str">
        <f t="shared" si="3"/>
        <v/>
      </c>
      <c r="H406" t="b">
        <f t="shared" si="4"/>
        <v>0</v>
      </c>
      <c r="I406" s="439">
        <f>IF(OR(ISBLANK(A406),ISNA(MATCH(A406&amp;"",AthleteNumbers,0))),0,MATCH(A406&amp;"",AthleteNumbers,0))</f>
        <v>0</v>
      </c>
      <c r="J406" s="209">
        <f t="array" ref="J406">IF(I406&gt;0,INDEX(DB,$I406,6),0)</f>
        <v>0</v>
      </c>
      <c r="K406" s="446">
        <f t="shared" si="5"/>
        <v>0</v>
      </c>
      <c r="L406" s="446">
        <f t="shared" si="6"/>
        <v>0</v>
      </c>
      <c r="M406" s="441">
        <f>IF(L406&lt;O406,MinPoints,IF(AND(L406&gt;N406,O406&gt;0),100,+INT(($L406-O406)/P406)+MinPoints))</f>
        <v>10</v>
      </c>
      <c r="N406" s="440">
        <f t="shared" si="7"/>
        <v>4.9</v>
      </c>
      <c r="O406" s="440">
        <f t="shared" si="8"/>
        <v>2.2</v>
      </c>
      <c r="P406" s="440">
        <f t="shared" si="9"/>
        <v>0.03</v>
      </c>
      <c r="Q406">
        <f t="array" ref="Q406">IF(I406&gt;0,INDEX(DB,I406,9),EventIndex)</f>
        <v>6</v>
      </c>
      <c r="S406" s="447">
        <f t="array" ref="S406">INDEX(MINVALUES,$Q406,$K$1)</f>
        <v>2.2</v>
      </c>
      <c r="T406" s="448">
        <f t="array" ref="T406">INDEX(INCVALUES,$Q406,$K$1)</f>
        <v>0.03</v>
      </c>
      <c r="V406">
        <f t="array" ref="V406">+J406+(4*(INDEX(MatchScoreTable,$Q406,20)-1))</f>
        <v>4</v>
      </c>
      <c r="W406" s="442">
        <f t="array" ref="W406">INDEX(INC_MINVALUES,$V406,$K$1)</f>
        <v>0.2</v>
      </c>
      <c r="X406" s="212">
        <f t="array" ref="X406">INDEX(INC_INCVALUES,$V406,$K$1)</f>
        <v>0.02</v>
      </c>
    </row>
    <row r="407" ht="15.75" customHeight="1">
      <c r="A407" s="435"/>
      <c r="B407" s="436"/>
      <c r="C407" s="95" t="str">
        <f t="array" ref="C407">IF(I407&gt;0,INDEX(DB,I407,8),"")</f>
        <v/>
      </c>
      <c r="D407" s="437">
        <f t="shared" si="1"/>
        <v>0</v>
      </c>
      <c r="F407" s="438">
        <f t="shared" si="2"/>
        <v>0</v>
      </c>
      <c r="G407" t="str">
        <f t="shared" si="3"/>
        <v/>
      </c>
      <c r="H407" t="b">
        <f t="shared" si="4"/>
        <v>0</v>
      </c>
      <c r="I407" s="439">
        <f>IF(OR(ISBLANK(A407),ISNA(MATCH(A407&amp;"",AthleteNumbers,0))),0,MATCH(A407&amp;"",AthleteNumbers,0))</f>
        <v>0</v>
      </c>
      <c r="J407" s="209">
        <f t="array" ref="J407">IF(I407&gt;0,INDEX(DB,$I407,6),0)</f>
        <v>0</v>
      </c>
      <c r="K407" s="446">
        <f t="shared" si="5"/>
        <v>0</v>
      </c>
      <c r="L407" s="446">
        <f t="shared" si="6"/>
        <v>0</v>
      </c>
      <c r="M407" s="441">
        <f>IF(L407&lt;O407,MinPoints,IF(AND(L407&gt;N407,O407&gt;0),100,+INT(($L407-O407)/P407)+MinPoints))</f>
        <v>10</v>
      </c>
      <c r="N407" s="440">
        <f t="shared" si="7"/>
        <v>4.9</v>
      </c>
      <c r="O407" s="440">
        <f t="shared" si="8"/>
        <v>2.2</v>
      </c>
      <c r="P407" s="440">
        <f t="shared" si="9"/>
        <v>0.03</v>
      </c>
      <c r="Q407">
        <f t="array" ref="Q407">IF(I407&gt;0,INDEX(DB,I407,9),EventIndex)</f>
        <v>6</v>
      </c>
      <c r="S407" s="447">
        <f t="array" ref="S407">INDEX(MINVALUES,$Q407,$K$1)</f>
        <v>2.2</v>
      </c>
      <c r="T407" s="448">
        <f t="array" ref="T407">INDEX(INCVALUES,$Q407,$K$1)</f>
        <v>0.03</v>
      </c>
      <c r="V407">
        <f t="array" ref="V407">+J407+(4*(INDEX(MatchScoreTable,$Q407,20)-1))</f>
        <v>4</v>
      </c>
      <c r="W407" s="442">
        <f t="array" ref="W407">INDEX(INC_MINVALUES,$V407,$K$1)</f>
        <v>0.2</v>
      </c>
      <c r="X407" s="212">
        <f t="array" ref="X407">INDEX(INC_INCVALUES,$V407,$K$1)</f>
        <v>0.02</v>
      </c>
    </row>
    <row r="408" ht="15.75" customHeight="1">
      <c r="A408" s="435"/>
      <c r="B408" s="436"/>
      <c r="C408" s="95" t="str">
        <f t="array" ref="C408">IF(I408&gt;0,INDEX(DB,I408,8),"")</f>
        <v/>
      </c>
      <c r="D408" s="437">
        <f t="shared" si="1"/>
        <v>0</v>
      </c>
      <c r="F408" s="438">
        <f t="shared" si="2"/>
        <v>0</v>
      </c>
      <c r="G408" t="str">
        <f t="shared" si="3"/>
        <v/>
      </c>
      <c r="H408" t="b">
        <f t="shared" si="4"/>
        <v>0</v>
      </c>
      <c r="I408" s="439">
        <f>IF(OR(ISBLANK(A408),ISNA(MATCH(A408&amp;"",AthleteNumbers,0))),0,MATCH(A408&amp;"",AthleteNumbers,0))</f>
        <v>0</v>
      </c>
      <c r="J408" s="209">
        <f t="array" ref="J408">IF(I408&gt;0,INDEX(DB,$I408,6),0)</f>
        <v>0</v>
      </c>
      <c r="K408" s="446">
        <f t="shared" si="5"/>
        <v>0</v>
      </c>
      <c r="L408" s="446">
        <f t="shared" si="6"/>
        <v>0</v>
      </c>
      <c r="M408" s="441">
        <f>IF(L408&lt;O408,MinPoints,IF(AND(L408&gt;N408,O408&gt;0),100,+INT(($L408-O408)/P408)+MinPoints))</f>
        <v>10</v>
      </c>
      <c r="N408" s="440">
        <f t="shared" si="7"/>
        <v>4.9</v>
      </c>
      <c r="O408" s="440">
        <f t="shared" si="8"/>
        <v>2.2</v>
      </c>
      <c r="P408" s="440">
        <f t="shared" si="9"/>
        <v>0.03</v>
      </c>
      <c r="Q408">
        <f t="array" ref="Q408">IF(I408&gt;0,INDEX(DB,I408,9),EventIndex)</f>
        <v>6</v>
      </c>
      <c r="S408" s="447">
        <f t="array" ref="S408">INDEX(MINVALUES,$Q408,$K$1)</f>
        <v>2.2</v>
      </c>
      <c r="T408" s="448">
        <f t="array" ref="T408">INDEX(INCVALUES,$Q408,$K$1)</f>
        <v>0.03</v>
      </c>
      <c r="V408">
        <f t="array" ref="V408">+J408+(4*(INDEX(MatchScoreTable,$Q408,20)-1))</f>
        <v>4</v>
      </c>
      <c r="W408" s="442">
        <f t="array" ref="W408">INDEX(INC_MINVALUES,$V408,$K$1)</f>
        <v>0.2</v>
      </c>
      <c r="X408" s="212">
        <f t="array" ref="X408">INDEX(INC_INCVALUES,$V408,$K$1)</f>
        <v>0.02</v>
      </c>
    </row>
    <row r="409" ht="15.75" customHeight="1">
      <c r="A409" s="435"/>
      <c r="B409" s="436"/>
      <c r="C409" s="95" t="str">
        <f t="array" ref="C409">IF(I409&gt;0,INDEX(DB,I409,8),"")</f>
        <v/>
      </c>
      <c r="D409" s="437">
        <f t="shared" si="1"/>
        <v>0</v>
      </c>
      <c r="F409" s="438">
        <f t="shared" si="2"/>
        <v>0</v>
      </c>
      <c r="G409" t="str">
        <f t="shared" si="3"/>
        <v/>
      </c>
      <c r="H409" t="b">
        <f t="shared" si="4"/>
        <v>0</v>
      </c>
      <c r="I409" s="439">
        <f>IF(OR(ISBLANK(A409),ISNA(MATCH(A409&amp;"",AthleteNumbers,0))),0,MATCH(A409&amp;"",AthleteNumbers,0))</f>
        <v>0</v>
      </c>
      <c r="J409" s="209">
        <f t="array" ref="J409">IF(I409&gt;0,INDEX(DB,$I409,6),0)</f>
        <v>0</v>
      </c>
      <c r="K409" s="446">
        <f t="shared" si="5"/>
        <v>0</v>
      </c>
      <c r="L409" s="446">
        <f t="shared" si="6"/>
        <v>0</v>
      </c>
      <c r="M409" s="441">
        <f>IF(L409&lt;O409,MinPoints,IF(AND(L409&gt;N409,O409&gt;0),100,+INT(($L409-O409)/P409)+MinPoints))</f>
        <v>10</v>
      </c>
      <c r="N409" s="440">
        <f t="shared" si="7"/>
        <v>4.9</v>
      </c>
      <c r="O409" s="440">
        <f t="shared" si="8"/>
        <v>2.2</v>
      </c>
      <c r="P409" s="440">
        <f t="shared" si="9"/>
        <v>0.03</v>
      </c>
      <c r="Q409">
        <f t="array" ref="Q409">IF(I409&gt;0,INDEX(DB,I409,9),EventIndex)</f>
        <v>6</v>
      </c>
      <c r="S409" s="447">
        <f t="array" ref="S409">INDEX(MINVALUES,$Q409,$K$1)</f>
        <v>2.2</v>
      </c>
      <c r="T409" s="448">
        <f t="array" ref="T409">INDEX(INCVALUES,$Q409,$K$1)</f>
        <v>0.03</v>
      </c>
      <c r="V409">
        <f t="array" ref="V409">+J409+(4*(INDEX(MatchScoreTable,$Q409,20)-1))</f>
        <v>4</v>
      </c>
      <c r="W409" s="442">
        <f t="array" ref="W409">INDEX(INC_MINVALUES,$V409,$K$1)</f>
        <v>0.2</v>
      </c>
      <c r="X409" s="212">
        <f t="array" ref="X409">INDEX(INC_INCVALUES,$V409,$K$1)</f>
        <v>0.02</v>
      </c>
    </row>
    <row r="410" ht="15.75" customHeight="1">
      <c r="A410" s="435"/>
      <c r="B410" s="436"/>
      <c r="C410" s="95" t="str">
        <f t="array" ref="C410">IF(I410&gt;0,INDEX(DB,I410,8),"")</f>
        <v/>
      </c>
      <c r="D410" s="437">
        <f t="shared" si="1"/>
        <v>0</v>
      </c>
      <c r="F410" s="438">
        <f t="shared" si="2"/>
        <v>0</v>
      </c>
      <c r="G410" t="str">
        <f t="shared" si="3"/>
        <v/>
      </c>
      <c r="H410" t="b">
        <f t="shared" si="4"/>
        <v>0</v>
      </c>
      <c r="I410" s="439">
        <f>IF(OR(ISBLANK(A410),ISNA(MATCH(A410&amp;"",AthleteNumbers,0))),0,MATCH(A410&amp;"",AthleteNumbers,0))</f>
        <v>0</v>
      </c>
      <c r="J410" s="209">
        <f t="array" ref="J410">IF(I410&gt;0,INDEX(DB,$I410,6),0)</f>
        <v>0</v>
      </c>
      <c r="K410" s="446">
        <f t="shared" si="5"/>
        <v>0</v>
      </c>
      <c r="L410" s="446">
        <f t="shared" si="6"/>
        <v>0</v>
      </c>
      <c r="M410" s="441">
        <f>IF(L410&lt;O410,MinPoints,IF(AND(L410&gt;N410,O410&gt;0),100,+INT(($L410-O410)/P410)+MinPoints))</f>
        <v>10</v>
      </c>
      <c r="N410" s="440">
        <f t="shared" si="7"/>
        <v>4.9</v>
      </c>
      <c r="O410" s="440">
        <f t="shared" si="8"/>
        <v>2.2</v>
      </c>
      <c r="P410" s="440">
        <f t="shared" si="9"/>
        <v>0.03</v>
      </c>
      <c r="Q410">
        <f t="array" ref="Q410">IF(I410&gt;0,INDEX(DB,I410,9),EventIndex)</f>
        <v>6</v>
      </c>
      <c r="S410" s="447">
        <f t="array" ref="S410">INDEX(MINVALUES,$Q410,$K$1)</f>
        <v>2.2</v>
      </c>
      <c r="T410" s="448">
        <f t="array" ref="T410">INDEX(INCVALUES,$Q410,$K$1)</f>
        <v>0.03</v>
      </c>
      <c r="V410">
        <f t="array" ref="V410">+J410+(4*(INDEX(MatchScoreTable,$Q410,20)-1))</f>
        <v>4</v>
      </c>
      <c r="W410" s="442">
        <f t="array" ref="W410">INDEX(INC_MINVALUES,$V410,$K$1)</f>
        <v>0.2</v>
      </c>
      <c r="X410" s="212">
        <f t="array" ref="X410">INDEX(INC_INCVALUES,$V410,$K$1)</f>
        <v>0.02</v>
      </c>
    </row>
    <row r="411" ht="15.75" customHeight="1">
      <c r="A411" s="435"/>
      <c r="B411" s="436"/>
      <c r="C411" s="95" t="str">
        <f t="array" ref="C411">IF(I411&gt;0,INDEX(DB,I411,8),"")</f>
        <v/>
      </c>
      <c r="D411" s="437">
        <f t="shared" si="1"/>
        <v>0</v>
      </c>
      <c r="F411" s="438">
        <f t="shared" si="2"/>
        <v>0</v>
      </c>
      <c r="G411" t="str">
        <f t="shared" si="3"/>
        <v/>
      </c>
      <c r="H411" t="b">
        <f t="shared" si="4"/>
        <v>0</v>
      </c>
      <c r="I411" s="439">
        <f>IF(OR(ISBLANK(A411),ISNA(MATCH(A411&amp;"",AthleteNumbers,0))),0,MATCH(A411&amp;"",AthleteNumbers,0))</f>
        <v>0</v>
      </c>
      <c r="J411" s="209">
        <f t="array" ref="J411">IF(I411&gt;0,INDEX(DB,$I411,6),0)</f>
        <v>0</v>
      </c>
      <c r="K411" s="446">
        <f t="shared" si="5"/>
        <v>0</v>
      </c>
      <c r="L411" s="446">
        <f t="shared" si="6"/>
        <v>0</v>
      </c>
      <c r="M411" s="441">
        <f>IF(L411&lt;O411,MinPoints,IF(AND(L411&gt;N411,O411&gt;0),100,+INT(($L411-O411)/P411)+MinPoints))</f>
        <v>10</v>
      </c>
      <c r="N411" s="440">
        <f t="shared" si="7"/>
        <v>4.9</v>
      </c>
      <c r="O411" s="440">
        <f t="shared" si="8"/>
        <v>2.2</v>
      </c>
      <c r="P411" s="440">
        <f t="shared" si="9"/>
        <v>0.03</v>
      </c>
      <c r="Q411">
        <f t="array" ref="Q411">IF(I411&gt;0,INDEX(DB,I411,9),EventIndex)</f>
        <v>6</v>
      </c>
      <c r="S411" s="447">
        <f t="array" ref="S411">INDEX(MINVALUES,$Q411,$K$1)</f>
        <v>2.2</v>
      </c>
      <c r="T411" s="448">
        <f t="array" ref="T411">INDEX(INCVALUES,$Q411,$K$1)</f>
        <v>0.03</v>
      </c>
      <c r="V411">
        <f t="array" ref="V411">+J411+(4*(INDEX(MatchScoreTable,$Q411,20)-1))</f>
        <v>4</v>
      </c>
      <c r="W411" s="442">
        <f t="array" ref="W411">INDEX(INC_MINVALUES,$V411,$K$1)</f>
        <v>0.2</v>
      </c>
      <c r="X411" s="212">
        <f t="array" ref="X411">INDEX(INC_INCVALUES,$V411,$K$1)</f>
        <v>0.02</v>
      </c>
    </row>
    <row r="412" ht="15.75" customHeight="1">
      <c r="A412" s="435"/>
      <c r="B412" s="436"/>
      <c r="C412" s="95" t="str">
        <f t="array" ref="C412">IF(I412&gt;0,INDEX(DB,I412,8),"")</f>
        <v/>
      </c>
      <c r="D412" s="437">
        <f t="shared" si="1"/>
        <v>0</v>
      </c>
      <c r="F412" s="438">
        <f t="shared" si="2"/>
        <v>0</v>
      </c>
      <c r="G412" t="str">
        <f t="shared" si="3"/>
        <v/>
      </c>
      <c r="H412" t="b">
        <f t="shared" si="4"/>
        <v>0</v>
      </c>
      <c r="I412" s="439">
        <f>IF(OR(ISBLANK(A412),ISNA(MATCH(A412&amp;"",AthleteNumbers,0))),0,MATCH(A412&amp;"",AthleteNumbers,0))</f>
        <v>0</v>
      </c>
      <c r="J412" s="209">
        <f t="array" ref="J412">IF(I412&gt;0,INDEX(DB,$I412,6),0)</f>
        <v>0</v>
      </c>
      <c r="K412" s="446">
        <f t="shared" si="5"/>
        <v>0</v>
      </c>
      <c r="L412" s="446">
        <f t="shared" si="6"/>
        <v>0</v>
      </c>
      <c r="M412" s="441">
        <f>IF(L412&lt;O412,MinPoints,IF(AND(L412&gt;N412,O412&gt;0),100,+INT(($L412-O412)/P412)+MinPoints))</f>
        <v>10</v>
      </c>
      <c r="N412" s="440">
        <f t="shared" si="7"/>
        <v>4.9</v>
      </c>
      <c r="O412" s="440">
        <f t="shared" si="8"/>
        <v>2.2</v>
      </c>
      <c r="P412" s="440">
        <f t="shared" si="9"/>
        <v>0.03</v>
      </c>
      <c r="Q412">
        <f t="array" ref="Q412">IF(I412&gt;0,INDEX(DB,I412,9),EventIndex)</f>
        <v>6</v>
      </c>
      <c r="S412" s="447">
        <f t="array" ref="S412">INDEX(MINVALUES,$Q412,$K$1)</f>
        <v>2.2</v>
      </c>
      <c r="T412" s="448">
        <f t="array" ref="T412">INDEX(INCVALUES,$Q412,$K$1)</f>
        <v>0.03</v>
      </c>
      <c r="V412">
        <f t="array" ref="V412">+J412+(4*(INDEX(MatchScoreTable,$Q412,20)-1))</f>
        <v>4</v>
      </c>
      <c r="W412" s="442">
        <f t="array" ref="W412">INDEX(INC_MINVALUES,$V412,$K$1)</f>
        <v>0.2</v>
      </c>
      <c r="X412" s="212">
        <f t="array" ref="X412">INDEX(INC_INCVALUES,$V412,$K$1)</f>
        <v>0.02</v>
      </c>
    </row>
    <row r="413" ht="15.75" customHeight="1">
      <c r="A413" s="435"/>
      <c r="B413" s="436"/>
      <c r="C413" s="95" t="str">
        <f t="array" ref="C413">IF(I413&gt;0,INDEX(DB,I413,8),"")</f>
        <v/>
      </c>
      <c r="D413" s="437">
        <f t="shared" si="1"/>
        <v>0</v>
      </c>
      <c r="F413" s="438">
        <f t="shared" si="2"/>
        <v>0</v>
      </c>
      <c r="G413" t="str">
        <f t="shared" si="3"/>
        <v/>
      </c>
      <c r="H413" t="b">
        <f t="shared" si="4"/>
        <v>0</v>
      </c>
      <c r="I413" s="439">
        <f>IF(OR(ISBLANK(A413),ISNA(MATCH(A413&amp;"",AthleteNumbers,0))),0,MATCH(A413&amp;"",AthleteNumbers,0))</f>
        <v>0</v>
      </c>
      <c r="J413" s="209">
        <f t="array" ref="J413">IF(I413&gt;0,INDEX(DB,$I413,6),0)</f>
        <v>0</v>
      </c>
      <c r="K413" s="446">
        <f t="shared" si="5"/>
        <v>0</v>
      </c>
      <c r="L413" s="446">
        <f t="shared" si="6"/>
        <v>0</v>
      </c>
      <c r="M413" s="441">
        <f>IF(L413&lt;O413,MinPoints,IF(AND(L413&gt;N413,O413&gt;0),100,+INT(($L413-O413)/P413)+MinPoints))</f>
        <v>10</v>
      </c>
      <c r="N413" s="440">
        <f t="shared" si="7"/>
        <v>4.9</v>
      </c>
      <c r="O413" s="440">
        <f t="shared" si="8"/>
        <v>2.2</v>
      </c>
      <c r="P413" s="440">
        <f t="shared" si="9"/>
        <v>0.03</v>
      </c>
      <c r="Q413">
        <f t="array" ref="Q413">IF(I413&gt;0,INDEX(DB,I413,9),EventIndex)</f>
        <v>6</v>
      </c>
      <c r="S413" s="447">
        <f t="array" ref="S413">INDEX(MINVALUES,$Q413,$K$1)</f>
        <v>2.2</v>
      </c>
      <c r="T413" s="448">
        <f t="array" ref="T413">INDEX(INCVALUES,$Q413,$K$1)</f>
        <v>0.03</v>
      </c>
      <c r="V413">
        <f t="array" ref="V413">+J413+(4*(INDEX(MatchScoreTable,$Q413,20)-1))</f>
        <v>4</v>
      </c>
      <c r="W413" s="442">
        <f t="array" ref="W413">INDEX(INC_MINVALUES,$V413,$K$1)</f>
        <v>0.2</v>
      </c>
      <c r="X413" s="212">
        <f t="array" ref="X413">INDEX(INC_INCVALUES,$V413,$K$1)</f>
        <v>0.02</v>
      </c>
    </row>
    <row r="414" ht="15.75" customHeight="1">
      <c r="A414" s="435"/>
      <c r="B414" s="436"/>
      <c r="C414" s="95" t="str">
        <f t="array" ref="C414">IF(I414&gt;0,INDEX(DB,I414,8),"")</f>
        <v/>
      </c>
      <c r="D414" s="437">
        <f t="shared" si="1"/>
        <v>0</v>
      </c>
      <c r="F414" s="438">
        <f t="shared" si="2"/>
        <v>0</v>
      </c>
      <c r="G414" t="str">
        <f t="shared" si="3"/>
        <v/>
      </c>
      <c r="H414" t="b">
        <f t="shared" si="4"/>
        <v>0</v>
      </c>
      <c r="I414" s="439">
        <f>IF(OR(ISBLANK(A414),ISNA(MATCH(A414&amp;"",AthleteNumbers,0))),0,MATCH(A414&amp;"",AthleteNumbers,0))</f>
        <v>0</v>
      </c>
      <c r="J414" s="209">
        <f t="array" ref="J414">IF(I414&gt;0,INDEX(DB,$I414,6),0)</f>
        <v>0</v>
      </c>
      <c r="K414" s="446">
        <f t="shared" si="5"/>
        <v>0</v>
      </c>
      <c r="L414" s="446">
        <f t="shared" si="6"/>
        <v>0</v>
      </c>
      <c r="M414" s="441">
        <f>IF(L414&lt;O414,MinPoints,IF(AND(L414&gt;N414,O414&gt;0),100,+INT(($L414-O414)/P414)+MinPoints))</f>
        <v>10</v>
      </c>
      <c r="N414" s="440">
        <f t="shared" si="7"/>
        <v>4.9</v>
      </c>
      <c r="O414" s="440">
        <f t="shared" si="8"/>
        <v>2.2</v>
      </c>
      <c r="P414" s="440">
        <f t="shared" si="9"/>
        <v>0.03</v>
      </c>
      <c r="Q414">
        <f t="array" ref="Q414">IF(I414&gt;0,INDEX(DB,I414,9),EventIndex)</f>
        <v>6</v>
      </c>
      <c r="S414" s="447">
        <f t="array" ref="S414">INDEX(MINVALUES,$Q414,$K$1)</f>
        <v>2.2</v>
      </c>
      <c r="T414" s="448">
        <f t="array" ref="T414">INDEX(INCVALUES,$Q414,$K$1)</f>
        <v>0.03</v>
      </c>
      <c r="V414">
        <f t="array" ref="V414">+J414+(4*(INDEX(MatchScoreTable,$Q414,20)-1))</f>
        <v>4</v>
      </c>
      <c r="W414" s="442">
        <f t="array" ref="W414">INDEX(INC_MINVALUES,$V414,$K$1)</f>
        <v>0.2</v>
      </c>
      <c r="X414" s="212">
        <f t="array" ref="X414">INDEX(INC_INCVALUES,$V414,$K$1)</f>
        <v>0.02</v>
      </c>
    </row>
    <row r="415" ht="15.75" customHeight="1">
      <c r="A415" s="435"/>
      <c r="B415" s="436"/>
      <c r="C415" s="95" t="str">
        <f t="array" ref="C415">IF(I415&gt;0,INDEX(DB,I415,8),"")</f>
        <v/>
      </c>
      <c r="D415" s="437">
        <f t="shared" si="1"/>
        <v>0</v>
      </c>
      <c r="F415" s="438">
        <f t="shared" si="2"/>
        <v>0</v>
      </c>
      <c r="G415" t="str">
        <f t="shared" si="3"/>
        <v/>
      </c>
      <c r="H415" t="b">
        <f t="shared" si="4"/>
        <v>0</v>
      </c>
      <c r="I415" s="439">
        <f>IF(OR(ISBLANK(A415),ISNA(MATCH(A415&amp;"",AthleteNumbers,0))),0,MATCH(A415&amp;"",AthleteNumbers,0))</f>
        <v>0</v>
      </c>
      <c r="J415" s="209">
        <f t="array" ref="J415">IF(I415&gt;0,INDEX(DB,$I415,6),0)</f>
        <v>0</v>
      </c>
      <c r="K415" s="446">
        <f t="shared" si="5"/>
        <v>0</v>
      </c>
      <c r="L415" s="446">
        <f t="shared" si="6"/>
        <v>0</v>
      </c>
      <c r="M415" s="441">
        <f>IF(L415&lt;O415,MinPoints,IF(AND(L415&gt;N415,O415&gt;0),100,+INT(($L415-O415)/P415)+MinPoints))</f>
        <v>10</v>
      </c>
      <c r="N415" s="440">
        <f t="shared" si="7"/>
        <v>4.9</v>
      </c>
      <c r="O415" s="440">
        <f t="shared" si="8"/>
        <v>2.2</v>
      </c>
      <c r="P415" s="440">
        <f t="shared" si="9"/>
        <v>0.03</v>
      </c>
      <c r="Q415">
        <f t="array" ref="Q415">IF(I415&gt;0,INDEX(DB,I415,9),EventIndex)</f>
        <v>6</v>
      </c>
      <c r="S415" s="447">
        <f t="array" ref="S415">INDEX(MINVALUES,$Q415,$K$1)</f>
        <v>2.2</v>
      </c>
      <c r="T415" s="448">
        <f t="array" ref="T415">INDEX(INCVALUES,$Q415,$K$1)</f>
        <v>0.03</v>
      </c>
      <c r="V415">
        <f t="array" ref="V415">+J415+(4*(INDEX(MatchScoreTable,$Q415,20)-1))</f>
        <v>4</v>
      </c>
      <c r="W415" s="442">
        <f t="array" ref="W415">INDEX(INC_MINVALUES,$V415,$K$1)</f>
        <v>0.2</v>
      </c>
      <c r="X415" s="212">
        <f t="array" ref="X415">INDEX(INC_INCVALUES,$V415,$K$1)</f>
        <v>0.02</v>
      </c>
    </row>
    <row r="416" ht="15.75" customHeight="1">
      <c r="A416" s="435"/>
      <c r="B416" s="436"/>
      <c r="C416" s="95" t="str">
        <f t="array" ref="C416">IF(I416&gt;0,INDEX(DB,I416,8),"")</f>
        <v/>
      </c>
      <c r="D416" s="437">
        <f t="shared" si="1"/>
        <v>0</v>
      </c>
      <c r="F416" s="438">
        <f t="shared" si="2"/>
        <v>0</v>
      </c>
      <c r="G416" t="str">
        <f t="shared" si="3"/>
        <v/>
      </c>
      <c r="H416" t="b">
        <f t="shared" si="4"/>
        <v>0</v>
      </c>
      <c r="I416" s="439">
        <f>IF(OR(ISBLANK(A416),ISNA(MATCH(A416&amp;"",AthleteNumbers,0))),0,MATCH(A416&amp;"",AthleteNumbers,0))</f>
        <v>0</v>
      </c>
      <c r="J416" s="209">
        <f t="array" ref="J416">IF(I416&gt;0,INDEX(DB,$I416,6),0)</f>
        <v>0</v>
      </c>
      <c r="K416" s="446">
        <f t="shared" si="5"/>
        <v>0</v>
      </c>
      <c r="L416" s="446">
        <f t="shared" si="6"/>
        <v>0</v>
      </c>
      <c r="M416" s="441">
        <f>IF(L416&lt;O416,MinPoints,IF(AND(L416&gt;N416,O416&gt;0),100,+INT(($L416-O416)/P416)+MinPoints))</f>
        <v>10</v>
      </c>
      <c r="N416" s="440">
        <f t="shared" si="7"/>
        <v>4.9</v>
      </c>
      <c r="O416" s="440">
        <f t="shared" si="8"/>
        <v>2.2</v>
      </c>
      <c r="P416" s="440">
        <f t="shared" si="9"/>
        <v>0.03</v>
      </c>
      <c r="Q416">
        <f t="array" ref="Q416">IF(I416&gt;0,INDEX(DB,I416,9),EventIndex)</f>
        <v>6</v>
      </c>
      <c r="S416" s="447">
        <f t="array" ref="S416">INDEX(MINVALUES,$Q416,$K$1)</f>
        <v>2.2</v>
      </c>
      <c r="T416" s="448">
        <f t="array" ref="T416">INDEX(INCVALUES,$Q416,$K$1)</f>
        <v>0.03</v>
      </c>
      <c r="V416">
        <f t="array" ref="V416">+J416+(4*(INDEX(MatchScoreTable,$Q416,20)-1))</f>
        <v>4</v>
      </c>
      <c r="W416" s="442">
        <f t="array" ref="W416">INDEX(INC_MINVALUES,$V416,$K$1)</f>
        <v>0.2</v>
      </c>
      <c r="X416" s="212">
        <f t="array" ref="X416">INDEX(INC_INCVALUES,$V416,$K$1)</f>
        <v>0.02</v>
      </c>
    </row>
    <row r="417" ht="15.75" customHeight="1">
      <c r="A417" s="435"/>
      <c r="B417" s="436"/>
      <c r="C417" s="95" t="str">
        <f t="array" ref="C417">IF(I417&gt;0,INDEX(DB,I417,8),"")</f>
        <v/>
      </c>
      <c r="D417" s="437">
        <f t="shared" si="1"/>
        <v>0</v>
      </c>
      <c r="F417" s="438">
        <f t="shared" si="2"/>
        <v>0</v>
      </c>
      <c r="G417" t="str">
        <f t="shared" si="3"/>
        <v/>
      </c>
      <c r="H417" t="b">
        <f t="shared" si="4"/>
        <v>0</v>
      </c>
      <c r="I417" s="439">
        <f>IF(OR(ISBLANK(A417),ISNA(MATCH(A417&amp;"",AthleteNumbers,0))),0,MATCH(A417&amp;"",AthleteNumbers,0))</f>
        <v>0</v>
      </c>
      <c r="J417" s="209">
        <f t="array" ref="J417">IF(I417&gt;0,INDEX(DB,$I417,6),0)</f>
        <v>0</v>
      </c>
      <c r="K417" s="446">
        <f t="shared" si="5"/>
        <v>0</v>
      </c>
      <c r="L417" s="446">
        <f t="shared" si="6"/>
        <v>0</v>
      </c>
      <c r="M417" s="441">
        <f>IF(L417&lt;O417,MinPoints,IF(AND(L417&gt;N417,O417&gt;0),100,+INT(($L417-O417)/P417)+MinPoints))</f>
        <v>10</v>
      </c>
      <c r="N417" s="440">
        <f t="shared" si="7"/>
        <v>4.9</v>
      </c>
      <c r="O417" s="440">
        <f t="shared" si="8"/>
        <v>2.2</v>
      </c>
      <c r="P417" s="440">
        <f t="shared" si="9"/>
        <v>0.03</v>
      </c>
      <c r="Q417">
        <f t="array" ref="Q417">IF(I417&gt;0,INDEX(DB,I417,9),EventIndex)</f>
        <v>6</v>
      </c>
      <c r="S417" s="447">
        <f t="array" ref="S417">INDEX(MINVALUES,$Q417,$K$1)</f>
        <v>2.2</v>
      </c>
      <c r="T417" s="448">
        <f t="array" ref="T417">INDEX(INCVALUES,$Q417,$K$1)</f>
        <v>0.03</v>
      </c>
      <c r="V417">
        <f t="array" ref="V417">+J417+(4*(INDEX(MatchScoreTable,$Q417,20)-1))</f>
        <v>4</v>
      </c>
      <c r="W417" s="442">
        <f t="array" ref="W417">INDEX(INC_MINVALUES,$V417,$K$1)</f>
        <v>0.2</v>
      </c>
      <c r="X417" s="212">
        <f t="array" ref="X417">INDEX(INC_INCVALUES,$V417,$K$1)</f>
        <v>0.02</v>
      </c>
    </row>
    <row r="418" ht="15.75" customHeight="1">
      <c r="A418" s="435"/>
      <c r="B418" s="436"/>
      <c r="C418" s="95" t="str">
        <f t="array" ref="C418">IF(I418&gt;0,INDEX(DB,I418,8),"")</f>
        <v/>
      </c>
      <c r="D418" s="437">
        <f t="shared" si="1"/>
        <v>0</v>
      </c>
      <c r="F418" s="438">
        <f t="shared" si="2"/>
        <v>0</v>
      </c>
      <c r="G418" t="str">
        <f t="shared" si="3"/>
        <v/>
      </c>
      <c r="H418" t="b">
        <f t="shared" si="4"/>
        <v>0</v>
      </c>
      <c r="I418" s="439">
        <f>IF(OR(ISBLANK(A418),ISNA(MATCH(A418&amp;"",AthleteNumbers,0))),0,MATCH(A418&amp;"",AthleteNumbers,0))</f>
        <v>0</v>
      </c>
      <c r="J418" s="209">
        <f t="array" ref="J418">IF(I418&gt;0,INDEX(DB,$I418,6),0)</f>
        <v>0</v>
      </c>
      <c r="K418" s="446">
        <f t="shared" si="5"/>
        <v>0</v>
      </c>
      <c r="L418" s="446">
        <f t="shared" si="6"/>
        <v>0</v>
      </c>
      <c r="M418" s="441">
        <f>IF(L418&lt;O418,MinPoints,IF(AND(L418&gt;N418,O418&gt;0),100,+INT(($L418-O418)/P418)+MinPoints))</f>
        <v>10</v>
      </c>
      <c r="N418" s="440">
        <f t="shared" si="7"/>
        <v>4.9</v>
      </c>
      <c r="O418" s="440">
        <f t="shared" si="8"/>
        <v>2.2</v>
      </c>
      <c r="P418" s="440">
        <f t="shared" si="9"/>
        <v>0.03</v>
      </c>
      <c r="Q418">
        <f t="array" ref="Q418">IF(I418&gt;0,INDEX(DB,I418,9),EventIndex)</f>
        <v>6</v>
      </c>
      <c r="S418" s="447">
        <f t="array" ref="S418">INDEX(MINVALUES,$Q418,$K$1)</f>
        <v>2.2</v>
      </c>
      <c r="T418" s="448">
        <f t="array" ref="T418">INDEX(INCVALUES,$Q418,$K$1)</f>
        <v>0.03</v>
      </c>
      <c r="V418">
        <f t="array" ref="V418">+J418+(4*(INDEX(MatchScoreTable,$Q418,20)-1))</f>
        <v>4</v>
      </c>
      <c r="W418" s="442">
        <f t="array" ref="W418">INDEX(INC_MINVALUES,$V418,$K$1)</f>
        <v>0.2</v>
      </c>
      <c r="X418" s="212">
        <f t="array" ref="X418">INDEX(INC_INCVALUES,$V418,$K$1)</f>
        <v>0.02</v>
      </c>
    </row>
    <row r="419" ht="15.75" customHeight="1">
      <c r="A419" s="435"/>
      <c r="B419" s="436"/>
      <c r="C419" s="95" t="str">
        <f t="array" ref="C419">IF(I419&gt;0,INDEX(DB,I419,8),"")</f>
        <v/>
      </c>
      <c r="D419" s="437">
        <f t="shared" si="1"/>
        <v>0</v>
      </c>
      <c r="F419" s="438">
        <f t="shared" si="2"/>
        <v>0</v>
      </c>
      <c r="G419" t="str">
        <f t="shared" si="3"/>
        <v/>
      </c>
      <c r="H419" t="b">
        <f t="shared" si="4"/>
        <v>0</v>
      </c>
      <c r="I419" s="439">
        <f>IF(OR(ISBLANK(A419),ISNA(MATCH(A419&amp;"",AthleteNumbers,0))),0,MATCH(A419&amp;"",AthleteNumbers,0))</f>
        <v>0</v>
      </c>
      <c r="J419" s="209">
        <f t="array" ref="J419">IF(I419&gt;0,INDEX(DB,$I419,6),0)</f>
        <v>0</v>
      </c>
      <c r="K419" s="446">
        <f t="shared" si="5"/>
        <v>0</v>
      </c>
      <c r="L419" s="446">
        <f t="shared" si="6"/>
        <v>0</v>
      </c>
      <c r="M419" s="441">
        <f>IF(L419&lt;O419,MinPoints,IF(AND(L419&gt;N419,O419&gt;0),100,+INT(($L419-O419)/P419)+MinPoints))</f>
        <v>10</v>
      </c>
      <c r="N419" s="440">
        <f t="shared" si="7"/>
        <v>4.9</v>
      </c>
      <c r="O419" s="440">
        <f t="shared" si="8"/>
        <v>2.2</v>
      </c>
      <c r="P419" s="440">
        <f t="shared" si="9"/>
        <v>0.03</v>
      </c>
      <c r="Q419">
        <f t="array" ref="Q419">IF(I419&gt;0,INDEX(DB,I419,9),EventIndex)</f>
        <v>6</v>
      </c>
      <c r="S419" s="447">
        <f t="array" ref="S419">INDEX(MINVALUES,$Q419,$K$1)</f>
        <v>2.2</v>
      </c>
      <c r="T419" s="448">
        <f t="array" ref="T419">INDEX(INCVALUES,$Q419,$K$1)</f>
        <v>0.03</v>
      </c>
      <c r="V419">
        <f t="array" ref="V419">+J419+(4*(INDEX(MatchScoreTable,$Q419,20)-1))</f>
        <v>4</v>
      </c>
      <c r="W419" s="442">
        <f t="array" ref="W419">INDEX(INC_MINVALUES,$V419,$K$1)</f>
        <v>0.2</v>
      </c>
      <c r="X419" s="212">
        <f t="array" ref="X419">INDEX(INC_INCVALUES,$V419,$K$1)</f>
        <v>0.02</v>
      </c>
    </row>
    <row r="420" ht="15.75" customHeight="1">
      <c r="A420" s="435"/>
      <c r="B420" s="436"/>
      <c r="C420" s="95" t="str">
        <f t="array" ref="C420">IF(I420&gt;0,INDEX(DB,I420,8),"")</f>
        <v/>
      </c>
      <c r="D420" s="437">
        <f t="shared" si="1"/>
        <v>0</v>
      </c>
      <c r="F420" s="438">
        <f t="shared" si="2"/>
        <v>0</v>
      </c>
      <c r="G420" t="str">
        <f t="shared" si="3"/>
        <v/>
      </c>
      <c r="H420" t="b">
        <f t="shared" si="4"/>
        <v>0</v>
      </c>
      <c r="I420" s="439">
        <f>IF(OR(ISBLANK(A420),ISNA(MATCH(A420&amp;"",AthleteNumbers,0))),0,MATCH(A420&amp;"",AthleteNumbers,0))</f>
        <v>0</v>
      </c>
      <c r="J420" s="209">
        <f t="array" ref="J420">IF(I420&gt;0,INDEX(DB,$I420,6),0)</f>
        <v>0</v>
      </c>
      <c r="K420" s="446">
        <f t="shared" si="5"/>
        <v>0</v>
      </c>
      <c r="L420" s="446">
        <f t="shared" si="6"/>
        <v>0</v>
      </c>
      <c r="M420" s="441">
        <f>IF(L420&lt;O420,MinPoints,IF(AND(L420&gt;N420,O420&gt;0),100,+INT(($L420-O420)/P420)+MinPoints))</f>
        <v>10</v>
      </c>
      <c r="N420" s="440">
        <f t="shared" si="7"/>
        <v>4.9</v>
      </c>
      <c r="O420" s="440">
        <f t="shared" si="8"/>
        <v>2.2</v>
      </c>
      <c r="P420" s="440">
        <f t="shared" si="9"/>
        <v>0.03</v>
      </c>
      <c r="Q420">
        <f t="array" ref="Q420">IF(I420&gt;0,INDEX(DB,I420,9),EventIndex)</f>
        <v>6</v>
      </c>
      <c r="S420" s="447">
        <f t="array" ref="S420">INDEX(MINVALUES,$Q420,$K$1)</f>
        <v>2.2</v>
      </c>
      <c r="T420" s="448">
        <f t="array" ref="T420">INDEX(INCVALUES,$Q420,$K$1)</f>
        <v>0.03</v>
      </c>
      <c r="V420">
        <f t="array" ref="V420">+J420+(4*(INDEX(MatchScoreTable,$Q420,20)-1))</f>
        <v>4</v>
      </c>
      <c r="W420" s="442">
        <f t="array" ref="W420">INDEX(INC_MINVALUES,$V420,$K$1)</f>
        <v>0.2</v>
      </c>
      <c r="X420" s="212">
        <f t="array" ref="X420">INDEX(INC_INCVALUES,$V420,$K$1)</f>
        <v>0.02</v>
      </c>
    </row>
    <row r="421" ht="15.75" customHeight="1">
      <c r="A421" s="435"/>
      <c r="B421" s="436"/>
      <c r="C421" s="95" t="str">
        <f t="array" ref="C421">IF(I421&gt;0,INDEX(DB,I421,8),"")</f>
        <v/>
      </c>
      <c r="D421" s="437">
        <f t="shared" si="1"/>
        <v>0</v>
      </c>
      <c r="F421" s="438">
        <f t="shared" si="2"/>
        <v>0</v>
      </c>
      <c r="G421" t="str">
        <f t="shared" si="3"/>
        <v/>
      </c>
      <c r="H421" t="b">
        <f t="shared" si="4"/>
        <v>0</v>
      </c>
      <c r="I421" s="439">
        <f>IF(OR(ISBLANK(A421),ISNA(MATCH(A421&amp;"",AthleteNumbers,0))),0,MATCH(A421&amp;"",AthleteNumbers,0))</f>
        <v>0</v>
      </c>
      <c r="J421" s="209">
        <f t="array" ref="J421">IF(I421&gt;0,INDEX(DB,$I421,6),0)</f>
        <v>0</v>
      </c>
      <c r="K421" s="446">
        <f t="shared" si="5"/>
        <v>0</v>
      </c>
      <c r="L421" s="446">
        <f t="shared" si="6"/>
        <v>0</v>
      </c>
      <c r="M421" s="441">
        <f>IF(L421&lt;O421,MinPoints,IF(AND(L421&gt;N421,O421&gt;0),100,+INT(($L421-O421)/P421)+MinPoints))</f>
        <v>10</v>
      </c>
      <c r="N421" s="440">
        <f t="shared" si="7"/>
        <v>4.9</v>
      </c>
      <c r="O421" s="440">
        <f t="shared" si="8"/>
        <v>2.2</v>
      </c>
      <c r="P421" s="440">
        <f t="shared" si="9"/>
        <v>0.03</v>
      </c>
      <c r="Q421">
        <f t="array" ref="Q421">IF(I421&gt;0,INDEX(DB,I421,9),EventIndex)</f>
        <v>6</v>
      </c>
      <c r="S421" s="447">
        <f t="array" ref="S421">INDEX(MINVALUES,$Q421,$K$1)</f>
        <v>2.2</v>
      </c>
      <c r="T421" s="448">
        <f t="array" ref="T421">INDEX(INCVALUES,$Q421,$K$1)</f>
        <v>0.03</v>
      </c>
      <c r="V421">
        <f t="array" ref="V421">+J421+(4*(INDEX(MatchScoreTable,$Q421,20)-1))</f>
        <v>4</v>
      </c>
      <c r="W421" s="442">
        <f t="array" ref="W421">INDEX(INC_MINVALUES,$V421,$K$1)</f>
        <v>0.2</v>
      </c>
      <c r="X421" s="212">
        <f t="array" ref="X421">INDEX(INC_INCVALUES,$V421,$K$1)</f>
        <v>0.02</v>
      </c>
    </row>
    <row r="422" ht="15.75" customHeight="1">
      <c r="A422" s="435"/>
      <c r="B422" s="436"/>
      <c r="C422" s="95" t="str">
        <f t="array" ref="C422">IF(I422&gt;0,INDEX(DB,I422,8),"")</f>
        <v/>
      </c>
      <c r="D422" s="437">
        <f t="shared" si="1"/>
        <v>0</v>
      </c>
      <c r="F422" s="438">
        <f t="shared" si="2"/>
        <v>0</v>
      </c>
      <c r="G422" t="str">
        <f t="shared" si="3"/>
        <v/>
      </c>
      <c r="H422" t="b">
        <f t="shared" si="4"/>
        <v>0</v>
      </c>
      <c r="I422" s="439">
        <f>IF(OR(ISBLANK(A422),ISNA(MATCH(A422&amp;"",AthleteNumbers,0))),0,MATCH(A422&amp;"",AthleteNumbers,0))</f>
        <v>0</v>
      </c>
      <c r="J422" s="209">
        <f t="array" ref="J422">IF(I422&gt;0,INDEX(DB,$I422,6),0)</f>
        <v>0</v>
      </c>
      <c r="K422" s="446">
        <f t="shared" si="5"/>
        <v>0</v>
      </c>
      <c r="L422" s="446">
        <f t="shared" si="6"/>
        <v>0</v>
      </c>
      <c r="M422" s="441">
        <f>IF(L422&lt;O422,MinPoints,IF(AND(L422&gt;N422,O422&gt;0),100,+INT(($L422-O422)/P422)+MinPoints))</f>
        <v>10</v>
      </c>
      <c r="N422" s="440">
        <f t="shared" si="7"/>
        <v>4.9</v>
      </c>
      <c r="O422" s="440">
        <f t="shared" si="8"/>
        <v>2.2</v>
      </c>
      <c r="P422" s="440">
        <f t="shared" si="9"/>
        <v>0.03</v>
      </c>
      <c r="Q422">
        <f t="array" ref="Q422">IF(I422&gt;0,INDEX(DB,I422,9),EventIndex)</f>
        <v>6</v>
      </c>
      <c r="S422" s="447">
        <f t="array" ref="S422">INDEX(MINVALUES,$Q422,$K$1)</f>
        <v>2.2</v>
      </c>
      <c r="T422" s="448">
        <f t="array" ref="T422">INDEX(INCVALUES,$Q422,$K$1)</f>
        <v>0.03</v>
      </c>
      <c r="V422">
        <f t="array" ref="V422">+J422+(4*(INDEX(MatchScoreTable,$Q422,20)-1))</f>
        <v>4</v>
      </c>
      <c r="W422" s="442">
        <f t="array" ref="W422">INDEX(INC_MINVALUES,$V422,$K$1)</f>
        <v>0.2</v>
      </c>
      <c r="X422" s="212">
        <f t="array" ref="X422">INDEX(INC_INCVALUES,$V422,$K$1)</f>
        <v>0.02</v>
      </c>
    </row>
    <row r="423" ht="15.75" customHeight="1">
      <c r="A423" s="435"/>
      <c r="B423" s="436"/>
      <c r="C423" s="95" t="str">
        <f t="array" ref="C423">IF(I423&gt;0,INDEX(DB,I423,8),"")</f>
        <v/>
      </c>
      <c r="D423" s="437">
        <f t="shared" si="1"/>
        <v>0</v>
      </c>
      <c r="F423" s="438">
        <f t="shared" si="2"/>
        <v>0</v>
      </c>
      <c r="G423" t="str">
        <f t="shared" si="3"/>
        <v/>
      </c>
      <c r="H423" t="b">
        <f t="shared" si="4"/>
        <v>0</v>
      </c>
      <c r="I423" s="439">
        <f>IF(OR(ISBLANK(A423),ISNA(MATCH(A423&amp;"",AthleteNumbers,0))),0,MATCH(A423&amp;"",AthleteNumbers,0))</f>
        <v>0</v>
      </c>
      <c r="J423" s="209">
        <f t="array" ref="J423">IF(I423&gt;0,INDEX(DB,$I423,6),0)</f>
        <v>0</v>
      </c>
      <c r="K423" s="446">
        <f t="shared" si="5"/>
        <v>0</v>
      </c>
      <c r="L423" s="446">
        <f t="shared" si="6"/>
        <v>0</v>
      </c>
      <c r="M423" s="441">
        <f>IF(L423&lt;O423,MinPoints,IF(AND(L423&gt;N423,O423&gt;0),100,+INT(($L423-O423)/P423)+MinPoints))</f>
        <v>10</v>
      </c>
      <c r="N423" s="440">
        <f t="shared" si="7"/>
        <v>4.9</v>
      </c>
      <c r="O423" s="440">
        <f t="shared" si="8"/>
        <v>2.2</v>
      </c>
      <c r="P423" s="440">
        <f t="shared" si="9"/>
        <v>0.03</v>
      </c>
      <c r="Q423">
        <f t="array" ref="Q423">IF(I423&gt;0,INDEX(DB,I423,9),EventIndex)</f>
        <v>6</v>
      </c>
      <c r="S423" s="447">
        <f t="array" ref="S423">INDEX(MINVALUES,$Q423,$K$1)</f>
        <v>2.2</v>
      </c>
      <c r="T423" s="448">
        <f t="array" ref="T423">INDEX(INCVALUES,$Q423,$K$1)</f>
        <v>0.03</v>
      </c>
      <c r="V423">
        <f t="array" ref="V423">+J423+(4*(INDEX(MatchScoreTable,$Q423,20)-1))</f>
        <v>4</v>
      </c>
      <c r="W423" s="442">
        <f t="array" ref="W423">INDEX(INC_MINVALUES,$V423,$K$1)</f>
        <v>0.2</v>
      </c>
      <c r="X423" s="212">
        <f t="array" ref="X423">INDEX(INC_INCVALUES,$V423,$K$1)</f>
        <v>0.02</v>
      </c>
    </row>
    <row r="424" ht="15.75" customHeight="1">
      <c r="A424" s="435"/>
      <c r="B424" s="436"/>
      <c r="C424" s="95" t="str">
        <f t="array" ref="C424">IF(I424&gt;0,INDEX(DB,I424,8),"")</f>
        <v/>
      </c>
      <c r="D424" s="437">
        <f t="shared" si="1"/>
        <v>0</v>
      </c>
      <c r="F424" s="438">
        <f t="shared" si="2"/>
        <v>0</v>
      </c>
      <c r="G424" t="str">
        <f t="shared" si="3"/>
        <v/>
      </c>
      <c r="H424" t="b">
        <f t="shared" si="4"/>
        <v>0</v>
      </c>
      <c r="I424" s="439">
        <f>IF(OR(ISBLANK(A424),ISNA(MATCH(A424&amp;"",AthleteNumbers,0))),0,MATCH(A424&amp;"",AthleteNumbers,0))</f>
        <v>0</v>
      </c>
      <c r="J424" s="209">
        <f t="array" ref="J424">IF(I424&gt;0,INDEX(DB,$I424,6),0)</f>
        <v>0</v>
      </c>
      <c r="K424" s="446">
        <f t="shared" si="5"/>
        <v>0</v>
      </c>
      <c r="L424" s="446">
        <f t="shared" si="6"/>
        <v>0</v>
      </c>
      <c r="M424" s="441">
        <f>IF(L424&lt;O424,MinPoints,IF(AND(L424&gt;N424,O424&gt;0),100,+INT(($L424-O424)/P424)+MinPoints))</f>
        <v>10</v>
      </c>
      <c r="N424" s="440">
        <f t="shared" si="7"/>
        <v>4.9</v>
      </c>
      <c r="O424" s="440">
        <f t="shared" si="8"/>
        <v>2.2</v>
      </c>
      <c r="P424" s="440">
        <f t="shared" si="9"/>
        <v>0.03</v>
      </c>
      <c r="Q424">
        <f t="array" ref="Q424">IF(I424&gt;0,INDEX(DB,I424,9),EventIndex)</f>
        <v>6</v>
      </c>
      <c r="S424" s="447">
        <f t="array" ref="S424">INDEX(MINVALUES,$Q424,$K$1)</f>
        <v>2.2</v>
      </c>
      <c r="T424" s="448">
        <f t="array" ref="T424">INDEX(INCVALUES,$Q424,$K$1)</f>
        <v>0.03</v>
      </c>
      <c r="V424">
        <f t="array" ref="V424">+J424+(4*(INDEX(MatchScoreTable,$Q424,20)-1))</f>
        <v>4</v>
      </c>
      <c r="W424" s="442">
        <f t="array" ref="W424">INDEX(INC_MINVALUES,$V424,$K$1)</f>
        <v>0.2</v>
      </c>
      <c r="X424" s="212">
        <f t="array" ref="X424">INDEX(INC_INCVALUES,$V424,$K$1)</f>
        <v>0.02</v>
      </c>
    </row>
    <row r="425" ht="15.75" customHeight="1">
      <c r="A425" s="435"/>
      <c r="B425" s="436"/>
      <c r="C425" s="95" t="str">
        <f t="array" ref="C425">IF(I425&gt;0,INDEX(DB,I425,8),"")</f>
        <v/>
      </c>
      <c r="D425" s="437">
        <f t="shared" si="1"/>
        <v>0</v>
      </c>
      <c r="F425" s="438">
        <f t="shared" si="2"/>
        <v>0</v>
      </c>
      <c r="G425" t="str">
        <f t="shared" si="3"/>
        <v/>
      </c>
      <c r="H425" t="b">
        <f t="shared" si="4"/>
        <v>0</v>
      </c>
      <c r="I425" s="439">
        <f>IF(OR(ISBLANK(A425),ISNA(MATCH(A425&amp;"",AthleteNumbers,0))),0,MATCH(A425&amp;"",AthleteNumbers,0))</f>
        <v>0</v>
      </c>
      <c r="J425" s="209">
        <f t="array" ref="J425">IF(I425&gt;0,INDEX(DB,$I425,6),0)</f>
        <v>0</v>
      </c>
      <c r="K425" s="446">
        <f t="shared" si="5"/>
        <v>0</v>
      </c>
      <c r="L425" s="446">
        <f t="shared" si="6"/>
        <v>0</v>
      </c>
      <c r="M425" s="441">
        <f>IF(L425&lt;O425,MinPoints,IF(AND(L425&gt;N425,O425&gt;0),100,+INT(($L425-O425)/P425)+MinPoints))</f>
        <v>10</v>
      </c>
      <c r="N425" s="440">
        <f t="shared" si="7"/>
        <v>4.9</v>
      </c>
      <c r="O425" s="440">
        <f t="shared" si="8"/>
        <v>2.2</v>
      </c>
      <c r="P425" s="440">
        <f t="shared" si="9"/>
        <v>0.03</v>
      </c>
      <c r="Q425">
        <f t="array" ref="Q425">IF(I425&gt;0,INDEX(DB,I425,9),EventIndex)</f>
        <v>6</v>
      </c>
      <c r="S425" s="447">
        <f t="array" ref="S425">INDEX(MINVALUES,$Q425,$K$1)</f>
        <v>2.2</v>
      </c>
      <c r="T425" s="448">
        <f t="array" ref="T425">INDEX(INCVALUES,$Q425,$K$1)</f>
        <v>0.03</v>
      </c>
      <c r="V425">
        <f t="array" ref="V425">+J425+(4*(INDEX(MatchScoreTable,$Q425,20)-1))</f>
        <v>4</v>
      </c>
      <c r="W425" s="442">
        <f t="array" ref="W425">INDEX(INC_MINVALUES,$V425,$K$1)</f>
        <v>0.2</v>
      </c>
      <c r="X425" s="212">
        <f t="array" ref="X425">INDEX(INC_INCVALUES,$V425,$K$1)</f>
        <v>0.02</v>
      </c>
    </row>
    <row r="426" ht="15.75" customHeight="1">
      <c r="A426" s="435"/>
      <c r="B426" s="436"/>
      <c r="C426" s="95" t="str">
        <f t="array" ref="C426">IF(I426&gt;0,INDEX(DB,I426,8),"")</f>
        <v/>
      </c>
      <c r="D426" s="437">
        <f t="shared" si="1"/>
        <v>0</v>
      </c>
      <c r="F426" s="438">
        <f t="shared" si="2"/>
        <v>0</v>
      </c>
      <c r="G426" t="str">
        <f t="shared" si="3"/>
        <v/>
      </c>
      <c r="H426" t="b">
        <f t="shared" si="4"/>
        <v>0</v>
      </c>
      <c r="I426" s="439">
        <f>IF(OR(ISBLANK(A426),ISNA(MATCH(A426&amp;"",AthleteNumbers,0))),0,MATCH(A426&amp;"",AthleteNumbers,0))</f>
        <v>0</v>
      </c>
      <c r="J426" s="209">
        <f t="array" ref="J426">IF(I426&gt;0,INDEX(DB,$I426,6),0)</f>
        <v>0</v>
      </c>
      <c r="K426" s="446">
        <f t="shared" si="5"/>
        <v>0</v>
      </c>
      <c r="L426" s="446">
        <f t="shared" si="6"/>
        <v>0</v>
      </c>
      <c r="M426" s="441">
        <f>IF(L426&lt;O426,MinPoints,IF(AND(L426&gt;N426,O426&gt;0),100,+INT(($L426-O426)/P426)+MinPoints))</f>
        <v>10</v>
      </c>
      <c r="N426" s="440">
        <f t="shared" si="7"/>
        <v>4.9</v>
      </c>
      <c r="O426" s="440">
        <f t="shared" si="8"/>
        <v>2.2</v>
      </c>
      <c r="P426" s="440">
        <f t="shared" si="9"/>
        <v>0.03</v>
      </c>
      <c r="Q426">
        <f t="array" ref="Q426">IF(I426&gt;0,INDEX(DB,I426,9),EventIndex)</f>
        <v>6</v>
      </c>
      <c r="S426" s="447">
        <f t="array" ref="S426">INDEX(MINVALUES,$Q426,$K$1)</f>
        <v>2.2</v>
      </c>
      <c r="T426" s="448">
        <f t="array" ref="T426">INDEX(INCVALUES,$Q426,$K$1)</f>
        <v>0.03</v>
      </c>
      <c r="V426">
        <f t="array" ref="V426">+J426+(4*(INDEX(MatchScoreTable,$Q426,20)-1))</f>
        <v>4</v>
      </c>
      <c r="W426" s="442">
        <f t="array" ref="W426">INDEX(INC_MINVALUES,$V426,$K$1)</f>
        <v>0.2</v>
      </c>
      <c r="X426" s="212">
        <f t="array" ref="X426">INDEX(INC_INCVALUES,$V426,$K$1)</f>
        <v>0.02</v>
      </c>
    </row>
    <row r="427" ht="15.75" customHeight="1">
      <c r="A427" s="435"/>
      <c r="B427" s="436"/>
      <c r="C427" s="95" t="str">
        <f t="array" ref="C427">IF(I427&gt;0,INDEX(DB,I427,8),"")</f>
        <v/>
      </c>
      <c r="D427" s="437">
        <f t="shared" si="1"/>
        <v>0</v>
      </c>
      <c r="F427" s="438">
        <f t="shared" si="2"/>
        <v>0</v>
      </c>
      <c r="G427" t="str">
        <f t="shared" si="3"/>
        <v/>
      </c>
      <c r="H427" t="b">
        <f t="shared" si="4"/>
        <v>0</v>
      </c>
      <c r="I427" s="439">
        <f>IF(OR(ISBLANK(A427),ISNA(MATCH(A427&amp;"",AthleteNumbers,0))),0,MATCH(A427&amp;"",AthleteNumbers,0))</f>
        <v>0</v>
      </c>
      <c r="J427" s="209">
        <f t="array" ref="J427">IF(I427&gt;0,INDEX(DB,$I427,6),0)</f>
        <v>0</v>
      </c>
      <c r="K427" s="446">
        <f t="shared" si="5"/>
        <v>0</v>
      </c>
      <c r="L427" s="446">
        <f t="shared" si="6"/>
        <v>0</v>
      </c>
      <c r="M427" s="441">
        <f>IF(L427&lt;O427,MinPoints,IF(AND(L427&gt;N427,O427&gt;0),100,+INT(($L427-O427)/P427)+MinPoints))</f>
        <v>10</v>
      </c>
      <c r="N427" s="440">
        <f t="shared" si="7"/>
        <v>4.9</v>
      </c>
      <c r="O427" s="440">
        <f t="shared" si="8"/>
        <v>2.2</v>
      </c>
      <c r="P427" s="440">
        <f t="shared" si="9"/>
        <v>0.03</v>
      </c>
      <c r="Q427">
        <f t="array" ref="Q427">IF(I427&gt;0,INDEX(DB,I427,9),EventIndex)</f>
        <v>6</v>
      </c>
      <c r="S427" s="447">
        <f t="array" ref="S427">INDEX(MINVALUES,$Q427,$K$1)</f>
        <v>2.2</v>
      </c>
      <c r="T427" s="448">
        <f t="array" ref="T427">INDEX(INCVALUES,$Q427,$K$1)</f>
        <v>0.03</v>
      </c>
      <c r="V427">
        <f t="array" ref="V427">+J427+(4*(INDEX(MatchScoreTable,$Q427,20)-1))</f>
        <v>4</v>
      </c>
      <c r="W427" s="442">
        <f t="array" ref="W427">INDEX(INC_MINVALUES,$V427,$K$1)</f>
        <v>0.2</v>
      </c>
      <c r="X427" s="212">
        <f t="array" ref="X427">INDEX(INC_INCVALUES,$V427,$K$1)</f>
        <v>0.02</v>
      </c>
    </row>
    <row r="428" ht="15.75" customHeight="1">
      <c r="A428" s="435"/>
      <c r="B428" s="436"/>
      <c r="C428" s="95" t="str">
        <f t="array" ref="C428">IF(I428&gt;0,INDEX(DB,I428,8),"")</f>
        <v/>
      </c>
      <c r="D428" s="437">
        <f t="shared" si="1"/>
        <v>0</v>
      </c>
      <c r="F428" s="438">
        <f t="shared" si="2"/>
        <v>0</v>
      </c>
      <c r="G428" t="str">
        <f t="shared" si="3"/>
        <v/>
      </c>
      <c r="H428" t="b">
        <f t="shared" si="4"/>
        <v>0</v>
      </c>
      <c r="I428" s="439">
        <f>IF(OR(ISBLANK(A428),ISNA(MATCH(A428&amp;"",AthleteNumbers,0))),0,MATCH(A428&amp;"",AthleteNumbers,0))</f>
        <v>0</v>
      </c>
      <c r="J428" s="209">
        <f t="array" ref="J428">IF(I428&gt;0,INDEX(DB,$I428,6),0)</f>
        <v>0</v>
      </c>
      <c r="K428" s="446">
        <f t="shared" si="5"/>
        <v>0</v>
      </c>
      <c r="L428" s="446">
        <f t="shared" si="6"/>
        <v>0</v>
      </c>
      <c r="M428" s="441">
        <f>IF(L428&lt;O428,MinPoints,IF(AND(L428&gt;N428,O428&gt;0),100,+INT(($L428-O428)/P428)+MinPoints))</f>
        <v>10</v>
      </c>
      <c r="N428" s="440">
        <f t="shared" si="7"/>
        <v>4.9</v>
      </c>
      <c r="O428" s="440">
        <f t="shared" si="8"/>
        <v>2.2</v>
      </c>
      <c r="P428" s="440">
        <f t="shared" si="9"/>
        <v>0.03</v>
      </c>
      <c r="Q428">
        <f t="array" ref="Q428">IF(I428&gt;0,INDEX(DB,I428,9),EventIndex)</f>
        <v>6</v>
      </c>
      <c r="S428" s="447">
        <f t="array" ref="S428">INDEX(MINVALUES,$Q428,$K$1)</f>
        <v>2.2</v>
      </c>
      <c r="T428" s="448">
        <f t="array" ref="T428">INDEX(INCVALUES,$Q428,$K$1)</f>
        <v>0.03</v>
      </c>
      <c r="V428">
        <f t="array" ref="V428">+J428+(4*(INDEX(MatchScoreTable,$Q428,20)-1))</f>
        <v>4</v>
      </c>
      <c r="W428" s="442">
        <f t="array" ref="W428">INDEX(INC_MINVALUES,$V428,$K$1)</f>
        <v>0.2</v>
      </c>
      <c r="X428" s="212">
        <f t="array" ref="X428">INDEX(INC_INCVALUES,$V428,$K$1)</f>
        <v>0.02</v>
      </c>
    </row>
    <row r="429" ht="15.75" customHeight="1">
      <c r="A429" s="435"/>
      <c r="B429" s="436"/>
      <c r="C429" s="95" t="str">
        <f t="array" ref="C429">IF(I429&gt;0,INDEX(DB,I429,8),"")</f>
        <v/>
      </c>
      <c r="D429" s="437">
        <f t="shared" si="1"/>
        <v>0</v>
      </c>
      <c r="F429" s="438">
        <f t="shared" si="2"/>
        <v>0</v>
      </c>
      <c r="G429" t="str">
        <f t="shared" si="3"/>
        <v/>
      </c>
      <c r="H429" t="b">
        <f t="shared" si="4"/>
        <v>0</v>
      </c>
      <c r="I429" s="439">
        <f>IF(OR(ISBLANK(A429),ISNA(MATCH(A429&amp;"",AthleteNumbers,0))),0,MATCH(A429&amp;"",AthleteNumbers,0))</f>
        <v>0</v>
      </c>
      <c r="J429" s="209">
        <f t="array" ref="J429">IF(I429&gt;0,INDEX(DB,$I429,6),0)</f>
        <v>0</v>
      </c>
      <c r="K429" s="446">
        <f t="shared" si="5"/>
        <v>0</v>
      </c>
      <c r="L429" s="446">
        <f t="shared" si="6"/>
        <v>0</v>
      </c>
      <c r="M429" s="441">
        <f>IF(L429&lt;O429,MinPoints,IF(AND(L429&gt;N429,O429&gt;0),100,+INT(($L429-O429)/P429)+MinPoints))</f>
        <v>10</v>
      </c>
      <c r="N429" s="440">
        <f t="shared" si="7"/>
        <v>4.9</v>
      </c>
      <c r="O429" s="440">
        <f t="shared" si="8"/>
        <v>2.2</v>
      </c>
      <c r="P429" s="440">
        <f t="shared" si="9"/>
        <v>0.03</v>
      </c>
      <c r="Q429">
        <f t="array" ref="Q429">IF(I429&gt;0,INDEX(DB,I429,9),EventIndex)</f>
        <v>6</v>
      </c>
      <c r="S429" s="447">
        <f t="array" ref="S429">INDEX(MINVALUES,$Q429,$K$1)</f>
        <v>2.2</v>
      </c>
      <c r="T429" s="448">
        <f t="array" ref="T429">INDEX(INCVALUES,$Q429,$K$1)</f>
        <v>0.03</v>
      </c>
      <c r="V429">
        <f t="array" ref="V429">+J429+(4*(INDEX(MatchScoreTable,$Q429,20)-1))</f>
        <v>4</v>
      </c>
      <c r="W429" s="442">
        <f t="array" ref="W429">INDEX(INC_MINVALUES,$V429,$K$1)</f>
        <v>0.2</v>
      </c>
      <c r="X429" s="212">
        <f t="array" ref="X429">INDEX(INC_INCVALUES,$V429,$K$1)</f>
        <v>0.02</v>
      </c>
    </row>
    <row r="430" ht="15.75" customHeight="1">
      <c r="A430" s="435"/>
      <c r="B430" s="436"/>
      <c r="C430" s="95" t="str">
        <f t="array" ref="C430">IF(I430&gt;0,INDEX(DB,I430,8),"")</f>
        <v/>
      </c>
      <c r="D430" s="437">
        <f t="shared" si="1"/>
        <v>0</v>
      </c>
      <c r="F430" s="438">
        <f t="shared" si="2"/>
        <v>0</v>
      </c>
      <c r="G430" t="str">
        <f t="shared" si="3"/>
        <v/>
      </c>
      <c r="H430" t="b">
        <f t="shared" si="4"/>
        <v>0</v>
      </c>
      <c r="I430" s="439">
        <f>IF(OR(ISBLANK(A430),ISNA(MATCH(A430&amp;"",AthleteNumbers,0))),0,MATCH(A430&amp;"",AthleteNumbers,0))</f>
        <v>0</v>
      </c>
      <c r="J430" s="209">
        <f t="array" ref="J430">IF(I430&gt;0,INDEX(DB,$I430,6),0)</f>
        <v>0</v>
      </c>
      <c r="K430" s="446">
        <f t="shared" si="5"/>
        <v>0</v>
      </c>
      <c r="L430" s="446">
        <f t="shared" si="6"/>
        <v>0</v>
      </c>
      <c r="M430" s="441">
        <f>IF(L430&lt;O430,MinPoints,IF(AND(L430&gt;N430,O430&gt;0),100,+INT(($L430-O430)/P430)+MinPoints))</f>
        <v>10</v>
      </c>
      <c r="N430" s="440">
        <f t="shared" si="7"/>
        <v>4.9</v>
      </c>
      <c r="O430" s="440">
        <f t="shared" si="8"/>
        <v>2.2</v>
      </c>
      <c r="P430" s="440">
        <f t="shared" si="9"/>
        <v>0.03</v>
      </c>
      <c r="Q430">
        <f t="array" ref="Q430">IF(I430&gt;0,INDEX(DB,I430,9),EventIndex)</f>
        <v>6</v>
      </c>
      <c r="S430" s="447">
        <f t="array" ref="S430">INDEX(MINVALUES,$Q430,$K$1)</f>
        <v>2.2</v>
      </c>
      <c r="T430" s="448">
        <f t="array" ref="T430">INDEX(INCVALUES,$Q430,$K$1)</f>
        <v>0.03</v>
      </c>
      <c r="V430">
        <f t="array" ref="V430">+J430+(4*(INDEX(MatchScoreTable,$Q430,20)-1))</f>
        <v>4</v>
      </c>
      <c r="W430" s="442">
        <f t="array" ref="W430">INDEX(INC_MINVALUES,$V430,$K$1)</f>
        <v>0.2</v>
      </c>
      <c r="X430" s="212">
        <f t="array" ref="X430">INDEX(INC_INCVALUES,$V430,$K$1)</f>
        <v>0.02</v>
      </c>
    </row>
    <row r="431" ht="15.75" customHeight="1">
      <c r="A431" s="435"/>
      <c r="B431" s="436"/>
      <c r="C431" s="95" t="str">
        <f t="array" ref="C431">IF(I431&gt;0,INDEX(DB,I431,8),"")</f>
        <v/>
      </c>
      <c r="D431" s="437">
        <f t="shared" si="1"/>
        <v>0</v>
      </c>
      <c r="F431" s="438">
        <f t="shared" si="2"/>
        <v>0</v>
      </c>
      <c r="G431" t="str">
        <f t="shared" si="3"/>
        <v/>
      </c>
      <c r="H431" t="b">
        <f t="shared" si="4"/>
        <v>0</v>
      </c>
      <c r="I431" s="439">
        <f>IF(OR(ISBLANK(A431),ISNA(MATCH(A431&amp;"",AthleteNumbers,0))),0,MATCH(A431&amp;"",AthleteNumbers,0))</f>
        <v>0</v>
      </c>
      <c r="J431" s="209">
        <f t="array" ref="J431">IF(I431&gt;0,INDEX(DB,$I431,6),0)</f>
        <v>0</v>
      </c>
      <c r="K431" s="446">
        <f t="shared" si="5"/>
        <v>0</v>
      </c>
      <c r="L431" s="446">
        <f t="shared" si="6"/>
        <v>0</v>
      </c>
      <c r="M431" s="441">
        <f>IF(L431&lt;O431,MinPoints,IF(AND(L431&gt;N431,O431&gt;0),100,+INT(($L431-O431)/P431)+MinPoints))</f>
        <v>10</v>
      </c>
      <c r="N431" s="440">
        <f t="shared" si="7"/>
        <v>4.9</v>
      </c>
      <c r="O431" s="440">
        <f t="shared" si="8"/>
        <v>2.2</v>
      </c>
      <c r="P431" s="440">
        <f t="shared" si="9"/>
        <v>0.03</v>
      </c>
      <c r="Q431">
        <f t="array" ref="Q431">IF(I431&gt;0,INDEX(DB,I431,9),EventIndex)</f>
        <v>6</v>
      </c>
      <c r="S431" s="447">
        <f t="array" ref="S431">INDEX(MINVALUES,$Q431,$K$1)</f>
        <v>2.2</v>
      </c>
      <c r="T431" s="448">
        <f t="array" ref="T431">INDEX(INCVALUES,$Q431,$K$1)</f>
        <v>0.03</v>
      </c>
      <c r="V431">
        <f t="array" ref="V431">+J431+(4*(INDEX(MatchScoreTable,$Q431,20)-1))</f>
        <v>4</v>
      </c>
      <c r="W431" s="442">
        <f t="array" ref="W431">INDEX(INC_MINVALUES,$V431,$K$1)</f>
        <v>0.2</v>
      </c>
      <c r="X431" s="212">
        <f t="array" ref="X431">INDEX(INC_INCVALUES,$V431,$K$1)</f>
        <v>0.02</v>
      </c>
    </row>
    <row r="432" ht="15.75" customHeight="1">
      <c r="A432" s="435"/>
      <c r="B432" s="436"/>
      <c r="C432" s="95" t="str">
        <f t="array" ref="C432">IF(I432&gt;0,INDEX(DB,I432,8),"")</f>
        <v/>
      </c>
      <c r="D432" s="437">
        <f t="shared" si="1"/>
        <v>0</v>
      </c>
      <c r="F432" s="438">
        <f t="shared" si="2"/>
        <v>0</v>
      </c>
      <c r="G432" t="str">
        <f t="shared" si="3"/>
        <v/>
      </c>
      <c r="H432" t="b">
        <f t="shared" si="4"/>
        <v>0</v>
      </c>
      <c r="I432" s="439">
        <f>IF(OR(ISBLANK(A432),ISNA(MATCH(A432&amp;"",AthleteNumbers,0))),0,MATCH(A432&amp;"",AthleteNumbers,0))</f>
        <v>0</v>
      </c>
      <c r="J432" s="209">
        <f t="array" ref="J432">IF(I432&gt;0,INDEX(DB,$I432,6),0)</f>
        <v>0</v>
      </c>
      <c r="K432" s="446">
        <f t="shared" si="5"/>
        <v>0</v>
      </c>
      <c r="L432" s="446">
        <f t="shared" si="6"/>
        <v>0</v>
      </c>
      <c r="M432" s="441">
        <f>IF(L432&lt;O432,MinPoints,IF(AND(L432&gt;N432,O432&gt;0),100,+INT(($L432-O432)/P432)+MinPoints))</f>
        <v>10</v>
      </c>
      <c r="N432" s="440">
        <f t="shared" si="7"/>
        <v>4.9</v>
      </c>
      <c r="O432" s="440">
        <f t="shared" si="8"/>
        <v>2.2</v>
      </c>
      <c r="P432" s="440">
        <f t="shared" si="9"/>
        <v>0.03</v>
      </c>
      <c r="Q432">
        <f t="array" ref="Q432">IF(I432&gt;0,INDEX(DB,I432,9),EventIndex)</f>
        <v>6</v>
      </c>
      <c r="S432" s="447">
        <f t="array" ref="S432">INDEX(MINVALUES,$Q432,$K$1)</f>
        <v>2.2</v>
      </c>
      <c r="T432" s="448">
        <f t="array" ref="T432">INDEX(INCVALUES,$Q432,$K$1)</f>
        <v>0.03</v>
      </c>
      <c r="V432">
        <f t="array" ref="V432">+J432+(4*(INDEX(MatchScoreTable,$Q432,20)-1))</f>
        <v>4</v>
      </c>
      <c r="W432" s="442">
        <f t="array" ref="W432">INDEX(INC_MINVALUES,$V432,$K$1)</f>
        <v>0.2</v>
      </c>
      <c r="X432" s="212">
        <f t="array" ref="X432">INDEX(INC_INCVALUES,$V432,$K$1)</f>
        <v>0.02</v>
      </c>
    </row>
    <row r="433" ht="15.75" customHeight="1">
      <c r="A433" s="435"/>
      <c r="B433" s="436"/>
      <c r="C433" s="95" t="str">
        <f t="array" ref="C433">IF(I433&gt;0,INDEX(DB,I433,8),"")</f>
        <v/>
      </c>
      <c r="D433" s="437">
        <f t="shared" si="1"/>
        <v>0</v>
      </c>
      <c r="F433" s="438">
        <f t="shared" si="2"/>
        <v>0</v>
      </c>
      <c r="G433" t="str">
        <f t="shared" si="3"/>
        <v/>
      </c>
      <c r="H433" t="b">
        <f t="shared" si="4"/>
        <v>0</v>
      </c>
      <c r="I433" s="439">
        <f>IF(OR(ISBLANK(A433),ISNA(MATCH(A433&amp;"",AthleteNumbers,0))),0,MATCH(A433&amp;"",AthleteNumbers,0))</f>
        <v>0</v>
      </c>
      <c r="J433" s="209">
        <f t="array" ref="J433">IF(I433&gt;0,INDEX(DB,$I433,6),0)</f>
        <v>0</v>
      </c>
      <c r="K433" s="446">
        <f t="shared" si="5"/>
        <v>0</v>
      </c>
      <c r="L433" s="446">
        <f t="shared" si="6"/>
        <v>0</v>
      </c>
      <c r="M433" s="441">
        <f>IF(L433&lt;O433,MinPoints,IF(AND(L433&gt;N433,O433&gt;0),100,+INT(($L433-O433)/P433)+MinPoints))</f>
        <v>10</v>
      </c>
      <c r="N433" s="440">
        <f t="shared" si="7"/>
        <v>4.9</v>
      </c>
      <c r="O433" s="440">
        <f t="shared" si="8"/>
        <v>2.2</v>
      </c>
      <c r="P433" s="440">
        <f t="shared" si="9"/>
        <v>0.03</v>
      </c>
      <c r="Q433">
        <f t="array" ref="Q433">IF(I433&gt;0,INDEX(DB,I433,9),EventIndex)</f>
        <v>6</v>
      </c>
      <c r="S433" s="447">
        <f t="array" ref="S433">INDEX(MINVALUES,$Q433,$K$1)</f>
        <v>2.2</v>
      </c>
      <c r="T433" s="448">
        <f t="array" ref="T433">INDEX(INCVALUES,$Q433,$K$1)</f>
        <v>0.03</v>
      </c>
      <c r="V433">
        <f t="array" ref="V433">+J433+(4*(INDEX(MatchScoreTable,$Q433,20)-1))</f>
        <v>4</v>
      </c>
      <c r="W433" s="442">
        <f t="array" ref="W433">INDEX(INC_MINVALUES,$V433,$K$1)</f>
        <v>0.2</v>
      </c>
      <c r="X433" s="212">
        <f t="array" ref="X433">INDEX(INC_INCVALUES,$V433,$K$1)</f>
        <v>0.02</v>
      </c>
    </row>
    <row r="434" ht="15.75" customHeight="1">
      <c r="A434" s="435"/>
      <c r="B434" s="436"/>
      <c r="C434" s="95" t="str">
        <f t="array" ref="C434">IF(I434&gt;0,INDEX(DB,I434,8),"")</f>
        <v/>
      </c>
      <c r="D434" s="437">
        <f t="shared" si="1"/>
        <v>0</v>
      </c>
      <c r="F434" s="438">
        <f t="shared" si="2"/>
        <v>0</v>
      </c>
      <c r="G434" t="str">
        <f t="shared" si="3"/>
        <v/>
      </c>
      <c r="H434" t="b">
        <f t="shared" si="4"/>
        <v>0</v>
      </c>
      <c r="I434" s="439">
        <f>IF(OR(ISBLANK(A434),ISNA(MATCH(A434&amp;"",AthleteNumbers,0))),0,MATCH(A434&amp;"",AthleteNumbers,0))</f>
        <v>0</v>
      </c>
      <c r="J434" s="209">
        <f t="array" ref="J434">IF(I434&gt;0,INDEX(DB,$I434,6),0)</f>
        <v>0</v>
      </c>
      <c r="K434" s="446">
        <f t="shared" si="5"/>
        <v>0</v>
      </c>
      <c r="L434" s="446">
        <f t="shared" si="6"/>
        <v>0</v>
      </c>
      <c r="M434" s="441">
        <f>IF(L434&lt;O434,MinPoints,IF(AND(L434&gt;N434,O434&gt;0),100,+INT(($L434-O434)/P434)+MinPoints))</f>
        <v>10</v>
      </c>
      <c r="N434" s="440">
        <f t="shared" si="7"/>
        <v>4.9</v>
      </c>
      <c r="O434" s="440">
        <f t="shared" si="8"/>
        <v>2.2</v>
      </c>
      <c r="P434" s="440">
        <f t="shared" si="9"/>
        <v>0.03</v>
      </c>
      <c r="Q434">
        <f t="array" ref="Q434">IF(I434&gt;0,INDEX(DB,I434,9),EventIndex)</f>
        <v>6</v>
      </c>
      <c r="S434" s="447">
        <f t="array" ref="S434">INDEX(MINVALUES,$Q434,$K$1)</f>
        <v>2.2</v>
      </c>
      <c r="T434" s="448">
        <f t="array" ref="T434">INDEX(INCVALUES,$Q434,$K$1)</f>
        <v>0.03</v>
      </c>
      <c r="V434">
        <f t="array" ref="V434">+J434+(4*(INDEX(MatchScoreTable,$Q434,20)-1))</f>
        <v>4</v>
      </c>
      <c r="W434" s="442">
        <f t="array" ref="W434">INDEX(INC_MINVALUES,$V434,$K$1)</f>
        <v>0.2</v>
      </c>
      <c r="X434" s="212">
        <f t="array" ref="X434">INDEX(INC_INCVALUES,$V434,$K$1)</f>
        <v>0.02</v>
      </c>
    </row>
    <row r="435" ht="15.75" customHeight="1">
      <c r="A435" s="435"/>
      <c r="B435" s="436"/>
      <c r="C435" s="95" t="str">
        <f t="array" ref="C435">IF(I435&gt;0,INDEX(DB,I435,8),"")</f>
        <v/>
      </c>
      <c r="D435" s="437">
        <f t="shared" si="1"/>
        <v>0</v>
      </c>
      <c r="F435" s="438">
        <f t="shared" si="2"/>
        <v>0</v>
      </c>
      <c r="G435" t="str">
        <f t="shared" si="3"/>
        <v/>
      </c>
      <c r="H435" t="b">
        <f t="shared" si="4"/>
        <v>0</v>
      </c>
      <c r="I435" s="439">
        <f>IF(OR(ISBLANK(A435),ISNA(MATCH(A435&amp;"",AthleteNumbers,0))),0,MATCH(A435&amp;"",AthleteNumbers,0))</f>
        <v>0</v>
      </c>
      <c r="J435" s="209">
        <f t="array" ref="J435">IF(I435&gt;0,INDEX(DB,$I435,6),0)</f>
        <v>0</v>
      </c>
      <c r="K435" s="446">
        <f t="shared" si="5"/>
        <v>0</v>
      </c>
      <c r="L435" s="446">
        <f t="shared" si="6"/>
        <v>0</v>
      </c>
      <c r="M435" s="441">
        <f>IF(L435&lt;O435,MinPoints,IF(AND(L435&gt;N435,O435&gt;0),100,+INT(($L435-O435)/P435)+MinPoints))</f>
        <v>10</v>
      </c>
      <c r="N435" s="440">
        <f t="shared" si="7"/>
        <v>4.9</v>
      </c>
      <c r="O435" s="440">
        <f t="shared" si="8"/>
        <v>2.2</v>
      </c>
      <c r="P435" s="440">
        <f t="shared" si="9"/>
        <v>0.03</v>
      </c>
      <c r="Q435">
        <f t="array" ref="Q435">IF(I435&gt;0,INDEX(DB,I435,9),EventIndex)</f>
        <v>6</v>
      </c>
      <c r="S435" s="447">
        <f t="array" ref="S435">INDEX(MINVALUES,$Q435,$K$1)</f>
        <v>2.2</v>
      </c>
      <c r="T435" s="448">
        <f t="array" ref="T435">INDEX(INCVALUES,$Q435,$K$1)</f>
        <v>0.03</v>
      </c>
      <c r="V435">
        <f t="array" ref="V435">+J435+(4*(INDEX(MatchScoreTable,$Q435,20)-1))</f>
        <v>4</v>
      </c>
      <c r="W435" s="442">
        <f t="array" ref="W435">INDEX(INC_MINVALUES,$V435,$K$1)</f>
        <v>0.2</v>
      </c>
      <c r="X435" s="212">
        <f t="array" ref="X435">INDEX(INC_INCVALUES,$V435,$K$1)</f>
        <v>0.02</v>
      </c>
    </row>
    <row r="436" ht="15.75" customHeight="1">
      <c r="A436" s="435"/>
      <c r="B436" s="436"/>
      <c r="C436" s="95" t="str">
        <f t="array" ref="C436">IF(I436&gt;0,INDEX(DB,I436,8),"")</f>
        <v/>
      </c>
      <c r="D436" s="437">
        <f t="shared" si="1"/>
        <v>0</v>
      </c>
      <c r="F436" s="438">
        <f t="shared" si="2"/>
        <v>0</v>
      </c>
      <c r="G436" t="str">
        <f t="shared" si="3"/>
        <v/>
      </c>
      <c r="H436" t="b">
        <f t="shared" si="4"/>
        <v>0</v>
      </c>
      <c r="I436" s="439">
        <f>IF(OR(ISBLANK(A436),ISNA(MATCH(A436&amp;"",AthleteNumbers,0))),0,MATCH(A436&amp;"",AthleteNumbers,0))</f>
        <v>0</v>
      </c>
      <c r="J436" s="209">
        <f t="array" ref="J436">IF(I436&gt;0,INDEX(DB,$I436,6),0)</f>
        <v>0</v>
      </c>
      <c r="K436" s="446">
        <f t="shared" si="5"/>
        <v>0</v>
      </c>
      <c r="L436" s="446">
        <f t="shared" si="6"/>
        <v>0</v>
      </c>
      <c r="M436" s="441">
        <f>IF(L436&lt;O436,MinPoints,IF(AND(L436&gt;N436,O436&gt;0),100,+INT(($L436-O436)/P436)+MinPoints))</f>
        <v>10</v>
      </c>
      <c r="N436" s="440">
        <f t="shared" si="7"/>
        <v>4.9</v>
      </c>
      <c r="O436" s="440">
        <f t="shared" si="8"/>
        <v>2.2</v>
      </c>
      <c r="P436" s="440">
        <f t="shared" si="9"/>
        <v>0.03</v>
      </c>
      <c r="Q436">
        <f t="array" ref="Q436">IF(I436&gt;0,INDEX(DB,I436,9),EventIndex)</f>
        <v>6</v>
      </c>
      <c r="S436" s="447">
        <f t="array" ref="S436">INDEX(MINVALUES,$Q436,$K$1)</f>
        <v>2.2</v>
      </c>
      <c r="T436" s="448">
        <f t="array" ref="T436">INDEX(INCVALUES,$Q436,$K$1)</f>
        <v>0.03</v>
      </c>
      <c r="V436">
        <f t="array" ref="V436">+J436+(4*(INDEX(MatchScoreTable,$Q436,20)-1))</f>
        <v>4</v>
      </c>
      <c r="W436" s="442">
        <f t="array" ref="W436">INDEX(INC_MINVALUES,$V436,$K$1)</f>
        <v>0.2</v>
      </c>
      <c r="X436" s="212">
        <f t="array" ref="X436">INDEX(INC_INCVALUES,$V436,$K$1)</f>
        <v>0.02</v>
      </c>
    </row>
    <row r="437" ht="15.75" customHeight="1">
      <c r="A437" s="435"/>
      <c r="B437" s="436"/>
      <c r="C437" s="95" t="str">
        <f t="array" ref="C437">IF(I437&gt;0,INDEX(DB,I437,8),"")</f>
        <v/>
      </c>
      <c r="D437" s="437">
        <f t="shared" si="1"/>
        <v>0</v>
      </c>
      <c r="F437" s="438">
        <f t="shared" si="2"/>
        <v>0</v>
      </c>
      <c r="G437" t="str">
        <f t="shared" si="3"/>
        <v/>
      </c>
      <c r="H437" t="b">
        <f t="shared" si="4"/>
        <v>0</v>
      </c>
      <c r="I437" s="439">
        <f>IF(OR(ISBLANK(A437),ISNA(MATCH(A437&amp;"",AthleteNumbers,0))),0,MATCH(A437&amp;"",AthleteNumbers,0))</f>
        <v>0</v>
      </c>
      <c r="J437" s="209">
        <f t="array" ref="J437">IF(I437&gt;0,INDEX(DB,$I437,6),0)</f>
        <v>0</v>
      </c>
      <c r="K437" s="446">
        <f t="shared" si="5"/>
        <v>0</v>
      </c>
      <c r="L437" s="446">
        <f t="shared" si="6"/>
        <v>0</v>
      </c>
      <c r="M437" s="441">
        <f>IF(L437&lt;O437,MinPoints,IF(AND(L437&gt;N437,O437&gt;0),100,+INT(($L437-O437)/P437)+MinPoints))</f>
        <v>10</v>
      </c>
      <c r="N437" s="440">
        <f t="shared" si="7"/>
        <v>4.9</v>
      </c>
      <c r="O437" s="440">
        <f t="shared" si="8"/>
        <v>2.2</v>
      </c>
      <c r="P437" s="440">
        <f t="shared" si="9"/>
        <v>0.03</v>
      </c>
      <c r="Q437">
        <f t="array" ref="Q437">IF(I437&gt;0,INDEX(DB,I437,9),EventIndex)</f>
        <v>6</v>
      </c>
      <c r="S437" s="447">
        <f t="array" ref="S437">INDEX(MINVALUES,$Q437,$K$1)</f>
        <v>2.2</v>
      </c>
      <c r="T437" s="448">
        <f t="array" ref="T437">INDEX(INCVALUES,$Q437,$K$1)</f>
        <v>0.03</v>
      </c>
      <c r="V437">
        <f t="array" ref="V437">+J437+(4*(INDEX(MatchScoreTable,$Q437,20)-1))</f>
        <v>4</v>
      </c>
      <c r="W437" s="442">
        <f t="array" ref="W437">INDEX(INC_MINVALUES,$V437,$K$1)</f>
        <v>0.2</v>
      </c>
      <c r="X437" s="212">
        <f t="array" ref="X437">INDEX(INC_INCVALUES,$V437,$K$1)</f>
        <v>0.02</v>
      </c>
    </row>
    <row r="438" ht="15.75" customHeight="1">
      <c r="A438" s="435"/>
      <c r="B438" s="436"/>
      <c r="C438" s="95" t="str">
        <f t="array" ref="C438">IF(I438&gt;0,INDEX(DB,I438,8),"")</f>
        <v/>
      </c>
      <c r="D438" s="437">
        <f t="shared" si="1"/>
        <v>0</v>
      </c>
      <c r="F438" s="438">
        <f t="shared" si="2"/>
        <v>0</v>
      </c>
      <c r="G438" t="str">
        <f t="shared" si="3"/>
        <v/>
      </c>
      <c r="H438" t="b">
        <f t="shared" si="4"/>
        <v>0</v>
      </c>
      <c r="I438" s="439">
        <f>IF(OR(ISBLANK(A438),ISNA(MATCH(A438&amp;"",AthleteNumbers,0))),0,MATCH(A438&amp;"",AthleteNumbers,0))</f>
        <v>0</v>
      </c>
      <c r="J438" s="209">
        <f t="array" ref="J438">IF(I438&gt;0,INDEX(DB,$I438,6),0)</f>
        <v>0</v>
      </c>
      <c r="K438" s="446">
        <f t="shared" si="5"/>
        <v>0</v>
      </c>
      <c r="L438" s="446">
        <f t="shared" si="6"/>
        <v>0</v>
      </c>
      <c r="M438" s="441">
        <f>IF(L438&lt;O438,MinPoints,IF(AND(L438&gt;N438,O438&gt;0),100,+INT(($L438-O438)/P438)+MinPoints))</f>
        <v>10</v>
      </c>
      <c r="N438" s="440">
        <f t="shared" si="7"/>
        <v>4.9</v>
      </c>
      <c r="O438" s="440">
        <f t="shared" si="8"/>
        <v>2.2</v>
      </c>
      <c r="P438" s="440">
        <f t="shared" si="9"/>
        <v>0.03</v>
      </c>
      <c r="Q438">
        <f t="array" ref="Q438">IF(I438&gt;0,INDEX(DB,I438,9),EventIndex)</f>
        <v>6</v>
      </c>
      <c r="S438" s="447">
        <f t="array" ref="S438">INDEX(MINVALUES,$Q438,$K$1)</f>
        <v>2.2</v>
      </c>
      <c r="T438" s="448">
        <f t="array" ref="T438">INDEX(INCVALUES,$Q438,$K$1)</f>
        <v>0.03</v>
      </c>
      <c r="V438">
        <f t="array" ref="V438">+J438+(4*(INDEX(MatchScoreTable,$Q438,20)-1))</f>
        <v>4</v>
      </c>
      <c r="W438" s="442">
        <f t="array" ref="W438">INDEX(INC_MINVALUES,$V438,$K$1)</f>
        <v>0.2</v>
      </c>
      <c r="X438" s="212">
        <f t="array" ref="X438">INDEX(INC_INCVALUES,$V438,$K$1)</f>
        <v>0.02</v>
      </c>
    </row>
    <row r="439" ht="15.75" customHeight="1">
      <c r="A439" s="435"/>
      <c r="B439" s="436"/>
      <c r="C439" s="95" t="str">
        <f t="array" ref="C439">IF(I439&gt;0,INDEX(DB,I439,8),"")</f>
        <v/>
      </c>
      <c r="D439" s="437">
        <f t="shared" si="1"/>
        <v>0</v>
      </c>
      <c r="F439" s="438">
        <f t="shared" si="2"/>
        <v>0</v>
      </c>
      <c r="G439" t="str">
        <f t="shared" si="3"/>
        <v/>
      </c>
      <c r="H439" t="b">
        <f t="shared" si="4"/>
        <v>0</v>
      </c>
      <c r="I439" s="439">
        <f>IF(OR(ISBLANK(A439),ISNA(MATCH(A439&amp;"",AthleteNumbers,0))),0,MATCH(A439&amp;"",AthleteNumbers,0))</f>
        <v>0</v>
      </c>
      <c r="J439" s="209">
        <f t="array" ref="J439">IF(I439&gt;0,INDEX(DB,$I439,6),0)</f>
        <v>0</v>
      </c>
      <c r="K439" s="446">
        <f t="shared" si="5"/>
        <v>0</v>
      </c>
      <c r="L439" s="446">
        <f t="shared" si="6"/>
        <v>0</v>
      </c>
      <c r="M439" s="441">
        <f>IF(L439&lt;O439,MinPoints,IF(AND(L439&gt;N439,O439&gt;0),100,+INT(($L439-O439)/P439)+MinPoints))</f>
        <v>10</v>
      </c>
      <c r="N439" s="440">
        <f t="shared" si="7"/>
        <v>4.9</v>
      </c>
      <c r="O439" s="440">
        <f t="shared" si="8"/>
        <v>2.2</v>
      </c>
      <c r="P439" s="440">
        <f t="shared" si="9"/>
        <v>0.03</v>
      </c>
      <c r="Q439">
        <f t="array" ref="Q439">IF(I439&gt;0,INDEX(DB,I439,9),EventIndex)</f>
        <v>6</v>
      </c>
      <c r="S439" s="447">
        <f t="array" ref="S439">INDEX(MINVALUES,$Q439,$K$1)</f>
        <v>2.2</v>
      </c>
      <c r="T439" s="448">
        <f t="array" ref="T439">INDEX(INCVALUES,$Q439,$K$1)</f>
        <v>0.03</v>
      </c>
      <c r="V439">
        <f t="array" ref="V439">+J439+(4*(INDEX(MatchScoreTable,$Q439,20)-1))</f>
        <v>4</v>
      </c>
      <c r="W439" s="442">
        <f t="array" ref="W439">INDEX(INC_MINVALUES,$V439,$K$1)</f>
        <v>0.2</v>
      </c>
      <c r="X439" s="212">
        <f t="array" ref="X439">INDEX(INC_INCVALUES,$V439,$K$1)</f>
        <v>0.02</v>
      </c>
    </row>
    <row r="440" ht="15.75" customHeight="1">
      <c r="A440" s="435"/>
      <c r="B440" s="436"/>
      <c r="C440" s="95" t="str">
        <f t="array" ref="C440">IF(I440&gt;0,INDEX(DB,I440,8),"")</f>
        <v/>
      </c>
      <c r="D440" s="437">
        <f t="shared" si="1"/>
        <v>0</v>
      </c>
      <c r="F440" s="438">
        <f t="shared" si="2"/>
        <v>0</v>
      </c>
      <c r="G440" t="str">
        <f t="shared" si="3"/>
        <v/>
      </c>
      <c r="H440" t="b">
        <f t="shared" si="4"/>
        <v>0</v>
      </c>
      <c r="I440" s="439">
        <f>IF(OR(ISBLANK(A440),ISNA(MATCH(A440&amp;"",AthleteNumbers,0))),0,MATCH(A440&amp;"",AthleteNumbers,0))</f>
        <v>0</v>
      </c>
      <c r="J440" s="209">
        <f t="array" ref="J440">IF(I440&gt;0,INDEX(DB,$I440,6),0)</f>
        <v>0</v>
      </c>
      <c r="K440" s="446">
        <f t="shared" si="5"/>
        <v>0</v>
      </c>
      <c r="L440" s="446">
        <f t="shared" si="6"/>
        <v>0</v>
      </c>
      <c r="M440" s="441">
        <f>IF(L440&lt;O440,MinPoints,IF(AND(L440&gt;N440,O440&gt;0),100,+INT(($L440-O440)/P440)+MinPoints))</f>
        <v>10</v>
      </c>
      <c r="N440" s="440">
        <f t="shared" si="7"/>
        <v>4.9</v>
      </c>
      <c r="O440" s="440">
        <f t="shared" si="8"/>
        <v>2.2</v>
      </c>
      <c r="P440" s="440">
        <f t="shared" si="9"/>
        <v>0.03</v>
      </c>
      <c r="Q440">
        <f t="array" ref="Q440">IF(I440&gt;0,INDEX(DB,I440,9),EventIndex)</f>
        <v>6</v>
      </c>
      <c r="S440" s="447">
        <f t="array" ref="S440">INDEX(MINVALUES,$Q440,$K$1)</f>
        <v>2.2</v>
      </c>
      <c r="T440" s="448">
        <f t="array" ref="T440">INDEX(INCVALUES,$Q440,$K$1)</f>
        <v>0.03</v>
      </c>
      <c r="V440">
        <f t="array" ref="V440">+J440+(4*(INDEX(MatchScoreTable,$Q440,20)-1))</f>
        <v>4</v>
      </c>
      <c r="W440" s="442">
        <f t="array" ref="W440">INDEX(INC_MINVALUES,$V440,$K$1)</f>
        <v>0.2</v>
      </c>
      <c r="X440" s="212">
        <f t="array" ref="X440">INDEX(INC_INCVALUES,$V440,$K$1)</f>
        <v>0.02</v>
      </c>
    </row>
    <row r="441" ht="15.75" customHeight="1">
      <c r="A441" s="435"/>
      <c r="B441" s="436"/>
      <c r="C441" s="95" t="str">
        <f t="array" ref="C441">IF(I441&gt;0,INDEX(DB,I441,8),"")</f>
        <v/>
      </c>
      <c r="D441" s="437">
        <f t="shared" si="1"/>
        <v>0</v>
      </c>
      <c r="F441" s="438">
        <f t="shared" si="2"/>
        <v>0</v>
      </c>
      <c r="G441" t="str">
        <f t="shared" si="3"/>
        <v/>
      </c>
      <c r="H441" t="b">
        <f t="shared" si="4"/>
        <v>0</v>
      </c>
      <c r="I441" s="439">
        <f>IF(OR(ISBLANK(A441),ISNA(MATCH(A441&amp;"",AthleteNumbers,0))),0,MATCH(A441&amp;"",AthleteNumbers,0))</f>
        <v>0</v>
      </c>
      <c r="J441" s="209">
        <f t="array" ref="J441">IF(I441&gt;0,INDEX(DB,$I441,6),0)</f>
        <v>0</v>
      </c>
      <c r="K441" s="446">
        <f t="shared" si="5"/>
        <v>0</v>
      </c>
      <c r="L441" s="446">
        <f t="shared" si="6"/>
        <v>0</v>
      </c>
      <c r="M441" s="441">
        <f>IF(L441&lt;O441,MinPoints,IF(AND(L441&gt;N441,O441&gt;0),100,+INT(($L441-O441)/P441)+MinPoints))</f>
        <v>10</v>
      </c>
      <c r="N441" s="440">
        <f t="shared" si="7"/>
        <v>4.9</v>
      </c>
      <c r="O441" s="440">
        <f t="shared" si="8"/>
        <v>2.2</v>
      </c>
      <c r="P441" s="440">
        <f t="shared" si="9"/>
        <v>0.03</v>
      </c>
      <c r="Q441">
        <f t="array" ref="Q441">IF(I441&gt;0,INDEX(DB,I441,9),EventIndex)</f>
        <v>6</v>
      </c>
      <c r="S441" s="447">
        <f t="array" ref="S441">INDEX(MINVALUES,$Q441,$K$1)</f>
        <v>2.2</v>
      </c>
      <c r="T441" s="448">
        <f t="array" ref="T441">INDEX(INCVALUES,$Q441,$K$1)</f>
        <v>0.03</v>
      </c>
      <c r="V441">
        <f t="array" ref="V441">+J441+(4*(INDEX(MatchScoreTable,$Q441,20)-1))</f>
        <v>4</v>
      </c>
      <c r="W441" s="442">
        <f t="array" ref="W441">INDEX(INC_MINVALUES,$V441,$K$1)</f>
        <v>0.2</v>
      </c>
      <c r="X441" s="212">
        <f t="array" ref="X441">INDEX(INC_INCVALUES,$V441,$K$1)</f>
        <v>0.02</v>
      </c>
    </row>
    <row r="442" ht="15.75" customHeight="1">
      <c r="A442" s="435"/>
      <c r="B442" s="436"/>
      <c r="C442" s="95" t="str">
        <f t="array" ref="C442">IF(I442&gt;0,INDEX(DB,I442,8),"")</f>
        <v/>
      </c>
      <c r="D442" s="437">
        <f t="shared" si="1"/>
        <v>0</v>
      </c>
      <c r="F442" s="438">
        <f t="shared" si="2"/>
        <v>0</v>
      </c>
      <c r="G442" t="str">
        <f t="shared" si="3"/>
        <v/>
      </c>
      <c r="H442" t="b">
        <f t="shared" si="4"/>
        <v>0</v>
      </c>
      <c r="I442" s="439">
        <f>IF(OR(ISBLANK(A442),ISNA(MATCH(A442&amp;"",AthleteNumbers,0))),0,MATCH(A442&amp;"",AthleteNumbers,0))</f>
        <v>0</v>
      </c>
      <c r="J442" s="209">
        <f t="array" ref="J442">IF(I442&gt;0,INDEX(DB,$I442,6),0)</f>
        <v>0</v>
      </c>
      <c r="K442" s="446">
        <f t="shared" si="5"/>
        <v>0</v>
      </c>
      <c r="L442" s="446">
        <f t="shared" si="6"/>
        <v>0</v>
      </c>
      <c r="M442" s="441">
        <f>IF(L442&lt;O442,MinPoints,IF(AND(L442&gt;N442,O442&gt;0),100,+INT(($L442-O442)/P442)+MinPoints))</f>
        <v>10</v>
      </c>
      <c r="N442" s="440">
        <f t="shared" si="7"/>
        <v>4.9</v>
      </c>
      <c r="O442" s="440">
        <f t="shared" si="8"/>
        <v>2.2</v>
      </c>
      <c r="P442" s="440">
        <f t="shared" si="9"/>
        <v>0.03</v>
      </c>
      <c r="Q442">
        <f t="array" ref="Q442">IF(I442&gt;0,INDEX(DB,I442,9),EventIndex)</f>
        <v>6</v>
      </c>
      <c r="S442" s="447">
        <f t="array" ref="S442">INDEX(MINVALUES,$Q442,$K$1)</f>
        <v>2.2</v>
      </c>
      <c r="T442" s="448">
        <f t="array" ref="T442">INDEX(INCVALUES,$Q442,$K$1)</f>
        <v>0.03</v>
      </c>
      <c r="V442">
        <f t="array" ref="V442">+J442+(4*(INDEX(MatchScoreTable,$Q442,20)-1))</f>
        <v>4</v>
      </c>
      <c r="W442" s="442">
        <f t="array" ref="W442">INDEX(INC_MINVALUES,$V442,$K$1)</f>
        <v>0.2</v>
      </c>
      <c r="X442" s="212">
        <f t="array" ref="X442">INDEX(INC_INCVALUES,$V442,$K$1)</f>
        <v>0.02</v>
      </c>
    </row>
    <row r="443" ht="15.75" customHeight="1">
      <c r="A443" s="435"/>
      <c r="B443" s="436"/>
      <c r="C443" s="95" t="str">
        <f t="array" ref="C443">IF(I443&gt;0,INDEX(DB,I443,8),"")</f>
        <v/>
      </c>
      <c r="D443" s="437">
        <f t="shared" si="1"/>
        <v>0</v>
      </c>
      <c r="F443" s="438">
        <f t="shared" si="2"/>
        <v>0</v>
      </c>
      <c r="G443" t="str">
        <f t="shared" si="3"/>
        <v/>
      </c>
      <c r="H443" t="b">
        <f t="shared" si="4"/>
        <v>0</v>
      </c>
      <c r="I443" s="439">
        <f>IF(OR(ISBLANK(A443),ISNA(MATCH(A443&amp;"",AthleteNumbers,0))),0,MATCH(A443&amp;"",AthleteNumbers,0))</f>
        <v>0</v>
      </c>
      <c r="J443" s="209">
        <f t="array" ref="J443">IF(I443&gt;0,INDEX(DB,$I443,6),0)</f>
        <v>0</v>
      </c>
      <c r="K443" s="446">
        <f t="shared" si="5"/>
        <v>0</v>
      </c>
      <c r="L443" s="446">
        <f t="shared" si="6"/>
        <v>0</v>
      </c>
      <c r="M443" s="441">
        <f>IF(L443&lt;O443,MinPoints,IF(AND(L443&gt;N443,O443&gt;0),100,+INT(($L443-O443)/P443)+MinPoints))</f>
        <v>10</v>
      </c>
      <c r="N443" s="440">
        <f t="shared" si="7"/>
        <v>4.9</v>
      </c>
      <c r="O443" s="440">
        <f t="shared" si="8"/>
        <v>2.2</v>
      </c>
      <c r="P443" s="440">
        <f t="shared" si="9"/>
        <v>0.03</v>
      </c>
      <c r="Q443">
        <f t="array" ref="Q443">IF(I443&gt;0,INDEX(DB,I443,9),EventIndex)</f>
        <v>6</v>
      </c>
      <c r="S443" s="447">
        <f t="array" ref="S443">INDEX(MINVALUES,$Q443,$K$1)</f>
        <v>2.2</v>
      </c>
      <c r="T443" s="448">
        <f t="array" ref="T443">INDEX(INCVALUES,$Q443,$K$1)</f>
        <v>0.03</v>
      </c>
      <c r="V443">
        <f t="array" ref="V443">+J443+(4*(INDEX(MatchScoreTable,$Q443,20)-1))</f>
        <v>4</v>
      </c>
      <c r="W443" s="442">
        <f t="array" ref="W443">INDEX(INC_MINVALUES,$V443,$K$1)</f>
        <v>0.2</v>
      </c>
      <c r="X443" s="212">
        <f t="array" ref="X443">INDEX(INC_INCVALUES,$V443,$K$1)</f>
        <v>0.02</v>
      </c>
    </row>
    <row r="444" ht="15.75" customHeight="1">
      <c r="A444" s="435"/>
      <c r="B444" s="436"/>
      <c r="C444" s="95" t="str">
        <f t="array" ref="C444">IF(I444&gt;0,INDEX(DB,I444,8),"")</f>
        <v/>
      </c>
      <c r="D444" s="437">
        <f t="shared" si="1"/>
        <v>0</v>
      </c>
      <c r="F444" s="438">
        <f t="shared" si="2"/>
        <v>0</v>
      </c>
      <c r="G444" t="str">
        <f t="shared" si="3"/>
        <v/>
      </c>
      <c r="H444" t="b">
        <f t="shared" si="4"/>
        <v>0</v>
      </c>
      <c r="I444" s="439">
        <f>IF(OR(ISBLANK(A444),ISNA(MATCH(A444&amp;"",AthleteNumbers,0))),0,MATCH(A444&amp;"",AthleteNumbers,0))</f>
        <v>0</v>
      </c>
      <c r="J444" s="209">
        <f t="array" ref="J444">IF(I444&gt;0,INDEX(DB,$I444,6),0)</f>
        <v>0</v>
      </c>
      <c r="K444" s="446">
        <f t="shared" si="5"/>
        <v>0</v>
      </c>
      <c r="L444" s="446">
        <f t="shared" si="6"/>
        <v>0</v>
      </c>
      <c r="M444" s="441">
        <f>IF(L444&lt;O444,MinPoints,IF(AND(L444&gt;N444,O444&gt;0),100,+INT(($L444-O444)/P444)+MinPoints))</f>
        <v>10</v>
      </c>
      <c r="N444" s="440">
        <f t="shared" si="7"/>
        <v>4.9</v>
      </c>
      <c r="O444" s="440">
        <f t="shared" si="8"/>
        <v>2.2</v>
      </c>
      <c r="P444" s="440">
        <f t="shared" si="9"/>
        <v>0.03</v>
      </c>
      <c r="Q444">
        <f t="array" ref="Q444">IF(I444&gt;0,INDEX(DB,I444,9),EventIndex)</f>
        <v>6</v>
      </c>
      <c r="S444" s="447">
        <f t="array" ref="S444">INDEX(MINVALUES,$Q444,$K$1)</f>
        <v>2.2</v>
      </c>
      <c r="T444" s="448">
        <f t="array" ref="T444">INDEX(INCVALUES,$Q444,$K$1)</f>
        <v>0.03</v>
      </c>
      <c r="V444">
        <f t="array" ref="V444">+J444+(4*(INDEX(MatchScoreTable,$Q444,20)-1))</f>
        <v>4</v>
      </c>
      <c r="W444" s="442">
        <f t="array" ref="W444">INDEX(INC_MINVALUES,$V444,$K$1)</f>
        <v>0.2</v>
      </c>
      <c r="X444" s="212">
        <f t="array" ref="X444">INDEX(INC_INCVALUES,$V444,$K$1)</f>
        <v>0.02</v>
      </c>
    </row>
    <row r="445" ht="15.75" customHeight="1">
      <c r="A445" s="435"/>
      <c r="B445" s="436"/>
      <c r="C445" s="95" t="str">
        <f t="array" ref="C445">IF(I445&gt;0,INDEX(DB,I445,8),"")</f>
        <v/>
      </c>
      <c r="D445" s="437">
        <f t="shared" si="1"/>
        <v>0</v>
      </c>
      <c r="F445" s="438">
        <f t="shared" si="2"/>
        <v>0</v>
      </c>
      <c r="G445" t="str">
        <f t="shared" si="3"/>
        <v/>
      </c>
      <c r="H445" t="b">
        <f t="shared" si="4"/>
        <v>0</v>
      </c>
      <c r="I445" s="439">
        <f>IF(OR(ISBLANK(A445),ISNA(MATCH(A445&amp;"",AthleteNumbers,0))),0,MATCH(A445&amp;"",AthleteNumbers,0))</f>
        <v>0</v>
      </c>
      <c r="J445" s="209">
        <f t="array" ref="J445">IF(I445&gt;0,INDEX(DB,$I445,6),0)</f>
        <v>0</v>
      </c>
      <c r="K445" s="446">
        <f t="shared" si="5"/>
        <v>0</v>
      </c>
      <c r="L445" s="446">
        <f t="shared" si="6"/>
        <v>0</v>
      </c>
      <c r="M445" s="441">
        <f>IF(L445&lt;O445,MinPoints,IF(AND(L445&gt;N445,O445&gt;0),100,+INT(($L445-O445)/P445)+MinPoints))</f>
        <v>10</v>
      </c>
      <c r="N445" s="440">
        <f t="shared" si="7"/>
        <v>4.9</v>
      </c>
      <c r="O445" s="440">
        <f t="shared" si="8"/>
        <v>2.2</v>
      </c>
      <c r="P445" s="440">
        <f t="shared" si="9"/>
        <v>0.03</v>
      </c>
      <c r="Q445">
        <f t="array" ref="Q445">IF(I445&gt;0,INDEX(DB,I445,9),EventIndex)</f>
        <v>6</v>
      </c>
      <c r="S445" s="447">
        <f t="array" ref="S445">INDEX(MINVALUES,$Q445,$K$1)</f>
        <v>2.2</v>
      </c>
      <c r="T445" s="448">
        <f t="array" ref="T445">INDEX(INCVALUES,$Q445,$K$1)</f>
        <v>0.03</v>
      </c>
      <c r="V445">
        <f t="array" ref="V445">+J445+(4*(INDEX(MatchScoreTable,$Q445,20)-1))</f>
        <v>4</v>
      </c>
      <c r="W445" s="442">
        <f t="array" ref="W445">INDEX(INC_MINVALUES,$V445,$K$1)</f>
        <v>0.2</v>
      </c>
      <c r="X445" s="212">
        <f t="array" ref="X445">INDEX(INC_INCVALUES,$V445,$K$1)</f>
        <v>0.02</v>
      </c>
    </row>
    <row r="446" ht="15.75" customHeight="1">
      <c r="A446" s="435"/>
      <c r="B446" s="436"/>
      <c r="C446" s="95" t="str">
        <f t="array" ref="C446">IF(I446&gt;0,INDEX(DB,I446,8),"")</f>
        <v/>
      </c>
      <c r="D446" s="437">
        <f t="shared" si="1"/>
        <v>0</v>
      </c>
      <c r="F446" s="438">
        <f t="shared" si="2"/>
        <v>0</v>
      </c>
      <c r="G446" t="str">
        <f t="shared" si="3"/>
        <v/>
      </c>
      <c r="H446" t="b">
        <f t="shared" si="4"/>
        <v>0</v>
      </c>
      <c r="I446" s="439">
        <f>IF(OR(ISBLANK(A446),ISNA(MATCH(A446&amp;"",AthleteNumbers,0))),0,MATCH(A446&amp;"",AthleteNumbers,0))</f>
        <v>0</v>
      </c>
      <c r="J446" s="209">
        <f t="array" ref="J446">IF(I446&gt;0,INDEX(DB,$I446,6),0)</f>
        <v>0</v>
      </c>
      <c r="K446" s="446">
        <f t="shared" si="5"/>
        <v>0</v>
      </c>
      <c r="L446" s="446">
        <f t="shared" si="6"/>
        <v>0</v>
      </c>
      <c r="M446" s="441">
        <f>IF(L446&lt;O446,MinPoints,IF(AND(L446&gt;N446,O446&gt;0),100,+INT(($L446-O446)/P446)+MinPoints))</f>
        <v>10</v>
      </c>
      <c r="N446" s="440">
        <f t="shared" si="7"/>
        <v>4.9</v>
      </c>
      <c r="O446" s="440">
        <f t="shared" si="8"/>
        <v>2.2</v>
      </c>
      <c r="P446" s="440">
        <f t="shared" si="9"/>
        <v>0.03</v>
      </c>
      <c r="Q446">
        <f t="array" ref="Q446">IF(I446&gt;0,INDEX(DB,I446,9),EventIndex)</f>
        <v>6</v>
      </c>
      <c r="S446" s="447">
        <f t="array" ref="S446">INDEX(MINVALUES,$Q446,$K$1)</f>
        <v>2.2</v>
      </c>
      <c r="T446" s="448">
        <f t="array" ref="T446">INDEX(INCVALUES,$Q446,$K$1)</f>
        <v>0.03</v>
      </c>
      <c r="V446">
        <f t="array" ref="V446">+J446+(4*(INDEX(MatchScoreTable,$Q446,20)-1))</f>
        <v>4</v>
      </c>
      <c r="W446" s="442">
        <f t="array" ref="W446">INDEX(INC_MINVALUES,$V446,$K$1)</f>
        <v>0.2</v>
      </c>
      <c r="X446" s="212">
        <f t="array" ref="X446">INDEX(INC_INCVALUES,$V446,$K$1)</f>
        <v>0.02</v>
      </c>
    </row>
    <row r="447" ht="15.75" customHeight="1">
      <c r="A447" s="435"/>
      <c r="B447" s="436"/>
      <c r="C447" s="95" t="str">
        <f t="array" ref="C447">IF(I447&gt;0,INDEX(DB,I447,8),"")</f>
        <v/>
      </c>
      <c r="D447" s="437">
        <f t="shared" si="1"/>
        <v>0</v>
      </c>
      <c r="F447" s="438">
        <f t="shared" si="2"/>
        <v>0</v>
      </c>
      <c r="G447" t="str">
        <f t="shared" si="3"/>
        <v/>
      </c>
      <c r="H447" t="b">
        <f t="shared" si="4"/>
        <v>0</v>
      </c>
      <c r="I447" s="439">
        <f>IF(OR(ISBLANK(A447),ISNA(MATCH(A447&amp;"",AthleteNumbers,0))),0,MATCH(A447&amp;"",AthleteNumbers,0))</f>
        <v>0</v>
      </c>
      <c r="J447" s="209">
        <f t="array" ref="J447">IF(I447&gt;0,INDEX(DB,$I447,6),0)</f>
        <v>0</v>
      </c>
      <c r="K447" s="446">
        <f t="shared" si="5"/>
        <v>0</v>
      </c>
      <c r="L447" s="446">
        <f t="shared" si="6"/>
        <v>0</v>
      </c>
      <c r="M447" s="441">
        <f>IF(L447&lt;O447,MinPoints,IF(AND(L447&gt;N447,O447&gt;0),100,+INT(($L447-O447)/P447)+MinPoints))</f>
        <v>10</v>
      </c>
      <c r="N447" s="440">
        <f t="shared" si="7"/>
        <v>4.9</v>
      </c>
      <c r="O447" s="440">
        <f t="shared" si="8"/>
        <v>2.2</v>
      </c>
      <c r="P447" s="440">
        <f t="shared" si="9"/>
        <v>0.03</v>
      </c>
      <c r="Q447">
        <f t="array" ref="Q447">IF(I447&gt;0,INDEX(DB,I447,9),EventIndex)</f>
        <v>6</v>
      </c>
      <c r="S447" s="447">
        <f t="array" ref="S447">INDEX(MINVALUES,$Q447,$K$1)</f>
        <v>2.2</v>
      </c>
      <c r="T447" s="448">
        <f t="array" ref="T447">INDEX(INCVALUES,$Q447,$K$1)</f>
        <v>0.03</v>
      </c>
      <c r="V447">
        <f t="array" ref="V447">+J447+(4*(INDEX(MatchScoreTable,$Q447,20)-1))</f>
        <v>4</v>
      </c>
      <c r="W447" s="442">
        <f t="array" ref="W447">INDEX(INC_MINVALUES,$V447,$K$1)</f>
        <v>0.2</v>
      </c>
      <c r="X447" s="212">
        <f t="array" ref="X447">INDEX(INC_INCVALUES,$V447,$K$1)</f>
        <v>0.02</v>
      </c>
    </row>
    <row r="448" ht="15.75" customHeight="1">
      <c r="A448" s="435"/>
      <c r="B448" s="436"/>
      <c r="C448" s="95" t="str">
        <f t="array" ref="C448">IF(I448&gt;0,INDEX(DB,I448,8),"")</f>
        <v/>
      </c>
      <c r="D448" s="437">
        <f t="shared" si="1"/>
        <v>0</v>
      </c>
      <c r="F448" s="438">
        <f t="shared" si="2"/>
        <v>0</v>
      </c>
      <c r="G448" t="str">
        <f t="shared" si="3"/>
        <v/>
      </c>
      <c r="H448" t="b">
        <f t="shared" si="4"/>
        <v>0</v>
      </c>
      <c r="I448" s="439">
        <f>IF(OR(ISBLANK(A448),ISNA(MATCH(A448&amp;"",AthleteNumbers,0))),0,MATCH(A448&amp;"",AthleteNumbers,0))</f>
        <v>0</v>
      </c>
      <c r="J448" s="209">
        <f t="array" ref="J448">IF(I448&gt;0,INDEX(DB,$I448,6),0)</f>
        <v>0</v>
      </c>
      <c r="K448" s="446">
        <f t="shared" si="5"/>
        <v>0</v>
      </c>
      <c r="L448" s="446">
        <f t="shared" si="6"/>
        <v>0</v>
      </c>
      <c r="M448" s="441">
        <f>IF(L448&lt;O448,MinPoints,IF(AND(L448&gt;N448,O448&gt;0),100,+INT(($L448-O448)/P448)+MinPoints))</f>
        <v>10</v>
      </c>
      <c r="N448" s="440">
        <f t="shared" si="7"/>
        <v>4.9</v>
      </c>
      <c r="O448" s="440">
        <f t="shared" si="8"/>
        <v>2.2</v>
      </c>
      <c r="P448" s="440">
        <f t="shared" si="9"/>
        <v>0.03</v>
      </c>
      <c r="Q448">
        <f t="array" ref="Q448">IF(I448&gt;0,INDEX(DB,I448,9),EventIndex)</f>
        <v>6</v>
      </c>
      <c r="S448" s="447">
        <f t="array" ref="S448">INDEX(MINVALUES,$Q448,$K$1)</f>
        <v>2.2</v>
      </c>
      <c r="T448" s="448">
        <f t="array" ref="T448">INDEX(INCVALUES,$Q448,$K$1)</f>
        <v>0.03</v>
      </c>
      <c r="V448">
        <f t="array" ref="V448">+J448+(4*(INDEX(MatchScoreTable,$Q448,20)-1))</f>
        <v>4</v>
      </c>
      <c r="W448" s="442">
        <f t="array" ref="W448">INDEX(INC_MINVALUES,$V448,$K$1)</f>
        <v>0.2</v>
      </c>
      <c r="X448" s="212">
        <f t="array" ref="X448">INDEX(INC_INCVALUES,$V448,$K$1)</f>
        <v>0.02</v>
      </c>
    </row>
    <row r="449" ht="15.75" customHeight="1">
      <c r="A449" s="435"/>
      <c r="B449" s="436"/>
      <c r="C449" s="95" t="str">
        <f t="array" ref="C449">IF(I449&gt;0,INDEX(DB,I449,8),"")</f>
        <v/>
      </c>
      <c r="D449" s="437">
        <f t="shared" si="1"/>
        <v>0</v>
      </c>
      <c r="F449" s="438">
        <f t="shared" si="2"/>
        <v>0</v>
      </c>
      <c r="G449" t="str">
        <f t="shared" si="3"/>
        <v/>
      </c>
      <c r="H449" t="b">
        <f t="shared" si="4"/>
        <v>0</v>
      </c>
      <c r="I449" s="439">
        <f>IF(OR(ISBLANK(A449),ISNA(MATCH(A449&amp;"",AthleteNumbers,0))),0,MATCH(A449&amp;"",AthleteNumbers,0))</f>
        <v>0</v>
      </c>
      <c r="J449" s="209">
        <f t="array" ref="J449">IF(I449&gt;0,INDEX(DB,$I449,6),0)</f>
        <v>0</v>
      </c>
      <c r="K449" s="446">
        <f t="shared" si="5"/>
        <v>0</v>
      </c>
      <c r="L449" s="446">
        <f t="shared" si="6"/>
        <v>0</v>
      </c>
      <c r="M449" s="441">
        <f>IF(L449&lt;O449,MinPoints,IF(AND(L449&gt;N449,O449&gt;0),100,+INT(($L449-O449)/P449)+MinPoints))</f>
        <v>10</v>
      </c>
      <c r="N449" s="440">
        <f t="shared" si="7"/>
        <v>4.9</v>
      </c>
      <c r="O449" s="440">
        <f t="shared" si="8"/>
        <v>2.2</v>
      </c>
      <c r="P449" s="440">
        <f t="shared" si="9"/>
        <v>0.03</v>
      </c>
      <c r="Q449">
        <f t="array" ref="Q449">IF(I449&gt;0,INDEX(DB,I449,9),EventIndex)</f>
        <v>6</v>
      </c>
      <c r="S449" s="447">
        <f t="array" ref="S449">INDEX(MINVALUES,$Q449,$K$1)</f>
        <v>2.2</v>
      </c>
      <c r="T449" s="448">
        <f t="array" ref="T449">INDEX(INCVALUES,$Q449,$K$1)</f>
        <v>0.03</v>
      </c>
      <c r="V449">
        <f t="array" ref="V449">+J449+(4*(INDEX(MatchScoreTable,$Q449,20)-1))</f>
        <v>4</v>
      </c>
      <c r="W449" s="442">
        <f t="array" ref="W449">INDEX(INC_MINVALUES,$V449,$K$1)</f>
        <v>0.2</v>
      </c>
      <c r="X449" s="212">
        <f t="array" ref="X449">INDEX(INC_INCVALUES,$V449,$K$1)</f>
        <v>0.02</v>
      </c>
    </row>
    <row r="450" ht="15.75" customHeight="1">
      <c r="A450" s="435"/>
      <c r="B450" s="436"/>
      <c r="C450" s="95" t="str">
        <f t="array" ref="C450">IF(I450&gt;0,INDEX(DB,I450,8),"")</f>
        <v/>
      </c>
      <c r="D450" s="437">
        <f t="shared" si="1"/>
        <v>0</v>
      </c>
      <c r="F450" s="438">
        <f t="shared" si="2"/>
        <v>0</v>
      </c>
      <c r="G450" t="str">
        <f t="shared" si="3"/>
        <v/>
      </c>
      <c r="H450" t="b">
        <f t="shared" si="4"/>
        <v>0</v>
      </c>
      <c r="I450" s="439">
        <f>IF(OR(ISBLANK(A450),ISNA(MATCH(A450&amp;"",AthleteNumbers,0))),0,MATCH(A450&amp;"",AthleteNumbers,0))</f>
        <v>0</v>
      </c>
      <c r="J450" s="209">
        <f t="array" ref="J450">IF(I450&gt;0,INDEX(DB,$I450,6),0)</f>
        <v>0</v>
      </c>
      <c r="K450" s="446">
        <f t="shared" si="5"/>
        <v>0</v>
      </c>
      <c r="L450" s="446">
        <f t="shared" si="6"/>
        <v>0</v>
      </c>
      <c r="M450" s="441">
        <f>IF(L450&lt;O450,MinPoints,IF(AND(L450&gt;N450,O450&gt;0),100,+INT(($L450-O450)/P450)+MinPoints))</f>
        <v>10</v>
      </c>
      <c r="N450" s="440">
        <f t="shared" si="7"/>
        <v>4.9</v>
      </c>
      <c r="O450" s="440">
        <f t="shared" si="8"/>
        <v>2.2</v>
      </c>
      <c r="P450" s="440">
        <f t="shared" si="9"/>
        <v>0.03</v>
      </c>
      <c r="Q450">
        <f t="array" ref="Q450">IF(I450&gt;0,INDEX(DB,I450,9),EventIndex)</f>
        <v>6</v>
      </c>
      <c r="S450" s="447">
        <f t="array" ref="S450">INDEX(MINVALUES,$Q450,$K$1)</f>
        <v>2.2</v>
      </c>
      <c r="T450" s="448">
        <f t="array" ref="T450">INDEX(INCVALUES,$Q450,$K$1)</f>
        <v>0.03</v>
      </c>
      <c r="V450">
        <f t="array" ref="V450">+J450+(4*(INDEX(MatchScoreTable,$Q450,20)-1))</f>
        <v>4</v>
      </c>
      <c r="W450" s="442">
        <f t="array" ref="W450">INDEX(INC_MINVALUES,$V450,$K$1)</f>
        <v>0.2</v>
      </c>
      <c r="X450" s="212">
        <f t="array" ref="X450">INDEX(INC_INCVALUES,$V450,$K$1)</f>
        <v>0.02</v>
      </c>
    </row>
    <row r="451" ht="15.75" customHeight="1">
      <c r="A451" s="435"/>
      <c r="B451" s="436"/>
      <c r="C451" s="95" t="str">
        <f t="array" ref="C451">IF(I451&gt;0,INDEX(DB,I451,8),"")</f>
        <v/>
      </c>
      <c r="D451" s="437">
        <f t="shared" si="1"/>
        <v>0</v>
      </c>
      <c r="F451" s="438">
        <f t="shared" si="2"/>
        <v>0</v>
      </c>
      <c r="G451" t="str">
        <f t="shared" si="3"/>
        <v/>
      </c>
      <c r="H451" t="b">
        <f t="shared" si="4"/>
        <v>0</v>
      </c>
      <c r="I451" s="439">
        <f>IF(OR(ISBLANK(A451),ISNA(MATCH(A451&amp;"",AthleteNumbers,0))),0,MATCH(A451&amp;"",AthleteNumbers,0))</f>
        <v>0</v>
      </c>
      <c r="J451" s="209">
        <f t="array" ref="J451">IF(I451&gt;0,INDEX(DB,$I451,6),0)</f>
        <v>0</v>
      </c>
      <c r="K451" s="446">
        <f t="shared" si="5"/>
        <v>0</v>
      </c>
      <c r="L451" s="446">
        <f t="shared" si="6"/>
        <v>0</v>
      </c>
      <c r="M451" s="441">
        <f>IF(L451&lt;O451,MinPoints,IF(AND(L451&gt;N451,O451&gt;0),100,+INT(($L451-O451)/P451)+MinPoints))</f>
        <v>10</v>
      </c>
      <c r="N451" s="440">
        <f t="shared" si="7"/>
        <v>4.9</v>
      </c>
      <c r="O451" s="440">
        <f t="shared" si="8"/>
        <v>2.2</v>
      </c>
      <c r="P451" s="440">
        <f t="shared" si="9"/>
        <v>0.03</v>
      </c>
      <c r="Q451">
        <f t="array" ref="Q451">IF(I451&gt;0,INDEX(DB,I451,9),EventIndex)</f>
        <v>6</v>
      </c>
      <c r="S451" s="447">
        <f t="array" ref="S451">INDEX(MINVALUES,$Q451,$K$1)</f>
        <v>2.2</v>
      </c>
      <c r="T451" s="448">
        <f t="array" ref="T451">INDEX(INCVALUES,$Q451,$K$1)</f>
        <v>0.03</v>
      </c>
      <c r="V451">
        <f t="array" ref="V451">+J451+(4*(INDEX(MatchScoreTable,$Q451,20)-1))</f>
        <v>4</v>
      </c>
      <c r="W451" s="442">
        <f t="array" ref="W451">INDEX(INC_MINVALUES,$V451,$K$1)</f>
        <v>0.2</v>
      </c>
      <c r="X451" s="212">
        <f t="array" ref="X451">INDEX(INC_INCVALUES,$V451,$K$1)</f>
        <v>0.02</v>
      </c>
    </row>
    <row r="452" ht="15.75" customHeight="1">
      <c r="A452" s="435"/>
      <c r="B452" s="436"/>
      <c r="C452" s="95" t="str">
        <f t="array" ref="C452">IF(I452&gt;0,INDEX(DB,I452,8),"")</f>
        <v/>
      </c>
      <c r="D452" s="437">
        <f t="shared" si="1"/>
        <v>0</v>
      </c>
      <c r="F452" s="438">
        <f t="shared" si="2"/>
        <v>0</v>
      </c>
      <c r="G452" t="str">
        <f t="shared" si="3"/>
        <v/>
      </c>
      <c r="H452" t="b">
        <f t="shared" si="4"/>
        <v>0</v>
      </c>
      <c r="I452" s="439">
        <f>IF(OR(ISBLANK(A452),ISNA(MATCH(A452&amp;"",AthleteNumbers,0))),0,MATCH(A452&amp;"",AthleteNumbers,0))</f>
        <v>0</v>
      </c>
      <c r="J452" s="209">
        <f t="array" ref="J452">IF(I452&gt;0,INDEX(DB,$I452,6),0)</f>
        <v>0</v>
      </c>
      <c r="K452" s="446">
        <f t="shared" si="5"/>
        <v>0</v>
      </c>
      <c r="L452" s="446">
        <f t="shared" si="6"/>
        <v>0</v>
      </c>
      <c r="M452" s="441">
        <f>IF(L452&lt;O452,MinPoints,IF(AND(L452&gt;N452,O452&gt;0),100,+INT(($L452-O452)/P452)+MinPoints))</f>
        <v>10</v>
      </c>
      <c r="N452" s="440">
        <f t="shared" si="7"/>
        <v>4.9</v>
      </c>
      <c r="O452" s="440">
        <f t="shared" si="8"/>
        <v>2.2</v>
      </c>
      <c r="P452" s="440">
        <f t="shared" si="9"/>
        <v>0.03</v>
      </c>
      <c r="Q452">
        <f t="array" ref="Q452">IF(I452&gt;0,INDEX(DB,I452,9),EventIndex)</f>
        <v>6</v>
      </c>
      <c r="S452" s="447">
        <f t="array" ref="S452">INDEX(MINVALUES,$Q452,$K$1)</f>
        <v>2.2</v>
      </c>
      <c r="T452" s="448">
        <f t="array" ref="T452">INDEX(INCVALUES,$Q452,$K$1)</f>
        <v>0.03</v>
      </c>
      <c r="V452">
        <f t="array" ref="V452">+J452+(4*(INDEX(MatchScoreTable,$Q452,20)-1))</f>
        <v>4</v>
      </c>
      <c r="W452" s="442">
        <f t="array" ref="W452">INDEX(INC_MINVALUES,$V452,$K$1)</f>
        <v>0.2</v>
      </c>
      <c r="X452" s="212">
        <f t="array" ref="X452">INDEX(INC_INCVALUES,$V452,$K$1)</f>
        <v>0.02</v>
      </c>
    </row>
    <row r="453" ht="15.75" customHeight="1">
      <c r="A453" s="435"/>
      <c r="B453" s="436"/>
      <c r="C453" s="95" t="str">
        <f t="array" ref="C453">IF(I453&gt;0,INDEX(DB,I453,8),"")</f>
        <v/>
      </c>
      <c r="D453" s="437">
        <f t="shared" si="1"/>
        <v>0</v>
      </c>
      <c r="F453" s="438">
        <f t="shared" si="2"/>
        <v>0</v>
      </c>
      <c r="G453" t="str">
        <f t="shared" si="3"/>
        <v/>
      </c>
      <c r="H453" t="b">
        <f t="shared" si="4"/>
        <v>0</v>
      </c>
      <c r="I453" s="439">
        <f>IF(OR(ISBLANK(A453),ISNA(MATCH(A453&amp;"",AthleteNumbers,0))),0,MATCH(A453&amp;"",AthleteNumbers,0))</f>
        <v>0</v>
      </c>
      <c r="J453" s="209">
        <f t="array" ref="J453">IF(I453&gt;0,INDEX(DB,$I453,6),0)</f>
        <v>0</v>
      </c>
      <c r="K453" s="446">
        <f t="shared" si="5"/>
        <v>0</v>
      </c>
      <c r="L453" s="446">
        <f t="shared" si="6"/>
        <v>0</v>
      </c>
      <c r="M453" s="441">
        <f>IF(L453&lt;O453,MinPoints,IF(AND(L453&gt;N453,O453&gt;0),100,+INT(($L453-O453)/P453)+MinPoints))</f>
        <v>10</v>
      </c>
      <c r="N453" s="440">
        <f t="shared" si="7"/>
        <v>4.9</v>
      </c>
      <c r="O453" s="440">
        <f t="shared" si="8"/>
        <v>2.2</v>
      </c>
      <c r="P453" s="440">
        <f t="shared" si="9"/>
        <v>0.03</v>
      </c>
      <c r="Q453">
        <f t="array" ref="Q453">IF(I453&gt;0,INDEX(DB,I453,9),EventIndex)</f>
        <v>6</v>
      </c>
      <c r="S453" s="447">
        <f t="array" ref="S453">INDEX(MINVALUES,$Q453,$K$1)</f>
        <v>2.2</v>
      </c>
      <c r="T453" s="448">
        <f t="array" ref="T453">INDEX(INCVALUES,$Q453,$K$1)</f>
        <v>0.03</v>
      </c>
      <c r="V453">
        <f t="array" ref="V453">+J453+(4*(INDEX(MatchScoreTable,$Q453,20)-1))</f>
        <v>4</v>
      </c>
      <c r="W453" s="442">
        <f t="array" ref="W453">INDEX(INC_MINVALUES,$V453,$K$1)</f>
        <v>0.2</v>
      </c>
      <c r="X453" s="212">
        <f t="array" ref="X453">INDEX(INC_INCVALUES,$V453,$K$1)</f>
        <v>0.02</v>
      </c>
    </row>
    <row r="454" ht="15.75" customHeight="1">
      <c r="A454" s="435"/>
      <c r="B454" s="436"/>
      <c r="C454" s="95" t="str">
        <f t="array" ref="C454">IF(I454&gt;0,INDEX(DB,I454,8),"")</f>
        <v/>
      </c>
      <c r="D454" s="437">
        <f t="shared" si="1"/>
        <v>0</v>
      </c>
      <c r="F454" s="438">
        <f t="shared" si="2"/>
        <v>0</v>
      </c>
      <c r="G454" t="str">
        <f t="shared" si="3"/>
        <v/>
      </c>
      <c r="H454" t="b">
        <f t="shared" si="4"/>
        <v>0</v>
      </c>
      <c r="I454" s="439">
        <f>IF(OR(ISBLANK(A454),ISNA(MATCH(A454&amp;"",AthleteNumbers,0))),0,MATCH(A454&amp;"",AthleteNumbers,0))</f>
        <v>0</v>
      </c>
      <c r="J454" s="209">
        <f t="array" ref="J454">IF(I454&gt;0,INDEX(DB,$I454,6),0)</f>
        <v>0</v>
      </c>
      <c r="K454" s="446">
        <f t="shared" si="5"/>
        <v>0</v>
      </c>
      <c r="L454" s="446">
        <f t="shared" si="6"/>
        <v>0</v>
      </c>
      <c r="M454" s="441">
        <f>IF(L454&lt;O454,MinPoints,IF(AND(L454&gt;N454,O454&gt;0),100,+INT(($L454-O454)/P454)+MinPoints))</f>
        <v>10</v>
      </c>
      <c r="N454" s="440">
        <f t="shared" si="7"/>
        <v>4.9</v>
      </c>
      <c r="O454" s="440">
        <f t="shared" si="8"/>
        <v>2.2</v>
      </c>
      <c r="P454" s="440">
        <f t="shared" si="9"/>
        <v>0.03</v>
      </c>
      <c r="Q454">
        <f t="array" ref="Q454">IF(I454&gt;0,INDEX(DB,I454,9),EventIndex)</f>
        <v>6</v>
      </c>
      <c r="S454" s="447">
        <f t="array" ref="S454">INDEX(MINVALUES,$Q454,$K$1)</f>
        <v>2.2</v>
      </c>
      <c r="T454" s="448">
        <f t="array" ref="T454">INDEX(INCVALUES,$Q454,$K$1)</f>
        <v>0.03</v>
      </c>
      <c r="V454">
        <f t="array" ref="V454">+J454+(4*(INDEX(MatchScoreTable,$Q454,20)-1))</f>
        <v>4</v>
      </c>
      <c r="W454" s="442">
        <f t="array" ref="W454">INDEX(INC_MINVALUES,$V454,$K$1)</f>
        <v>0.2</v>
      </c>
      <c r="X454" s="212">
        <f t="array" ref="X454">INDEX(INC_INCVALUES,$V454,$K$1)</f>
        <v>0.02</v>
      </c>
    </row>
    <row r="455" ht="15.75" customHeight="1">
      <c r="A455" s="435"/>
      <c r="B455" s="436"/>
      <c r="C455" s="95" t="str">
        <f t="array" ref="C455">IF(I455&gt;0,INDEX(DB,I455,8),"")</f>
        <v/>
      </c>
      <c r="D455" s="437">
        <f t="shared" si="1"/>
        <v>0</v>
      </c>
      <c r="F455" s="438">
        <f t="shared" si="2"/>
        <v>0</v>
      </c>
      <c r="G455" t="str">
        <f t="shared" si="3"/>
        <v/>
      </c>
      <c r="H455" t="b">
        <f t="shared" si="4"/>
        <v>0</v>
      </c>
      <c r="I455" s="439">
        <f>IF(OR(ISBLANK(A455),ISNA(MATCH(A455&amp;"",AthleteNumbers,0))),0,MATCH(A455&amp;"",AthleteNumbers,0))</f>
        <v>0</v>
      </c>
      <c r="J455" s="209">
        <f t="array" ref="J455">IF(I455&gt;0,INDEX(DB,$I455,6),0)</f>
        <v>0</v>
      </c>
      <c r="K455" s="446">
        <f t="shared" si="5"/>
        <v>0</v>
      </c>
      <c r="L455" s="446">
        <f t="shared" si="6"/>
        <v>0</v>
      </c>
      <c r="M455" s="441">
        <f>IF(L455&lt;O455,MinPoints,IF(AND(L455&gt;N455,O455&gt;0),100,+INT(($L455-O455)/P455)+MinPoints))</f>
        <v>10</v>
      </c>
      <c r="N455" s="440">
        <f t="shared" si="7"/>
        <v>4.9</v>
      </c>
      <c r="O455" s="440">
        <f t="shared" si="8"/>
        <v>2.2</v>
      </c>
      <c r="P455" s="440">
        <f t="shared" si="9"/>
        <v>0.03</v>
      </c>
      <c r="Q455">
        <f t="array" ref="Q455">IF(I455&gt;0,INDEX(DB,I455,9),EventIndex)</f>
        <v>6</v>
      </c>
      <c r="S455" s="447">
        <f t="array" ref="S455">INDEX(MINVALUES,$Q455,$K$1)</f>
        <v>2.2</v>
      </c>
      <c r="T455" s="448">
        <f t="array" ref="T455">INDEX(INCVALUES,$Q455,$K$1)</f>
        <v>0.03</v>
      </c>
      <c r="V455">
        <f t="array" ref="V455">+J455+(4*(INDEX(MatchScoreTable,$Q455,20)-1))</f>
        <v>4</v>
      </c>
      <c r="W455" s="442">
        <f t="array" ref="W455">INDEX(INC_MINVALUES,$V455,$K$1)</f>
        <v>0.2</v>
      </c>
      <c r="X455" s="212">
        <f t="array" ref="X455">INDEX(INC_INCVALUES,$V455,$K$1)</f>
        <v>0.02</v>
      </c>
    </row>
    <row r="456" ht="15.75" customHeight="1">
      <c r="A456" s="435"/>
      <c r="B456" s="436"/>
      <c r="C456" s="95" t="str">
        <f t="array" ref="C456">IF(I456&gt;0,INDEX(DB,I456,8),"")</f>
        <v/>
      </c>
      <c r="D456" s="437">
        <f t="shared" si="1"/>
        <v>0</v>
      </c>
      <c r="F456" s="438">
        <f t="shared" si="2"/>
        <v>0</v>
      </c>
      <c r="G456" t="str">
        <f t="shared" si="3"/>
        <v/>
      </c>
      <c r="H456" t="b">
        <f t="shared" si="4"/>
        <v>0</v>
      </c>
      <c r="I456" s="439">
        <f>IF(OR(ISBLANK(A456),ISNA(MATCH(A456&amp;"",AthleteNumbers,0))),0,MATCH(A456&amp;"",AthleteNumbers,0))</f>
        <v>0</v>
      </c>
      <c r="J456" s="209">
        <f t="array" ref="J456">IF(I456&gt;0,INDEX(DB,$I456,6),0)</f>
        <v>0</v>
      </c>
      <c r="K456" s="446">
        <f t="shared" si="5"/>
        <v>0</v>
      </c>
      <c r="L456" s="446">
        <f t="shared" si="6"/>
        <v>0</v>
      </c>
      <c r="M456" s="441">
        <f>IF(L456&lt;O456,MinPoints,IF(AND(L456&gt;N456,O456&gt;0),100,+INT(($L456-O456)/P456)+MinPoints))</f>
        <v>10</v>
      </c>
      <c r="N456" s="440">
        <f t="shared" si="7"/>
        <v>4.9</v>
      </c>
      <c r="O456" s="440">
        <f t="shared" si="8"/>
        <v>2.2</v>
      </c>
      <c r="P456" s="440">
        <f t="shared" si="9"/>
        <v>0.03</v>
      </c>
      <c r="Q456">
        <f t="array" ref="Q456">IF(I456&gt;0,INDEX(DB,I456,9),EventIndex)</f>
        <v>6</v>
      </c>
      <c r="S456" s="447">
        <f t="array" ref="S456">INDEX(MINVALUES,$Q456,$K$1)</f>
        <v>2.2</v>
      </c>
      <c r="T456" s="448">
        <f t="array" ref="T456">INDEX(INCVALUES,$Q456,$K$1)</f>
        <v>0.03</v>
      </c>
      <c r="V456">
        <f t="array" ref="V456">+J456+(4*(INDEX(MatchScoreTable,$Q456,20)-1))</f>
        <v>4</v>
      </c>
      <c r="W456" s="442">
        <f t="array" ref="W456">INDEX(INC_MINVALUES,$V456,$K$1)</f>
        <v>0.2</v>
      </c>
      <c r="X456" s="212">
        <f t="array" ref="X456">INDEX(INC_INCVALUES,$V456,$K$1)</f>
        <v>0.02</v>
      </c>
    </row>
    <row r="457" ht="15.75" customHeight="1">
      <c r="A457" s="435"/>
      <c r="B457" s="436"/>
      <c r="C457" s="95" t="str">
        <f t="array" ref="C457">IF(I457&gt;0,INDEX(DB,I457,8),"")</f>
        <v/>
      </c>
      <c r="D457" s="437">
        <f t="shared" si="1"/>
        <v>0</v>
      </c>
      <c r="F457" s="438">
        <f t="shared" si="2"/>
        <v>0</v>
      </c>
      <c r="G457" t="str">
        <f t="shared" si="3"/>
        <v/>
      </c>
      <c r="H457" t="b">
        <f t="shared" si="4"/>
        <v>0</v>
      </c>
      <c r="I457" s="439">
        <f>IF(OR(ISBLANK(A457),ISNA(MATCH(A457&amp;"",AthleteNumbers,0))),0,MATCH(A457&amp;"",AthleteNumbers,0))</f>
        <v>0</v>
      </c>
      <c r="J457" s="209">
        <f t="array" ref="J457">IF(I457&gt;0,INDEX(DB,$I457,6),0)</f>
        <v>0</v>
      </c>
      <c r="K457" s="446">
        <f t="shared" si="5"/>
        <v>0</v>
      </c>
      <c r="L457" s="446">
        <f t="shared" si="6"/>
        <v>0</v>
      </c>
      <c r="M457" s="441">
        <f>IF(L457&lt;O457,MinPoints,IF(AND(L457&gt;N457,O457&gt;0),100,+INT(($L457-O457)/P457)+MinPoints))</f>
        <v>10</v>
      </c>
      <c r="N457" s="440">
        <f t="shared" si="7"/>
        <v>4.9</v>
      </c>
      <c r="O457" s="440">
        <f t="shared" si="8"/>
        <v>2.2</v>
      </c>
      <c r="P457" s="440">
        <f t="shared" si="9"/>
        <v>0.03</v>
      </c>
      <c r="Q457">
        <f t="array" ref="Q457">IF(I457&gt;0,INDEX(DB,I457,9),EventIndex)</f>
        <v>6</v>
      </c>
      <c r="S457" s="447">
        <f t="array" ref="S457">INDEX(MINVALUES,$Q457,$K$1)</f>
        <v>2.2</v>
      </c>
      <c r="T457" s="448">
        <f t="array" ref="T457">INDEX(INCVALUES,$Q457,$K$1)</f>
        <v>0.03</v>
      </c>
      <c r="V457">
        <f t="array" ref="V457">+J457+(4*(INDEX(MatchScoreTable,$Q457,20)-1))</f>
        <v>4</v>
      </c>
      <c r="W457" s="442">
        <f t="array" ref="W457">INDEX(INC_MINVALUES,$V457,$K$1)</f>
        <v>0.2</v>
      </c>
      <c r="X457" s="212">
        <f t="array" ref="X457">INDEX(INC_INCVALUES,$V457,$K$1)</f>
        <v>0.02</v>
      </c>
    </row>
    <row r="458" ht="15.75" customHeight="1">
      <c r="A458" s="435"/>
      <c r="B458" s="436"/>
      <c r="C458" s="95" t="str">
        <f t="array" ref="C458">IF(I458&gt;0,INDEX(DB,I458,8),"")</f>
        <v/>
      </c>
      <c r="D458" s="437">
        <f t="shared" si="1"/>
        <v>0</v>
      </c>
      <c r="F458" s="438">
        <f t="shared" si="2"/>
        <v>0</v>
      </c>
      <c r="G458" t="str">
        <f t="shared" si="3"/>
        <v/>
      </c>
      <c r="H458" t="b">
        <f t="shared" si="4"/>
        <v>0</v>
      </c>
      <c r="I458" s="439">
        <f>IF(OR(ISBLANK(A458),ISNA(MATCH(A458&amp;"",AthleteNumbers,0))),0,MATCH(A458&amp;"",AthleteNumbers,0))</f>
        <v>0</v>
      </c>
      <c r="J458" s="209">
        <f t="array" ref="J458">IF(I458&gt;0,INDEX(DB,$I458,6),0)</f>
        <v>0</v>
      </c>
      <c r="K458" s="446">
        <f t="shared" si="5"/>
        <v>0</v>
      </c>
      <c r="L458" s="446">
        <f t="shared" si="6"/>
        <v>0</v>
      </c>
      <c r="M458" s="441">
        <f>IF(L458&lt;O458,MinPoints,IF(AND(L458&gt;N458,O458&gt;0),100,+INT(($L458-O458)/P458)+MinPoints))</f>
        <v>10</v>
      </c>
      <c r="N458" s="440">
        <f t="shared" si="7"/>
        <v>4.9</v>
      </c>
      <c r="O458" s="440">
        <f t="shared" si="8"/>
        <v>2.2</v>
      </c>
      <c r="P458" s="440">
        <f t="shared" si="9"/>
        <v>0.03</v>
      </c>
      <c r="Q458">
        <f t="array" ref="Q458">IF(I458&gt;0,INDEX(DB,I458,9),EventIndex)</f>
        <v>6</v>
      </c>
      <c r="S458" s="447">
        <f t="array" ref="S458">INDEX(MINVALUES,$Q458,$K$1)</f>
        <v>2.2</v>
      </c>
      <c r="T458" s="448">
        <f t="array" ref="T458">INDEX(INCVALUES,$Q458,$K$1)</f>
        <v>0.03</v>
      </c>
      <c r="V458">
        <f t="array" ref="V458">+J458+(4*(INDEX(MatchScoreTable,$Q458,20)-1))</f>
        <v>4</v>
      </c>
      <c r="W458" s="442">
        <f t="array" ref="W458">INDEX(INC_MINVALUES,$V458,$K$1)</f>
        <v>0.2</v>
      </c>
      <c r="X458" s="212">
        <f t="array" ref="X458">INDEX(INC_INCVALUES,$V458,$K$1)</f>
        <v>0.02</v>
      </c>
    </row>
    <row r="459" ht="15.75" customHeight="1">
      <c r="A459" s="435"/>
      <c r="B459" s="436"/>
      <c r="C459" s="95" t="str">
        <f t="array" ref="C459">IF(I459&gt;0,INDEX(DB,I459,8),"")</f>
        <v/>
      </c>
      <c r="D459" s="437">
        <f t="shared" si="1"/>
        <v>0</v>
      </c>
      <c r="F459" s="438">
        <f t="shared" si="2"/>
        <v>0</v>
      </c>
      <c r="G459" t="str">
        <f t="shared" si="3"/>
        <v/>
      </c>
      <c r="H459" t="b">
        <f t="shared" si="4"/>
        <v>0</v>
      </c>
      <c r="I459" s="439">
        <f>IF(OR(ISBLANK(A459),ISNA(MATCH(A459&amp;"",AthleteNumbers,0))),0,MATCH(A459&amp;"",AthleteNumbers,0))</f>
        <v>0</v>
      </c>
      <c r="J459" s="209">
        <f t="array" ref="J459">IF(I459&gt;0,INDEX(DB,$I459,6),0)</f>
        <v>0</v>
      </c>
      <c r="K459" s="446">
        <f t="shared" si="5"/>
        <v>0</v>
      </c>
      <c r="L459" s="446">
        <f t="shared" si="6"/>
        <v>0</v>
      </c>
      <c r="M459" s="441">
        <f>IF(L459&lt;O459,MinPoints,IF(AND(L459&gt;N459,O459&gt;0),100,+INT(($L459-O459)/P459)+MinPoints))</f>
        <v>10</v>
      </c>
      <c r="N459" s="440">
        <f t="shared" si="7"/>
        <v>4.9</v>
      </c>
      <c r="O459" s="440">
        <f t="shared" si="8"/>
        <v>2.2</v>
      </c>
      <c r="P459" s="440">
        <f t="shared" si="9"/>
        <v>0.03</v>
      </c>
      <c r="Q459">
        <f t="array" ref="Q459">IF(I459&gt;0,INDEX(DB,I459,9),EventIndex)</f>
        <v>6</v>
      </c>
      <c r="S459" s="447">
        <f t="array" ref="S459">INDEX(MINVALUES,$Q459,$K$1)</f>
        <v>2.2</v>
      </c>
      <c r="T459" s="448">
        <f t="array" ref="T459">INDEX(INCVALUES,$Q459,$K$1)</f>
        <v>0.03</v>
      </c>
      <c r="V459">
        <f t="array" ref="V459">+J459+(4*(INDEX(MatchScoreTable,$Q459,20)-1))</f>
        <v>4</v>
      </c>
      <c r="W459" s="442">
        <f t="array" ref="W459">INDEX(INC_MINVALUES,$V459,$K$1)</f>
        <v>0.2</v>
      </c>
      <c r="X459" s="212">
        <f t="array" ref="X459">INDEX(INC_INCVALUES,$V459,$K$1)</f>
        <v>0.02</v>
      </c>
    </row>
    <row r="460" ht="15.75" customHeight="1">
      <c r="A460" s="435"/>
      <c r="B460" s="436"/>
      <c r="C460" s="95" t="str">
        <f t="array" ref="C460">IF(I460&gt;0,INDEX(DB,I460,8),"")</f>
        <v/>
      </c>
      <c r="D460" s="437">
        <f t="shared" si="1"/>
        <v>0</v>
      </c>
      <c r="F460" s="438">
        <f t="shared" si="2"/>
        <v>0</v>
      </c>
      <c r="G460" t="str">
        <f t="shared" si="3"/>
        <v/>
      </c>
      <c r="H460" t="b">
        <f t="shared" si="4"/>
        <v>0</v>
      </c>
      <c r="I460" s="439">
        <f>IF(OR(ISBLANK(A460),ISNA(MATCH(A460&amp;"",AthleteNumbers,0))),0,MATCH(A460&amp;"",AthleteNumbers,0))</f>
        <v>0</v>
      </c>
      <c r="J460" s="209">
        <f t="array" ref="J460">IF(I460&gt;0,INDEX(DB,$I460,6),0)</f>
        <v>0</v>
      </c>
      <c r="K460" s="446">
        <f t="shared" si="5"/>
        <v>0</v>
      </c>
      <c r="L460" s="446">
        <f t="shared" si="6"/>
        <v>0</v>
      </c>
      <c r="M460" s="441">
        <f>IF(L460&lt;O460,MinPoints,IF(AND(L460&gt;N460,O460&gt;0),100,+INT(($L460-O460)/P460)+MinPoints))</f>
        <v>10</v>
      </c>
      <c r="N460" s="440">
        <f t="shared" si="7"/>
        <v>4.9</v>
      </c>
      <c r="O460" s="440">
        <f t="shared" si="8"/>
        <v>2.2</v>
      </c>
      <c r="P460" s="440">
        <f t="shared" si="9"/>
        <v>0.03</v>
      </c>
      <c r="Q460">
        <f t="array" ref="Q460">IF(I460&gt;0,INDEX(DB,I460,9),EventIndex)</f>
        <v>6</v>
      </c>
      <c r="S460" s="447">
        <f t="array" ref="S460">INDEX(MINVALUES,$Q460,$K$1)</f>
        <v>2.2</v>
      </c>
      <c r="T460" s="448">
        <f t="array" ref="T460">INDEX(INCVALUES,$Q460,$K$1)</f>
        <v>0.03</v>
      </c>
      <c r="V460">
        <f t="array" ref="V460">+J460+(4*(INDEX(MatchScoreTable,$Q460,20)-1))</f>
        <v>4</v>
      </c>
      <c r="W460" s="442">
        <f t="array" ref="W460">INDEX(INC_MINVALUES,$V460,$K$1)</f>
        <v>0.2</v>
      </c>
      <c r="X460" s="212">
        <f t="array" ref="X460">INDEX(INC_INCVALUES,$V460,$K$1)</f>
        <v>0.02</v>
      </c>
    </row>
    <row r="461" ht="15.75" customHeight="1">
      <c r="A461" s="435"/>
      <c r="B461" s="436"/>
      <c r="C461" s="95" t="str">
        <f t="array" ref="C461">IF(I461&gt;0,INDEX(DB,I461,8),"")</f>
        <v/>
      </c>
      <c r="D461" s="437">
        <f t="shared" si="1"/>
        <v>0</v>
      </c>
      <c r="F461" s="438">
        <f t="shared" si="2"/>
        <v>0</v>
      </c>
      <c r="G461" t="str">
        <f t="shared" si="3"/>
        <v/>
      </c>
      <c r="H461" t="b">
        <f t="shared" si="4"/>
        <v>0</v>
      </c>
      <c r="I461" s="439">
        <f>IF(OR(ISBLANK(A461),ISNA(MATCH(A461&amp;"",AthleteNumbers,0))),0,MATCH(A461&amp;"",AthleteNumbers,0))</f>
        <v>0</v>
      </c>
      <c r="J461" s="209">
        <f t="array" ref="J461">IF(I461&gt;0,INDEX(DB,$I461,6),0)</f>
        <v>0</v>
      </c>
      <c r="K461" s="446">
        <f t="shared" si="5"/>
        <v>0</v>
      </c>
      <c r="L461" s="446">
        <f t="shared" si="6"/>
        <v>0</v>
      </c>
      <c r="M461" s="441">
        <f>IF(L461&lt;O461,MinPoints,IF(AND(L461&gt;N461,O461&gt;0),100,+INT(($L461-O461)/P461)+MinPoints))</f>
        <v>10</v>
      </c>
      <c r="N461" s="440">
        <f t="shared" si="7"/>
        <v>4.9</v>
      </c>
      <c r="O461" s="440">
        <f t="shared" si="8"/>
        <v>2.2</v>
      </c>
      <c r="P461" s="440">
        <f t="shared" si="9"/>
        <v>0.03</v>
      </c>
      <c r="Q461">
        <f t="array" ref="Q461">IF(I461&gt;0,INDEX(DB,I461,9),EventIndex)</f>
        <v>6</v>
      </c>
      <c r="S461" s="447">
        <f t="array" ref="S461">INDEX(MINVALUES,$Q461,$K$1)</f>
        <v>2.2</v>
      </c>
      <c r="T461" s="448">
        <f t="array" ref="T461">INDEX(INCVALUES,$Q461,$K$1)</f>
        <v>0.03</v>
      </c>
      <c r="V461">
        <f t="array" ref="V461">+J461+(4*(INDEX(MatchScoreTable,$Q461,20)-1))</f>
        <v>4</v>
      </c>
      <c r="W461" s="442">
        <f t="array" ref="W461">INDEX(INC_MINVALUES,$V461,$K$1)</f>
        <v>0.2</v>
      </c>
      <c r="X461" s="212">
        <f t="array" ref="X461">INDEX(INC_INCVALUES,$V461,$K$1)</f>
        <v>0.02</v>
      </c>
    </row>
    <row r="462" ht="15.75" customHeight="1">
      <c r="A462" s="435"/>
      <c r="B462" s="436"/>
      <c r="C462" s="95" t="str">
        <f t="array" ref="C462">IF(I462&gt;0,INDEX(DB,I462,8),"")</f>
        <v/>
      </c>
      <c r="D462" s="437">
        <f t="shared" si="1"/>
        <v>0</v>
      </c>
      <c r="F462" s="438">
        <f t="shared" si="2"/>
        <v>0</v>
      </c>
      <c r="G462" t="str">
        <f t="shared" si="3"/>
        <v/>
      </c>
      <c r="H462" t="b">
        <f t="shared" si="4"/>
        <v>0</v>
      </c>
      <c r="I462" s="439">
        <f>IF(OR(ISBLANK(A462),ISNA(MATCH(A462&amp;"",AthleteNumbers,0))),0,MATCH(A462&amp;"",AthleteNumbers,0))</f>
        <v>0</v>
      </c>
      <c r="J462" s="209">
        <f t="array" ref="J462">IF(I462&gt;0,INDEX(DB,$I462,6),0)</f>
        <v>0</v>
      </c>
      <c r="K462" s="446">
        <f t="shared" si="5"/>
        <v>0</v>
      </c>
      <c r="L462" s="446">
        <f t="shared" si="6"/>
        <v>0</v>
      </c>
      <c r="M462" s="441">
        <f>IF(L462&lt;O462,MinPoints,IF(AND(L462&gt;N462,O462&gt;0),100,+INT(($L462-O462)/P462)+MinPoints))</f>
        <v>10</v>
      </c>
      <c r="N462" s="440">
        <f t="shared" si="7"/>
        <v>4.9</v>
      </c>
      <c r="O462" s="440">
        <f t="shared" si="8"/>
        <v>2.2</v>
      </c>
      <c r="P462" s="440">
        <f t="shared" si="9"/>
        <v>0.03</v>
      </c>
      <c r="Q462">
        <f t="array" ref="Q462">IF(I462&gt;0,INDEX(DB,I462,9),EventIndex)</f>
        <v>6</v>
      </c>
      <c r="S462" s="447">
        <f t="array" ref="S462">INDEX(MINVALUES,$Q462,$K$1)</f>
        <v>2.2</v>
      </c>
      <c r="T462" s="448">
        <f t="array" ref="T462">INDEX(INCVALUES,$Q462,$K$1)</f>
        <v>0.03</v>
      </c>
      <c r="V462">
        <f t="array" ref="V462">+J462+(4*(INDEX(MatchScoreTable,$Q462,20)-1))</f>
        <v>4</v>
      </c>
      <c r="W462" s="442">
        <f t="array" ref="W462">INDEX(INC_MINVALUES,$V462,$K$1)</f>
        <v>0.2</v>
      </c>
      <c r="X462" s="212">
        <f t="array" ref="X462">INDEX(INC_INCVALUES,$V462,$K$1)</f>
        <v>0.02</v>
      </c>
    </row>
    <row r="463" ht="15.75" customHeight="1">
      <c r="A463" s="435"/>
      <c r="B463" s="436"/>
      <c r="C463" s="95" t="str">
        <f t="array" ref="C463">IF(I463&gt;0,INDEX(DB,I463,8),"")</f>
        <v/>
      </c>
      <c r="D463" s="437">
        <f t="shared" si="1"/>
        <v>0</v>
      </c>
      <c r="F463" s="438">
        <f t="shared" si="2"/>
        <v>0</v>
      </c>
      <c r="G463" t="str">
        <f t="shared" si="3"/>
        <v/>
      </c>
      <c r="H463" t="b">
        <f t="shared" si="4"/>
        <v>0</v>
      </c>
      <c r="I463" s="439">
        <f>IF(OR(ISBLANK(A463),ISNA(MATCH(A463&amp;"",AthleteNumbers,0))),0,MATCH(A463&amp;"",AthleteNumbers,0))</f>
        <v>0</v>
      </c>
      <c r="J463" s="209">
        <f t="array" ref="J463">IF(I463&gt;0,INDEX(DB,$I463,6),0)</f>
        <v>0</v>
      </c>
      <c r="K463" s="446">
        <f t="shared" si="5"/>
        <v>0</v>
      </c>
      <c r="L463" s="446">
        <f t="shared" si="6"/>
        <v>0</v>
      </c>
      <c r="M463" s="441">
        <f>IF(L463&lt;O463,MinPoints,IF(AND(L463&gt;N463,O463&gt;0),100,+INT(($L463-O463)/P463)+MinPoints))</f>
        <v>10</v>
      </c>
      <c r="N463" s="440">
        <f t="shared" si="7"/>
        <v>4.9</v>
      </c>
      <c r="O463" s="440">
        <f t="shared" si="8"/>
        <v>2.2</v>
      </c>
      <c r="P463" s="440">
        <f t="shared" si="9"/>
        <v>0.03</v>
      </c>
      <c r="Q463">
        <f t="array" ref="Q463">IF(I463&gt;0,INDEX(DB,I463,9),EventIndex)</f>
        <v>6</v>
      </c>
      <c r="S463" s="447">
        <f t="array" ref="S463">INDEX(MINVALUES,$Q463,$K$1)</f>
        <v>2.2</v>
      </c>
      <c r="T463" s="448">
        <f t="array" ref="T463">INDEX(INCVALUES,$Q463,$K$1)</f>
        <v>0.03</v>
      </c>
      <c r="V463">
        <f t="array" ref="V463">+J463+(4*(INDEX(MatchScoreTable,$Q463,20)-1))</f>
        <v>4</v>
      </c>
      <c r="W463" s="442">
        <f t="array" ref="W463">INDEX(INC_MINVALUES,$V463,$K$1)</f>
        <v>0.2</v>
      </c>
      <c r="X463" s="212">
        <f t="array" ref="X463">INDEX(INC_INCVALUES,$V463,$K$1)</f>
        <v>0.02</v>
      </c>
    </row>
    <row r="464" ht="15.75" customHeight="1">
      <c r="A464" s="435"/>
      <c r="B464" s="436"/>
      <c r="C464" s="95" t="str">
        <f t="array" ref="C464">IF(I464&gt;0,INDEX(DB,I464,8),"")</f>
        <v/>
      </c>
      <c r="D464" s="437">
        <f t="shared" si="1"/>
        <v>0</v>
      </c>
      <c r="F464" s="438">
        <f t="shared" si="2"/>
        <v>0</v>
      </c>
      <c r="G464" t="str">
        <f t="shared" si="3"/>
        <v/>
      </c>
      <c r="H464" t="b">
        <f t="shared" si="4"/>
        <v>0</v>
      </c>
      <c r="I464" s="439">
        <f>IF(OR(ISBLANK(A464),ISNA(MATCH(A464&amp;"",AthleteNumbers,0))),0,MATCH(A464&amp;"",AthleteNumbers,0))</f>
        <v>0</v>
      </c>
      <c r="J464" s="209">
        <f t="array" ref="J464">IF(I464&gt;0,INDEX(DB,$I464,6),0)</f>
        <v>0</v>
      </c>
      <c r="K464" s="446">
        <f t="shared" si="5"/>
        <v>0</v>
      </c>
      <c r="L464" s="446">
        <f t="shared" si="6"/>
        <v>0</v>
      </c>
      <c r="M464" s="441">
        <f>IF(L464&lt;O464,MinPoints,IF(AND(L464&gt;N464,O464&gt;0),100,+INT(($L464-O464)/P464)+MinPoints))</f>
        <v>10</v>
      </c>
      <c r="N464" s="440">
        <f t="shared" si="7"/>
        <v>4.9</v>
      </c>
      <c r="O464" s="440">
        <f t="shared" si="8"/>
        <v>2.2</v>
      </c>
      <c r="P464" s="440">
        <f t="shared" si="9"/>
        <v>0.03</v>
      </c>
      <c r="Q464">
        <f t="array" ref="Q464">IF(I464&gt;0,INDEX(DB,I464,9),EventIndex)</f>
        <v>6</v>
      </c>
      <c r="S464" s="447">
        <f t="array" ref="S464">INDEX(MINVALUES,$Q464,$K$1)</f>
        <v>2.2</v>
      </c>
      <c r="T464" s="448">
        <f t="array" ref="T464">INDEX(INCVALUES,$Q464,$K$1)</f>
        <v>0.03</v>
      </c>
      <c r="V464">
        <f t="array" ref="V464">+J464+(4*(INDEX(MatchScoreTable,$Q464,20)-1))</f>
        <v>4</v>
      </c>
      <c r="W464" s="442">
        <f t="array" ref="W464">INDEX(INC_MINVALUES,$V464,$K$1)</f>
        <v>0.2</v>
      </c>
      <c r="X464" s="212">
        <f t="array" ref="X464">INDEX(INC_INCVALUES,$V464,$K$1)</f>
        <v>0.02</v>
      </c>
    </row>
    <row r="465" ht="15.75" customHeight="1">
      <c r="A465" s="435"/>
      <c r="B465" s="436"/>
      <c r="C465" s="95" t="str">
        <f t="array" ref="C465">IF(I465&gt;0,INDEX(DB,I465,8),"")</f>
        <v/>
      </c>
      <c r="D465" s="437">
        <f t="shared" si="1"/>
        <v>0</v>
      </c>
      <c r="F465" s="438">
        <f t="shared" si="2"/>
        <v>0</v>
      </c>
      <c r="G465" t="str">
        <f t="shared" si="3"/>
        <v/>
      </c>
      <c r="H465" t="b">
        <f t="shared" si="4"/>
        <v>0</v>
      </c>
      <c r="I465" s="439">
        <f>IF(OR(ISBLANK(A465),ISNA(MATCH(A465&amp;"",AthleteNumbers,0))),0,MATCH(A465&amp;"",AthleteNumbers,0))</f>
        <v>0</v>
      </c>
      <c r="J465" s="209">
        <f t="array" ref="J465">IF(I465&gt;0,INDEX(DB,$I465,6),0)</f>
        <v>0</v>
      </c>
      <c r="K465" s="446">
        <f t="shared" si="5"/>
        <v>0</v>
      </c>
      <c r="L465" s="446">
        <f t="shared" si="6"/>
        <v>0</v>
      </c>
      <c r="M465" s="441">
        <f>IF(L465&lt;O465,MinPoints,IF(AND(L465&gt;N465,O465&gt;0),100,+INT(($L465-O465)/P465)+MinPoints))</f>
        <v>10</v>
      </c>
      <c r="N465" s="440">
        <f t="shared" si="7"/>
        <v>4.9</v>
      </c>
      <c r="O465" s="440">
        <f t="shared" si="8"/>
        <v>2.2</v>
      </c>
      <c r="P465" s="440">
        <f t="shared" si="9"/>
        <v>0.03</v>
      </c>
      <c r="Q465">
        <f t="array" ref="Q465">IF(I465&gt;0,INDEX(DB,I465,9),EventIndex)</f>
        <v>6</v>
      </c>
      <c r="S465" s="447">
        <f t="array" ref="S465">INDEX(MINVALUES,$Q465,$K$1)</f>
        <v>2.2</v>
      </c>
      <c r="T465" s="448">
        <f t="array" ref="T465">INDEX(INCVALUES,$Q465,$K$1)</f>
        <v>0.03</v>
      </c>
      <c r="V465">
        <f t="array" ref="V465">+J465+(4*(INDEX(MatchScoreTable,$Q465,20)-1))</f>
        <v>4</v>
      </c>
      <c r="W465" s="442">
        <f t="array" ref="W465">INDEX(INC_MINVALUES,$V465,$K$1)</f>
        <v>0.2</v>
      </c>
      <c r="X465" s="212">
        <f t="array" ref="X465">INDEX(INC_INCVALUES,$V465,$K$1)</f>
        <v>0.02</v>
      </c>
    </row>
    <row r="466" ht="15.75" customHeight="1">
      <c r="A466" s="435"/>
      <c r="B466" s="436"/>
      <c r="C466" s="95" t="str">
        <f t="array" ref="C466">IF(I466&gt;0,INDEX(DB,I466,8),"")</f>
        <v/>
      </c>
      <c r="D466" s="437">
        <f t="shared" si="1"/>
        <v>0</v>
      </c>
      <c r="F466" s="438">
        <f t="shared" si="2"/>
        <v>0</v>
      </c>
      <c r="G466" t="str">
        <f t="shared" si="3"/>
        <v/>
      </c>
      <c r="H466" t="b">
        <f t="shared" si="4"/>
        <v>0</v>
      </c>
      <c r="I466" s="439">
        <f>IF(OR(ISBLANK(A466),ISNA(MATCH(A466&amp;"",AthleteNumbers,0))),0,MATCH(A466&amp;"",AthleteNumbers,0))</f>
        <v>0</v>
      </c>
      <c r="J466" s="209">
        <f t="array" ref="J466">IF(I466&gt;0,INDEX(DB,$I466,6),0)</f>
        <v>0</v>
      </c>
      <c r="K466" s="446">
        <f t="shared" si="5"/>
        <v>0</v>
      </c>
      <c r="L466" s="446">
        <f t="shared" si="6"/>
        <v>0</v>
      </c>
      <c r="M466" s="441">
        <f>IF(L466&lt;O466,MinPoints,IF(AND(L466&gt;N466,O466&gt;0),100,+INT(($L466-O466)/P466)+MinPoints))</f>
        <v>10</v>
      </c>
      <c r="N466" s="440">
        <f t="shared" si="7"/>
        <v>4.9</v>
      </c>
      <c r="O466" s="440">
        <f t="shared" si="8"/>
        <v>2.2</v>
      </c>
      <c r="P466" s="440">
        <f t="shared" si="9"/>
        <v>0.03</v>
      </c>
      <c r="Q466">
        <f t="array" ref="Q466">IF(I466&gt;0,INDEX(DB,I466,9),EventIndex)</f>
        <v>6</v>
      </c>
      <c r="S466" s="447">
        <f t="array" ref="S466">INDEX(MINVALUES,$Q466,$K$1)</f>
        <v>2.2</v>
      </c>
      <c r="T466" s="448">
        <f t="array" ref="T466">INDEX(INCVALUES,$Q466,$K$1)</f>
        <v>0.03</v>
      </c>
      <c r="V466">
        <f t="array" ref="V466">+J466+(4*(INDEX(MatchScoreTable,$Q466,20)-1))</f>
        <v>4</v>
      </c>
      <c r="W466" s="442">
        <f t="array" ref="W466">INDEX(INC_MINVALUES,$V466,$K$1)</f>
        <v>0.2</v>
      </c>
      <c r="X466" s="212">
        <f t="array" ref="X466">INDEX(INC_INCVALUES,$V466,$K$1)</f>
        <v>0.02</v>
      </c>
    </row>
    <row r="467" ht="15.75" customHeight="1">
      <c r="A467" s="435"/>
      <c r="B467" s="436"/>
      <c r="C467" s="95" t="str">
        <f t="array" ref="C467">IF(I467&gt;0,INDEX(DB,I467,8),"")</f>
        <v/>
      </c>
      <c r="D467" s="437">
        <f t="shared" si="1"/>
        <v>0</v>
      </c>
      <c r="F467" s="438">
        <f t="shared" si="2"/>
        <v>0</v>
      </c>
      <c r="G467" t="str">
        <f t="shared" si="3"/>
        <v/>
      </c>
      <c r="H467" t="b">
        <f t="shared" si="4"/>
        <v>0</v>
      </c>
      <c r="I467" s="439">
        <f>IF(OR(ISBLANK(A467),ISNA(MATCH(A467&amp;"",AthleteNumbers,0))),0,MATCH(A467&amp;"",AthleteNumbers,0))</f>
        <v>0</v>
      </c>
      <c r="J467" s="209">
        <f t="array" ref="J467">IF(I467&gt;0,INDEX(DB,$I467,6),0)</f>
        <v>0</v>
      </c>
      <c r="K467" s="446">
        <f t="shared" si="5"/>
        <v>0</v>
      </c>
      <c r="L467" s="446">
        <f t="shared" si="6"/>
        <v>0</v>
      </c>
      <c r="M467" s="441">
        <f>IF(L467&lt;O467,MinPoints,IF(AND(L467&gt;N467,O467&gt;0),100,+INT(($L467-O467)/P467)+MinPoints))</f>
        <v>10</v>
      </c>
      <c r="N467" s="440">
        <f t="shared" si="7"/>
        <v>4.9</v>
      </c>
      <c r="O467" s="440">
        <f t="shared" si="8"/>
        <v>2.2</v>
      </c>
      <c r="P467" s="440">
        <f t="shared" si="9"/>
        <v>0.03</v>
      </c>
      <c r="Q467">
        <f t="array" ref="Q467">IF(I467&gt;0,INDEX(DB,I467,9),EventIndex)</f>
        <v>6</v>
      </c>
      <c r="S467" s="447">
        <f t="array" ref="S467">INDEX(MINVALUES,$Q467,$K$1)</f>
        <v>2.2</v>
      </c>
      <c r="T467" s="448">
        <f t="array" ref="T467">INDEX(INCVALUES,$Q467,$K$1)</f>
        <v>0.03</v>
      </c>
      <c r="V467">
        <f t="array" ref="V467">+J467+(4*(INDEX(MatchScoreTable,$Q467,20)-1))</f>
        <v>4</v>
      </c>
      <c r="W467" s="442">
        <f t="array" ref="W467">INDEX(INC_MINVALUES,$V467,$K$1)</f>
        <v>0.2</v>
      </c>
      <c r="X467" s="212">
        <f t="array" ref="X467">INDEX(INC_INCVALUES,$V467,$K$1)</f>
        <v>0.02</v>
      </c>
    </row>
    <row r="468" ht="15.75" customHeight="1">
      <c r="A468" s="435"/>
      <c r="B468" s="436"/>
      <c r="C468" s="95" t="str">
        <f t="array" ref="C468">IF(I468&gt;0,INDEX(DB,I468,8),"")</f>
        <v/>
      </c>
      <c r="D468" s="437">
        <f t="shared" si="1"/>
        <v>0</v>
      </c>
      <c r="F468" s="438">
        <f t="shared" si="2"/>
        <v>0</v>
      </c>
      <c r="G468" t="str">
        <f t="shared" si="3"/>
        <v/>
      </c>
      <c r="H468" t="b">
        <f t="shared" si="4"/>
        <v>0</v>
      </c>
      <c r="I468" s="439">
        <f>IF(OR(ISBLANK(A468),ISNA(MATCH(A468&amp;"",AthleteNumbers,0))),0,MATCH(A468&amp;"",AthleteNumbers,0))</f>
        <v>0</v>
      </c>
      <c r="J468" s="209">
        <f t="array" ref="J468">IF(I468&gt;0,INDEX(DB,$I468,6),0)</f>
        <v>0</v>
      </c>
      <c r="K468" s="446">
        <f t="shared" si="5"/>
        <v>0</v>
      </c>
      <c r="L468" s="446">
        <f t="shared" si="6"/>
        <v>0</v>
      </c>
      <c r="M468" s="441">
        <f>IF(L468&lt;O468,MinPoints,IF(AND(L468&gt;N468,O468&gt;0),100,+INT(($L468-O468)/P468)+MinPoints))</f>
        <v>10</v>
      </c>
      <c r="N468" s="440">
        <f t="shared" si="7"/>
        <v>4.9</v>
      </c>
      <c r="O468" s="440">
        <f t="shared" si="8"/>
        <v>2.2</v>
      </c>
      <c r="P468" s="440">
        <f t="shared" si="9"/>
        <v>0.03</v>
      </c>
      <c r="Q468">
        <f t="array" ref="Q468">IF(I468&gt;0,INDEX(DB,I468,9),EventIndex)</f>
        <v>6</v>
      </c>
      <c r="S468" s="447">
        <f t="array" ref="S468">INDEX(MINVALUES,$Q468,$K$1)</f>
        <v>2.2</v>
      </c>
      <c r="T468" s="448">
        <f t="array" ref="T468">INDEX(INCVALUES,$Q468,$K$1)</f>
        <v>0.03</v>
      </c>
      <c r="V468">
        <f t="array" ref="V468">+J468+(4*(INDEX(MatchScoreTable,$Q468,20)-1))</f>
        <v>4</v>
      </c>
      <c r="W468" s="442">
        <f t="array" ref="W468">INDEX(INC_MINVALUES,$V468,$K$1)</f>
        <v>0.2</v>
      </c>
      <c r="X468" s="212">
        <f t="array" ref="X468">INDEX(INC_INCVALUES,$V468,$K$1)</f>
        <v>0.02</v>
      </c>
    </row>
    <row r="469" ht="15.75" customHeight="1">
      <c r="A469" s="435"/>
      <c r="B469" s="436"/>
      <c r="C469" s="95" t="str">
        <f t="array" ref="C469">IF(I469&gt;0,INDEX(DB,I469,8),"")</f>
        <v/>
      </c>
      <c r="D469" s="437">
        <f t="shared" si="1"/>
        <v>0</v>
      </c>
      <c r="F469" s="438">
        <f t="shared" si="2"/>
        <v>0</v>
      </c>
      <c r="G469" t="str">
        <f t="shared" si="3"/>
        <v/>
      </c>
      <c r="H469" t="b">
        <f t="shared" si="4"/>
        <v>0</v>
      </c>
      <c r="I469" s="439">
        <f>IF(OR(ISBLANK(A469),ISNA(MATCH(A469&amp;"",AthleteNumbers,0))),0,MATCH(A469&amp;"",AthleteNumbers,0))</f>
        <v>0</v>
      </c>
      <c r="J469" s="209">
        <f t="array" ref="J469">IF(I469&gt;0,INDEX(DB,$I469,6),0)</f>
        <v>0</v>
      </c>
      <c r="K469" s="446">
        <f t="shared" si="5"/>
        <v>0</v>
      </c>
      <c r="L469" s="446">
        <f t="shared" si="6"/>
        <v>0</v>
      </c>
      <c r="M469" s="441">
        <f>IF(L469&lt;O469,MinPoints,IF(AND(L469&gt;N469,O469&gt;0),100,+INT(($L469-O469)/P469)+MinPoints))</f>
        <v>10</v>
      </c>
      <c r="N469" s="440">
        <f t="shared" si="7"/>
        <v>4.9</v>
      </c>
      <c r="O469" s="440">
        <f t="shared" si="8"/>
        <v>2.2</v>
      </c>
      <c r="P469" s="440">
        <f t="shared" si="9"/>
        <v>0.03</v>
      </c>
      <c r="Q469">
        <f t="array" ref="Q469">IF(I469&gt;0,INDEX(DB,I469,9),EventIndex)</f>
        <v>6</v>
      </c>
      <c r="S469" s="447">
        <f t="array" ref="S469">INDEX(MINVALUES,$Q469,$K$1)</f>
        <v>2.2</v>
      </c>
      <c r="T469" s="448">
        <f t="array" ref="T469">INDEX(INCVALUES,$Q469,$K$1)</f>
        <v>0.03</v>
      </c>
      <c r="V469">
        <f t="array" ref="V469">+J469+(4*(INDEX(MatchScoreTable,$Q469,20)-1))</f>
        <v>4</v>
      </c>
      <c r="W469" s="442">
        <f t="array" ref="W469">INDEX(INC_MINVALUES,$V469,$K$1)</f>
        <v>0.2</v>
      </c>
      <c r="X469" s="212">
        <f t="array" ref="X469">INDEX(INC_INCVALUES,$V469,$K$1)</f>
        <v>0.02</v>
      </c>
    </row>
    <row r="470" ht="15.75" customHeight="1">
      <c r="A470" s="435"/>
      <c r="B470" s="436"/>
      <c r="C470" s="95" t="str">
        <f t="array" ref="C470">IF(I470&gt;0,INDEX(DB,I470,8),"")</f>
        <v/>
      </c>
      <c r="D470" s="437">
        <f t="shared" si="1"/>
        <v>0</v>
      </c>
      <c r="F470" s="438">
        <f t="shared" si="2"/>
        <v>0</v>
      </c>
      <c r="G470" t="str">
        <f t="shared" si="3"/>
        <v/>
      </c>
      <c r="H470" t="b">
        <f t="shared" si="4"/>
        <v>0</v>
      </c>
      <c r="I470" s="439">
        <f>IF(OR(ISBLANK(A470),ISNA(MATCH(A470&amp;"",AthleteNumbers,0))),0,MATCH(A470&amp;"",AthleteNumbers,0))</f>
        <v>0</v>
      </c>
      <c r="J470" s="209">
        <f t="array" ref="J470">IF(I470&gt;0,INDEX(DB,$I470,6),0)</f>
        <v>0</v>
      </c>
      <c r="K470" s="446">
        <f t="shared" si="5"/>
        <v>0</v>
      </c>
      <c r="L470" s="446">
        <f t="shared" si="6"/>
        <v>0</v>
      </c>
      <c r="M470" s="441">
        <f>IF(L470&lt;O470,MinPoints,IF(AND(L470&gt;N470,O470&gt;0),100,+INT(($L470-O470)/P470)+MinPoints))</f>
        <v>10</v>
      </c>
      <c r="N470" s="440">
        <f t="shared" si="7"/>
        <v>4.9</v>
      </c>
      <c r="O470" s="440">
        <f t="shared" si="8"/>
        <v>2.2</v>
      </c>
      <c r="P470" s="440">
        <f t="shared" si="9"/>
        <v>0.03</v>
      </c>
      <c r="Q470">
        <f t="array" ref="Q470">IF(I470&gt;0,INDEX(DB,I470,9),EventIndex)</f>
        <v>6</v>
      </c>
      <c r="S470" s="447">
        <f t="array" ref="S470">INDEX(MINVALUES,$Q470,$K$1)</f>
        <v>2.2</v>
      </c>
      <c r="T470" s="448">
        <f t="array" ref="T470">INDEX(INCVALUES,$Q470,$K$1)</f>
        <v>0.03</v>
      </c>
      <c r="V470">
        <f t="array" ref="V470">+J470+(4*(INDEX(MatchScoreTable,$Q470,20)-1))</f>
        <v>4</v>
      </c>
      <c r="W470" s="442">
        <f t="array" ref="W470">INDEX(INC_MINVALUES,$V470,$K$1)</f>
        <v>0.2</v>
      </c>
      <c r="X470" s="212">
        <f t="array" ref="X470">INDEX(INC_INCVALUES,$V470,$K$1)</f>
        <v>0.02</v>
      </c>
    </row>
    <row r="471" ht="15.75" customHeight="1">
      <c r="A471" s="435"/>
      <c r="B471" s="436"/>
      <c r="C471" s="95" t="str">
        <f t="array" ref="C471">IF(I471&gt;0,INDEX(DB,I471,8),"")</f>
        <v/>
      </c>
      <c r="D471" s="437">
        <f t="shared" si="1"/>
        <v>0</v>
      </c>
      <c r="F471" s="438">
        <f t="shared" si="2"/>
        <v>0</v>
      </c>
      <c r="G471" t="str">
        <f t="shared" si="3"/>
        <v/>
      </c>
      <c r="H471" t="b">
        <f t="shared" si="4"/>
        <v>0</v>
      </c>
      <c r="I471" s="439">
        <f>IF(OR(ISBLANK(A471),ISNA(MATCH(A471&amp;"",AthleteNumbers,0))),0,MATCH(A471&amp;"",AthleteNumbers,0))</f>
        <v>0</v>
      </c>
      <c r="J471" s="209">
        <f t="array" ref="J471">IF(I471&gt;0,INDEX(DB,$I471,6),0)</f>
        <v>0</v>
      </c>
      <c r="K471" s="446">
        <f t="shared" si="5"/>
        <v>0</v>
      </c>
      <c r="L471" s="446">
        <f t="shared" si="6"/>
        <v>0</v>
      </c>
      <c r="M471" s="441">
        <f>IF(L471&lt;O471,MinPoints,IF(AND(L471&gt;N471,O471&gt;0),100,+INT(($L471-O471)/P471)+MinPoints))</f>
        <v>10</v>
      </c>
      <c r="N471" s="440">
        <f t="shared" si="7"/>
        <v>4.9</v>
      </c>
      <c r="O471" s="440">
        <f t="shared" si="8"/>
        <v>2.2</v>
      </c>
      <c r="P471" s="440">
        <f t="shared" si="9"/>
        <v>0.03</v>
      </c>
      <c r="Q471">
        <f t="array" ref="Q471">IF(I471&gt;0,INDEX(DB,I471,9),EventIndex)</f>
        <v>6</v>
      </c>
      <c r="S471" s="447">
        <f t="array" ref="S471">INDEX(MINVALUES,$Q471,$K$1)</f>
        <v>2.2</v>
      </c>
      <c r="T471" s="448">
        <f t="array" ref="T471">INDEX(INCVALUES,$Q471,$K$1)</f>
        <v>0.03</v>
      </c>
      <c r="V471">
        <f t="array" ref="V471">+J471+(4*(INDEX(MatchScoreTable,$Q471,20)-1))</f>
        <v>4</v>
      </c>
      <c r="W471" s="442">
        <f t="array" ref="W471">INDEX(INC_MINVALUES,$V471,$K$1)</f>
        <v>0.2</v>
      </c>
      <c r="X471" s="212">
        <f t="array" ref="X471">INDEX(INC_INCVALUES,$V471,$K$1)</f>
        <v>0.02</v>
      </c>
    </row>
    <row r="472" ht="15.75" customHeight="1">
      <c r="A472" s="435"/>
      <c r="B472" s="436"/>
      <c r="C472" s="95" t="str">
        <f t="array" ref="C472">IF(I472&gt;0,INDEX(DB,I472,8),"")</f>
        <v/>
      </c>
      <c r="D472" s="437">
        <f t="shared" si="1"/>
        <v>0</v>
      </c>
      <c r="F472" s="438">
        <f t="shared" si="2"/>
        <v>0</v>
      </c>
      <c r="G472" t="str">
        <f t="shared" si="3"/>
        <v/>
      </c>
      <c r="H472" t="b">
        <f t="shared" si="4"/>
        <v>0</v>
      </c>
      <c r="I472" s="439">
        <f>IF(OR(ISBLANK(A472),ISNA(MATCH(A472&amp;"",AthleteNumbers,0))),0,MATCH(A472&amp;"",AthleteNumbers,0))</f>
        <v>0</v>
      </c>
      <c r="J472" s="209">
        <f t="array" ref="J472">IF(I472&gt;0,INDEX(DB,$I472,6),0)</f>
        <v>0</v>
      </c>
      <c r="K472" s="446">
        <f t="shared" si="5"/>
        <v>0</v>
      </c>
      <c r="L472" s="446">
        <f t="shared" si="6"/>
        <v>0</v>
      </c>
      <c r="M472" s="441">
        <f>IF(L472&lt;O472,MinPoints,IF(AND(L472&gt;N472,O472&gt;0),100,+INT(($L472-O472)/P472)+MinPoints))</f>
        <v>10</v>
      </c>
      <c r="N472" s="440">
        <f t="shared" si="7"/>
        <v>4.9</v>
      </c>
      <c r="O472" s="440">
        <f t="shared" si="8"/>
        <v>2.2</v>
      </c>
      <c r="P472" s="440">
        <f t="shared" si="9"/>
        <v>0.03</v>
      </c>
      <c r="Q472">
        <f t="array" ref="Q472">IF(I472&gt;0,INDEX(DB,I472,9),EventIndex)</f>
        <v>6</v>
      </c>
      <c r="S472" s="447">
        <f t="array" ref="S472">INDEX(MINVALUES,$Q472,$K$1)</f>
        <v>2.2</v>
      </c>
      <c r="T472" s="448">
        <f t="array" ref="T472">INDEX(INCVALUES,$Q472,$K$1)</f>
        <v>0.03</v>
      </c>
      <c r="V472">
        <f t="array" ref="V472">+J472+(4*(INDEX(MatchScoreTable,$Q472,20)-1))</f>
        <v>4</v>
      </c>
      <c r="W472" s="442">
        <f t="array" ref="W472">INDEX(INC_MINVALUES,$V472,$K$1)</f>
        <v>0.2</v>
      </c>
      <c r="X472" s="212">
        <f t="array" ref="X472">INDEX(INC_INCVALUES,$V472,$K$1)</f>
        <v>0.02</v>
      </c>
    </row>
    <row r="473" ht="15.75" customHeight="1">
      <c r="A473" s="435"/>
      <c r="B473" s="436"/>
      <c r="C473" s="95" t="str">
        <f t="array" ref="C473">IF(I473&gt;0,INDEX(DB,I473,8),"")</f>
        <v/>
      </c>
      <c r="D473" s="437">
        <f t="shared" si="1"/>
        <v>0</v>
      </c>
      <c r="F473" s="438">
        <f t="shared" si="2"/>
        <v>0</v>
      </c>
      <c r="G473" t="str">
        <f t="shared" si="3"/>
        <v/>
      </c>
      <c r="H473" t="b">
        <f t="shared" si="4"/>
        <v>0</v>
      </c>
      <c r="I473" s="439">
        <f>IF(OR(ISBLANK(A473),ISNA(MATCH(A473&amp;"",AthleteNumbers,0))),0,MATCH(A473&amp;"",AthleteNumbers,0))</f>
        <v>0</v>
      </c>
      <c r="J473" s="209">
        <f t="array" ref="J473">IF(I473&gt;0,INDEX(DB,$I473,6),0)</f>
        <v>0</v>
      </c>
      <c r="K473" s="446">
        <f t="shared" si="5"/>
        <v>0</v>
      </c>
      <c r="L473" s="446">
        <f t="shared" si="6"/>
        <v>0</v>
      </c>
      <c r="M473" s="441">
        <f>IF(L473&lt;O473,MinPoints,IF(AND(L473&gt;N473,O473&gt;0),100,+INT(($L473-O473)/P473)+MinPoints))</f>
        <v>10</v>
      </c>
      <c r="N473" s="440">
        <f t="shared" si="7"/>
        <v>4.9</v>
      </c>
      <c r="O473" s="440">
        <f t="shared" si="8"/>
        <v>2.2</v>
      </c>
      <c r="P473" s="440">
        <f t="shared" si="9"/>
        <v>0.03</v>
      </c>
      <c r="Q473">
        <f t="array" ref="Q473">IF(I473&gt;0,INDEX(DB,I473,9),EventIndex)</f>
        <v>6</v>
      </c>
      <c r="S473" s="447">
        <f t="array" ref="S473">INDEX(MINVALUES,$Q473,$K$1)</f>
        <v>2.2</v>
      </c>
      <c r="T473" s="448">
        <f t="array" ref="T473">INDEX(INCVALUES,$Q473,$K$1)</f>
        <v>0.03</v>
      </c>
      <c r="V473">
        <f t="array" ref="V473">+J473+(4*(INDEX(MatchScoreTable,$Q473,20)-1))</f>
        <v>4</v>
      </c>
      <c r="W473" s="442">
        <f t="array" ref="W473">INDEX(INC_MINVALUES,$V473,$K$1)</f>
        <v>0.2</v>
      </c>
      <c r="X473" s="212">
        <f t="array" ref="X473">INDEX(INC_INCVALUES,$V473,$K$1)</f>
        <v>0.02</v>
      </c>
    </row>
    <row r="474" ht="15.75" customHeight="1">
      <c r="A474" s="435"/>
      <c r="B474" s="436"/>
      <c r="C474" s="95" t="str">
        <f t="array" ref="C474">IF(I474&gt;0,INDEX(DB,I474,8),"")</f>
        <v/>
      </c>
      <c r="D474" s="437">
        <f t="shared" si="1"/>
        <v>0</v>
      </c>
      <c r="F474" s="438">
        <f t="shared" si="2"/>
        <v>0</v>
      </c>
      <c r="G474" t="str">
        <f t="shared" si="3"/>
        <v/>
      </c>
      <c r="H474" t="b">
        <f t="shared" si="4"/>
        <v>0</v>
      </c>
      <c r="I474" s="439">
        <f>IF(OR(ISBLANK(A474),ISNA(MATCH(A474&amp;"",AthleteNumbers,0))),0,MATCH(A474&amp;"",AthleteNumbers,0))</f>
        <v>0</v>
      </c>
      <c r="J474" s="209">
        <f t="array" ref="J474">IF(I474&gt;0,INDEX(DB,$I474,6),0)</f>
        <v>0</v>
      </c>
      <c r="K474" s="446">
        <f t="shared" si="5"/>
        <v>0</v>
      </c>
      <c r="L474" s="446">
        <f t="shared" si="6"/>
        <v>0</v>
      </c>
      <c r="M474" s="441">
        <f>IF(L474&lt;O474,MinPoints,IF(AND(L474&gt;N474,O474&gt;0),100,+INT(($L474-O474)/P474)+MinPoints))</f>
        <v>10</v>
      </c>
      <c r="N474" s="440">
        <f t="shared" si="7"/>
        <v>4.9</v>
      </c>
      <c r="O474" s="440">
        <f t="shared" si="8"/>
        <v>2.2</v>
      </c>
      <c r="P474" s="440">
        <f t="shared" si="9"/>
        <v>0.03</v>
      </c>
      <c r="Q474">
        <f t="array" ref="Q474">IF(I474&gt;0,INDEX(DB,I474,9),EventIndex)</f>
        <v>6</v>
      </c>
      <c r="S474" s="447">
        <f t="array" ref="S474">INDEX(MINVALUES,$Q474,$K$1)</f>
        <v>2.2</v>
      </c>
      <c r="T474" s="448">
        <f t="array" ref="T474">INDEX(INCVALUES,$Q474,$K$1)</f>
        <v>0.03</v>
      </c>
      <c r="V474">
        <f t="array" ref="V474">+J474+(4*(INDEX(MatchScoreTable,$Q474,20)-1))</f>
        <v>4</v>
      </c>
      <c r="W474" s="442">
        <f t="array" ref="W474">INDEX(INC_MINVALUES,$V474,$K$1)</f>
        <v>0.2</v>
      </c>
      <c r="X474" s="212">
        <f t="array" ref="X474">INDEX(INC_INCVALUES,$V474,$K$1)</f>
        <v>0.02</v>
      </c>
    </row>
    <row r="475" ht="15.75" customHeight="1">
      <c r="A475" s="435"/>
      <c r="B475" s="436"/>
      <c r="C475" s="95" t="str">
        <f t="array" ref="C475">IF(I475&gt;0,INDEX(DB,I475,8),"")</f>
        <v/>
      </c>
      <c r="D475" s="437">
        <f t="shared" si="1"/>
        <v>0</v>
      </c>
      <c r="F475" s="438">
        <f t="shared" si="2"/>
        <v>0</v>
      </c>
      <c r="G475" t="str">
        <f t="shared" si="3"/>
        <v/>
      </c>
      <c r="H475" t="b">
        <f t="shared" si="4"/>
        <v>0</v>
      </c>
      <c r="I475" s="439">
        <f>IF(OR(ISBLANK(A475),ISNA(MATCH(A475&amp;"",AthleteNumbers,0))),0,MATCH(A475&amp;"",AthleteNumbers,0))</f>
        <v>0</v>
      </c>
      <c r="J475" s="209">
        <f t="array" ref="J475">IF(I475&gt;0,INDEX(DB,$I475,6),0)</f>
        <v>0</v>
      </c>
      <c r="K475" s="446">
        <f t="shared" si="5"/>
        <v>0</v>
      </c>
      <c r="L475" s="446">
        <f t="shared" si="6"/>
        <v>0</v>
      </c>
      <c r="M475" s="441">
        <f>IF(L475&lt;O475,MinPoints,IF(AND(L475&gt;N475,O475&gt;0),100,+INT(($L475-O475)/P475)+MinPoints))</f>
        <v>10</v>
      </c>
      <c r="N475" s="440">
        <f t="shared" si="7"/>
        <v>4.9</v>
      </c>
      <c r="O475" s="440">
        <f t="shared" si="8"/>
        <v>2.2</v>
      </c>
      <c r="P475" s="440">
        <f t="shared" si="9"/>
        <v>0.03</v>
      </c>
      <c r="Q475">
        <f t="array" ref="Q475">IF(I475&gt;0,INDEX(DB,I475,9),EventIndex)</f>
        <v>6</v>
      </c>
      <c r="S475" s="447">
        <f t="array" ref="S475">INDEX(MINVALUES,$Q475,$K$1)</f>
        <v>2.2</v>
      </c>
      <c r="T475" s="448">
        <f t="array" ref="T475">INDEX(INCVALUES,$Q475,$K$1)</f>
        <v>0.03</v>
      </c>
      <c r="V475">
        <f t="array" ref="V475">+J475+(4*(INDEX(MatchScoreTable,$Q475,20)-1))</f>
        <v>4</v>
      </c>
      <c r="W475" s="442">
        <f t="array" ref="W475">INDEX(INC_MINVALUES,$V475,$K$1)</f>
        <v>0.2</v>
      </c>
      <c r="X475" s="212">
        <f t="array" ref="X475">INDEX(INC_INCVALUES,$V475,$K$1)</f>
        <v>0.02</v>
      </c>
    </row>
    <row r="476" ht="15.75" customHeight="1">
      <c r="A476" s="435"/>
      <c r="B476" s="436"/>
      <c r="C476" s="95" t="str">
        <f t="array" ref="C476">IF(I476&gt;0,INDEX(DB,I476,8),"")</f>
        <v/>
      </c>
      <c r="D476" s="437">
        <f t="shared" si="1"/>
        <v>0</v>
      </c>
      <c r="F476" s="438">
        <f t="shared" si="2"/>
        <v>0</v>
      </c>
      <c r="G476" t="str">
        <f t="shared" si="3"/>
        <v/>
      </c>
      <c r="H476" t="b">
        <f t="shared" si="4"/>
        <v>0</v>
      </c>
      <c r="I476" s="439">
        <f>IF(OR(ISBLANK(A476),ISNA(MATCH(A476&amp;"",AthleteNumbers,0))),0,MATCH(A476&amp;"",AthleteNumbers,0))</f>
        <v>0</v>
      </c>
      <c r="J476" s="209">
        <f t="array" ref="J476">IF(I476&gt;0,INDEX(DB,$I476,6),0)</f>
        <v>0</v>
      </c>
      <c r="K476" s="446">
        <f t="shared" si="5"/>
        <v>0</v>
      </c>
      <c r="L476" s="446">
        <f t="shared" si="6"/>
        <v>0</v>
      </c>
      <c r="M476" s="441">
        <f>IF(L476&lt;O476,MinPoints,IF(AND(L476&gt;N476,O476&gt;0),100,+INT(($L476-O476)/P476)+MinPoints))</f>
        <v>10</v>
      </c>
      <c r="N476" s="440">
        <f t="shared" si="7"/>
        <v>4.9</v>
      </c>
      <c r="O476" s="440">
        <f t="shared" si="8"/>
        <v>2.2</v>
      </c>
      <c r="P476" s="440">
        <f t="shared" si="9"/>
        <v>0.03</v>
      </c>
      <c r="Q476">
        <f t="array" ref="Q476">IF(I476&gt;0,INDEX(DB,I476,9),EventIndex)</f>
        <v>6</v>
      </c>
      <c r="S476" s="447">
        <f t="array" ref="S476">INDEX(MINVALUES,$Q476,$K$1)</f>
        <v>2.2</v>
      </c>
      <c r="T476" s="448">
        <f t="array" ref="T476">INDEX(INCVALUES,$Q476,$K$1)</f>
        <v>0.03</v>
      </c>
      <c r="V476">
        <f t="array" ref="V476">+J476+(4*(INDEX(MatchScoreTable,$Q476,20)-1))</f>
        <v>4</v>
      </c>
      <c r="W476" s="442">
        <f t="array" ref="W476">INDEX(INC_MINVALUES,$V476,$K$1)</f>
        <v>0.2</v>
      </c>
      <c r="X476" s="212">
        <f t="array" ref="X476">INDEX(INC_INCVALUES,$V476,$K$1)</f>
        <v>0.02</v>
      </c>
    </row>
    <row r="477" ht="15.75" customHeight="1">
      <c r="A477" s="435"/>
      <c r="B477" s="436"/>
      <c r="C477" s="95" t="str">
        <f t="array" ref="C477">IF(I477&gt;0,INDEX(DB,I477,8),"")</f>
        <v/>
      </c>
      <c r="D477" s="437">
        <f t="shared" si="1"/>
        <v>0</v>
      </c>
      <c r="F477" s="438">
        <f t="shared" si="2"/>
        <v>0</v>
      </c>
      <c r="G477" t="str">
        <f t="shared" si="3"/>
        <v/>
      </c>
      <c r="H477" t="b">
        <f t="shared" si="4"/>
        <v>0</v>
      </c>
      <c r="I477" s="439">
        <f>IF(OR(ISBLANK(A477),ISNA(MATCH(A477&amp;"",AthleteNumbers,0))),0,MATCH(A477&amp;"",AthleteNumbers,0))</f>
        <v>0</v>
      </c>
      <c r="J477" s="209">
        <f t="array" ref="J477">IF(I477&gt;0,INDEX(DB,$I477,6),0)</f>
        <v>0</v>
      </c>
      <c r="K477" s="446">
        <f t="shared" si="5"/>
        <v>0</v>
      </c>
      <c r="L477" s="446">
        <f t="shared" si="6"/>
        <v>0</v>
      </c>
      <c r="M477" s="441">
        <f>IF(L477&lt;O477,MinPoints,IF(AND(L477&gt;N477,O477&gt;0),100,+INT(($L477-O477)/P477)+MinPoints))</f>
        <v>10</v>
      </c>
      <c r="N477" s="440">
        <f t="shared" si="7"/>
        <v>4.9</v>
      </c>
      <c r="O477" s="440">
        <f t="shared" si="8"/>
        <v>2.2</v>
      </c>
      <c r="P477" s="440">
        <f t="shared" si="9"/>
        <v>0.03</v>
      </c>
      <c r="Q477">
        <f t="array" ref="Q477">IF(I477&gt;0,INDEX(DB,I477,9),EventIndex)</f>
        <v>6</v>
      </c>
      <c r="S477" s="447">
        <f t="array" ref="S477">INDEX(MINVALUES,$Q477,$K$1)</f>
        <v>2.2</v>
      </c>
      <c r="T477" s="448">
        <f t="array" ref="T477">INDEX(INCVALUES,$Q477,$K$1)</f>
        <v>0.03</v>
      </c>
      <c r="V477">
        <f t="array" ref="V477">+J477+(4*(INDEX(MatchScoreTable,$Q477,20)-1))</f>
        <v>4</v>
      </c>
      <c r="W477" s="442">
        <f t="array" ref="W477">INDEX(INC_MINVALUES,$V477,$K$1)</f>
        <v>0.2</v>
      </c>
      <c r="X477" s="212">
        <f t="array" ref="X477">INDEX(INC_INCVALUES,$V477,$K$1)</f>
        <v>0.02</v>
      </c>
    </row>
    <row r="478" ht="15.75" customHeight="1">
      <c r="A478" s="435"/>
      <c r="B478" s="436"/>
      <c r="C478" s="95" t="str">
        <f t="array" ref="C478">IF(I478&gt;0,INDEX(DB,I478,8),"")</f>
        <v/>
      </c>
      <c r="D478" s="437">
        <f t="shared" si="1"/>
        <v>0</v>
      </c>
      <c r="F478" s="438">
        <f t="shared" si="2"/>
        <v>0</v>
      </c>
      <c r="G478" t="str">
        <f t="shared" si="3"/>
        <v/>
      </c>
      <c r="H478" t="b">
        <f t="shared" si="4"/>
        <v>0</v>
      </c>
      <c r="I478" s="439">
        <f>IF(OR(ISBLANK(A478),ISNA(MATCH(A478&amp;"",AthleteNumbers,0))),0,MATCH(A478&amp;"",AthleteNumbers,0))</f>
        <v>0</v>
      </c>
      <c r="J478" s="209">
        <f t="array" ref="J478">IF(I478&gt;0,INDEX(DB,$I478,6),0)</f>
        <v>0</v>
      </c>
      <c r="K478" s="446">
        <f t="shared" si="5"/>
        <v>0</v>
      </c>
      <c r="L478" s="446">
        <f t="shared" si="6"/>
        <v>0</v>
      </c>
      <c r="M478" s="441">
        <f>IF(L478&lt;O478,MinPoints,IF(AND(L478&gt;N478,O478&gt;0),100,+INT(($L478-O478)/P478)+MinPoints))</f>
        <v>10</v>
      </c>
      <c r="N478" s="440">
        <f t="shared" si="7"/>
        <v>4.9</v>
      </c>
      <c r="O478" s="440">
        <f t="shared" si="8"/>
        <v>2.2</v>
      </c>
      <c r="P478" s="440">
        <f t="shared" si="9"/>
        <v>0.03</v>
      </c>
      <c r="Q478">
        <f t="array" ref="Q478">IF(I478&gt;0,INDEX(DB,I478,9),EventIndex)</f>
        <v>6</v>
      </c>
      <c r="S478" s="447">
        <f t="array" ref="S478">INDEX(MINVALUES,$Q478,$K$1)</f>
        <v>2.2</v>
      </c>
      <c r="T478" s="448">
        <f t="array" ref="T478">INDEX(INCVALUES,$Q478,$K$1)</f>
        <v>0.03</v>
      </c>
      <c r="V478">
        <f t="array" ref="V478">+J478+(4*(INDEX(MatchScoreTable,$Q478,20)-1))</f>
        <v>4</v>
      </c>
      <c r="W478" s="442">
        <f t="array" ref="W478">INDEX(INC_MINVALUES,$V478,$K$1)</f>
        <v>0.2</v>
      </c>
      <c r="X478" s="212">
        <f t="array" ref="X478">INDEX(INC_INCVALUES,$V478,$K$1)</f>
        <v>0.02</v>
      </c>
    </row>
    <row r="479" ht="15.75" customHeight="1">
      <c r="A479" s="435"/>
      <c r="B479" s="436"/>
      <c r="C479" s="95" t="str">
        <f t="array" ref="C479">IF(I479&gt;0,INDEX(DB,I479,8),"")</f>
        <v/>
      </c>
      <c r="D479" s="437">
        <f t="shared" si="1"/>
        <v>0</v>
      </c>
      <c r="F479" s="438">
        <f t="shared" si="2"/>
        <v>0</v>
      </c>
      <c r="G479" t="str">
        <f t="shared" si="3"/>
        <v/>
      </c>
      <c r="H479" t="b">
        <f t="shared" si="4"/>
        <v>0</v>
      </c>
      <c r="I479" s="439">
        <f>IF(OR(ISBLANK(A479),ISNA(MATCH(A479&amp;"",AthleteNumbers,0))),0,MATCH(A479&amp;"",AthleteNumbers,0))</f>
        <v>0</v>
      </c>
      <c r="J479" s="209">
        <f t="array" ref="J479">IF(I479&gt;0,INDEX(DB,$I479,6),0)</f>
        <v>0</v>
      </c>
      <c r="K479" s="446">
        <f t="shared" si="5"/>
        <v>0</v>
      </c>
      <c r="L479" s="446">
        <f t="shared" si="6"/>
        <v>0</v>
      </c>
      <c r="M479" s="441">
        <f>IF(L479&lt;O479,MinPoints,IF(AND(L479&gt;N479,O479&gt;0),100,+INT(($L479-O479)/P479)+MinPoints))</f>
        <v>10</v>
      </c>
      <c r="N479" s="440">
        <f t="shared" si="7"/>
        <v>4.9</v>
      </c>
      <c r="O479" s="440">
        <f t="shared" si="8"/>
        <v>2.2</v>
      </c>
      <c r="P479" s="440">
        <f t="shared" si="9"/>
        <v>0.03</v>
      </c>
      <c r="Q479">
        <f t="array" ref="Q479">IF(I479&gt;0,INDEX(DB,I479,9),EventIndex)</f>
        <v>6</v>
      </c>
      <c r="S479" s="447">
        <f t="array" ref="S479">INDEX(MINVALUES,$Q479,$K$1)</f>
        <v>2.2</v>
      </c>
      <c r="T479" s="448">
        <f t="array" ref="T479">INDEX(INCVALUES,$Q479,$K$1)</f>
        <v>0.03</v>
      </c>
      <c r="V479">
        <f t="array" ref="V479">+J479+(4*(INDEX(MatchScoreTable,$Q479,20)-1))</f>
        <v>4</v>
      </c>
      <c r="W479" s="442">
        <f t="array" ref="W479">INDEX(INC_MINVALUES,$V479,$K$1)</f>
        <v>0.2</v>
      </c>
      <c r="X479" s="212">
        <f t="array" ref="X479">INDEX(INC_INCVALUES,$V479,$K$1)</f>
        <v>0.02</v>
      </c>
    </row>
    <row r="480" ht="15.75" customHeight="1">
      <c r="A480" s="435"/>
      <c r="B480" s="436"/>
      <c r="C480" s="95" t="str">
        <f t="array" ref="C480">IF(I480&gt;0,INDEX(DB,I480,8),"")</f>
        <v/>
      </c>
      <c r="D480" s="437">
        <f t="shared" si="1"/>
        <v>0</v>
      </c>
      <c r="F480" s="438">
        <f t="shared" si="2"/>
        <v>0</v>
      </c>
      <c r="G480" t="str">
        <f t="shared" si="3"/>
        <v/>
      </c>
      <c r="H480" t="b">
        <f t="shared" si="4"/>
        <v>0</v>
      </c>
      <c r="I480" s="439">
        <f>IF(OR(ISBLANK(A480),ISNA(MATCH(A480&amp;"",AthleteNumbers,0))),0,MATCH(A480&amp;"",AthleteNumbers,0))</f>
        <v>0</v>
      </c>
      <c r="J480" s="209">
        <f t="array" ref="J480">IF(I480&gt;0,INDEX(DB,$I480,6),0)</f>
        <v>0</v>
      </c>
      <c r="K480" s="446">
        <f t="shared" si="5"/>
        <v>0</v>
      </c>
      <c r="L480" s="446">
        <f t="shared" si="6"/>
        <v>0</v>
      </c>
      <c r="M480" s="441">
        <f>IF(L480&lt;O480,MinPoints,IF(AND(L480&gt;N480,O480&gt;0),100,+INT(($L480-O480)/P480)+MinPoints))</f>
        <v>10</v>
      </c>
      <c r="N480" s="440">
        <f t="shared" si="7"/>
        <v>4.9</v>
      </c>
      <c r="O480" s="440">
        <f t="shared" si="8"/>
        <v>2.2</v>
      </c>
      <c r="P480" s="440">
        <f t="shared" si="9"/>
        <v>0.03</v>
      </c>
      <c r="Q480">
        <f t="array" ref="Q480">IF(I480&gt;0,INDEX(DB,I480,9),EventIndex)</f>
        <v>6</v>
      </c>
      <c r="S480" s="447">
        <f t="array" ref="S480">INDEX(MINVALUES,$Q480,$K$1)</f>
        <v>2.2</v>
      </c>
      <c r="T480" s="448">
        <f t="array" ref="T480">INDEX(INCVALUES,$Q480,$K$1)</f>
        <v>0.03</v>
      </c>
      <c r="V480">
        <f t="array" ref="V480">+J480+(4*(INDEX(MatchScoreTable,$Q480,20)-1))</f>
        <v>4</v>
      </c>
      <c r="W480" s="442">
        <f t="array" ref="W480">INDEX(INC_MINVALUES,$V480,$K$1)</f>
        <v>0.2</v>
      </c>
      <c r="X480" s="212">
        <f t="array" ref="X480">INDEX(INC_INCVALUES,$V480,$K$1)</f>
        <v>0.02</v>
      </c>
    </row>
    <row r="481" ht="15.75" customHeight="1">
      <c r="A481" s="435"/>
      <c r="B481" s="436"/>
      <c r="C481" s="95" t="str">
        <f t="array" ref="C481">IF(I481&gt;0,INDEX(DB,I481,8),"")</f>
        <v/>
      </c>
      <c r="D481" s="437">
        <f t="shared" si="1"/>
        <v>0</v>
      </c>
      <c r="F481" s="438">
        <f t="shared" si="2"/>
        <v>0</v>
      </c>
      <c r="G481" t="str">
        <f t="shared" si="3"/>
        <v/>
      </c>
      <c r="H481" t="b">
        <f t="shared" si="4"/>
        <v>0</v>
      </c>
      <c r="I481" s="439">
        <f>IF(OR(ISBLANK(A481),ISNA(MATCH(A481&amp;"",AthleteNumbers,0))),0,MATCH(A481&amp;"",AthleteNumbers,0))</f>
        <v>0</v>
      </c>
      <c r="J481" s="209">
        <f t="array" ref="J481">IF(I481&gt;0,INDEX(DB,$I481,6),0)</f>
        <v>0</v>
      </c>
      <c r="K481" s="446">
        <f t="shared" si="5"/>
        <v>0</v>
      </c>
      <c r="L481" s="446">
        <f t="shared" si="6"/>
        <v>0</v>
      </c>
      <c r="M481" s="441">
        <f>IF(L481&lt;O481,MinPoints,IF(AND(L481&gt;N481,O481&gt;0),100,+INT(($L481-O481)/P481)+MinPoints))</f>
        <v>10</v>
      </c>
      <c r="N481" s="440">
        <f t="shared" si="7"/>
        <v>4.9</v>
      </c>
      <c r="O481" s="440">
        <f t="shared" si="8"/>
        <v>2.2</v>
      </c>
      <c r="P481" s="440">
        <f t="shared" si="9"/>
        <v>0.03</v>
      </c>
      <c r="Q481">
        <f t="array" ref="Q481">IF(I481&gt;0,INDEX(DB,I481,9),EventIndex)</f>
        <v>6</v>
      </c>
      <c r="S481" s="447">
        <f t="array" ref="S481">INDEX(MINVALUES,$Q481,$K$1)</f>
        <v>2.2</v>
      </c>
      <c r="T481" s="448">
        <f t="array" ref="T481">INDEX(INCVALUES,$Q481,$K$1)</f>
        <v>0.03</v>
      </c>
      <c r="V481">
        <f t="array" ref="V481">+J481+(4*(INDEX(MatchScoreTable,$Q481,20)-1))</f>
        <v>4</v>
      </c>
      <c r="W481" s="442">
        <f t="array" ref="W481">INDEX(INC_MINVALUES,$V481,$K$1)</f>
        <v>0.2</v>
      </c>
      <c r="X481" s="212">
        <f t="array" ref="X481">INDEX(INC_INCVALUES,$V481,$K$1)</f>
        <v>0.02</v>
      </c>
    </row>
    <row r="482" ht="15.75" customHeight="1">
      <c r="A482" s="435"/>
      <c r="B482" s="436"/>
      <c r="C482" s="95" t="str">
        <f t="array" ref="C482">IF(I482&gt;0,INDEX(DB,I482,8),"")</f>
        <v/>
      </c>
      <c r="D482" s="437">
        <f t="shared" si="1"/>
        <v>0</v>
      </c>
      <c r="F482" s="438">
        <f t="shared" si="2"/>
        <v>0</v>
      </c>
      <c r="G482" t="str">
        <f t="shared" si="3"/>
        <v/>
      </c>
      <c r="H482" t="b">
        <f t="shared" si="4"/>
        <v>0</v>
      </c>
      <c r="I482" s="439">
        <f>IF(OR(ISBLANK(A482),ISNA(MATCH(A482&amp;"",AthleteNumbers,0))),0,MATCH(A482&amp;"",AthleteNumbers,0))</f>
        <v>0</v>
      </c>
      <c r="J482" s="209">
        <f t="array" ref="J482">IF(I482&gt;0,INDEX(DB,$I482,6),0)</f>
        <v>0</v>
      </c>
      <c r="K482" s="446">
        <f t="shared" si="5"/>
        <v>0</v>
      </c>
      <c r="L482" s="446">
        <f t="shared" si="6"/>
        <v>0</v>
      </c>
      <c r="M482" s="441">
        <f>IF(L482&lt;O482,MinPoints,IF(AND(L482&gt;N482,O482&gt;0),100,+INT(($L482-O482)/P482)+MinPoints))</f>
        <v>10</v>
      </c>
      <c r="N482" s="440">
        <f t="shared" si="7"/>
        <v>4.9</v>
      </c>
      <c r="O482" s="440">
        <f t="shared" si="8"/>
        <v>2.2</v>
      </c>
      <c r="P482" s="440">
        <f t="shared" si="9"/>
        <v>0.03</v>
      </c>
      <c r="Q482">
        <f t="array" ref="Q482">IF(I482&gt;0,INDEX(DB,I482,9),EventIndex)</f>
        <v>6</v>
      </c>
      <c r="S482" s="447">
        <f t="array" ref="S482">INDEX(MINVALUES,$Q482,$K$1)</f>
        <v>2.2</v>
      </c>
      <c r="T482" s="448">
        <f t="array" ref="T482">INDEX(INCVALUES,$Q482,$K$1)</f>
        <v>0.03</v>
      </c>
      <c r="V482">
        <f t="array" ref="V482">+J482+(4*(INDEX(MatchScoreTable,$Q482,20)-1))</f>
        <v>4</v>
      </c>
      <c r="W482" s="442">
        <f t="array" ref="W482">INDEX(INC_MINVALUES,$V482,$K$1)</f>
        <v>0.2</v>
      </c>
      <c r="X482" s="212">
        <f t="array" ref="X482">INDEX(INC_INCVALUES,$V482,$K$1)</f>
        <v>0.02</v>
      </c>
    </row>
    <row r="483" ht="15.75" customHeight="1">
      <c r="A483" s="435"/>
      <c r="B483" s="436"/>
      <c r="C483" s="95" t="str">
        <f t="array" ref="C483">IF(I483&gt;0,INDEX(DB,I483,8),"")</f>
        <v/>
      </c>
      <c r="D483" s="437">
        <f t="shared" si="1"/>
        <v>0</v>
      </c>
      <c r="F483" s="438">
        <f t="shared" si="2"/>
        <v>0</v>
      </c>
      <c r="G483" t="str">
        <f t="shared" si="3"/>
        <v/>
      </c>
      <c r="H483" t="b">
        <f t="shared" si="4"/>
        <v>0</v>
      </c>
      <c r="I483" s="439">
        <f>IF(OR(ISBLANK(A483),ISNA(MATCH(A483&amp;"",AthleteNumbers,0))),0,MATCH(A483&amp;"",AthleteNumbers,0))</f>
        <v>0</v>
      </c>
      <c r="J483" s="209">
        <f t="array" ref="J483">IF(I483&gt;0,INDEX(DB,$I483,6),0)</f>
        <v>0</v>
      </c>
      <c r="K483" s="446">
        <f t="shared" si="5"/>
        <v>0</v>
      </c>
      <c r="L483" s="446">
        <f t="shared" si="6"/>
        <v>0</v>
      </c>
      <c r="M483" s="441">
        <f>IF(L483&lt;O483,MinPoints,IF(AND(L483&gt;N483,O483&gt;0),100,+INT(($L483-O483)/P483)+MinPoints))</f>
        <v>10</v>
      </c>
      <c r="N483" s="440">
        <f t="shared" si="7"/>
        <v>4.9</v>
      </c>
      <c r="O483" s="440">
        <f t="shared" si="8"/>
        <v>2.2</v>
      </c>
      <c r="P483" s="440">
        <f t="shared" si="9"/>
        <v>0.03</v>
      </c>
      <c r="Q483">
        <f t="array" ref="Q483">IF(I483&gt;0,INDEX(DB,I483,9),EventIndex)</f>
        <v>6</v>
      </c>
      <c r="S483" s="447">
        <f t="array" ref="S483">INDEX(MINVALUES,$Q483,$K$1)</f>
        <v>2.2</v>
      </c>
      <c r="T483" s="448">
        <f t="array" ref="T483">INDEX(INCVALUES,$Q483,$K$1)</f>
        <v>0.03</v>
      </c>
      <c r="V483">
        <f t="array" ref="V483">+J483+(4*(INDEX(MatchScoreTable,$Q483,20)-1))</f>
        <v>4</v>
      </c>
      <c r="W483" s="442">
        <f t="array" ref="W483">INDEX(INC_MINVALUES,$V483,$K$1)</f>
        <v>0.2</v>
      </c>
      <c r="X483" s="212">
        <f t="array" ref="X483">INDEX(INC_INCVALUES,$V483,$K$1)</f>
        <v>0.02</v>
      </c>
    </row>
    <row r="484" ht="15.75" customHeight="1">
      <c r="A484" s="435"/>
      <c r="B484" s="436"/>
      <c r="C484" s="95" t="str">
        <f t="array" ref="C484">IF(I484&gt;0,INDEX(DB,I484,8),"")</f>
        <v/>
      </c>
      <c r="D484" s="437">
        <f t="shared" si="1"/>
        <v>0</v>
      </c>
      <c r="F484" s="438">
        <f t="shared" si="2"/>
        <v>0</v>
      </c>
      <c r="G484" t="str">
        <f t="shared" si="3"/>
        <v/>
      </c>
      <c r="H484" t="b">
        <f t="shared" si="4"/>
        <v>0</v>
      </c>
      <c r="I484" s="439">
        <f>IF(OR(ISBLANK(A484),ISNA(MATCH(A484&amp;"",AthleteNumbers,0))),0,MATCH(A484&amp;"",AthleteNumbers,0))</f>
        <v>0</v>
      </c>
      <c r="J484" s="209">
        <f t="array" ref="J484">IF(I484&gt;0,INDEX(DB,$I484,6),0)</f>
        <v>0</v>
      </c>
      <c r="K484" s="446">
        <f t="shared" si="5"/>
        <v>0</v>
      </c>
      <c r="L484" s="446">
        <f t="shared" si="6"/>
        <v>0</v>
      </c>
      <c r="M484" s="441">
        <f>IF(L484&lt;O484,MinPoints,IF(AND(L484&gt;N484,O484&gt;0),100,+INT(($L484-O484)/P484)+MinPoints))</f>
        <v>10</v>
      </c>
      <c r="N484" s="440">
        <f t="shared" si="7"/>
        <v>4.9</v>
      </c>
      <c r="O484" s="440">
        <f t="shared" si="8"/>
        <v>2.2</v>
      </c>
      <c r="P484" s="440">
        <f t="shared" si="9"/>
        <v>0.03</v>
      </c>
      <c r="Q484">
        <f t="array" ref="Q484">IF(I484&gt;0,INDEX(DB,I484,9),EventIndex)</f>
        <v>6</v>
      </c>
      <c r="S484" s="447">
        <f t="array" ref="S484">INDEX(MINVALUES,$Q484,$K$1)</f>
        <v>2.2</v>
      </c>
      <c r="T484" s="448">
        <f t="array" ref="T484">INDEX(INCVALUES,$Q484,$K$1)</f>
        <v>0.03</v>
      </c>
      <c r="V484">
        <f t="array" ref="V484">+J484+(4*(INDEX(MatchScoreTable,$Q484,20)-1))</f>
        <v>4</v>
      </c>
      <c r="W484" s="442">
        <f t="array" ref="W484">INDEX(INC_MINVALUES,$V484,$K$1)</f>
        <v>0.2</v>
      </c>
      <c r="X484" s="212">
        <f t="array" ref="X484">INDEX(INC_INCVALUES,$V484,$K$1)</f>
        <v>0.02</v>
      </c>
    </row>
    <row r="485" ht="15.75" customHeight="1">
      <c r="A485" s="435"/>
      <c r="B485" s="436"/>
      <c r="C485" s="95" t="str">
        <f t="array" ref="C485">IF(I485&gt;0,INDEX(DB,I485,8),"")</f>
        <v/>
      </c>
      <c r="D485" s="437">
        <f t="shared" si="1"/>
        <v>0</v>
      </c>
      <c r="F485" s="438">
        <f t="shared" si="2"/>
        <v>0</v>
      </c>
      <c r="G485" t="str">
        <f t="shared" si="3"/>
        <v/>
      </c>
      <c r="H485" t="b">
        <f t="shared" si="4"/>
        <v>0</v>
      </c>
      <c r="I485" s="439">
        <f>IF(OR(ISBLANK(A485),ISNA(MATCH(A485&amp;"",AthleteNumbers,0))),0,MATCH(A485&amp;"",AthleteNumbers,0))</f>
        <v>0</v>
      </c>
      <c r="J485" s="209">
        <f t="array" ref="J485">IF(I485&gt;0,INDEX(DB,$I485,6),0)</f>
        <v>0</v>
      </c>
      <c r="K485" s="446">
        <f t="shared" si="5"/>
        <v>0</v>
      </c>
      <c r="L485" s="446">
        <f t="shared" si="6"/>
        <v>0</v>
      </c>
      <c r="M485" s="441">
        <f>IF(L485&lt;O485,MinPoints,IF(AND(L485&gt;N485,O485&gt;0),100,+INT(($L485-O485)/P485)+MinPoints))</f>
        <v>10</v>
      </c>
      <c r="N485" s="440">
        <f t="shared" si="7"/>
        <v>4.9</v>
      </c>
      <c r="O485" s="440">
        <f t="shared" si="8"/>
        <v>2.2</v>
      </c>
      <c r="P485" s="440">
        <f t="shared" si="9"/>
        <v>0.03</v>
      </c>
      <c r="Q485">
        <f t="array" ref="Q485">IF(I485&gt;0,INDEX(DB,I485,9),EventIndex)</f>
        <v>6</v>
      </c>
      <c r="S485" s="447">
        <f t="array" ref="S485">INDEX(MINVALUES,$Q485,$K$1)</f>
        <v>2.2</v>
      </c>
      <c r="T485" s="448">
        <f t="array" ref="T485">INDEX(INCVALUES,$Q485,$K$1)</f>
        <v>0.03</v>
      </c>
      <c r="V485">
        <f t="array" ref="V485">+J485+(4*(INDEX(MatchScoreTable,$Q485,20)-1))</f>
        <v>4</v>
      </c>
      <c r="W485" s="442">
        <f t="array" ref="W485">INDEX(INC_MINVALUES,$V485,$K$1)</f>
        <v>0.2</v>
      </c>
      <c r="X485" s="212">
        <f t="array" ref="X485">INDEX(INC_INCVALUES,$V485,$K$1)</f>
        <v>0.02</v>
      </c>
    </row>
    <row r="486" ht="15.75" customHeight="1">
      <c r="A486" s="435"/>
      <c r="B486" s="436"/>
      <c r="C486" s="95" t="str">
        <f t="array" ref="C486">IF(I486&gt;0,INDEX(DB,I486,8),"")</f>
        <v/>
      </c>
      <c r="D486" s="437">
        <f t="shared" si="1"/>
        <v>0</v>
      </c>
      <c r="F486" s="438">
        <f t="shared" si="2"/>
        <v>0</v>
      </c>
      <c r="G486" t="str">
        <f t="shared" si="3"/>
        <v/>
      </c>
      <c r="H486" t="b">
        <f t="shared" si="4"/>
        <v>0</v>
      </c>
      <c r="I486" s="439">
        <f>IF(OR(ISBLANK(A486),ISNA(MATCH(A486&amp;"",AthleteNumbers,0))),0,MATCH(A486&amp;"",AthleteNumbers,0))</f>
        <v>0</v>
      </c>
      <c r="J486" s="209">
        <f t="array" ref="J486">IF(I486&gt;0,INDEX(DB,$I486,6),0)</f>
        <v>0</v>
      </c>
      <c r="K486" s="446">
        <f t="shared" si="5"/>
        <v>0</v>
      </c>
      <c r="L486" s="446">
        <f t="shared" si="6"/>
        <v>0</v>
      </c>
      <c r="M486" s="441">
        <f>IF(L486&lt;O486,MinPoints,IF(AND(L486&gt;N486,O486&gt;0),100,+INT(($L486-O486)/P486)+MinPoints))</f>
        <v>10</v>
      </c>
      <c r="N486" s="440">
        <f t="shared" si="7"/>
        <v>4.9</v>
      </c>
      <c r="O486" s="440">
        <f t="shared" si="8"/>
        <v>2.2</v>
      </c>
      <c r="P486" s="440">
        <f t="shared" si="9"/>
        <v>0.03</v>
      </c>
      <c r="Q486">
        <f t="array" ref="Q486">IF(I486&gt;0,INDEX(DB,I486,9),EventIndex)</f>
        <v>6</v>
      </c>
      <c r="S486" s="447">
        <f t="array" ref="S486">INDEX(MINVALUES,$Q486,$K$1)</f>
        <v>2.2</v>
      </c>
      <c r="T486" s="448">
        <f t="array" ref="T486">INDEX(INCVALUES,$Q486,$K$1)</f>
        <v>0.03</v>
      </c>
      <c r="V486">
        <f t="array" ref="V486">+J486+(4*(INDEX(MatchScoreTable,$Q486,20)-1))</f>
        <v>4</v>
      </c>
      <c r="W486" s="442">
        <f t="array" ref="W486">INDEX(INC_MINVALUES,$V486,$K$1)</f>
        <v>0.2</v>
      </c>
      <c r="X486" s="212">
        <f t="array" ref="X486">INDEX(INC_INCVALUES,$V486,$K$1)</f>
        <v>0.02</v>
      </c>
    </row>
    <row r="487" ht="15.75" customHeight="1">
      <c r="A487" s="435"/>
      <c r="B487" s="436"/>
      <c r="C487" s="95" t="str">
        <f t="array" ref="C487">IF(I487&gt;0,INDEX(DB,I487,8),"")</f>
        <v/>
      </c>
      <c r="D487" s="437">
        <f t="shared" si="1"/>
        <v>0</v>
      </c>
      <c r="F487" s="438">
        <f t="shared" si="2"/>
        <v>0</v>
      </c>
      <c r="G487" t="str">
        <f t="shared" si="3"/>
        <v/>
      </c>
      <c r="H487" t="b">
        <f t="shared" si="4"/>
        <v>0</v>
      </c>
      <c r="I487" s="439">
        <f>IF(OR(ISBLANK(A487),ISNA(MATCH(A487&amp;"",AthleteNumbers,0))),0,MATCH(A487&amp;"",AthleteNumbers,0))</f>
        <v>0</v>
      </c>
      <c r="J487" s="209">
        <f t="array" ref="J487">IF(I487&gt;0,INDEX(DB,$I487,6),0)</f>
        <v>0</v>
      </c>
      <c r="K487" s="446">
        <f t="shared" si="5"/>
        <v>0</v>
      </c>
      <c r="L487" s="446">
        <f t="shared" si="6"/>
        <v>0</v>
      </c>
      <c r="M487" s="441">
        <f>IF(L487&lt;O487,MinPoints,IF(AND(L487&gt;N487,O487&gt;0),100,+INT(($L487-O487)/P487)+MinPoints))</f>
        <v>10</v>
      </c>
      <c r="N487" s="440">
        <f t="shared" si="7"/>
        <v>4.9</v>
      </c>
      <c r="O487" s="440">
        <f t="shared" si="8"/>
        <v>2.2</v>
      </c>
      <c r="P487" s="440">
        <f t="shared" si="9"/>
        <v>0.03</v>
      </c>
      <c r="Q487">
        <f t="array" ref="Q487">IF(I487&gt;0,INDEX(DB,I487,9),EventIndex)</f>
        <v>6</v>
      </c>
      <c r="S487" s="447">
        <f t="array" ref="S487">INDEX(MINVALUES,$Q487,$K$1)</f>
        <v>2.2</v>
      </c>
      <c r="T487" s="448">
        <f t="array" ref="T487">INDEX(INCVALUES,$Q487,$K$1)</f>
        <v>0.03</v>
      </c>
      <c r="V487">
        <f t="array" ref="V487">+J487+(4*(INDEX(MatchScoreTable,$Q487,20)-1))</f>
        <v>4</v>
      </c>
      <c r="W487" s="442">
        <f t="array" ref="W487">INDEX(INC_MINVALUES,$V487,$K$1)</f>
        <v>0.2</v>
      </c>
      <c r="X487" s="212">
        <f t="array" ref="X487">INDEX(INC_INCVALUES,$V487,$K$1)</f>
        <v>0.02</v>
      </c>
    </row>
    <row r="488" ht="15.75" customHeight="1">
      <c r="A488" s="435"/>
      <c r="B488" s="436"/>
      <c r="C488" s="95" t="str">
        <f t="array" ref="C488">IF(I488&gt;0,INDEX(DB,I488,8),"")</f>
        <v/>
      </c>
      <c r="D488" s="437">
        <f t="shared" si="1"/>
        <v>0</v>
      </c>
      <c r="F488" s="438">
        <f t="shared" si="2"/>
        <v>0</v>
      </c>
      <c r="G488" t="str">
        <f t="shared" si="3"/>
        <v/>
      </c>
      <c r="H488" t="b">
        <f t="shared" si="4"/>
        <v>0</v>
      </c>
      <c r="I488" s="439">
        <f>IF(OR(ISBLANK(A488),ISNA(MATCH(A488&amp;"",AthleteNumbers,0))),0,MATCH(A488&amp;"",AthleteNumbers,0))</f>
        <v>0</v>
      </c>
      <c r="J488" s="209">
        <f t="array" ref="J488">IF(I488&gt;0,INDEX(DB,$I488,6),0)</f>
        <v>0</v>
      </c>
      <c r="K488" s="446">
        <f t="shared" si="5"/>
        <v>0</v>
      </c>
      <c r="L488" s="446">
        <f t="shared" si="6"/>
        <v>0</v>
      </c>
      <c r="M488" s="441">
        <f>IF(L488&lt;O488,MinPoints,IF(AND(L488&gt;N488,O488&gt;0),100,+INT(($L488-O488)/P488)+MinPoints))</f>
        <v>10</v>
      </c>
      <c r="N488" s="440">
        <f t="shared" si="7"/>
        <v>4.9</v>
      </c>
      <c r="O488" s="440">
        <f t="shared" si="8"/>
        <v>2.2</v>
      </c>
      <c r="P488" s="440">
        <f t="shared" si="9"/>
        <v>0.03</v>
      </c>
      <c r="Q488">
        <f t="array" ref="Q488">IF(I488&gt;0,INDEX(DB,I488,9),EventIndex)</f>
        <v>6</v>
      </c>
      <c r="S488" s="447">
        <f t="array" ref="S488">INDEX(MINVALUES,$Q488,$K$1)</f>
        <v>2.2</v>
      </c>
      <c r="T488" s="448">
        <f t="array" ref="T488">INDEX(INCVALUES,$Q488,$K$1)</f>
        <v>0.03</v>
      </c>
      <c r="V488">
        <f t="array" ref="V488">+J488+(4*(INDEX(MatchScoreTable,$Q488,20)-1))</f>
        <v>4</v>
      </c>
      <c r="W488" s="442">
        <f t="array" ref="W488">INDEX(INC_MINVALUES,$V488,$K$1)</f>
        <v>0.2</v>
      </c>
      <c r="X488" s="212">
        <f t="array" ref="X488">INDEX(INC_INCVALUES,$V488,$K$1)</f>
        <v>0.02</v>
      </c>
    </row>
    <row r="489" ht="15.75" customHeight="1">
      <c r="A489" s="435"/>
      <c r="B489" s="436"/>
      <c r="C489" s="95" t="str">
        <f t="array" ref="C489">IF(I489&gt;0,INDEX(DB,I489,8),"")</f>
        <v/>
      </c>
      <c r="D489" s="437">
        <f t="shared" si="1"/>
        <v>0</v>
      </c>
      <c r="F489" s="438">
        <f t="shared" si="2"/>
        <v>0</v>
      </c>
      <c r="G489" t="str">
        <f t="shared" si="3"/>
        <v/>
      </c>
      <c r="H489" t="b">
        <f t="shared" si="4"/>
        <v>0</v>
      </c>
      <c r="I489" s="439">
        <f>IF(OR(ISBLANK(A489),ISNA(MATCH(A489&amp;"",AthleteNumbers,0))),0,MATCH(A489&amp;"",AthleteNumbers,0))</f>
        <v>0</v>
      </c>
      <c r="J489" s="209">
        <f t="array" ref="J489">IF(I489&gt;0,INDEX(DB,$I489,6),0)</f>
        <v>0</v>
      </c>
      <c r="K489" s="446">
        <f t="shared" si="5"/>
        <v>0</v>
      </c>
      <c r="L489" s="446">
        <f t="shared" si="6"/>
        <v>0</v>
      </c>
      <c r="M489" s="441">
        <f>IF(L489&lt;O489,MinPoints,IF(AND(L489&gt;N489,O489&gt;0),100,+INT(($L489-O489)/P489)+MinPoints))</f>
        <v>10</v>
      </c>
      <c r="N489" s="440">
        <f t="shared" si="7"/>
        <v>4.9</v>
      </c>
      <c r="O489" s="440">
        <f t="shared" si="8"/>
        <v>2.2</v>
      </c>
      <c r="P489" s="440">
        <f t="shared" si="9"/>
        <v>0.03</v>
      </c>
      <c r="Q489">
        <f t="array" ref="Q489">IF(I489&gt;0,INDEX(DB,I489,9),EventIndex)</f>
        <v>6</v>
      </c>
      <c r="S489" s="447">
        <f t="array" ref="S489">INDEX(MINVALUES,$Q489,$K$1)</f>
        <v>2.2</v>
      </c>
      <c r="T489" s="448">
        <f t="array" ref="T489">INDEX(INCVALUES,$Q489,$K$1)</f>
        <v>0.03</v>
      </c>
      <c r="V489">
        <f t="array" ref="V489">+J489+(4*(INDEX(MatchScoreTable,$Q489,20)-1))</f>
        <v>4</v>
      </c>
      <c r="W489" s="442">
        <f t="array" ref="W489">INDEX(INC_MINVALUES,$V489,$K$1)</f>
        <v>0.2</v>
      </c>
      <c r="X489" s="212">
        <f t="array" ref="X489">INDEX(INC_INCVALUES,$V489,$K$1)</f>
        <v>0.02</v>
      </c>
    </row>
    <row r="490" ht="15.75" customHeight="1">
      <c r="A490" s="435"/>
      <c r="B490" s="436"/>
      <c r="C490" s="95" t="str">
        <f t="array" ref="C490">IF(I490&gt;0,INDEX(DB,I490,8),"")</f>
        <v/>
      </c>
      <c r="D490" s="437">
        <f t="shared" si="1"/>
        <v>0</v>
      </c>
      <c r="F490" s="438">
        <f t="shared" si="2"/>
        <v>0</v>
      </c>
      <c r="G490" t="str">
        <f t="shared" si="3"/>
        <v/>
      </c>
      <c r="H490" t="b">
        <f t="shared" si="4"/>
        <v>0</v>
      </c>
      <c r="I490" s="439">
        <f>IF(OR(ISBLANK(A490),ISNA(MATCH(A490&amp;"",AthleteNumbers,0))),0,MATCH(A490&amp;"",AthleteNumbers,0))</f>
        <v>0</v>
      </c>
      <c r="J490" s="209">
        <f t="array" ref="J490">IF(I490&gt;0,INDEX(DB,$I490,6),0)</f>
        <v>0</v>
      </c>
      <c r="K490" s="446">
        <f t="shared" si="5"/>
        <v>0</v>
      </c>
      <c r="L490" s="446">
        <f t="shared" si="6"/>
        <v>0</v>
      </c>
      <c r="M490" s="441">
        <f>IF(L490&lt;O490,MinPoints,IF(AND(L490&gt;N490,O490&gt;0),100,+INT(($L490-O490)/P490)+MinPoints))</f>
        <v>10</v>
      </c>
      <c r="N490" s="440">
        <f t="shared" si="7"/>
        <v>4.9</v>
      </c>
      <c r="O490" s="440">
        <f t="shared" si="8"/>
        <v>2.2</v>
      </c>
      <c r="P490" s="440">
        <f t="shared" si="9"/>
        <v>0.03</v>
      </c>
      <c r="Q490">
        <f t="array" ref="Q490">IF(I490&gt;0,INDEX(DB,I490,9),EventIndex)</f>
        <v>6</v>
      </c>
      <c r="S490" s="447">
        <f t="array" ref="S490">INDEX(MINVALUES,$Q490,$K$1)</f>
        <v>2.2</v>
      </c>
      <c r="T490" s="448">
        <f t="array" ref="T490">INDEX(INCVALUES,$Q490,$K$1)</f>
        <v>0.03</v>
      </c>
      <c r="V490">
        <f t="array" ref="V490">+J490+(4*(INDEX(MatchScoreTable,$Q490,20)-1))</f>
        <v>4</v>
      </c>
      <c r="W490" s="442">
        <f t="array" ref="W490">INDEX(INC_MINVALUES,$V490,$K$1)</f>
        <v>0.2</v>
      </c>
      <c r="X490" s="212">
        <f t="array" ref="X490">INDEX(INC_INCVALUES,$V490,$K$1)</f>
        <v>0.02</v>
      </c>
    </row>
    <row r="491" ht="15.75" customHeight="1">
      <c r="A491" s="435"/>
      <c r="B491" s="436"/>
      <c r="C491" s="95" t="str">
        <f t="array" ref="C491">IF(I491&gt;0,INDEX(DB,I491,8),"")</f>
        <v/>
      </c>
      <c r="D491" s="437">
        <f t="shared" si="1"/>
        <v>0</v>
      </c>
      <c r="F491" s="438">
        <f t="shared" si="2"/>
        <v>0</v>
      </c>
      <c r="G491" t="str">
        <f t="shared" si="3"/>
        <v/>
      </c>
      <c r="H491" t="b">
        <f t="shared" si="4"/>
        <v>0</v>
      </c>
      <c r="I491" s="439">
        <f>IF(OR(ISBLANK(A491),ISNA(MATCH(A491&amp;"",AthleteNumbers,0))),0,MATCH(A491&amp;"",AthleteNumbers,0))</f>
        <v>0</v>
      </c>
      <c r="J491" s="209">
        <f t="array" ref="J491">IF(I491&gt;0,INDEX(DB,$I491,6),0)</f>
        <v>0</v>
      </c>
      <c r="K491" s="446">
        <f t="shared" si="5"/>
        <v>0</v>
      </c>
      <c r="L491" s="446">
        <f t="shared" si="6"/>
        <v>0</v>
      </c>
      <c r="M491" s="441">
        <f>IF(L491&lt;O491,MinPoints,IF(AND(L491&gt;N491,O491&gt;0),100,+INT(($L491-O491)/P491)+MinPoints))</f>
        <v>10</v>
      </c>
      <c r="N491" s="440">
        <f t="shared" si="7"/>
        <v>4.9</v>
      </c>
      <c r="O491" s="440">
        <f t="shared" si="8"/>
        <v>2.2</v>
      </c>
      <c r="P491" s="440">
        <f t="shared" si="9"/>
        <v>0.03</v>
      </c>
      <c r="Q491">
        <f t="array" ref="Q491">IF(I491&gt;0,INDEX(DB,I491,9),EventIndex)</f>
        <v>6</v>
      </c>
      <c r="S491" s="447">
        <f t="array" ref="S491">INDEX(MINVALUES,$Q491,$K$1)</f>
        <v>2.2</v>
      </c>
      <c r="T491" s="448">
        <f t="array" ref="T491">INDEX(INCVALUES,$Q491,$K$1)</f>
        <v>0.03</v>
      </c>
      <c r="V491">
        <f t="array" ref="V491">+J491+(4*(INDEX(MatchScoreTable,$Q491,20)-1))</f>
        <v>4</v>
      </c>
      <c r="W491" s="442">
        <f t="array" ref="W491">INDEX(INC_MINVALUES,$V491,$K$1)</f>
        <v>0.2</v>
      </c>
      <c r="X491" s="212">
        <f t="array" ref="X491">INDEX(INC_INCVALUES,$V491,$K$1)</f>
        <v>0.02</v>
      </c>
    </row>
    <row r="492" ht="15.75" customHeight="1">
      <c r="A492" s="435"/>
      <c r="B492" s="436"/>
      <c r="C492" s="95" t="str">
        <f t="array" ref="C492">IF(I492&gt;0,INDEX(DB,I492,8),"")</f>
        <v/>
      </c>
      <c r="D492" s="437">
        <f t="shared" si="1"/>
        <v>0</v>
      </c>
      <c r="F492" s="438">
        <f t="shared" si="2"/>
        <v>0</v>
      </c>
      <c r="G492" t="str">
        <f t="shared" si="3"/>
        <v/>
      </c>
      <c r="H492" t="b">
        <f t="shared" si="4"/>
        <v>0</v>
      </c>
      <c r="I492" s="439">
        <f>IF(OR(ISBLANK(A492),ISNA(MATCH(A492&amp;"",AthleteNumbers,0))),0,MATCH(A492&amp;"",AthleteNumbers,0))</f>
        <v>0</v>
      </c>
      <c r="J492" s="209">
        <f t="array" ref="J492">IF(I492&gt;0,INDEX(DB,$I492,6),0)</f>
        <v>0</v>
      </c>
      <c r="K492" s="446">
        <f t="shared" si="5"/>
        <v>0</v>
      </c>
      <c r="L492" s="446">
        <f t="shared" si="6"/>
        <v>0</v>
      </c>
      <c r="M492" s="441">
        <f>IF(L492&lt;O492,MinPoints,IF(AND(L492&gt;N492,O492&gt;0),100,+INT(($L492-O492)/P492)+MinPoints))</f>
        <v>10</v>
      </c>
      <c r="N492" s="440">
        <f t="shared" si="7"/>
        <v>4.9</v>
      </c>
      <c r="O492" s="440">
        <f t="shared" si="8"/>
        <v>2.2</v>
      </c>
      <c r="P492" s="440">
        <f t="shared" si="9"/>
        <v>0.03</v>
      </c>
      <c r="Q492">
        <f t="array" ref="Q492">IF(I492&gt;0,INDEX(DB,I492,9),EventIndex)</f>
        <v>6</v>
      </c>
      <c r="S492" s="447">
        <f t="array" ref="S492">INDEX(MINVALUES,$Q492,$K$1)</f>
        <v>2.2</v>
      </c>
      <c r="T492" s="448">
        <f t="array" ref="T492">INDEX(INCVALUES,$Q492,$K$1)</f>
        <v>0.03</v>
      </c>
      <c r="V492">
        <f t="array" ref="V492">+J492+(4*(INDEX(MatchScoreTable,$Q492,20)-1))</f>
        <v>4</v>
      </c>
      <c r="W492" s="442">
        <f t="array" ref="W492">INDEX(INC_MINVALUES,$V492,$K$1)</f>
        <v>0.2</v>
      </c>
      <c r="X492" s="212">
        <f t="array" ref="X492">INDEX(INC_INCVALUES,$V492,$K$1)</f>
        <v>0.02</v>
      </c>
    </row>
    <row r="493" ht="15.75" customHeight="1">
      <c r="A493" s="435"/>
      <c r="B493" s="436"/>
      <c r="C493" s="95" t="str">
        <f t="array" ref="C493">IF(I493&gt;0,INDEX(DB,I493,8),"")</f>
        <v/>
      </c>
      <c r="D493" s="437">
        <f t="shared" si="1"/>
        <v>0</v>
      </c>
      <c r="F493" s="438">
        <f t="shared" si="2"/>
        <v>0</v>
      </c>
      <c r="G493" t="str">
        <f t="shared" si="3"/>
        <v/>
      </c>
      <c r="H493" t="b">
        <f t="shared" si="4"/>
        <v>0</v>
      </c>
      <c r="I493" s="439">
        <f>IF(OR(ISBLANK(A493),ISNA(MATCH(A493&amp;"",AthleteNumbers,0))),0,MATCH(A493&amp;"",AthleteNumbers,0))</f>
        <v>0</v>
      </c>
      <c r="J493" s="209">
        <f t="array" ref="J493">IF(I493&gt;0,INDEX(DB,$I493,6),0)</f>
        <v>0</v>
      </c>
      <c r="K493" s="446">
        <f t="shared" si="5"/>
        <v>0</v>
      </c>
      <c r="L493" s="446">
        <f t="shared" si="6"/>
        <v>0</v>
      </c>
      <c r="M493" s="441">
        <f>IF(L493&lt;O493,MinPoints,IF(AND(L493&gt;N493,O493&gt;0),100,+INT(($L493-O493)/P493)+MinPoints))</f>
        <v>10</v>
      </c>
      <c r="N493" s="440">
        <f t="shared" si="7"/>
        <v>4.9</v>
      </c>
      <c r="O493" s="440">
        <f t="shared" si="8"/>
        <v>2.2</v>
      </c>
      <c r="P493" s="440">
        <f t="shared" si="9"/>
        <v>0.03</v>
      </c>
      <c r="Q493">
        <f t="array" ref="Q493">IF(I493&gt;0,INDEX(DB,I493,9),EventIndex)</f>
        <v>6</v>
      </c>
      <c r="S493" s="447">
        <f t="array" ref="S493">INDEX(MINVALUES,$Q493,$K$1)</f>
        <v>2.2</v>
      </c>
      <c r="T493" s="448">
        <f t="array" ref="T493">INDEX(INCVALUES,$Q493,$K$1)</f>
        <v>0.03</v>
      </c>
      <c r="V493">
        <f t="array" ref="V493">+J493+(4*(INDEX(MatchScoreTable,$Q493,20)-1))</f>
        <v>4</v>
      </c>
      <c r="W493" s="442">
        <f t="array" ref="W493">INDEX(INC_MINVALUES,$V493,$K$1)</f>
        <v>0.2</v>
      </c>
      <c r="X493" s="212">
        <f t="array" ref="X493">INDEX(INC_INCVALUES,$V493,$K$1)</f>
        <v>0.02</v>
      </c>
    </row>
    <row r="494" ht="15.75" customHeight="1">
      <c r="A494" s="435"/>
      <c r="B494" s="436"/>
      <c r="C494" s="95" t="str">
        <f t="array" ref="C494">IF(I494&gt;0,INDEX(DB,I494,8),"")</f>
        <v/>
      </c>
      <c r="D494" s="437">
        <f t="shared" si="1"/>
        <v>0</v>
      </c>
      <c r="F494" s="438">
        <f t="shared" si="2"/>
        <v>0</v>
      </c>
      <c r="G494" t="str">
        <f t="shared" si="3"/>
        <v/>
      </c>
      <c r="H494" t="b">
        <f t="shared" si="4"/>
        <v>0</v>
      </c>
      <c r="I494" s="439">
        <f>IF(OR(ISBLANK(A494),ISNA(MATCH(A494&amp;"",AthleteNumbers,0))),0,MATCH(A494&amp;"",AthleteNumbers,0))</f>
        <v>0</v>
      </c>
      <c r="J494" s="209">
        <f t="array" ref="J494">IF(I494&gt;0,INDEX(DB,$I494,6),0)</f>
        <v>0</v>
      </c>
      <c r="K494" s="446">
        <f t="shared" si="5"/>
        <v>0</v>
      </c>
      <c r="L494" s="446">
        <f t="shared" si="6"/>
        <v>0</v>
      </c>
      <c r="M494" s="441">
        <f>IF(L494&lt;O494,MinPoints,IF(AND(L494&gt;N494,O494&gt;0),100,+INT(($L494-O494)/P494)+MinPoints))</f>
        <v>10</v>
      </c>
      <c r="N494" s="440">
        <f t="shared" si="7"/>
        <v>4.9</v>
      </c>
      <c r="O494" s="440">
        <f t="shared" si="8"/>
        <v>2.2</v>
      </c>
      <c r="P494" s="440">
        <f t="shared" si="9"/>
        <v>0.03</v>
      </c>
      <c r="Q494">
        <f t="array" ref="Q494">IF(I494&gt;0,INDEX(DB,I494,9),EventIndex)</f>
        <v>6</v>
      </c>
      <c r="S494" s="447">
        <f t="array" ref="S494">INDEX(MINVALUES,$Q494,$K$1)</f>
        <v>2.2</v>
      </c>
      <c r="T494" s="448">
        <f t="array" ref="T494">INDEX(INCVALUES,$Q494,$K$1)</f>
        <v>0.03</v>
      </c>
      <c r="V494">
        <f t="array" ref="V494">+J494+(4*(INDEX(MatchScoreTable,$Q494,20)-1))</f>
        <v>4</v>
      </c>
      <c r="W494" s="442">
        <f t="array" ref="W494">INDEX(INC_MINVALUES,$V494,$K$1)</f>
        <v>0.2</v>
      </c>
      <c r="X494" s="212">
        <f t="array" ref="X494">INDEX(INC_INCVALUES,$V494,$K$1)</f>
        <v>0.02</v>
      </c>
    </row>
    <row r="495" ht="15.75" customHeight="1">
      <c r="A495" s="435"/>
      <c r="B495" s="436"/>
      <c r="C495" s="95" t="str">
        <f t="array" ref="C495">IF(I495&gt;0,INDEX(DB,I495,8),"")</f>
        <v/>
      </c>
      <c r="D495" s="437">
        <f t="shared" si="1"/>
        <v>0</v>
      </c>
      <c r="F495" s="438">
        <f t="shared" si="2"/>
        <v>0</v>
      </c>
      <c r="G495" t="str">
        <f t="shared" si="3"/>
        <v/>
      </c>
      <c r="H495" t="b">
        <f t="shared" si="4"/>
        <v>0</v>
      </c>
      <c r="I495" s="439">
        <f>IF(OR(ISBLANK(A495),ISNA(MATCH(A495&amp;"",AthleteNumbers,0))),0,MATCH(A495&amp;"",AthleteNumbers,0))</f>
        <v>0</v>
      </c>
      <c r="J495" s="209">
        <f t="array" ref="J495">IF(I495&gt;0,INDEX(DB,$I495,6),0)</f>
        <v>0</v>
      </c>
      <c r="K495" s="446">
        <f t="shared" si="5"/>
        <v>0</v>
      </c>
      <c r="L495" s="446">
        <f t="shared" si="6"/>
        <v>0</v>
      </c>
      <c r="M495" s="441">
        <f>IF(L495&lt;O495,MinPoints,IF(AND(L495&gt;N495,O495&gt;0),100,+INT(($L495-O495)/P495)+MinPoints))</f>
        <v>10</v>
      </c>
      <c r="N495" s="440">
        <f t="shared" si="7"/>
        <v>4.9</v>
      </c>
      <c r="O495" s="440">
        <f t="shared" si="8"/>
        <v>2.2</v>
      </c>
      <c r="P495" s="440">
        <f t="shared" si="9"/>
        <v>0.03</v>
      </c>
      <c r="Q495">
        <f t="array" ref="Q495">IF(I495&gt;0,INDEX(DB,I495,9),EventIndex)</f>
        <v>6</v>
      </c>
      <c r="S495" s="447">
        <f t="array" ref="S495">INDEX(MINVALUES,$Q495,$K$1)</f>
        <v>2.2</v>
      </c>
      <c r="T495" s="448">
        <f t="array" ref="T495">INDEX(INCVALUES,$Q495,$K$1)</f>
        <v>0.03</v>
      </c>
      <c r="V495">
        <f t="array" ref="V495">+J495+(4*(INDEX(MatchScoreTable,$Q495,20)-1))</f>
        <v>4</v>
      </c>
      <c r="W495" s="442">
        <f t="array" ref="W495">INDEX(INC_MINVALUES,$V495,$K$1)</f>
        <v>0.2</v>
      </c>
      <c r="X495" s="212">
        <f t="array" ref="X495">INDEX(INC_INCVALUES,$V495,$K$1)</f>
        <v>0.02</v>
      </c>
    </row>
    <row r="496" ht="15.75" customHeight="1">
      <c r="A496" s="435"/>
      <c r="B496" s="436"/>
      <c r="C496" s="95" t="str">
        <f t="array" ref="C496">IF(I496&gt;0,INDEX(DB,I496,8),"")</f>
        <v/>
      </c>
      <c r="D496" s="437">
        <f t="shared" si="1"/>
        <v>0</v>
      </c>
      <c r="F496" s="438">
        <f t="shared" si="2"/>
        <v>0</v>
      </c>
      <c r="G496" t="str">
        <f t="shared" si="3"/>
        <v/>
      </c>
      <c r="H496" t="b">
        <f t="shared" si="4"/>
        <v>0</v>
      </c>
      <c r="I496" s="439">
        <f>IF(OR(ISBLANK(A496),ISNA(MATCH(A496&amp;"",AthleteNumbers,0))),0,MATCH(A496&amp;"",AthleteNumbers,0))</f>
        <v>0</v>
      </c>
      <c r="J496" s="209">
        <f t="array" ref="J496">IF(I496&gt;0,INDEX(DB,$I496,6),0)</f>
        <v>0</v>
      </c>
      <c r="K496" s="446">
        <f t="shared" si="5"/>
        <v>0</v>
      </c>
      <c r="L496" s="446">
        <f t="shared" si="6"/>
        <v>0</v>
      </c>
      <c r="M496" s="441">
        <f>IF(L496&lt;O496,MinPoints,IF(AND(L496&gt;N496,O496&gt;0),100,+INT(($L496-O496)/P496)+MinPoints))</f>
        <v>10</v>
      </c>
      <c r="N496" s="440">
        <f t="shared" si="7"/>
        <v>4.9</v>
      </c>
      <c r="O496" s="440">
        <f t="shared" si="8"/>
        <v>2.2</v>
      </c>
      <c r="P496" s="440">
        <f t="shared" si="9"/>
        <v>0.03</v>
      </c>
      <c r="Q496">
        <f t="array" ref="Q496">IF(I496&gt;0,INDEX(DB,I496,9),EventIndex)</f>
        <v>6</v>
      </c>
      <c r="S496" s="447">
        <f t="array" ref="S496">INDEX(MINVALUES,$Q496,$K$1)</f>
        <v>2.2</v>
      </c>
      <c r="T496" s="448">
        <f t="array" ref="T496">INDEX(INCVALUES,$Q496,$K$1)</f>
        <v>0.03</v>
      </c>
      <c r="V496">
        <f t="array" ref="V496">+J496+(4*(INDEX(MatchScoreTable,$Q496,20)-1))</f>
        <v>4</v>
      </c>
      <c r="W496" s="442">
        <f t="array" ref="W496">INDEX(INC_MINVALUES,$V496,$K$1)</f>
        <v>0.2</v>
      </c>
      <c r="X496" s="212">
        <f t="array" ref="X496">INDEX(INC_INCVALUES,$V496,$K$1)</f>
        <v>0.02</v>
      </c>
    </row>
    <row r="497" ht="15.75" customHeight="1">
      <c r="A497" s="435"/>
      <c r="B497" s="436"/>
      <c r="C497" s="95" t="str">
        <f t="array" ref="C497">IF(I497&gt;0,INDEX(DB,I497,8),"")</f>
        <v/>
      </c>
      <c r="D497" s="437">
        <f t="shared" si="1"/>
        <v>0</v>
      </c>
      <c r="F497" s="438">
        <f t="shared" si="2"/>
        <v>0</v>
      </c>
      <c r="G497" t="str">
        <f t="shared" si="3"/>
        <v/>
      </c>
      <c r="H497" t="b">
        <f t="shared" si="4"/>
        <v>0</v>
      </c>
      <c r="I497" s="439">
        <f>IF(OR(ISBLANK(A497),ISNA(MATCH(A497&amp;"",AthleteNumbers,0))),0,MATCH(A497&amp;"",AthleteNumbers,0))</f>
        <v>0</v>
      </c>
      <c r="J497" s="209">
        <f t="array" ref="J497">IF(I497&gt;0,INDEX(DB,$I497,6),0)</f>
        <v>0</v>
      </c>
      <c r="K497" s="446">
        <f t="shared" si="5"/>
        <v>0</v>
      </c>
      <c r="L497" s="446">
        <f t="shared" si="6"/>
        <v>0</v>
      </c>
      <c r="M497" s="441">
        <f>IF(L497&lt;O497,MinPoints,IF(AND(L497&gt;N497,O497&gt;0),100,+INT(($L497-O497)/P497)+MinPoints))</f>
        <v>10</v>
      </c>
      <c r="N497" s="440">
        <f t="shared" si="7"/>
        <v>4.9</v>
      </c>
      <c r="O497" s="440">
        <f t="shared" si="8"/>
        <v>2.2</v>
      </c>
      <c r="P497" s="440">
        <f t="shared" si="9"/>
        <v>0.03</v>
      </c>
      <c r="Q497">
        <f t="array" ref="Q497">IF(I497&gt;0,INDEX(DB,I497,9),EventIndex)</f>
        <v>6</v>
      </c>
      <c r="S497" s="447">
        <f t="array" ref="S497">INDEX(MINVALUES,$Q497,$K$1)</f>
        <v>2.2</v>
      </c>
      <c r="T497" s="448">
        <f t="array" ref="T497">INDEX(INCVALUES,$Q497,$K$1)</f>
        <v>0.03</v>
      </c>
      <c r="V497">
        <f t="array" ref="V497">+J497+(4*(INDEX(MatchScoreTable,$Q497,20)-1))</f>
        <v>4</v>
      </c>
      <c r="W497" s="442">
        <f t="array" ref="W497">INDEX(INC_MINVALUES,$V497,$K$1)</f>
        <v>0.2</v>
      </c>
      <c r="X497" s="212">
        <f t="array" ref="X497">INDEX(INC_INCVALUES,$V497,$K$1)</f>
        <v>0.02</v>
      </c>
    </row>
    <row r="498" ht="15.75" customHeight="1">
      <c r="A498" s="435"/>
      <c r="B498" s="436"/>
      <c r="C498" s="95" t="str">
        <f t="array" ref="C498">IF(I498&gt;0,INDEX(DB,I498,8),"")</f>
        <v/>
      </c>
      <c r="D498" s="437">
        <f t="shared" si="1"/>
        <v>0</v>
      </c>
      <c r="F498" s="438">
        <f t="shared" si="2"/>
        <v>0</v>
      </c>
      <c r="G498" t="str">
        <f t="shared" si="3"/>
        <v/>
      </c>
      <c r="H498" t="b">
        <f t="shared" si="4"/>
        <v>0</v>
      </c>
      <c r="I498" s="439">
        <f>IF(OR(ISBLANK(A498),ISNA(MATCH(A498&amp;"",AthleteNumbers,0))),0,MATCH(A498&amp;"",AthleteNumbers,0))</f>
        <v>0</v>
      </c>
      <c r="J498" s="209">
        <f t="array" ref="J498">IF(I498&gt;0,INDEX(DB,$I498,6),0)</f>
        <v>0</v>
      </c>
      <c r="K498" s="446">
        <f t="shared" si="5"/>
        <v>0</v>
      </c>
      <c r="L498" s="446">
        <f t="shared" si="6"/>
        <v>0</v>
      </c>
      <c r="M498" s="441">
        <f>IF(L498&lt;O498,MinPoints,IF(AND(L498&gt;N498,O498&gt;0),100,+INT(($L498-O498)/P498)+MinPoints))</f>
        <v>10</v>
      </c>
      <c r="N498" s="440">
        <f t="shared" si="7"/>
        <v>4.9</v>
      </c>
      <c r="O498" s="440">
        <f t="shared" si="8"/>
        <v>2.2</v>
      </c>
      <c r="P498" s="440">
        <f t="shared" si="9"/>
        <v>0.03</v>
      </c>
      <c r="Q498">
        <f t="array" ref="Q498">IF(I498&gt;0,INDEX(DB,I498,9),EventIndex)</f>
        <v>6</v>
      </c>
      <c r="S498" s="447">
        <f t="array" ref="S498">INDEX(MINVALUES,$Q498,$K$1)</f>
        <v>2.2</v>
      </c>
      <c r="T498" s="448">
        <f t="array" ref="T498">INDEX(INCVALUES,$Q498,$K$1)</f>
        <v>0.03</v>
      </c>
      <c r="V498">
        <f t="array" ref="V498">+J498+(4*(INDEX(MatchScoreTable,$Q498,20)-1))</f>
        <v>4</v>
      </c>
      <c r="W498" s="442">
        <f t="array" ref="W498">INDEX(INC_MINVALUES,$V498,$K$1)</f>
        <v>0.2</v>
      </c>
      <c r="X498" s="212">
        <f t="array" ref="X498">INDEX(INC_INCVALUES,$V498,$K$1)</f>
        <v>0.02</v>
      </c>
    </row>
    <row r="499" ht="15.75" customHeight="1">
      <c r="A499" s="435"/>
      <c r="B499" s="436"/>
      <c r="C499" s="95" t="str">
        <f t="array" ref="C499">IF(I499&gt;0,INDEX(DB,I499,8),"")</f>
        <v/>
      </c>
      <c r="D499" s="437">
        <f t="shared" si="1"/>
        <v>0</v>
      </c>
      <c r="F499" s="438">
        <f t="shared" si="2"/>
        <v>0</v>
      </c>
      <c r="G499" t="str">
        <f t="shared" si="3"/>
        <v/>
      </c>
      <c r="H499" t="b">
        <f t="shared" si="4"/>
        <v>0</v>
      </c>
      <c r="I499" s="439">
        <f>IF(OR(ISBLANK(A499),ISNA(MATCH(A499&amp;"",AthleteNumbers,0))),0,MATCH(A499&amp;"",AthleteNumbers,0))</f>
        <v>0</v>
      </c>
      <c r="J499" s="209">
        <f t="array" ref="J499">IF(I499&gt;0,INDEX(DB,$I499,6),0)</f>
        <v>0</v>
      </c>
      <c r="K499" s="446">
        <f t="shared" si="5"/>
        <v>0</v>
      </c>
      <c r="L499" s="446">
        <f t="shared" si="6"/>
        <v>0</v>
      </c>
      <c r="M499" s="441">
        <f>IF(L499&lt;O499,MinPoints,IF(AND(L499&gt;N499,O499&gt;0),100,+INT(($L499-O499)/P499)+MinPoints))</f>
        <v>10</v>
      </c>
      <c r="N499" s="440">
        <f t="shared" si="7"/>
        <v>4.9</v>
      </c>
      <c r="O499" s="440">
        <f t="shared" si="8"/>
        <v>2.2</v>
      </c>
      <c r="P499" s="440">
        <f t="shared" si="9"/>
        <v>0.03</v>
      </c>
      <c r="Q499">
        <f t="array" ref="Q499">IF(I499&gt;0,INDEX(DB,I499,9),EventIndex)</f>
        <v>6</v>
      </c>
      <c r="S499" s="447">
        <f t="array" ref="S499">INDEX(MINVALUES,$Q499,$K$1)</f>
        <v>2.2</v>
      </c>
      <c r="T499" s="448">
        <f t="array" ref="T499">INDEX(INCVALUES,$Q499,$K$1)</f>
        <v>0.03</v>
      </c>
      <c r="V499">
        <f t="array" ref="V499">+J499+(4*(INDEX(MatchScoreTable,$Q499,20)-1))</f>
        <v>4</v>
      </c>
      <c r="W499" s="442">
        <f t="array" ref="W499">INDEX(INC_MINVALUES,$V499,$K$1)</f>
        <v>0.2</v>
      </c>
      <c r="X499" s="212">
        <f t="array" ref="X499">INDEX(INC_INCVALUES,$V499,$K$1)</f>
        <v>0.02</v>
      </c>
    </row>
    <row r="500" ht="15.75" customHeight="1">
      <c r="A500" s="435"/>
      <c r="B500" s="436"/>
      <c r="C500" s="95" t="str">
        <f t="array" ref="C500">IF(I500&gt;0,INDEX(DB,I500,8),"")</f>
        <v/>
      </c>
      <c r="D500" s="437">
        <f t="shared" si="1"/>
        <v>0</v>
      </c>
      <c r="F500" s="438">
        <f t="shared" si="2"/>
        <v>0</v>
      </c>
      <c r="G500" t="str">
        <f t="shared" si="3"/>
        <v/>
      </c>
      <c r="H500" t="b">
        <f t="shared" si="4"/>
        <v>0</v>
      </c>
      <c r="I500" s="439">
        <f>IF(OR(ISBLANK(A500),ISNA(MATCH(A500&amp;"",AthleteNumbers,0))),0,MATCH(A500&amp;"",AthleteNumbers,0))</f>
        <v>0</v>
      </c>
      <c r="J500" s="209">
        <f t="array" ref="J500">IF(I500&gt;0,INDEX(DB,$I500,6),0)</f>
        <v>0</v>
      </c>
      <c r="K500" s="446">
        <f t="shared" si="5"/>
        <v>0</v>
      </c>
      <c r="L500" s="446">
        <f t="shared" si="6"/>
        <v>0</v>
      </c>
      <c r="M500" s="441">
        <f>IF(L500&lt;O500,MinPoints,IF(AND(L500&gt;N500,O500&gt;0),100,+INT(($L500-O500)/P500)+MinPoints))</f>
        <v>10</v>
      </c>
      <c r="N500" s="440">
        <f t="shared" si="7"/>
        <v>4.9</v>
      </c>
      <c r="O500" s="440">
        <f t="shared" si="8"/>
        <v>2.2</v>
      </c>
      <c r="P500" s="440">
        <f t="shared" si="9"/>
        <v>0.03</v>
      </c>
      <c r="Q500">
        <f t="array" ref="Q500">IF(I500&gt;0,INDEX(DB,I500,9),EventIndex)</f>
        <v>6</v>
      </c>
      <c r="S500" s="447">
        <f t="array" ref="S500">INDEX(MINVALUES,$Q500,$K$1)</f>
        <v>2.2</v>
      </c>
      <c r="T500" s="448">
        <f t="array" ref="T500">INDEX(INCVALUES,$Q500,$K$1)</f>
        <v>0.03</v>
      </c>
      <c r="V500">
        <f t="array" ref="V500">+J500+(4*(INDEX(MatchScoreTable,$Q500,20)-1))</f>
        <v>4</v>
      </c>
      <c r="W500" s="442">
        <f t="array" ref="W500">INDEX(INC_MINVALUES,$V500,$K$1)</f>
        <v>0.2</v>
      </c>
      <c r="X500" s="212">
        <f t="array" ref="X500">INDEX(INC_INCVALUES,$V500,$K$1)</f>
        <v>0.02</v>
      </c>
    </row>
    <row r="501" ht="15.75" customHeight="1">
      <c r="A501" s="435"/>
      <c r="B501" s="436"/>
      <c r="C501" s="95" t="str">
        <f t="array" ref="C501">IF(I501&gt;0,INDEX(DB,I501,8),"")</f>
        <v/>
      </c>
      <c r="D501" s="437">
        <f t="shared" si="1"/>
        <v>0</v>
      </c>
      <c r="F501" s="438">
        <f t="shared" si="2"/>
        <v>0</v>
      </c>
      <c r="G501" t="str">
        <f t="shared" si="3"/>
        <v/>
      </c>
      <c r="H501" t="b">
        <f t="shared" si="4"/>
        <v>0</v>
      </c>
      <c r="I501" s="439">
        <f>IF(OR(ISBLANK(A501),ISNA(MATCH(A501&amp;"",AthleteNumbers,0))),0,MATCH(A501&amp;"",AthleteNumbers,0))</f>
        <v>0</v>
      </c>
      <c r="J501" s="209">
        <f t="array" ref="J501">IF(I501&gt;0,INDEX(DB,$I501,6),0)</f>
        <v>0</v>
      </c>
      <c r="K501" s="446">
        <f t="shared" si="5"/>
        <v>0</v>
      </c>
      <c r="L501" s="446">
        <f t="shared" si="6"/>
        <v>0</v>
      </c>
      <c r="M501" s="441">
        <f>IF(L501&lt;O501,MinPoints,IF(AND(L501&gt;N501,O501&gt;0),100,+INT(($L501-O501)/P501)+MinPoints))</f>
        <v>10</v>
      </c>
      <c r="N501" s="440">
        <f t="shared" si="7"/>
        <v>4.9</v>
      </c>
      <c r="O501" s="440">
        <f t="shared" si="8"/>
        <v>2.2</v>
      </c>
      <c r="P501" s="440">
        <f t="shared" si="9"/>
        <v>0.03</v>
      </c>
      <c r="Q501">
        <f t="array" ref="Q501">IF(I501&gt;0,INDEX(DB,I501,9),EventIndex)</f>
        <v>6</v>
      </c>
      <c r="S501" s="447">
        <f t="array" ref="S501">INDEX(MINVALUES,$Q501,$K$1)</f>
        <v>2.2</v>
      </c>
      <c r="T501" s="448">
        <f t="array" ref="T501">INDEX(INCVALUES,$Q501,$K$1)</f>
        <v>0.03</v>
      </c>
      <c r="V501">
        <f t="array" ref="V501">+J501+(4*(INDEX(MatchScoreTable,$Q501,20)-1))</f>
        <v>4</v>
      </c>
      <c r="W501" s="442">
        <f t="array" ref="W501">INDEX(INC_MINVALUES,$V501,$K$1)</f>
        <v>0.2</v>
      </c>
      <c r="X501" s="212">
        <f t="array" ref="X501">INDEX(INC_INCVALUES,$V501,$K$1)</f>
        <v>0.02</v>
      </c>
    </row>
    <row r="502" ht="15.75" customHeight="1">
      <c r="A502" s="435"/>
      <c r="B502" s="436"/>
      <c r="C502" s="95" t="str">
        <f t="array" ref="C502">IF(I502&gt;0,INDEX(DB,I502,8),"")</f>
        <v/>
      </c>
      <c r="D502" s="437">
        <f t="shared" si="1"/>
        <v>0</v>
      </c>
      <c r="F502" s="438">
        <f t="shared" si="2"/>
        <v>0</v>
      </c>
      <c r="G502" t="str">
        <f t="shared" si="3"/>
        <v/>
      </c>
      <c r="H502" t="b">
        <f t="shared" si="4"/>
        <v>0</v>
      </c>
      <c r="I502" s="439">
        <f>IF(OR(ISBLANK(A502),ISNA(MATCH(A502&amp;"",AthleteNumbers,0))),0,MATCH(A502&amp;"",AthleteNumbers,0))</f>
        <v>0</v>
      </c>
      <c r="J502" s="209">
        <f t="array" ref="J502">IF(I502&gt;0,INDEX(DB,$I502,6),0)</f>
        <v>0</v>
      </c>
      <c r="K502" s="446">
        <f t="shared" si="5"/>
        <v>0</v>
      </c>
      <c r="L502" s="446">
        <f t="shared" si="6"/>
        <v>0</v>
      </c>
      <c r="M502" s="441">
        <f>IF(L502&lt;O502,MinPoints,IF(AND(L502&gt;N502,O502&gt;0),100,+INT(($L502-O502)/P502)+MinPoints))</f>
        <v>10</v>
      </c>
      <c r="N502" s="440">
        <f t="shared" si="7"/>
        <v>4.9</v>
      </c>
      <c r="O502" s="440">
        <f t="shared" si="8"/>
        <v>2.2</v>
      </c>
      <c r="P502" s="440">
        <f t="shared" si="9"/>
        <v>0.03</v>
      </c>
      <c r="Q502">
        <f t="array" ref="Q502">IF(I502&gt;0,INDEX(DB,I502,9),EventIndex)</f>
        <v>6</v>
      </c>
      <c r="S502" s="447">
        <f t="array" ref="S502">INDEX(MINVALUES,$Q502,$K$1)</f>
        <v>2.2</v>
      </c>
      <c r="T502" s="448">
        <f t="array" ref="T502">INDEX(INCVALUES,$Q502,$K$1)</f>
        <v>0.03</v>
      </c>
      <c r="V502">
        <f t="array" ref="V502">+J502+(4*(INDEX(MatchScoreTable,$Q502,20)-1))</f>
        <v>4</v>
      </c>
      <c r="W502" s="442">
        <f t="array" ref="W502">INDEX(INC_MINVALUES,$V502,$K$1)</f>
        <v>0.2</v>
      </c>
      <c r="X502" s="212">
        <f t="array" ref="X502">INDEX(INC_INCVALUES,$V502,$K$1)</f>
        <v>0.02</v>
      </c>
    </row>
    <row r="503" ht="15.75" customHeight="1">
      <c r="A503" s="435"/>
      <c r="B503" s="436"/>
      <c r="C503" s="95" t="str">
        <f t="array" ref="C503">IF(I503&gt;0,INDEX(DB,I503,8),"")</f>
        <v/>
      </c>
      <c r="D503" s="437">
        <f t="shared" si="1"/>
        <v>0</v>
      </c>
      <c r="F503" s="438">
        <f t="shared" si="2"/>
        <v>0</v>
      </c>
      <c r="G503" t="str">
        <f t="shared" si="3"/>
        <v/>
      </c>
      <c r="H503" t="b">
        <f t="shared" si="4"/>
        <v>0</v>
      </c>
      <c r="I503" s="439">
        <f>IF(OR(ISBLANK(A503),ISNA(MATCH(A503&amp;"",AthleteNumbers,0))),0,MATCH(A503&amp;"",AthleteNumbers,0))</f>
        <v>0</v>
      </c>
      <c r="J503" s="209">
        <f t="array" ref="J503">IF(I503&gt;0,INDEX(DB,$I503,6),0)</f>
        <v>0</v>
      </c>
      <c r="K503" s="446">
        <f t="shared" si="5"/>
        <v>0</v>
      </c>
      <c r="L503" s="446">
        <f t="shared" si="6"/>
        <v>0</v>
      </c>
      <c r="M503" s="441">
        <f>IF(L503&lt;O503,MinPoints,IF(AND(L503&gt;N503,O503&gt;0),100,+INT(($L503-O503)/P503)+MinPoints))</f>
        <v>10</v>
      </c>
      <c r="N503" s="440">
        <f t="shared" si="7"/>
        <v>4.9</v>
      </c>
      <c r="O503" s="440">
        <f t="shared" si="8"/>
        <v>2.2</v>
      </c>
      <c r="P503" s="440">
        <f t="shared" si="9"/>
        <v>0.03</v>
      </c>
      <c r="Q503">
        <f t="array" ref="Q503">IF(I503&gt;0,INDEX(DB,I503,9),EventIndex)</f>
        <v>6</v>
      </c>
      <c r="S503" s="447">
        <f t="array" ref="S503">INDEX(MINVALUES,$Q503,$K$1)</f>
        <v>2.2</v>
      </c>
      <c r="T503" s="448">
        <f t="array" ref="T503">INDEX(INCVALUES,$Q503,$K$1)</f>
        <v>0.03</v>
      </c>
      <c r="V503">
        <f t="array" ref="V503">+J503+(4*(INDEX(MatchScoreTable,$Q503,20)-1))</f>
        <v>4</v>
      </c>
      <c r="W503" s="442">
        <f t="array" ref="W503">INDEX(INC_MINVALUES,$V503,$K$1)</f>
        <v>0.2</v>
      </c>
      <c r="X503" s="212">
        <f t="array" ref="X503">INDEX(INC_INCVALUES,$V503,$K$1)</f>
        <v>0.02</v>
      </c>
    </row>
    <row r="504" ht="15.75" customHeight="1">
      <c r="A504" s="435"/>
      <c r="B504" s="436"/>
      <c r="C504" s="95" t="str">
        <f t="array" ref="C504">IF(I504&gt;0,INDEX(DB,I504,8),"")</f>
        <v/>
      </c>
      <c r="D504" s="437">
        <f t="shared" si="1"/>
        <v>0</v>
      </c>
      <c r="F504" s="438">
        <f t="shared" si="2"/>
        <v>0</v>
      </c>
      <c r="G504" t="str">
        <f t="shared" si="3"/>
        <v/>
      </c>
      <c r="H504" t="b">
        <f t="shared" si="4"/>
        <v>0</v>
      </c>
      <c r="I504" s="439">
        <f>IF(OR(ISBLANK(A504),ISNA(MATCH(A504&amp;"",AthleteNumbers,0))),0,MATCH(A504&amp;"",AthleteNumbers,0))</f>
        <v>0</v>
      </c>
      <c r="J504" s="209">
        <f t="array" ref="J504">IF(I504&gt;0,INDEX(DB,$I504,6),0)</f>
        <v>0</v>
      </c>
      <c r="K504" s="446">
        <f t="shared" si="5"/>
        <v>0</v>
      </c>
      <c r="L504" s="446">
        <f t="shared" si="6"/>
        <v>0</v>
      </c>
      <c r="M504" s="441">
        <f>IF(L504&lt;O504,MinPoints,IF(AND(L504&gt;N504,O504&gt;0),100,+INT(($L504-O504)/P504)+MinPoints))</f>
        <v>10</v>
      </c>
      <c r="N504" s="440">
        <f t="shared" si="7"/>
        <v>4.9</v>
      </c>
      <c r="O504" s="440">
        <f t="shared" si="8"/>
        <v>2.2</v>
      </c>
      <c r="P504" s="440">
        <f t="shared" si="9"/>
        <v>0.03</v>
      </c>
      <c r="Q504">
        <f t="array" ref="Q504">IF(I504&gt;0,INDEX(DB,I504,9),EventIndex)</f>
        <v>6</v>
      </c>
      <c r="S504" s="447">
        <f t="array" ref="S504">INDEX(MINVALUES,$Q504,$K$1)</f>
        <v>2.2</v>
      </c>
      <c r="T504" s="448">
        <f t="array" ref="T504">INDEX(INCVALUES,$Q504,$K$1)</f>
        <v>0.03</v>
      </c>
      <c r="V504">
        <f t="array" ref="V504">+J504+(4*(INDEX(MatchScoreTable,$Q504,20)-1))</f>
        <v>4</v>
      </c>
      <c r="W504" s="442">
        <f t="array" ref="W504">INDEX(INC_MINVALUES,$V504,$K$1)</f>
        <v>0.2</v>
      </c>
      <c r="X504" s="212">
        <f t="array" ref="X504">INDEX(INC_INCVALUES,$V504,$K$1)</f>
        <v>0.02</v>
      </c>
    </row>
    <row r="505" ht="15.75" customHeight="1">
      <c r="A505" s="435"/>
      <c r="B505" s="436"/>
      <c r="C505" s="95" t="str">
        <f t="array" ref="C505">IF(I505&gt;0,INDEX(DB,I505,8),"")</f>
        <v/>
      </c>
      <c r="D505" s="437">
        <f t="shared" si="1"/>
        <v>0</v>
      </c>
      <c r="F505" s="438">
        <f t="shared" si="2"/>
        <v>0</v>
      </c>
      <c r="G505" t="str">
        <f t="shared" si="3"/>
        <v/>
      </c>
      <c r="H505" t="b">
        <f t="shared" si="4"/>
        <v>0</v>
      </c>
      <c r="I505" s="439">
        <f>IF(OR(ISBLANK(A505),ISNA(MATCH(A505&amp;"",AthleteNumbers,0))),0,MATCH(A505&amp;"",AthleteNumbers,0))</f>
        <v>0</v>
      </c>
      <c r="J505" s="209">
        <f t="array" ref="J505">IF(I505&gt;0,INDEX(DB,$I505,6),0)</f>
        <v>0</v>
      </c>
      <c r="K505" s="446">
        <f t="shared" si="5"/>
        <v>0</v>
      </c>
      <c r="L505" s="446">
        <f t="shared" si="6"/>
        <v>0</v>
      </c>
      <c r="M505" s="441">
        <f>IF(L505&lt;O505,MinPoints,IF(AND(L505&gt;N505,O505&gt;0),100,+INT(($L505-O505)/P505)+MinPoints))</f>
        <v>10</v>
      </c>
      <c r="N505" s="440">
        <f t="shared" si="7"/>
        <v>4.9</v>
      </c>
      <c r="O505" s="440">
        <f t="shared" si="8"/>
        <v>2.2</v>
      </c>
      <c r="P505" s="440">
        <f t="shared" si="9"/>
        <v>0.03</v>
      </c>
      <c r="Q505">
        <f t="array" ref="Q505">IF(I505&gt;0,INDEX(DB,I505,9),EventIndex)</f>
        <v>6</v>
      </c>
      <c r="S505" s="447">
        <f t="array" ref="S505">INDEX(MINVALUES,$Q505,$K$1)</f>
        <v>2.2</v>
      </c>
      <c r="T505" s="448">
        <f t="array" ref="T505">INDEX(INCVALUES,$Q505,$K$1)</f>
        <v>0.03</v>
      </c>
      <c r="V505">
        <f t="array" ref="V505">+J505+(4*(INDEX(MatchScoreTable,$Q505,20)-1))</f>
        <v>4</v>
      </c>
      <c r="W505" s="442">
        <f t="array" ref="W505">INDEX(INC_MINVALUES,$V505,$K$1)</f>
        <v>0.2</v>
      </c>
      <c r="X505" s="212">
        <f t="array" ref="X505">INDEX(INC_INCVALUES,$V505,$K$1)</f>
        <v>0.02</v>
      </c>
    </row>
    <row r="506" ht="15.75" customHeight="1">
      <c r="A506" s="435"/>
      <c r="B506" s="436"/>
      <c r="C506" s="95" t="str">
        <f t="array" ref="C506">IF(I506&gt;0,INDEX(DB,I506,8),"")</f>
        <v/>
      </c>
      <c r="D506" s="437">
        <f t="shared" si="1"/>
        <v>0</v>
      </c>
      <c r="F506" s="438">
        <f t="shared" si="2"/>
        <v>0</v>
      </c>
      <c r="G506" t="str">
        <f t="shared" si="3"/>
        <v/>
      </c>
      <c r="H506" t="b">
        <f t="shared" si="4"/>
        <v>0</v>
      </c>
      <c r="I506" s="439">
        <f>IF(OR(ISBLANK(A506),ISNA(MATCH(A506&amp;"",AthleteNumbers,0))),0,MATCH(A506&amp;"",AthleteNumbers,0))</f>
        <v>0</v>
      </c>
      <c r="J506" s="209">
        <f t="array" ref="J506">IF(I506&gt;0,INDEX(DB,$I506,6),0)</f>
        <v>0</v>
      </c>
      <c r="K506" s="446">
        <f t="shared" si="5"/>
        <v>0</v>
      </c>
      <c r="L506" s="446">
        <f t="shared" si="6"/>
        <v>0</v>
      </c>
      <c r="M506" s="441">
        <f>IF(L506&lt;O506,MinPoints,IF(AND(L506&gt;N506,O506&gt;0),100,+INT(($L506-O506)/P506)+MinPoints))</f>
        <v>10</v>
      </c>
      <c r="N506" s="440">
        <f t="shared" si="7"/>
        <v>4.9</v>
      </c>
      <c r="O506" s="440">
        <f t="shared" si="8"/>
        <v>2.2</v>
      </c>
      <c r="P506" s="440">
        <f t="shared" si="9"/>
        <v>0.03</v>
      </c>
      <c r="Q506">
        <f t="array" ref="Q506">IF(I506&gt;0,INDEX(DB,I506,9),EventIndex)</f>
        <v>6</v>
      </c>
      <c r="S506" s="447">
        <f t="array" ref="S506">INDEX(MINVALUES,$Q506,$K$1)</f>
        <v>2.2</v>
      </c>
      <c r="T506" s="448">
        <f t="array" ref="T506">INDEX(INCVALUES,$Q506,$K$1)</f>
        <v>0.03</v>
      </c>
      <c r="V506">
        <f t="array" ref="V506">+J506+(4*(INDEX(MatchScoreTable,$Q506,20)-1))</f>
        <v>4</v>
      </c>
      <c r="W506" s="442">
        <f t="array" ref="W506">INDEX(INC_MINVALUES,$V506,$K$1)</f>
        <v>0.2</v>
      </c>
      <c r="X506" s="212">
        <f t="array" ref="X506">INDEX(INC_INCVALUES,$V506,$K$1)</f>
        <v>0.02</v>
      </c>
    </row>
    <row r="507" ht="15.75" customHeight="1">
      <c r="A507" s="435"/>
      <c r="B507" s="436"/>
      <c r="C507" s="95" t="str">
        <f t="array" ref="C507">IF(I507&gt;0,INDEX(DB,I507,8),"")</f>
        <v/>
      </c>
      <c r="D507" s="437">
        <f t="shared" si="1"/>
        <v>0</v>
      </c>
      <c r="F507" s="438">
        <f t="shared" si="2"/>
        <v>0</v>
      </c>
      <c r="G507" t="str">
        <f t="shared" si="3"/>
        <v/>
      </c>
      <c r="H507" t="b">
        <f t="shared" si="4"/>
        <v>0</v>
      </c>
      <c r="I507" s="439">
        <f>IF(OR(ISBLANK(A507),ISNA(MATCH(A507&amp;"",AthleteNumbers,0))),0,MATCH(A507&amp;"",AthleteNumbers,0))</f>
        <v>0</v>
      </c>
      <c r="J507" s="209">
        <f t="array" ref="J507">IF(I507&gt;0,INDEX(DB,$I507,6),0)</f>
        <v>0</v>
      </c>
      <c r="K507" s="446">
        <f t="shared" si="5"/>
        <v>0</v>
      </c>
      <c r="L507" s="446">
        <f t="shared" si="6"/>
        <v>0</v>
      </c>
      <c r="M507" s="441">
        <f>IF(L507&lt;O507,MinPoints,IF(AND(L507&gt;N507,O507&gt;0),100,+INT(($L507-O507)/P507)+MinPoints))</f>
        <v>10</v>
      </c>
      <c r="N507" s="440">
        <f t="shared" si="7"/>
        <v>4.9</v>
      </c>
      <c r="O507" s="440">
        <f t="shared" si="8"/>
        <v>2.2</v>
      </c>
      <c r="P507" s="440">
        <f t="shared" si="9"/>
        <v>0.03</v>
      </c>
      <c r="Q507">
        <f t="array" ref="Q507">IF(I507&gt;0,INDEX(DB,I507,9),EventIndex)</f>
        <v>6</v>
      </c>
      <c r="S507" s="447">
        <f t="array" ref="S507">INDEX(MINVALUES,$Q507,$K$1)</f>
        <v>2.2</v>
      </c>
      <c r="T507" s="448">
        <f t="array" ref="T507">INDEX(INCVALUES,$Q507,$K$1)</f>
        <v>0.03</v>
      </c>
      <c r="V507">
        <f t="array" ref="V507">+J507+(4*(INDEX(MatchScoreTable,$Q507,20)-1))</f>
        <v>4</v>
      </c>
      <c r="W507" s="442">
        <f t="array" ref="W507">INDEX(INC_MINVALUES,$V507,$K$1)</f>
        <v>0.2</v>
      </c>
      <c r="X507" s="212">
        <f t="array" ref="X507">INDEX(INC_INCVALUES,$V507,$K$1)</f>
        <v>0.02</v>
      </c>
    </row>
    <row r="508" ht="15.75" customHeight="1">
      <c r="A508" s="435"/>
      <c r="B508" s="436"/>
      <c r="C508" s="95" t="str">
        <f t="array" ref="C508">IF(I508&gt;0,INDEX(DB,I508,8),"")</f>
        <v/>
      </c>
      <c r="D508" s="437">
        <f t="shared" si="1"/>
        <v>0</v>
      </c>
      <c r="F508" s="438">
        <f t="shared" si="2"/>
        <v>0</v>
      </c>
      <c r="G508" t="str">
        <f t="shared" si="3"/>
        <v/>
      </c>
      <c r="H508" t="b">
        <f t="shared" si="4"/>
        <v>0</v>
      </c>
      <c r="I508" s="439">
        <f>IF(OR(ISBLANK(A508),ISNA(MATCH(A508&amp;"",AthleteNumbers,0))),0,MATCH(A508&amp;"",AthleteNumbers,0))</f>
        <v>0</v>
      </c>
      <c r="J508" s="209">
        <f t="array" ref="J508">IF(I508&gt;0,INDEX(DB,$I508,6),0)</f>
        <v>0</v>
      </c>
      <c r="K508" s="446">
        <f t="shared" si="5"/>
        <v>0</v>
      </c>
      <c r="L508" s="446">
        <f t="shared" si="6"/>
        <v>0</v>
      </c>
      <c r="M508" s="441">
        <f>IF(L508&lt;O508,MinPoints,IF(AND(L508&gt;N508,O508&gt;0),100,+INT(($L508-O508)/P508)+MinPoints))</f>
        <v>10</v>
      </c>
      <c r="N508" s="440">
        <f t="shared" si="7"/>
        <v>4.9</v>
      </c>
      <c r="O508" s="440">
        <f t="shared" si="8"/>
        <v>2.2</v>
      </c>
      <c r="P508" s="440">
        <f t="shared" si="9"/>
        <v>0.03</v>
      </c>
      <c r="Q508">
        <f t="array" ref="Q508">IF(I508&gt;0,INDEX(DB,I508,9),EventIndex)</f>
        <v>6</v>
      </c>
      <c r="S508" s="447">
        <f t="array" ref="S508">INDEX(MINVALUES,$Q508,$K$1)</f>
        <v>2.2</v>
      </c>
      <c r="T508" s="448">
        <f t="array" ref="T508">INDEX(INCVALUES,$Q508,$K$1)</f>
        <v>0.03</v>
      </c>
      <c r="V508">
        <f t="array" ref="V508">+J508+(4*(INDEX(MatchScoreTable,$Q508,20)-1))</f>
        <v>4</v>
      </c>
      <c r="W508" s="442">
        <f t="array" ref="W508">INDEX(INC_MINVALUES,$V508,$K$1)</f>
        <v>0.2</v>
      </c>
      <c r="X508" s="212">
        <f t="array" ref="X508">INDEX(INC_INCVALUES,$V508,$K$1)</f>
        <v>0.02</v>
      </c>
    </row>
    <row r="509" ht="15.75" customHeight="1">
      <c r="A509" s="435"/>
      <c r="B509" s="436"/>
      <c r="C509" s="95" t="str">
        <f t="array" ref="C509">IF(I509&gt;0,INDEX(DB,I509,8),"")</f>
        <v/>
      </c>
      <c r="D509" s="437">
        <f t="shared" si="1"/>
        <v>0</v>
      </c>
      <c r="F509" s="438">
        <f t="shared" si="2"/>
        <v>0</v>
      </c>
      <c r="G509" t="str">
        <f t="shared" si="3"/>
        <v/>
      </c>
      <c r="H509" t="b">
        <f t="shared" si="4"/>
        <v>0</v>
      </c>
      <c r="I509" s="439">
        <f>IF(OR(ISBLANK(A509),ISNA(MATCH(A509&amp;"",AthleteNumbers,0))),0,MATCH(A509&amp;"",AthleteNumbers,0))</f>
        <v>0</v>
      </c>
      <c r="J509" s="209">
        <f t="array" ref="J509">IF(I509&gt;0,INDEX(DB,$I509,6),0)</f>
        <v>0</v>
      </c>
      <c r="K509" s="446">
        <f t="shared" si="5"/>
        <v>0</v>
      </c>
      <c r="L509" s="446">
        <f t="shared" si="6"/>
        <v>0</v>
      </c>
      <c r="M509" s="441">
        <f>IF(L509&lt;O509,MinPoints,IF(AND(L509&gt;N509,O509&gt;0),100,+INT(($L509-O509)/P509)+MinPoints))</f>
        <v>10</v>
      </c>
      <c r="N509" s="440">
        <f t="shared" si="7"/>
        <v>4.9</v>
      </c>
      <c r="O509" s="440">
        <f t="shared" si="8"/>
        <v>2.2</v>
      </c>
      <c r="P509" s="440">
        <f t="shared" si="9"/>
        <v>0.03</v>
      </c>
      <c r="Q509">
        <f t="array" ref="Q509">IF(I509&gt;0,INDEX(DB,I509,9),EventIndex)</f>
        <v>6</v>
      </c>
      <c r="S509" s="447">
        <f t="array" ref="S509">INDEX(MINVALUES,$Q509,$K$1)</f>
        <v>2.2</v>
      </c>
      <c r="T509" s="448">
        <f t="array" ref="T509">INDEX(INCVALUES,$Q509,$K$1)</f>
        <v>0.03</v>
      </c>
      <c r="V509">
        <f t="array" ref="V509">+J509+(4*(INDEX(MatchScoreTable,$Q509,20)-1))</f>
        <v>4</v>
      </c>
      <c r="W509" s="442">
        <f t="array" ref="W509">INDEX(INC_MINVALUES,$V509,$K$1)</f>
        <v>0.2</v>
      </c>
      <c r="X509" s="212">
        <f t="array" ref="X509">INDEX(INC_INCVALUES,$V509,$K$1)</f>
        <v>0.02</v>
      </c>
    </row>
    <row r="510" ht="15.75" customHeight="1">
      <c r="A510" s="435"/>
      <c r="B510" s="436"/>
      <c r="C510" s="95" t="str">
        <f t="array" ref="C510">IF(I510&gt;0,INDEX(DB,I510,8),"")</f>
        <v/>
      </c>
      <c r="D510" s="437">
        <f t="shared" si="1"/>
        <v>0</v>
      </c>
      <c r="F510" s="438">
        <f t="shared" si="2"/>
        <v>0</v>
      </c>
      <c r="G510" t="str">
        <f t="shared" si="3"/>
        <v/>
      </c>
      <c r="H510" t="b">
        <f t="shared" si="4"/>
        <v>0</v>
      </c>
      <c r="I510" s="439">
        <f>IF(OR(ISBLANK(A510),ISNA(MATCH(A510&amp;"",AthleteNumbers,0))),0,MATCH(A510&amp;"",AthleteNumbers,0))</f>
        <v>0</v>
      </c>
      <c r="J510" s="209">
        <f t="array" ref="J510">IF(I510&gt;0,INDEX(DB,$I510,6),0)</f>
        <v>0</v>
      </c>
      <c r="K510" s="446">
        <f t="shared" si="5"/>
        <v>0</v>
      </c>
      <c r="L510" s="446">
        <f t="shared" si="6"/>
        <v>0</v>
      </c>
      <c r="M510" s="441">
        <f>IF(L510&lt;O510,MinPoints,IF(AND(L510&gt;N510,O510&gt;0),100,+INT(($L510-O510)/P510)+MinPoints))</f>
        <v>10</v>
      </c>
      <c r="N510" s="440">
        <f t="shared" si="7"/>
        <v>4.9</v>
      </c>
      <c r="O510" s="440">
        <f t="shared" si="8"/>
        <v>2.2</v>
      </c>
      <c r="P510" s="440">
        <f t="shared" si="9"/>
        <v>0.03</v>
      </c>
      <c r="Q510">
        <f t="array" ref="Q510">IF(I510&gt;0,INDEX(DB,I510,9),EventIndex)</f>
        <v>6</v>
      </c>
      <c r="S510" s="447">
        <f t="array" ref="S510">INDEX(MINVALUES,$Q510,$K$1)</f>
        <v>2.2</v>
      </c>
      <c r="T510" s="448">
        <f t="array" ref="T510">INDEX(INCVALUES,$Q510,$K$1)</f>
        <v>0.03</v>
      </c>
      <c r="V510">
        <f t="array" ref="V510">+J510+(4*(INDEX(MatchScoreTable,$Q510,20)-1))</f>
        <v>4</v>
      </c>
      <c r="W510" s="442">
        <f t="array" ref="W510">INDEX(INC_MINVALUES,$V510,$K$1)</f>
        <v>0.2</v>
      </c>
      <c r="X510" s="212">
        <f t="array" ref="X510">INDEX(INC_INCVALUES,$V510,$K$1)</f>
        <v>0.02</v>
      </c>
    </row>
    <row r="511" ht="15.75" customHeight="1">
      <c r="A511" s="435"/>
      <c r="B511" s="436"/>
      <c r="C511" s="95" t="str">
        <f t="array" ref="C511">IF(I511&gt;0,INDEX(DB,I511,8),"")</f>
        <v/>
      </c>
      <c r="D511" s="437">
        <f t="shared" si="1"/>
        <v>0</v>
      </c>
      <c r="F511" s="438">
        <f t="shared" si="2"/>
        <v>0</v>
      </c>
      <c r="G511" t="str">
        <f t="shared" si="3"/>
        <v/>
      </c>
      <c r="H511" t="b">
        <f t="shared" si="4"/>
        <v>0</v>
      </c>
      <c r="I511" s="439">
        <f>IF(OR(ISBLANK(A511),ISNA(MATCH(A511&amp;"",AthleteNumbers,0))),0,MATCH(A511&amp;"",AthleteNumbers,0))</f>
        <v>0</v>
      </c>
      <c r="J511" s="209">
        <f t="array" ref="J511">IF(I511&gt;0,INDEX(DB,$I511,6),0)</f>
        <v>0</v>
      </c>
      <c r="K511" s="446">
        <f t="shared" si="5"/>
        <v>0</v>
      </c>
      <c r="L511" s="446">
        <f t="shared" si="6"/>
        <v>0</v>
      </c>
      <c r="M511" s="441">
        <f>IF(L511&lt;O511,MinPoints,IF(AND(L511&gt;N511,O511&gt;0),100,+INT(($L511-O511)/P511)+MinPoints))</f>
        <v>10</v>
      </c>
      <c r="N511" s="440">
        <f t="shared" si="7"/>
        <v>4.9</v>
      </c>
      <c r="O511" s="440">
        <f t="shared" si="8"/>
        <v>2.2</v>
      </c>
      <c r="P511" s="440">
        <f t="shared" si="9"/>
        <v>0.03</v>
      </c>
      <c r="Q511">
        <f t="array" ref="Q511">IF(I511&gt;0,INDEX(DB,I511,9),EventIndex)</f>
        <v>6</v>
      </c>
      <c r="S511" s="447">
        <f t="array" ref="S511">INDEX(MINVALUES,$Q511,$K$1)</f>
        <v>2.2</v>
      </c>
      <c r="T511" s="448">
        <f t="array" ref="T511">INDEX(INCVALUES,$Q511,$K$1)</f>
        <v>0.03</v>
      </c>
      <c r="V511">
        <f t="array" ref="V511">+J511+(4*(INDEX(MatchScoreTable,$Q511,20)-1))</f>
        <v>4</v>
      </c>
      <c r="W511" s="442">
        <f t="array" ref="W511">INDEX(INC_MINVALUES,$V511,$K$1)</f>
        <v>0.2</v>
      </c>
      <c r="X511" s="212">
        <f t="array" ref="X511">INDEX(INC_INCVALUES,$V511,$K$1)</f>
        <v>0.02</v>
      </c>
    </row>
    <row r="512" ht="15.75" customHeight="1">
      <c r="A512" s="435"/>
      <c r="B512" s="436"/>
      <c r="C512" s="95" t="str">
        <f t="array" ref="C512">IF(I512&gt;0,INDEX(DB,I512,8),"")</f>
        <v/>
      </c>
      <c r="D512" s="437">
        <f t="shared" si="1"/>
        <v>0</v>
      </c>
      <c r="F512" s="438">
        <f t="shared" si="2"/>
        <v>0</v>
      </c>
      <c r="G512" t="str">
        <f t="shared" si="3"/>
        <v/>
      </c>
      <c r="H512" t="b">
        <f t="shared" si="4"/>
        <v>0</v>
      </c>
      <c r="I512" s="439">
        <f>IF(OR(ISBLANK(A512),ISNA(MATCH(A512&amp;"",AthleteNumbers,0))),0,MATCH(A512&amp;"",AthleteNumbers,0))</f>
        <v>0</v>
      </c>
      <c r="J512" s="209">
        <f t="array" ref="J512">IF(I512&gt;0,INDEX(DB,$I512,6),0)</f>
        <v>0</v>
      </c>
      <c r="K512" s="446">
        <f t="shared" si="5"/>
        <v>0</v>
      </c>
      <c r="L512" s="446">
        <f t="shared" si="6"/>
        <v>0</v>
      </c>
      <c r="M512" s="441">
        <f>IF(L512&lt;O512,MinPoints,IF(AND(L512&gt;N512,O512&gt;0),100,+INT(($L512-O512)/P512)+MinPoints))</f>
        <v>10</v>
      </c>
      <c r="N512" s="440">
        <f t="shared" si="7"/>
        <v>4.9</v>
      </c>
      <c r="O512" s="440">
        <f t="shared" si="8"/>
        <v>2.2</v>
      </c>
      <c r="P512" s="440">
        <f t="shared" si="9"/>
        <v>0.03</v>
      </c>
      <c r="Q512">
        <f t="array" ref="Q512">IF(I512&gt;0,INDEX(DB,I512,9),EventIndex)</f>
        <v>6</v>
      </c>
      <c r="S512" s="447">
        <f t="array" ref="S512">INDEX(MINVALUES,$Q512,$K$1)</f>
        <v>2.2</v>
      </c>
      <c r="T512" s="448">
        <f t="array" ref="T512">INDEX(INCVALUES,$Q512,$K$1)</f>
        <v>0.03</v>
      </c>
      <c r="V512">
        <f t="array" ref="V512">+J512+(4*(INDEX(MatchScoreTable,$Q512,20)-1))</f>
        <v>4</v>
      </c>
      <c r="W512" s="442">
        <f t="array" ref="W512">INDEX(INC_MINVALUES,$V512,$K$1)</f>
        <v>0.2</v>
      </c>
      <c r="X512" s="212">
        <f t="array" ref="X512">INDEX(INC_INCVALUES,$V512,$K$1)</f>
        <v>0.02</v>
      </c>
    </row>
    <row r="513" ht="15.75" customHeight="1">
      <c r="A513" s="435"/>
      <c r="B513" s="436"/>
      <c r="C513" s="95" t="str">
        <f t="array" ref="C513">IF(I513&gt;0,INDEX(DB,I513,8),"")</f>
        <v/>
      </c>
      <c r="D513" s="437">
        <f t="shared" si="1"/>
        <v>0</v>
      </c>
      <c r="F513" s="438">
        <f t="shared" si="2"/>
        <v>0</v>
      </c>
      <c r="G513" t="str">
        <f t="shared" si="3"/>
        <v/>
      </c>
      <c r="H513" t="b">
        <f t="shared" si="4"/>
        <v>0</v>
      </c>
      <c r="I513" s="439">
        <f>IF(OR(ISBLANK(A513),ISNA(MATCH(A513&amp;"",AthleteNumbers,0))),0,MATCH(A513&amp;"",AthleteNumbers,0))</f>
        <v>0</v>
      </c>
      <c r="J513" s="209">
        <f t="array" ref="J513">IF(I513&gt;0,INDEX(DB,$I513,6),0)</f>
        <v>0</v>
      </c>
      <c r="K513" s="446">
        <f t="shared" si="5"/>
        <v>0</v>
      </c>
      <c r="L513" s="446">
        <f t="shared" si="6"/>
        <v>0</v>
      </c>
      <c r="M513" s="441">
        <f>IF(L513&lt;O513,MinPoints,IF(AND(L513&gt;N513,O513&gt;0),100,+INT(($L513-O513)/P513)+MinPoints))</f>
        <v>10</v>
      </c>
      <c r="N513" s="440">
        <f t="shared" si="7"/>
        <v>4.9</v>
      </c>
      <c r="O513" s="440">
        <f t="shared" si="8"/>
        <v>2.2</v>
      </c>
      <c r="P513" s="440">
        <f t="shared" si="9"/>
        <v>0.03</v>
      </c>
      <c r="Q513">
        <f t="array" ref="Q513">IF(I513&gt;0,INDEX(DB,I513,9),EventIndex)</f>
        <v>6</v>
      </c>
      <c r="S513" s="447">
        <f t="array" ref="S513">INDEX(MINVALUES,$Q513,$K$1)</f>
        <v>2.2</v>
      </c>
      <c r="T513" s="448">
        <f t="array" ref="T513">INDEX(INCVALUES,$Q513,$K$1)</f>
        <v>0.03</v>
      </c>
      <c r="V513">
        <f t="array" ref="V513">+J513+(4*(INDEX(MatchScoreTable,$Q513,20)-1))</f>
        <v>4</v>
      </c>
      <c r="W513" s="442">
        <f t="array" ref="W513">INDEX(INC_MINVALUES,$V513,$K$1)</f>
        <v>0.2</v>
      </c>
      <c r="X513" s="212">
        <f t="array" ref="X513">INDEX(INC_INCVALUES,$V513,$K$1)</f>
        <v>0.02</v>
      </c>
    </row>
    <row r="514" ht="15.75" customHeight="1">
      <c r="A514" s="435"/>
      <c r="B514" s="436"/>
      <c r="C514" s="95" t="str">
        <f t="array" ref="C514">IF(I514&gt;0,INDEX(DB,I514,8),"")</f>
        <v/>
      </c>
      <c r="D514" s="437">
        <f t="shared" si="1"/>
        <v>0</v>
      </c>
      <c r="F514" s="438">
        <f t="shared" si="2"/>
        <v>0</v>
      </c>
      <c r="G514" t="str">
        <f t="shared" si="3"/>
        <v/>
      </c>
      <c r="H514" t="b">
        <f t="shared" si="4"/>
        <v>0</v>
      </c>
      <c r="I514" s="439">
        <f>IF(OR(ISBLANK(A514),ISNA(MATCH(A514&amp;"",AthleteNumbers,0))),0,MATCH(A514&amp;"",AthleteNumbers,0))</f>
        <v>0</v>
      </c>
      <c r="J514" s="209">
        <f t="array" ref="J514">IF(I514&gt;0,INDEX(DB,$I514,6),0)</f>
        <v>0</v>
      </c>
      <c r="K514" s="446">
        <f t="shared" si="5"/>
        <v>0</v>
      </c>
      <c r="L514" s="446">
        <f t="shared" si="6"/>
        <v>0</v>
      </c>
      <c r="M514" s="441">
        <f>IF(L514&lt;O514,MinPoints,IF(AND(L514&gt;N514,O514&gt;0),100,+INT(($L514-O514)/P514)+MinPoints))</f>
        <v>10</v>
      </c>
      <c r="N514" s="440">
        <f t="shared" si="7"/>
        <v>4.9</v>
      </c>
      <c r="O514" s="440">
        <f t="shared" si="8"/>
        <v>2.2</v>
      </c>
      <c r="P514" s="440">
        <f t="shared" si="9"/>
        <v>0.03</v>
      </c>
      <c r="Q514">
        <f t="array" ref="Q514">IF(I514&gt;0,INDEX(DB,I514,9),EventIndex)</f>
        <v>6</v>
      </c>
      <c r="S514" s="447">
        <f t="array" ref="S514">INDEX(MINVALUES,$Q514,$K$1)</f>
        <v>2.2</v>
      </c>
      <c r="T514" s="448">
        <f t="array" ref="T514">INDEX(INCVALUES,$Q514,$K$1)</f>
        <v>0.03</v>
      </c>
      <c r="V514">
        <f t="array" ref="V514">+J514+(4*(INDEX(MatchScoreTable,$Q514,20)-1))</f>
        <v>4</v>
      </c>
      <c r="W514" s="442">
        <f t="array" ref="W514">INDEX(INC_MINVALUES,$V514,$K$1)</f>
        <v>0.2</v>
      </c>
      <c r="X514" s="212">
        <f t="array" ref="X514">INDEX(INC_INCVALUES,$V514,$K$1)</f>
        <v>0.02</v>
      </c>
    </row>
    <row r="515" ht="15.75" customHeight="1">
      <c r="A515" s="435"/>
      <c r="B515" s="436"/>
      <c r="C515" s="95" t="str">
        <f t="array" ref="C515">IF(I515&gt;0,INDEX(DB,I515,8),"")</f>
        <v/>
      </c>
      <c r="D515" s="437">
        <f t="shared" si="1"/>
        <v>0</v>
      </c>
      <c r="F515" s="438">
        <f t="shared" si="2"/>
        <v>0</v>
      </c>
      <c r="G515" t="str">
        <f t="shared" si="3"/>
        <v/>
      </c>
      <c r="H515" t="b">
        <f t="shared" si="4"/>
        <v>0</v>
      </c>
      <c r="I515" s="439">
        <f>IF(OR(ISBLANK(A515),ISNA(MATCH(A515&amp;"",AthleteNumbers,0))),0,MATCH(A515&amp;"",AthleteNumbers,0))</f>
        <v>0</v>
      </c>
      <c r="J515" s="209">
        <f t="array" ref="J515">IF(I515&gt;0,INDEX(DB,$I515,6),0)</f>
        <v>0</v>
      </c>
      <c r="K515" s="446">
        <f t="shared" si="5"/>
        <v>0</v>
      </c>
      <c r="L515" s="446">
        <f t="shared" si="6"/>
        <v>0</v>
      </c>
      <c r="M515" s="441">
        <f>IF(L515&lt;O515,MinPoints,IF(AND(L515&gt;N515,O515&gt;0),100,+INT(($L515-O515)/P515)+MinPoints))</f>
        <v>10</v>
      </c>
      <c r="N515" s="440">
        <f t="shared" si="7"/>
        <v>4.9</v>
      </c>
      <c r="O515" s="440">
        <f t="shared" si="8"/>
        <v>2.2</v>
      </c>
      <c r="P515" s="440">
        <f t="shared" si="9"/>
        <v>0.03</v>
      </c>
      <c r="Q515">
        <f t="array" ref="Q515">IF(I515&gt;0,INDEX(DB,I515,9),EventIndex)</f>
        <v>6</v>
      </c>
      <c r="S515" s="447">
        <f t="array" ref="S515">INDEX(MINVALUES,$Q515,$K$1)</f>
        <v>2.2</v>
      </c>
      <c r="T515" s="448">
        <f t="array" ref="T515">INDEX(INCVALUES,$Q515,$K$1)</f>
        <v>0.03</v>
      </c>
      <c r="V515">
        <f t="array" ref="V515">+J515+(4*(INDEX(MatchScoreTable,$Q515,20)-1))</f>
        <v>4</v>
      </c>
      <c r="W515" s="442">
        <f t="array" ref="W515">INDEX(INC_MINVALUES,$V515,$K$1)</f>
        <v>0.2</v>
      </c>
      <c r="X515" s="212">
        <f t="array" ref="X515">INDEX(INC_INCVALUES,$V515,$K$1)</f>
        <v>0.02</v>
      </c>
    </row>
    <row r="516" ht="15.75" customHeight="1">
      <c r="A516" s="435"/>
      <c r="B516" s="436"/>
      <c r="C516" s="95" t="str">
        <f t="array" ref="C516">IF(I516&gt;0,INDEX(DB,I516,8),"")</f>
        <v/>
      </c>
      <c r="D516" s="437">
        <f t="shared" si="1"/>
        <v>0</v>
      </c>
      <c r="F516" s="438">
        <f t="shared" si="2"/>
        <v>0</v>
      </c>
      <c r="G516" t="str">
        <f t="shared" si="3"/>
        <v/>
      </c>
      <c r="H516" t="b">
        <f t="shared" si="4"/>
        <v>0</v>
      </c>
      <c r="I516" s="439">
        <f>IF(OR(ISBLANK(A516),ISNA(MATCH(A516&amp;"",AthleteNumbers,0))),0,MATCH(A516&amp;"",AthleteNumbers,0))</f>
        <v>0</v>
      </c>
      <c r="J516" s="209">
        <f t="array" ref="J516">IF(I516&gt;0,INDEX(DB,$I516,6),0)</f>
        <v>0</v>
      </c>
      <c r="K516" s="446">
        <f t="shared" si="5"/>
        <v>0</v>
      </c>
      <c r="L516" s="446">
        <f t="shared" si="6"/>
        <v>0</v>
      </c>
      <c r="M516" s="441">
        <f>IF(L516&lt;O516,MinPoints,IF(AND(L516&gt;N516,O516&gt;0),100,+INT(($L516-O516)/P516)+MinPoints))</f>
        <v>10</v>
      </c>
      <c r="N516" s="440">
        <f t="shared" si="7"/>
        <v>4.9</v>
      </c>
      <c r="O516" s="440">
        <f t="shared" si="8"/>
        <v>2.2</v>
      </c>
      <c r="P516" s="440">
        <f t="shared" si="9"/>
        <v>0.03</v>
      </c>
      <c r="Q516">
        <f t="array" ref="Q516">IF(I516&gt;0,INDEX(DB,I516,9),EventIndex)</f>
        <v>6</v>
      </c>
      <c r="S516" s="447">
        <f t="array" ref="S516">INDEX(MINVALUES,$Q516,$K$1)</f>
        <v>2.2</v>
      </c>
      <c r="T516" s="448">
        <f t="array" ref="T516">INDEX(INCVALUES,$Q516,$K$1)</f>
        <v>0.03</v>
      </c>
      <c r="V516">
        <f t="array" ref="V516">+J516+(4*(INDEX(MatchScoreTable,$Q516,20)-1))</f>
        <v>4</v>
      </c>
      <c r="W516" s="442">
        <f t="array" ref="W516">INDEX(INC_MINVALUES,$V516,$K$1)</f>
        <v>0.2</v>
      </c>
      <c r="X516" s="212">
        <f t="array" ref="X516">INDEX(INC_INCVALUES,$V516,$K$1)</f>
        <v>0.02</v>
      </c>
    </row>
    <row r="517" ht="15.75" customHeight="1">
      <c r="A517" s="435"/>
      <c r="B517" s="436"/>
      <c r="C517" s="95" t="str">
        <f t="array" ref="C517">IF(I517&gt;0,INDEX(DB,I517,8),"")</f>
        <v/>
      </c>
      <c r="D517" s="437">
        <f t="shared" si="1"/>
        <v>0</v>
      </c>
      <c r="F517" s="438">
        <f t="shared" si="2"/>
        <v>0</v>
      </c>
      <c r="G517" t="str">
        <f t="shared" si="3"/>
        <v/>
      </c>
      <c r="H517" t="b">
        <f t="shared" si="4"/>
        <v>0</v>
      </c>
      <c r="I517" s="439">
        <f>IF(OR(ISBLANK(A517),ISNA(MATCH(A517&amp;"",AthleteNumbers,0))),0,MATCH(A517&amp;"",AthleteNumbers,0))</f>
        <v>0</v>
      </c>
      <c r="J517" s="209">
        <f t="array" ref="J517">IF(I517&gt;0,INDEX(DB,$I517,6),0)</f>
        <v>0</v>
      </c>
      <c r="K517" s="446">
        <f t="shared" si="5"/>
        <v>0</v>
      </c>
      <c r="L517" s="446">
        <f t="shared" si="6"/>
        <v>0</v>
      </c>
      <c r="M517" s="441">
        <f>IF(L517&lt;O517,MinPoints,IF(AND(L517&gt;N517,O517&gt;0),100,+INT(($L517-O517)/P517)+MinPoints))</f>
        <v>10</v>
      </c>
      <c r="N517" s="440">
        <f t="shared" si="7"/>
        <v>4.9</v>
      </c>
      <c r="O517" s="440">
        <f t="shared" si="8"/>
        <v>2.2</v>
      </c>
      <c r="P517" s="440">
        <f t="shared" si="9"/>
        <v>0.03</v>
      </c>
      <c r="Q517">
        <f t="array" ref="Q517">IF(I517&gt;0,INDEX(DB,I517,9),EventIndex)</f>
        <v>6</v>
      </c>
      <c r="S517" s="447">
        <f t="array" ref="S517">INDEX(MINVALUES,$Q517,$K$1)</f>
        <v>2.2</v>
      </c>
      <c r="T517" s="448">
        <f t="array" ref="T517">INDEX(INCVALUES,$Q517,$K$1)</f>
        <v>0.03</v>
      </c>
      <c r="V517">
        <f t="array" ref="V517">+J517+(4*(INDEX(MatchScoreTable,$Q517,20)-1))</f>
        <v>4</v>
      </c>
      <c r="W517" s="442">
        <f t="array" ref="W517">INDEX(INC_MINVALUES,$V517,$K$1)</f>
        <v>0.2</v>
      </c>
      <c r="X517" s="212">
        <f t="array" ref="X517">INDEX(INC_INCVALUES,$V517,$K$1)</f>
        <v>0.02</v>
      </c>
    </row>
    <row r="518" ht="15.75" customHeight="1">
      <c r="A518" s="435"/>
      <c r="B518" s="436"/>
      <c r="C518" s="95" t="str">
        <f t="array" ref="C518">IF(I518&gt;0,INDEX(DB,I518,8),"")</f>
        <v/>
      </c>
      <c r="D518" s="437">
        <f t="shared" si="1"/>
        <v>0</v>
      </c>
      <c r="F518" s="438">
        <f t="shared" si="2"/>
        <v>0</v>
      </c>
      <c r="G518" t="str">
        <f t="shared" si="3"/>
        <v/>
      </c>
      <c r="H518" t="b">
        <f t="shared" si="4"/>
        <v>0</v>
      </c>
      <c r="I518" s="439">
        <f>IF(OR(ISBLANK(A518),ISNA(MATCH(A518&amp;"",AthleteNumbers,0))),0,MATCH(A518&amp;"",AthleteNumbers,0))</f>
        <v>0</v>
      </c>
      <c r="J518" s="209">
        <f t="array" ref="J518">IF(I518&gt;0,INDEX(DB,$I518,6),0)</f>
        <v>0</v>
      </c>
      <c r="K518" s="446">
        <f t="shared" si="5"/>
        <v>0</v>
      </c>
      <c r="L518" s="446">
        <f t="shared" si="6"/>
        <v>0</v>
      </c>
      <c r="M518" s="441">
        <f>IF(L518&lt;O518,MinPoints,IF(AND(L518&gt;N518,O518&gt;0),100,+INT(($L518-O518)/P518)+MinPoints))</f>
        <v>10</v>
      </c>
      <c r="N518" s="440">
        <f t="shared" si="7"/>
        <v>4.9</v>
      </c>
      <c r="O518" s="440">
        <f t="shared" si="8"/>
        <v>2.2</v>
      </c>
      <c r="P518" s="440">
        <f t="shared" si="9"/>
        <v>0.03</v>
      </c>
      <c r="Q518">
        <f t="array" ref="Q518">IF(I518&gt;0,INDEX(DB,I518,9),EventIndex)</f>
        <v>6</v>
      </c>
      <c r="S518" s="447">
        <f t="array" ref="S518">INDEX(MINVALUES,$Q518,$K$1)</f>
        <v>2.2</v>
      </c>
      <c r="T518" s="448">
        <f t="array" ref="T518">INDEX(INCVALUES,$Q518,$K$1)</f>
        <v>0.03</v>
      </c>
      <c r="V518">
        <f t="array" ref="V518">+J518+(4*(INDEX(MatchScoreTable,$Q518,20)-1))</f>
        <v>4</v>
      </c>
      <c r="W518" s="442">
        <f t="array" ref="W518">INDEX(INC_MINVALUES,$V518,$K$1)</f>
        <v>0.2</v>
      </c>
      <c r="X518" s="212">
        <f t="array" ref="X518">INDEX(INC_INCVALUES,$V518,$K$1)</f>
        <v>0.02</v>
      </c>
    </row>
    <row r="519" ht="15.75" customHeight="1">
      <c r="A519" s="435"/>
      <c r="B519" s="436"/>
      <c r="C519" s="95" t="str">
        <f t="array" ref="C519">IF(I519&gt;0,INDEX(DB,I519,8),"")</f>
        <v/>
      </c>
      <c r="D519" s="437">
        <f t="shared" si="1"/>
        <v>0</v>
      </c>
      <c r="F519" s="438">
        <f t="shared" si="2"/>
        <v>0</v>
      </c>
      <c r="G519" t="str">
        <f t="shared" si="3"/>
        <v/>
      </c>
      <c r="H519" t="b">
        <f t="shared" si="4"/>
        <v>0</v>
      </c>
      <c r="I519" s="439">
        <f>IF(OR(ISBLANK(A519),ISNA(MATCH(A519&amp;"",AthleteNumbers,0))),0,MATCH(A519&amp;"",AthleteNumbers,0))</f>
        <v>0</v>
      </c>
      <c r="J519" s="209">
        <f t="array" ref="J519">IF(I519&gt;0,INDEX(DB,$I519,6),0)</f>
        <v>0</v>
      </c>
      <c r="K519" s="446">
        <f t="shared" si="5"/>
        <v>0</v>
      </c>
      <c r="L519" s="446">
        <f t="shared" si="6"/>
        <v>0</v>
      </c>
      <c r="M519" s="441">
        <f>IF(L519&lt;O519,MinPoints,IF(AND(L519&gt;N519,O519&gt;0),100,+INT(($L519-O519)/P519)+MinPoints))</f>
        <v>10</v>
      </c>
      <c r="N519" s="440">
        <f t="shared" si="7"/>
        <v>4.9</v>
      </c>
      <c r="O519" s="440">
        <f t="shared" si="8"/>
        <v>2.2</v>
      </c>
      <c r="P519" s="440">
        <f t="shared" si="9"/>
        <v>0.03</v>
      </c>
      <c r="Q519">
        <f t="array" ref="Q519">IF(I519&gt;0,INDEX(DB,I519,9),EventIndex)</f>
        <v>6</v>
      </c>
      <c r="S519" s="447">
        <f t="array" ref="S519">INDEX(MINVALUES,$Q519,$K$1)</f>
        <v>2.2</v>
      </c>
      <c r="T519" s="448">
        <f t="array" ref="T519">INDEX(INCVALUES,$Q519,$K$1)</f>
        <v>0.03</v>
      </c>
      <c r="V519">
        <f t="array" ref="V519">+J519+(4*(INDEX(MatchScoreTable,$Q519,20)-1))</f>
        <v>4</v>
      </c>
      <c r="W519" s="442">
        <f t="array" ref="W519">INDEX(INC_MINVALUES,$V519,$K$1)</f>
        <v>0.2</v>
      </c>
      <c r="X519" s="212">
        <f t="array" ref="X519">INDEX(INC_INCVALUES,$V519,$K$1)</f>
        <v>0.02</v>
      </c>
    </row>
    <row r="520" ht="15.75" customHeight="1">
      <c r="A520" s="435"/>
      <c r="B520" s="436"/>
      <c r="C520" s="95" t="str">
        <f t="array" ref="C520">IF(I520&gt;0,INDEX(DB,I520,8),"")</f>
        <v/>
      </c>
      <c r="D520" s="437">
        <f t="shared" si="1"/>
        <v>0</v>
      </c>
      <c r="F520" s="438">
        <f t="shared" si="2"/>
        <v>0</v>
      </c>
      <c r="G520" t="str">
        <f t="shared" si="3"/>
        <v/>
      </c>
      <c r="H520" t="b">
        <f t="shared" si="4"/>
        <v>0</v>
      </c>
      <c r="I520" s="439">
        <f>IF(OR(ISBLANK(A520),ISNA(MATCH(A520&amp;"",AthleteNumbers,0))),0,MATCH(A520&amp;"",AthleteNumbers,0))</f>
        <v>0</v>
      </c>
      <c r="J520" s="209">
        <f t="array" ref="J520">IF(I520&gt;0,INDEX(DB,$I520,6),0)</f>
        <v>0</v>
      </c>
      <c r="K520" s="446">
        <f t="shared" si="5"/>
        <v>0</v>
      </c>
      <c r="L520" s="446">
        <f t="shared" si="6"/>
        <v>0</v>
      </c>
      <c r="M520" s="441">
        <f>IF(L520&lt;O520,MinPoints,IF(AND(L520&gt;N520,O520&gt;0),100,+INT(($L520-O520)/P520)+MinPoints))</f>
        <v>10</v>
      </c>
      <c r="N520" s="440">
        <f t="shared" si="7"/>
        <v>4.9</v>
      </c>
      <c r="O520" s="440">
        <f t="shared" si="8"/>
        <v>2.2</v>
      </c>
      <c r="P520" s="440">
        <f t="shared" si="9"/>
        <v>0.03</v>
      </c>
      <c r="Q520">
        <f t="array" ref="Q520">IF(I520&gt;0,INDEX(DB,I520,9),EventIndex)</f>
        <v>6</v>
      </c>
      <c r="S520" s="447">
        <f t="array" ref="S520">INDEX(MINVALUES,$Q520,$K$1)</f>
        <v>2.2</v>
      </c>
      <c r="T520" s="448">
        <f t="array" ref="T520">INDEX(INCVALUES,$Q520,$K$1)</f>
        <v>0.03</v>
      </c>
      <c r="V520">
        <f t="array" ref="V520">+J520+(4*(INDEX(MatchScoreTable,$Q520,20)-1))</f>
        <v>4</v>
      </c>
      <c r="W520" s="442">
        <f t="array" ref="W520">INDEX(INC_MINVALUES,$V520,$K$1)</f>
        <v>0.2</v>
      </c>
      <c r="X520" s="212">
        <f t="array" ref="X520">INDEX(INC_INCVALUES,$V520,$K$1)</f>
        <v>0.02</v>
      </c>
    </row>
    <row r="521" ht="15.75" customHeight="1">
      <c r="A521" s="435"/>
      <c r="B521" s="436"/>
      <c r="C521" s="95" t="str">
        <f t="array" ref="C521">IF(I521&gt;0,INDEX(DB,I521,8),"")</f>
        <v/>
      </c>
      <c r="D521" s="437">
        <f t="shared" si="1"/>
        <v>0</v>
      </c>
      <c r="F521" s="438">
        <f t="shared" si="2"/>
        <v>0</v>
      </c>
      <c r="G521" t="str">
        <f t="shared" si="3"/>
        <v/>
      </c>
      <c r="H521" t="b">
        <f t="shared" si="4"/>
        <v>0</v>
      </c>
      <c r="I521" s="439">
        <f>IF(OR(ISBLANK(A521),ISNA(MATCH(A521&amp;"",AthleteNumbers,0))),0,MATCH(A521&amp;"",AthleteNumbers,0))</f>
        <v>0</v>
      </c>
      <c r="J521" s="209">
        <f t="array" ref="J521">IF(I521&gt;0,INDEX(DB,$I521,6),0)</f>
        <v>0</v>
      </c>
      <c r="K521" s="446">
        <f t="shared" si="5"/>
        <v>0</v>
      </c>
      <c r="L521" s="446">
        <f t="shared" si="6"/>
        <v>0</v>
      </c>
      <c r="M521" s="441">
        <f>IF(L521&lt;O521,MinPoints,IF(AND(L521&gt;N521,O521&gt;0),100,+INT(($L521-O521)/P521)+MinPoints))</f>
        <v>10</v>
      </c>
      <c r="N521" s="440">
        <f t="shared" si="7"/>
        <v>4.9</v>
      </c>
      <c r="O521" s="440">
        <f t="shared" si="8"/>
        <v>2.2</v>
      </c>
      <c r="P521" s="440">
        <f t="shared" si="9"/>
        <v>0.03</v>
      </c>
      <c r="Q521">
        <f t="array" ref="Q521">IF(I521&gt;0,INDEX(DB,I521,9),EventIndex)</f>
        <v>6</v>
      </c>
      <c r="S521" s="447">
        <f t="array" ref="S521">INDEX(MINVALUES,$Q521,$K$1)</f>
        <v>2.2</v>
      </c>
      <c r="T521" s="448">
        <f t="array" ref="T521">INDEX(INCVALUES,$Q521,$K$1)</f>
        <v>0.03</v>
      </c>
      <c r="V521">
        <f t="array" ref="V521">+J521+(4*(INDEX(MatchScoreTable,$Q521,20)-1))</f>
        <v>4</v>
      </c>
      <c r="W521" s="442">
        <f t="array" ref="W521">INDEX(INC_MINVALUES,$V521,$K$1)</f>
        <v>0.2</v>
      </c>
      <c r="X521" s="212">
        <f t="array" ref="X521">INDEX(INC_INCVALUES,$V521,$K$1)</f>
        <v>0.02</v>
      </c>
    </row>
    <row r="522" ht="15.75" customHeight="1">
      <c r="A522" s="435"/>
      <c r="B522" s="436"/>
      <c r="C522" s="95" t="str">
        <f t="array" ref="C522">IF(I522&gt;0,INDEX(DB,I522,8),"")</f>
        <v/>
      </c>
      <c r="D522" s="437">
        <f t="shared" si="1"/>
        <v>0</v>
      </c>
      <c r="F522" s="438">
        <f t="shared" si="2"/>
        <v>0</v>
      </c>
      <c r="G522" t="str">
        <f t="shared" si="3"/>
        <v/>
      </c>
      <c r="H522" t="b">
        <f t="shared" si="4"/>
        <v>0</v>
      </c>
      <c r="I522" s="439">
        <f>IF(OR(ISBLANK(A522),ISNA(MATCH(A522&amp;"",AthleteNumbers,0))),0,MATCH(A522&amp;"",AthleteNumbers,0))</f>
        <v>0</v>
      </c>
      <c r="J522" s="209">
        <f t="array" ref="J522">IF(I522&gt;0,INDEX(DB,$I522,6),0)</f>
        <v>0</v>
      </c>
      <c r="K522" s="446">
        <f t="shared" si="5"/>
        <v>0</v>
      </c>
      <c r="L522" s="446">
        <f t="shared" si="6"/>
        <v>0</v>
      </c>
      <c r="M522" s="441">
        <f>IF(L522&lt;O522,MinPoints,IF(AND(L522&gt;N522,O522&gt;0),100,+INT(($L522-O522)/P522)+MinPoints))</f>
        <v>10</v>
      </c>
      <c r="N522" s="440">
        <f t="shared" si="7"/>
        <v>4.9</v>
      </c>
      <c r="O522" s="440">
        <f t="shared" si="8"/>
        <v>2.2</v>
      </c>
      <c r="P522" s="440">
        <f t="shared" si="9"/>
        <v>0.03</v>
      </c>
      <c r="Q522">
        <f t="array" ref="Q522">IF(I522&gt;0,INDEX(DB,I522,9),EventIndex)</f>
        <v>6</v>
      </c>
      <c r="S522" s="447">
        <f t="array" ref="S522">INDEX(MINVALUES,$Q522,$K$1)</f>
        <v>2.2</v>
      </c>
      <c r="T522" s="448">
        <f t="array" ref="T522">INDEX(INCVALUES,$Q522,$K$1)</f>
        <v>0.03</v>
      </c>
      <c r="V522">
        <f t="array" ref="V522">+J522+(4*(INDEX(MatchScoreTable,$Q522,20)-1))</f>
        <v>4</v>
      </c>
      <c r="W522" s="442">
        <f t="array" ref="W522">INDEX(INC_MINVALUES,$V522,$K$1)</f>
        <v>0.2</v>
      </c>
      <c r="X522" s="212">
        <f t="array" ref="X522">INDEX(INC_INCVALUES,$V522,$K$1)</f>
        <v>0.02</v>
      </c>
    </row>
    <row r="523" ht="15.75" customHeight="1">
      <c r="A523" s="435"/>
      <c r="B523" s="436"/>
      <c r="C523" s="95" t="str">
        <f t="array" ref="C523">IF(I523&gt;0,INDEX(DB,I523,8),"")</f>
        <v/>
      </c>
      <c r="D523" s="437">
        <f t="shared" si="1"/>
        <v>0</v>
      </c>
      <c r="F523" s="438">
        <f t="shared" si="2"/>
        <v>0</v>
      </c>
      <c r="G523" t="str">
        <f t="shared" si="3"/>
        <v/>
      </c>
      <c r="H523" t="b">
        <f t="shared" si="4"/>
        <v>0</v>
      </c>
      <c r="I523" s="439">
        <f>IF(OR(ISBLANK(A523),ISNA(MATCH(A523&amp;"",AthleteNumbers,0))),0,MATCH(A523&amp;"",AthleteNumbers,0))</f>
        <v>0</v>
      </c>
      <c r="J523" s="209">
        <f t="array" ref="J523">IF(I523&gt;0,INDEX(DB,$I523,6),0)</f>
        <v>0</v>
      </c>
      <c r="K523" s="446">
        <f t="shared" si="5"/>
        <v>0</v>
      </c>
      <c r="L523" s="446">
        <f t="shared" si="6"/>
        <v>0</v>
      </c>
      <c r="M523" s="441">
        <f>IF(L523&lt;O523,MinPoints,IF(AND(L523&gt;N523,O523&gt;0),100,+INT(($L523-O523)/P523)+MinPoints))</f>
        <v>10</v>
      </c>
      <c r="N523" s="440">
        <f t="shared" si="7"/>
        <v>4.9</v>
      </c>
      <c r="O523" s="440">
        <f t="shared" si="8"/>
        <v>2.2</v>
      </c>
      <c r="P523" s="440">
        <f t="shared" si="9"/>
        <v>0.03</v>
      </c>
      <c r="Q523">
        <f t="array" ref="Q523">IF(I523&gt;0,INDEX(DB,I523,9),EventIndex)</f>
        <v>6</v>
      </c>
      <c r="S523" s="447">
        <f t="array" ref="S523">INDEX(MINVALUES,$Q523,$K$1)</f>
        <v>2.2</v>
      </c>
      <c r="T523" s="448">
        <f t="array" ref="T523">INDEX(INCVALUES,$Q523,$K$1)</f>
        <v>0.03</v>
      </c>
      <c r="V523">
        <f t="array" ref="V523">+J523+(4*(INDEX(MatchScoreTable,$Q523,20)-1))</f>
        <v>4</v>
      </c>
      <c r="W523" s="442">
        <f t="array" ref="W523">INDEX(INC_MINVALUES,$V523,$K$1)</f>
        <v>0.2</v>
      </c>
      <c r="X523" s="212">
        <f t="array" ref="X523">INDEX(INC_INCVALUES,$V523,$K$1)</f>
        <v>0.02</v>
      </c>
    </row>
    <row r="524" ht="15.75" customHeight="1">
      <c r="A524" s="435"/>
      <c r="B524" s="436"/>
      <c r="C524" s="95" t="str">
        <f t="array" ref="C524">IF(I524&gt;0,INDEX(DB,I524,8),"")</f>
        <v/>
      </c>
      <c r="D524" s="437">
        <f t="shared" si="1"/>
        <v>0</v>
      </c>
      <c r="F524" s="438">
        <f t="shared" si="2"/>
        <v>0</v>
      </c>
      <c r="G524" t="str">
        <f t="shared" si="3"/>
        <v/>
      </c>
      <c r="H524" t="b">
        <f t="shared" si="4"/>
        <v>0</v>
      </c>
      <c r="I524" s="439">
        <f>IF(OR(ISBLANK(A524),ISNA(MATCH(A524&amp;"",AthleteNumbers,0))),0,MATCH(A524&amp;"",AthleteNumbers,0))</f>
        <v>0</v>
      </c>
      <c r="J524" s="209">
        <f t="array" ref="J524">IF(I524&gt;0,INDEX(DB,$I524,6),0)</f>
        <v>0</v>
      </c>
      <c r="K524" s="446">
        <f t="shared" si="5"/>
        <v>0</v>
      </c>
      <c r="L524" s="446">
        <f t="shared" si="6"/>
        <v>0</v>
      </c>
      <c r="M524" s="441">
        <f>IF(L524&lt;O524,MinPoints,IF(AND(L524&gt;N524,O524&gt;0),100,+INT(($L524-O524)/P524)+MinPoints))</f>
        <v>10</v>
      </c>
      <c r="N524" s="440">
        <f t="shared" si="7"/>
        <v>4.9</v>
      </c>
      <c r="O524" s="440">
        <f t="shared" si="8"/>
        <v>2.2</v>
      </c>
      <c r="P524" s="440">
        <f t="shared" si="9"/>
        <v>0.03</v>
      </c>
      <c r="Q524">
        <f t="array" ref="Q524">IF(I524&gt;0,INDEX(DB,I524,9),EventIndex)</f>
        <v>6</v>
      </c>
      <c r="S524" s="447">
        <f t="array" ref="S524">INDEX(MINVALUES,$Q524,$K$1)</f>
        <v>2.2</v>
      </c>
      <c r="T524" s="448">
        <f t="array" ref="T524">INDEX(INCVALUES,$Q524,$K$1)</f>
        <v>0.03</v>
      </c>
      <c r="V524">
        <f t="array" ref="V524">+J524+(4*(INDEX(MatchScoreTable,$Q524,20)-1))</f>
        <v>4</v>
      </c>
      <c r="W524" s="442">
        <f t="array" ref="W524">INDEX(INC_MINVALUES,$V524,$K$1)</f>
        <v>0.2</v>
      </c>
      <c r="X524" s="212">
        <f t="array" ref="X524">INDEX(INC_INCVALUES,$V524,$K$1)</f>
        <v>0.02</v>
      </c>
    </row>
    <row r="525" ht="15.75" customHeight="1">
      <c r="A525" s="435"/>
      <c r="B525" s="436"/>
      <c r="C525" s="95" t="str">
        <f t="array" ref="C525">IF(I525&gt;0,INDEX(DB,I525,8),"")</f>
        <v/>
      </c>
      <c r="D525" s="437">
        <f t="shared" si="1"/>
        <v>0</v>
      </c>
      <c r="F525" s="438">
        <f t="shared" si="2"/>
        <v>0</v>
      </c>
      <c r="G525" t="str">
        <f t="shared" si="3"/>
        <v/>
      </c>
      <c r="H525" t="b">
        <f t="shared" si="4"/>
        <v>0</v>
      </c>
      <c r="I525" s="439">
        <f>IF(OR(ISBLANK(A525),ISNA(MATCH(A525&amp;"",AthleteNumbers,0))),0,MATCH(A525&amp;"",AthleteNumbers,0))</f>
        <v>0</v>
      </c>
      <c r="J525" s="209">
        <f t="array" ref="J525">IF(I525&gt;0,INDEX(DB,$I525,6),0)</f>
        <v>0</v>
      </c>
      <c r="K525" s="446">
        <f t="shared" si="5"/>
        <v>0</v>
      </c>
      <c r="L525" s="446">
        <f t="shared" si="6"/>
        <v>0</v>
      </c>
      <c r="M525" s="441">
        <f>IF(L525&lt;O525,MinPoints,IF(AND(L525&gt;N525,O525&gt;0),100,+INT(($L525-O525)/P525)+MinPoints))</f>
        <v>10</v>
      </c>
      <c r="N525" s="440">
        <f t="shared" si="7"/>
        <v>4.9</v>
      </c>
      <c r="O525" s="440">
        <f t="shared" si="8"/>
        <v>2.2</v>
      </c>
      <c r="P525" s="440">
        <f t="shared" si="9"/>
        <v>0.03</v>
      </c>
      <c r="Q525">
        <f t="array" ref="Q525">IF(I525&gt;0,INDEX(DB,I525,9),EventIndex)</f>
        <v>6</v>
      </c>
      <c r="S525" s="447">
        <f t="array" ref="S525">INDEX(MINVALUES,$Q525,$K$1)</f>
        <v>2.2</v>
      </c>
      <c r="T525" s="448">
        <f t="array" ref="T525">INDEX(INCVALUES,$Q525,$K$1)</f>
        <v>0.03</v>
      </c>
      <c r="V525">
        <f t="array" ref="V525">+J525+(4*(INDEX(MatchScoreTable,$Q525,20)-1))</f>
        <v>4</v>
      </c>
      <c r="W525" s="442">
        <f t="array" ref="W525">INDEX(INC_MINVALUES,$V525,$K$1)</f>
        <v>0.2</v>
      </c>
      <c r="X525" s="212">
        <f t="array" ref="X525">INDEX(INC_INCVALUES,$V525,$K$1)</f>
        <v>0.02</v>
      </c>
    </row>
    <row r="526" ht="15.75" customHeight="1">
      <c r="A526" s="435"/>
      <c r="B526" s="436"/>
      <c r="C526" s="95" t="str">
        <f t="array" ref="C526">IF(I526&gt;0,INDEX(DB,I526,8),"")</f>
        <v/>
      </c>
      <c r="D526" s="437">
        <f t="shared" si="1"/>
        <v>0</v>
      </c>
      <c r="F526" s="438">
        <f t="shared" si="2"/>
        <v>0</v>
      </c>
      <c r="G526" t="str">
        <f t="shared" si="3"/>
        <v/>
      </c>
      <c r="H526" t="b">
        <f t="shared" si="4"/>
        <v>0</v>
      </c>
      <c r="I526" s="439">
        <f>IF(OR(ISBLANK(A526),ISNA(MATCH(A526&amp;"",AthleteNumbers,0))),0,MATCH(A526&amp;"",AthleteNumbers,0))</f>
        <v>0</v>
      </c>
      <c r="J526" s="209">
        <f t="array" ref="J526">IF(I526&gt;0,INDEX(DB,$I526,6),0)</f>
        <v>0</v>
      </c>
      <c r="K526" s="446">
        <f t="shared" si="5"/>
        <v>0</v>
      </c>
      <c r="L526" s="446">
        <f t="shared" si="6"/>
        <v>0</v>
      </c>
      <c r="M526" s="441">
        <f>IF(L526&lt;O526,MinPoints,IF(AND(L526&gt;N526,O526&gt;0),100,+INT(($L526-O526)/P526)+MinPoints))</f>
        <v>10</v>
      </c>
      <c r="N526" s="440">
        <f t="shared" si="7"/>
        <v>4.9</v>
      </c>
      <c r="O526" s="440">
        <f t="shared" si="8"/>
        <v>2.2</v>
      </c>
      <c r="P526" s="440">
        <f t="shared" si="9"/>
        <v>0.03</v>
      </c>
      <c r="Q526">
        <f t="array" ref="Q526">IF(I526&gt;0,INDEX(DB,I526,9),EventIndex)</f>
        <v>6</v>
      </c>
      <c r="S526" s="447">
        <f t="array" ref="S526">INDEX(MINVALUES,$Q526,$K$1)</f>
        <v>2.2</v>
      </c>
      <c r="T526" s="448">
        <f t="array" ref="T526">INDEX(INCVALUES,$Q526,$K$1)</f>
        <v>0.03</v>
      </c>
      <c r="V526">
        <f t="array" ref="V526">+J526+(4*(INDEX(MatchScoreTable,$Q526,20)-1))</f>
        <v>4</v>
      </c>
      <c r="W526" s="442">
        <f t="array" ref="W526">INDEX(INC_MINVALUES,$V526,$K$1)</f>
        <v>0.2</v>
      </c>
      <c r="X526" s="212">
        <f t="array" ref="X526">INDEX(INC_INCVALUES,$V526,$K$1)</f>
        <v>0.02</v>
      </c>
    </row>
    <row r="527" ht="15.75" customHeight="1">
      <c r="A527" s="435"/>
      <c r="B527" s="436"/>
      <c r="C527" s="95" t="str">
        <f t="array" ref="C527">IF(I527&gt;0,INDEX(DB,I527,8),"")</f>
        <v/>
      </c>
      <c r="D527" s="437">
        <f t="shared" si="1"/>
        <v>0</v>
      </c>
      <c r="F527" s="438">
        <f t="shared" si="2"/>
        <v>0</v>
      </c>
      <c r="G527" t="str">
        <f t="shared" si="3"/>
        <v/>
      </c>
      <c r="H527" t="b">
        <f t="shared" si="4"/>
        <v>0</v>
      </c>
      <c r="I527" s="439">
        <f>IF(OR(ISBLANK(A527),ISNA(MATCH(A527&amp;"",AthleteNumbers,0))),0,MATCH(A527&amp;"",AthleteNumbers,0))</f>
        <v>0</v>
      </c>
      <c r="J527" s="209">
        <f t="array" ref="J527">IF(I527&gt;0,INDEX(DB,$I527,6),0)</f>
        <v>0</v>
      </c>
      <c r="K527" s="446">
        <f t="shared" si="5"/>
        <v>0</v>
      </c>
      <c r="L527" s="446">
        <f t="shared" si="6"/>
        <v>0</v>
      </c>
      <c r="M527" s="441">
        <f>IF(L527&lt;O527,MinPoints,IF(AND(L527&gt;N527,O527&gt;0),100,+INT(($L527-O527)/P527)+MinPoints))</f>
        <v>10</v>
      </c>
      <c r="N527" s="440">
        <f t="shared" si="7"/>
        <v>4.9</v>
      </c>
      <c r="O527" s="440">
        <f t="shared" si="8"/>
        <v>2.2</v>
      </c>
      <c r="P527" s="440">
        <f t="shared" si="9"/>
        <v>0.03</v>
      </c>
      <c r="Q527">
        <f t="array" ref="Q527">IF(I527&gt;0,INDEX(DB,I527,9),EventIndex)</f>
        <v>6</v>
      </c>
      <c r="S527" s="447">
        <f t="array" ref="S527">INDEX(MINVALUES,$Q527,$K$1)</f>
        <v>2.2</v>
      </c>
      <c r="T527" s="448">
        <f t="array" ref="T527">INDEX(INCVALUES,$Q527,$K$1)</f>
        <v>0.03</v>
      </c>
      <c r="V527">
        <f t="array" ref="V527">+J527+(4*(INDEX(MatchScoreTable,$Q527,20)-1))</f>
        <v>4</v>
      </c>
      <c r="W527" s="442">
        <f t="array" ref="W527">INDEX(INC_MINVALUES,$V527,$K$1)</f>
        <v>0.2</v>
      </c>
      <c r="X527" s="212">
        <f t="array" ref="X527">INDEX(INC_INCVALUES,$V527,$K$1)</f>
        <v>0.02</v>
      </c>
    </row>
    <row r="528" ht="15.75" customHeight="1">
      <c r="A528" s="435"/>
      <c r="B528" s="436"/>
      <c r="C528" s="95" t="str">
        <f t="array" ref="C528">IF(I528&gt;0,INDEX(DB,I528,8),"")</f>
        <v/>
      </c>
      <c r="D528" s="437">
        <f t="shared" si="1"/>
        <v>0</v>
      </c>
      <c r="F528" s="438">
        <f t="shared" si="2"/>
        <v>0</v>
      </c>
      <c r="G528" t="str">
        <f t="shared" si="3"/>
        <v/>
      </c>
      <c r="H528" t="b">
        <f t="shared" si="4"/>
        <v>0</v>
      </c>
      <c r="I528" s="439">
        <f>IF(OR(ISBLANK(A528),ISNA(MATCH(A528&amp;"",AthleteNumbers,0))),0,MATCH(A528&amp;"",AthleteNumbers,0))</f>
        <v>0</v>
      </c>
      <c r="J528" s="209">
        <f t="array" ref="J528">IF(I528&gt;0,INDEX(DB,$I528,6),0)</f>
        <v>0</v>
      </c>
      <c r="K528" s="446">
        <f t="shared" si="5"/>
        <v>0</v>
      </c>
      <c r="L528" s="446">
        <f t="shared" si="6"/>
        <v>0</v>
      </c>
      <c r="M528" s="441">
        <f>IF(L528&lt;O528,MinPoints,IF(AND(L528&gt;N528,O528&gt;0),100,+INT(($L528-O528)/P528)+MinPoints))</f>
        <v>10</v>
      </c>
      <c r="N528" s="440">
        <f t="shared" si="7"/>
        <v>4.9</v>
      </c>
      <c r="O528" s="440">
        <f t="shared" si="8"/>
        <v>2.2</v>
      </c>
      <c r="P528" s="440">
        <f t="shared" si="9"/>
        <v>0.03</v>
      </c>
      <c r="Q528">
        <f t="array" ref="Q528">IF(I528&gt;0,INDEX(DB,I528,9),EventIndex)</f>
        <v>6</v>
      </c>
      <c r="S528" s="447">
        <f t="array" ref="S528">INDEX(MINVALUES,$Q528,$K$1)</f>
        <v>2.2</v>
      </c>
      <c r="T528" s="448">
        <f t="array" ref="T528">INDEX(INCVALUES,$Q528,$K$1)</f>
        <v>0.03</v>
      </c>
      <c r="V528">
        <f t="array" ref="V528">+J528+(4*(INDEX(MatchScoreTable,$Q528,20)-1))</f>
        <v>4</v>
      </c>
      <c r="W528" s="442">
        <f t="array" ref="W528">INDEX(INC_MINVALUES,$V528,$K$1)</f>
        <v>0.2</v>
      </c>
      <c r="X528" s="212">
        <f t="array" ref="X528">INDEX(INC_INCVALUES,$V528,$K$1)</f>
        <v>0.02</v>
      </c>
    </row>
    <row r="529" ht="15.75" customHeight="1">
      <c r="A529" s="435"/>
      <c r="B529" s="436"/>
      <c r="C529" s="95" t="str">
        <f t="array" ref="C529">IF(I529&gt;0,INDEX(DB,I529,8),"")</f>
        <v/>
      </c>
      <c r="D529" s="437">
        <f t="shared" si="1"/>
        <v>0</v>
      </c>
      <c r="F529" s="438">
        <f t="shared" si="2"/>
        <v>0</v>
      </c>
      <c r="G529" t="str">
        <f t="shared" si="3"/>
        <v/>
      </c>
      <c r="H529" t="b">
        <f t="shared" si="4"/>
        <v>0</v>
      </c>
      <c r="I529" s="439">
        <f>IF(OR(ISBLANK(A529),ISNA(MATCH(A529&amp;"",AthleteNumbers,0))),0,MATCH(A529&amp;"",AthleteNumbers,0))</f>
        <v>0</v>
      </c>
      <c r="J529" s="209">
        <f t="array" ref="J529">IF(I529&gt;0,INDEX(DB,$I529,6),0)</f>
        <v>0</v>
      </c>
      <c r="K529" s="446">
        <f t="shared" si="5"/>
        <v>0</v>
      </c>
      <c r="L529" s="446">
        <f t="shared" si="6"/>
        <v>0</v>
      </c>
      <c r="M529" s="441">
        <f>IF(L529&lt;O529,MinPoints,IF(AND(L529&gt;N529,O529&gt;0),100,+INT(($L529-O529)/P529)+MinPoints))</f>
        <v>10</v>
      </c>
      <c r="N529" s="440">
        <f t="shared" si="7"/>
        <v>4.9</v>
      </c>
      <c r="O529" s="440">
        <f t="shared" si="8"/>
        <v>2.2</v>
      </c>
      <c r="P529" s="440">
        <f t="shared" si="9"/>
        <v>0.03</v>
      </c>
      <c r="Q529">
        <f t="array" ref="Q529">IF(I529&gt;0,INDEX(DB,I529,9),EventIndex)</f>
        <v>6</v>
      </c>
      <c r="S529" s="447">
        <f t="array" ref="S529">INDEX(MINVALUES,$Q529,$K$1)</f>
        <v>2.2</v>
      </c>
      <c r="T529" s="448">
        <f t="array" ref="T529">INDEX(INCVALUES,$Q529,$K$1)</f>
        <v>0.03</v>
      </c>
      <c r="V529">
        <f t="array" ref="V529">+J529+(4*(INDEX(MatchScoreTable,$Q529,20)-1))</f>
        <v>4</v>
      </c>
      <c r="W529" s="442">
        <f t="array" ref="W529">INDEX(INC_MINVALUES,$V529,$K$1)</f>
        <v>0.2</v>
      </c>
      <c r="X529" s="212">
        <f t="array" ref="X529">INDEX(INC_INCVALUES,$V529,$K$1)</f>
        <v>0.02</v>
      </c>
    </row>
    <row r="530" ht="15.75" customHeight="1">
      <c r="A530" s="435"/>
      <c r="B530" s="436"/>
      <c r="C530" s="95" t="str">
        <f t="array" ref="C530">IF(I530&gt;0,INDEX(DB,I530,8),"")</f>
        <v/>
      </c>
      <c r="D530" s="437">
        <f t="shared" si="1"/>
        <v>0</v>
      </c>
      <c r="F530" s="438">
        <f t="shared" si="2"/>
        <v>0</v>
      </c>
      <c r="G530" t="str">
        <f t="shared" si="3"/>
        <v/>
      </c>
      <c r="H530" t="b">
        <f t="shared" si="4"/>
        <v>0</v>
      </c>
      <c r="I530" s="439">
        <f>IF(OR(ISBLANK(A530),ISNA(MATCH(A530&amp;"",AthleteNumbers,0))),0,MATCH(A530&amp;"",AthleteNumbers,0))</f>
        <v>0</v>
      </c>
      <c r="J530" s="209">
        <f t="array" ref="J530">IF(I530&gt;0,INDEX(DB,$I530,6),0)</f>
        <v>0</v>
      </c>
      <c r="K530" s="446">
        <f t="shared" si="5"/>
        <v>0</v>
      </c>
      <c r="L530" s="446">
        <f t="shared" si="6"/>
        <v>0</v>
      </c>
      <c r="M530" s="441">
        <f>IF(L530&lt;O530,MinPoints,IF(AND(L530&gt;N530,O530&gt;0),100,+INT(($L530-O530)/P530)+MinPoints))</f>
        <v>10</v>
      </c>
      <c r="N530" s="440">
        <f t="shared" si="7"/>
        <v>4.9</v>
      </c>
      <c r="O530" s="440">
        <f t="shared" si="8"/>
        <v>2.2</v>
      </c>
      <c r="P530" s="440">
        <f t="shared" si="9"/>
        <v>0.03</v>
      </c>
      <c r="Q530">
        <f t="array" ref="Q530">IF(I530&gt;0,INDEX(DB,I530,9),EventIndex)</f>
        <v>6</v>
      </c>
      <c r="S530" s="447">
        <f t="array" ref="S530">INDEX(MINVALUES,$Q530,$K$1)</f>
        <v>2.2</v>
      </c>
      <c r="T530" s="448">
        <f t="array" ref="T530">INDEX(INCVALUES,$Q530,$K$1)</f>
        <v>0.03</v>
      </c>
      <c r="V530">
        <f t="array" ref="V530">+J530+(4*(INDEX(MatchScoreTable,$Q530,20)-1))</f>
        <v>4</v>
      </c>
      <c r="W530" s="442">
        <f t="array" ref="W530">INDEX(INC_MINVALUES,$V530,$K$1)</f>
        <v>0.2</v>
      </c>
      <c r="X530" s="212">
        <f t="array" ref="X530">INDEX(INC_INCVALUES,$V530,$K$1)</f>
        <v>0.02</v>
      </c>
    </row>
    <row r="531" ht="15.75" customHeight="1">
      <c r="A531" s="435"/>
      <c r="B531" s="436"/>
      <c r="C531" s="95" t="str">
        <f t="array" ref="C531">IF(I531&gt;0,INDEX(DB,I531,8),"")</f>
        <v/>
      </c>
      <c r="D531" s="437">
        <f t="shared" si="1"/>
        <v>0</v>
      </c>
      <c r="F531" s="438">
        <f t="shared" si="2"/>
        <v>0</v>
      </c>
      <c r="G531" t="str">
        <f t="shared" si="3"/>
        <v/>
      </c>
      <c r="H531" t="b">
        <f t="shared" si="4"/>
        <v>0</v>
      </c>
      <c r="I531" s="439">
        <f>IF(OR(ISBLANK(A531),ISNA(MATCH(A531&amp;"",AthleteNumbers,0))),0,MATCH(A531&amp;"",AthleteNumbers,0))</f>
        <v>0</v>
      </c>
      <c r="J531" s="209">
        <f t="array" ref="J531">IF(I531&gt;0,INDEX(DB,$I531,6),0)</f>
        <v>0</v>
      </c>
      <c r="K531" s="446">
        <f t="shared" si="5"/>
        <v>0</v>
      </c>
      <c r="L531" s="446">
        <f t="shared" si="6"/>
        <v>0</v>
      </c>
      <c r="M531" s="441">
        <f>IF(L531&lt;O531,MinPoints,IF(AND(L531&gt;N531,O531&gt;0),100,+INT(($L531-O531)/P531)+MinPoints))</f>
        <v>10</v>
      </c>
      <c r="N531" s="440">
        <f t="shared" si="7"/>
        <v>4.9</v>
      </c>
      <c r="O531" s="440">
        <f t="shared" si="8"/>
        <v>2.2</v>
      </c>
      <c r="P531" s="440">
        <f t="shared" si="9"/>
        <v>0.03</v>
      </c>
      <c r="Q531">
        <f t="array" ref="Q531">IF(I531&gt;0,INDEX(DB,I531,9),EventIndex)</f>
        <v>6</v>
      </c>
      <c r="S531" s="447">
        <f t="array" ref="S531">INDEX(MINVALUES,$Q531,$K$1)</f>
        <v>2.2</v>
      </c>
      <c r="T531" s="448">
        <f t="array" ref="T531">INDEX(INCVALUES,$Q531,$K$1)</f>
        <v>0.03</v>
      </c>
      <c r="V531">
        <f t="array" ref="V531">+J531+(4*(INDEX(MatchScoreTable,$Q531,20)-1))</f>
        <v>4</v>
      </c>
      <c r="W531" s="442">
        <f t="array" ref="W531">INDEX(INC_MINVALUES,$V531,$K$1)</f>
        <v>0.2</v>
      </c>
      <c r="X531" s="212">
        <f t="array" ref="X531">INDEX(INC_INCVALUES,$V531,$K$1)</f>
        <v>0.02</v>
      </c>
    </row>
    <row r="532" ht="15.75" customHeight="1">
      <c r="A532" s="435"/>
      <c r="B532" s="436"/>
      <c r="C532" s="95" t="str">
        <f t="array" ref="C532">IF(I532&gt;0,INDEX(DB,I532,8),"")</f>
        <v/>
      </c>
      <c r="D532" s="437">
        <f t="shared" si="1"/>
        <v>0</v>
      </c>
      <c r="F532" s="438">
        <f t="shared" si="2"/>
        <v>0</v>
      </c>
      <c r="G532" t="str">
        <f t="shared" si="3"/>
        <v/>
      </c>
      <c r="H532" t="b">
        <f t="shared" si="4"/>
        <v>0</v>
      </c>
      <c r="I532" s="439">
        <f>IF(OR(ISBLANK(A532),ISNA(MATCH(A532&amp;"",AthleteNumbers,0))),0,MATCH(A532&amp;"",AthleteNumbers,0))</f>
        <v>0</v>
      </c>
      <c r="J532" s="209">
        <f t="array" ref="J532">IF(I532&gt;0,INDEX(DB,$I532,6),0)</f>
        <v>0</v>
      </c>
      <c r="K532" s="446">
        <f t="shared" si="5"/>
        <v>0</v>
      </c>
      <c r="L532" s="446">
        <f t="shared" si="6"/>
        <v>0</v>
      </c>
      <c r="M532" s="441">
        <f>IF(L532&lt;O532,MinPoints,IF(AND(L532&gt;N532,O532&gt;0),100,+INT(($L532-O532)/P532)+MinPoints))</f>
        <v>10</v>
      </c>
      <c r="N532" s="440">
        <f t="shared" si="7"/>
        <v>4.9</v>
      </c>
      <c r="O532" s="440">
        <f t="shared" si="8"/>
        <v>2.2</v>
      </c>
      <c r="P532" s="440">
        <f t="shared" si="9"/>
        <v>0.03</v>
      </c>
      <c r="Q532">
        <f t="array" ref="Q532">IF(I532&gt;0,INDEX(DB,I532,9),EventIndex)</f>
        <v>6</v>
      </c>
      <c r="S532" s="447">
        <f t="array" ref="S532">INDEX(MINVALUES,$Q532,$K$1)</f>
        <v>2.2</v>
      </c>
      <c r="T532" s="448">
        <f t="array" ref="T532">INDEX(INCVALUES,$Q532,$K$1)</f>
        <v>0.03</v>
      </c>
      <c r="V532">
        <f t="array" ref="V532">+J532+(4*(INDEX(MatchScoreTable,$Q532,20)-1))</f>
        <v>4</v>
      </c>
      <c r="W532" s="442">
        <f t="array" ref="W532">INDEX(INC_MINVALUES,$V532,$K$1)</f>
        <v>0.2</v>
      </c>
      <c r="X532" s="212">
        <f t="array" ref="X532">INDEX(INC_INCVALUES,$V532,$K$1)</f>
        <v>0.02</v>
      </c>
    </row>
    <row r="533" ht="15.75" customHeight="1">
      <c r="A533" s="435"/>
      <c r="B533" s="436"/>
      <c r="C533" s="95" t="str">
        <f t="array" ref="C533">IF(I533&gt;0,INDEX(DB,I533,8),"")</f>
        <v/>
      </c>
      <c r="D533" s="437">
        <f t="shared" si="1"/>
        <v>0</v>
      </c>
      <c r="F533" s="438">
        <f t="shared" si="2"/>
        <v>0</v>
      </c>
      <c r="G533" t="str">
        <f t="shared" si="3"/>
        <v/>
      </c>
      <c r="H533" t="b">
        <f t="shared" si="4"/>
        <v>0</v>
      </c>
      <c r="I533" s="439">
        <f>IF(OR(ISBLANK(A533),ISNA(MATCH(A533&amp;"",AthleteNumbers,0))),0,MATCH(A533&amp;"",AthleteNumbers,0))</f>
        <v>0</v>
      </c>
      <c r="J533" s="209">
        <f t="array" ref="J533">IF(I533&gt;0,INDEX(DB,$I533,6),0)</f>
        <v>0</v>
      </c>
      <c r="K533" s="446">
        <f t="shared" si="5"/>
        <v>0</v>
      </c>
      <c r="L533" s="446">
        <f t="shared" si="6"/>
        <v>0</v>
      </c>
      <c r="M533" s="441">
        <f>IF(L533&lt;O533,MinPoints,IF(AND(L533&gt;N533,O533&gt;0),100,+INT(($L533-O533)/P533)+MinPoints))</f>
        <v>10</v>
      </c>
      <c r="N533" s="440">
        <f t="shared" si="7"/>
        <v>4.9</v>
      </c>
      <c r="O533" s="440">
        <f t="shared" si="8"/>
        <v>2.2</v>
      </c>
      <c r="P533" s="440">
        <f t="shared" si="9"/>
        <v>0.03</v>
      </c>
      <c r="Q533">
        <f t="array" ref="Q533">IF(I533&gt;0,INDEX(DB,I533,9),EventIndex)</f>
        <v>6</v>
      </c>
      <c r="S533" s="447">
        <f t="array" ref="S533">INDEX(MINVALUES,$Q533,$K$1)</f>
        <v>2.2</v>
      </c>
      <c r="T533" s="448">
        <f t="array" ref="T533">INDEX(INCVALUES,$Q533,$K$1)</f>
        <v>0.03</v>
      </c>
      <c r="V533">
        <f t="array" ref="V533">+J533+(4*(INDEX(MatchScoreTable,$Q533,20)-1))</f>
        <v>4</v>
      </c>
      <c r="W533" s="442">
        <f t="array" ref="W533">INDEX(INC_MINVALUES,$V533,$K$1)</f>
        <v>0.2</v>
      </c>
      <c r="X533" s="212">
        <f t="array" ref="X533">INDEX(INC_INCVALUES,$V533,$K$1)</f>
        <v>0.02</v>
      </c>
    </row>
    <row r="534" ht="15.75" customHeight="1">
      <c r="A534" s="435"/>
      <c r="B534" s="436"/>
      <c r="C534" s="95" t="str">
        <f t="array" ref="C534">IF(I534&gt;0,INDEX(DB,I534,8),"")</f>
        <v/>
      </c>
      <c r="D534" s="437">
        <f t="shared" si="1"/>
        <v>0</v>
      </c>
      <c r="F534" s="438">
        <f t="shared" si="2"/>
        <v>0</v>
      </c>
      <c r="G534" t="str">
        <f t="shared" si="3"/>
        <v/>
      </c>
      <c r="H534" t="b">
        <f t="shared" si="4"/>
        <v>0</v>
      </c>
      <c r="I534" s="439">
        <f>IF(OR(ISBLANK(A534),ISNA(MATCH(A534&amp;"",AthleteNumbers,0))),0,MATCH(A534&amp;"",AthleteNumbers,0))</f>
        <v>0</v>
      </c>
      <c r="J534" s="209">
        <f t="array" ref="J534">IF(I534&gt;0,INDEX(DB,$I534,6),0)</f>
        <v>0</v>
      </c>
      <c r="K534" s="446">
        <f t="shared" si="5"/>
        <v>0</v>
      </c>
      <c r="L534" s="446">
        <f t="shared" si="6"/>
        <v>0</v>
      </c>
      <c r="M534" s="441">
        <f>IF(L534&lt;O534,MinPoints,IF(AND(L534&gt;N534,O534&gt;0),100,+INT(($L534-O534)/P534)+MinPoints))</f>
        <v>10</v>
      </c>
      <c r="N534" s="440">
        <f t="shared" si="7"/>
        <v>4.9</v>
      </c>
      <c r="O534" s="440">
        <f t="shared" si="8"/>
        <v>2.2</v>
      </c>
      <c r="P534" s="440">
        <f t="shared" si="9"/>
        <v>0.03</v>
      </c>
      <c r="Q534">
        <f t="array" ref="Q534">IF(I534&gt;0,INDEX(DB,I534,9),EventIndex)</f>
        <v>6</v>
      </c>
      <c r="S534" s="447">
        <f t="array" ref="S534">INDEX(MINVALUES,$Q534,$K$1)</f>
        <v>2.2</v>
      </c>
      <c r="T534" s="448">
        <f t="array" ref="T534">INDEX(INCVALUES,$Q534,$K$1)</f>
        <v>0.03</v>
      </c>
      <c r="V534">
        <f t="array" ref="V534">+J534+(4*(INDEX(MatchScoreTable,$Q534,20)-1))</f>
        <v>4</v>
      </c>
      <c r="W534" s="442">
        <f t="array" ref="W534">INDEX(INC_MINVALUES,$V534,$K$1)</f>
        <v>0.2</v>
      </c>
      <c r="X534" s="212">
        <f t="array" ref="X534">INDEX(INC_INCVALUES,$V534,$K$1)</f>
        <v>0.02</v>
      </c>
    </row>
    <row r="535" ht="15.75" customHeight="1">
      <c r="A535" s="435"/>
      <c r="B535" s="436"/>
      <c r="C535" s="95" t="str">
        <f t="array" ref="C535">IF(I535&gt;0,INDEX(DB,I535,8),"")</f>
        <v/>
      </c>
      <c r="D535" s="437">
        <f t="shared" si="1"/>
        <v>0</v>
      </c>
      <c r="F535" s="438">
        <f t="shared" si="2"/>
        <v>0</v>
      </c>
      <c r="G535" t="str">
        <f t="shared" si="3"/>
        <v/>
      </c>
      <c r="H535" t="b">
        <f t="shared" si="4"/>
        <v>0</v>
      </c>
      <c r="I535" s="439">
        <f>IF(OR(ISBLANK(A535),ISNA(MATCH(A535&amp;"",AthleteNumbers,0))),0,MATCH(A535&amp;"",AthleteNumbers,0))</f>
        <v>0</v>
      </c>
      <c r="J535" s="209">
        <f t="array" ref="J535">IF(I535&gt;0,INDEX(DB,$I535,6),0)</f>
        <v>0</v>
      </c>
      <c r="K535" s="446">
        <f t="shared" si="5"/>
        <v>0</v>
      </c>
      <c r="L535" s="446">
        <f t="shared" si="6"/>
        <v>0</v>
      </c>
      <c r="M535" s="441">
        <f>IF(L535&lt;O535,MinPoints,IF(AND(L535&gt;N535,O535&gt;0),100,+INT(($L535-O535)/P535)+MinPoints))</f>
        <v>10</v>
      </c>
      <c r="N535" s="440">
        <f t="shared" si="7"/>
        <v>4.9</v>
      </c>
      <c r="O535" s="440">
        <f t="shared" si="8"/>
        <v>2.2</v>
      </c>
      <c r="P535" s="440">
        <f t="shared" si="9"/>
        <v>0.03</v>
      </c>
      <c r="Q535">
        <f t="array" ref="Q535">IF(I535&gt;0,INDEX(DB,I535,9),EventIndex)</f>
        <v>6</v>
      </c>
      <c r="S535" s="447">
        <f t="array" ref="S535">INDEX(MINVALUES,$Q535,$K$1)</f>
        <v>2.2</v>
      </c>
      <c r="T535" s="448">
        <f t="array" ref="T535">INDEX(INCVALUES,$Q535,$K$1)</f>
        <v>0.03</v>
      </c>
      <c r="V535">
        <f t="array" ref="V535">+J535+(4*(INDEX(MatchScoreTable,$Q535,20)-1))</f>
        <v>4</v>
      </c>
      <c r="W535" s="442">
        <f t="array" ref="W535">INDEX(INC_MINVALUES,$V535,$K$1)</f>
        <v>0.2</v>
      </c>
      <c r="X535" s="212">
        <f t="array" ref="X535">INDEX(INC_INCVALUES,$V535,$K$1)</f>
        <v>0.02</v>
      </c>
    </row>
    <row r="536" ht="15.75" customHeight="1">
      <c r="A536" s="435"/>
      <c r="B536" s="436"/>
      <c r="C536" s="95" t="str">
        <f t="array" ref="C536">IF(I536&gt;0,INDEX(DB,I536,8),"")</f>
        <v/>
      </c>
      <c r="D536" s="437">
        <f t="shared" si="1"/>
        <v>0</v>
      </c>
      <c r="F536" s="438">
        <f t="shared" si="2"/>
        <v>0</v>
      </c>
      <c r="G536" t="str">
        <f t="shared" si="3"/>
        <v/>
      </c>
      <c r="H536" t="b">
        <f t="shared" si="4"/>
        <v>0</v>
      </c>
      <c r="I536" s="439">
        <f>IF(OR(ISBLANK(A536),ISNA(MATCH(A536&amp;"",AthleteNumbers,0))),0,MATCH(A536&amp;"",AthleteNumbers,0))</f>
        <v>0</v>
      </c>
      <c r="J536" s="209">
        <f t="array" ref="J536">IF(I536&gt;0,INDEX(DB,$I536,6),0)</f>
        <v>0</v>
      </c>
      <c r="K536" s="446">
        <f t="shared" si="5"/>
        <v>0</v>
      </c>
      <c r="L536" s="446">
        <f t="shared" si="6"/>
        <v>0</v>
      </c>
      <c r="M536" s="441">
        <f>IF(L536&lt;O536,MinPoints,IF(AND(L536&gt;N536,O536&gt;0),100,+INT(($L536-O536)/P536)+MinPoints))</f>
        <v>10</v>
      </c>
      <c r="N536" s="440">
        <f t="shared" si="7"/>
        <v>4.9</v>
      </c>
      <c r="O536" s="440">
        <f t="shared" si="8"/>
        <v>2.2</v>
      </c>
      <c r="P536" s="440">
        <f t="shared" si="9"/>
        <v>0.03</v>
      </c>
      <c r="Q536">
        <f t="array" ref="Q536">IF(I536&gt;0,INDEX(DB,I536,9),EventIndex)</f>
        <v>6</v>
      </c>
      <c r="S536" s="447">
        <f t="array" ref="S536">INDEX(MINVALUES,$Q536,$K$1)</f>
        <v>2.2</v>
      </c>
      <c r="T536" s="448">
        <f t="array" ref="T536">INDEX(INCVALUES,$Q536,$K$1)</f>
        <v>0.03</v>
      </c>
      <c r="V536">
        <f t="array" ref="V536">+J536+(4*(INDEX(MatchScoreTable,$Q536,20)-1))</f>
        <v>4</v>
      </c>
      <c r="W536" s="442">
        <f t="array" ref="W536">INDEX(INC_MINVALUES,$V536,$K$1)</f>
        <v>0.2</v>
      </c>
      <c r="X536" s="212">
        <f t="array" ref="X536">INDEX(INC_INCVALUES,$V536,$K$1)</f>
        <v>0.02</v>
      </c>
    </row>
    <row r="537" ht="15.75" customHeight="1">
      <c r="A537" s="435"/>
      <c r="B537" s="436"/>
      <c r="C537" s="95" t="str">
        <f t="array" ref="C537">IF(I537&gt;0,INDEX(DB,I537,8),"")</f>
        <v/>
      </c>
      <c r="D537" s="437">
        <f t="shared" si="1"/>
        <v>0</v>
      </c>
      <c r="F537" s="438">
        <f t="shared" si="2"/>
        <v>0</v>
      </c>
      <c r="G537" t="str">
        <f t="shared" si="3"/>
        <v/>
      </c>
      <c r="H537" t="b">
        <f t="shared" si="4"/>
        <v>0</v>
      </c>
      <c r="I537" s="439">
        <f>IF(OR(ISBLANK(A537),ISNA(MATCH(A537&amp;"",AthleteNumbers,0))),0,MATCH(A537&amp;"",AthleteNumbers,0))</f>
        <v>0</v>
      </c>
      <c r="J537" s="209">
        <f t="array" ref="J537">IF(I537&gt;0,INDEX(DB,$I537,6),0)</f>
        <v>0</v>
      </c>
      <c r="K537" s="446">
        <f t="shared" si="5"/>
        <v>0</v>
      </c>
      <c r="L537" s="446">
        <f t="shared" si="6"/>
        <v>0</v>
      </c>
      <c r="M537" s="441">
        <f>IF(L537&lt;O537,MinPoints,IF(AND(L537&gt;N537,O537&gt;0),100,+INT(($L537-O537)/P537)+MinPoints))</f>
        <v>10</v>
      </c>
      <c r="N537" s="440">
        <f t="shared" si="7"/>
        <v>4.9</v>
      </c>
      <c r="O537" s="440">
        <f t="shared" si="8"/>
        <v>2.2</v>
      </c>
      <c r="P537" s="440">
        <f t="shared" si="9"/>
        <v>0.03</v>
      </c>
      <c r="Q537">
        <f t="array" ref="Q537">IF(I537&gt;0,INDEX(DB,I537,9),EventIndex)</f>
        <v>6</v>
      </c>
      <c r="S537" s="447">
        <f t="array" ref="S537">INDEX(MINVALUES,$Q537,$K$1)</f>
        <v>2.2</v>
      </c>
      <c r="T537" s="448">
        <f t="array" ref="T537">INDEX(INCVALUES,$Q537,$K$1)</f>
        <v>0.03</v>
      </c>
      <c r="V537">
        <f t="array" ref="V537">+J537+(4*(INDEX(MatchScoreTable,$Q537,20)-1))</f>
        <v>4</v>
      </c>
      <c r="W537" s="442">
        <f t="array" ref="W537">INDEX(INC_MINVALUES,$V537,$K$1)</f>
        <v>0.2</v>
      </c>
      <c r="X537" s="212">
        <f t="array" ref="X537">INDEX(INC_INCVALUES,$V537,$K$1)</f>
        <v>0.02</v>
      </c>
    </row>
    <row r="538" ht="15.75" customHeight="1">
      <c r="A538" s="435"/>
      <c r="B538" s="436"/>
      <c r="C538" s="95" t="str">
        <f t="array" ref="C538">IF(I538&gt;0,INDEX(DB,I538,8),"")</f>
        <v/>
      </c>
      <c r="D538" s="437">
        <f t="shared" si="1"/>
        <v>0</v>
      </c>
      <c r="F538" s="438">
        <f t="shared" si="2"/>
        <v>0</v>
      </c>
      <c r="G538" t="str">
        <f t="shared" si="3"/>
        <v/>
      </c>
      <c r="H538" t="b">
        <f t="shared" si="4"/>
        <v>0</v>
      </c>
      <c r="I538" s="439">
        <f>IF(OR(ISBLANK(A538),ISNA(MATCH(A538&amp;"",AthleteNumbers,0))),0,MATCH(A538&amp;"",AthleteNumbers,0))</f>
        <v>0</v>
      </c>
      <c r="J538" s="209">
        <f t="array" ref="J538">IF(I538&gt;0,INDEX(DB,$I538,6),0)</f>
        <v>0</v>
      </c>
      <c r="K538" s="446">
        <f t="shared" si="5"/>
        <v>0</v>
      </c>
      <c r="L538" s="446">
        <f t="shared" si="6"/>
        <v>0</v>
      </c>
      <c r="M538" s="441">
        <f>IF(L538&lt;O538,MinPoints,IF(AND(L538&gt;N538,O538&gt;0),100,+INT(($L538-O538)/P538)+MinPoints))</f>
        <v>10</v>
      </c>
      <c r="N538" s="440">
        <f t="shared" si="7"/>
        <v>4.9</v>
      </c>
      <c r="O538" s="440">
        <f t="shared" si="8"/>
        <v>2.2</v>
      </c>
      <c r="P538" s="440">
        <f t="shared" si="9"/>
        <v>0.03</v>
      </c>
      <c r="Q538">
        <f t="array" ref="Q538">IF(I538&gt;0,INDEX(DB,I538,9),EventIndex)</f>
        <v>6</v>
      </c>
      <c r="S538" s="447">
        <f t="array" ref="S538">INDEX(MINVALUES,$Q538,$K$1)</f>
        <v>2.2</v>
      </c>
      <c r="T538" s="448">
        <f t="array" ref="T538">INDEX(INCVALUES,$Q538,$K$1)</f>
        <v>0.03</v>
      </c>
      <c r="V538">
        <f t="array" ref="V538">+J538+(4*(INDEX(MatchScoreTable,$Q538,20)-1))</f>
        <v>4</v>
      </c>
      <c r="W538" s="442">
        <f t="array" ref="W538">INDEX(INC_MINVALUES,$V538,$K$1)</f>
        <v>0.2</v>
      </c>
      <c r="X538" s="212">
        <f t="array" ref="X538">INDEX(INC_INCVALUES,$V538,$K$1)</f>
        <v>0.02</v>
      </c>
    </row>
    <row r="539" ht="15.75" customHeight="1">
      <c r="A539" s="435"/>
      <c r="B539" s="436"/>
      <c r="C539" s="95" t="str">
        <f t="array" ref="C539">IF(I539&gt;0,INDEX(DB,I539,8),"")</f>
        <v/>
      </c>
      <c r="D539" s="437">
        <f t="shared" si="1"/>
        <v>0</v>
      </c>
      <c r="F539" s="438">
        <f t="shared" si="2"/>
        <v>0</v>
      </c>
      <c r="G539" t="str">
        <f t="shared" si="3"/>
        <v/>
      </c>
      <c r="H539" t="b">
        <f t="shared" si="4"/>
        <v>0</v>
      </c>
      <c r="I539" s="439">
        <f>IF(OR(ISBLANK(A539),ISNA(MATCH(A539&amp;"",AthleteNumbers,0))),0,MATCH(A539&amp;"",AthleteNumbers,0))</f>
        <v>0</v>
      </c>
      <c r="J539" s="209">
        <f t="array" ref="J539">IF(I539&gt;0,INDEX(DB,$I539,6),0)</f>
        <v>0</v>
      </c>
      <c r="K539" s="446">
        <f t="shared" si="5"/>
        <v>0</v>
      </c>
      <c r="L539" s="446">
        <f t="shared" si="6"/>
        <v>0</v>
      </c>
      <c r="M539" s="441">
        <f>IF(L539&lt;O539,MinPoints,IF(AND(L539&gt;N539,O539&gt;0),100,+INT(($L539-O539)/P539)+MinPoints))</f>
        <v>10</v>
      </c>
      <c r="N539" s="440">
        <f t="shared" si="7"/>
        <v>4.9</v>
      </c>
      <c r="O539" s="440">
        <f t="shared" si="8"/>
        <v>2.2</v>
      </c>
      <c r="P539" s="440">
        <f t="shared" si="9"/>
        <v>0.03</v>
      </c>
      <c r="Q539">
        <f t="array" ref="Q539">IF(I539&gt;0,INDEX(DB,I539,9),EventIndex)</f>
        <v>6</v>
      </c>
      <c r="S539" s="447">
        <f t="array" ref="S539">INDEX(MINVALUES,$Q539,$K$1)</f>
        <v>2.2</v>
      </c>
      <c r="T539" s="448">
        <f t="array" ref="T539">INDEX(INCVALUES,$Q539,$K$1)</f>
        <v>0.03</v>
      </c>
      <c r="V539">
        <f t="array" ref="V539">+J539+(4*(INDEX(MatchScoreTable,$Q539,20)-1))</f>
        <v>4</v>
      </c>
      <c r="W539" s="442">
        <f t="array" ref="W539">INDEX(INC_MINVALUES,$V539,$K$1)</f>
        <v>0.2</v>
      </c>
      <c r="X539" s="212">
        <f t="array" ref="X539">INDEX(INC_INCVALUES,$V539,$K$1)</f>
        <v>0.02</v>
      </c>
    </row>
    <row r="540" ht="15.75" customHeight="1">
      <c r="A540" s="435"/>
      <c r="B540" s="436"/>
      <c r="C540" s="95" t="str">
        <f t="array" ref="C540">IF(I540&gt;0,INDEX(DB,I540,8),"")</f>
        <v/>
      </c>
      <c r="D540" s="437">
        <f t="shared" si="1"/>
        <v>0</v>
      </c>
      <c r="F540" s="438">
        <f t="shared" si="2"/>
        <v>0</v>
      </c>
      <c r="G540" t="str">
        <f t="shared" si="3"/>
        <v/>
      </c>
      <c r="H540" t="b">
        <f t="shared" si="4"/>
        <v>0</v>
      </c>
      <c r="I540" s="439">
        <f>IF(OR(ISBLANK(A540),ISNA(MATCH(A540&amp;"",AthleteNumbers,0))),0,MATCH(A540&amp;"",AthleteNumbers,0))</f>
        <v>0</v>
      </c>
      <c r="J540" s="209">
        <f t="array" ref="J540">IF(I540&gt;0,INDEX(DB,$I540,6),0)</f>
        <v>0</v>
      </c>
      <c r="K540" s="446">
        <f t="shared" si="5"/>
        <v>0</v>
      </c>
      <c r="L540" s="446">
        <f t="shared" si="6"/>
        <v>0</v>
      </c>
      <c r="M540" s="441">
        <f>IF(L540&lt;O540,MinPoints,IF(AND(L540&gt;N540,O540&gt;0),100,+INT(($L540-O540)/P540)+MinPoints))</f>
        <v>10</v>
      </c>
      <c r="N540" s="440">
        <f t="shared" si="7"/>
        <v>4.9</v>
      </c>
      <c r="O540" s="440">
        <f t="shared" si="8"/>
        <v>2.2</v>
      </c>
      <c r="P540" s="440">
        <f t="shared" si="9"/>
        <v>0.03</v>
      </c>
      <c r="Q540">
        <f t="array" ref="Q540">IF(I540&gt;0,INDEX(DB,I540,9),EventIndex)</f>
        <v>6</v>
      </c>
      <c r="S540" s="447">
        <f t="array" ref="S540">INDEX(MINVALUES,$Q540,$K$1)</f>
        <v>2.2</v>
      </c>
      <c r="T540" s="448">
        <f t="array" ref="T540">INDEX(INCVALUES,$Q540,$K$1)</f>
        <v>0.03</v>
      </c>
      <c r="V540">
        <f t="array" ref="V540">+J540+(4*(INDEX(MatchScoreTable,$Q540,20)-1))</f>
        <v>4</v>
      </c>
      <c r="W540" s="442">
        <f t="array" ref="W540">INDEX(INC_MINVALUES,$V540,$K$1)</f>
        <v>0.2</v>
      </c>
      <c r="X540" s="212">
        <f t="array" ref="X540">INDEX(INC_INCVALUES,$V540,$K$1)</f>
        <v>0.02</v>
      </c>
    </row>
    <row r="541" ht="15.75" customHeight="1">
      <c r="A541" s="435"/>
      <c r="B541" s="436"/>
      <c r="C541" s="95" t="str">
        <f t="array" ref="C541">IF(I541&gt;0,INDEX(DB,I541,8),"")</f>
        <v/>
      </c>
      <c r="D541" s="437">
        <f t="shared" si="1"/>
        <v>0</v>
      </c>
      <c r="F541" s="438">
        <f t="shared" si="2"/>
        <v>0</v>
      </c>
      <c r="G541" t="str">
        <f t="shared" si="3"/>
        <v/>
      </c>
      <c r="H541" t="b">
        <f t="shared" si="4"/>
        <v>0</v>
      </c>
      <c r="I541" s="439">
        <f>IF(OR(ISBLANK(A541),ISNA(MATCH(A541&amp;"",AthleteNumbers,0))),0,MATCH(A541&amp;"",AthleteNumbers,0))</f>
        <v>0</v>
      </c>
      <c r="J541" s="209">
        <f t="array" ref="J541">IF(I541&gt;0,INDEX(DB,$I541,6),0)</f>
        <v>0</v>
      </c>
      <c r="K541" s="446">
        <f t="shared" si="5"/>
        <v>0</v>
      </c>
      <c r="L541" s="446">
        <f t="shared" si="6"/>
        <v>0</v>
      </c>
      <c r="M541" s="441">
        <f>IF(L541&lt;O541,MinPoints,IF(AND(L541&gt;N541,O541&gt;0),100,+INT(($L541-O541)/P541)+MinPoints))</f>
        <v>10</v>
      </c>
      <c r="N541" s="440">
        <f t="shared" si="7"/>
        <v>4.9</v>
      </c>
      <c r="O541" s="440">
        <f t="shared" si="8"/>
        <v>2.2</v>
      </c>
      <c r="P541" s="440">
        <f t="shared" si="9"/>
        <v>0.03</v>
      </c>
      <c r="Q541">
        <f t="array" ref="Q541">IF(I541&gt;0,INDEX(DB,I541,9),EventIndex)</f>
        <v>6</v>
      </c>
      <c r="S541" s="447">
        <f t="array" ref="S541">INDEX(MINVALUES,$Q541,$K$1)</f>
        <v>2.2</v>
      </c>
      <c r="T541" s="448">
        <f t="array" ref="T541">INDEX(INCVALUES,$Q541,$K$1)</f>
        <v>0.03</v>
      </c>
      <c r="V541">
        <f t="array" ref="V541">+J541+(4*(INDEX(MatchScoreTable,$Q541,20)-1))</f>
        <v>4</v>
      </c>
      <c r="W541" s="442">
        <f t="array" ref="W541">INDEX(INC_MINVALUES,$V541,$K$1)</f>
        <v>0.2</v>
      </c>
      <c r="X541" s="212">
        <f t="array" ref="X541">INDEX(INC_INCVALUES,$V541,$K$1)</f>
        <v>0.02</v>
      </c>
    </row>
    <row r="542" ht="15.75" customHeight="1">
      <c r="A542" s="435"/>
      <c r="B542" s="436"/>
      <c r="C542" s="95" t="str">
        <f t="array" ref="C542">IF(I542&gt;0,INDEX(DB,I542,8),"")</f>
        <v/>
      </c>
      <c r="D542" s="437">
        <f t="shared" si="1"/>
        <v>0</v>
      </c>
      <c r="F542" s="438">
        <f t="shared" si="2"/>
        <v>0</v>
      </c>
      <c r="G542" t="str">
        <f t="shared" si="3"/>
        <v/>
      </c>
      <c r="H542" t="b">
        <f t="shared" si="4"/>
        <v>0</v>
      </c>
      <c r="I542" s="439">
        <f>IF(OR(ISBLANK(A542),ISNA(MATCH(A542&amp;"",AthleteNumbers,0))),0,MATCH(A542&amp;"",AthleteNumbers,0))</f>
        <v>0</v>
      </c>
      <c r="J542" s="209">
        <f t="array" ref="J542">IF(I542&gt;0,INDEX(DB,$I542,6),0)</f>
        <v>0</v>
      </c>
      <c r="K542" s="446">
        <f t="shared" si="5"/>
        <v>0</v>
      </c>
      <c r="L542" s="446">
        <f t="shared" si="6"/>
        <v>0</v>
      </c>
      <c r="M542" s="441">
        <f>IF(L542&lt;O542,MinPoints,IF(AND(L542&gt;N542,O542&gt;0),100,+INT(($L542-O542)/P542)+MinPoints))</f>
        <v>10</v>
      </c>
      <c r="N542" s="440">
        <f t="shared" si="7"/>
        <v>4.9</v>
      </c>
      <c r="O542" s="440">
        <f t="shared" si="8"/>
        <v>2.2</v>
      </c>
      <c r="P542" s="440">
        <f t="shared" si="9"/>
        <v>0.03</v>
      </c>
      <c r="Q542">
        <f t="array" ref="Q542">IF(I542&gt;0,INDEX(DB,I542,9),EventIndex)</f>
        <v>6</v>
      </c>
      <c r="S542" s="447">
        <f t="array" ref="S542">INDEX(MINVALUES,$Q542,$K$1)</f>
        <v>2.2</v>
      </c>
      <c r="T542" s="448">
        <f t="array" ref="T542">INDEX(INCVALUES,$Q542,$K$1)</f>
        <v>0.03</v>
      </c>
      <c r="V542">
        <f t="array" ref="V542">+J542+(4*(INDEX(MatchScoreTable,$Q542,20)-1))</f>
        <v>4</v>
      </c>
      <c r="W542" s="442">
        <f t="array" ref="W542">INDEX(INC_MINVALUES,$V542,$K$1)</f>
        <v>0.2</v>
      </c>
      <c r="X542" s="212">
        <f t="array" ref="X542">INDEX(INC_INCVALUES,$V542,$K$1)</f>
        <v>0.02</v>
      </c>
    </row>
    <row r="543" ht="15.75" customHeight="1">
      <c r="A543" s="435"/>
      <c r="B543" s="436"/>
      <c r="C543" s="95" t="str">
        <f t="array" ref="C543">IF(I543&gt;0,INDEX(DB,I543,8),"")</f>
        <v/>
      </c>
      <c r="D543" s="437">
        <f t="shared" si="1"/>
        <v>0</v>
      </c>
      <c r="F543" s="438">
        <f t="shared" si="2"/>
        <v>0</v>
      </c>
      <c r="G543" t="str">
        <f t="shared" si="3"/>
        <v/>
      </c>
      <c r="H543" t="b">
        <f t="shared" si="4"/>
        <v>0</v>
      </c>
      <c r="I543" s="439">
        <f>IF(OR(ISBLANK(A543),ISNA(MATCH(A543&amp;"",AthleteNumbers,0))),0,MATCH(A543&amp;"",AthleteNumbers,0))</f>
        <v>0</v>
      </c>
      <c r="J543" s="209">
        <f t="array" ref="J543">IF(I543&gt;0,INDEX(DB,$I543,6),0)</f>
        <v>0</v>
      </c>
      <c r="K543" s="446">
        <f t="shared" si="5"/>
        <v>0</v>
      </c>
      <c r="L543" s="446">
        <f t="shared" si="6"/>
        <v>0</v>
      </c>
      <c r="M543" s="441">
        <f>IF(L543&lt;O543,MinPoints,IF(AND(L543&gt;N543,O543&gt;0),100,+INT(($L543-O543)/P543)+MinPoints))</f>
        <v>10</v>
      </c>
      <c r="N543" s="440">
        <f t="shared" si="7"/>
        <v>4.9</v>
      </c>
      <c r="O543" s="440">
        <f t="shared" si="8"/>
        <v>2.2</v>
      </c>
      <c r="P543" s="440">
        <f t="shared" si="9"/>
        <v>0.03</v>
      </c>
      <c r="Q543">
        <f t="array" ref="Q543">IF(I543&gt;0,INDEX(DB,I543,9),EventIndex)</f>
        <v>6</v>
      </c>
      <c r="S543" s="447">
        <f t="array" ref="S543">INDEX(MINVALUES,$Q543,$K$1)</f>
        <v>2.2</v>
      </c>
      <c r="T543" s="448">
        <f t="array" ref="T543">INDEX(INCVALUES,$Q543,$K$1)</f>
        <v>0.03</v>
      </c>
      <c r="V543">
        <f t="array" ref="V543">+J543+(4*(INDEX(MatchScoreTable,$Q543,20)-1))</f>
        <v>4</v>
      </c>
      <c r="W543" s="442">
        <f t="array" ref="W543">INDEX(INC_MINVALUES,$V543,$K$1)</f>
        <v>0.2</v>
      </c>
      <c r="X543" s="212">
        <f t="array" ref="X543">INDEX(INC_INCVALUES,$V543,$K$1)</f>
        <v>0.02</v>
      </c>
    </row>
    <row r="544" ht="15.75" customHeight="1">
      <c r="A544" s="435"/>
      <c r="B544" s="436"/>
      <c r="C544" s="95" t="str">
        <f t="array" ref="C544">IF(I544&gt;0,INDEX(DB,I544,8),"")</f>
        <v/>
      </c>
      <c r="D544" s="437">
        <f t="shared" si="1"/>
        <v>0</v>
      </c>
      <c r="F544" s="438">
        <f t="shared" si="2"/>
        <v>0</v>
      </c>
      <c r="G544" t="str">
        <f t="shared" si="3"/>
        <v/>
      </c>
      <c r="H544" t="b">
        <f t="shared" si="4"/>
        <v>0</v>
      </c>
      <c r="I544" s="439">
        <f>IF(OR(ISBLANK(A544),ISNA(MATCH(A544&amp;"",AthleteNumbers,0))),0,MATCH(A544&amp;"",AthleteNumbers,0))</f>
        <v>0</v>
      </c>
      <c r="J544" s="209">
        <f t="array" ref="J544">IF(I544&gt;0,INDEX(DB,$I544,6),0)</f>
        <v>0</v>
      </c>
      <c r="K544" s="446">
        <f t="shared" si="5"/>
        <v>0</v>
      </c>
      <c r="L544" s="446">
        <f t="shared" si="6"/>
        <v>0</v>
      </c>
      <c r="M544" s="441">
        <f>IF(L544&lt;O544,MinPoints,IF(AND(L544&gt;N544,O544&gt;0),100,+INT(($L544-O544)/P544)+MinPoints))</f>
        <v>10</v>
      </c>
      <c r="N544" s="440">
        <f t="shared" si="7"/>
        <v>4.9</v>
      </c>
      <c r="O544" s="440">
        <f t="shared" si="8"/>
        <v>2.2</v>
      </c>
      <c r="P544" s="440">
        <f t="shared" si="9"/>
        <v>0.03</v>
      </c>
      <c r="Q544">
        <f t="array" ref="Q544">IF(I544&gt;0,INDEX(DB,I544,9),EventIndex)</f>
        <v>6</v>
      </c>
      <c r="S544" s="447">
        <f t="array" ref="S544">INDEX(MINVALUES,$Q544,$K$1)</f>
        <v>2.2</v>
      </c>
      <c r="T544" s="448">
        <f t="array" ref="T544">INDEX(INCVALUES,$Q544,$K$1)</f>
        <v>0.03</v>
      </c>
      <c r="V544">
        <f t="array" ref="V544">+J544+(4*(INDEX(MatchScoreTable,$Q544,20)-1))</f>
        <v>4</v>
      </c>
      <c r="W544" s="442">
        <f t="array" ref="W544">INDEX(INC_MINVALUES,$V544,$K$1)</f>
        <v>0.2</v>
      </c>
      <c r="X544" s="212">
        <f t="array" ref="X544">INDEX(INC_INCVALUES,$V544,$K$1)</f>
        <v>0.02</v>
      </c>
    </row>
    <row r="545" ht="15.75" customHeight="1">
      <c r="A545" s="435"/>
      <c r="B545" s="436"/>
      <c r="C545" s="95" t="str">
        <f t="array" ref="C545">IF(I545&gt;0,INDEX(DB,I545,8),"")</f>
        <v/>
      </c>
      <c r="D545" s="437">
        <f t="shared" si="1"/>
        <v>0</v>
      </c>
      <c r="F545" s="438">
        <f t="shared" si="2"/>
        <v>0</v>
      </c>
      <c r="G545" t="str">
        <f t="shared" si="3"/>
        <v/>
      </c>
      <c r="H545" t="b">
        <f t="shared" si="4"/>
        <v>0</v>
      </c>
      <c r="I545" s="439">
        <f>IF(OR(ISBLANK(A545),ISNA(MATCH(A545&amp;"",AthleteNumbers,0))),0,MATCH(A545&amp;"",AthleteNumbers,0))</f>
        <v>0</v>
      </c>
      <c r="J545" s="209">
        <f t="array" ref="J545">IF(I545&gt;0,INDEX(DB,$I545,6),0)</f>
        <v>0</v>
      </c>
      <c r="K545" s="446">
        <f t="shared" si="5"/>
        <v>0</v>
      </c>
      <c r="L545" s="446">
        <f t="shared" si="6"/>
        <v>0</v>
      </c>
      <c r="M545" s="441">
        <f>IF(L545&lt;O545,MinPoints,IF(AND(L545&gt;N545,O545&gt;0),100,+INT(($L545-O545)/P545)+MinPoints))</f>
        <v>10</v>
      </c>
      <c r="N545" s="440">
        <f t="shared" si="7"/>
        <v>4.9</v>
      </c>
      <c r="O545" s="440">
        <f t="shared" si="8"/>
        <v>2.2</v>
      </c>
      <c r="P545" s="440">
        <f t="shared" si="9"/>
        <v>0.03</v>
      </c>
      <c r="Q545">
        <f t="array" ref="Q545">IF(I545&gt;0,INDEX(DB,I545,9),EventIndex)</f>
        <v>6</v>
      </c>
      <c r="S545" s="447">
        <f t="array" ref="S545">INDEX(MINVALUES,$Q545,$K$1)</f>
        <v>2.2</v>
      </c>
      <c r="T545" s="448">
        <f t="array" ref="T545">INDEX(INCVALUES,$Q545,$K$1)</f>
        <v>0.03</v>
      </c>
      <c r="V545">
        <f t="array" ref="V545">+J545+(4*(INDEX(MatchScoreTable,$Q545,20)-1))</f>
        <v>4</v>
      </c>
      <c r="W545" s="442">
        <f t="array" ref="W545">INDEX(INC_MINVALUES,$V545,$K$1)</f>
        <v>0.2</v>
      </c>
      <c r="X545" s="212">
        <f t="array" ref="X545">INDEX(INC_INCVALUES,$V545,$K$1)</f>
        <v>0.02</v>
      </c>
    </row>
    <row r="546" ht="15.75" customHeight="1">
      <c r="A546" s="435"/>
      <c r="B546" s="436"/>
      <c r="C546" s="95" t="str">
        <f t="array" ref="C546">IF(I546&gt;0,INDEX(DB,I546,8),"")</f>
        <v/>
      </c>
      <c r="D546" s="437">
        <f t="shared" si="1"/>
        <v>0</v>
      </c>
      <c r="F546" s="438">
        <f t="shared" si="2"/>
        <v>0</v>
      </c>
      <c r="G546" t="str">
        <f t="shared" si="3"/>
        <v/>
      </c>
      <c r="H546" t="b">
        <f t="shared" si="4"/>
        <v>0</v>
      </c>
      <c r="I546" s="439">
        <f>IF(OR(ISBLANK(A546),ISNA(MATCH(A546&amp;"",AthleteNumbers,0))),0,MATCH(A546&amp;"",AthleteNumbers,0))</f>
        <v>0</v>
      </c>
      <c r="J546" s="209">
        <f t="array" ref="J546">IF(I546&gt;0,INDEX(DB,$I546,6),0)</f>
        <v>0</v>
      </c>
      <c r="K546" s="446">
        <f t="shared" si="5"/>
        <v>0</v>
      </c>
      <c r="L546" s="446">
        <f t="shared" si="6"/>
        <v>0</v>
      </c>
      <c r="M546" s="441">
        <f>IF(L546&lt;O546,MinPoints,IF(AND(L546&gt;N546,O546&gt;0),100,+INT(($L546-O546)/P546)+MinPoints))</f>
        <v>10</v>
      </c>
      <c r="N546" s="440">
        <f t="shared" si="7"/>
        <v>4.9</v>
      </c>
      <c r="O546" s="440">
        <f t="shared" si="8"/>
        <v>2.2</v>
      </c>
      <c r="P546" s="440">
        <f t="shared" si="9"/>
        <v>0.03</v>
      </c>
      <c r="Q546">
        <f t="array" ref="Q546">IF(I546&gt;0,INDEX(DB,I546,9),EventIndex)</f>
        <v>6</v>
      </c>
      <c r="S546" s="447">
        <f t="array" ref="S546">INDEX(MINVALUES,$Q546,$K$1)</f>
        <v>2.2</v>
      </c>
      <c r="T546" s="448">
        <f t="array" ref="T546">INDEX(INCVALUES,$Q546,$K$1)</f>
        <v>0.03</v>
      </c>
      <c r="V546">
        <f t="array" ref="V546">+J546+(4*(INDEX(MatchScoreTable,$Q546,20)-1))</f>
        <v>4</v>
      </c>
      <c r="W546" s="442">
        <f t="array" ref="W546">INDEX(INC_MINVALUES,$V546,$K$1)</f>
        <v>0.2</v>
      </c>
      <c r="X546" s="212">
        <f t="array" ref="X546">INDEX(INC_INCVALUES,$V546,$K$1)</f>
        <v>0.02</v>
      </c>
    </row>
    <row r="547" ht="15.75" customHeight="1">
      <c r="A547" s="435"/>
      <c r="B547" s="436"/>
      <c r="C547" s="95" t="str">
        <f t="array" ref="C547">IF(I547&gt;0,INDEX(DB,I547,8),"")</f>
        <v/>
      </c>
      <c r="D547" s="437">
        <f t="shared" si="1"/>
        <v>0</v>
      </c>
      <c r="F547" s="438">
        <f t="shared" si="2"/>
        <v>0</v>
      </c>
      <c r="G547" t="str">
        <f t="shared" si="3"/>
        <v/>
      </c>
      <c r="H547" t="b">
        <f t="shared" si="4"/>
        <v>0</v>
      </c>
      <c r="I547" s="439">
        <f>IF(OR(ISBLANK(A547),ISNA(MATCH(A547&amp;"",AthleteNumbers,0))),0,MATCH(A547&amp;"",AthleteNumbers,0))</f>
        <v>0</v>
      </c>
      <c r="J547" s="209">
        <f t="array" ref="J547">IF(I547&gt;0,INDEX(DB,$I547,6),0)</f>
        <v>0</v>
      </c>
      <c r="K547" s="446">
        <f t="shared" si="5"/>
        <v>0</v>
      </c>
      <c r="L547" s="446">
        <f t="shared" si="6"/>
        <v>0</v>
      </c>
      <c r="M547" s="441">
        <f>IF(L547&lt;O547,MinPoints,IF(AND(L547&gt;N547,O547&gt;0),100,+INT(($L547-O547)/P547)+MinPoints))</f>
        <v>10</v>
      </c>
      <c r="N547" s="440">
        <f t="shared" si="7"/>
        <v>4.9</v>
      </c>
      <c r="O547" s="440">
        <f t="shared" si="8"/>
        <v>2.2</v>
      </c>
      <c r="P547" s="440">
        <f t="shared" si="9"/>
        <v>0.03</v>
      </c>
      <c r="Q547">
        <f t="array" ref="Q547">IF(I547&gt;0,INDEX(DB,I547,9),EventIndex)</f>
        <v>6</v>
      </c>
      <c r="S547" s="447">
        <f t="array" ref="S547">INDEX(MINVALUES,$Q547,$K$1)</f>
        <v>2.2</v>
      </c>
      <c r="T547" s="448">
        <f t="array" ref="T547">INDEX(INCVALUES,$Q547,$K$1)</f>
        <v>0.03</v>
      </c>
      <c r="V547">
        <f t="array" ref="V547">+J547+(4*(INDEX(MatchScoreTable,$Q547,20)-1))</f>
        <v>4</v>
      </c>
      <c r="W547" s="442">
        <f t="array" ref="W547">INDEX(INC_MINVALUES,$V547,$K$1)</f>
        <v>0.2</v>
      </c>
      <c r="X547" s="212">
        <f t="array" ref="X547">INDEX(INC_INCVALUES,$V547,$K$1)</f>
        <v>0.02</v>
      </c>
    </row>
    <row r="548" ht="15.75" customHeight="1">
      <c r="A548" s="435"/>
      <c r="B548" s="436"/>
      <c r="C548" s="95" t="str">
        <f t="array" ref="C548">IF(I548&gt;0,INDEX(DB,I548,8),"")</f>
        <v/>
      </c>
      <c r="D548" s="437">
        <f t="shared" si="1"/>
        <v>0</v>
      </c>
      <c r="F548" s="438">
        <f t="shared" si="2"/>
        <v>0</v>
      </c>
      <c r="G548" t="str">
        <f t="shared" si="3"/>
        <v/>
      </c>
      <c r="H548" t="b">
        <f t="shared" si="4"/>
        <v>0</v>
      </c>
      <c r="I548" s="439">
        <f>IF(OR(ISBLANK(A548),ISNA(MATCH(A548&amp;"",AthleteNumbers,0))),0,MATCH(A548&amp;"",AthleteNumbers,0))</f>
        <v>0</v>
      </c>
      <c r="J548" s="209">
        <f t="array" ref="J548">IF(I548&gt;0,INDEX(DB,$I548,6),0)</f>
        <v>0</v>
      </c>
      <c r="K548" s="446">
        <f t="shared" si="5"/>
        <v>0</v>
      </c>
      <c r="L548" s="446">
        <f t="shared" si="6"/>
        <v>0</v>
      </c>
      <c r="M548" s="441">
        <f>IF(L548&lt;O548,MinPoints,IF(AND(L548&gt;N548,O548&gt;0),100,+INT(($L548-O548)/P548)+MinPoints))</f>
        <v>10</v>
      </c>
      <c r="N548" s="440">
        <f t="shared" si="7"/>
        <v>4.9</v>
      </c>
      <c r="O548" s="440">
        <f t="shared" si="8"/>
        <v>2.2</v>
      </c>
      <c r="P548" s="440">
        <f t="shared" si="9"/>
        <v>0.03</v>
      </c>
      <c r="Q548">
        <f t="array" ref="Q548">IF(I548&gt;0,INDEX(DB,I548,9),EventIndex)</f>
        <v>6</v>
      </c>
      <c r="S548" s="447">
        <f t="array" ref="S548">INDEX(MINVALUES,$Q548,$K$1)</f>
        <v>2.2</v>
      </c>
      <c r="T548" s="448">
        <f t="array" ref="T548">INDEX(INCVALUES,$Q548,$K$1)</f>
        <v>0.03</v>
      </c>
      <c r="V548">
        <f t="array" ref="V548">+J548+(4*(INDEX(MatchScoreTable,$Q548,20)-1))</f>
        <v>4</v>
      </c>
      <c r="W548" s="442">
        <f t="array" ref="W548">INDEX(INC_MINVALUES,$V548,$K$1)</f>
        <v>0.2</v>
      </c>
      <c r="X548" s="212">
        <f t="array" ref="X548">INDEX(INC_INCVALUES,$V548,$K$1)</f>
        <v>0.02</v>
      </c>
    </row>
    <row r="549" ht="15.75" customHeight="1">
      <c r="A549" s="435"/>
      <c r="B549" s="436"/>
      <c r="C549" s="95" t="str">
        <f t="array" ref="C549">IF(I549&gt;0,INDEX(DB,I549,8),"")</f>
        <v/>
      </c>
      <c r="D549" s="437">
        <f t="shared" si="1"/>
        <v>0</v>
      </c>
      <c r="F549" s="438">
        <f t="shared" si="2"/>
        <v>0</v>
      </c>
      <c r="G549" t="str">
        <f t="shared" si="3"/>
        <v/>
      </c>
      <c r="H549" t="b">
        <f t="shared" si="4"/>
        <v>0</v>
      </c>
      <c r="I549" s="439">
        <f>IF(OR(ISBLANK(A549),ISNA(MATCH(A549&amp;"",AthleteNumbers,0))),0,MATCH(A549&amp;"",AthleteNumbers,0))</f>
        <v>0</v>
      </c>
      <c r="J549" s="209">
        <f t="array" ref="J549">IF(I549&gt;0,INDEX(DB,$I549,6),0)</f>
        <v>0</v>
      </c>
      <c r="K549" s="446">
        <f t="shared" si="5"/>
        <v>0</v>
      </c>
      <c r="L549" s="446">
        <f t="shared" si="6"/>
        <v>0</v>
      </c>
      <c r="M549" s="441">
        <f>IF(L549&lt;O549,MinPoints,IF(AND(L549&gt;N549,O549&gt;0),100,+INT(($L549-O549)/P549)+MinPoints))</f>
        <v>10</v>
      </c>
      <c r="N549" s="440">
        <f t="shared" si="7"/>
        <v>4.9</v>
      </c>
      <c r="O549" s="440">
        <f t="shared" si="8"/>
        <v>2.2</v>
      </c>
      <c r="P549" s="440">
        <f t="shared" si="9"/>
        <v>0.03</v>
      </c>
      <c r="Q549">
        <f t="array" ref="Q549">IF(I549&gt;0,INDEX(DB,I549,9),EventIndex)</f>
        <v>6</v>
      </c>
      <c r="S549" s="447">
        <f t="array" ref="S549">INDEX(MINVALUES,$Q549,$K$1)</f>
        <v>2.2</v>
      </c>
      <c r="T549" s="448">
        <f t="array" ref="T549">INDEX(INCVALUES,$Q549,$K$1)</f>
        <v>0.03</v>
      </c>
      <c r="V549">
        <f t="array" ref="V549">+J549+(4*(INDEX(MatchScoreTable,$Q549,20)-1))</f>
        <v>4</v>
      </c>
      <c r="W549" s="442">
        <f t="array" ref="W549">INDEX(INC_MINVALUES,$V549,$K$1)</f>
        <v>0.2</v>
      </c>
      <c r="X549" s="212">
        <f t="array" ref="X549">INDEX(INC_INCVALUES,$V549,$K$1)</f>
        <v>0.02</v>
      </c>
    </row>
    <row r="550" ht="15.75" customHeight="1">
      <c r="A550" s="435"/>
      <c r="B550" s="436"/>
      <c r="C550" s="95" t="str">
        <f t="array" ref="C550">IF(I550&gt;0,INDEX(DB,I550,8),"")</f>
        <v/>
      </c>
      <c r="D550" s="437">
        <f t="shared" si="1"/>
        <v>0</v>
      </c>
      <c r="F550" s="438">
        <f t="shared" si="2"/>
        <v>0</v>
      </c>
      <c r="G550" t="str">
        <f t="shared" si="3"/>
        <v/>
      </c>
      <c r="H550" t="b">
        <f t="shared" si="4"/>
        <v>0</v>
      </c>
      <c r="I550" s="439">
        <f>IF(OR(ISBLANK(A550),ISNA(MATCH(A550&amp;"",AthleteNumbers,0))),0,MATCH(A550&amp;"",AthleteNumbers,0))</f>
        <v>0</v>
      </c>
      <c r="J550" s="209">
        <f t="array" ref="J550">IF(I550&gt;0,INDEX(DB,$I550,6),0)</f>
        <v>0</v>
      </c>
      <c r="K550" s="446">
        <f t="shared" si="5"/>
        <v>0</v>
      </c>
      <c r="L550" s="446">
        <f t="shared" si="6"/>
        <v>0</v>
      </c>
      <c r="M550" s="441">
        <f>IF(L550&lt;O550,MinPoints,IF(AND(L550&gt;N550,O550&gt;0),100,+INT(($L550-O550)/P550)+MinPoints))</f>
        <v>10</v>
      </c>
      <c r="N550" s="440">
        <f t="shared" si="7"/>
        <v>4.9</v>
      </c>
      <c r="O550" s="440">
        <f t="shared" si="8"/>
        <v>2.2</v>
      </c>
      <c r="P550" s="440">
        <f t="shared" si="9"/>
        <v>0.03</v>
      </c>
      <c r="Q550">
        <f t="array" ref="Q550">IF(I550&gt;0,INDEX(DB,I550,9),EventIndex)</f>
        <v>6</v>
      </c>
      <c r="S550" s="447">
        <f t="array" ref="S550">INDEX(MINVALUES,$Q550,$K$1)</f>
        <v>2.2</v>
      </c>
      <c r="T550" s="448">
        <f t="array" ref="T550">INDEX(INCVALUES,$Q550,$K$1)</f>
        <v>0.03</v>
      </c>
      <c r="V550">
        <f t="array" ref="V550">+J550+(4*(INDEX(MatchScoreTable,$Q550,20)-1))</f>
        <v>4</v>
      </c>
      <c r="W550" s="442">
        <f t="array" ref="W550">INDEX(INC_MINVALUES,$V550,$K$1)</f>
        <v>0.2</v>
      </c>
      <c r="X550" s="212">
        <f t="array" ref="X550">INDEX(INC_INCVALUES,$V550,$K$1)</f>
        <v>0.02</v>
      </c>
    </row>
    <row r="551" ht="15.75" customHeight="1">
      <c r="A551" s="435"/>
      <c r="B551" s="436"/>
      <c r="C551" s="95" t="str">
        <f t="array" ref="C551">IF(I551&gt;0,INDEX(DB,I551,8),"")</f>
        <v/>
      </c>
      <c r="D551" s="437">
        <f t="shared" si="1"/>
        <v>0</v>
      </c>
      <c r="F551" s="438">
        <f t="shared" si="2"/>
        <v>0</v>
      </c>
      <c r="G551" t="str">
        <f t="shared" si="3"/>
        <v/>
      </c>
      <c r="H551" t="b">
        <f t="shared" si="4"/>
        <v>0</v>
      </c>
      <c r="I551" s="439">
        <f>IF(OR(ISBLANK(A551),ISNA(MATCH(A551&amp;"",AthleteNumbers,0))),0,MATCH(A551&amp;"",AthleteNumbers,0))</f>
        <v>0</v>
      </c>
      <c r="J551" s="209">
        <f t="array" ref="J551">IF(I551&gt;0,INDEX(DB,$I551,6),0)</f>
        <v>0</v>
      </c>
      <c r="K551" s="446">
        <f t="shared" si="5"/>
        <v>0</v>
      </c>
      <c r="L551" s="446">
        <f t="shared" si="6"/>
        <v>0</v>
      </c>
      <c r="M551" s="441">
        <f>IF(L551&lt;O551,MinPoints,IF(AND(L551&gt;N551,O551&gt;0),100,+INT(($L551-O551)/P551)+MinPoints))</f>
        <v>10</v>
      </c>
      <c r="N551" s="440">
        <f t="shared" si="7"/>
        <v>4.9</v>
      </c>
      <c r="O551" s="440">
        <f t="shared" si="8"/>
        <v>2.2</v>
      </c>
      <c r="P551" s="440">
        <f t="shared" si="9"/>
        <v>0.03</v>
      </c>
      <c r="Q551">
        <f t="array" ref="Q551">IF(I551&gt;0,INDEX(DB,I551,9),EventIndex)</f>
        <v>6</v>
      </c>
      <c r="S551" s="447">
        <f t="array" ref="S551">INDEX(MINVALUES,$Q551,$K$1)</f>
        <v>2.2</v>
      </c>
      <c r="T551" s="448">
        <f t="array" ref="T551">INDEX(INCVALUES,$Q551,$K$1)</f>
        <v>0.03</v>
      </c>
      <c r="V551">
        <f t="array" ref="V551">+J551+(4*(INDEX(MatchScoreTable,$Q551,20)-1))</f>
        <v>4</v>
      </c>
      <c r="W551" s="442">
        <f t="array" ref="W551">INDEX(INC_MINVALUES,$V551,$K$1)</f>
        <v>0.2</v>
      </c>
      <c r="X551" s="212">
        <f t="array" ref="X551">INDEX(INC_INCVALUES,$V551,$K$1)</f>
        <v>0.02</v>
      </c>
    </row>
    <row r="552" ht="15.75" customHeight="1">
      <c r="A552" s="435"/>
      <c r="B552" s="436"/>
      <c r="C552" s="95" t="str">
        <f t="array" ref="C552">IF(I552&gt;0,INDEX(DB,I552,8),"")</f>
        <v/>
      </c>
      <c r="D552" s="437">
        <f t="shared" si="1"/>
        <v>0</v>
      </c>
      <c r="F552" s="438">
        <f t="shared" si="2"/>
        <v>0</v>
      </c>
      <c r="G552" t="str">
        <f t="shared" si="3"/>
        <v/>
      </c>
      <c r="H552" t="b">
        <f t="shared" si="4"/>
        <v>0</v>
      </c>
      <c r="I552" s="439">
        <f>IF(OR(ISBLANK(A552),ISNA(MATCH(A552&amp;"",AthleteNumbers,0))),0,MATCH(A552&amp;"",AthleteNumbers,0))</f>
        <v>0</v>
      </c>
      <c r="J552" s="209">
        <f t="array" ref="J552">IF(I552&gt;0,INDEX(DB,$I552,6),0)</f>
        <v>0</v>
      </c>
      <c r="K552" s="446">
        <f t="shared" si="5"/>
        <v>0</v>
      </c>
      <c r="L552" s="446">
        <f t="shared" si="6"/>
        <v>0</v>
      </c>
      <c r="M552" s="441">
        <f>IF(L552&lt;O552,MinPoints,IF(AND(L552&gt;N552,O552&gt;0),100,+INT(($L552-O552)/P552)+MinPoints))</f>
        <v>10</v>
      </c>
      <c r="N552" s="440">
        <f t="shared" si="7"/>
        <v>4.9</v>
      </c>
      <c r="O552" s="440">
        <f t="shared" si="8"/>
        <v>2.2</v>
      </c>
      <c r="P552" s="440">
        <f t="shared" si="9"/>
        <v>0.03</v>
      </c>
      <c r="Q552">
        <f t="array" ref="Q552">IF(I552&gt;0,INDEX(DB,I552,9),EventIndex)</f>
        <v>6</v>
      </c>
      <c r="S552" s="447">
        <f t="array" ref="S552">INDEX(MINVALUES,$Q552,$K$1)</f>
        <v>2.2</v>
      </c>
      <c r="T552" s="448">
        <f t="array" ref="T552">INDEX(INCVALUES,$Q552,$K$1)</f>
        <v>0.03</v>
      </c>
      <c r="V552">
        <f t="array" ref="V552">+J552+(4*(INDEX(MatchScoreTable,$Q552,20)-1))</f>
        <v>4</v>
      </c>
      <c r="W552" s="442">
        <f t="array" ref="W552">INDEX(INC_MINVALUES,$V552,$K$1)</f>
        <v>0.2</v>
      </c>
      <c r="X552" s="212">
        <f t="array" ref="X552">INDEX(INC_INCVALUES,$V552,$K$1)</f>
        <v>0.02</v>
      </c>
    </row>
    <row r="553" ht="15.75" customHeight="1">
      <c r="A553" s="435"/>
      <c r="B553" s="436"/>
      <c r="C553" s="95" t="str">
        <f t="array" ref="C553">IF(I553&gt;0,INDEX(DB,I553,8),"")</f>
        <v/>
      </c>
      <c r="D553" s="437">
        <f t="shared" si="1"/>
        <v>0</v>
      </c>
      <c r="F553" s="438">
        <f t="shared" si="2"/>
        <v>0</v>
      </c>
      <c r="G553" t="str">
        <f t="shared" si="3"/>
        <v/>
      </c>
      <c r="H553" t="b">
        <f t="shared" si="4"/>
        <v>0</v>
      </c>
      <c r="I553" s="439">
        <f>IF(OR(ISBLANK(A553),ISNA(MATCH(A553&amp;"",AthleteNumbers,0))),0,MATCH(A553&amp;"",AthleteNumbers,0))</f>
        <v>0</v>
      </c>
      <c r="J553" s="209">
        <f t="array" ref="J553">IF(I553&gt;0,INDEX(DB,$I553,6),0)</f>
        <v>0</v>
      </c>
      <c r="K553" s="446">
        <f t="shared" si="5"/>
        <v>0</v>
      </c>
      <c r="L553" s="446">
        <f t="shared" si="6"/>
        <v>0</v>
      </c>
      <c r="M553" s="441">
        <f>IF(L553&lt;O553,MinPoints,IF(AND(L553&gt;N553,O553&gt;0),100,+INT(($L553-O553)/P553)+MinPoints))</f>
        <v>10</v>
      </c>
      <c r="N553" s="440">
        <f t="shared" si="7"/>
        <v>4.9</v>
      </c>
      <c r="O553" s="440">
        <f t="shared" si="8"/>
        <v>2.2</v>
      </c>
      <c r="P553" s="440">
        <f t="shared" si="9"/>
        <v>0.03</v>
      </c>
      <c r="Q553">
        <f t="array" ref="Q553">IF(I553&gt;0,INDEX(DB,I553,9),EventIndex)</f>
        <v>6</v>
      </c>
      <c r="S553" s="447">
        <f t="array" ref="S553">INDEX(MINVALUES,$Q553,$K$1)</f>
        <v>2.2</v>
      </c>
      <c r="T553" s="448">
        <f t="array" ref="T553">INDEX(INCVALUES,$Q553,$K$1)</f>
        <v>0.03</v>
      </c>
      <c r="V553">
        <f t="array" ref="V553">+J553+(4*(INDEX(MatchScoreTable,$Q553,20)-1))</f>
        <v>4</v>
      </c>
      <c r="W553" s="442">
        <f t="array" ref="W553">INDEX(INC_MINVALUES,$V553,$K$1)</f>
        <v>0.2</v>
      </c>
      <c r="X553" s="212">
        <f t="array" ref="X553">INDEX(INC_INCVALUES,$V553,$K$1)</f>
        <v>0.02</v>
      </c>
    </row>
    <row r="554" ht="15.75" customHeight="1">
      <c r="A554" s="435"/>
      <c r="B554" s="436"/>
      <c r="C554" s="95" t="str">
        <f t="array" ref="C554">IF(I554&gt;0,INDEX(DB,I554,8),"")</f>
        <v/>
      </c>
      <c r="D554" s="437">
        <f t="shared" si="1"/>
        <v>0</v>
      </c>
      <c r="F554" s="438">
        <f t="shared" si="2"/>
        <v>0</v>
      </c>
      <c r="G554" t="str">
        <f t="shared" si="3"/>
        <v/>
      </c>
      <c r="H554" t="b">
        <f t="shared" si="4"/>
        <v>0</v>
      </c>
      <c r="I554" s="439">
        <f>IF(OR(ISBLANK(A554),ISNA(MATCH(A554&amp;"",AthleteNumbers,0))),0,MATCH(A554&amp;"",AthleteNumbers,0))</f>
        <v>0</v>
      </c>
      <c r="J554" s="209">
        <f t="array" ref="J554">IF(I554&gt;0,INDEX(DB,$I554,6),0)</f>
        <v>0</v>
      </c>
      <c r="K554" s="446">
        <f t="shared" si="5"/>
        <v>0</v>
      </c>
      <c r="L554" s="446">
        <f t="shared" si="6"/>
        <v>0</v>
      </c>
      <c r="M554" s="441">
        <f>IF(L554&lt;O554,MinPoints,IF(AND(L554&gt;N554,O554&gt;0),100,+INT(($L554-O554)/P554)+MinPoints))</f>
        <v>10</v>
      </c>
      <c r="N554" s="440">
        <f t="shared" si="7"/>
        <v>4.9</v>
      </c>
      <c r="O554" s="440">
        <f t="shared" si="8"/>
        <v>2.2</v>
      </c>
      <c r="P554" s="440">
        <f t="shared" si="9"/>
        <v>0.03</v>
      </c>
      <c r="Q554">
        <f t="array" ref="Q554">IF(I554&gt;0,INDEX(DB,I554,9),EventIndex)</f>
        <v>6</v>
      </c>
      <c r="S554" s="447">
        <f t="array" ref="S554">INDEX(MINVALUES,$Q554,$K$1)</f>
        <v>2.2</v>
      </c>
      <c r="T554" s="448">
        <f t="array" ref="T554">INDEX(INCVALUES,$Q554,$K$1)</f>
        <v>0.03</v>
      </c>
      <c r="V554">
        <f t="array" ref="V554">+J554+(4*(INDEX(MatchScoreTable,$Q554,20)-1))</f>
        <v>4</v>
      </c>
      <c r="W554" s="442">
        <f t="array" ref="W554">INDEX(INC_MINVALUES,$V554,$K$1)</f>
        <v>0.2</v>
      </c>
      <c r="X554" s="212">
        <f t="array" ref="X554">INDEX(INC_INCVALUES,$V554,$K$1)</f>
        <v>0.02</v>
      </c>
    </row>
    <row r="555" ht="15.75" customHeight="1">
      <c r="A555" s="435"/>
      <c r="B555" s="436"/>
      <c r="C555" s="95" t="str">
        <f t="array" ref="C555">IF(I555&gt;0,INDEX(DB,I555,8),"")</f>
        <v/>
      </c>
      <c r="D555" s="437">
        <f t="shared" si="1"/>
        <v>0</v>
      </c>
      <c r="F555" s="438">
        <f t="shared" si="2"/>
        <v>0</v>
      </c>
      <c r="G555" t="str">
        <f t="shared" si="3"/>
        <v/>
      </c>
      <c r="H555" t="b">
        <f t="shared" si="4"/>
        <v>0</v>
      </c>
      <c r="I555" s="439">
        <f>IF(OR(ISBLANK(A555),ISNA(MATCH(A555&amp;"",AthleteNumbers,0))),0,MATCH(A555&amp;"",AthleteNumbers,0))</f>
        <v>0</v>
      </c>
      <c r="J555" s="209">
        <f t="array" ref="J555">IF(I555&gt;0,INDEX(DB,$I555,6),0)</f>
        <v>0</v>
      </c>
      <c r="K555" s="446">
        <f t="shared" si="5"/>
        <v>0</v>
      </c>
      <c r="L555" s="446">
        <f t="shared" si="6"/>
        <v>0</v>
      </c>
      <c r="M555" s="441">
        <f>IF(L555&lt;O555,MinPoints,IF(AND(L555&gt;N555,O555&gt;0),100,+INT(($L555-O555)/P555)+MinPoints))</f>
        <v>10</v>
      </c>
      <c r="N555" s="440">
        <f t="shared" si="7"/>
        <v>4.9</v>
      </c>
      <c r="O555" s="440">
        <f t="shared" si="8"/>
        <v>2.2</v>
      </c>
      <c r="P555" s="440">
        <f t="shared" si="9"/>
        <v>0.03</v>
      </c>
      <c r="Q555">
        <f t="array" ref="Q555">IF(I555&gt;0,INDEX(DB,I555,9),EventIndex)</f>
        <v>6</v>
      </c>
      <c r="S555" s="447">
        <f t="array" ref="S555">INDEX(MINVALUES,$Q555,$K$1)</f>
        <v>2.2</v>
      </c>
      <c r="T555" s="448">
        <f t="array" ref="T555">INDEX(INCVALUES,$Q555,$K$1)</f>
        <v>0.03</v>
      </c>
      <c r="V555">
        <f t="array" ref="V555">+J555+(4*(INDEX(MatchScoreTable,$Q555,20)-1))</f>
        <v>4</v>
      </c>
      <c r="W555" s="442">
        <f t="array" ref="W555">INDEX(INC_MINVALUES,$V555,$K$1)</f>
        <v>0.2</v>
      </c>
      <c r="X555" s="212">
        <f t="array" ref="X555">INDEX(INC_INCVALUES,$V555,$K$1)</f>
        <v>0.02</v>
      </c>
    </row>
    <row r="556" ht="15.75" customHeight="1">
      <c r="A556" s="435"/>
      <c r="B556" s="436"/>
      <c r="C556" s="95" t="str">
        <f t="array" ref="C556">IF(I556&gt;0,INDEX(DB,I556,8),"")</f>
        <v/>
      </c>
      <c r="D556" s="437">
        <f t="shared" si="1"/>
        <v>0</v>
      </c>
      <c r="F556" s="438">
        <f t="shared" si="2"/>
        <v>0</v>
      </c>
      <c r="G556" t="str">
        <f t="shared" si="3"/>
        <v/>
      </c>
      <c r="H556" t="b">
        <f t="shared" si="4"/>
        <v>0</v>
      </c>
      <c r="I556" s="439">
        <f>IF(OR(ISBLANK(A556),ISNA(MATCH(A556&amp;"",AthleteNumbers,0))),0,MATCH(A556&amp;"",AthleteNumbers,0))</f>
        <v>0</v>
      </c>
      <c r="J556" s="209">
        <f t="array" ref="J556">IF(I556&gt;0,INDEX(DB,$I556,6),0)</f>
        <v>0</v>
      </c>
      <c r="K556" s="446">
        <f t="shared" si="5"/>
        <v>0</v>
      </c>
      <c r="L556" s="446">
        <f t="shared" si="6"/>
        <v>0</v>
      </c>
      <c r="M556" s="441">
        <f>IF(L556&lt;O556,MinPoints,IF(AND(L556&gt;N556,O556&gt;0),100,+INT(($L556-O556)/P556)+MinPoints))</f>
        <v>10</v>
      </c>
      <c r="N556" s="440">
        <f t="shared" si="7"/>
        <v>4.9</v>
      </c>
      <c r="O556" s="440">
        <f t="shared" si="8"/>
        <v>2.2</v>
      </c>
      <c r="P556" s="440">
        <f t="shared" si="9"/>
        <v>0.03</v>
      </c>
      <c r="Q556">
        <f t="array" ref="Q556">IF(I556&gt;0,INDEX(DB,I556,9),EventIndex)</f>
        <v>6</v>
      </c>
      <c r="S556" s="447">
        <f t="array" ref="S556">INDEX(MINVALUES,$Q556,$K$1)</f>
        <v>2.2</v>
      </c>
      <c r="T556" s="448">
        <f t="array" ref="T556">INDEX(INCVALUES,$Q556,$K$1)</f>
        <v>0.03</v>
      </c>
      <c r="V556">
        <f t="array" ref="V556">+J556+(4*(INDEX(MatchScoreTable,$Q556,20)-1))</f>
        <v>4</v>
      </c>
      <c r="W556" s="442">
        <f t="array" ref="W556">INDEX(INC_MINVALUES,$V556,$K$1)</f>
        <v>0.2</v>
      </c>
      <c r="X556" s="212">
        <f t="array" ref="X556">INDEX(INC_INCVALUES,$V556,$K$1)</f>
        <v>0.02</v>
      </c>
    </row>
    <row r="557" ht="15.75" customHeight="1">
      <c r="A557" s="435"/>
      <c r="B557" s="436"/>
      <c r="C557" s="95" t="str">
        <f t="array" ref="C557">IF(I557&gt;0,INDEX(DB,I557,8),"")</f>
        <v/>
      </c>
      <c r="D557" s="437">
        <f t="shared" si="1"/>
        <v>0</v>
      </c>
      <c r="F557" s="438">
        <f t="shared" si="2"/>
        <v>0</v>
      </c>
      <c r="G557" t="str">
        <f t="shared" si="3"/>
        <v/>
      </c>
      <c r="H557" t="b">
        <f t="shared" si="4"/>
        <v>0</v>
      </c>
      <c r="I557" s="439">
        <f>IF(OR(ISBLANK(A557),ISNA(MATCH(A557&amp;"",AthleteNumbers,0))),0,MATCH(A557&amp;"",AthleteNumbers,0))</f>
        <v>0</v>
      </c>
      <c r="J557" s="209">
        <f t="array" ref="J557">IF(I557&gt;0,INDEX(DB,$I557,6),0)</f>
        <v>0</v>
      </c>
      <c r="K557" s="446">
        <f t="shared" si="5"/>
        <v>0</v>
      </c>
      <c r="L557" s="446">
        <f t="shared" si="6"/>
        <v>0</v>
      </c>
      <c r="M557" s="441">
        <f>IF(L557&lt;O557,MinPoints,IF(AND(L557&gt;N557,O557&gt;0),100,+INT(($L557-O557)/P557)+MinPoints))</f>
        <v>10</v>
      </c>
      <c r="N557" s="440">
        <f t="shared" si="7"/>
        <v>4.9</v>
      </c>
      <c r="O557" s="440">
        <f t="shared" si="8"/>
        <v>2.2</v>
      </c>
      <c r="P557" s="440">
        <f t="shared" si="9"/>
        <v>0.03</v>
      </c>
      <c r="Q557">
        <f t="array" ref="Q557">IF(I557&gt;0,INDEX(DB,I557,9),EventIndex)</f>
        <v>6</v>
      </c>
      <c r="S557" s="447">
        <f t="array" ref="S557">INDEX(MINVALUES,$Q557,$K$1)</f>
        <v>2.2</v>
      </c>
      <c r="T557" s="448">
        <f t="array" ref="T557">INDEX(INCVALUES,$Q557,$K$1)</f>
        <v>0.03</v>
      </c>
      <c r="V557">
        <f t="array" ref="V557">+J557+(4*(INDEX(MatchScoreTable,$Q557,20)-1))</f>
        <v>4</v>
      </c>
      <c r="W557" s="442">
        <f t="array" ref="W557">INDEX(INC_MINVALUES,$V557,$K$1)</f>
        <v>0.2</v>
      </c>
      <c r="X557" s="212">
        <f t="array" ref="X557">INDEX(INC_INCVALUES,$V557,$K$1)</f>
        <v>0.02</v>
      </c>
    </row>
    <row r="558" ht="15.75" customHeight="1">
      <c r="A558" s="435"/>
      <c r="B558" s="436"/>
      <c r="C558" s="95" t="str">
        <f t="array" ref="C558">IF(I558&gt;0,INDEX(DB,I558,8),"")</f>
        <v/>
      </c>
      <c r="D558" s="437">
        <f t="shared" si="1"/>
        <v>0</v>
      </c>
      <c r="F558" s="438">
        <f t="shared" si="2"/>
        <v>0</v>
      </c>
      <c r="G558" t="str">
        <f t="shared" si="3"/>
        <v/>
      </c>
      <c r="H558" t="b">
        <f t="shared" si="4"/>
        <v>0</v>
      </c>
      <c r="I558" s="439">
        <f>IF(OR(ISBLANK(A558),ISNA(MATCH(A558&amp;"",AthleteNumbers,0))),0,MATCH(A558&amp;"",AthleteNumbers,0))</f>
        <v>0</v>
      </c>
      <c r="J558" s="209">
        <f t="array" ref="J558">IF(I558&gt;0,INDEX(DB,$I558,6),0)</f>
        <v>0</v>
      </c>
      <c r="K558" s="446">
        <f t="shared" si="5"/>
        <v>0</v>
      </c>
      <c r="L558" s="446">
        <f t="shared" si="6"/>
        <v>0</v>
      </c>
      <c r="M558" s="441">
        <f>IF(L558&lt;O558,MinPoints,IF(AND(L558&gt;N558,O558&gt;0),100,+INT(($L558-O558)/P558)+MinPoints))</f>
        <v>10</v>
      </c>
      <c r="N558" s="440">
        <f t="shared" si="7"/>
        <v>4.9</v>
      </c>
      <c r="O558" s="440">
        <f t="shared" si="8"/>
        <v>2.2</v>
      </c>
      <c r="P558" s="440">
        <f t="shared" si="9"/>
        <v>0.03</v>
      </c>
      <c r="Q558">
        <f t="array" ref="Q558">IF(I558&gt;0,INDEX(DB,I558,9),EventIndex)</f>
        <v>6</v>
      </c>
      <c r="S558" s="447">
        <f t="array" ref="S558">INDEX(MINVALUES,$Q558,$K$1)</f>
        <v>2.2</v>
      </c>
      <c r="T558" s="448">
        <f t="array" ref="T558">INDEX(INCVALUES,$Q558,$K$1)</f>
        <v>0.03</v>
      </c>
      <c r="V558">
        <f t="array" ref="V558">+J558+(4*(INDEX(MatchScoreTable,$Q558,20)-1))</f>
        <v>4</v>
      </c>
      <c r="W558" s="442">
        <f t="array" ref="W558">INDEX(INC_MINVALUES,$V558,$K$1)</f>
        <v>0.2</v>
      </c>
      <c r="X558" s="212">
        <f t="array" ref="X558">INDEX(INC_INCVALUES,$V558,$K$1)</f>
        <v>0.02</v>
      </c>
    </row>
    <row r="559" ht="15.75" customHeight="1">
      <c r="A559" s="435"/>
      <c r="B559" s="436"/>
      <c r="C559" s="95" t="str">
        <f t="array" ref="C559">IF(I559&gt;0,INDEX(DB,I559,8),"")</f>
        <v/>
      </c>
      <c r="D559" s="437">
        <f t="shared" si="1"/>
        <v>0</v>
      </c>
      <c r="F559" s="438">
        <f t="shared" si="2"/>
        <v>0</v>
      </c>
      <c r="G559" t="str">
        <f t="shared" si="3"/>
        <v/>
      </c>
      <c r="H559" t="b">
        <f t="shared" si="4"/>
        <v>0</v>
      </c>
      <c r="I559" s="439">
        <f>IF(OR(ISBLANK(A559),ISNA(MATCH(A559&amp;"",AthleteNumbers,0))),0,MATCH(A559&amp;"",AthleteNumbers,0))</f>
        <v>0</v>
      </c>
      <c r="J559" s="209">
        <f t="array" ref="J559">IF(I559&gt;0,INDEX(DB,$I559,6),0)</f>
        <v>0</v>
      </c>
      <c r="K559" s="446">
        <f t="shared" si="5"/>
        <v>0</v>
      </c>
      <c r="L559" s="446">
        <f t="shared" si="6"/>
        <v>0</v>
      </c>
      <c r="M559" s="441">
        <f>IF(L559&lt;O559,MinPoints,IF(AND(L559&gt;N559,O559&gt;0),100,+INT(($L559-O559)/P559)+MinPoints))</f>
        <v>10</v>
      </c>
      <c r="N559" s="440">
        <f t="shared" si="7"/>
        <v>4.9</v>
      </c>
      <c r="O559" s="440">
        <f t="shared" si="8"/>
        <v>2.2</v>
      </c>
      <c r="P559" s="440">
        <f t="shared" si="9"/>
        <v>0.03</v>
      </c>
      <c r="Q559">
        <f t="array" ref="Q559">IF(I559&gt;0,INDEX(DB,I559,9),EventIndex)</f>
        <v>6</v>
      </c>
      <c r="S559" s="447">
        <f t="array" ref="S559">INDEX(MINVALUES,$Q559,$K$1)</f>
        <v>2.2</v>
      </c>
      <c r="T559" s="448">
        <f t="array" ref="T559">INDEX(INCVALUES,$Q559,$K$1)</f>
        <v>0.03</v>
      </c>
      <c r="V559">
        <f t="array" ref="V559">+J559+(4*(INDEX(MatchScoreTable,$Q559,20)-1))</f>
        <v>4</v>
      </c>
      <c r="W559" s="442">
        <f t="array" ref="W559">INDEX(INC_MINVALUES,$V559,$K$1)</f>
        <v>0.2</v>
      </c>
      <c r="X559" s="212">
        <f t="array" ref="X559">INDEX(INC_INCVALUES,$V559,$K$1)</f>
        <v>0.02</v>
      </c>
    </row>
    <row r="560" ht="15.75" customHeight="1">
      <c r="A560" s="435"/>
      <c r="B560" s="436"/>
      <c r="C560" s="95" t="str">
        <f t="array" ref="C560">IF(I560&gt;0,INDEX(DB,I560,8),"")</f>
        <v/>
      </c>
      <c r="D560" s="437">
        <f t="shared" si="1"/>
        <v>0</v>
      </c>
      <c r="F560" s="438">
        <f t="shared" si="2"/>
        <v>0</v>
      </c>
      <c r="G560" t="str">
        <f t="shared" si="3"/>
        <v/>
      </c>
      <c r="H560" t="b">
        <f t="shared" si="4"/>
        <v>0</v>
      </c>
      <c r="I560" s="439">
        <f>IF(OR(ISBLANK(A560),ISNA(MATCH(A560&amp;"",AthleteNumbers,0))),0,MATCH(A560&amp;"",AthleteNumbers,0))</f>
        <v>0</v>
      </c>
      <c r="J560" s="209">
        <f t="array" ref="J560">IF(I560&gt;0,INDEX(DB,$I560,6),0)</f>
        <v>0</v>
      </c>
      <c r="K560" s="446">
        <f t="shared" si="5"/>
        <v>0</v>
      </c>
      <c r="L560" s="446">
        <f t="shared" si="6"/>
        <v>0</v>
      </c>
      <c r="M560" s="441">
        <f>IF(L560&lt;O560,MinPoints,IF(AND(L560&gt;N560,O560&gt;0),100,+INT(($L560-O560)/P560)+MinPoints))</f>
        <v>10</v>
      </c>
      <c r="N560" s="440">
        <f t="shared" si="7"/>
        <v>4.9</v>
      </c>
      <c r="O560" s="440">
        <f t="shared" si="8"/>
        <v>2.2</v>
      </c>
      <c r="P560" s="440">
        <f t="shared" si="9"/>
        <v>0.03</v>
      </c>
      <c r="Q560">
        <f t="array" ref="Q560">IF(I560&gt;0,INDEX(DB,I560,9),EventIndex)</f>
        <v>6</v>
      </c>
      <c r="S560" s="447">
        <f t="array" ref="S560">INDEX(MINVALUES,$Q560,$K$1)</f>
        <v>2.2</v>
      </c>
      <c r="T560" s="448">
        <f t="array" ref="T560">INDEX(INCVALUES,$Q560,$K$1)</f>
        <v>0.03</v>
      </c>
      <c r="V560">
        <f t="array" ref="V560">+J560+(4*(INDEX(MatchScoreTable,$Q560,20)-1))</f>
        <v>4</v>
      </c>
      <c r="W560" s="442">
        <f t="array" ref="W560">INDEX(INC_MINVALUES,$V560,$K$1)</f>
        <v>0.2</v>
      </c>
      <c r="X560" s="212">
        <f t="array" ref="X560">INDEX(INC_INCVALUES,$V560,$K$1)</f>
        <v>0.02</v>
      </c>
    </row>
    <row r="561" ht="15.75" customHeight="1">
      <c r="A561" s="435"/>
      <c r="B561" s="436"/>
      <c r="C561" s="95" t="str">
        <f t="array" ref="C561">IF(I561&gt;0,INDEX(DB,I561,8),"")</f>
        <v/>
      </c>
      <c r="D561" s="437">
        <f t="shared" si="1"/>
        <v>0</v>
      </c>
      <c r="F561" s="438">
        <f t="shared" si="2"/>
        <v>0</v>
      </c>
      <c r="G561" t="str">
        <f t="shared" si="3"/>
        <v/>
      </c>
      <c r="H561" t="b">
        <f t="shared" si="4"/>
        <v>0</v>
      </c>
      <c r="I561" s="439">
        <f>IF(OR(ISBLANK(A561),ISNA(MATCH(A561&amp;"",AthleteNumbers,0))),0,MATCH(A561&amp;"",AthleteNumbers,0))</f>
        <v>0</v>
      </c>
      <c r="J561" s="209">
        <f t="array" ref="J561">IF(I561&gt;0,INDEX(DB,$I561,6),0)</f>
        <v>0</v>
      </c>
      <c r="K561" s="446">
        <f t="shared" si="5"/>
        <v>0</v>
      </c>
      <c r="L561" s="446">
        <f t="shared" si="6"/>
        <v>0</v>
      </c>
      <c r="M561" s="441">
        <f>IF(L561&lt;O561,MinPoints,IF(AND(L561&gt;N561,O561&gt;0),100,+INT(($L561-O561)/P561)+MinPoints))</f>
        <v>10</v>
      </c>
      <c r="N561" s="440">
        <f t="shared" si="7"/>
        <v>4.9</v>
      </c>
      <c r="O561" s="440">
        <f t="shared" si="8"/>
        <v>2.2</v>
      </c>
      <c r="P561" s="440">
        <f t="shared" si="9"/>
        <v>0.03</v>
      </c>
      <c r="Q561">
        <f t="array" ref="Q561">IF(I561&gt;0,INDEX(DB,I561,9),EventIndex)</f>
        <v>6</v>
      </c>
      <c r="S561" s="447">
        <f t="array" ref="S561">INDEX(MINVALUES,$Q561,$K$1)</f>
        <v>2.2</v>
      </c>
      <c r="T561" s="448">
        <f t="array" ref="T561">INDEX(INCVALUES,$Q561,$K$1)</f>
        <v>0.03</v>
      </c>
      <c r="V561">
        <f t="array" ref="V561">+J561+(4*(INDEX(MatchScoreTable,$Q561,20)-1))</f>
        <v>4</v>
      </c>
      <c r="W561" s="442">
        <f t="array" ref="W561">INDEX(INC_MINVALUES,$V561,$K$1)</f>
        <v>0.2</v>
      </c>
      <c r="X561" s="212">
        <f t="array" ref="X561">INDEX(INC_INCVALUES,$V561,$K$1)</f>
        <v>0.02</v>
      </c>
    </row>
    <row r="562" ht="15.75" customHeight="1">
      <c r="A562" s="435"/>
      <c r="B562" s="436"/>
      <c r="C562" s="95" t="str">
        <f t="array" ref="C562">IF(I562&gt;0,INDEX(DB,I562,8),"")</f>
        <v/>
      </c>
      <c r="D562" s="437">
        <f t="shared" si="1"/>
        <v>0</v>
      </c>
      <c r="F562" s="438">
        <f t="shared" si="2"/>
        <v>0</v>
      </c>
      <c r="G562" t="str">
        <f t="shared" si="3"/>
        <v/>
      </c>
      <c r="H562" t="b">
        <f t="shared" si="4"/>
        <v>0</v>
      </c>
      <c r="I562" s="439">
        <f>IF(OR(ISBLANK(A562),ISNA(MATCH(A562&amp;"",AthleteNumbers,0))),0,MATCH(A562&amp;"",AthleteNumbers,0))</f>
        <v>0</v>
      </c>
      <c r="J562" s="209">
        <f t="array" ref="J562">IF(I562&gt;0,INDEX(DB,$I562,6),0)</f>
        <v>0</v>
      </c>
      <c r="K562" s="446">
        <f t="shared" si="5"/>
        <v>0</v>
      </c>
      <c r="L562" s="446">
        <f t="shared" si="6"/>
        <v>0</v>
      </c>
      <c r="M562" s="441">
        <f>IF(L562&lt;O562,MinPoints,IF(AND(L562&gt;N562,O562&gt;0),100,+INT(($L562-O562)/P562)+MinPoints))</f>
        <v>10</v>
      </c>
      <c r="N562" s="440">
        <f t="shared" si="7"/>
        <v>4.9</v>
      </c>
      <c r="O562" s="440">
        <f t="shared" si="8"/>
        <v>2.2</v>
      </c>
      <c r="P562" s="440">
        <f t="shared" si="9"/>
        <v>0.03</v>
      </c>
      <c r="Q562">
        <f t="array" ref="Q562">IF(I562&gt;0,INDEX(DB,I562,9),EventIndex)</f>
        <v>6</v>
      </c>
      <c r="S562" s="447">
        <f t="array" ref="S562">INDEX(MINVALUES,$Q562,$K$1)</f>
        <v>2.2</v>
      </c>
      <c r="T562" s="448">
        <f t="array" ref="T562">INDEX(INCVALUES,$Q562,$K$1)</f>
        <v>0.03</v>
      </c>
      <c r="V562">
        <f t="array" ref="V562">+J562+(4*(INDEX(MatchScoreTable,$Q562,20)-1))</f>
        <v>4</v>
      </c>
      <c r="W562" s="442">
        <f t="array" ref="W562">INDEX(INC_MINVALUES,$V562,$K$1)</f>
        <v>0.2</v>
      </c>
      <c r="X562" s="212">
        <f t="array" ref="X562">INDEX(INC_INCVALUES,$V562,$K$1)</f>
        <v>0.02</v>
      </c>
    </row>
    <row r="563" ht="15.75" customHeight="1">
      <c r="A563" s="435"/>
      <c r="B563" s="436"/>
      <c r="C563" s="95" t="str">
        <f t="array" ref="C563">IF(I563&gt;0,INDEX(DB,I563,8),"")</f>
        <v/>
      </c>
      <c r="D563" s="437">
        <f t="shared" si="1"/>
        <v>0</v>
      </c>
      <c r="F563" s="438">
        <f t="shared" si="2"/>
        <v>0</v>
      </c>
      <c r="G563" t="str">
        <f t="shared" si="3"/>
        <v/>
      </c>
      <c r="H563" t="b">
        <f t="shared" si="4"/>
        <v>0</v>
      </c>
      <c r="I563" s="439">
        <f>IF(OR(ISBLANK(A563),ISNA(MATCH(A563&amp;"",AthleteNumbers,0))),0,MATCH(A563&amp;"",AthleteNumbers,0))</f>
        <v>0</v>
      </c>
      <c r="J563" s="209">
        <f t="array" ref="J563">IF(I563&gt;0,INDEX(DB,$I563,6),0)</f>
        <v>0</v>
      </c>
      <c r="K563" s="446">
        <f t="shared" si="5"/>
        <v>0</v>
      </c>
      <c r="L563" s="446">
        <f t="shared" si="6"/>
        <v>0</v>
      </c>
      <c r="M563" s="441">
        <f>IF(L563&lt;O563,MinPoints,IF(AND(L563&gt;N563,O563&gt;0),100,+INT(($L563-O563)/P563)+MinPoints))</f>
        <v>10</v>
      </c>
      <c r="N563" s="440">
        <f t="shared" si="7"/>
        <v>4.9</v>
      </c>
      <c r="O563" s="440">
        <f t="shared" si="8"/>
        <v>2.2</v>
      </c>
      <c r="P563" s="440">
        <f t="shared" si="9"/>
        <v>0.03</v>
      </c>
      <c r="Q563">
        <f t="array" ref="Q563">IF(I563&gt;0,INDEX(DB,I563,9),EventIndex)</f>
        <v>6</v>
      </c>
      <c r="S563" s="447">
        <f t="array" ref="S563">INDEX(MINVALUES,$Q563,$K$1)</f>
        <v>2.2</v>
      </c>
      <c r="T563" s="448">
        <f t="array" ref="T563">INDEX(INCVALUES,$Q563,$K$1)</f>
        <v>0.03</v>
      </c>
      <c r="V563">
        <f t="array" ref="V563">+J563+(4*(INDEX(MatchScoreTable,$Q563,20)-1))</f>
        <v>4</v>
      </c>
      <c r="W563" s="442">
        <f t="array" ref="W563">INDEX(INC_MINVALUES,$V563,$K$1)</f>
        <v>0.2</v>
      </c>
      <c r="X563" s="212">
        <f t="array" ref="X563">INDEX(INC_INCVALUES,$V563,$K$1)</f>
        <v>0.02</v>
      </c>
    </row>
    <row r="564" ht="15.75" customHeight="1">
      <c r="A564" s="435"/>
      <c r="B564" s="436"/>
      <c r="C564" s="95" t="str">
        <f t="array" ref="C564">IF(I564&gt;0,INDEX(DB,I564,8),"")</f>
        <v/>
      </c>
      <c r="D564" s="437">
        <f t="shared" si="1"/>
        <v>0</v>
      </c>
      <c r="F564" s="438">
        <f t="shared" si="2"/>
        <v>0</v>
      </c>
      <c r="G564" t="str">
        <f t="shared" si="3"/>
        <v/>
      </c>
      <c r="H564" t="b">
        <f t="shared" si="4"/>
        <v>0</v>
      </c>
      <c r="I564" s="439">
        <f>IF(OR(ISBLANK(A564),ISNA(MATCH(A564&amp;"",AthleteNumbers,0))),0,MATCH(A564&amp;"",AthleteNumbers,0))</f>
        <v>0</v>
      </c>
      <c r="J564" s="209">
        <f t="array" ref="J564">IF(I564&gt;0,INDEX(DB,$I564,6),0)</f>
        <v>0</v>
      </c>
      <c r="K564" s="446">
        <f t="shared" si="5"/>
        <v>0</v>
      </c>
      <c r="L564" s="446">
        <f t="shared" si="6"/>
        <v>0</v>
      </c>
      <c r="M564" s="441">
        <f>IF(L564&lt;O564,MinPoints,IF(AND(L564&gt;N564,O564&gt;0),100,+INT(($L564-O564)/P564)+MinPoints))</f>
        <v>10</v>
      </c>
      <c r="N564" s="440">
        <f t="shared" si="7"/>
        <v>4.9</v>
      </c>
      <c r="O564" s="440">
        <f t="shared" si="8"/>
        <v>2.2</v>
      </c>
      <c r="P564" s="440">
        <f t="shared" si="9"/>
        <v>0.03</v>
      </c>
      <c r="Q564">
        <f t="array" ref="Q564">IF(I564&gt;0,INDEX(DB,I564,9),EventIndex)</f>
        <v>6</v>
      </c>
      <c r="S564" s="447">
        <f t="array" ref="S564">INDEX(MINVALUES,$Q564,$K$1)</f>
        <v>2.2</v>
      </c>
      <c r="T564" s="448">
        <f t="array" ref="T564">INDEX(INCVALUES,$Q564,$K$1)</f>
        <v>0.03</v>
      </c>
      <c r="V564">
        <f t="array" ref="V564">+J564+(4*(INDEX(MatchScoreTable,$Q564,20)-1))</f>
        <v>4</v>
      </c>
      <c r="W564" s="442">
        <f t="array" ref="W564">INDEX(INC_MINVALUES,$V564,$K$1)</f>
        <v>0.2</v>
      </c>
      <c r="X564" s="212">
        <f t="array" ref="X564">INDEX(INC_INCVALUES,$V564,$K$1)</f>
        <v>0.02</v>
      </c>
    </row>
    <row r="565" ht="15.75" customHeight="1">
      <c r="A565" s="435"/>
      <c r="B565" s="436"/>
      <c r="C565" s="95" t="str">
        <f t="array" ref="C565">IF(I565&gt;0,INDEX(DB,I565,8),"")</f>
        <v/>
      </c>
      <c r="D565" s="437">
        <f t="shared" si="1"/>
        <v>0</v>
      </c>
      <c r="F565" s="438">
        <f t="shared" si="2"/>
        <v>0</v>
      </c>
      <c r="G565" t="str">
        <f t="shared" si="3"/>
        <v/>
      </c>
      <c r="H565" t="b">
        <f t="shared" si="4"/>
        <v>0</v>
      </c>
      <c r="I565" s="439">
        <f>IF(OR(ISBLANK(A565),ISNA(MATCH(A565&amp;"",AthleteNumbers,0))),0,MATCH(A565&amp;"",AthleteNumbers,0))</f>
        <v>0</v>
      </c>
      <c r="J565" s="209">
        <f t="array" ref="J565">IF(I565&gt;0,INDEX(DB,$I565,6),0)</f>
        <v>0</v>
      </c>
      <c r="K565" s="446">
        <f t="shared" si="5"/>
        <v>0</v>
      </c>
      <c r="L565" s="446">
        <f t="shared" si="6"/>
        <v>0</v>
      </c>
      <c r="M565" s="441">
        <f>IF(L565&lt;O565,MinPoints,IF(AND(L565&gt;N565,O565&gt;0),100,+INT(($L565-O565)/P565)+MinPoints))</f>
        <v>10</v>
      </c>
      <c r="N565" s="440">
        <f t="shared" si="7"/>
        <v>4.9</v>
      </c>
      <c r="O565" s="440">
        <f t="shared" si="8"/>
        <v>2.2</v>
      </c>
      <c r="P565" s="440">
        <f t="shared" si="9"/>
        <v>0.03</v>
      </c>
      <c r="Q565">
        <f t="array" ref="Q565">IF(I565&gt;0,INDEX(DB,I565,9),EventIndex)</f>
        <v>6</v>
      </c>
      <c r="S565" s="447">
        <f t="array" ref="S565">INDEX(MINVALUES,$Q565,$K$1)</f>
        <v>2.2</v>
      </c>
      <c r="T565" s="448">
        <f t="array" ref="T565">INDEX(INCVALUES,$Q565,$K$1)</f>
        <v>0.03</v>
      </c>
      <c r="V565">
        <f t="array" ref="V565">+J565+(4*(INDEX(MatchScoreTable,$Q565,20)-1))</f>
        <v>4</v>
      </c>
      <c r="W565" s="442">
        <f t="array" ref="W565">INDEX(INC_MINVALUES,$V565,$K$1)</f>
        <v>0.2</v>
      </c>
      <c r="X565" s="212">
        <f t="array" ref="X565">INDEX(INC_INCVALUES,$V565,$K$1)</f>
        <v>0.02</v>
      </c>
    </row>
    <row r="566" ht="15.75" customHeight="1">
      <c r="A566" s="435"/>
      <c r="B566" s="436"/>
      <c r="C566" s="95" t="str">
        <f t="array" ref="C566">IF(I566&gt;0,INDEX(DB,I566,8),"")</f>
        <v/>
      </c>
      <c r="D566" s="437">
        <f t="shared" si="1"/>
        <v>0</v>
      </c>
      <c r="F566" s="438">
        <f t="shared" si="2"/>
        <v>0</v>
      </c>
      <c r="G566" t="str">
        <f t="shared" si="3"/>
        <v/>
      </c>
      <c r="H566" t="b">
        <f t="shared" si="4"/>
        <v>0</v>
      </c>
      <c r="I566" s="439">
        <f>IF(OR(ISBLANK(A566),ISNA(MATCH(A566&amp;"",AthleteNumbers,0))),0,MATCH(A566&amp;"",AthleteNumbers,0))</f>
        <v>0</v>
      </c>
      <c r="J566" s="209">
        <f t="array" ref="J566">IF(I566&gt;0,INDEX(DB,$I566,6),0)</f>
        <v>0</v>
      </c>
      <c r="K566" s="446">
        <f t="shared" si="5"/>
        <v>0</v>
      </c>
      <c r="L566" s="446">
        <f t="shared" si="6"/>
        <v>0</v>
      </c>
      <c r="M566" s="441">
        <f>IF(L566&lt;O566,MinPoints,IF(AND(L566&gt;N566,O566&gt;0),100,+INT(($L566-O566)/P566)+MinPoints))</f>
        <v>10</v>
      </c>
      <c r="N566" s="440">
        <f t="shared" si="7"/>
        <v>4.9</v>
      </c>
      <c r="O566" s="440">
        <f t="shared" si="8"/>
        <v>2.2</v>
      </c>
      <c r="P566" s="440">
        <f t="shared" si="9"/>
        <v>0.03</v>
      </c>
      <c r="Q566">
        <f t="array" ref="Q566">IF(I566&gt;0,INDEX(DB,I566,9),EventIndex)</f>
        <v>6</v>
      </c>
      <c r="S566" s="447">
        <f t="array" ref="S566">INDEX(MINVALUES,$Q566,$K$1)</f>
        <v>2.2</v>
      </c>
      <c r="T566" s="448">
        <f t="array" ref="T566">INDEX(INCVALUES,$Q566,$K$1)</f>
        <v>0.03</v>
      </c>
      <c r="V566">
        <f t="array" ref="V566">+J566+(4*(INDEX(MatchScoreTable,$Q566,20)-1))</f>
        <v>4</v>
      </c>
      <c r="W566" s="442">
        <f t="array" ref="W566">INDEX(INC_MINVALUES,$V566,$K$1)</f>
        <v>0.2</v>
      </c>
      <c r="X566" s="212">
        <f t="array" ref="X566">INDEX(INC_INCVALUES,$V566,$K$1)</f>
        <v>0.02</v>
      </c>
    </row>
    <row r="567" ht="15.75" customHeight="1">
      <c r="A567" s="435"/>
      <c r="B567" s="436"/>
      <c r="C567" s="95" t="str">
        <f t="array" ref="C567">IF(I567&gt;0,INDEX(DB,I567,8),"")</f>
        <v/>
      </c>
      <c r="D567" s="437">
        <f t="shared" si="1"/>
        <v>0</v>
      </c>
      <c r="F567" s="438">
        <f t="shared" si="2"/>
        <v>0</v>
      </c>
      <c r="G567" t="str">
        <f t="shared" si="3"/>
        <v/>
      </c>
      <c r="H567" t="b">
        <f t="shared" si="4"/>
        <v>0</v>
      </c>
      <c r="I567" s="439">
        <f>IF(OR(ISBLANK(A567),ISNA(MATCH(A567&amp;"",AthleteNumbers,0))),0,MATCH(A567&amp;"",AthleteNumbers,0))</f>
        <v>0</v>
      </c>
      <c r="J567" s="209">
        <f t="array" ref="J567">IF(I567&gt;0,INDEX(DB,$I567,6),0)</f>
        <v>0</v>
      </c>
      <c r="K567" s="446">
        <f t="shared" si="5"/>
        <v>0</v>
      </c>
      <c r="L567" s="446">
        <f t="shared" si="6"/>
        <v>0</v>
      </c>
      <c r="M567" s="441">
        <f>IF(L567&lt;O567,MinPoints,IF(AND(L567&gt;N567,O567&gt;0),100,+INT(($L567-O567)/P567)+MinPoints))</f>
        <v>10</v>
      </c>
      <c r="N567" s="440">
        <f t="shared" si="7"/>
        <v>4.9</v>
      </c>
      <c r="O567" s="440">
        <f t="shared" si="8"/>
        <v>2.2</v>
      </c>
      <c r="P567" s="440">
        <f t="shared" si="9"/>
        <v>0.03</v>
      </c>
      <c r="Q567">
        <f t="array" ref="Q567">IF(I567&gt;0,INDEX(DB,I567,9),EventIndex)</f>
        <v>6</v>
      </c>
      <c r="S567" s="447">
        <f t="array" ref="S567">INDEX(MINVALUES,$Q567,$K$1)</f>
        <v>2.2</v>
      </c>
      <c r="T567" s="448">
        <f t="array" ref="T567">INDEX(INCVALUES,$Q567,$K$1)</f>
        <v>0.03</v>
      </c>
      <c r="V567">
        <f t="array" ref="V567">+J567+(4*(INDEX(MatchScoreTable,$Q567,20)-1))</f>
        <v>4</v>
      </c>
      <c r="W567" s="442">
        <f t="array" ref="W567">INDEX(INC_MINVALUES,$V567,$K$1)</f>
        <v>0.2</v>
      </c>
      <c r="X567" s="212">
        <f t="array" ref="X567">INDEX(INC_INCVALUES,$V567,$K$1)</f>
        <v>0.02</v>
      </c>
    </row>
    <row r="568" ht="15.75" customHeight="1">
      <c r="A568" s="435"/>
      <c r="B568" s="436"/>
      <c r="C568" s="95" t="str">
        <f t="array" ref="C568">IF(I568&gt;0,INDEX(DB,I568,8),"")</f>
        <v/>
      </c>
      <c r="D568" s="437">
        <f t="shared" si="1"/>
        <v>0</v>
      </c>
      <c r="F568" s="438">
        <f t="shared" si="2"/>
        <v>0</v>
      </c>
      <c r="G568" t="str">
        <f t="shared" si="3"/>
        <v/>
      </c>
      <c r="H568" t="b">
        <f t="shared" si="4"/>
        <v>0</v>
      </c>
      <c r="I568" s="439">
        <f>IF(OR(ISBLANK(A568),ISNA(MATCH(A568&amp;"",AthleteNumbers,0))),0,MATCH(A568&amp;"",AthleteNumbers,0))</f>
        <v>0</v>
      </c>
      <c r="J568" s="209">
        <f t="array" ref="J568">IF(I568&gt;0,INDEX(DB,$I568,6),0)</f>
        <v>0</v>
      </c>
      <c r="K568" s="446">
        <f t="shared" si="5"/>
        <v>0</v>
      </c>
      <c r="L568" s="446">
        <f t="shared" si="6"/>
        <v>0</v>
      </c>
      <c r="M568" s="441">
        <f>IF(L568&lt;O568,MinPoints,IF(AND(L568&gt;N568,O568&gt;0),100,+INT(($L568-O568)/P568)+MinPoints))</f>
        <v>10</v>
      </c>
      <c r="N568" s="440">
        <f t="shared" si="7"/>
        <v>4.9</v>
      </c>
      <c r="O568" s="440">
        <f t="shared" si="8"/>
        <v>2.2</v>
      </c>
      <c r="P568" s="440">
        <f t="shared" si="9"/>
        <v>0.03</v>
      </c>
      <c r="Q568">
        <f t="array" ref="Q568">IF(I568&gt;0,INDEX(DB,I568,9),EventIndex)</f>
        <v>6</v>
      </c>
      <c r="S568" s="447">
        <f t="array" ref="S568">INDEX(MINVALUES,$Q568,$K$1)</f>
        <v>2.2</v>
      </c>
      <c r="T568" s="448">
        <f t="array" ref="T568">INDEX(INCVALUES,$Q568,$K$1)</f>
        <v>0.03</v>
      </c>
      <c r="V568">
        <f t="array" ref="V568">+J568+(4*(INDEX(MatchScoreTable,$Q568,20)-1))</f>
        <v>4</v>
      </c>
      <c r="W568" s="442">
        <f t="array" ref="W568">INDEX(INC_MINVALUES,$V568,$K$1)</f>
        <v>0.2</v>
      </c>
      <c r="X568" s="212">
        <f t="array" ref="X568">INDEX(INC_INCVALUES,$V568,$K$1)</f>
        <v>0.02</v>
      </c>
    </row>
    <row r="569" ht="15.75" customHeight="1">
      <c r="A569" s="435"/>
      <c r="B569" s="436"/>
      <c r="C569" s="95" t="str">
        <f t="array" ref="C569">IF(I569&gt;0,INDEX(DB,I569,8),"")</f>
        <v/>
      </c>
      <c r="D569" s="437">
        <f t="shared" si="1"/>
        <v>0</v>
      </c>
      <c r="F569" s="438">
        <f t="shared" si="2"/>
        <v>0</v>
      </c>
      <c r="G569" t="str">
        <f t="shared" si="3"/>
        <v/>
      </c>
      <c r="H569" t="b">
        <f t="shared" si="4"/>
        <v>0</v>
      </c>
      <c r="I569" s="439">
        <f>IF(OR(ISBLANK(A569),ISNA(MATCH(A569&amp;"",AthleteNumbers,0))),0,MATCH(A569&amp;"",AthleteNumbers,0))</f>
        <v>0</v>
      </c>
      <c r="J569" s="209">
        <f t="array" ref="J569">IF(I569&gt;0,INDEX(DB,$I569,6),0)</f>
        <v>0</v>
      </c>
      <c r="K569" s="446">
        <f t="shared" si="5"/>
        <v>0</v>
      </c>
      <c r="L569" s="446">
        <f t="shared" si="6"/>
        <v>0</v>
      </c>
      <c r="M569" s="441">
        <f>IF(L569&lt;O569,MinPoints,IF(AND(L569&gt;N569,O569&gt;0),100,+INT(($L569-O569)/P569)+MinPoints))</f>
        <v>10</v>
      </c>
      <c r="N569" s="440">
        <f t="shared" si="7"/>
        <v>4.9</v>
      </c>
      <c r="O569" s="440">
        <f t="shared" si="8"/>
        <v>2.2</v>
      </c>
      <c r="P569" s="440">
        <f t="shared" si="9"/>
        <v>0.03</v>
      </c>
      <c r="Q569">
        <f t="array" ref="Q569">IF(I569&gt;0,INDEX(DB,I569,9),EventIndex)</f>
        <v>6</v>
      </c>
      <c r="S569" s="447">
        <f t="array" ref="S569">INDEX(MINVALUES,$Q569,$K$1)</f>
        <v>2.2</v>
      </c>
      <c r="T569" s="448">
        <f t="array" ref="T569">INDEX(INCVALUES,$Q569,$K$1)</f>
        <v>0.03</v>
      </c>
      <c r="V569">
        <f t="array" ref="V569">+J569+(4*(INDEX(MatchScoreTable,$Q569,20)-1))</f>
        <v>4</v>
      </c>
      <c r="W569" s="442">
        <f t="array" ref="W569">INDEX(INC_MINVALUES,$V569,$K$1)</f>
        <v>0.2</v>
      </c>
      <c r="X569" s="212">
        <f t="array" ref="X569">INDEX(INC_INCVALUES,$V569,$K$1)</f>
        <v>0.02</v>
      </c>
    </row>
    <row r="570" ht="15.75" customHeight="1">
      <c r="A570" s="435"/>
      <c r="B570" s="436"/>
      <c r="C570" s="95" t="str">
        <f t="array" ref="C570">IF(I570&gt;0,INDEX(DB,I570,8),"")</f>
        <v/>
      </c>
      <c r="D570" s="437">
        <f t="shared" si="1"/>
        <v>0</v>
      </c>
      <c r="F570" s="438">
        <f t="shared" si="2"/>
        <v>0</v>
      </c>
      <c r="G570" t="str">
        <f t="shared" si="3"/>
        <v/>
      </c>
      <c r="H570" t="b">
        <f t="shared" si="4"/>
        <v>0</v>
      </c>
      <c r="I570" s="439">
        <f>IF(OR(ISBLANK(A570),ISNA(MATCH(A570&amp;"",AthleteNumbers,0))),0,MATCH(A570&amp;"",AthleteNumbers,0))</f>
        <v>0</v>
      </c>
      <c r="J570" s="209">
        <f t="array" ref="J570">IF(I570&gt;0,INDEX(DB,$I570,6),0)</f>
        <v>0</v>
      </c>
      <c r="K570" s="446">
        <f t="shared" si="5"/>
        <v>0</v>
      </c>
      <c r="L570" s="446">
        <f t="shared" si="6"/>
        <v>0</v>
      </c>
      <c r="M570" s="441">
        <f>IF(L570&lt;O570,MinPoints,IF(AND(L570&gt;N570,O570&gt;0),100,+INT(($L570-O570)/P570)+MinPoints))</f>
        <v>10</v>
      </c>
      <c r="N570" s="440">
        <f t="shared" si="7"/>
        <v>4.9</v>
      </c>
      <c r="O570" s="440">
        <f t="shared" si="8"/>
        <v>2.2</v>
      </c>
      <c r="P570" s="440">
        <f t="shared" si="9"/>
        <v>0.03</v>
      </c>
      <c r="Q570">
        <f t="array" ref="Q570">IF(I570&gt;0,INDEX(DB,I570,9),EventIndex)</f>
        <v>6</v>
      </c>
      <c r="S570" s="447">
        <f t="array" ref="S570">INDEX(MINVALUES,$Q570,$K$1)</f>
        <v>2.2</v>
      </c>
      <c r="T570" s="448">
        <f t="array" ref="T570">INDEX(INCVALUES,$Q570,$K$1)</f>
        <v>0.03</v>
      </c>
      <c r="V570">
        <f t="array" ref="V570">+J570+(4*(INDEX(MatchScoreTable,$Q570,20)-1))</f>
        <v>4</v>
      </c>
      <c r="W570" s="442">
        <f t="array" ref="W570">INDEX(INC_MINVALUES,$V570,$K$1)</f>
        <v>0.2</v>
      </c>
      <c r="X570" s="212">
        <f t="array" ref="X570">INDEX(INC_INCVALUES,$V570,$K$1)</f>
        <v>0.02</v>
      </c>
    </row>
    <row r="571" ht="15.75" customHeight="1">
      <c r="A571" s="435"/>
      <c r="B571" s="436"/>
      <c r="C571" s="95" t="str">
        <f t="array" ref="C571">IF(I571&gt;0,INDEX(DB,I571,8),"")</f>
        <v/>
      </c>
      <c r="D571" s="437">
        <f t="shared" si="1"/>
        <v>0</v>
      </c>
      <c r="F571" s="438">
        <f t="shared" si="2"/>
        <v>0</v>
      </c>
      <c r="G571" t="str">
        <f t="shared" si="3"/>
        <v/>
      </c>
      <c r="H571" t="b">
        <f t="shared" si="4"/>
        <v>0</v>
      </c>
      <c r="I571" s="439">
        <f>IF(OR(ISBLANK(A571),ISNA(MATCH(A571&amp;"",AthleteNumbers,0))),0,MATCH(A571&amp;"",AthleteNumbers,0))</f>
        <v>0</v>
      </c>
      <c r="J571" s="209">
        <f t="array" ref="J571">IF(I571&gt;0,INDEX(DB,$I571,6),0)</f>
        <v>0</v>
      </c>
      <c r="K571" s="446">
        <f t="shared" si="5"/>
        <v>0</v>
      </c>
      <c r="L571" s="446">
        <f t="shared" si="6"/>
        <v>0</v>
      </c>
      <c r="M571" s="441">
        <f>IF(L571&lt;O571,MinPoints,IF(AND(L571&gt;N571,O571&gt;0),100,+INT(($L571-O571)/P571)+MinPoints))</f>
        <v>10</v>
      </c>
      <c r="N571" s="440">
        <f t="shared" si="7"/>
        <v>4.9</v>
      </c>
      <c r="O571" s="440">
        <f t="shared" si="8"/>
        <v>2.2</v>
      </c>
      <c r="P571" s="440">
        <f t="shared" si="9"/>
        <v>0.03</v>
      </c>
      <c r="Q571">
        <f t="array" ref="Q571">IF(I571&gt;0,INDEX(DB,I571,9),EventIndex)</f>
        <v>6</v>
      </c>
      <c r="S571" s="447">
        <f t="array" ref="S571">INDEX(MINVALUES,$Q571,$K$1)</f>
        <v>2.2</v>
      </c>
      <c r="T571" s="448">
        <f t="array" ref="T571">INDEX(INCVALUES,$Q571,$K$1)</f>
        <v>0.03</v>
      </c>
      <c r="V571">
        <f t="array" ref="V571">+J571+(4*(INDEX(MatchScoreTable,$Q571,20)-1))</f>
        <v>4</v>
      </c>
      <c r="W571" s="442">
        <f t="array" ref="W571">INDEX(INC_MINVALUES,$V571,$K$1)</f>
        <v>0.2</v>
      </c>
      <c r="X571" s="212">
        <f t="array" ref="X571">INDEX(INC_INCVALUES,$V571,$K$1)</f>
        <v>0.02</v>
      </c>
    </row>
    <row r="572" ht="15.75" customHeight="1">
      <c r="A572" s="435"/>
      <c r="B572" s="436"/>
      <c r="C572" s="95" t="str">
        <f t="array" ref="C572">IF(I572&gt;0,INDEX(DB,I572,8),"")</f>
        <v/>
      </c>
      <c r="D572" s="437">
        <f t="shared" si="1"/>
        <v>0</v>
      </c>
      <c r="F572" s="438">
        <f t="shared" si="2"/>
        <v>0</v>
      </c>
      <c r="G572" t="str">
        <f t="shared" si="3"/>
        <v/>
      </c>
      <c r="H572" t="b">
        <f t="shared" si="4"/>
        <v>0</v>
      </c>
      <c r="I572" s="439">
        <f>IF(OR(ISBLANK(A572),ISNA(MATCH(A572&amp;"",AthleteNumbers,0))),0,MATCH(A572&amp;"",AthleteNumbers,0))</f>
        <v>0</v>
      </c>
      <c r="J572" s="209">
        <f t="array" ref="J572">IF(I572&gt;0,INDEX(DB,$I572,6),0)</f>
        <v>0</v>
      </c>
      <c r="K572" s="446">
        <f t="shared" si="5"/>
        <v>0</v>
      </c>
      <c r="L572" s="446">
        <f t="shared" si="6"/>
        <v>0</v>
      </c>
      <c r="M572" s="441">
        <f>IF(L572&lt;O572,MinPoints,IF(AND(L572&gt;N572,O572&gt;0),100,+INT(($L572-O572)/P572)+MinPoints))</f>
        <v>10</v>
      </c>
      <c r="N572" s="440">
        <f t="shared" si="7"/>
        <v>4.9</v>
      </c>
      <c r="O572" s="440">
        <f t="shared" si="8"/>
        <v>2.2</v>
      </c>
      <c r="P572" s="440">
        <f t="shared" si="9"/>
        <v>0.03</v>
      </c>
      <c r="Q572">
        <f t="array" ref="Q572">IF(I572&gt;0,INDEX(DB,I572,9),EventIndex)</f>
        <v>6</v>
      </c>
      <c r="S572" s="447">
        <f t="array" ref="S572">INDEX(MINVALUES,$Q572,$K$1)</f>
        <v>2.2</v>
      </c>
      <c r="T572" s="448">
        <f t="array" ref="T572">INDEX(INCVALUES,$Q572,$K$1)</f>
        <v>0.03</v>
      </c>
      <c r="V572">
        <f t="array" ref="V572">+J572+(4*(INDEX(MatchScoreTable,$Q572,20)-1))</f>
        <v>4</v>
      </c>
      <c r="W572" s="442">
        <f t="array" ref="W572">INDEX(INC_MINVALUES,$V572,$K$1)</f>
        <v>0.2</v>
      </c>
      <c r="X572" s="212">
        <f t="array" ref="X572">INDEX(INC_INCVALUES,$V572,$K$1)</f>
        <v>0.02</v>
      </c>
    </row>
    <row r="573" ht="15.75" customHeight="1">
      <c r="A573" s="435"/>
      <c r="B573" s="436"/>
      <c r="C573" s="95" t="str">
        <f t="array" ref="C573">IF(I573&gt;0,INDEX(DB,I573,8),"")</f>
        <v/>
      </c>
      <c r="D573" s="437">
        <f t="shared" si="1"/>
        <v>0</v>
      </c>
      <c r="F573" s="438">
        <f t="shared" si="2"/>
        <v>0</v>
      </c>
      <c r="G573" t="str">
        <f t="shared" si="3"/>
        <v/>
      </c>
      <c r="H573" t="b">
        <f t="shared" si="4"/>
        <v>0</v>
      </c>
      <c r="I573" s="439">
        <f>IF(OR(ISBLANK(A573),ISNA(MATCH(A573&amp;"",AthleteNumbers,0))),0,MATCH(A573&amp;"",AthleteNumbers,0))</f>
        <v>0</v>
      </c>
      <c r="J573" s="209">
        <f t="array" ref="J573">IF(I573&gt;0,INDEX(DB,$I573,6),0)</f>
        <v>0</v>
      </c>
      <c r="K573" s="446">
        <f t="shared" si="5"/>
        <v>0</v>
      </c>
      <c r="L573" s="446">
        <f t="shared" si="6"/>
        <v>0</v>
      </c>
      <c r="M573" s="441">
        <f>IF(L573&lt;O573,MinPoints,IF(AND(L573&gt;N573,O573&gt;0),100,+INT(($L573-O573)/P573)+MinPoints))</f>
        <v>10</v>
      </c>
      <c r="N573" s="440">
        <f t="shared" si="7"/>
        <v>4.9</v>
      </c>
      <c r="O573" s="440">
        <f t="shared" si="8"/>
        <v>2.2</v>
      </c>
      <c r="P573" s="440">
        <f t="shared" si="9"/>
        <v>0.03</v>
      </c>
      <c r="Q573">
        <f t="array" ref="Q573">IF(I573&gt;0,INDEX(DB,I573,9),EventIndex)</f>
        <v>6</v>
      </c>
      <c r="S573" s="447">
        <f t="array" ref="S573">INDEX(MINVALUES,$Q573,$K$1)</f>
        <v>2.2</v>
      </c>
      <c r="T573" s="448">
        <f t="array" ref="T573">INDEX(INCVALUES,$Q573,$K$1)</f>
        <v>0.03</v>
      </c>
      <c r="V573">
        <f t="array" ref="V573">+J573+(4*(INDEX(MatchScoreTable,$Q573,20)-1))</f>
        <v>4</v>
      </c>
      <c r="W573" s="442">
        <f t="array" ref="W573">INDEX(INC_MINVALUES,$V573,$K$1)</f>
        <v>0.2</v>
      </c>
      <c r="X573" s="212">
        <f t="array" ref="X573">INDEX(INC_INCVALUES,$V573,$K$1)</f>
        <v>0.02</v>
      </c>
    </row>
    <row r="574" ht="15.75" customHeight="1">
      <c r="A574" s="435"/>
      <c r="B574" s="436"/>
      <c r="C574" s="95" t="str">
        <f t="array" ref="C574">IF(I574&gt;0,INDEX(DB,I574,8),"")</f>
        <v/>
      </c>
      <c r="D574" s="437">
        <f t="shared" si="1"/>
        <v>0</v>
      </c>
      <c r="F574" s="438">
        <f t="shared" si="2"/>
        <v>0</v>
      </c>
      <c r="G574" t="str">
        <f t="shared" si="3"/>
        <v/>
      </c>
      <c r="H574" t="b">
        <f t="shared" si="4"/>
        <v>0</v>
      </c>
      <c r="I574" s="439">
        <f>IF(OR(ISBLANK(A574),ISNA(MATCH(A574&amp;"",AthleteNumbers,0))),0,MATCH(A574&amp;"",AthleteNumbers,0))</f>
        <v>0</v>
      </c>
      <c r="J574" s="209">
        <f t="array" ref="J574">IF(I574&gt;0,INDEX(DB,$I574,6),0)</f>
        <v>0</v>
      </c>
      <c r="K574" s="446">
        <f t="shared" si="5"/>
        <v>0</v>
      </c>
      <c r="L574" s="446">
        <f t="shared" si="6"/>
        <v>0</v>
      </c>
      <c r="M574" s="441">
        <f>IF(L574&lt;O574,MinPoints,IF(AND(L574&gt;N574,O574&gt;0),100,+INT(($L574-O574)/P574)+MinPoints))</f>
        <v>10</v>
      </c>
      <c r="N574" s="440">
        <f t="shared" si="7"/>
        <v>4.9</v>
      </c>
      <c r="O574" s="440">
        <f t="shared" si="8"/>
        <v>2.2</v>
      </c>
      <c r="P574" s="440">
        <f t="shared" si="9"/>
        <v>0.03</v>
      </c>
      <c r="Q574">
        <f t="array" ref="Q574">IF(I574&gt;0,INDEX(DB,I574,9),EventIndex)</f>
        <v>6</v>
      </c>
      <c r="S574" s="447">
        <f t="array" ref="S574">INDEX(MINVALUES,$Q574,$K$1)</f>
        <v>2.2</v>
      </c>
      <c r="T574" s="448">
        <f t="array" ref="T574">INDEX(INCVALUES,$Q574,$K$1)</f>
        <v>0.03</v>
      </c>
      <c r="V574">
        <f t="array" ref="V574">+J574+(4*(INDEX(MatchScoreTable,$Q574,20)-1))</f>
        <v>4</v>
      </c>
      <c r="W574" s="442">
        <f t="array" ref="W574">INDEX(INC_MINVALUES,$V574,$K$1)</f>
        <v>0.2</v>
      </c>
      <c r="X574" s="212">
        <f t="array" ref="X574">INDEX(INC_INCVALUES,$V574,$K$1)</f>
        <v>0.02</v>
      </c>
    </row>
    <row r="575" ht="15.75" customHeight="1">
      <c r="A575" s="435"/>
      <c r="B575" s="436"/>
      <c r="C575" s="95" t="str">
        <f t="array" ref="C575">IF(I575&gt;0,INDEX(DB,I575,8),"")</f>
        <v/>
      </c>
      <c r="D575" s="437">
        <f t="shared" si="1"/>
        <v>0</v>
      </c>
      <c r="F575" s="438">
        <f t="shared" si="2"/>
        <v>0</v>
      </c>
      <c r="G575" t="str">
        <f t="shared" si="3"/>
        <v/>
      </c>
      <c r="H575" t="b">
        <f t="shared" si="4"/>
        <v>0</v>
      </c>
      <c r="I575" s="439">
        <f>IF(OR(ISBLANK(A575),ISNA(MATCH(A575&amp;"",AthleteNumbers,0))),0,MATCH(A575&amp;"",AthleteNumbers,0))</f>
        <v>0</v>
      </c>
      <c r="J575" s="209">
        <f t="array" ref="J575">IF(I575&gt;0,INDEX(DB,$I575,6),0)</f>
        <v>0</v>
      </c>
      <c r="K575" s="446">
        <f t="shared" si="5"/>
        <v>0</v>
      </c>
      <c r="L575" s="446">
        <f t="shared" si="6"/>
        <v>0</v>
      </c>
      <c r="M575" s="441">
        <f>IF(L575&lt;O575,MinPoints,IF(AND(L575&gt;N575,O575&gt;0),100,+INT(($L575-O575)/P575)+MinPoints))</f>
        <v>10</v>
      </c>
      <c r="N575" s="440">
        <f t="shared" si="7"/>
        <v>4.9</v>
      </c>
      <c r="O575" s="440">
        <f t="shared" si="8"/>
        <v>2.2</v>
      </c>
      <c r="P575" s="440">
        <f t="shared" si="9"/>
        <v>0.03</v>
      </c>
      <c r="Q575">
        <f t="array" ref="Q575">IF(I575&gt;0,INDEX(DB,I575,9),EventIndex)</f>
        <v>6</v>
      </c>
      <c r="S575" s="447">
        <f t="array" ref="S575">INDEX(MINVALUES,$Q575,$K$1)</f>
        <v>2.2</v>
      </c>
      <c r="T575" s="448">
        <f t="array" ref="T575">INDEX(INCVALUES,$Q575,$K$1)</f>
        <v>0.03</v>
      </c>
      <c r="V575">
        <f t="array" ref="V575">+J575+(4*(INDEX(MatchScoreTable,$Q575,20)-1))</f>
        <v>4</v>
      </c>
      <c r="W575" s="442">
        <f t="array" ref="W575">INDEX(INC_MINVALUES,$V575,$K$1)</f>
        <v>0.2</v>
      </c>
      <c r="X575" s="212">
        <f t="array" ref="X575">INDEX(INC_INCVALUES,$V575,$K$1)</f>
        <v>0.02</v>
      </c>
    </row>
    <row r="576" ht="15.75" customHeight="1">
      <c r="A576" s="435"/>
      <c r="B576" s="436"/>
      <c r="C576" s="95" t="str">
        <f t="array" ref="C576">IF(I576&gt;0,INDEX(DB,I576,8),"")</f>
        <v/>
      </c>
      <c r="D576" s="437">
        <f t="shared" si="1"/>
        <v>0</v>
      </c>
      <c r="F576" s="438">
        <f t="shared" si="2"/>
        <v>0</v>
      </c>
      <c r="G576" t="str">
        <f t="shared" si="3"/>
        <v/>
      </c>
      <c r="H576" t="b">
        <f t="shared" si="4"/>
        <v>0</v>
      </c>
      <c r="I576" s="439">
        <f>IF(OR(ISBLANK(A576),ISNA(MATCH(A576&amp;"",AthleteNumbers,0))),0,MATCH(A576&amp;"",AthleteNumbers,0))</f>
        <v>0</v>
      </c>
      <c r="J576" s="209">
        <f t="array" ref="J576">IF(I576&gt;0,INDEX(DB,$I576,6),0)</f>
        <v>0</v>
      </c>
      <c r="K576" s="446">
        <f t="shared" si="5"/>
        <v>0</v>
      </c>
      <c r="L576" s="446">
        <f t="shared" si="6"/>
        <v>0</v>
      </c>
      <c r="M576" s="441">
        <f>IF(L576&lt;O576,MinPoints,IF(AND(L576&gt;N576,O576&gt;0),100,+INT(($L576-O576)/P576)+MinPoints))</f>
        <v>10</v>
      </c>
      <c r="N576" s="440">
        <f t="shared" si="7"/>
        <v>4.9</v>
      </c>
      <c r="O576" s="440">
        <f t="shared" si="8"/>
        <v>2.2</v>
      </c>
      <c r="P576" s="440">
        <f t="shared" si="9"/>
        <v>0.03</v>
      </c>
      <c r="Q576">
        <f t="array" ref="Q576">IF(I576&gt;0,INDEX(DB,I576,9),EventIndex)</f>
        <v>6</v>
      </c>
      <c r="S576" s="447">
        <f t="array" ref="S576">INDEX(MINVALUES,$Q576,$K$1)</f>
        <v>2.2</v>
      </c>
      <c r="T576" s="448">
        <f t="array" ref="T576">INDEX(INCVALUES,$Q576,$K$1)</f>
        <v>0.03</v>
      </c>
      <c r="V576">
        <f t="array" ref="V576">+J576+(4*(INDEX(MatchScoreTable,$Q576,20)-1))</f>
        <v>4</v>
      </c>
      <c r="W576" s="442">
        <f t="array" ref="W576">INDEX(INC_MINVALUES,$V576,$K$1)</f>
        <v>0.2</v>
      </c>
      <c r="X576" s="212">
        <f t="array" ref="X576">INDEX(INC_INCVALUES,$V576,$K$1)</f>
        <v>0.02</v>
      </c>
    </row>
    <row r="577" ht="15.75" customHeight="1">
      <c r="A577" s="435"/>
      <c r="B577" s="436"/>
      <c r="C577" s="95" t="str">
        <f t="array" ref="C577">IF(I577&gt;0,INDEX(DB,I577,8),"")</f>
        <v/>
      </c>
      <c r="D577" s="437">
        <f t="shared" si="1"/>
        <v>0</v>
      </c>
      <c r="F577" s="438">
        <f t="shared" si="2"/>
        <v>0</v>
      </c>
      <c r="G577" t="str">
        <f t="shared" si="3"/>
        <v/>
      </c>
      <c r="H577" t="b">
        <f t="shared" si="4"/>
        <v>0</v>
      </c>
      <c r="I577" s="439">
        <f>IF(OR(ISBLANK(A577),ISNA(MATCH(A577&amp;"",AthleteNumbers,0))),0,MATCH(A577&amp;"",AthleteNumbers,0))</f>
        <v>0</v>
      </c>
      <c r="J577" s="209">
        <f t="array" ref="J577">IF(I577&gt;0,INDEX(DB,$I577,6),0)</f>
        <v>0</v>
      </c>
      <c r="K577" s="446">
        <f t="shared" si="5"/>
        <v>0</v>
      </c>
      <c r="L577" s="446">
        <f t="shared" si="6"/>
        <v>0</v>
      </c>
      <c r="M577" s="441">
        <f>IF(L577&lt;O577,MinPoints,IF(AND(L577&gt;N577,O577&gt;0),100,+INT(($L577-O577)/P577)+MinPoints))</f>
        <v>10</v>
      </c>
      <c r="N577" s="440">
        <f t="shared" si="7"/>
        <v>4.9</v>
      </c>
      <c r="O577" s="440">
        <f t="shared" si="8"/>
        <v>2.2</v>
      </c>
      <c r="P577" s="440">
        <f t="shared" si="9"/>
        <v>0.03</v>
      </c>
      <c r="Q577">
        <f t="array" ref="Q577">IF(I577&gt;0,INDEX(DB,I577,9),EventIndex)</f>
        <v>6</v>
      </c>
      <c r="S577" s="447">
        <f t="array" ref="S577">INDEX(MINVALUES,$Q577,$K$1)</f>
        <v>2.2</v>
      </c>
      <c r="T577" s="448">
        <f t="array" ref="T577">INDEX(INCVALUES,$Q577,$K$1)</f>
        <v>0.03</v>
      </c>
      <c r="V577">
        <f t="array" ref="V577">+J577+(4*(INDEX(MatchScoreTable,$Q577,20)-1))</f>
        <v>4</v>
      </c>
      <c r="W577" s="442">
        <f t="array" ref="W577">INDEX(INC_MINVALUES,$V577,$K$1)</f>
        <v>0.2</v>
      </c>
      <c r="X577" s="212">
        <f t="array" ref="X577">INDEX(INC_INCVALUES,$V577,$K$1)</f>
        <v>0.02</v>
      </c>
    </row>
    <row r="578" ht="15.75" customHeight="1">
      <c r="A578" s="435"/>
      <c r="B578" s="436"/>
      <c r="C578" s="95" t="str">
        <f t="array" ref="C578">IF(I578&gt;0,INDEX(DB,I578,8),"")</f>
        <v/>
      </c>
      <c r="D578" s="437">
        <f t="shared" si="1"/>
        <v>0</v>
      </c>
      <c r="F578" s="438">
        <f t="shared" si="2"/>
        <v>0</v>
      </c>
      <c r="G578" t="str">
        <f t="shared" si="3"/>
        <v/>
      </c>
      <c r="H578" t="b">
        <f t="shared" si="4"/>
        <v>0</v>
      </c>
      <c r="I578" s="439">
        <f>IF(OR(ISBLANK(A578),ISNA(MATCH(A578&amp;"",AthleteNumbers,0))),0,MATCH(A578&amp;"",AthleteNumbers,0))</f>
        <v>0</v>
      </c>
      <c r="J578" s="209">
        <f t="array" ref="J578">IF(I578&gt;0,INDEX(DB,$I578,6),0)</f>
        <v>0</v>
      </c>
      <c r="K578" s="446">
        <f t="shared" si="5"/>
        <v>0</v>
      </c>
      <c r="L578" s="446">
        <f t="shared" si="6"/>
        <v>0</v>
      </c>
      <c r="M578" s="441">
        <f>IF(L578&lt;O578,MinPoints,IF(AND(L578&gt;N578,O578&gt;0),100,+INT(($L578-O578)/P578)+MinPoints))</f>
        <v>10</v>
      </c>
      <c r="N578" s="440">
        <f t="shared" si="7"/>
        <v>4.9</v>
      </c>
      <c r="O578" s="440">
        <f t="shared" si="8"/>
        <v>2.2</v>
      </c>
      <c r="P578" s="440">
        <f t="shared" si="9"/>
        <v>0.03</v>
      </c>
      <c r="Q578">
        <f t="array" ref="Q578">IF(I578&gt;0,INDEX(DB,I578,9),EventIndex)</f>
        <v>6</v>
      </c>
      <c r="S578" s="447">
        <f t="array" ref="S578">INDEX(MINVALUES,$Q578,$K$1)</f>
        <v>2.2</v>
      </c>
      <c r="T578" s="448">
        <f t="array" ref="T578">INDEX(INCVALUES,$Q578,$K$1)</f>
        <v>0.03</v>
      </c>
      <c r="V578">
        <f t="array" ref="V578">+J578+(4*(INDEX(MatchScoreTable,$Q578,20)-1))</f>
        <v>4</v>
      </c>
      <c r="W578" s="442">
        <f t="array" ref="W578">INDEX(INC_MINVALUES,$V578,$K$1)</f>
        <v>0.2</v>
      </c>
      <c r="X578" s="212">
        <f t="array" ref="X578">INDEX(INC_INCVALUES,$V578,$K$1)</f>
        <v>0.02</v>
      </c>
    </row>
    <row r="579" ht="15.75" customHeight="1">
      <c r="A579" s="435"/>
      <c r="B579" s="436"/>
      <c r="C579" s="95" t="str">
        <f t="array" ref="C579">IF(I579&gt;0,INDEX(DB,I579,8),"")</f>
        <v/>
      </c>
      <c r="D579" s="437">
        <f t="shared" si="1"/>
        <v>0</v>
      </c>
      <c r="F579" s="438">
        <f t="shared" si="2"/>
        <v>0</v>
      </c>
      <c r="G579" t="str">
        <f t="shared" si="3"/>
        <v/>
      </c>
      <c r="H579" t="b">
        <f t="shared" si="4"/>
        <v>0</v>
      </c>
      <c r="I579" s="439">
        <f>IF(OR(ISBLANK(A579),ISNA(MATCH(A579&amp;"",AthleteNumbers,0))),0,MATCH(A579&amp;"",AthleteNumbers,0))</f>
        <v>0</v>
      </c>
      <c r="J579" s="209">
        <f t="array" ref="J579">IF(I579&gt;0,INDEX(DB,$I579,6),0)</f>
        <v>0</v>
      </c>
      <c r="K579" s="446">
        <f t="shared" si="5"/>
        <v>0</v>
      </c>
      <c r="L579" s="446">
        <f t="shared" si="6"/>
        <v>0</v>
      </c>
      <c r="M579" s="441">
        <f>IF(L579&lt;O579,MinPoints,IF(AND(L579&gt;N579,O579&gt;0),100,+INT(($L579-O579)/P579)+MinPoints))</f>
        <v>10</v>
      </c>
      <c r="N579" s="440">
        <f t="shared" si="7"/>
        <v>4.9</v>
      </c>
      <c r="O579" s="440">
        <f t="shared" si="8"/>
        <v>2.2</v>
      </c>
      <c r="P579" s="440">
        <f t="shared" si="9"/>
        <v>0.03</v>
      </c>
      <c r="Q579">
        <f t="array" ref="Q579">IF(I579&gt;0,INDEX(DB,I579,9),EventIndex)</f>
        <v>6</v>
      </c>
      <c r="S579" s="447">
        <f t="array" ref="S579">INDEX(MINVALUES,$Q579,$K$1)</f>
        <v>2.2</v>
      </c>
      <c r="T579" s="448">
        <f t="array" ref="T579">INDEX(INCVALUES,$Q579,$K$1)</f>
        <v>0.03</v>
      </c>
      <c r="V579">
        <f t="array" ref="V579">+J579+(4*(INDEX(MatchScoreTable,$Q579,20)-1))</f>
        <v>4</v>
      </c>
      <c r="W579" s="442">
        <f t="array" ref="W579">INDEX(INC_MINVALUES,$V579,$K$1)</f>
        <v>0.2</v>
      </c>
      <c r="X579" s="212">
        <f t="array" ref="X579">INDEX(INC_INCVALUES,$V579,$K$1)</f>
        <v>0.02</v>
      </c>
    </row>
    <row r="580" ht="15.75" customHeight="1">
      <c r="A580" s="435"/>
      <c r="B580" s="436"/>
      <c r="C580" s="95" t="str">
        <f t="array" ref="C580">IF(I580&gt;0,INDEX(DB,I580,8),"")</f>
        <v/>
      </c>
      <c r="D580" s="437">
        <f t="shared" si="1"/>
        <v>0</v>
      </c>
      <c r="F580" s="438">
        <f t="shared" si="2"/>
        <v>0</v>
      </c>
      <c r="G580" t="str">
        <f t="shared" si="3"/>
        <v/>
      </c>
      <c r="H580" t="b">
        <f t="shared" si="4"/>
        <v>0</v>
      </c>
      <c r="I580" s="439">
        <f>IF(OR(ISBLANK(A580),ISNA(MATCH(A580&amp;"",AthleteNumbers,0))),0,MATCH(A580&amp;"",AthleteNumbers,0))</f>
        <v>0</v>
      </c>
      <c r="J580" s="209">
        <f t="array" ref="J580">IF(I580&gt;0,INDEX(DB,$I580,6),0)</f>
        <v>0</v>
      </c>
      <c r="K580" s="446">
        <f t="shared" si="5"/>
        <v>0</v>
      </c>
      <c r="L580" s="446">
        <f t="shared" si="6"/>
        <v>0</v>
      </c>
      <c r="M580" s="441">
        <f>IF(L580&lt;O580,MinPoints,IF(AND(L580&gt;N580,O580&gt;0),100,+INT(($L580-O580)/P580)+MinPoints))</f>
        <v>10</v>
      </c>
      <c r="N580" s="440">
        <f t="shared" si="7"/>
        <v>4.9</v>
      </c>
      <c r="O580" s="440">
        <f t="shared" si="8"/>
        <v>2.2</v>
      </c>
      <c r="P580" s="440">
        <f t="shared" si="9"/>
        <v>0.03</v>
      </c>
      <c r="Q580">
        <f t="array" ref="Q580">IF(I580&gt;0,INDEX(DB,I580,9),EventIndex)</f>
        <v>6</v>
      </c>
      <c r="S580" s="447">
        <f t="array" ref="S580">INDEX(MINVALUES,$Q580,$K$1)</f>
        <v>2.2</v>
      </c>
      <c r="T580" s="448">
        <f t="array" ref="T580">INDEX(INCVALUES,$Q580,$K$1)</f>
        <v>0.03</v>
      </c>
      <c r="V580">
        <f t="array" ref="V580">+J580+(4*(INDEX(MatchScoreTable,$Q580,20)-1))</f>
        <v>4</v>
      </c>
      <c r="W580" s="442">
        <f t="array" ref="W580">INDEX(INC_MINVALUES,$V580,$K$1)</f>
        <v>0.2</v>
      </c>
      <c r="X580" s="212">
        <f t="array" ref="X580">INDEX(INC_INCVALUES,$V580,$K$1)</f>
        <v>0.02</v>
      </c>
    </row>
    <row r="581" ht="15.75" customHeight="1">
      <c r="A581" s="435"/>
      <c r="B581" s="436"/>
      <c r="C581" s="95" t="str">
        <f t="array" ref="C581">IF(I581&gt;0,INDEX(DB,I581,8),"")</f>
        <v/>
      </c>
      <c r="D581" s="437">
        <f t="shared" si="1"/>
        <v>0</v>
      </c>
      <c r="F581" s="438">
        <f t="shared" si="2"/>
        <v>0</v>
      </c>
      <c r="G581" t="str">
        <f t="shared" si="3"/>
        <v/>
      </c>
      <c r="H581" t="b">
        <f t="shared" si="4"/>
        <v>0</v>
      </c>
      <c r="I581" s="439">
        <f>IF(OR(ISBLANK(A581),ISNA(MATCH(A581&amp;"",AthleteNumbers,0))),0,MATCH(A581&amp;"",AthleteNumbers,0))</f>
        <v>0</v>
      </c>
      <c r="J581" s="209">
        <f t="array" ref="J581">IF(I581&gt;0,INDEX(DB,$I581,6),0)</f>
        <v>0</v>
      </c>
      <c r="K581" s="446">
        <f t="shared" si="5"/>
        <v>0</v>
      </c>
      <c r="L581" s="446">
        <f t="shared" si="6"/>
        <v>0</v>
      </c>
      <c r="M581" s="441">
        <f>IF(L581&lt;O581,MinPoints,IF(AND(L581&gt;N581,O581&gt;0),100,+INT(($L581-O581)/P581)+MinPoints))</f>
        <v>10</v>
      </c>
      <c r="N581" s="440">
        <f t="shared" si="7"/>
        <v>4.9</v>
      </c>
      <c r="O581" s="440">
        <f t="shared" si="8"/>
        <v>2.2</v>
      </c>
      <c r="P581" s="440">
        <f t="shared" si="9"/>
        <v>0.03</v>
      </c>
      <c r="Q581">
        <f t="array" ref="Q581">IF(I581&gt;0,INDEX(DB,I581,9),EventIndex)</f>
        <v>6</v>
      </c>
      <c r="S581" s="447">
        <f t="array" ref="S581">INDEX(MINVALUES,$Q581,$K$1)</f>
        <v>2.2</v>
      </c>
      <c r="T581" s="448">
        <f t="array" ref="T581">INDEX(INCVALUES,$Q581,$K$1)</f>
        <v>0.03</v>
      </c>
      <c r="V581">
        <f t="array" ref="V581">+J581+(4*(INDEX(MatchScoreTable,$Q581,20)-1))</f>
        <v>4</v>
      </c>
      <c r="W581" s="442">
        <f t="array" ref="W581">INDEX(INC_MINVALUES,$V581,$K$1)</f>
        <v>0.2</v>
      </c>
      <c r="X581" s="212">
        <f t="array" ref="X581">INDEX(INC_INCVALUES,$V581,$K$1)</f>
        <v>0.02</v>
      </c>
    </row>
    <row r="582" ht="15.75" customHeight="1">
      <c r="A582" s="435"/>
      <c r="B582" s="436"/>
      <c r="C582" s="95" t="str">
        <f t="array" ref="C582">IF(I582&gt;0,INDEX(DB,I582,8),"")</f>
        <v/>
      </c>
      <c r="D582" s="437">
        <f t="shared" si="1"/>
        <v>0</v>
      </c>
      <c r="F582" s="438">
        <f t="shared" si="2"/>
        <v>0</v>
      </c>
      <c r="G582" t="str">
        <f t="shared" si="3"/>
        <v/>
      </c>
      <c r="H582" t="b">
        <f t="shared" si="4"/>
        <v>0</v>
      </c>
      <c r="I582" s="439">
        <f>IF(OR(ISBLANK(A582),ISNA(MATCH(A582&amp;"",AthleteNumbers,0))),0,MATCH(A582&amp;"",AthleteNumbers,0))</f>
        <v>0</v>
      </c>
      <c r="J582" s="209">
        <f t="array" ref="J582">IF(I582&gt;0,INDEX(DB,$I582,6),0)</f>
        <v>0</v>
      </c>
      <c r="K582" s="446">
        <f t="shared" si="5"/>
        <v>0</v>
      </c>
      <c r="L582" s="446">
        <f t="shared" si="6"/>
        <v>0</v>
      </c>
      <c r="M582" s="441">
        <f>IF(L582&lt;O582,MinPoints,IF(AND(L582&gt;N582,O582&gt;0),100,+INT(($L582-O582)/P582)+MinPoints))</f>
        <v>10</v>
      </c>
      <c r="N582" s="440">
        <f t="shared" si="7"/>
        <v>4.9</v>
      </c>
      <c r="O582" s="440">
        <f t="shared" si="8"/>
        <v>2.2</v>
      </c>
      <c r="P582" s="440">
        <f t="shared" si="9"/>
        <v>0.03</v>
      </c>
      <c r="Q582">
        <f t="array" ref="Q582">IF(I582&gt;0,INDEX(DB,I582,9),EventIndex)</f>
        <v>6</v>
      </c>
      <c r="S582" s="447">
        <f t="array" ref="S582">INDEX(MINVALUES,$Q582,$K$1)</f>
        <v>2.2</v>
      </c>
      <c r="T582" s="448">
        <f t="array" ref="T582">INDEX(INCVALUES,$Q582,$K$1)</f>
        <v>0.03</v>
      </c>
      <c r="V582">
        <f t="array" ref="V582">+J582+(4*(INDEX(MatchScoreTable,$Q582,20)-1))</f>
        <v>4</v>
      </c>
      <c r="W582" s="442">
        <f t="array" ref="W582">INDEX(INC_MINVALUES,$V582,$K$1)</f>
        <v>0.2</v>
      </c>
      <c r="X582" s="212">
        <f t="array" ref="X582">INDEX(INC_INCVALUES,$V582,$K$1)</f>
        <v>0.02</v>
      </c>
    </row>
    <row r="583" ht="15.75" customHeight="1">
      <c r="A583" s="435"/>
      <c r="B583" s="436"/>
      <c r="C583" s="95" t="str">
        <f t="array" ref="C583">IF(I583&gt;0,INDEX(DB,I583,8),"")</f>
        <v/>
      </c>
      <c r="D583" s="437">
        <f t="shared" si="1"/>
        <v>0</v>
      </c>
      <c r="F583" s="438">
        <f t="shared" si="2"/>
        <v>0</v>
      </c>
      <c r="G583" t="str">
        <f t="shared" si="3"/>
        <v/>
      </c>
      <c r="H583" t="b">
        <f t="shared" si="4"/>
        <v>0</v>
      </c>
      <c r="I583" s="439">
        <f>IF(OR(ISBLANK(A583),ISNA(MATCH(A583&amp;"",AthleteNumbers,0))),0,MATCH(A583&amp;"",AthleteNumbers,0))</f>
        <v>0</v>
      </c>
      <c r="J583" s="209">
        <f t="array" ref="J583">IF(I583&gt;0,INDEX(DB,$I583,6),0)</f>
        <v>0</v>
      </c>
      <c r="K583" s="446">
        <f t="shared" si="5"/>
        <v>0</v>
      </c>
      <c r="L583" s="446">
        <f t="shared" si="6"/>
        <v>0</v>
      </c>
      <c r="M583" s="441">
        <f>IF(L583&lt;O583,MinPoints,IF(AND(L583&gt;N583,O583&gt;0),100,+INT(($L583-O583)/P583)+MinPoints))</f>
        <v>10</v>
      </c>
      <c r="N583" s="440">
        <f t="shared" si="7"/>
        <v>4.9</v>
      </c>
      <c r="O583" s="440">
        <f t="shared" si="8"/>
        <v>2.2</v>
      </c>
      <c r="P583" s="440">
        <f t="shared" si="9"/>
        <v>0.03</v>
      </c>
      <c r="Q583">
        <f t="array" ref="Q583">IF(I583&gt;0,INDEX(DB,I583,9),EventIndex)</f>
        <v>6</v>
      </c>
      <c r="S583" s="447">
        <f t="array" ref="S583">INDEX(MINVALUES,$Q583,$K$1)</f>
        <v>2.2</v>
      </c>
      <c r="T583" s="448">
        <f t="array" ref="T583">INDEX(INCVALUES,$Q583,$K$1)</f>
        <v>0.03</v>
      </c>
      <c r="V583">
        <f t="array" ref="V583">+J583+(4*(INDEX(MatchScoreTable,$Q583,20)-1))</f>
        <v>4</v>
      </c>
      <c r="W583" s="442">
        <f t="array" ref="W583">INDEX(INC_MINVALUES,$V583,$K$1)</f>
        <v>0.2</v>
      </c>
      <c r="X583" s="212">
        <f t="array" ref="X583">INDEX(INC_INCVALUES,$V583,$K$1)</f>
        <v>0.02</v>
      </c>
    </row>
    <row r="584" ht="15.75" customHeight="1">
      <c r="A584" s="435"/>
      <c r="B584" s="436"/>
      <c r="C584" s="95" t="str">
        <f t="array" ref="C584">IF(I584&gt;0,INDEX(DB,I584,8),"")</f>
        <v/>
      </c>
      <c r="D584" s="437">
        <f t="shared" si="1"/>
        <v>0</v>
      </c>
      <c r="F584" s="438">
        <f t="shared" si="2"/>
        <v>0</v>
      </c>
      <c r="G584" t="str">
        <f t="shared" si="3"/>
        <v/>
      </c>
      <c r="H584" t="b">
        <f t="shared" si="4"/>
        <v>0</v>
      </c>
      <c r="I584" s="439">
        <f>IF(OR(ISBLANK(A584),ISNA(MATCH(A584&amp;"",AthleteNumbers,0))),0,MATCH(A584&amp;"",AthleteNumbers,0))</f>
        <v>0</v>
      </c>
      <c r="J584" s="209">
        <f t="array" ref="J584">IF(I584&gt;0,INDEX(DB,$I584,6),0)</f>
        <v>0</v>
      </c>
      <c r="K584" s="446">
        <f t="shared" si="5"/>
        <v>0</v>
      </c>
      <c r="L584" s="446">
        <f t="shared" si="6"/>
        <v>0</v>
      </c>
      <c r="M584" s="441">
        <f>IF(L584&lt;O584,MinPoints,IF(AND(L584&gt;N584,O584&gt;0),100,+INT(($L584-O584)/P584)+MinPoints))</f>
        <v>10</v>
      </c>
      <c r="N584" s="440">
        <f t="shared" si="7"/>
        <v>4.9</v>
      </c>
      <c r="O584" s="440">
        <f t="shared" si="8"/>
        <v>2.2</v>
      </c>
      <c r="P584" s="440">
        <f t="shared" si="9"/>
        <v>0.03</v>
      </c>
      <c r="Q584">
        <f t="array" ref="Q584">IF(I584&gt;0,INDEX(DB,I584,9),EventIndex)</f>
        <v>6</v>
      </c>
      <c r="S584" s="447">
        <f t="array" ref="S584">INDEX(MINVALUES,$Q584,$K$1)</f>
        <v>2.2</v>
      </c>
      <c r="T584" s="448">
        <f t="array" ref="T584">INDEX(INCVALUES,$Q584,$K$1)</f>
        <v>0.03</v>
      </c>
      <c r="V584">
        <f t="array" ref="V584">+J584+(4*(INDEX(MatchScoreTable,$Q584,20)-1))</f>
        <v>4</v>
      </c>
      <c r="W584" s="442">
        <f t="array" ref="W584">INDEX(INC_MINVALUES,$V584,$K$1)</f>
        <v>0.2</v>
      </c>
      <c r="X584" s="212">
        <f t="array" ref="X584">INDEX(INC_INCVALUES,$V584,$K$1)</f>
        <v>0.02</v>
      </c>
    </row>
    <row r="585" ht="15.75" customHeight="1">
      <c r="A585" s="435"/>
      <c r="B585" s="436"/>
      <c r="C585" s="95" t="str">
        <f t="array" ref="C585">IF(I585&gt;0,INDEX(DB,I585,8),"")</f>
        <v/>
      </c>
      <c r="D585" s="437">
        <f t="shared" si="1"/>
        <v>0</v>
      </c>
      <c r="F585" s="438">
        <f t="shared" si="2"/>
        <v>0</v>
      </c>
      <c r="G585" t="str">
        <f t="shared" si="3"/>
        <v/>
      </c>
      <c r="H585" t="b">
        <f t="shared" si="4"/>
        <v>0</v>
      </c>
      <c r="I585" s="439">
        <f>IF(OR(ISBLANK(A585),ISNA(MATCH(A585&amp;"",AthleteNumbers,0))),0,MATCH(A585&amp;"",AthleteNumbers,0))</f>
        <v>0</v>
      </c>
      <c r="J585" s="209">
        <f t="array" ref="J585">IF(I585&gt;0,INDEX(DB,$I585,6),0)</f>
        <v>0</v>
      </c>
      <c r="K585" s="446">
        <f t="shared" si="5"/>
        <v>0</v>
      </c>
      <c r="L585" s="446">
        <f t="shared" si="6"/>
        <v>0</v>
      </c>
      <c r="M585" s="441">
        <f>IF(L585&lt;O585,MinPoints,IF(AND(L585&gt;N585,O585&gt;0),100,+INT(($L585-O585)/P585)+MinPoints))</f>
        <v>10</v>
      </c>
      <c r="N585" s="440">
        <f t="shared" si="7"/>
        <v>4.9</v>
      </c>
      <c r="O585" s="440">
        <f t="shared" si="8"/>
        <v>2.2</v>
      </c>
      <c r="P585" s="440">
        <f t="shared" si="9"/>
        <v>0.03</v>
      </c>
      <c r="Q585">
        <f t="array" ref="Q585">IF(I585&gt;0,INDEX(DB,I585,9),EventIndex)</f>
        <v>6</v>
      </c>
      <c r="S585" s="447">
        <f t="array" ref="S585">INDEX(MINVALUES,$Q585,$K$1)</f>
        <v>2.2</v>
      </c>
      <c r="T585" s="448">
        <f t="array" ref="T585">INDEX(INCVALUES,$Q585,$K$1)</f>
        <v>0.03</v>
      </c>
      <c r="V585">
        <f t="array" ref="V585">+J585+(4*(INDEX(MatchScoreTable,$Q585,20)-1))</f>
        <v>4</v>
      </c>
      <c r="W585" s="442">
        <f t="array" ref="W585">INDEX(INC_MINVALUES,$V585,$K$1)</f>
        <v>0.2</v>
      </c>
      <c r="X585" s="212">
        <f t="array" ref="X585">INDEX(INC_INCVALUES,$V585,$K$1)</f>
        <v>0.02</v>
      </c>
    </row>
    <row r="586" ht="15.75" customHeight="1">
      <c r="A586" s="435"/>
      <c r="B586" s="436"/>
      <c r="C586" s="95" t="str">
        <f t="array" ref="C586">IF(I586&gt;0,INDEX(DB,I586,8),"")</f>
        <v/>
      </c>
      <c r="D586" s="437">
        <f t="shared" si="1"/>
        <v>0</v>
      </c>
      <c r="F586" s="438">
        <f t="shared" si="2"/>
        <v>0</v>
      </c>
      <c r="G586" t="str">
        <f t="shared" si="3"/>
        <v/>
      </c>
      <c r="H586" t="b">
        <f t="shared" si="4"/>
        <v>0</v>
      </c>
      <c r="I586" s="439">
        <f>IF(OR(ISBLANK(A586),ISNA(MATCH(A586&amp;"",AthleteNumbers,0))),0,MATCH(A586&amp;"",AthleteNumbers,0))</f>
        <v>0</v>
      </c>
      <c r="J586" s="209">
        <f t="array" ref="J586">IF(I586&gt;0,INDEX(DB,$I586,6),0)</f>
        <v>0</v>
      </c>
      <c r="K586" s="446">
        <f t="shared" si="5"/>
        <v>0</v>
      </c>
      <c r="L586" s="446">
        <f t="shared" si="6"/>
        <v>0</v>
      </c>
      <c r="M586" s="441">
        <f>IF(L586&lt;O586,MinPoints,IF(AND(L586&gt;N586,O586&gt;0),100,+INT(($L586-O586)/P586)+MinPoints))</f>
        <v>10</v>
      </c>
      <c r="N586" s="440">
        <f t="shared" si="7"/>
        <v>4.9</v>
      </c>
      <c r="O586" s="440">
        <f t="shared" si="8"/>
        <v>2.2</v>
      </c>
      <c r="P586" s="440">
        <f t="shared" si="9"/>
        <v>0.03</v>
      </c>
      <c r="Q586">
        <f t="array" ref="Q586">IF(I586&gt;0,INDEX(DB,I586,9),EventIndex)</f>
        <v>6</v>
      </c>
      <c r="S586" s="447">
        <f t="array" ref="S586">INDEX(MINVALUES,$Q586,$K$1)</f>
        <v>2.2</v>
      </c>
      <c r="T586" s="448">
        <f t="array" ref="T586">INDEX(INCVALUES,$Q586,$K$1)</f>
        <v>0.03</v>
      </c>
      <c r="V586">
        <f t="array" ref="V586">+J586+(4*(INDEX(MatchScoreTable,$Q586,20)-1))</f>
        <v>4</v>
      </c>
      <c r="W586" s="442">
        <f t="array" ref="W586">INDEX(INC_MINVALUES,$V586,$K$1)</f>
        <v>0.2</v>
      </c>
      <c r="X586" s="212">
        <f t="array" ref="X586">INDEX(INC_INCVALUES,$V586,$K$1)</f>
        <v>0.02</v>
      </c>
    </row>
    <row r="587" ht="15.75" customHeight="1">
      <c r="A587" s="435"/>
      <c r="B587" s="436"/>
      <c r="C587" s="95" t="str">
        <f t="array" ref="C587">IF(I587&gt;0,INDEX(DB,I587,8),"")</f>
        <v/>
      </c>
      <c r="D587" s="437">
        <f t="shared" si="1"/>
        <v>0</v>
      </c>
      <c r="F587" s="438">
        <f t="shared" si="2"/>
        <v>0</v>
      </c>
      <c r="G587" t="str">
        <f t="shared" si="3"/>
        <v/>
      </c>
      <c r="H587" t="b">
        <f t="shared" si="4"/>
        <v>0</v>
      </c>
      <c r="I587" s="439">
        <f>IF(OR(ISBLANK(A587),ISNA(MATCH(A587&amp;"",AthleteNumbers,0))),0,MATCH(A587&amp;"",AthleteNumbers,0))</f>
        <v>0</v>
      </c>
      <c r="J587" s="209">
        <f t="array" ref="J587">IF(I587&gt;0,INDEX(DB,$I587,6),0)</f>
        <v>0</v>
      </c>
      <c r="K587" s="446">
        <f t="shared" si="5"/>
        <v>0</v>
      </c>
      <c r="L587" s="446">
        <f t="shared" si="6"/>
        <v>0</v>
      </c>
      <c r="M587" s="441">
        <f>IF(L587&lt;O587,MinPoints,IF(AND(L587&gt;N587,O587&gt;0),100,+INT(($L587-O587)/P587)+MinPoints))</f>
        <v>10</v>
      </c>
      <c r="N587" s="440">
        <f t="shared" si="7"/>
        <v>4.9</v>
      </c>
      <c r="O587" s="440">
        <f t="shared" si="8"/>
        <v>2.2</v>
      </c>
      <c r="P587" s="440">
        <f t="shared" si="9"/>
        <v>0.03</v>
      </c>
      <c r="Q587">
        <f t="array" ref="Q587">IF(I587&gt;0,INDEX(DB,I587,9),EventIndex)</f>
        <v>6</v>
      </c>
      <c r="S587" s="447">
        <f t="array" ref="S587">INDEX(MINVALUES,$Q587,$K$1)</f>
        <v>2.2</v>
      </c>
      <c r="T587" s="448">
        <f t="array" ref="T587">INDEX(INCVALUES,$Q587,$K$1)</f>
        <v>0.03</v>
      </c>
      <c r="V587">
        <f t="array" ref="V587">+J587+(4*(INDEX(MatchScoreTable,$Q587,20)-1))</f>
        <v>4</v>
      </c>
      <c r="W587" s="442">
        <f t="array" ref="W587">INDEX(INC_MINVALUES,$V587,$K$1)</f>
        <v>0.2</v>
      </c>
      <c r="X587" s="212">
        <f t="array" ref="X587">INDEX(INC_INCVALUES,$V587,$K$1)</f>
        <v>0.02</v>
      </c>
    </row>
    <row r="588" ht="15.75" customHeight="1">
      <c r="A588" s="435"/>
      <c r="B588" s="436"/>
      <c r="C588" s="95" t="str">
        <f t="array" ref="C588">IF(I588&gt;0,INDEX(DB,I588,8),"")</f>
        <v/>
      </c>
      <c r="D588" s="437">
        <f t="shared" si="1"/>
        <v>0</v>
      </c>
      <c r="F588" s="438">
        <f t="shared" si="2"/>
        <v>0</v>
      </c>
      <c r="G588" t="str">
        <f t="shared" si="3"/>
        <v/>
      </c>
      <c r="H588" t="b">
        <f t="shared" si="4"/>
        <v>0</v>
      </c>
      <c r="I588" s="439">
        <f>IF(OR(ISBLANK(A588),ISNA(MATCH(A588&amp;"",AthleteNumbers,0))),0,MATCH(A588&amp;"",AthleteNumbers,0))</f>
        <v>0</v>
      </c>
      <c r="J588" s="209">
        <f t="array" ref="J588">IF(I588&gt;0,INDEX(DB,$I588,6),0)</f>
        <v>0</v>
      </c>
      <c r="K588" s="446">
        <f t="shared" si="5"/>
        <v>0</v>
      </c>
      <c r="L588" s="446">
        <f t="shared" si="6"/>
        <v>0</v>
      </c>
      <c r="M588" s="441">
        <f>IF(L588&lt;O588,MinPoints,IF(AND(L588&gt;N588,O588&gt;0),100,+INT(($L588-O588)/P588)+MinPoints))</f>
        <v>10</v>
      </c>
      <c r="N588" s="440">
        <f t="shared" si="7"/>
        <v>4.9</v>
      </c>
      <c r="O588" s="440">
        <f t="shared" si="8"/>
        <v>2.2</v>
      </c>
      <c r="P588" s="440">
        <f t="shared" si="9"/>
        <v>0.03</v>
      </c>
      <c r="Q588">
        <f t="array" ref="Q588">IF(I588&gt;0,INDEX(DB,I588,9),EventIndex)</f>
        <v>6</v>
      </c>
      <c r="S588" s="447">
        <f t="array" ref="S588">INDEX(MINVALUES,$Q588,$K$1)</f>
        <v>2.2</v>
      </c>
      <c r="T588" s="448">
        <f t="array" ref="T588">INDEX(INCVALUES,$Q588,$K$1)</f>
        <v>0.03</v>
      </c>
      <c r="V588">
        <f t="array" ref="V588">+J588+(4*(INDEX(MatchScoreTable,$Q588,20)-1))</f>
        <v>4</v>
      </c>
      <c r="W588" s="442">
        <f t="array" ref="W588">INDEX(INC_MINVALUES,$V588,$K$1)</f>
        <v>0.2</v>
      </c>
      <c r="X588" s="212">
        <f t="array" ref="X588">INDEX(INC_INCVALUES,$V588,$K$1)</f>
        <v>0.02</v>
      </c>
    </row>
    <row r="589" ht="15.75" customHeight="1">
      <c r="A589" s="435"/>
      <c r="B589" s="436"/>
      <c r="C589" s="95" t="str">
        <f t="array" ref="C589">IF(I589&gt;0,INDEX(DB,I589,8),"")</f>
        <v/>
      </c>
      <c r="D589" s="437">
        <f t="shared" si="1"/>
        <v>0</v>
      </c>
      <c r="F589" s="438">
        <f t="shared" si="2"/>
        <v>0</v>
      </c>
      <c r="G589" t="str">
        <f t="shared" si="3"/>
        <v/>
      </c>
      <c r="H589" t="b">
        <f t="shared" si="4"/>
        <v>0</v>
      </c>
      <c r="I589" s="439">
        <f>IF(OR(ISBLANK(A589),ISNA(MATCH(A589&amp;"",AthleteNumbers,0))),0,MATCH(A589&amp;"",AthleteNumbers,0))</f>
        <v>0</v>
      </c>
      <c r="J589" s="209">
        <f t="array" ref="J589">IF(I589&gt;0,INDEX(DB,$I589,6),0)</f>
        <v>0</v>
      </c>
      <c r="K589" s="446">
        <f t="shared" si="5"/>
        <v>0</v>
      </c>
      <c r="L589" s="446">
        <f t="shared" si="6"/>
        <v>0</v>
      </c>
      <c r="M589" s="441">
        <f>IF(L589&lt;O589,MinPoints,IF(AND(L589&gt;N589,O589&gt;0),100,+INT(($L589-O589)/P589)+MinPoints))</f>
        <v>10</v>
      </c>
      <c r="N589" s="440">
        <f t="shared" si="7"/>
        <v>4.9</v>
      </c>
      <c r="O589" s="440">
        <f t="shared" si="8"/>
        <v>2.2</v>
      </c>
      <c r="P589" s="440">
        <f t="shared" si="9"/>
        <v>0.03</v>
      </c>
      <c r="Q589">
        <f t="array" ref="Q589">IF(I589&gt;0,INDEX(DB,I589,9),EventIndex)</f>
        <v>6</v>
      </c>
      <c r="S589" s="447">
        <f t="array" ref="S589">INDEX(MINVALUES,$Q589,$K$1)</f>
        <v>2.2</v>
      </c>
      <c r="T589" s="448">
        <f t="array" ref="T589">INDEX(INCVALUES,$Q589,$K$1)</f>
        <v>0.03</v>
      </c>
      <c r="V589">
        <f t="array" ref="V589">+J589+(4*(INDEX(MatchScoreTable,$Q589,20)-1))</f>
        <v>4</v>
      </c>
      <c r="W589" s="442">
        <f t="array" ref="W589">INDEX(INC_MINVALUES,$V589,$K$1)</f>
        <v>0.2</v>
      </c>
      <c r="X589" s="212">
        <f t="array" ref="X589">INDEX(INC_INCVALUES,$V589,$K$1)</f>
        <v>0.02</v>
      </c>
    </row>
    <row r="590" ht="15.75" customHeight="1">
      <c r="A590" s="435"/>
      <c r="B590" s="436"/>
      <c r="C590" s="95" t="str">
        <f t="array" ref="C590">IF(I590&gt;0,INDEX(DB,I590,8),"")</f>
        <v/>
      </c>
      <c r="D590" s="437">
        <f t="shared" si="1"/>
        <v>0</v>
      </c>
      <c r="F590" s="438">
        <f t="shared" si="2"/>
        <v>0</v>
      </c>
      <c r="G590" t="str">
        <f t="shared" si="3"/>
        <v/>
      </c>
      <c r="H590" t="b">
        <f t="shared" si="4"/>
        <v>0</v>
      </c>
      <c r="I590" s="439">
        <f>IF(OR(ISBLANK(A590),ISNA(MATCH(A590&amp;"",AthleteNumbers,0))),0,MATCH(A590&amp;"",AthleteNumbers,0))</f>
        <v>0</v>
      </c>
      <c r="J590" s="209">
        <f t="array" ref="J590">IF(I590&gt;0,INDEX(DB,$I590,6),0)</f>
        <v>0</v>
      </c>
      <c r="K590" s="446">
        <f t="shared" si="5"/>
        <v>0</v>
      </c>
      <c r="L590" s="446">
        <f t="shared" si="6"/>
        <v>0</v>
      </c>
      <c r="M590" s="441">
        <f>IF(L590&lt;O590,MinPoints,IF(AND(L590&gt;N590,O590&gt;0),100,+INT(($L590-O590)/P590)+MinPoints))</f>
        <v>10</v>
      </c>
      <c r="N590" s="440">
        <f t="shared" si="7"/>
        <v>4.9</v>
      </c>
      <c r="O590" s="440">
        <f t="shared" si="8"/>
        <v>2.2</v>
      </c>
      <c r="P590" s="440">
        <f t="shared" si="9"/>
        <v>0.03</v>
      </c>
      <c r="Q590">
        <f t="array" ref="Q590">IF(I590&gt;0,INDEX(DB,I590,9),EventIndex)</f>
        <v>6</v>
      </c>
      <c r="S590" s="447">
        <f t="array" ref="S590">INDEX(MINVALUES,$Q590,$K$1)</f>
        <v>2.2</v>
      </c>
      <c r="T590" s="448">
        <f t="array" ref="T590">INDEX(INCVALUES,$Q590,$K$1)</f>
        <v>0.03</v>
      </c>
      <c r="V590">
        <f t="array" ref="V590">+J590+(4*(INDEX(MatchScoreTable,$Q590,20)-1))</f>
        <v>4</v>
      </c>
      <c r="W590" s="442">
        <f t="array" ref="W590">INDEX(INC_MINVALUES,$V590,$K$1)</f>
        <v>0.2</v>
      </c>
      <c r="X590" s="212">
        <f t="array" ref="X590">INDEX(INC_INCVALUES,$V590,$K$1)</f>
        <v>0.02</v>
      </c>
    </row>
    <row r="591" ht="15.75" customHeight="1">
      <c r="A591" s="435"/>
      <c r="B591" s="436"/>
      <c r="C591" s="95" t="str">
        <f t="array" ref="C591">IF(I591&gt;0,INDEX(DB,I591,8),"")</f>
        <v/>
      </c>
      <c r="D591" s="437">
        <f t="shared" si="1"/>
        <v>0</v>
      </c>
      <c r="F591" s="438">
        <f t="shared" si="2"/>
        <v>0</v>
      </c>
      <c r="G591" t="str">
        <f t="shared" si="3"/>
        <v/>
      </c>
      <c r="H591" t="b">
        <f t="shared" si="4"/>
        <v>0</v>
      </c>
      <c r="I591" s="439">
        <f>IF(OR(ISBLANK(A591),ISNA(MATCH(A591&amp;"",AthleteNumbers,0))),0,MATCH(A591&amp;"",AthleteNumbers,0))</f>
        <v>0</v>
      </c>
      <c r="J591" s="209">
        <f t="array" ref="J591">IF(I591&gt;0,INDEX(DB,$I591,6),0)</f>
        <v>0</v>
      </c>
      <c r="K591" s="446">
        <f t="shared" si="5"/>
        <v>0</v>
      </c>
      <c r="L591" s="446">
        <f t="shared" si="6"/>
        <v>0</v>
      </c>
      <c r="M591" s="441">
        <f>IF(L591&lt;O591,MinPoints,IF(AND(L591&gt;N591,O591&gt;0),100,+INT(($L591-O591)/P591)+MinPoints))</f>
        <v>10</v>
      </c>
      <c r="N591" s="440">
        <f t="shared" si="7"/>
        <v>4.9</v>
      </c>
      <c r="O591" s="440">
        <f t="shared" si="8"/>
        <v>2.2</v>
      </c>
      <c r="P591" s="440">
        <f t="shared" si="9"/>
        <v>0.03</v>
      </c>
      <c r="Q591">
        <f t="array" ref="Q591">IF(I591&gt;0,INDEX(DB,I591,9),EventIndex)</f>
        <v>6</v>
      </c>
      <c r="S591" s="447">
        <f t="array" ref="S591">INDEX(MINVALUES,$Q591,$K$1)</f>
        <v>2.2</v>
      </c>
      <c r="T591" s="448">
        <f t="array" ref="T591">INDEX(INCVALUES,$Q591,$K$1)</f>
        <v>0.03</v>
      </c>
      <c r="V591">
        <f t="array" ref="V591">+J591+(4*(INDEX(MatchScoreTable,$Q591,20)-1))</f>
        <v>4</v>
      </c>
      <c r="W591" s="442">
        <f t="array" ref="W591">INDEX(INC_MINVALUES,$V591,$K$1)</f>
        <v>0.2</v>
      </c>
      <c r="X591" s="212">
        <f t="array" ref="X591">INDEX(INC_INCVALUES,$V591,$K$1)</f>
        <v>0.02</v>
      </c>
    </row>
    <row r="592" ht="15.75" customHeight="1">
      <c r="A592" s="435"/>
      <c r="B592" s="436"/>
      <c r="C592" s="95" t="str">
        <f t="array" ref="C592">IF(I592&gt;0,INDEX(DB,I592,8),"")</f>
        <v/>
      </c>
      <c r="D592" s="437">
        <f t="shared" si="1"/>
        <v>0</v>
      </c>
      <c r="F592" s="438">
        <f t="shared" si="2"/>
        <v>0</v>
      </c>
      <c r="G592" t="str">
        <f t="shared" si="3"/>
        <v/>
      </c>
      <c r="H592" t="b">
        <f t="shared" si="4"/>
        <v>0</v>
      </c>
      <c r="I592" s="439">
        <f>IF(OR(ISBLANK(A592),ISNA(MATCH(A592&amp;"",AthleteNumbers,0))),0,MATCH(A592&amp;"",AthleteNumbers,0))</f>
        <v>0</v>
      </c>
      <c r="J592" s="209">
        <f t="array" ref="J592">IF(I592&gt;0,INDEX(DB,$I592,6),0)</f>
        <v>0</v>
      </c>
      <c r="K592" s="446">
        <f t="shared" si="5"/>
        <v>0</v>
      </c>
      <c r="L592" s="446">
        <f t="shared" si="6"/>
        <v>0</v>
      </c>
      <c r="M592" s="441">
        <f>IF(L592&lt;O592,MinPoints,IF(AND(L592&gt;N592,O592&gt;0),100,+INT(($L592-O592)/P592)+MinPoints))</f>
        <v>10</v>
      </c>
      <c r="N592" s="440">
        <f t="shared" si="7"/>
        <v>4.9</v>
      </c>
      <c r="O592" s="440">
        <f t="shared" si="8"/>
        <v>2.2</v>
      </c>
      <c r="P592" s="440">
        <f t="shared" si="9"/>
        <v>0.03</v>
      </c>
      <c r="Q592">
        <f t="array" ref="Q592">IF(I592&gt;0,INDEX(DB,I592,9),EventIndex)</f>
        <v>6</v>
      </c>
      <c r="S592" s="447">
        <f t="array" ref="S592">INDEX(MINVALUES,$Q592,$K$1)</f>
        <v>2.2</v>
      </c>
      <c r="T592" s="448">
        <f t="array" ref="T592">INDEX(INCVALUES,$Q592,$K$1)</f>
        <v>0.03</v>
      </c>
      <c r="V592">
        <f t="array" ref="V592">+J592+(4*(INDEX(MatchScoreTable,$Q592,20)-1))</f>
        <v>4</v>
      </c>
      <c r="W592" s="442">
        <f t="array" ref="W592">INDEX(INC_MINVALUES,$V592,$K$1)</f>
        <v>0.2</v>
      </c>
      <c r="X592" s="212">
        <f t="array" ref="X592">INDEX(INC_INCVALUES,$V592,$K$1)</f>
        <v>0.02</v>
      </c>
    </row>
    <row r="593" ht="15.75" customHeight="1">
      <c r="A593" s="435"/>
      <c r="B593" s="436"/>
      <c r="C593" s="95" t="str">
        <f t="array" ref="C593">IF(I593&gt;0,INDEX(DB,I593,8),"")</f>
        <v/>
      </c>
      <c r="D593" s="437">
        <f t="shared" si="1"/>
        <v>0</v>
      </c>
      <c r="F593" s="438">
        <f t="shared" si="2"/>
        <v>0</v>
      </c>
      <c r="G593" t="str">
        <f t="shared" si="3"/>
        <v/>
      </c>
      <c r="H593" t="b">
        <f t="shared" si="4"/>
        <v>0</v>
      </c>
      <c r="I593" s="439">
        <f>IF(OR(ISBLANK(A593),ISNA(MATCH(A593&amp;"",AthleteNumbers,0))),0,MATCH(A593&amp;"",AthleteNumbers,0))</f>
        <v>0</v>
      </c>
      <c r="J593" s="209">
        <f t="array" ref="J593">IF(I593&gt;0,INDEX(DB,$I593,6),0)</f>
        <v>0</v>
      </c>
      <c r="K593" s="446">
        <f t="shared" si="5"/>
        <v>0</v>
      </c>
      <c r="L593" s="446">
        <f t="shared" si="6"/>
        <v>0</v>
      </c>
      <c r="M593" s="441">
        <f>IF(L593&lt;O593,MinPoints,IF(AND(L593&gt;N593,O593&gt;0),100,+INT(($L593-O593)/P593)+MinPoints))</f>
        <v>10</v>
      </c>
      <c r="N593" s="440">
        <f t="shared" si="7"/>
        <v>4.9</v>
      </c>
      <c r="O593" s="440">
        <f t="shared" si="8"/>
        <v>2.2</v>
      </c>
      <c r="P593" s="440">
        <f t="shared" si="9"/>
        <v>0.03</v>
      </c>
      <c r="Q593">
        <f t="array" ref="Q593">IF(I593&gt;0,INDEX(DB,I593,9),EventIndex)</f>
        <v>6</v>
      </c>
      <c r="S593" s="447">
        <f t="array" ref="S593">INDEX(MINVALUES,$Q593,$K$1)</f>
        <v>2.2</v>
      </c>
      <c r="T593" s="448">
        <f t="array" ref="T593">INDEX(INCVALUES,$Q593,$K$1)</f>
        <v>0.03</v>
      </c>
      <c r="V593">
        <f t="array" ref="V593">+J593+(4*(INDEX(MatchScoreTable,$Q593,20)-1))</f>
        <v>4</v>
      </c>
      <c r="W593" s="442">
        <f t="array" ref="W593">INDEX(INC_MINVALUES,$V593,$K$1)</f>
        <v>0.2</v>
      </c>
      <c r="X593" s="212">
        <f t="array" ref="X593">INDEX(INC_INCVALUES,$V593,$K$1)</f>
        <v>0.02</v>
      </c>
    </row>
    <row r="594" ht="15.75" customHeight="1">
      <c r="A594" s="435"/>
      <c r="B594" s="436"/>
      <c r="C594" s="95" t="str">
        <f t="array" ref="C594">IF(I594&gt;0,INDEX(DB,I594,8),"")</f>
        <v/>
      </c>
      <c r="D594" s="437">
        <f t="shared" si="1"/>
        <v>0</v>
      </c>
      <c r="F594" s="438">
        <f t="shared" si="2"/>
        <v>0</v>
      </c>
      <c r="G594" t="str">
        <f t="shared" si="3"/>
        <v/>
      </c>
      <c r="H594" t="b">
        <f t="shared" si="4"/>
        <v>0</v>
      </c>
      <c r="I594" s="439">
        <f>IF(OR(ISBLANK(A594),ISNA(MATCH(A594&amp;"",AthleteNumbers,0))),0,MATCH(A594&amp;"",AthleteNumbers,0))</f>
        <v>0</v>
      </c>
      <c r="J594" s="209">
        <f t="array" ref="J594">IF(I594&gt;0,INDEX(DB,$I594,6),0)</f>
        <v>0</v>
      </c>
      <c r="K594" s="446">
        <f t="shared" si="5"/>
        <v>0</v>
      </c>
      <c r="L594" s="446">
        <f t="shared" si="6"/>
        <v>0</v>
      </c>
      <c r="M594" s="441">
        <f>IF(L594&lt;O594,MinPoints,IF(AND(L594&gt;N594,O594&gt;0),100,+INT(($L594-O594)/P594)+MinPoints))</f>
        <v>10</v>
      </c>
      <c r="N594" s="440">
        <f t="shared" si="7"/>
        <v>4.9</v>
      </c>
      <c r="O594" s="440">
        <f t="shared" si="8"/>
        <v>2.2</v>
      </c>
      <c r="P594" s="440">
        <f t="shared" si="9"/>
        <v>0.03</v>
      </c>
      <c r="Q594">
        <f t="array" ref="Q594">IF(I594&gt;0,INDEX(DB,I594,9),EventIndex)</f>
        <v>6</v>
      </c>
      <c r="S594" s="447">
        <f t="array" ref="S594">INDEX(MINVALUES,$Q594,$K$1)</f>
        <v>2.2</v>
      </c>
      <c r="T594" s="448">
        <f t="array" ref="T594">INDEX(INCVALUES,$Q594,$K$1)</f>
        <v>0.03</v>
      </c>
      <c r="V594">
        <f t="array" ref="V594">+J594+(4*(INDEX(MatchScoreTable,$Q594,20)-1))</f>
        <v>4</v>
      </c>
      <c r="W594" s="442">
        <f t="array" ref="W594">INDEX(INC_MINVALUES,$V594,$K$1)</f>
        <v>0.2</v>
      </c>
      <c r="X594" s="212">
        <f t="array" ref="X594">INDEX(INC_INCVALUES,$V594,$K$1)</f>
        <v>0.02</v>
      </c>
    </row>
    <row r="595" ht="15.75" customHeight="1">
      <c r="A595" s="435"/>
      <c r="B595" s="436"/>
      <c r="C595" s="95" t="str">
        <f t="array" ref="C595">IF(I595&gt;0,INDEX(DB,I595,8),"")</f>
        <v/>
      </c>
      <c r="D595" s="437">
        <f t="shared" si="1"/>
        <v>0</v>
      </c>
      <c r="F595" s="438">
        <f t="shared" si="2"/>
        <v>0</v>
      </c>
      <c r="G595" t="str">
        <f t="shared" si="3"/>
        <v/>
      </c>
      <c r="H595" t="b">
        <f t="shared" si="4"/>
        <v>0</v>
      </c>
      <c r="I595" s="439">
        <f>IF(OR(ISBLANK(A595),ISNA(MATCH(A595&amp;"",AthleteNumbers,0))),0,MATCH(A595&amp;"",AthleteNumbers,0))</f>
        <v>0</v>
      </c>
      <c r="J595" s="209">
        <f t="array" ref="J595">IF(I595&gt;0,INDEX(DB,$I595,6),0)</f>
        <v>0</v>
      </c>
      <c r="K595" s="446">
        <f t="shared" si="5"/>
        <v>0</v>
      </c>
      <c r="L595" s="446">
        <f t="shared" si="6"/>
        <v>0</v>
      </c>
      <c r="M595" s="441">
        <f>IF(L595&lt;O595,MinPoints,IF(AND(L595&gt;N595,O595&gt;0),100,+INT(($L595-O595)/P595)+MinPoints))</f>
        <v>10</v>
      </c>
      <c r="N595" s="440">
        <f t="shared" si="7"/>
        <v>4.9</v>
      </c>
      <c r="O595" s="440">
        <f t="shared" si="8"/>
        <v>2.2</v>
      </c>
      <c r="P595" s="440">
        <f t="shared" si="9"/>
        <v>0.03</v>
      </c>
      <c r="Q595">
        <f t="array" ref="Q595">IF(I595&gt;0,INDEX(DB,I595,9),EventIndex)</f>
        <v>6</v>
      </c>
      <c r="S595" s="447">
        <f t="array" ref="S595">INDEX(MINVALUES,$Q595,$K$1)</f>
        <v>2.2</v>
      </c>
      <c r="T595" s="448">
        <f t="array" ref="T595">INDEX(INCVALUES,$Q595,$K$1)</f>
        <v>0.03</v>
      </c>
      <c r="V595">
        <f t="array" ref="V595">+J595+(4*(INDEX(MatchScoreTable,$Q595,20)-1))</f>
        <v>4</v>
      </c>
      <c r="W595" s="442">
        <f t="array" ref="W595">INDEX(INC_MINVALUES,$V595,$K$1)</f>
        <v>0.2</v>
      </c>
      <c r="X595" s="212">
        <f t="array" ref="X595">INDEX(INC_INCVALUES,$V595,$K$1)</f>
        <v>0.02</v>
      </c>
    </row>
    <row r="596" ht="15.75" customHeight="1">
      <c r="A596" s="435"/>
      <c r="B596" s="436"/>
      <c r="C596" s="95" t="str">
        <f t="array" ref="C596">IF(I596&gt;0,INDEX(DB,I596,8),"")</f>
        <v/>
      </c>
      <c r="D596" s="437">
        <f t="shared" si="1"/>
        <v>0</v>
      </c>
      <c r="F596" s="438">
        <f t="shared" si="2"/>
        <v>0</v>
      </c>
      <c r="G596" t="str">
        <f t="shared" si="3"/>
        <v/>
      </c>
      <c r="H596" t="b">
        <f t="shared" si="4"/>
        <v>0</v>
      </c>
      <c r="I596" s="439">
        <f>IF(OR(ISBLANK(A596),ISNA(MATCH(A596&amp;"",AthleteNumbers,0))),0,MATCH(A596&amp;"",AthleteNumbers,0))</f>
        <v>0</v>
      </c>
      <c r="J596" s="209">
        <f t="array" ref="J596">IF(I596&gt;0,INDEX(DB,$I596,6),0)</f>
        <v>0</v>
      </c>
      <c r="K596" s="446">
        <f t="shared" si="5"/>
        <v>0</v>
      </c>
      <c r="L596" s="446">
        <f t="shared" si="6"/>
        <v>0</v>
      </c>
      <c r="M596" s="441">
        <f>IF(L596&lt;O596,MinPoints,IF(AND(L596&gt;N596,O596&gt;0),100,+INT(($L596-O596)/P596)+MinPoints))</f>
        <v>10</v>
      </c>
      <c r="N596" s="440">
        <f t="shared" si="7"/>
        <v>4.9</v>
      </c>
      <c r="O596" s="440">
        <f t="shared" si="8"/>
        <v>2.2</v>
      </c>
      <c r="P596" s="440">
        <f t="shared" si="9"/>
        <v>0.03</v>
      </c>
      <c r="Q596">
        <f t="array" ref="Q596">IF(I596&gt;0,INDEX(DB,I596,9),EventIndex)</f>
        <v>6</v>
      </c>
      <c r="S596" s="447">
        <f t="array" ref="S596">INDEX(MINVALUES,$Q596,$K$1)</f>
        <v>2.2</v>
      </c>
      <c r="T596" s="448">
        <f t="array" ref="T596">INDEX(INCVALUES,$Q596,$K$1)</f>
        <v>0.03</v>
      </c>
      <c r="V596">
        <f t="array" ref="V596">+J596+(4*(INDEX(MatchScoreTable,$Q596,20)-1))</f>
        <v>4</v>
      </c>
      <c r="W596" s="442">
        <f t="array" ref="W596">INDEX(INC_MINVALUES,$V596,$K$1)</f>
        <v>0.2</v>
      </c>
      <c r="X596" s="212">
        <f t="array" ref="X596">INDEX(INC_INCVALUES,$V596,$K$1)</f>
        <v>0.02</v>
      </c>
    </row>
    <row r="597" ht="15.75" customHeight="1">
      <c r="A597" s="435"/>
      <c r="B597" s="436"/>
      <c r="C597" s="95" t="str">
        <f t="array" ref="C597">IF(I597&gt;0,INDEX(DB,I597,8),"")</f>
        <v/>
      </c>
      <c r="D597" s="437">
        <f t="shared" si="1"/>
        <v>0</v>
      </c>
      <c r="F597" s="438">
        <f t="shared" si="2"/>
        <v>0</v>
      </c>
      <c r="G597" t="str">
        <f t="shared" si="3"/>
        <v/>
      </c>
      <c r="H597" t="b">
        <f t="shared" si="4"/>
        <v>0</v>
      </c>
      <c r="I597" s="439">
        <f>IF(OR(ISBLANK(A597),ISNA(MATCH(A597&amp;"",AthleteNumbers,0))),0,MATCH(A597&amp;"",AthleteNumbers,0))</f>
        <v>0</v>
      </c>
      <c r="J597" s="209">
        <f t="array" ref="J597">IF(I597&gt;0,INDEX(DB,$I597,6),0)</f>
        <v>0</v>
      </c>
      <c r="K597" s="446">
        <f t="shared" si="5"/>
        <v>0</v>
      </c>
      <c r="L597" s="446">
        <f t="shared" si="6"/>
        <v>0</v>
      </c>
      <c r="M597" s="441">
        <f>IF(L597&lt;O597,MinPoints,IF(AND(L597&gt;N597,O597&gt;0),100,+INT(($L597-O597)/P597)+MinPoints))</f>
        <v>10</v>
      </c>
      <c r="N597" s="440">
        <f t="shared" si="7"/>
        <v>4.9</v>
      </c>
      <c r="O597" s="440">
        <f t="shared" si="8"/>
        <v>2.2</v>
      </c>
      <c r="P597" s="440">
        <f t="shared" si="9"/>
        <v>0.03</v>
      </c>
      <c r="Q597">
        <f t="array" ref="Q597">IF(I597&gt;0,INDEX(DB,I597,9),EventIndex)</f>
        <v>6</v>
      </c>
      <c r="S597" s="447">
        <f t="array" ref="S597">INDEX(MINVALUES,$Q597,$K$1)</f>
        <v>2.2</v>
      </c>
      <c r="T597" s="448">
        <f t="array" ref="T597">INDEX(INCVALUES,$Q597,$K$1)</f>
        <v>0.03</v>
      </c>
      <c r="V597">
        <f t="array" ref="V597">+J597+(4*(INDEX(MatchScoreTable,$Q597,20)-1))</f>
        <v>4</v>
      </c>
      <c r="W597" s="442">
        <f t="array" ref="W597">INDEX(INC_MINVALUES,$V597,$K$1)</f>
        <v>0.2</v>
      </c>
      <c r="X597" s="212">
        <f t="array" ref="X597">INDEX(INC_INCVALUES,$V597,$K$1)</f>
        <v>0.02</v>
      </c>
    </row>
    <row r="598" ht="15.75" customHeight="1">
      <c r="A598" s="435"/>
      <c r="B598" s="436"/>
      <c r="C598" s="95" t="str">
        <f t="array" ref="C598">IF(I598&gt;0,INDEX(DB,I598,8),"")</f>
        <v/>
      </c>
      <c r="D598" s="437">
        <f t="shared" si="1"/>
        <v>0</v>
      </c>
      <c r="F598" s="438">
        <f t="shared" si="2"/>
        <v>0</v>
      </c>
      <c r="G598" t="str">
        <f t="shared" si="3"/>
        <v/>
      </c>
      <c r="H598" t="b">
        <f t="shared" si="4"/>
        <v>0</v>
      </c>
      <c r="I598" s="439">
        <f>IF(OR(ISBLANK(A598),ISNA(MATCH(A598&amp;"",AthleteNumbers,0))),0,MATCH(A598&amp;"",AthleteNumbers,0))</f>
        <v>0</v>
      </c>
      <c r="J598" s="209">
        <f t="array" ref="J598">IF(I598&gt;0,INDEX(DB,$I598,6),0)</f>
        <v>0</v>
      </c>
      <c r="K598" s="446">
        <f t="shared" si="5"/>
        <v>0</v>
      </c>
      <c r="L598" s="446">
        <f t="shared" si="6"/>
        <v>0</v>
      </c>
      <c r="M598" s="441">
        <f>IF(L598&lt;O598,MinPoints,IF(AND(L598&gt;N598,O598&gt;0),100,+INT(($L598-O598)/P598)+MinPoints))</f>
        <v>10</v>
      </c>
      <c r="N598" s="440">
        <f t="shared" si="7"/>
        <v>4.9</v>
      </c>
      <c r="O598" s="440">
        <f t="shared" si="8"/>
        <v>2.2</v>
      </c>
      <c r="P598" s="440">
        <f t="shared" si="9"/>
        <v>0.03</v>
      </c>
      <c r="Q598">
        <f t="array" ref="Q598">IF(I598&gt;0,INDEX(DB,I598,9),EventIndex)</f>
        <v>6</v>
      </c>
      <c r="S598" s="447">
        <f t="array" ref="S598">INDEX(MINVALUES,$Q598,$K$1)</f>
        <v>2.2</v>
      </c>
      <c r="T598" s="448">
        <f t="array" ref="T598">INDEX(INCVALUES,$Q598,$K$1)</f>
        <v>0.03</v>
      </c>
      <c r="V598">
        <f t="array" ref="V598">+J598+(4*(INDEX(MatchScoreTable,$Q598,20)-1))</f>
        <v>4</v>
      </c>
      <c r="W598" s="442">
        <f t="array" ref="W598">INDEX(INC_MINVALUES,$V598,$K$1)</f>
        <v>0.2</v>
      </c>
      <c r="X598" s="212">
        <f t="array" ref="X598">INDEX(INC_INCVALUES,$V598,$K$1)</f>
        <v>0.02</v>
      </c>
    </row>
    <row r="599" ht="15.75" customHeight="1">
      <c r="A599" s="435"/>
      <c r="B599" s="436"/>
      <c r="C599" s="95" t="str">
        <f t="array" ref="C599">IF(I599&gt;0,INDEX(DB,I599,8),"")</f>
        <v/>
      </c>
      <c r="D599" s="437">
        <f t="shared" si="1"/>
        <v>0</v>
      </c>
      <c r="F599" s="438">
        <f t="shared" si="2"/>
        <v>0</v>
      </c>
      <c r="G599" t="str">
        <f t="shared" si="3"/>
        <v/>
      </c>
      <c r="H599" t="b">
        <f t="shared" si="4"/>
        <v>0</v>
      </c>
      <c r="I599" s="439">
        <f>IF(OR(ISBLANK(A599),ISNA(MATCH(A599&amp;"",AthleteNumbers,0))),0,MATCH(A599&amp;"",AthleteNumbers,0))</f>
        <v>0</v>
      </c>
      <c r="J599" s="209">
        <f t="array" ref="J599">IF(I599&gt;0,INDEX(DB,$I599,6),0)</f>
        <v>0</v>
      </c>
      <c r="K599" s="446">
        <f t="shared" si="5"/>
        <v>0</v>
      </c>
      <c r="L599" s="446">
        <f t="shared" si="6"/>
        <v>0</v>
      </c>
      <c r="M599" s="441">
        <f>IF(L599&lt;O599,MinPoints,IF(AND(L599&gt;N599,O599&gt;0),100,+INT(($L599-O599)/P599)+MinPoints))</f>
        <v>10</v>
      </c>
      <c r="N599" s="440">
        <f t="shared" si="7"/>
        <v>4.9</v>
      </c>
      <c r="O599" s="440">
        <f t="shared" si="8"/>
        <v>2.2</v>
      </c>
      <c r="P599" s="440">
        <f t="shared" si="9"/>
        <v>0.03</v>
      </c>
      <c r="Q599">
        <f t="array" ref="Q599">IF(I599&gt;0,INDEX(DB,I599,9),EventIndex)</f>
        <v>6</v>
      </c>
      <c r="S599" s="447">
        <f t="array" ref="S599">INDEX(MINVALUES,$Q599,$K$1)</f>
        <v>2.2</v>
      </c>
      <c r="T599" s="448">
        <f t="array" ref="T599">INDEX(INCVALUES,$Q599,$K$1)</f>
        <v>0.03</v>
      </c>
      <c r="V599">
        <f t="array" ref="V599">+J599+(4*(INDEX(MatchScoreTable,$Q599,20)-1))</f>
        <v>4</v>
      </c>
      <c r="W599" s="442">
        <f t="array" ref="W599">INDEX(INC_MINVALUES,$V599,$K$1)</f>
        <v>0.2</v>
      </c>
      <c r="X599" s="212">
        <f t="array" ref="X599">INDEX(INC_INCVALUES,$V599,$K$1)</f>
        <v>0.02</v>
      </c>
    </row>
    <row r="600" ht="15.75" customHeight="1">
      <c r="A600" s="435"/>
      <c r="B600" s="436"/>
      <c r="C600" s="95" t="str">
        <f t="array" ref="C600">IF(I600&gt;0,INDEX(DB,I600,8),"")</f>
        <v/>
      </c>
      <c r="D600" s="437">
        <f t="shared" si="1"/>
        <v>0</v>
      </c>
      <c r="F600" s="438">
        <f t="shared" si="2"/>
        <v>0</v>
      </c>
      <c r="G600" t="str">
        <f t="shared" si="3"/>
        <v/>
      </c>
      <c r="H600" t="b">
        <f t="shared" si="4"/>
        <v>0</v>
      </c>
      <c r="I600" s="439">
        <f>IF(OR(ISBLANK(A600),ISNA(MATCH(A600&amp;"",AthleteNumbers,0))),0,MATCH(A600&amp;"",AthleteNumbers,0))</f>
        <v>0</v>
      </c>
      <c r="J600" s="209">
        <f t="array" ref="J600">IF(I600&gt;0,INDEX(DB,$I600,6),0)</f>
        <v>0</v>
      </c>
      <c r="K600" s="446">
        <f t="shared" si="5"/>
        <v>0</v>
      </c>
      <c r="L600" s="446">
        <f t="shared" si="6"/>
        <v>0</v>
      </c>
      <c r="M600" s="441">
        <f>IF(L600&lt;O600,MinPoints,IF(AND(L600&gt;N600,O600&gt;0),100,+INT(($L600-O600)/P600)+MinPoints))</f>
        <v>10</v>
      </c>
      <c r="N600" s="440">
        <f t="shared" si="7"/>
        <v>4.9</v>
      </c>
      <c r="O600" s="440">
        <f t="shared" si="8"/>
        <v>2.2</v>
      </c>
      <c r="P600" s="440">
        <f t="shared" si="9"/>
        <v>0.03</v>
      </c>
      <c r="Q600">
        <f t="array" ref="Q600">IF(I600&gt;0,INDEX(DB,I600,9),EventIndex)</f>
        <v>6</v>
      </c>
      <c r="S600" s="447">
        <f t="array" ref="S600">INDEX(MINVALUES,$Q600,$K$1)</f>
        <v>2.2</v>
      </c>
      <c r="T600" s="448">
        <f t="array" ref="T600">INDEX(INCVALUES,$Q600,$K$1)</f>
        <v>0.03</v>
      </c>
      <c r="V600">
        <f t="array" ref="V600">+J600+(4*(INDEX(MatchScoreTable,$Q600,20)-1))</f>
        <v>4</v>
      </c>
      <c r="W600" s="442">
        <f t="array" ref="W600">INDEX(INC_MINVALUES,$V600,$K$1)</f>
        <v>0.2</v>
      </c>
      <c r="X600" s="212">
        <f t="array" ref="X600">INDEX(INC_INCVALUES,$V600,$K$1)</f>
        <v>0.02</v>
      </c>
    </row>
    <row r="601" ht="15.75" customHeight="1">
      <c r="A601" s="435"/>
      <c r="B601" s="436"/>
      <c r="C601" s="95" t="str">
        <f t="array" ref="C601">IF(I601&gt;0,INDEX(DB,I601,8),"")</f>
        <v/>
      </c>
      <c r="D601" s="437">
        <f t="shared" si="1"/>
        <v>0</v>
      </c>
      <c r="F601" s="438">
        <f t="shared" si="2"/>
        <v>0</v>
      </c>
      <c r="G601" t="str">
        <f t="shared" si="3"/>
        <v/>
      </c>
      <c r="H601" t="b">
        <f t="shared" si="4"/>
        <v>0</v>
      </c>
      <c r="I601" s="439">
        <f>IF(OR(ISBLANK(A601),ISNA(MATCH(A601&amp;"",AthleteNumbers,0))),0,MATCH(A601&amp;"",AthleteNumbers,0))</f>
        <v>0</v>
      </c>
      <c r="J601" s="209">
        <f t="array" ref="J601">IF(I601&gt;0,INDEX(DB,$I601,6),0)</f>
        <v>0</v>
      </c>
      <c r="K601" s="446">
        <f t="shared" si="5"/>
        <v>0</v>
      </c>
      <c r="L601" s="446">
        <f t="shared" si="6"/>
        <v>0</v>
      </c>
      <c r="M601" s="441">
        <f>IF(L601&lt;O601,MinPoints,IF(AND(L601&gt;N601,O601&gt;0),100,+INT(($L601-O601)/P601)+MinPoints))</f>
        <v>10</v>
      </c>
      <c r="N601" s="440">
        <f t="shared" si="7"/>
        <v>4.9</v>
      </c>
      <c r="O601" s="440">
        <f t="shared" si="8"/>
        <v>2.2</v>
      </c>
      <c r="P601" s="440">
        <f t="shared" si="9"/>
        <v>0.03</v>
      </c>
      <c r="Q601">
        <f t="array" ref="Q601">IF(I601&gt;0,INDEX(DB,I601,9),EventIndex)</f>
        <v>6</v>
      </c>
      <c r="S601" s="447">
        <f t="array" ref="S601">INDEX(MINVALUES,$Q601,$K$1)</f>
        <v>2.2</v>
      </c>
      <c r="T601" s="448">
        <f t="array" ref="T601">INDEX(INCVALUES,$Q601,$K$1)</f>
        <v>0.03</v>
      </c>
      <c r="V601">
        <f t="array" ref="V601">+J601+(4*(INDEX(MatchScoreTable,$Q601,20)-1))</f>
        <v>4</v>
      </c>
      <c r="W601" s="442">
        <f t="array" ref="W601">INDEX(INC_MINVALUES,$V601,$K$1)</f>
        <v>0.2</v>
      </c>
      <c r="X601" s="212">
        <f t="array" ref="X601">INDEX(INC_INCVALUES,$V601,$K$1)</f>
        <v>0.02</v>
      </c>
    </row>
    <row r="602" ht="15.75" customHeight="1">
      <c r="A602" s="435"/>
      <c r="B602" s="436"/>
      <c r="C602" s="95" t="str">
        <f t="array" ref="C602">IF(I602&gt;0,INDEX(DB,I602,8),"")</f>
        <v/>
      </c>
      <c r="D602" s="437">
        <f t="shared" si="1"/>
        <v>0</v>
      </c>
      <c r="F602" s="438">
        <f t="shared" si="2"/>
        <v>0</v>
      </c>
      <c r="G602" t="str">
        <f t="shared" si="3"/>
        <v/>
      </c>
      <c r="H602" t="b">
        <f t="shared" si="4"/>
        <v>0</v>
      </c>
      <c r="I602" s="439">
        <f>IF(OR(ISBLANK(A602),ISNA(MATCH(A602&amp;"",AthleteNumbers,0))),0,MATCH(A602&amp;"",AthleteNumbers,0))</f>
        <v>0</v>
      </c>
      <c r="J602" s="209">
        <f t="array" ref="J602">IF(I602&gt;0,INDEX(DB,$I602,6),0)</f>
        <v>0</v>
      </c>
      <c r="K602" s="446">
        <f t="shared" si="5"/>
        <v>0</v>
      </c>
      <c r="L602" s="446">
        <f t="shared" si="6"/>
        <v>0</v>
      </c>
      <c r="M602" s="441">
        <f>IF(L602&lt;O602,MinPoints,IF(AND(L602&gt;N602,O602&gt;0),100,+INT(($L602-O602)/P602)+MinPoints))</f>
        <v>10</v>
      </c>
      <c r="N602" s="440">
        <f t="shared" si="7"/>
        <v>4.9</v>
      </c>
      <c r="O602" s="440">
        <f t="shared" si="8"/>
        <v>2.2</v>
      </c>
      <c r="P602" s="440">
        <f t="shared" si="9"/>
        <v>0.03</v>
      </c>
      <c r="Q602">
        <f t="array" ref="Q602">IF(I602&gt;0,INDEX(DB,I602,9),EventIndex)</f>
        <v>6</v>
      </c>
      <c r="S602" s="447">
        <f t="array" ref="S602">INDEX(MINVALUES,$Q602,$K$1)</f>
        <v>2.2</v>
      </c>
      <c r="T602" s="448">
        <f t="array" ref="T602">INDEX(INCVALUES,$Q602,$K$1)</f>
        <v>0.03</v>
      </c>
      <c r="V602">
        <f t="array" ref="V602">+J602+(4*(INDEX(MatchScoreTable,$Q602,20)-1))</f>
        <v>4</v>
      </c>
      <c r="W602" s="442">
        <f t="array" ref="W602">INDEX(INC_MINVALUES,$V602,$K$1)</f>
        <v>0.2</v>
      </c>
      <c r="X602" s="212">
        <f t="array" ref="X602">INDEX(INC_INCVALUES,$V602,$K$1)</f>
        <v>0.02</v>
      </c>
    </row>
    <row r="603" ht="15.75" customHeight="1">
      <c r="A603" s="435"/>
      <c r="B603" s="436"/>
      <c r="C603" s="95" t="str">
        <f t="array" ref="C603">IF(I603&gt;0,INDEX(DB,I603,8),"")</f>
        <v/>
      </c>
      <c r="D603" s="437">
        <f t="shared" si="1"/>
        <v>0</v>
      </c>
      <c r="F603" s="438">
        <f t="shared" si="2"/>
        <v>0</v>
      </c>
      <c r="G603" t="str">
        <f t="shared" si="3"/>
        <v/>
      </c>
      <c r="H603" t="b">
        <f t="shared" si="4"/>
        <v>0</v>
      </c>
      <c r="I603" s="439">
        <f>IF(OR(ISBLANK(A603),ISNA(MATCH(A603&amp;"",AthleteNumbers,0))),0,MATCH(A603&amp;"",AthleteNumbers,0))</f>
        <v>0</v>
      </c>
      <c r="J603" s="209">
        <f t="array" ref="J603">IF(I603&gt;0,INDEX(DB,$I603,6),0)</f>
        <v>0</v>
      </c>
      <c r="K603" s="446">
        <f t="shared" si="5"/>
        <v>0</v>
      </c>
      <c r="L603" s="446">
        <f t="shared" si="6"/>
        <v>0</v>
      </c>
      <c r="M603" s="441">
        <f>IF(L603&lt;O603,MinPoints,IF(AND(L603&gt;N603,O603&gt;0),100,+INT(($L603-O603)/P603)+MinPoints))</f>
        <v>10</v>
      </c>
      <c r="N603" s="440">
        <f t="shared" si="7"/>
        <v>4.9</v>
      </c>
      <c r="O603" s="440">
        <f t="shared" si="8"/>
        <v>2.2</v>
      </c>
      <c r="P603" s="440">
        <f t="shared" si="9"/>
        <v>0.03</v>
      </c>
      <c r="Q603">
        <f t="array" ref="Q603">IF(I603&gt;0,INDEX(DB,I603,9),EventIndex)</f>
        <v>6</v>
      </c>
      <c r="S603" s="447">
        <f t="array" ref="S603">INDEX(MINVALUES,$Q603,$K$1)</f>
        <v>2.2</v>
      </c>
      <c r="T603" s="448">
        <f t="array" ref="T603">INDEX(INCVALUES,$Q603,$K$1)</f>
        <v>0.03</v>
      </c>
      <c r="V603">
        <f t="array" ref="V603">+J603+(4*(INDEX(MatchScoreTable,$Q603,20)-1))</f>
        <v>4</v>
      </c>
      <c r="W603" s="442">
        <f t="array" ref="W603">INDEX(INC_MINVALUES,$V603,$K$1)</f>
        <v>0.2</v>
      </c>
      <c r="X603" s="212">
        <f t="array" ref="X603">INDEX(INC_INCVALUES,$V603,$K$1)</f>
        <v>0.02</v>
      </c>
    </row>
    <row r="604" ht="15.75" customHeight="1">
      <c r="A604" s="435"/>
      <c r="B604" s="436"/>
      <c r="C604" s="95" t="str">
        <f t="array" ref="C604">IF(I604&gt;0,INDEX(DB,I604,8),"")</f>
        <v/>
      </c>
      <c r="D604" s="437">
        <f t="shared" si="1"/>
        <v>0</v>
      </c>
      <c r="F604" s="438">
        <f t="shared" si="2"/>
        <v>0</v>
      </c>
      <c r="G604" t="str">
        <f t="shared" si="3"/>
        <v/>
      </c>
      <c r="H604" t="b">
        <f t="shared" si="4"/>
        <v>0</v>
      </c>
      <c r="I604" s="439">
        <f>IF(OR(ISBLANK(A604),ISNA(MATCH(A604&amp;"",AthleteNumbers,0))),0,MATCH(A604&amp;"",AthleteNumbers,0))</f>
        <v>0</v>
      </c>
      <c r="J604" s="209">
        <f t="array" ref="J604">IF(I604&gt;0,INDEX(DB,$I604,6),0)</f>
        <v>0</v>
      </c>
      <c r="K604" s="446">
        <f t="shared" si="5"/>
        <v>0</v>
      </c>
      <c r="L604" s="446">
        <f t="shared" si="6"/>
        <v>0</v>
      </c>
      <c r="M604" s="441">
        <f>IF(L604&lt;O604,MinPoints,IF(AND(L604&gt;N604,O604&gt;0),100,+INT(($L604-O604)/P604)+MinPoints))</f>
        <v>10</v>
      </c>
      <c r="N604" s="440">
        <f t="shared" si="7"/>
        <v>4.9</v>
      </c>
      <c r="O604" s="440">
        <f t="shared" si="8"/>
        <v>2.2</v>
      </c>
      <c r="P604" s="440">
        <f t="shared" si="9"/>
        <v>0.03</v>
      </c>
      <c r="Q604">
        <f t="array" ref="Q604">IF(I604&gt;0,INDEX(DB,I604,9),EventIndex)</f>
        <v>6</v>
      </c>
      <c r="S604" s="447">
        <f t="array" ref="S604">INDEX(MINVALUES,$Q604,$K$1)</f>
        <v>2.2</v>
      </c>
      <c r="T604" s="448">
        <f t="array" ref="T604">INDEX(INCVALUES,$Q604,$K$1)</f>
        <v>0.03</v>
      </c>
      <c r="V604">
        <f t="array" ref="V604">+J604+(4*(INDEX(MatchScoreTable,$Q604,20)-1))</f>
        <v>4</v>
      </c>
      <c r="W604" s="442">
        <f t="array" ref="W604">INDEX(INC_MINVALUES,$V604,$K$1)</f>
        <v>0.2</v>
      </c>
      <c r="X604" s="212">
        <f t="array" ref="X604">INDEX(INC_INCVALUES,$V604,$K$1)</f>
        <v>0.02</v>
      </c>
    </row>
    <row r="605" ht="15.75" customHeight="1">
      <c r="A605" s="435"/>
      <c r="B605" s="436"/>
      <c r="C605" s="95" t="str">
        <f t="array" ref="C605">IF(I605&gt;0,INDEX(DB,I605,8),"")</f>
        <v/>
      </c>
      <c r="D605" s="437">
        <f t="shared" si="1"/>
        <v>0</v>
      </c>
      <c r="F605" s="438">
        <f t="shared" si="2"/>
        <v>0</v>
      </c>
      <c r="G605" t="str">
        <f t="shared" si="3"/>
        <v/>
      </c>
      <c r="H605" t="b">
        <f t="shared" si="4"/>
        <v>0</v>
      </c>
      <c r="I605" s="439">
        <f>IF(OR(ISBLANK(A605),ISNA(MATCH(A605&amp;"",AthleteNumbers,0))),0,MATCH(A605&amp;"",AthleteNumbers,0))</f>
        <v>0</v>
      </c>
      <c r="J605" s="209">
        <f t="array" ref="J605">IF(I605&gt;0,INDEX(DB,$I605,6),0)</f>
        <v>0</v>
      </c>
      <c r="K605" s="446">
        <f t="shared" si="5"/>
        <v>0</v>
      </c>
      <c r="L605" s="446">
        <f t="shared" si="6"/>
        <v>0</v>
      </c>
      <c r="M605" s="441">
        <f>IF(L605&lt;O605,MinPoints,IF(AND(L605&gt;N605,O605&gt;0),100,+INT(($L605-O605)/P605)+MinPoints))</f>
        <v>10</v>
      </c>
      <c r="N605" s="440">
        <f t="shared" si="7"/>
        <v>4.9</v>
      </c>
      <c r="O605" s="440">
        <f t="shared" si="8"/>
        <v>2.2</v>
      </c>
      <c r="P605" s="440">
        <f t="shared" si="9"/>
        <v>0.03</v>
      </c>
      <c r="Q605">
        <f t="array" ref="Q605">IF(I605&gt;0,INDEX(DB,I605,9),EventIndex)</f>
        <v>6</v>
      </c>
      <c r="S605" s="447">
        <f t="array" ref="S605">INDEX(MINVALUES,$Q605,$K$1)</f>
        <v>2.2</v>
      </c>
      <c r="T605" s="448">
        <f t="array" ref="T605">INDEX(INCVALUES,$Q605,$K$1)</f>
        <v>0.03</v>
      </c>
      <c r="V605">
        <f t="array" ref="V605">+J605+(4*(INDEX(MatchScoreTable,$Q605,20)-1))</f>
        <v>4</v>
      </c>
      <c r="W605" s="442">
        <f t="array" ref="W605">INDEX(INC_MINVALUES,$V605,$K$1)</f>
        <v>0.2</v>
      </c>
      <c r="X605" s="212">
        <f t="array" ref="X605">INDEX(INC_INCVALUES,$V605,$K$1)</f>
        <v>0.02</v>
      </c>
    </row>
    <row r="606" ht="15.75" customHeight="1">
      <c r="A606" s="435"/>
      <c r="B606" s="436"/>
      <c r="C606" s="95" t="str">
        <f t="array" ref="C606">IF(I606&gt;0,INDEX(DB,I606,8),"")</f>
        <v/>
      </c>
      <c r="D606" s="437">
        <f t="shared" si="1"/>
        <v>0</v>
      </c>
      <c r="F606" s="438">
        <f t="shared" si="2"/>
        <v>0</v>
      </c>
      <c r="G606" t="str">
        <f t="shared" si="3"/>
        <v/>
      </c>
      <c r="H606" t="b">
        <f t="shared" si="4"/>
        <v>0</v>
      </c>
      <c r="I606" s="439">
        <f>IF(OR(ISBLANK(A606),ISNA(MATCH(A606&amp;"",AthleteNumbers,0))),0,MATCH(A606&amp;"",AthleteNumbers,0))</f>
        <v>0</v>
      </c>
      <c r="J606" s="209">
        <f t="array" ref="J606">IF(I606&gt;0,INDEX(DB,$I606,6),0)</f>
        <v>0</v>
      </c>
      <c r="K606" s="446">
        <f t="shared" si="5"/>
        <v>0</v>
      </c>
      <c r="L606" s="446">
        <f t="shared" si="6"/>
        <v>0</v>
      </c>
      <c r="M606" s="441">
        <f>IF(L606&lt;O606,MinPoints,IF(AND(L606&gt;N606,O606&gt;0),100,+INT(($L606-O606)/P606)+MinPoints))</f>
        <v>10</v>
      </c>
      <c r="N606" s="440">
        <f t="shared" si="7"/>
        <v>4.9</v>
      </c>
      <c r="O606" s="440">
        <f t="shared" si="8"/>
        <v>2.2</v>
      </c>
      <c r="P606" s="440">
        <f t="shared" si="9"/>
        <v>0.03</v>
      </c>
      <c r="Q606">
        <f t="array" ref="Q606">IF(I606&gt;0,INDEX(DB,I606,9),EventIndex)</f>
        <v>6</v>
      </c>
      <c r="S606" s="447">
        <f t="array" ref="S606">INDEX(MINVALUES,$Q606,$K$1)</f>
        <v>2.2</v>
      </c>
      <c r="T606" s="448">
        <f t="array" ref="T606">INDEX(INCVALUES,$Q606,$K$1)</f>
        <v>0.03</v>
      </c>
      <c r="V606">
        <f t="array" ref="V606">+J606+(4*(INDEX(MatchScoreTable,$Q606,20)-1))</f>
        <v>4</v>
      </c>
      <c r="W606" s="442">
        <f t="array" ref="W606">INDEX(INC_MINVALUES,$V606,$K$1)</f>
        <v>0.2</v>
      </c>
      <c r="X606" s="212">
        <f t="array" ref="X606">INDEX(INC_INCVALUES,$V606,$K$1)</f>
        <v>0.02</v>
      </c>
    </row>
    <row r="607" ht="15.75" customHeight="1">
      <c r="A607" s="435"/>
      <c r="B607" s="436"/>
      <c r="C607" s="95" t="str">
        <f t="array" ref="C607">IF(I607&gt;0,INDEX(DB,I607,8),"")</f>
        <v/>
      </c>
      <c r="D607" s="437">
        <f t="shared" si="1"/>
        <v>0</v>
      </c>
      <c r="F607" s="438">
        <f t="shared" si="2"/>
        <v>0</v>
      </c>
      <c r="G607" t="str">
        <f t="shared" si="3"/>
        <v/>
      </c>
      <c r="H607" t="b">
        <f t="shared" si="4"/>
        <v>0</v>
      </c>
      <c r="I607" s="439">
        <f>IF(OR(ISBLANK(A607),ISNA(MATCH(A607&amp;"",AthleteNumbers,0))),0,MATCH(A607&amp;"",AthleteNumbers,0))</f>
        <v>0</v>
      </c>
      <c r="J607" s="209">
        <f t="array" ref="J607">IF(I607&gt;0,INDEX(DB,$I607,6),0)</f>
        <v>0</v>
      </c>
      <c r="K607" s="446">
        <f t="shared" si="5"/>
        <v>0</v>
      </c>
      <c r="L607" s="446">
        <f t="shared" si="6"/>
        <v>0</v>
      </c>
      <c r="M607" s="441">
        <f>IF(L607&lt;O607,MinPoints,IF(AND(L607&gt;N607,O607&gt;0),100,+INT(($L607-O607)/P607)+MinPoints))</f>
        <v>10</v>
      </c>
      <c r="N607" s="440">
        <f t="shared" si="7"/>
        <v>4.9</v>
      </c>
      <c r="O607" s="440">
        <f t="shared" si="8"/>
        <v>2.2</v>
      </c>
      <c r="P607" s="440">
        <f t="shared" si="9"/>
        <v>0.03</v>
      </c>
      <c r="Q607">
        <f t="array" ref="Q607">IF(I607&gt;0,INDEX(DB,I607,9),EventIndex)</f>
        <v>6</v>
      </c>
      <c r="S607" s="447">
        <f t="array" ref="S607">INDEX(MINVALUES,$Q607,$K$1)</f>
        <v>2.2</v>
      </c>
      <c r="T607" s="448">
        <f t="array" ref="T607">INDEX(INCVALUES,$Q607,$K$1)</f>
        <v>0.03</v>
      </c>
      <c r="V607">
        <f t="array" ref="V607">+J607+(4*(INDEX(MatchScoreTable,$Q607,20)-1))</f>
        <v>4</v>
      </c>
      <c r="W607" s="442">
        <f t="array" ref="W607">INDEX(INC_MINVALUES,$V607,$K$1)</f>
        <v>0.2</v>
      </c>
      <c r="X607" s="212">
        <f t="array" ref="X607">INDEX(INC_INCVALUES,$V607,$K$1)</f>
        <v>0.02</v>
      </c>
    </row>
    <row r="608" ht="15.75" customHeight="1">
      <c r="A608" s="435"/>
      <c r="B608" s="436"/>
      <c r="C608" s="95" t="str">
        <f t="array" ref="C608">IF(I608&gt;0,INDEX(DB,I608,8),"")</f>
        <v/>
      </c>
      <c r="D608" s="437">
        <f t="shared" si="1"/>
        <v>0</v>
      </c>
      <c r="F608" s="438">
        <f t="shared" si="2"/>
        <v>0</v>
      </c>
      <c r="G608" t="str">
        <f t="shared" si="3"/>
        <v/>
      </c>
      <c r="H608" t="b">
        <f t="shared" si="4"/>
        <v>0</v>
      </c>
      <c r="I608" s="439">
        <f>IF(OR(ISBLANK(A608),ISNA(MATCH(A608&amp;"",AthleteNumbers,0))),0,MATCH(A608&amp;"",AthleteNumbers,0))</f>
        <v>0</v>
      </c>
      <c r="J608" s="209">
        <f t="array" ref="J608">IF(I608&gt;0,INDEX(DB,$I608,6),0)</f>
        <v>0</v>
      </c>
      <c r="K608" s="446">
        <f t="shared" si="5"/>
        <v>0</v>
      </c>
      <c r="L608" s="446">
        <f t="shared" si="6"/>
        <v>0</v>
      </c>
      <c r="M608" s="441">
        <f>IF(L608&lt;O608,MinPoints,IF(AND(L608&gt;N608,O608&gt;0),100,+INT(($L608-O608)/P608)+MinPoints))</f>
        <v>10</v>
      </c>
      <c r="N608" s="440">
        <f t="shared" si="7"/>
        <v>4.9</v>
      </c>
      <c r="O608" s="440">
        <f t="shared" si="8"/>
        <v>2.2</v>
      </c>
      <c r="P608" s="440">
        <f t="shared" si="9"/>
        <v>0.03</v>
      </c>
      <c r="Q608">
        <f t="array" ref="Q608">IF(I608&gt;0,INDEX(DB,I608,9),EventIndex)</f>
        <v>6</v>
      </c>
      <c r="S608" s="447">
        <f t="array" ref="S608">INDEX(MINVALUES,$Q608,$K$1)</f>
        <v>2.2</v>
      </c>
      <c r="T608" s="448">
        <f t="array" ref="T608">INDEX(INCVALUES,$Q608,$K$1)</f>
        <v>0.03</v>
      </c>
      <c r="V608">
        <f t="array" ref="V608">+J608+(4*(INDEX(MatchScoreTable,$Q608,20)-1))</f>
        <v>4</v>
      </c>
      <c r="W608" s="442">
        <f t="array" ref="W608">INDEX(INC_MINVALUES,$V608,$K$1)</f>
        <v>0.2</v>
      </c>
      <c r="X608" s="212">
        <f t="array" ref="X608">INDEX(INC_INCVALUES,$V608,$K$1)</f>
        <v>0.02</v>
      </c>
    </row>
    <row r="609" ht="15.75" customHeight="1">
      <c r="A609" s="435"/>
      <c r="B609" s="436"/>
      <c r="C609" s="95" t="str">
        <f t="array" ref="C609">IF(I609&gt;0,INDEX(DB,I609,8),"")</f>
        <v/>
      </c>
      <c r="D609" s="437">
        <f t="shared" si="1"/>
        <v>0</v>
      </c>
      <c r="F609" s="438">
        <f t="shared" si="2"/>
        <v>0</v>
      </c>
      <c r="G609" t="str">
        <f t="shared" si="3"/>
        <v/>
      </c>
      <c r="H609" t="b">
        <f t="shared" si="4"/>
        <v>0</v>
      </c>
      <c r="I609" s="439">
        <f>IF(OR(ISBLANK(A609),ISNA(MATCH(A609&amp;"",AthleteNumbers,0))),0,MATCH(A609&amp;"",AthleteNumbers,0))</f>
        <v>0</v>
      </c>
      <c r="J609" s="209">
        <f t="array" ref="J609">IF(I609&gt;0,INDEX(DB,$I609,6),0)</f>
        <v>0</v>
      </c>
      <c r="K609" s="446">
        <f t="shared" si="5"/>
        <v>0</v>
      </c>
      <c r="L609" s="446">
        <f t="shared" si="6"/>
        <v>0</v>
      </c>
      <c r="M609" s="441">
        <f>IF(L609&lt;O609,MinPoints,IF(AND(L609&gt;N609,O609&gt;0),100,+INT(($L609-O609)/P609)+MinPoints))</f>
        <v>10</v>
      </c>
      <c r="N609" s="440">
        <f t="shared" si="7"/>
        <v>4.9</v>
      </c>
      <c r="O609" s="440">
        <f t="shared" si="8"/>
        <v>2.2</v>
      </c>
      <c r="P609" s="440">
        <f t="shared" si="9"/>
        <v>0.03</v>
      </c>
      <c r="Q609">
        <f t="array" ref="Q609">IF(I609&gt;0,INDEX(DB,I609,9),EventIndex)</f>
        <v>6</v>
      </c>
      <c r="S609" s="447">
        <f t="array" ref="S609">INDEX(MINVALUES,$Q609,$K$1)</f>
        <v>2.2</v>
      </c>
      <c r="T609" s="448">
        <f t="array" ref="T609">INDEX(INCVALUES,$Q609,$K$1)</f>
        <v>0.03</v>
      </c>
      <c r="V609">
        <f t="array" ref="V609">+J609+(4*(INDEX(MatchScoreTable,$Q609,20)-1))</f>
        <v>4</v>
      </c>
      <c r="W609" s="442">
        <f t="array" ref="W609">INDEX(INC_MINVALUES,$V609,$K$1)</f>
        <v>0.2</v>
      </c>
      <c r="X609" s="212">
        <f t="array" ref="X609">INDEX(INC_INCVALUES,$V609,$K$1)</f>
        <v>0.02</v>
      </c>
    </row>
    <row r="610" ht="15.75" customHeight="1">
      <c r="A610" s="435"/>
      <c r="B610" s="436"/>
      <c r="C610" s="95" t="str">
        <f t="array" ref="C610">IF(I610&gt;0,INDEX(DB,I610,8),"")</f>
        <v/>
      </c>
      <c r="D610" s="437">
        <f t="shared" si="1"/>
        <v>0</v>
      </c>
      <c r="F610" s="438">
        <f t="shared" si="2"/>
        <v>0</v>
      </c>
      <c r="G610" t="str">
        <f t="shared" si="3"/>
        <v/>
      </c>
      <c r="H610" t="b">
        <f t="shared" si="4"/>
        <v>0</v>
      </c>
      <c r="I610" s="439">
        <f>IF(OR(ISBLANK(A610),ISNA(MATCH(A610&amp;"",AthleteNumbers,0))),0,MATCH(A610&amp;"",AthleteNumbers,0))</f>
        <v>0</v>
      </c>
      <c r="J610" s="209">
        <f t="array" ref="J610">IF(I610&gt;0,INDEX(DB,$I610,6),0)</f>
        <v>0</v>
      </c>
      <c r="K610" s="446">
        <f t="shared" si="5"/>
        <v>0</v>
      </c>
      <c r="L610" s="446">
        <f t="shared" si="6"/>
        <v>0</v>
      </c>
      <c r="M610" s="441">
        <f>IF(L610&lt;O610,MinPoints,IF(AND(L610&gt;N610,O610&gt;0),100,+INT(($L610-O610)/P610)+MinPoints))</f>
        <v>10</v>
      </c>
      <c r="N610" s="440">
        <f t="shared" si="7"/>
        <v>4.9</v>
      </c>
      <c r="O610" s="440">
        <f t="shared" si="8"/>
        <v>2.2</v>
      </c>
      <c r="P610" s="440">
        <f t="shared" si="9"/>
        <v>0.03</v>
      </c>
      <c r="Q610">
        <f t="array" ref="Q610">IF(I610&gt;0,INDEX(DB,I610,9),EventIndex)</f>
        <v>6</v>
      </c>
      <c r="S610" s="447">
        <f t="array" ref="S610">INDEX(MINVALUES,$Q610,$K$1)</f>
        <v>2.2</v>
      </c>
      <c r="T610" s="448">
        <f t="array" ref="T610">INDEX(INCVALUES,$Q610,$K$1)</f>
        <v>0.03</v>
      </c>
      <c r="V610">
        <f t="array" ref="V610">+J610+(4*(INDEX(MatchScoreTable,$Q610,20)-1))</f>
        <v>4</v>
      </c>
      <c r="W610" s="442">
        <f t="array" ref="W610">INDEX(INC_MINVALUES,$V610,$K$1)</f>
        <v>0.2</v>
      </c>
      <c r="X610" s="212">
        <f t="array" ref="X610">INDEX(INC_INCVALUES,$V610,$K$1)</f>
        <v>0.02</v>
      </c>
    </row>
    <row r="611" ht="15.75" customHeight="1">
      <c r="A611" s="435"/>
      <c r="B611" s="436"/>
      <c r="C611" s="95" t="str">
        <f t="array" ref="C611">IF(I611&gt;0,INDEX(DB,I611,8),"")</f>
        <v/>
      </c>
      <c r="D611" s="437">
        <f t="shared" si="1"/>
        <v>0</v>
      </c>
      <c r="F611" s="438">
        <f t="shared" si="2"/>
        <v>0</v>
      </c>
      <c r="G611" t="str">
        <f t="shared" si="3"/>
        <v/>
      </c>
      <c r="H611" t="b">
        <f t="shared" si="4"/>
        <v>0</v>
      </c>
      <c r="I611" s="439">
        <f>IF(OR(ISBLANK(A611),ISNA(MATCH(A611&amp;"",AthleteNumbers,0))),0,MATCH(A611&amp;"",AthleteNumbers,0))</f>
        <v>0</v>
      </c>
      <c r="J611" s="209">
        <f t="array" ref="J611">IF(I611&gt;0,INDEX(DB,$I611,6),0)</f>
        <v>0</v>
      </c>
      <c r="K611" s="446">
        <f t="shared" si="5"/>
        <v>0</v>
      </c>
      <c r="L611" s="446">
        <f t="shared" si="6"/>
        <v>0</v>
      </c>
      <c r="M611" s="441">
        <f>IF(L611&lt;O611,MinPoints,IF(AND(L611&gt;N611,O611&gt;0),100,+INT(($L611-O611)/P611)+MinPoints))</f>
        <v>10</v>
      </c>
      <c r="N611" s="440">
        <f t="shared" si="7"/>
        <v>4.9</v>
      </c>
      <c r="O611" s="440">
        <f t="shared" si="8"/>
        <v>2.2</v>
      </c>
      <c r="P611" s="440">
        <f t="shared" si="9"/>
        <v>0.03</v>
      </c>
      <c r="Q611">
        <f t="array" ref="Q611">IF(I611&gt;0,INDEX(DB,I611,9),EventIndex)</f>
        <v>6</v>
      </c>
      <c r="S611" s="447">
        <f t="array" ref="S611">INDEX(MINVALUES,$Q611,$K$1)</f>
        <v>2.2</v>
      </c>
      <c r="T611" s="448">
        <f t="array" ref="T611">INDEX(INCVALUES,$Q611,$K$1)</f>
        <v>0.03</v>
      </c>
      <c r="V611">
        <f t="array" ref="V611">+J611+(4*(INDEX(MatchScoreTable,$Q611,20)-1))</f>
        <v>4</v>
      </c>
      <c r="W611" s="442">
        <f t="array" ref="W611">INDEX(INC_MINVALUES,$V611,$K$1)</f>
        <v>0.2</v>
      </c>
      <c r="X611" s="212">
        <f t="array" ref="X611">INDEX(INC_INCVALUES,$V611,$K$1)</f>
        <v>0.02</v>
      </c>
    </row>
    <row r="612" ht="15.75" customHeight="1">
      <c r="A612" s="435"/>
      <c r="B612" s="436"/>
      <c r="C612" s="95" t="str">
        <f t="array" ref="C612">IF(I612&gt;0,INDEX(DB,I612,8),"")</f>
        <v/>
      </c>
      <c r="D612" s="437">
        <f t="shared" si="1"/>
        <v>0</v>
      </c>
      <c r="F612" s="438">
        <f t="shared" si="2"/>
        <v>0</v>
      </c>
      <c r="G612" t="str">
        <f t="shared" si="3"/>
        <v/>
      </c>
      <c r="H612" t="b">
        <f t="shared" si="4"/>
        <v>0</v>
      </c>
      <c r="I612" s="439">
        <f>IF(OR(ISBLANK(A612),ISNA(MATCH(A612&amp;"",AthleteNumbers,0))),0,MATCH(A612&amp;"",AthleteNumbers,0))</f>
        <v>0</v>
      </c>
      <c r="J612" s="209">
        <f t="array" ref="J612">IF(I612&gt;0,INDEX(DB,$I612,6),0)</f>
        <v>0</v>
      </c>
      <c r="K612" s="446">
        <f t="shared" si="5"/>
        <v>0</v>
      </c>
      <c r="L612" s="446">
        <f t="shared" si="6"/>
        <v>0</v>
      </c>
      <c r="M612" s="441">
        <f>IF(L612&lt;O612,MinPoints,IF(AND(L612&gt;N612,O612&gt;0),100,+INT(($L612-O612)/P612)+MinPoints))</f>
        <v>10</v>
      </c>
      <c r="N612" s="440">
        <f t="shared" si="7"/>
        <v>4.9</v>
      </c>
      <c r="O612" s="440">
        <f t="shared" si="8"/>
        <v>2.2</v>
      </c>
      <c r="P612" s="440">
        <f t="shared" si="9"/>
        <v>0.03</v>
      </c>
      <c r="Q612">
        <f t="array" ref="Q612">IF(I612&gt;0,INDEX(DB,I612,9),EventIndex)</f>
        <v>6</v>
      </c>
      <c r="S612" s="447">
        <f t="array" ref="S612">INDEX(MINVALUES,$Q612,$K$1)</f>
        <v>2.2</v>
      </c>
      <c r="T612" s="448">
        <f t="array" ref="T612">INDEX(INCVALUES,$Q612,$K$1)</f>
        <v>0.03</v>
      </c>
      <c r="V612">
        <f t="array" ref="V612">+J612+(4*(INDEX(MatchScoreTable,$Q612,20)-1))</f>
        <v>4</v>
      </c>
      <c r="W612" s="442">
        <f t="array" ref="W612">INDEX(INC_MINVALUES,$V612,$K$1)</f>
        <v>0.2</v>
      </c>
      <c r="X612" s="212">
        <f t="array" ref="X612">INDEX(INC_INCVALUES,$V612,$K$1)</f>
        <v>0.02</v>
      </c>
    </row>
    <row r="613" ht="15.75" customHeight="1">
      <c r="A613" s="435"/>
      <c r="B613" s="436"/>
      <c r="C613" s="95" t="str">
        <f t="array" ref="C613">IF(I613&gt;0,INDEX(DB,I613,8),"")</f>
        <v/>
      </c>
      <c r="D613" s="437">
        <f t="shared" si="1"/>
        <v>0</v>
      </c>
      <c r="F613" s="438">
        <f t="shared" si="2"/>
        <v>0</v>
      </c>
      <c r="G613" t="str">
        <f t="shared" si="3"/>
        <v/>
      </c>
      <c r="H613" t="b">
        <f t="shared" si="4"/>
        <v>0</v>
      </c>
      <c r="I613" s="439">
        <f>IF(OR(ISBLANK(A613),ISNA(MATCH(A613&amp;"",AthleteNumbers,0))),0,MATCH(A613&amp;"",AthleteNumbers,0))</f>
        <v>0</v>
      </c>
      <c r="J613" s="209">
        <f t="array" ref="J613">IF(I613&gt;0,INDEX(DB,$I613,6),0)</f>
        <v>0</v>
      </c>
      <c r="K613" s="446">
        <f t="shared" si="5"/>
        <v>0</v>
      </c>
      <c r="L613" s="446">
        <f t="shared" si="6"/>
        <v>0</v>
      </c>
      <c r="M613" s="441">
        <f>IF(L613&lt;O613,MinPoints,IF(AND(L613&gt;N613,O613&gt;0),100,+INT(($L613-O613)/P613)+MinPoints))</f>
        <v>10</v>
      </c>
      <c r="N613" s="440">
        <f t="shared" si="7"/>
        <v>4.9</v>
      </c>
      <c r="O613" s="440">
        <f t="shared" si="8"/>
        <v>2.2</v>
      </c>
      <c r="P613" s="440">
        <f t="shared" si="9"/>
        <v>0.03</v>
      </c>
      <c r="Q613">
        <f t="array" ref="Q613">IF(I613&gt;0,INDEX(DB,I613,9),EventIndex)</f>
        <v>6</v>
      </c>
      <c r="S613" s="447">
        <f t="array" ref="S613">INDEX(MINVALUES,$Q613,$K$1)</f>
        <v>2.2</v>
      </c>
      <c r="T613" s="448">
        <f t="array" ref="T613">INDEX(INCVALUES,$Q613,$K$1)</f>
        <v>0.03</v>
      </c>
      <c r="V613">
        <f t="array" ref="V613">+J613+(4*(INDEX(MatchScoreTable,$Q613,20)-1))</f>
        <v>4</v>
      </c>
      <c r="W613" s="442">
        <f t="array" ref="W613">INDEX(INC_MINVALUES,$V613,$K$1)</f>
        <v>0.2</v>
      </c>
      <c r="X613" s="212">
        <f t="array" ref="X613">INDEX(INC_INCVALUES,$V613,$K$1)</f>
        <v>0.02</v>
      </c>
    </row>
    <row r="614" ht="15.75" customHeight="1">
      <c r="A614" s="435"/>
      <c r="B614" s="436"/>
      <c r="C614" s="95" t="str">
        <f t="array" ref="C614">IF(I614&gt;0,INDEX(DB,I614,8),"")</f>
        <v/>
      </c>
      <c r="D614" s="437">
        <f t="shared" si="1"/>
        <v>0</v>
      </c>
      <c r="F614" s="438">
        <f t="shared" si="2"/>
        <v>0</v>
      </c>
      <c r="G614" t="str">
        <f t="shared" si="3"/>
        <v/>
      </c>
      <c r="H614" t="b">
        <f t="shared" si="4"/>
        <v>0</v>
      </c>
      <c r="I614" s="439">
        <f>IF(OR(ISBLANK(A614),ISNA(MATCH(A614&amp;"",AthleteNumbers,0))),0,MATCH(A614&amp;"",AthleteNumbers,0))</f>
        <v>0</v>
      </c>
      <c r="J614" s="209">
        <f t="array" ref="J614">IF(I614&gt;0,INDEX(DB,$I614,6),0)</f>
        <v>0</v>
      </c>
      <c r="K614" s="446">
        <f t="shared" si="5"/>
        <v>0</v>
      </c>
      <c r="L614" s="446">
        <f t="shared" si="6"/>
        <v>0</v>
      </c>
      <c r="M614" s="441">
        <f>IF(L614&lt;O614,MinPoints,IF(AND(L614&gt;N614,O614&gt;0),100,+INT(($L614-O614)/P614)+MinPoints))</f>
        <v>10</v>
      </c>
      <c r="N614" s="440">
        <f t="shared" si="7"/>
        <v>4.9</v>
      </c>
      <c r="O614" s="440">
        <f t="shared" si="8"/>
        <v>2.2</v>
      </c>
      <c r="P614" s="440">
        <f t="shared" si="9"/>
        <v>0.03</v>
      </c>
      <c r="Q614">
        <f t="array" ref="Q614">IF(I614&gt;0,INDEX(DB,I614,9),EventIndex)</f>
        <v>6</v>
      </c>
      <c r="S614" s="447">
        <f t="array" ref="S614">INDEX(MINVALUES,$Q614,$K$1)</f>
        <v>2.2</v>
      </c>
      <c r="T614" s="448">
        <f t="array" ref="T614">INDEX(INCVALUES,$Q614,$K$1)</f>
        <v>0.03</v>
      </c>
      <c r="V614">
        <f t="array" ref="V614">+J614+(4*(INDEX(MatchScoreTable,$Q614,20)-1))</f>
        <v>4</v>
      </c>
      <c r="W614" s="442">
        <f t="array" ref="W614">INDEX(INC_MINVALUES,$V614,$K$1)</f>
        <v>0.2</v>
      </c>
      <c r="X614" s="212">
        <f t="array" ref="X614">INDEX(INC_INCVALUES,$V614,$K$1)</f>
        <v>0.02</v>
      </c>
    </row>
    <row r="615" ht="15.75" customHeight="1">
      <c r="A615" s="435"/>
      <c r="B615" s="436"/>
      <c r="C615" s="95" t="str">
        <f t="array" ref="C615">IF(I615&gt;0,INDEX(DB,I615,8),"")</f>
        <v/>
      </c>
      <c r="D615" s="437">
        <f t="shared" si="1"/>
        <v>0</v>
      </c>
      <c r="F615" s="438">
        <f t="shared" si="2"/>
        <v>0</v>
      </c>
      <c r="G615" t="str">
        <f t="shared" si="3"/>
        <v/>
      </c>
      <c r="H615" t="b">
        <f t="shared" si="4"/>
        <v>0</v>
      </c>
      <c r="I615" s="439">
        <f>IF(OR(ISBLANK(A615),ISNA(MATCH(A615&amp;"",AthleteNumbers,0))),0,MATCH(A615&amp;"",AthleteNumbers,0))</f>
        <v>0</v>
      </c>
      <c r="J615" s="209">
        <f t="array" ref="J615">IF(I615&gt;0,INDEX(DB,$I615,6),0)</f>
        <v>0</v>
      </c>
      <c r="K615" s="446">
        <f t="shared" si="5"/>
        <v>0</v>
      </c>
      <c r="L615" s="446">
        <f t="shared" si="6"/>
        <v>0</v>
      </c>
      <c r="M615" s="441">
        <f>IF(L615&lt;O615,MinPoints,IF(AND(L615&gt;N615,O615&gt;0),100,+INT(($L615-O615)/P615)+MinPoints))</f>
        <v>10</v>
      </c>
      <c r="N615" s="440">
        <f t="shared" si="7"/>
        <v>4.9</v>
      </c>
      <c r="O615" s="440">
        <f t="shared" si="8"/>
        <v>2.2</v>
      </c>
      <c r="P615" s="440">
        <f t="shared" si="9"/>
        <v>0.03</v>
      </c>
      <c r="Q615">
        <f t="array" ref="Q615">IF(I615&gt;0,INDEX(DB,I615,9),EventIndex)</f>
        <v>6</v>
      </c>
      <c r="S615" s="447">
        <f t="array" ref="S615">INDEX(MINVALUES,$Q615,$K$1)</f>
        <v>2.2</v>
      </c>
      <c r="T615" s="448">
        <f t="array" ref="T615">INDEX(INCVALUES,$Q615,$K$1)</f>
        <v>0.03</v>
      </c>
      <c r="V615">
        <f t="array" ref="V615">+J615+(4*(INDEX(MatchScoreTable,$Q615,20)-1))</f>
        <v>4</v>
      </c>
      <c r="W615" s="442">
        <f t="array" ref="W615">INDEX(INC_MINVALUES,$V615,$K$1)</f>
        <v>0.2</v>
      </c>
      <c r="X615" s="212">
        <f t="array" ref="X615">INDEX(INC_INCVALUES,$V615,$K$1)</f>
        <v>0.02</v>
      </c>
    </row>
    <row r="616" ht="15.75" customHeight="1">
      <c r="A616" s="435"/>
      <c r="B616" s="436"/>
      <c r="C616" s="95" t="str">
        <f t="array" ref="C616">IF(I616&gt;0,INDEX(DB,I616,8),"")</f>
        <v/>
      </c>
      <c r="D616" s="437">
        <f t="shared" si="1"/>
        <v>0</v>
      </c>
      <c r="F616" s="438">
        <f t="shared" si="2"/>
        <v>0</v>
      </c>
      <c r="G616" t="str">
        <f t="shared" si="3"/>
        <v/>
      </c>
      <c r="H616" t="b">
        <f t="shared" si="4"/>
        <v>0</v>
      </c>
      <c r="I616" s="439">
        <f>IF(OR(ISBLANK(A616),ISNA(MATCH(A616&amp;"",AthleteNumbers,0))),0,MATCH(A616&amp;"",AthleteNumbers,0))</f>
        <v>0</v>
      </c>
      <c r="J616" s="209">
        <f t="array" ref="J616">IF(I616&gt;0,INDEX(DB,$I616,6),0)</f>
        <v>0</v>
      </c>
      <c r="K616" s="446">
        <f t="shared" si="5"/>
        <v>0</v>
      </c>
      <c r="L616" s="446">
        <f t="shared" si="6"/>
        <v>0</v>
      </c>
      <c r="M616" s="441">
        <f>IF(L616&lt;O616,MinPoints,IF(AND(L616&gt;N616,O616&gt;0),100,+INT(($L616-O616)/P616)+MinPoints))</f>
        <v>10</v>
      </c>
      <c r="N616" s="440">
        <f t="shared" si="7"/>
        <v>4.9</v>
      </c>
      <c r="O616" s="440">
        <f t="shared" si="8"/>
        <v>2.2</v>
      </c>
      <c r="P616" s="440">
        <f t="shared" si="9"/>
        <v>0.03</v>
      </c>
      <c r="Q616">
        <f t="array" ref="Q616">IF(I616&gt;0,INDEX(DB,I616,9),EventIndex)</f>
        <v>6</v>
      </c>
      <c r="S616" s="447">
        <f t="array" ref="S616">INDEX(MINVALUES,$Q616,$K$1)</f>
        <v>2.2</v>
      </c>
      <c r="T616" s="448">
        <f t="array" ref="T616">INDEX(INCVALUES,$Q616,$K$1)</f>
        <v>0.03</v>
      </c>
      <c r="V616">
        <f t="array" ref="V616">+J616+(4*(INDEX(MatchScoreTable,$Q616,20)-1))</f>
        <v>4</v>
      </c>
      <c r="W616" s="442">
        <f t="array" ref="W616">INDEX(INC_MINVALUES,$V616,$K$1)</f>
        <v>0.2</v>
      </c>
      <c r="X616" s="212">
        <f t="array" ref="X616">INDEX(INC_INCVALUES,$V616,$K$1)</f>
        <v>0.02</v>
      </c>
    </row>
    <row r="617" ht="15.75" customHeight="1">
      <c r="A617" s="435"/>
      <c r="B617" s="436"/>
      <c r="C617" s="95" t="str">
        <f t="array" ref="C617">IF(I617&gt;0,INDEX(DB,I617,8),"")</f>
        <v/>
      </c>
      <c r="D617" s="437">
        <f t="shared" si="1"/>
        <v>0</v>
      </c>
      <c r="F617" s="438">
        <f t="shared" si="2"/>
        <v>0</v>
      </c>
      <c r="G617" t="str">
        <f t="shared" si="3"/>
        <v/>
      </c>
      <c r="H617" t="b">
        <f t="shared" si="4"/>
        <v>0</v>
      </c>
      <c r="I617" s="439">
        <f>IF(OR(ISBLANK(A617),ISNA(MATCH(A617&amp;"",AthleteNumbers,0))),0,MATCH(A617&amp;"",AthleteNumbers,0))</f>
        <v>0</v>
      </c>
      <c r="J617" s="209">
        <f t="array" ref="J617">IF(I617&gt;0,INDEX(DB,$I617,6),0)</f>
        <v>0</v>
      </c>
      <c r="K617" s="446">
        <f t="shared" si="5"/>
        <v>0</v>
      </c>
      <c r="L617" s="446">
        <f t="shared" si="6"/>
        <v>0</v>
      </c>
      <c r="M617" s="441">
        <f>IF(L617&lt;O617,MinPoints,IF(AND(L617&gt;N617,O617&gt;0),100,+INT(($L617-O617)/P617)+MinPoints))</f>
        <v>10</v>
      </c>
      <c r="N617" s="440">
        <f t="shared" si="7"/>
        <v>4.9</v>
      </c>
      <c r="O617" s="440">
        <f t="shared" si="8"/>
        <v>2.2</v>
      </c>
      <c r="P617" s="440">
        <f t="shared" si="9"/>
        <v>0.03</v>
      </c>
      <c r="Q617">
        <f t="array" ref="Q617">IF(I617&gt;0,INDEX(DB,I617,9),EventIndex)</f>
        <v>6</v>
      </c>
      <c r="S617" s="447">
        <f t="array" ref="S617">INDEX(MINVALUES,$Q617,$K$1)</f>
        <v>2.2</v>
      </c>
      <c r="T617" s="448">
        <f t="array" ref="T617">INDEX(INCVALUES,$Q617,$K$1)</f>
        <v>0.03</v>
      </c>
      <c r="V617">
        <f t="array" ref="V617">+J617+(4*(INDEX(MatchScoreTable,$Q617,20)-1))</f>
        <v>4</v>
      </c>
      <c r="W617" s="442">
        <f t="array" ref="W617">INDEX(INC_MINVALUES,$V617,$K$1)</f>
        <v>0.2</v>
      </c>
      <c r="X617" s="212">
        <f t="array" ref="X617">INDEX(INC_INCVALUES,$V617,$K$1)</f>
        <v>0.02</v>
      </c>
    </row>
    <row r="618" ht="15.75" customHeight="1">
      <c r="A618" s="435"/>
      <c r="B618" s="436"/>
      <c r="C618" s="95" t="str">
        <f t="array" ref="C618">IF(I618&gt;0,INDEX(DB,I618,8),"")</f>
        <v/>
      </c>
      <c r="D618" s="437">
        <f t="shared" si="1"/>
        <v>0</v>
      </c>
      <c r="F618" s="438">
        <f t="shared" si="2"/>
        <v>0</v>
      </c>
      <c r="G618" t="str">
        <f t="shared" si="3"/>
        <v/>
      </c>
      <c r="H618" t="b">
        <f t="shared" si="4"/>
        <v>0</v>
      </c>
      <c r="I618" s="439">
        <f>IF(OR(ISBLANK(A618),ISNA(MATCH(A618&amp;"",AthleteNumbers,0))),0,MATCH(A618&amp;"",AthleteNumbers,0))</f>
        <v>0</v>
      </c>
      <c r="J618" s="209">
        <f t="array" ref="J618">IF(I618&gt;0,INDEX(DB,$I618,6),0)</f>
        <v>0</v>
      </c>
      <c r="K618" s="446">
        <f t="shared" si="5"/>
        <v>0</v>
      </c>
      <c r="L618" s="446">
        <f t="shared" si="6"/>
        <v>0</v>
      </c>
      <c r="M618" s="441">
        <f>IF(L618&lt;O618,MinPoints,IF(AND(L618&gt;N618,O618&gt;0),100,+INT(($L618-O618)/P618)+MinPoints))</f>
        <v>10</v>
      </c>
      <c r="N618" s="440">
        <f t="shared" si="7"/>
        <v>4.9</v>
      </c>
      <c r="O618" s="440">
        <f t="shared" si="8"/>
        <v>2.2</v>
      </c>
      <c r="P618" s="440">
        <f t="shared" si="9"/>
        <v>0.03</v>
      </c>
      <c r="Q618">
        <f t="array" ref="Q618">IF(I618&gt;0,INDEX(DB,I618,9),EventIndex)</f>
        <v>6</v>
      </c>
      <c r="S618" s="447">
        <f t="array" ref="S618">INDEX(MINVALUES,$Q618,$K$1)</f>
        <v>2.2</v>
      </c>
      <c r="T618" s="448">
        <f t="array" ref="T618">INDEX(INCVALUES,$Q618,$K$1)</f>
        <v>0.03</v>
      </c>
      <c r="V618">
        <f t="array" ref="V618">+J618+(4*(INDEX(MatchScoreTable,$Q618,20)-1))</f>
        <v>4</v>
      </c>
      <c r="W618" s="442">
        <f t="array" ref="W618">INDEX(INC_MINVALUES,$V618,$K$1)</f>
        <v>0.2</v>
      </c>
      <c r="X618" s="212">
        <f t="array" ref="X618">INDEX(INC_INCVALUES,$V618,$K$1)</f>
        <v>0.02</v>
      </c>
    </row>
    <row r="619" ht="15.75" customHeight="1">
      <c r="A619" s="435"/>
      <c r="B619" s="436"/>
      <c r="C619" s="95" t="str">
        <f t="array" ref="C619">IF(I619&gt;0,INDEX(DB,I619,8),"")</f>
        <v/>
      </c>
      <c r="D619" s="437">
        <f t="shared" si="1"/>
        <v>0</v>
      </c>
      <c r="F619" s="438">
        <f t="shared" si="2"/>
        <v>0</v>
      </c>
      <c r="G619" t="str">
        <f t="shared" si="3"/>
        <v/>
      </c>
      <c r="H619" t="b">
        <f t="shared" si="4"/>
        <v>0</v>
      </c>
      <c r="I619" s="439">
        <f>IF(OR(ISBLANK(A619),ISNA(MATCH(A619&amp;"",AthleteNumbers,0))),0,MATCH(A619&amp;"",AthleteNumbers,0))</f>
        <v>0</v>
      </c>
      <c r="J619" s="209">
        <f t="array" ref="J619">IF(I619&gt;0,INDEX(DB,$I619,6),0)</f>
        <v>0</v>
      </c>
      <c r="K619" s="446">
        <f t="shared" si="5"/>
        <v>0</v>
      </c>
      <c r="L619" s="446">
        <f t="shared" si="6"/>
        <v>0</v>
      </c>
      <c r="M619" s="441">
        <f>IF(L619&lt;O619,MinPoints,IF(AND(L619&gt;N619,O619&gt;0),100,+INT(($L619-O619)/P619)+MinPoints))</f>
        <v>10</v>
      </c>
      <c r="N619" s="440">
        <f t="shared" si="7"/>
        <v>4.9</v>
      </c>
      <c r="O619" s="440">
        <f t="shared" si="8"/>
        <v>2.2</v>
      </c>
      <c r="P619" s="440">
        <f t="shared" si="9"/>
        <v>0.03</v>
      </c>
      <c r="Q619">
        <f t="array" ref="Q619">IF(I619&gt;0,INDEX(DB,I619,9),EventIndex)</f>
        <v>6</v>
      </c>
      <c r="S619" s="447">
        <f t="array" ref="S619">INDEX(MINVALUES,$Q619,$K$1)</f>
        <v>2.2</v>
      </c>
      <c r="T619" s="448">
        <f t="array" ref="T619">INDEX(INCVALUES,$Q619,$K$1)</f>
        <v>0.03</v>
      </c>
      <c r="V619">
        <f t="array" ref="V619">+J619+(4*(INDEX(MatchScoreTable,$Q619,20)-1))</f>
        <v>4</v>
      </c>
      <c r="W619" s="442">
        <f t="array" ref="W619">INDEX(INC_MINVALUES,$V619,$K$1)</f>
        <v>0.2</v>
      </c>
      <c r="X619" s="212">
        <f t="array" ref="X619">INDEX(INC_INCVALUES,$V619,$K$1)</f>
        <v>0.02</v>
      </c>
    </row>
    <row r="620" ht="15.75" customHeight="1">
      <c r="A620" s="435"/>
      <c r="B620" s="436"/>
      <c r="C620" s="95" t="str">
        <f t="array" ref="C620">IF(I620&gt;0,INDEX(DB,I620,8),"")</f>
        <v/>
      </c>
      <c r="D620" s="437">
        <f t="shared" si="1"/>
        <v>0</v>
      </c>
      <c r="F620" s="438">
        <f t="shared" si="2"/>
        <v>0</v>
      </c>
      <c r="G620" t="str">
        <f t="shared" si="3"/>
        <v/>
      </c>
      <c r="H620" t="b">
        <f t="shared" si="4"/>
        <v>0</v>
      </c>
      <c r="I620" s="439">
        <f>IF(OR(ISBLANK(A620),ISNA(MATCH(A620&amp;"",AthleteNumbers,0))),0,MATCH(A620&amp;"",AthleteNumbers,0))</f>
        <v>0</v>
      </c>
      <c r="J620" s="209">
        <f t="array" ref="J620">IF(I620&gt;0,INDEX(DB,$I620,6),0)</f>
        <v>0</v>
      </c>
      <c r="K620" s="446">
        <f t="shared" si="5"/>
        <v>0</v>
      </c>
      <c r="L620" s="446">
        <f t="shared" si="6"/>
        <v>0</v>
      </c>
      <c r="M620" s="441">
        <f>IF(L620&lt;O620,MinPoints,IF(AND(L620&gt;N620,O620&gt;0),100,+INT(($L620-O620)/P620)+MinPoints))</f>
        <v>10</v>
      </c>
      <c r="N620" s="440">
        <f t="shared" si="7"/>
        <v>4.9</v>
      </c>
      <c r="O620" s="440">
        <f t="shared" si="8"/>
        <v>2.2</v>
      </c>
      <c r="P620" s="440">
        <f t="shared" si="9"/>
        <v>0.03</v>
      </c>
      <c r="Q620">
        <f t="array" ref="Q620">IF(I620&gt;0,INDEX(DB,I620,9),EventIndex)</f>
        <v>6</v>
      </c>
      <c r="S620" s="447">
        <f t="array" ref="S620">INDEX(MINVALUES,$Q620,$K$1)</f>
        <v>2.2</v>
      </c>
      <c r="T620" s="448">
        <f t="array" ref="T620">INDEX(INCVALUES,$Q620,$K$1)</f>
        <v>0.03</v>
      </c>
      <c r="V620">
        <f t="array" ref="V620">+J620+(4*(INDEX(MatchScoreTable,$Q620,20)-1))</f>
        <v>4</v>
      </c>
      <c r="W620" s="442">
        <f t="array" ref="W620">INDEX(INC_MINVALUES,$V620,$K$1)</f>
        <v>0.2</v>
      </c>
      <c r="X620" s="212">
        <f t="array" ref="X620">INDEX(INC_INCVALUES,$V620,$K$1)</f>
        <v>0.02</v>
      </c>
    </row>
    <row r="621" ht="15.75" customHeight="1">
      <c r="A621" s="435"/>
      <c r="B621" s="436"/>
      <c r="C621" s="95" t="str">
        <f t="array" ref="C621">IF(I621&gt;0,INDEX(DB,I621,8),"")</f>
        <v/>
      </c>
      <c r="D621" s="437">
        <f t="shared" si="1"/>
        <v>0</v>
      </c>
      <c r="F621" s="438">
        <f t="shared" si="2"/>
        <v>0</v>
      </c>
      <c r="G621" t="str">
        <f t="shared" si="3"/>
        <v/>
      </c>
      <c r="H621" t="b">
        <f t="shared" si="4"/>
        <v>0</v>
      </c>
      <c r="I621" s="439">
        <f>IF(OR(ISBLANK(A621),ISNA(MATCH(A621&amp;"",AthleteNumbers,0))),0,MATCH(A621&amp;"",AthleteNumbers,0))</f>
        <v>0</v>
      </c>
      <c r="J621" s="209">
        <f t="array" ref="J621">IF(I621&gt;0,INDEX(DB,$I621,6),0)</f>
        <v>0</v>
      </c>
      <c r="K621" s="446">
        <f t="shared" si="5"/>
        <v>0</v>
      </c>
      <c r="L621" s="446">
        <f t="shared" si="6"/>
        <v>0</v>
      </c>
      <c r="M621" s="441">
        <f>IF(L621&lt;O621,MinPoints,IF(AND(L621&gt;N621,O621&gt;0),100,+INT(($L621-O621)/P621)+MinPoints))</f>
        <v>10</v>
      </c>
      <c r="N621" s="440">
        <f t="shared" si="7"/>
        <v>4.9</v>
      </c>
      <c r="O621" s="440">
        <f t="shared" si="8"/>
        <v>2.2</v>
      </c>
      <c r="P621" s="440">
        <f t="shared" si="9"/>
        <v>0.03</v>
      </c>
      <c r="Q621">
        <f t="array" ref="Q621">IF(I621&gt;0,INDEX(DB,I621,9),EventIndex)</f>
        <v>6</v>
      </c>
      <c r="S621" s="447">
        <f t="array" ref="S621">INDEX(MINVALUES,$Q621,$K$1)</f>
        <v>2.2</v>
      </c>
      <c r="T621" s="448">
        <f t="array" ref="T621">INDEX(INCVALUES,$Q621,$K$1)</f>
        <v>0.03</v>
      </c>
      <c r="V621">
        <f t="array" ref="V621">+J621+(4*(INDEX(MatchScoreTable,$Q621,20)-1))</f>
        <v>4</v>
      </c>
      <c r="W621" s="442">
        <f t="array" ref="W621">INDEX(INC_MINVALUES,$V621,$K$1)</f>
        <v>0.2</v>
      </c>
      <c r="X621" s="212">
        <f t="array" ref="X621">INDEX(INC_INCVALUES,$V621,$K$1)</f>
        <v>0.02</v>
      </c>
    </row>
    <row r="622" ht="15.75" customHeight="1">
      <c r="A622" s="435"/>
      <c r="B622" s="436"/>
      <c r="C622" s="95" t="str">
        <f t="array" ref="C622">IF(I622&gt;0,INDEX(DB,I622,8),"")</f>
        <v/>
      </c>
      <c r="D622" s="437">
        <f t="shared" si="1"/>
        <v>0</v>
      </c>
      <c r="F622" s="438">
        <f t="shared" si="2"/>
        <v>0</v>
      </c>
      <c r="G622" t="str">
        <f t="shared" si="3"/>
        <v/>
      </c>
      <c r="H622" t="b">
        <f t="shared" si="4"/>
        <v>0</v>
      </c>
      <c r="I622" s="439">
        <f>IF(OR(ISBLANK(A622),ISNA(MATCH(A622&amp;"",AthleteNumbers,0))),0,MATCH(A622&amp;"",AthleteNumbers,0))</f>
        <v>0</v>
      </c>
      <c r="J622" s="209">
        <f t="array" ref="J622">IF(I622&gt;0,INDEX(DB,$I622,6),0)</f>
        <v>0</v>
      </c>
      <c r="K622" s="446">
        <f t="shared" si="5"/>
        <v>0</v>
      </c>
      <c r="L622" s="446">
        <f t="shared" si="6"/>
        <v>0</v>
      </c>
      <c r="M622" s="441">
        <f>IF(L622&lt;O622,MinPoints,IF(AND(L622&gt;N622,O622&gt;0),100,+INT(($L622-O622)/P622)+MinPoints))</f>
        <v>10</v>
      </c>
      <c r="N622" s="440">
        <f t="shared" si="7"/>
        <v>4.9</v>
      </c>
      <c r="O622" s="440">
        <f t="shared" si="8"/>
        <v>2.2</v>
      </c>
      <c r="P622" s="440">
        <f t="shared" si="9"/>
        <v>0.03</v>
      </c>
      <c r="Q622">
        <f t="array" ref="Q622">IF(I622&gt;0,INDEX(DB,I622,9),EventIndex)</f>
        <v>6</v>
      </c>
      <c r="S622" s="447">
        <f t="array" ref="S622">INDEX(MINVALUES,$Q622,$K$1)</f>
        <v>2.2</v>
      </c>
      <c r="T622" s="448">
        <f t="array" ref="T622">INDEX(INCVALUES,$Q622,$K$1)</f>
        <v>0.03</v>
      </c>
      <c r="V622">
        <f t="array" ref="V622">+J622+(4*(INDEX(MatchScoreTable,$Q622,20)-1))</f>
        <v>4</v>
      </c>
      <c r="W622" s="442">
        <f t="array" ref="W622">INDEX(INC_MINVALUES,$V622,$K$1)</f>
        <v>0.2</v>
      </c>
      <c r="X622" s="212">
        <f t="array" ref="X622">INDEX(INC_INCVALUES,$V622,$K$1)</f>
        <v>0.02</v>
      </c>
    </row>
    <row r="623" ht="15.75" customHeight="1">
      <c r="A623" s="435"/>
      <c r="B623" s="436"/>
      <c r="C623" s="95" t="str">
        <f t="array" ref="C623">IF(I623&gt;0,INDEX(DB,I623,8),"")</f>
        <v/>
      </c>
      <c r="D623" s="437">
        <f t="shared" si="1"/>
        <v>0</v>
      </c>
      <c r="F623" s="438">
        <f t="shared" si="2"/>
        <v>0</v>
      </c>
      <c r="G623" t="str">
        <f t="shared" si="3"/>
        <v/>
      </c>
      <c r="H623" t="b">
        <f t="shared" si="4"/>
        <v>0</v>
      </c>
      <c r="I623" s="439">
        <f>IF(OR(ISBLANK(A623),ISNA(MATCH(A623&amp;"",AthleteNumbers,0))),0,MATCH(A623&amp;"",AthleteNumbers,0))</f>
        <v>0</v>
      </c>
      <c r="J623" s="209">
        <f t="array" ref="J623">IF(I623&gt;0,INDEX(DB,$I623,6),0)</f>
        <v>0</v>
      </c>
      <c r="K623" s="446">
        <f t="shared" si="5"/>
        <v>0</v>
      </c>
      <c r="L623" s="446">
        <f t="shared" si="6"/>
        <v>0</v>
      </c>
      <c r="M623" s="441">
        <f>IF(L623&lt;O623,MinPoints,IF(AND(L623&gt;N623,O623&gt;0),100,+INT(($L623-O623)/P623)+MinPoints))</f>
        <v>10</v>
      </c>
      <c r="N623" s="440">
        <f t="shared" si="7"/>
        <v>4.9</v>
      </c>
      <c r="O623" s="440">
        <f t="shared" si="8"/>
        <v>2.2</v>
      </c>
      <c r="P623" s="440">
        <f t="shared" si="9"/>
        <v>0.03</v>
      </c>
      <c r="Q623">
        <f t="array" ref="Q623">IF(I623&gt;0,INDEX(DB,I623,9),EventIndex)</f>
        <v>6</v>
      </c>
      <c r="S623" s="447">
        <f t="array" ref="S623">INDEX(MINVALUES,$Q623,$K$1)</f>
        <v>2.2</v>
      </c>
      <c r="T623" s="448">
        <f t="array" ref="T623">INDEX(INCVALUES,$Q623,$K$1)</f>
        <v>0.03</v>
      </c>
      <c r="V623">
        <f t="array" ref="V623">+J623+(4*(INDEX(MatchScoreTable,$Q623,20)-1))</f>
        <v>4</v>
      </c>
      <c r="W623" s="442">
        <f t="array" ref="W623">INDEX(INC_MINVALUES,$V623,$K$1)</f>
        <v>0.2</v>
      </c>
      <c r="X623" s="212">
        <f t="array" ref="X623">INDEX(INC_INCVALUES,$V623,$K$1)</f>
        <v>0.02</v>
      </c>
    </row>
    <row r="624" ht="15.75" customHeight="1">
      <c r="A624" s="435"/>
      <c r="B624" s="436"/>
      <c r="C624" s="95" t="str">
        <f t="array" ref="C624">IF(I624&gt;0,INDEX(DB,I624,8),"")</f>
        <v/>
      </c>
      <c r="D624" s="437">
        <f t="shared" si="1"/>
        <v>0</v>
      </c>
      <c r="F624" s="438">
        <f t="shared" si="2"/>
        <v>0</v>
      </c>
      <c r="G624" t="str">
        <f t="shared" si="3"/>
        <v/>
      </c>
      <c r="H624" t="b">
        <f t="shared" si="4"/>
        <v>0</v>
      </c>
      <c r="I624" s="439">
        <f>IF(OR(ISBLANK(A624),ISNA(MATCH(A624&amp;"",AthleteNumbers,0))),0,MATCH(A624&amp;"",AthleteNumbers,0))</f>
        <v>0</v>
      </c>
      <c r="J624" s="209">
        <f t="array" ref="J624">IF(I624&gt;0,INDEX(DB,$I624,6),0)</f>
        <v>0</v>
      </c>
      <c r="K624" s="446">
        <f t="shared" si="5"/>
        <v>0</v>
      </c>
      <c r="L624" s="446">
        <f t="shared" si="6"/>
        <v>0</v>
      </c>
      <c r="M624" s="441">
        <f>IF(L624&lt;O624,MinPoints,IF(AND(L624&gt;N624,O624&gt;0),100,+INT(($L624-O624)/P624)+MinPoints))</f>
        <v>10</v>
      </c>
      <c r="N624" s="440">
        <f t="shared" si="7"/>
        <v>4.9</v>
      </c>
      <c r="O624" s="440">
        <f t="shared" si="8"/>
        <v>2.2</v>
      </c>
      <c r="P624" s="440">
        <f t="shared" si="9"/>
        <v>0.03</v>
      </c>
      <c r="Q624">
        <f t="array" ref="Q624">IF(I624&gt;0,INDEX(DB,I624,9),EventIndex)</f>
        <v>6</v>
      </c>
      <c r="S624" s="447">
        <f t="array" ref="S624">INDEX(MINVALUES,$Q624,$K$1)</f>
        <v>2.2</v>
      </c>
      <c r="T624" s="448">
        <f t="array" ref="T624">INDEX(INCVALUES,$Q624,$K$1)</f>
        <v>0.03</v>
      </c>
      <c r="V624">
        <f t="array" ref="V624">+J624+(4*(INDEX(MatchScoreTable,$Q624,20)-1))</f>
        <v>4</v>
      </c>
      <c r="W624" s="442">
        <f t="array" ref="W624">INDEX(INC_MINVALUES,$V624,$K$1)</f>
        <v>0.2</v>
      </c>
      <c r="X624" s="212">
        <f t="array" ref="X624">INDEX(INC_INCVALUES,$V624,$K$1)</f>
        <v>0.02</v>
      </c>
    </row>
    <row r="625" ht="15.75" customHeight="1">
      <c r="A625" s="435"/>
      <c r="B625" s="436"/>
      <c r="C625" s="95" t="str">
        <f t="array" ref="C625">IF(I625&gt;0,INDEX(DB,I625,8),"")</f>
        <v/>
      </c>
      <c r="D625" s="437">
        <f t="shared" si="1"/>
        <v>0</v>
      </c>
      <c r="F625" s="438">
        <f t="shared" si="2"/>
        <v>0</v>
      </c>
      <c r="G625" t="str">
        <f t="shared" si="3"/>
        <v/>
      </c>
      <c r="H625" t="b">
        <f t="shared" si="4"/>
        <v>0</v>
      </c>
      <c r="I625" s="439">
        <f>IF(OR(ISBLANK(A625),ISNA(MATCH(A625&amp;"",AthleteNumbers,0))),0,MATCH(A625&amp;"",AthleteNumbers,0))</f>
        <v>0</v>
      </c>
      <c r="J625" s="209">
        <f t="array" ref="J625">IF(I625&gt;0,INDEX(DB,$I625,6),0)</f>
        <v>0</v>
      </c>
      <c r="K625" s="446">
        <f t="shared" si="5"/>
        <v>0</v>
      </c>
      <c r="L625" s="446">
        <f t="shared" si="6"/>
        <v>0</v>
      </c>
      <c r="M625" s="441">
        <f>IF(L625&lt;O625,MinPoints,IF(AND(L625&gt;N625,O625&gt;0),100,+INT(($L625-O625)/P625)+MinPoints))</f>
        <v>10</v>
      </c>
      <c r="N625" s="440">
        <f t="shared" si="7"/>
        <v>4.9</v>
      </c>
      <c r="O625" s="440">
        <f t="shared" si="8"/>
        <v>2.2</v>
      </c>
      <c r="P625" s="440">
        <f t="shared" si="9"/>
        <v>0.03</v>
      </c>
      <c r="Q625">
        <f t="array" ref="Q625">IF(I625&gt;0,INDEX(DB,I625,9),EventIndex)</f>
        <v>6</v>
      </c>
      <c r="S625" s="447">
        <f t="array" ref="S625">INDEX(MINVALUES,$Q625,$K$1)</f>
        <v>2.2</v>
      </c>
      <c r="T625" s="448">
        <f t="array" ref="T625">INDEX(INCVALUES,$Q625,$K$1)</f>
        <v>0.03</v>
      </c>
      <c r="V625">
        <f t="array" ref="V625">+J625+(4*(INDEX(MatchScoreTable,$Q625,20)-1))</f>
        <v>4</v>
      </c>
      <c r="W625" s="442">
        <f t="array" ref="W625">INDEX(INC_MINVALUES,$V625,$K$1)</f>
        <v>0.2</v>
      </c>
      <c r="X625" s="212">
        <f t="array" ref="X625">INDEX(INC_INCVALUES,$V625,$K$1)</f>
        <v>0.02</v>
      </c>
    </row>
    <row r="626" ht="15.75" customHeight="1">
      <c r="A626" s="435"/>
      <c r="B626" s="436"/>
      <c r="C626" s="95" t="str">
        <f t="array" ref="C626">IF(I626&gt;0,INDEX(DB,I626,8),"")</f>
        <v/>
      </c>
      <c r="D626" s="437">
        <f t="shared" si="1"/>
        <v>0</v>
      </c>
      <c r="F626" s="438">
        <f t="shared" si="2"/>
        <v>0</v>
      </c>
      <c r="G626" t="str">
        <f t="shared" si="3"/>
        <v/>
      </c>
      <c r="H626" t="b">
        <f t="shared" si="4"/>
        <v>0</v>
      </c>
      <c r="I626" s="439">
        <f>IF(OR(ISBLANK(A626),ISNA(MATCH(A626&amp;"",AthleteNumbers,0))),0,MATCH(A626&amp;"",AthleteNumbers,0))</f>
        <v>0</v>
      </c>
      <c r="J626" s="209">
        <f t="array" ref="J626">IF(I626&gt;0,INDEX(DB,$I626,6),0)</f>
        <v>0</v>
      </c>
      <c r="K626" s="446">
        <f t="shared" si="5"/>
        <v>0</v>
      </c>
      <c r="L626" s="446">
        <f t="shared" si="6"/>
        <v>0</v>
      </c>
      <c r="M626" s="441">
        <f>IF(L626&lt;O626,MinPoints,IF(AND(L626&gt;N626,O626&gt;0),100,+INT(($L626-O626)/P626)+MinPoints))</f>
        <v>10</v>
      </c>
      <c r="N626" s="440">
        <f t="shared" si="7"/>
        <v>4.9</v>
      </c>
      <c r="O626" s="440">
        <f t="shared" si="8"/>
        <v>2.2</v>
      </c>
      <c r="P626" s="440">
        <f t="shared" si="9"/>
        <v>0.03</v>
      </c>
      <c r="Q626">
        <f t="array" ref="Q626">IF(I626&gt;0,INDEX(DB,I626,9),EventIndex)</f>
        <v>6</v>
      </c>
      <c r="S626" s="447">
        <f t="array" ref="S626">INDEX(MINVALUES,$Q626,$K$1)</f>
        <v>2.2</v>
      </c>
      <c r="T626" s="448">
        <f t="array" ref="T626">INDEX(INCVALUES,$Q626,$K$1)</f>
        <v>0.03</v>
      </c>
      <c r="V626">
        <f t="array" ref="V626">+J626+(4*(INDEX(MatchScoreTable,$Q626,20)-1))</f>
        <v>4</v>
      </c>
      <c r="W626" s="442">
        <f t="array" ref="W626">INDEX(INC_MINVALUES,$V626,$K$1)</f>
        <v>0.2</v>
      </c>
      <c r="X626" s="212">
        <f t="array" ref="X626">INDEX(INC_INCVALUES,$V626,$K$1)</f>
        <v>0.02</v>
      </c>
    </row>
    <row r="627" ht="15.75" customHeight="1">
      <c r="A627" s="435"/>
      <c r="B627" s="436"/>
      <c r="C627" s="95" t="str">
        <f t="array" ref="C627">IF(I627&gt;0,INDEX(DB,I627,8),"")</f>
        <v/>
      </c>
      <c r="D627" s="437">
        <f t="shared" si="1"/>
        <v>0</v>
      </c>
      <c r="F627" s="438">
        <f t="shared" si="2"/>
        <v>0</v>
      </c>
      <c r="G627" t="str">
        <f t="shared" si="3"/>
        <v/>
      </c>
      <c r="H627" t="b">
        <f t="shared" si="4"/>
        <v>0</v>
      </c>
      <c r="I627" s="439">
        <f>IF(OR(ISBLANK(A627),ISNA(MATCH(A627&amp;"",AthleteNumbers,0))),0,MATCH(A627&amp;"",AthleteNumbers,0))</f>
        <v>0</v>
      </c>
      <c r="J627" s="209">
        <f t="array" ref="J627">IF(I627&gt;0,INDEX(DB,$I627,6),0)</f>
        <v>0</v>
      </c>
      <c r="K627" s="446">
        <f t="shared" si="5"/>
        <v>0</v>
      </c>
      <c r="L627" s="446">
        <f t="shared" si="6"/>
        <v>0</v>
      </c>
      <c r="M627" s="441">
        <f>IF(L627&lt;O627,MinPoints,IF(AND(L627&gt;N627,O627&gt;0),100,+INT(($L627-O627)/P627)+MinPoints))</f>
        <v>10</v>
      </c>
      <c r="N627" s="440">
        <f t="shared" si="7"/>
        <v>4.9</v>
      </c>
      <c r="O627" s="440">
        <f t="shared" si="8"/>
        <v>2.2</v>
      </c>
      <c r="P627" s="440">
        <f t="shared" si="9"/>
        <v>0.03</v>
      </c>
      <c r="Q627">
        <f t="array" ref="Q627">IF(I627&gt;0,INDEX(DB,I627,9),EventIndex)</f>
        <v>6</v>
      </c>
      <c r="S627" s="447">
        <f t="array" ref="S627">INDEX(MINVALUES,$Q627,$K$1)</f>
        <v>2.2</v>
      </c>
      <c r="T627" s="448">
        <f t="array" ref="T627">INDEX(INCVALUES,$Q627,$K$1)</f>
        <v>0.03</v>
      </c>
      <c r="V627">
        <f t="array" ref="V627">+J627+(4*(INDEX(MatchScoreTable,$Q627,20)-1))</f>
        <v>4</v>
      </c>
      <c r="W627" s="442">
        <f t="array" ref="W627">INDEX(INC_MINVALUES,$V627,$K$1)</f>
        <v>0.2</v>
      </c>
      <c r="X627" s="212">
        <f t="array" ref="X627">INDEX(INC_INCVALUES,$V627,$K$1)</f>
        <v>0.02</v>
      </c>
    </row>
    <row r="628" ht="15.75" customHeight="1">
      <c r="A628" s="435"/>
      <c r="B628" s="436"/>
      <c r="C628" s="95" t="str">
        <f t="array" ref="C628">IF(I628&gt;0,INDEX(DB,I628,8),"")</f>
        <v/>
      </c>
      <c r="D628" s="437">
        <f t="shared" si="1"/>
        <v>0</v>
      </c>
      <c r="F628" s="438">
        <f t="shared" si="2"/>
        <v>0</v>
      </c>
      <c r="G628" t="str">
        <f t="shared" si="3"/>
        <v/>
      </c>
      <c r="H628" t="b">
        <f t="shared" si="4"/>
        <v>0</v>
      </c>
      <c r="I628" s="439">
        <f>IF(OR(ISBLANK(A628),ISNA(MATCH(A628&amp;"",AthleteNumbers,0))),0,MATCH(A628&amp;"",AthleteNumbers,0))</f>
        <v>0</v>
      </c>
      <c r="J628" s="209">
        <f t="array" ref="J628">IF(I628&gt;0,INDEX(DB,$I628,6),0)</f>
        <v>0</v>
      </c>
      <c r="K628" s="446">
        <f t="shared" si="5"/>
        <v>0</v>
      </c>
      <c r="L628" s="446">
        <f t="shared" si="6"/>
        <v>0</v>
      </c>
      <c r="M628" s="441">
        <f>IF(L628&lt;O628,MinPoints,IF(AND(L628&gt;N628,O628&gt;0),100,+INT(($L628-O628)/P628)+MinPoints))</f>
        <v>10</v>
      </c>
      <c r="N628" s="440">
        <f t="shared" si="7"/>
        <v>4.9</v>
      </c>
      <c r="O628" s="440">
        <f t="shared" si="8"/>
        <v>2.2</v>
      </c>
      <c r="P628" s="440">
        <f t="shared" si="9"/>
        <v>0.03</v>
      </c>
      <c r="Q628">
        <f t="array" ref="Q628">IF(I628&gt;0,INDEX(DB,I628,9),EventIndex)</f>
        <v>6</v>
      </c>
      <c r="S628" s="447">
        <f t="array" ref="S628">INDEX(MINVALUES,$Q628,$K$1)</f>
        <v>2.2</v>
      </c>
      <c r="T628" s="448">
        <f t="array" ref="T628">INDEX(INCVALUES,$Q628,$K$1)</f>
        <v>0.03</v>
      </c>
      <c r="V628">
        <f t="array" ref="V628">+J628+(4*(INDEX(MatchScoreTable,$Q628,20)-1))</f>
        <v>4</v>
      </c>
      <c r="W628" s="442">
        <f t="array" ref="W628">INDEX(INC_MINVALUES,$V628,$K$1)</f>
        <v>0.2</v>
      </c>
      <c r="X628" s="212">
        <f t="array" ref="X628">INDEX(INC_INCVALUES,$V628,$K$1)</f>
        <v>0.02</v>
      </c>
    </row>
    <row r="629" ht="15.75" customHeight="1">
      <c r="A629" s="435"/>
      <c r="B629" s="436"/>
      <c r="C629" s="95" t="str">
        <f t="array" ref="C629">IF(I629&gt;0,INDEX(DB,I629,8),"")</f>
        <v/>
      </c>
      <c r="D629" s="437">
        <f t="shared" si="1"/>
        <v>0</v>
      </c>
      <c r="F629" s="438">
        <f t="shared" si="2"/>
        <v>0</v>
      </c>
      <c r="G629" t="str">
        <f t="shared" si="3"/>
        <v/>
      </c>
      <c r="H629" t="b">
        <f t="shared" si="4"/>
        <v>0</v>
      </c>
      <c r="I629" s="439">
        <f>IF(OR(ISBLANK(A629),ISNA(MATCH(A629&amp;"",AthleteNumbers,0))),0,MATCH(A629&amp;"",AthleteNumbers,0))</f>
        <v>0</v>
      </c>
      <c r="J629" s="209">
        <f t="array" ref="J629">IF(I629&gt;0,INDEX(DB,$I629,6),0)</f>
        <v>0</v>
      </c>
      <c r="K629" s="446">
        <f t="shared" si="5"/>
        <v>0</v>
      </c>
      <c r="L629" s="446">
        <f t="shared" si="6"/>
        <v>0</v>
      </c>
      <c r="M629" s="441">
        <f>IF(L629&lt;O629,MinPoints,IF(AND(L629&gt;N629,O629&gt;0),100,+INT(($L629-O629)/P629)+MinPoints))</f>
        <v>10</v>
      </c>
      <c r="N629" s="440">
        <f t="shared" si="7"/>
        <v>4.9</v>
      </c>
      <c r="O629" s="440">
        <f t="shared" si="8"/>
        <v>2.2</v>
      </c>
      <c r="P629" s="440">
        <f t="shared" si="9"/>
        <v>0.03</v>
      </c>
      <c r="Q629">
        <f t="array" ref="Q629">IF(I629&gt;0,INDEX(DB,I629,9),EventIndex)</f>
        <v>6</v>
      </c>
      <c r="S629" s="447">
        <f t="array" ref="S629">INDEX(MINVALUES,$Q629,$K$1)</f>
        <v>2.2</v>
      </c>
      <c r="T629" s="448">
        <f t="array" ref="T629">INDEX(INCVALUES,$Q629,$K$1)</f>
        <v>0.03</v>
      </c>
      <c r="V629">
        <f t="array" ref="V629">+J629+(4*(INDEX(MatchScoreTable,$Q629,20)-1))</f>
        <v>4</v>
      </c>
      <c r="W629" s="442">
        <f t="array" ref="W629">INDEX(INC_MINVALUES,$V629,$K$1)</f>
        <v>0.2</v>
      </c>
      <c r="X629" s="212">
        <f t="array" ref="X629">INDEX(INC_INCVALUES,$V629,$K$1)</f>
        <v>0.02</v>
      </c>
    </row>
    <row r="630" ht="15.75" customHeight="1">
      <c r="A630" s="435"/>
      <c r="B630" s="436"/>
      <c r="C630" s="95" t="str">
        <f t="array" ref="C630">IF(I630&gt;0,INDEX(DB,I630,8),"")</f>
        <v/>
      </c>
      <c r="D630" s="437">
        <f t="shared" si="1"/>
        <v>0</v>
      </c>
      <c r="F630" s="438">
        <f t="shared" si="2"/>
        <v>0</v>
      </c>
      <c r="G630" t="str">
        <f t="shared" si="3"/>
        <v/>
      </c>
      <c r="H630" t="b">
        <f t="shared" si="4"/>
        <v>0</v>
      </c>
      <c r="I630" s="439">
        <f>IF(OR(ISBLANK(A630),ISNA(MATCH(A630&amp;"",AthleteNumbers,0))),0,MATCH(A630&amp;"",AthleteNumbers,0))</f>
        <v>0</v>
      </c>
      <c r="J630" s="209">
        <f t="array" ref="J630">IF(I630&gt;0,INDEX(DB,$I630,6),0)</f>
        <v>0</v>
      </c>
      <c r="K630" s="446">
        <f t="shared" si="5"/>
        <v>0</v>
      </c>
      <c r="L630" s="446">
        <f t="shared" si="6"/>
        <v>0</v>
      </c>
      <c r="M630" s="441">
        <f>IF(L630&lt;O630,MinPoints,IF(AND(L630&gt;N630,O630&gt;0),100,+INT(($L630-O630)/P630)+MinPoints))</f>
        <v>10</v>
      </c>
      <c r="N630" s="440">
        <f t="shared" si="7"/>
        <v>4.9</v>
      </c>
      <c r="O630" s="440">
        <f t="shared" si="8"/>
        <v>2.2</v>
      </c>
      <c r="P630" s="440">
        <f t="shared" si="9"/>
        <v>0.03</v>
      </c>
      <c r="Q630">
        <f t="array" ref="Q630">IF(I630&gt;0,INDEX(DB,I630,9),EventIndex)</f>
        <v>6</v>
      </c>
      <c r="S630" s="447">
        <f t="array" ref="S630">INDEX(MINVALUES,$Q630,$K$1)</f>
        <v>2.2</v>
      </c>
      <c r="T630" s="448">
        <f t="array" ref="T630">INDEX(INCVALUES,$Q630,$K$1)</f>
        <v>0.03</v>
      </c>
      <c r="V630">
        <f t="array" ref="V630">+J630+(4*(INDEX(MatchScoreTable,$Q630,20)-1))</f>
        <v>4</v>
      </c>
      <c r="W630" s="442">
        <f t="array" ref="W630">INDEX(INC_MINVALUES,$V630,$K$1)</f>
        <v>0.2</v>
      </c>
      <c r="X630" s="212">
        <f t="array" ref="X630">INDEX(INC_INCVALUES,$V630,$K$1)</f>
        <v>0.02</v>
      </c>
    </row>
    <row r="631" ht="15.75" customHeight="1">
      <c r="A631" s="435"/>
      <c r="B631" s="436"/>
      <c r="C631" s="95" t="str">
        <f t="array" ref="C631">IF(I631&gt;0,INDEX(DB,I631,8),"")</f>
        <v/>
      </c>
      <c r="D631" s="437">
        <f t="shared" si="1"/>
        <v>0</v>
      </c>
      <c r="F631" s="438">
        <f t="shared" si="2"/>
        <v>0</v>
      </c>
      <c r="G631" t="str">
        <f t="shared" si="3"/>
        <v/>
      </c>
      <c r="H631" t="b">
        <f t="shared" si="4"/>
        <v>0</v>
      </c>
      <c r="I631" s="439">
        <f>IF(OR(ISBLANK(A631),ISNA(MATCH(A631&amp;"",AthleteNumbers,0))),0,MATCH(A631&amp;"",AthleteNumbers,0))</f>
        <v>0</v>
      </c>
      <c r="J631" s="209">
        <f t="array" ref="J631">IF(I631&gt;0,INDEX(DB,$I631,6),0)</f>
        <v>0</v>
      </c>
      <c r="K631" s="446">
        <f t="shared" si="5"/>
        <v>0</v>
      </c>
      <c r="L631" s="446">
        <f t="shared" si="6"/>
        <v>0</v>
      </c>
      <c r="M631" s="441">
        <f>IF(L631&lt;O631,MinPoints,IF(AND(L631&gt;N631,O631&gt;0),100,+INT(($L631-O631)/P631)+MinPoints))</f>
        <v>10</v>
      </c>
      <c r="N631" s="440">
        <f t="shared" si="7"/>
        <v>4.9</v>
      </c>
      <c r="O631" s="440">
        <f t="shared" si="8"/>
        <v>2.2</v>
      </c>
      <c r="P631" s="440">
        <f t="shared" si="9"/>
        <v>0.03</v>
      </c>
      <c r="Q631">
        <f t="array" ref="Q631">IF(I631&gt;0,INDEX(DB,I631,9),EventIndex)</f>
        <v>6</v>
      </c>
      <c r="S631" s="447">
        <f t="array" ref="S631">INDEX(MINVALUES,$Q631,$K$1)</f>
        <v>2.2</v>
      </c>
      <c r="T631" s="448">
        <f t="array" ref="T631">INDEX(INCVALUES,$Q631,$K$1)</f>
        <v>0.03</v>
      </c>
      <c r="V631">
        <f t="array" ref="V631">+J631+(4*(INDEX(MatchScoreTable,$Q631,20)-1))</f>
        <v>4</v>
      </c>
      <c r="W631" s="442">
        <f t="array" ref="W631">INDEX(INC_MINVALUES,$V631,$K$1)</f>
        <v>0.2</v>
      </c>
      <c r="X631" s="212">
        <f t="array" ref="X631">INDEX(INC_INCVALUES,$V631,$K$1)</f>
        <v>0.02</v>
      </c>
    </row>
    <row r="632" ht="15.75" customHeight="1">
      <c r="A632" s="435"/>
      <c r="B632" s="436"/>
      <c r="C632" s="95" t="str">
        <f t="array" ref="C632">IF(I632&gt;0,INDEX(DB,I632,8),"")</f>
        <v/>
      </c>
      <c r="D632" s="437">
        <f t="shared" si="1"/>
        <v>0</v>
      </c>
      <c r="F632" s="438">
        <f t="shared" si="2"/>
        <v>0</v>
      </c>
      <c r="G632" t="str">
        <f t="shared" si="3"/>
        <v/>
      </c>
      <c r="H632" t="b">
        <f t="shared" si="4"/>
        <v>0</v>
      </c>
      <c r="I632" s="439">
        <f>IF(OR(ISBLANK(A632),ISNA(MATCH(A632&amp;"",AthleteNumbers,0))),0,MATCH(A632&amp;"",AthleteNumbers,0))</f>
        <v>0</v>
      </c>
      <c r="J632" s="209">
        <f t="array" ref="J632">IF(I632&gt;0,INDEX(DB,$I632,6),0)</f>
        <v>0</v>
      </c>
      <c r="K632" s="446">
        <f t="shared" si="5"/>
        <v>0</v>
      </c>
      <c r="L632" s="446">
        <f t="shared" si="6"/>
        <v>0</v>
      </c>
      <c r="M632" s="441">
        <f>IF(L632&lt;O632,MinPoints,IF(AND(L632&gt;N632,O632&gt;0),100,+INT(($L632-O632)/P632)+MinPoints))</f>
        <v>10</v>
      </c>
      <c r="N632" s="440">
        <f t="shared" si="7"/>
        <v>4.9</v>
      </c>
      <c r="O632" s="440">
        <f t="shared" si="8"/>
        <v>2.2</v>
      </c>
      <c r="P632" s="440">
        <f t="shared" si="9"/>
        <v>0.03</v>
      </c>
      <c r="Q632">
        <f t="array" ref="Q632">IF(I632&gt;0,INDEX(DB,I632,9),EventIndex)</f>
        <v>6</v>
      </c>
      <c r="S632" s="447">
        <f t="array" ref="S632">INDEX(MINVALUES,$Q632,$K$1)</f>
        <v>2.2</v>
      </c>
      <c r="T632" s="448">
        <f t="array" ref="T632">INDEX(INCVALUES,$Q632,$K$1)</f>
        <v>0.03</v>
      </c>
      <c r="V632">
        <f t="array" ref="V632">+J632+(4*(INDEX(MatchScoreTable,$Q632,20)-1))</f>
        <v>4</v>
      </c>
      <c r="W632" s="442">
        <f t="array" ref="W632">INDEX(INC_MINVALUES,$V632,$K$1)</f>
        <v>0.2</v>
      </c>
      <c r="X632" s="212">
        <f t="array" ref="X632">INDEX(INC_INCVALUES,$V632,$K$1)</f>
        <v>0.02</v>
      </c>
    </row>
    <row r="633" ht="15.75" customHeight="1">
      <c r="A633" s="435"/>
      <c r="B633" s="436"/>
      <c r="C633" s="95" t="str">
        <f t="array" ref="C633">IF(I633&gt;0,INDEX(DB,I633,8),"")</f>
        <v/>
      </c>
      <c r="D633" s="437">
        <f t="shared" si="1"/>
        <v>0</v>
      </c>
      <c r="F633" s="438">
        <f t="shared" si="2"/>
        <v>0</v>
      </c>
      <c r="G633" t="str">
        <f t="shared" si="3"/>
        <v/>
      </c>
      <c r="H633" t="b">
        <f t="shared" si="4"/>
        <v>0</v>
      </c>
      <c r="I633" s="439">
        <f>IF(OR(ISBLANK(A633),ISNA(MATCH(A633&amp;"",AthleteNumbers,0))),0,MATCH(A633&amp;"",AthleteNumbers,0))</f>
        <v>0</v>
      </c>
      <c r="J633" s="209">
        <f t="array" ref="J633">IF(I633&gt;0,INDEX(DB,$I633,6),0)</f>
        <v>0</v>
      </c>
      <c r="K633" s="446">
        <f t="shared" si="5"/>
        <v>0</v>
      </c>
      <c r="L633" s="446">
        <f t="shared" si="6"/>
        <v>0</v>
      </c>
      <c r="M633" s="441">
        <f>IF(L633&lt;O633,MinPoints,IF(AND(L633&gt;N633,O633&gt;0),100,+INT(($L633-O633)/P633)+MinPoints))</f>
        <v>10</v>
      </c>
      <c r="N633" s="440">
        <f t="shared" si="7"/>
        <v>4.9</v>
      </c>
      <c r="O633" s="440">
        <f t="shared" si="8"/>
        <v>2.2</v>
      </c>
      <c r="P633" s="440">
        <f t="shared" si="9"/>
        <v>0.03</v>
      </c>
      <c r="Q633">
        <f t="array" ref="Q633">IF(I633&gt;0,INDEX(DB,I633,9),EventIndex)</f>
        <v>6</v>
      </c>
      <c r="S633" s="447">
        <f t="array" ref="S633">INDEX(MINVALUES,$Q633,$K$1)</f>
        <v>2.2</v>
      </c>
      <c r="T633" s="448">
        <f t="array" ref="T633">INDEX(INCVALUES,$Q633,$K$1)</f>
        <v>0.03</v>
      </c>
      <c r="V633">
        <f t="array" ref="V633">+J633+(4*(INDEX(MatchScoreTable,$Q633,20)-1))</f>
        <v>4</v>
      </c>
      <c r="W633" s="442">
        <f t="array" ref="W633">INDEX(INC_MINVALUES,$V633,$K$1)</f>
        <v>0.2</v>
      </c>
      <c r="X633" s="212">
        <f t="array" ref="X633">INDEX(INC_INCVALUES,$V633,$K$1)</f>
        <v>0.02</v>
      </c>
    </row>
    <row r="634" ht="15.75" customHeight="1">
      <c r="A634" s="435"/>
      <c r="B634" s="436"/>
      <c r="C634" s="95" t="str">
        <f t="array" ref="C634">IF(I634&gt;0,INDEX(DB,I634,8),"")</f>
        <v/>
      </c>
      <c r="D634" s="437">
        <f t="shared" si="1"/>
        <v>0</v>
      </c>
      <c r="F634" s="438">
        <f t="shared" si="2"/>
        <v>0</v>
      </c>
      <c r="G634" t="str">
        <f t="shared" si="3"/>
        <v/>
      </c>
      <c r="H634" t="b">
        <f t="shared" si="4"/>
        <v>0</v>
      </c>
      <c r="I634" s="439">
        <f>IF(OR(ISBLANK(A634),ISNA(MATCH(A634&amp;"",AthleteNumbers,0))),0,MATCH(A634&amp;"",AthleteNumbers,0))</f>
        <v>0</v>
      </c>
      <c r="J634" s="209">
        <f t="array" ref="J634">IF(I634&gt;0,INDEX(DB,$I634,6),0)</f>
        <v>0</v>
      </c>
      <c r="K634" s="446">
        <f t="shared" si="5"/>
        <v>0</v>
      </c>
      <c r="L634" s="446">
        <f t="shared" si="6"/>
        <v>0</v>
      </c>
      <c r="M634" s="441">
        <f>IF(L634&lt;O634,MinPoints,IF(AND(L634&gt;N634,O634&gt;0),100,+INT(($L634-O634)/P634)+MinPoints))</f>
        <v>10</v>
      </c>
      <c r="N634" s="440">
        <f t="shared" si="7"/>
        <v>4.9</v>
      </c>
      <c r="O634" s="440">
        <f t="shared" si="8"/>
        <v>2.2</v>
      </c>
      <c r="P634" s="440">
        <f t="shared" si="9"/>
        <v>0.03</v>
      </c>
      <c r="Q634">
        <f t="array" ref="Q634">IF(I634&gt;0,INDEX(DB,I634,9),EventIndex)</f>
        <v>6</v>
      </c>
      <c r="S634" s="447">
        <f t="array" ref="S634">INDEX(MINVALUES,$Q634,$K$1)</f>
        <v>2.2</v>
      </c>
      <c r="T634" s="448">
        <f t="array" ref="T634">INDEX(INCVALUES,$Q634,$K$1)</f>
        <v>0.03</v>
      </c>
      <c r="V634">
        <f t="array" ref="V634">+J634+(4*(INDEX(MatchScoreTable,$Q634,20)-1))</f>
        <v>4</v>
      </c>
      <c r="W634" s="442">
        <f t="array" ref="W634">INDEX(INC_MINVALUES,$V634,$K$1)</f>
        <v>0.2</v>
      </c>
      <c r="X634" s="212">
        <f t="array" ref="X634">INDEX(INC_INCVALUES,$V634,$K$1)</f>
        <v>0.02</v>
      </c>
    </row>
    <row r="635" ht="15.75" customHeight="1">
      <c r="A635" s="435"/>
      <c r="B635" s="436"/>
      <c r="C635" s="95" t="str">
        <f t="array" ref="C635">IF(I635&gt;0,INDEX(DB,I635,8),"")</f>
        <v/>
      </c>
      <c r="D635" s="437">
        <f t="shared" si="1"/>
        <v>0</v>
      </c>
      <c r="F635" s="438">
        <f t="shared" si="2"/>
        <v>0</v>
      </c>
      <c r="G635" t="str">
        <f t="shared" si="3"/>
        <v/>
      </c>
      <c r="H635" t="b">
        <f t="shared" si="4"/>
        <v>0</v>
      </c>
      <c r="I635" s="439">
        <f>IF(OR(ISBLANK(A635),ISNA(MATCH(A635&amp;"",AthleteNumbers,0))),0,MATCH(A635&amp;"",AthleteNumbers,0))</f>
        <v>0</v>
      </c>
      <c r="J635" s="209">
        <f t="array" ref="J635">IF(I635&gt;0,INDEX(DB,$I635,6),0)</f>
        <v>0</v>
      </c>
      <c r="K635" s="446">
        <f t="shared" si="5"/>
        <v>0</v>
      </c>
      <c r="L635" s="446">
        <f t="shared" si="6"/>
        <v>0</v>
      </c>
      <c r="M635" s="441">
        <f>IF(L635&lt;O635,MinPoints,IF(AND(L635&gt;N635,O635&gt;0),100,+INT(($L635-O635)/P635)+MinPoints))</f>
        <v>10</v>
      </c>
      <c r="N635" s="440">
        <f t="shared" si="7"/>
        <v>4.9</v>
      </c>
      <c r="O635" s="440">
        <f t="shared" si="8"/>
        <v>2.2</v>
      </c>
      <c r="P635" s="440">
        <f t="shared" si="9"/>
        <v>0.03</v>
      </c>
      <c r="Q635">
        <f t="array" ref="Q635">IF(I635&gt;0,INDEX(DB,I635,9),EventIndex)</f>
        <v>6</v>
      </c>
      <c r="S635" s="447">
        <f t="array" ref="S635">INDEX(MINVALUES,$Q635,$K$1)</f>
        <v>2.2</v>
      </c>
      <c r="T635" s="448">
        <f t="array" ref="T635">INDEX(INCVALUES,$Q635,$K$1)</f>
        <v>0.03</v>
      </c>
      <c r="V635">
        <f t="array" ref="V635">+J635+(4*(INDEX(MatchScoreTable,$Q635,20)-1))</f>
        <v>4</v>
      </c>
      <c r="W635" s="442">
        <f t="array" ref="W635">INDEX(INC_MINVALUES,$V635,$K$1)</f>
        <v>0.2</v>
      </c>
      <c r="X635" s="212">
        <f t="array" ref="X635">INDEX(INC_INCVALUES,$V635,$K$1)</f>
        <v>0.02</v>
      </c>
    </row>
    <row r="636" ht="15.75" customHeight="1">
      <c r="A636" s="435"/>
      <c r="B636" s="436"/>
      <c r="C636" s="95" t="str">
        <f t="array" ref="C636">IF(I636&gt;0,INDEX(DB,I636,8),"")</f>
        <v/>
      </c>
      <c r="D636" s="437">
        <f t="shared" si="1"/>
        <v>0</v>
      </c>
      <c r="F636" s="438">
        <f t="shared" si="2"/>
        <v>0</v>
      </c>
      <c r="G636" t="str">
        <f t="shared" si="3"/>
        <v/>
      </c>
      <c r="H636" t="b">
        <f t="shared" si="4"/>
        <v>0</v>
      </c>
      <c r="I636" s="439">
        <f>IF(OR(ISBLANK(A636),ISNA(MATCH(A636&amp;"",AthleteNumbers,0))),0,MATCH(A636&amp;"",AthleteNumbers,0))</f>
        <v>0</v>
      </c>
      <c r="J636" s="209">
        <f t="array" ref="J636">IF(I636&gt;0,INDEX(DB,$I636,6),0)</f>
        <v>0</v>
      </c>
      <c r="K636" s="446">
        <f t="shared" si="5"/>
        <v>0</v>
      </c>
      <c r="L636" s="446">
        <f t="shared" si="6"/>
        <v>0</v>
      </c>
      <c r="M636" s="441">
        <f>IF(L636&lt;O636,MinPoints,IF(AND(L636&gt;N636,O636&gt;0),100,+INT(($L636-O636)/P636)+MinPoints))</f>
        <v>10</v>
      </c>
      <c r="N636" s="440">
        <f t="shared" si="7"/>
        <v>4.9</v>
      </c>
      <c r="O636" s="440">
        <f t="shared" si="8"/>
        <v>2.2</v>
      </c>
      <c r="P636" s="440">
        <f t="shared" si="9"/>
        <v>0.03</v>
      </c>
      <c r="Q636">
        <f t="array" ref="Q636">IF(I636&gt;0,INDEX(DB,I636,9),EventIndex)</f>
        <v>6</v>
      </c>
      <c r="S636" s="447">
        <f t="array" ref="S636">INDEX(MINVALUES,$Q636,$K$1)</f>
        <v>2.2</v>
      </c>
      <c r="T636" s="448">
        <f t="array" ref="T636">INDEX(INCVALUES,$Q636,$K$1)</f>
        <v>0.03</v>
      </c>
      <c r="V636">
        <f t="array" ref="V636">+J636+(4*(INDEX(MatchScoreTable,$Q636,20)-1))</f>
        <v>4</v>
      </c>
      <c r="W636" s="442">
        <f t="array" ref="W636">INDEX(INC_MINVALUES,$V636,$K$1)</f>
        <v>0.2</v>
      </c>
      <c r="X636" s="212">
        <f t="array" ref="X636">INDEX(INC_INCVALUES,$V636,$K$1)</f>
        <v>0.02</v>
      </c>
    </row>
    <row r="637" ht="15.75" customHeight="1">
      <c r="A637" s="435"/>
      <c r="B637" s="436"/>
      <c r="C637" s="95" t="str">
        <f t="array" ref="C637">IF(I637&gt;0,INDEX(DB,I637,8),"")</f>
        <v/>
      </c>
      <c r="D637" s="437">
        <f t="shared" si="1"/>
        <v>0</v>
      </c>
      <c r="F637" s="438">
        <f t="shared" si="2"/>
        <v>0</v>
      </c>
      <c r="G637" t="str">
        <f t="shared" si="3"/>
        <v/>
      </c>
      <c r="H637" t="b">
        <f t="shared" si="4"/>
        <v>0</v>
      </c>
      <c r="I637" s="439">
        <f>IF(OR(ISBLANK(A637),ISNA(MATCH(A637&amp;"",AthleteNumbers,0))),0,MATCH(A637&amp;"",AthleteNumbers,0))</f>
        <v>0</v>
      </c>
      <c r="J637" s="209">
        <f t="array" ref="J637">IF(I637&gt;0,INDEX(DB,$I637,6),0)</f>
        <v>0</v>
      </c>
      <c r="K637" s="446">
        <f t="shared" si="5"/>
        <v>0</v>
      </c>
      <c r="L637" s="446">
        <f t="shared" si="6"/>
        <v>0</v>
      </c>
      <c r="M637" s="441">
        <f>IF(L637&lt;O637,MinPoints,IF(AND(L637&gt;N637,O637&gt;0),100,+INT(($L637-O637)/P637)+MinPoints))</f>
        <v>10</v>
      </c>
      <c r="N637" s="440">
        <f t="shared" si="7"/>
        <v>4.9</v>
      </c>
      <c r="O637" s="440">
        <f t="shared" si="8"/>
        <v>2.2</v>
      </c>
      <c r="P637" s="440">
        <f t="shared" si="9"/>
        <v>0.03</v>
      </c>
      <c r="Q637">
        <f t="array" ref="Q637">IF(I637&gt;0,INDEX(DB,I637,9),EventIndex)</f>
        <v>6</v>
      </c>
      <c r="S637" s="447">
        <f t="array" ref="S637">INDEX(MINVALUES,$Q637,$K$1)</f>
        <v>2.2</v>
      </c>
      <c r="T637" s="448">
        <f t="array" ref="T637">INDEX(INCVALUES,$Q637,$K$1)</f>
        <v>0.03</v>
      </c>
      <c r="V637">
        <f t="array" ref="V637">+J637+(4*(INDEX(MatchScoreTable,$Q637,20)-1))</f>
        <v>4</v>
      </c>
      <c r="W637" s="442">
        <f t="array" ref="W637">INDEX(INC_MINVALUES,$V637,$K$1)</f>
        <v>0.2</v>
      </c>
      <c r="X637" s="212">
        <f t="array" ref="X637">INDEX(INC_INCVALUES,$V637,$K$1)</f>
        <v>0.02</v>
      </c>
    </row>
    <row r="638" ht="15.75" customHeight="1">
      <c r="A638" s="435"/>
      <c r="B638" s="436"/>
      <c r="C638" s="95" t="str">
        <f t="array" ref="C638">IF(I638&gt;0,INDEX(DB,I638,8),"")</f>
        <v/>
      </c>
      <c r="D638" s="437">
        <f t="shared" si="1"/>
        <v>0</v>
      </c>
      <c r="F638" s="438">
        <f t="shared" si="2"/>
        <v>0</v>
      </c>
      <c r="G638" t="str">
        <f t="shared" si="3"/>
        <v/>
      </c>
      <c r="H638" t="b">
        <f t="shared" si="4"/>
        <v>0</v>
      </c>
      <c r="I638" s="439">
        <f>IF(OR(ISBLANK(A638),ISNA(MATCH(A638&amp;"",AthleteNumbers,0))),0,MATCH(A638&amp;"",AthleteNumbers,0))</f>
        <v>0</v>
      </c>
      <c r="J638" s="209">
        <f t="array" ref="J638">IF(I638&gt;0,INDEX(DB,$I638,6),0)</f>
        <v>0</v>
      </c>
      <c r="K638" s="446">
        <f t="shared" si="5"/>
        <v>0</v>
      </c>
      <c r="L638" s="446">
        <f t="shared" si="6"/>
        <v>0</v>
      </c>
      <c r="M638" s="441">
        <f>IF(L638&lt;O638,MinPoints,IF(AND(L638&gt;N638,O638&gt;0),100,+INT(($L638-O638)/P638)+MinPoints))</f>
        <v>10</v>
      </c>
      <c r="N638" s="440">
        <f t="shared" si="7"/>
        <v>4.9</v>
      </c>
      <c r="O638" s="440">
        <f t="shared" si="8"/>
        <v>2.2</v>
      </c>
      <c r="P638" s="440">
        <f t="shared" si="9"/>
        <v>0.03</v>
      </c>
      <c r="Q638">
        <f t="array" ref="Q638">IF(I638&gt;0,INDEX(DB,I638,9),EventIndex)</f>
        <v>6</v>
      </c>
      <c r="S638" s="447">
        <f t="array" ref="S638">INDEX(MINVALUES,$Q638,$K$1)</f>
        <v>2.2</v>
      </c>
      <c r="T638" s="448">
        <f t="array" ref="T638">INDEX(INCVALUES,$Q638,$K$1)</f>
        <v>0.03</v>
      </c>
      <c r="V638">
        <f t="array" ref="V638">+J638+(4*(INDEX(MatchScoreTable,$Q638,20)-1))</f>
        <v>4</v>
      </c>
      <c r="W638" s="442">
        <f t="array" ref="W638">INDEX(INC_MINVALUES,$V638,$K$1)</f>
        <v>0.2</v>
      </c>
      <c r="X638" s="212">
        <f t="array" ref="X638">INDEX(INC_INCVALUES,$V638,$K$1)</f>
        <v>0.02</v>
      </c>
    </row>
    <row r="639" ht="15.75" customHeight="1">
      <c r="A639" s="435"/>
      <c r="B639" s="436"/>
      <c r="C639" s="95" t="str">
        <f t="array" ref="C639">IF(I639&gt;0,INDEX(DB,I639,8),"")</f>
        <v/>
      </c>
      <c r="D639" s="437">
        <f t="shared" si="1"/>
        <v>0</v>
      </c>
      <c r="F639" s="438">
        <f t="shared" si="2"/>
        <v>0</v>
      </c>
      <c r="G639" t="str">
        <f t="shared" si="3"/>
        <v/>
      </c>
      <c r="H639" t="b">
        <f t="shared" si="4"/>
        <v>0</v>
      </c>
      <c r="I639" s="439">
        <f>IF(OR(ISBLANK(A639),ISNA(MATCH(A639&amp;"",AthleteNumbers,0))),0,MATCH(A639&amp;"",AthleteNumbers,0))</f>
        <v>0</v>
      </c>
      <c r="J639" s="209">
        <f t="array" ref="J639">IF(I639&gt;0,INDEX(DB,$I639,6),0)</f>
        <v>0</v>
      </c>
      <c r="K639" s="446">
        <f t="shared" si="5"/>
        <v>0</v>
      </c>
      <c r="L639" s="446">
        <f t="shared" si="6"/>
        <v>0</v>
      </c>
      <c r="M639" s="441">
        <f>IF(L639&lt;O639,MinPoints,IF(AND(L639&gt;N639,O639&gt;0),100,+INT(($L639-O639)/P639)+MinPoints))</f>
        <v>10</v>
      </c>
      <c r="N639" s="440">
        <f t="shared" si="7"/>
        <v>4.9</v>
      </c>
      <c r="O639" s="440">
        <f t="shared" si="8"/>
        <v>2.2</v>
      </c>
      <c r="P639" s="440">
        <f t="shared" si="9"/>
        <v>0.03</v>
      </c>
      <c r="Q639">
        <f t="array" ref="Q639">IF(I639&gt;0,INDEX(DB,I639,9),EventIndex)</f>
        <v>6</v>
      </c>
      <c r="S639" s="447">
        <f t="array" ref="S639">INDEX(MINVALUES,$Q639,$K$1)</f>
        <v>2.2</v>
      </c>
      <c r="T639" s="448">
        <f t="array" ref="T639">INDEX(INCVALUES,$Q639,$K$1)</f>
        <v>0.03</v>
      </c>
      <c r="V639">
        <f t="array" ref="V639">+J639+(4*(INDEX(MatchScoreTable,$Q639,20)-1))</f>
        <v>4</v>
      </c>
      <c r="W639" s="442">
        <f t="array" ref="W639">INDEX(INC_MINVALUES,$V639,$K$1)</f>
        <v>0.2</v>
      </c>
      <c r="X639" s="212">
        <f t="array" ref="X639">INDEX(INC_INCVALUES,$V639,$K$1)</f>
        <v>0.02</v>
      </c>
    </row>
    <row r="640" ht="15.75" customHeight="1">
      <c r="A640" s="435"/>
      <c r="B640" s="436"/>
      <c r="C640" s="95" t="str">
        <f t="array" ref="C640">IF(I640&gt;0,INDEX(DB,I640,8),"")</f>
        <v/>
      </c>
      <c r="D640" s="437">
        <f t="shared" si="1"/>
        <v>0</v>
      </c>
      <c r="F640" s="438">
        <f t="shared" si="2"/>
        <v>0</v>
      </c>
      <c r="G640" t="str">
        <f t="shared" si="3"/>
        <v/>
      </c>
      <c r="H640" t="b">
        <f t="shared" si="4"/>
        <v>0</v>
      </c>
      <c r="I640" s="439">
        <f>IF(OR(ISBLANK(A640),ISNA(MATCH(A640&amp;"",AthleteNumbers,0))),0,MATCH(A640&amp;"",AthleteNumbers,0))</f>
        <v>0</v>
      </c>
      <c r="J640" s="209">
        <f t="array" ref="J640">IF(I640&gt;0,INDEX(DB,$I640,6),0)</f>
        <v>0</v>
      </c>
      <c r="K640" s="446">
        <f t="shared" si="5"/>
        <v>0</v>
      </c>
      <c r="L640" s="446">
        <f t="shared" si="6"/>
        <v>0</v>
      </c>
      <c r="M640" s="441">
        <f>IF(L640&lt;O640,MinPoints,IF(AND(L640&gt;N640,O640&gt;0),100,+INT(($L640-O640)/P640)+MinPoints))</f>
        <v>10</v>
      </c>
      <c r="N640" s="440">
        <f t="shared" si="7"/>
        <v>4.9</v>
      </c>
      <c r="O640" s="440">
        <f t="shared" si="8"/>
        <v>2.2</v>
      </c>
      <c r="P640" s="440">
        <f t="shared" si="9"/>
        <v>0.03</v>
      </c>
      <c r="Q640">
        <f t="array" ref="Q640">IF(I640&gt;0,INDEX(DB,I640,9),EventIndex)</f>
        <v>6</v>
      </c>
      <c r="S640" s="447">
        <f t="array" ref="S640">INDEX(MINVALUES,$Q640,$K$1)</f>
        <v>2.2</v>
      </c>
      <c r="T640" s="448">
        <f t="array" ref="T640">INDEX(INCVALUES,$Q640,$K$1)</f>
        <v>0.03</v>
      </c>
      <c r="V640">
        <f t="array" ref="V640">+J640+(4*(INDEX(MatchScoreTable,$Q640,20)-1))</f>
        <v>4</v>
      </c>
      <c r="W640" s="442">
        <f t="array" ref="W640">INDEX(INC_MINVALUES,$V640,$K$1)</f>
        <v>0.2</v>
      </c>
      <c r="X640" s="212">
        <f t="array" ref="X640">INDEX(INC_INCVALUES,$V640,$K$1)</f>
        <v>0.02</v>
      </c>
    </row>
    <row r="641" ht="15.75" customHeight="1">
      <c r="A641" s="435"/>
      <c r="B641" s="436"/>
      <c r="C641" s="95" t="str">
        <f t="array" ref="C641">IF(I641&gt;0,INDEX(DB,I641,8),"")</f>
        <v/>
      </c>
      <c r="D641" s="437">
        <f t="shared" si="1"/>
        <v>0</v>
      </c>
      <c r="F641" s="438">
        <f t="shared" si="2"/>
        <v>0</v>
      </c>
      <c r="G641" t="str">
        <f t="shared" si="3"/>
        <v/>
      </c>
      <c r="H641" t="b">
        <f t="shared" si="4"/>
        <v>0</v>
      </c>
      <c r="I641" s="439">
        <f>IF(OR(ISBLANK(A641),ISNA(MATCH(A641&amp;"",AthleteNumbers,0))),0,MATCH(A641&amp;"",AthleteNumbers,0))</f>
        <v>0</v>
      </c>
      <c r="J641" s="209">
        <f t="array" ref="J641">IF(I641&gt;0,INDEX(DB,$I641,6),0)</f>
        <v>0</v>
      </c>
      <c r="K641" s="446">
        <f t="shared" si="5"/>
        <v>0</v>
      </c>
      <c r="L641" s="446">
        <f t="shared" si="6"/>
        <v>0</v>
      </c>
      <c r="M641" s="441">
        <f>IF(L641&lt;O641,MinPoints,IF(AND(L641&gt;N641,O641&gt;0),100,+INT(($L641-O641)/P641)+MinPoints))</f>
        <v>10</v>
      </c>
      <c r="N641" s="440">
        <f t="shared" si="7"/>
        <v>4.9</v>
      </c>
      <c r="O641" s="440">
        <f t="shared" si="8"/>
        <v>2.2</v>
      </c>
      <c r="P641" s="440">
        <f t="shared" si="9"/>
        <v>0.03</v>
      </c>
      <c r="Q641">
        <f t="array" ref="Q641">IF(I641&gt;0,INDEX(DB,I641,9),EventIndex)</f>
        <v>6</v>
      </c>
      <c r="S641" s="447">
        <f t="array" ref="S641">INDEX(MINVALUES,$Q641,$K$1)</f>
        <v>2.2</v>
      </c>
      <c r="T641" s="448">
        <f t="array" ref="T641">INDEX(INCVALUES,$Q641,$K$1)</f>
        <v>0.03</v>
      </c>
      <c r="V641">
        <f t="array" ref="V641">+J641+(4*(INDEX(MatchScoreTable,$Q641,20)-1))</f>
        <v>4</v>
      </c>
      <c r="W641" s="442">
        <f t="array" ref="W641">INDEX(INC_MINVALUES,$V641,$K$1)</f>
        <v>0.2</v>
      </c>
      <c r="X641" s="212">
        <f t="array" ref="X641">INDEX(INC_INCVALUES,$V641,$K$1)</f>
        <v>0.02</v>
      </c>
    </row>
    <row r="642" ht="15.75" customHeight="1">
      <c r="A642" s="435"/>
      <c r="B642" s="436"/>
      <c r="C642" s="95" t="str">
        <f t="array" ref="C642">IF(I642&gt;0,INDEX(DB,I642,8),"")</f>
        <v/>
      </c>
      <c r="D642" s="437">
        <f t="shared" si="1"/>
        <v>0</v>
      </c>
      <c r="F642" s="438">
        <f t="shared" si="2"/>
        <v>0</v>
      </c>
      <c r="G642" t="str">
        <f t="shared" si="3"/>
        <v/>
      </c>
      <c r="H642" t="b">
        <f t="shared" si="4"/>
        <v>0</v>
      </c>
      <c r="I642" s="439">
        <f>IF(OR(ISBLANK(A642),ISNA(MATCH(A642&amp;"",AthleteNumbers,0))),0,MATCH(A642&amp;"",AthleteNumbers,0))</f>
        <v>0</v>
      </c>
      <c r="J642" s="209">
        <f t="array" ref="J642">IF(I642&gt;0,INDEX(DB,$I642,6),0)</f>
        <v>0</v>
      </c>
      <c r="K642" s="446">
        <f t="shared" si="5"/>
        <v>0</v>
      </c>
      <c r="L642" s="446">
        <f t="shared" si="6"/>
        <v>0</v>
      </c>
      <c r="M642" s="441">
        <f>IF(L642&lt;O642,MinPoints,IF(AND(L642&gt;N642,O642&gt;0),100,+INT(($L642-O642)/P642)+MinPoints))</f>
        <v>10</v>
      </c>
      <c r="N642" s="440">
        <f t="shared" si="7"/>
        <v>4.9</v>
      </c>
      <c r="O642" s="440">
        <f t="shared" si="8"/>
        <v>2.2</v>
      </c>
      <c r="P642" s="440">
        <f t="shared" si="9"/>
        <v>0.03</v>
      </c>
      <c r="Q642">
        <f t="array" ref="Q642">IF(I642&gt;0,INDEX(DB,I642,9),EventIndex)</f>
        <v>6</v>
      </c>
      <c r="S642" s="447">
        <f t="array" ref="S642">INDEX(MINVALUES,$Q642,$K$1)</f>
        <v>2.2</v>
      </c>
      <c r="T642" s="448">
        <f t="array" ref="T642">INDEX(INCVALUES,$Q642,$K$1)</f>
        <v>0.03</v>
      </c>
      <c r="V642">
        <f t="array" ref="V642">+J642+(4*(INDEX(MatchScoreTable,$Q642,20)-1))</f>
        <v>4</v>
      </c>
      <c r="W642" s="442">
        <f t="array" ref="W642">INDEX(INC_MINVALUES,$V642,$K$1)</f>
        <v>0.2</v>
      </c>
      <c r="X642" s="212">
        <f t="array" ref="X642">INDEX(INC_INCVALUES,$V642,$K$1)</f>
        <v>0.02</v>
      </c>
    </row>
    <row r="643" ht="15.75" customHeight="1">
      <c r="A643" s="435"/>
      <c r="B643" s="436"/>
      <c r="C643" s="95" t="str">
        <f t="array" ref="C643">IF(I643&gt;0,INDEX(DB,I643,8),"")</f>
        <v/>
      </c>
      <c r="D643" s="437">
        <f t="shared" si="1"/>
        <v>0</v>
      </c>
      <c r="F643" s="438">
        <f t="shared" si="2"/>
        <v>0</v>
      </c>
      <c r="G643" t="str">
        <f t="shared" si="3"/>
        <v/>
      </c>
      <c r="H643" t="b">
        <f t="shared" si="4"/>
        <v>0</v>
      </c>
      <c r="I643" s="439">
        <f>IF(OR(ISBLANK(A643),ISNA(MATCH(A643&amp;"",AthleteNumbers,0))),0,MATCH(A643&amp;"",AthleteNumbers,0))</f>
        <v>0</v>
      </c>
      <c r="J643" s="209">
        <f t="array" ref="J643">IF(I643&gt;0,INDEX(DB,$I643,6),0)</f>
        <v>0</v>
      </c>
      <c r="K643" s="446">
        <f t="shared" si="5"/>
        <v>0</v>
      </c>
      <c r="L643" s="446">
        <f t="shared" si="6"/>
        <v>0</v>
      </c>
      <c r="M643" s="441">
        <f>IF(L643&lt;O643,MinPoints,IF(AND(L643&gt;N643,O643&gt;0),100,+INT(($L643-O643)/P643)+MinPoints))</f>
        <v>10</v>
      </c>
      <c r="N643" s="440">
        <f t="shared" si="7"/>
        <v>4.9</v>
      </c>
      <c r="O643" s="440">
        <f t="shared" si="8"/>
        <v>2.2</v>
      </c>
      <c r="P643" s="440">
        <f t="shared" si="9"/>
        <v>0.03</v>
      </c>
      <c r="Q643">
        <f t="array" ref="Q643">IF(I643&gt;0,INDEX(DB,I643,9),EventIndex)</f>
        <v>6</v>
      </c>
      <c r="S643" s="447">
        <f t="array" ref="S643">INDEX(MINVALUES,$Q643,$K$1)</f>
        <v>2.2</v>
      </c>
      <c r="T643" s="448">
        <f t="array" ref="T643">INDEX(INCVALUES,$Q643,$K$1)</f>
        <v>0.03</v>
      </c>
      <c r="V643">
        <f t="array" ref="V643">+J643+(4*(INDEX(MatchScoreTable,$Q643,20)-1))</f>
        <v>4</v>
      </c>
      <c r="W643" s="442">
        <f t="array" ref="W643">INDEX(INC_MINVALUES,$V643,$K$1)</f>
        <v>0.2</v>
      </c>
      <c r="X643" s="212">
        <f t="array" ref="X643">INDEX(INC_INCVALUES,$V643,$K$1)</f>
        <v>0.02</v>
      </c>
    </row>
    <row r="644" ht="15.75" customHeight="1">
      <c r="A644" s="435"/>
      <c r="B644" s="436"/>
      <c r="C644" s="95" t="str">
        <f t="array" ref="C644">IF(I644&gt;0,INDEX(DB,I644,8),"")</f>
        <v/>
      </c>
      <c r="D644" s="437">
        <f t="shared" si="1"/>
        <v>0</v>
      </c>
      <c r="F644" s="438">
        <f t="shared" si="2"/>
        <v>0</v>
      </c>
      <c r="G644" t="str">
        <f t="shared" si="3"/>
        <v/>
      </c>
      <c r="H644" t="b">
        <f t="shared" si="4"/>
        <v>0</v>
      </c>
      <c r="I644" s="439">
        <f>IF(OR(ISBLANK(A644),ISNA(MATCH(A644&amp;"",AthleteNumbers,0))),0,MATCH(A644&amp;"",AthleteNumbers,0))</f>
        <v>0</v>
      </c>
      <c r="J644" s="209">
        <f t="array" ref="J644">IF(I644&gt;0,INDEX(DB,$I644,6),0)</f>
        <v>0</v>
      </c>
      <c r="K644" s="446">
        <f t="shared" si="5"/>
        <v>0</v>
      </c>
      <c r="L644" s="446">
        <f t="shared" si="6"/>
        <v>0</v>
      </c>
      <c r="M644" s="441">
        <f>IF(L644&lt;O644,MinPoints,IF(AND(L644&gt;N644,O644&gt;0),100,+INT(($L644-O644)/P644)+MinPoints))</f>
        <v>10</v>
      </c>
      <c r="N644" s="440">
        <f t="shared" si="7"/>
        <v>4.9</v>
      </c>
      <c r="O644" s="440">
        <f t="shared" si="8"/>
        <v>2.2</v>
      </c>
      <c r="P644" s="440">
        <f t="shared" si="9"/>
        <v>0.03</v>
      </c>
      <c r="Q644">
        <f t="array" ref="Q644">IF(I644&gt;0,INDEX(DB,I644,9),EventIndex)</f>
        <v>6</v>
      </c>
      <c r="S644" s="447">
        <f t="array" ref="S644">INDEX(MINVALUES,$Q644,$K$1)</f>
        <v>2.2</v>
      </c>
      <c r="T644" s="448">
        <f t="array" ref="T644">INDEX(INCVALUES,$Q644,$K$1)</f>
        <v>0.03</v>
      </c>
      <c r="V644">
        <f t="array" ref="V644">+J644+(4*(INDEX(MatchScoreTable,$Q644,20)-1))</f>
        <v>4</v>
      </c>
      <c r="W644" s="442">
        <f t="array" ref="W644">INDEX(INC_MINVALUES,$V644,$K$1)</f>
        <v>0.2</v>
      </c>
      <c r="X644" s="212">
        <f t="array" ref="X644">INDEX(INC_INCVALUES,$V644,$K$1)</f>
        <v>0.02</v>
      </c>
    </row>
    <row r="645" ht="15.75" customHeight="1">
      <c r="A645" s="435"/>
      <c r="B645" s="436"/>
      <c r="C645" s="95" t="str">
        <f t="array" ref="C645">IF(I645&gt;0,INDEX(DB,I645,8),"")</f>
        <v/>
      </c>
      <c r="D645" s="437">
        <f t="shared" si="1"/>
        <v>0</v>
      </c>
      <c r="F645" s="438">
        <f t="shared" si="2"/>
        <v>0</v>
      </c>
      <c r="G645" t="str">
        <f t="shared" si="3"/>
        <v/>
      </c>
      <c r="H645" t="b">
        <f t="shared" si="4"/>
        <v>0</v>
      </c>
      <c r="I645" s="439">
        <f>IF(OR(ISBLANK(A645),ISNA(MATCH(A645&amp;"",AthleteNumbers,0))),0,MATCH(A645&amp;"",AthleteNumbers,0))</f>
        <v>0</v>
      </c>
      <c r="J645" s="209">
        <f t="array" ref="J645">IF(I645&gt;0,INDEX(DB,$I645,6),0)</f>
        <v>0</v>
      </c>
      <c r="K645" s="446">
        <f t="shared" si="5"/>
        <v>0</v>
      </c>
      <c r="L645" s="446">
        <f t="shared" si="6"/>
        <v>0</v>
      </c>
      <c r="M645" s="441">
        <f>IF(L645&lt;O645,MinPoints,IF(AND(L645&gt;N645,O645&gt;0),100,+INT(($L645-O645)/P645)+MinPoints))</f>
        <v>10</v>
      </c>
      <c r="N645" s="440">
        <f t="shared" si="7"/>
        <v>4.9</v>
      </c>
      <c r="O645" s="440">
        <f t="shared" si="8"/>
        <v>2.2</v>
      </c>
      <c r="P645" s="440">
        <f t="shared" si="9"/>
        <v>0.03</v>
      </c>
      <c r="Q645">
        <f t="array" ref="Q645">IF(I645&gt;0,INDEX(DB,I645,9),EventIndex)</f>
        <v>6</v>
      </c>
      <c r="S645" s="447">
        <f t="array" ref="S645">INDEX(MINVALUES,$Q645,$K$1)</f>
        <v>2.2</v>
      </c>
      <c r="T645" s="448">
        <f t="array" ref="T645">INDEX(INCVALUES,$Q645,$K$1)</f>
        <v>0.03</v>
      </c>
      <c r="V645">
        <f t="array" ref="V645">+J645+(4*(INDEX(MatchScoreTable,$Q645,20)-1))</f>
        <v>4</v>
      </c>
      <c r="W645" s="442">
        <f t="array" ref="W645">INDEX(INC_MINVALUES,$V645,$K$1)</f>
        <v>0.2</v>
      </c>
      <c r="X645" s="212">
        <f t="array" ref="X645">INDEX(INC_INCVALUES,$V645,$K$1)</f>
        <v>0.02</v>
      </c>
    </row>
    <row r="646" ht="15.75" customHeight="1">
      <c r="A646" s="435"/>
      <c r="B646" s="436"/>
      <c r="C646" s="95" t="str">
        <f t="array" ref="C646">IF(I646&gt;0,INDEX(DB,I646,8),"")</f>
        <v/>
      </c>
      <c r="D646" s="437">
        <f t="shared" si="1"/>
        <v>0</v>
      </c>
      <c r="F646" s="438">
        <f t="shared" si="2"/>
        <v>0</v>
      </c>
      <c r="G646" t="str">
        <f t="shared" si="3"/>
        <v/>
      </c>
      <c r="H646" t="b">
        <f t="shared" si="4"/>
        <v>0</v>
      </c>
      <c r="I646" s="439">
        <f>IF(OR(ISBLANK(A646),ISNA(MATCH(A646&amp;"",AthleteNumbers,0))),0,MATCH(A646&amp;"",AthleteNumbers,0))</f>
        <v>0</v>
      </c>
      <c r="J646" s="209">
        <f t="array" ref="J646">IF(I646&gt;0,INDEX(DB,$I646,6),0)</f>
        <v>0</v>
      </c>
      <c r="K646" s="446">
        <f t="shared" si="5"/>
        <v>0</v>
      </c>
      <c r="L646" s="446">
        <f t="shared" si="6"/>
        <v>0</v>
      </c>
      <c r="M646" s="441">
        <f>IF(L646&lt;O646,MinPoints,IF(AND(L646&gt;N646,O646&gt;0),100,+INT(($L646-O646)/P646)+MinPoints))</f>
        <v>10</v>
      </c>
      <c r="N646" s="440">
        <f t="shared" si="7"/>
        <v>4.9</v>
      </c>
      <c r="O646" s="440">
        <f t="shared" si="8"/>
        <v>2.2</v>
      </c>
      <c r="P646" s="440">
        <f t="shared" si="9"/>
        <v>0.03</v>
      </c>
      <c r="Q646">
        <f t="array" ref="Q646">IF(I646&gt;0,INDEX(DB,I646,9),EventIndex)</f>
        <v>6</v>
      </c>
      <c r="S646" s="447">
        <f t="array" ref="S646">INDEX(MINVALUES,$Q646,$K$1)</f>
        <v>2.2</v>
      </c>
      <c r="T646" s="448">
        <f t="array" ref="T646">INDEX(INCVALUES,$Q646,$K$1)</f>
        <v>0.03</v>
      </c>
      <c r="V646">
        <f t="array" ref="V646">+J646+(4*(INDEX(MatchScoreTable,$Q646,20)-1))</f>
        <v>4</v>
      </c>
      <c r="W646" s="442">
        <f t="array" ref="W646">INDEX(INC_MINVALUES,$V646,$K$1)</f>
        <v>0.2</v>
      </c>
      <c r="X646" s="212">
        <f t="array" ref="X646">INDEX(INC_INCVALUES,$V646,$K$1)</f>
        <v>0.02</v>
      </c>
    </row>
    <row r="647" ht="15.75" customHeight="1">
      <c r="A647" s="435"/>
      <c r="B647" s="436"/>
      <c r="C647" s="95" t="str">
        <f t="array" ref="C647">IF(I647&gt;0,INDEX(DB,I647,8),"")</f>
        <v/>
      </c>
      <c r="D647" s="437">
        <f t="shared" si="1"/>
        <v>0</v>
      </c>
      <c r="F647" s="438">
        <f t="shared" si="2"/>
        <v>0</v>
      </c>
      <c r="G647" t="str">
        <f t="shared" si="3"/>
        <v/>
      </c>
      <c r="H647" t="b">
        <f t="shared" si="4"/>
        <v>0</v>
      </c>
      <c r="I647" s="439">
        <f>IF(OR(ISBLANK(A647),ISNA(MATCH(A647&amp;"",AthleteNumbers,0))),0,MATCH(A647&amp;"",AthleteNumbers,0))</f>
        <v>0</v>
      </c>
      <c r="J647" s="209">
        <f t="array" ref="J647">IF(I647&gt;0,INDEX(DB,$I647,6),0)</f>
        <v>0</v>
      </c>
      <c r="K647" s="446">
        <f t="shared" si="5"/>
        <v>0</v>
      </c>
      <c r="L647" s="446">
        <f t="shared" si="6"/>
        <v>0</v>
      </c>
      <c r="M647" s="441">
        <f>IF(L647&lt;O647,MinPoints,IF(AND(L647&gt;N647,O647&gt;0),100,+INT(($L647-O647)/P647)+MinPoints))</f>
        <v>10</v>
      </c>
      <c r="N647" s="440">
        <f t="shared" si="7"/>
        <v>4.9</v>
      </c>
      <c r="O647" s="440">
        <f t="shared" si="8"/>
        <v>2.2</v>
      </c>
      <c r="P647" s="440">
        <f t="shared" si="9"/>
        <v>0.03</v>
      </c>
      <c r="Q647">
        <f t="array" ref="Q647">IF(I647&gt;0,INDEX(DB,I647,9),EventIndex)</f>
        <v>6</v>
      </c>
      <c r="S647" s="447">
        <f t="array" ref="S647">INDEX(MINVALUES,$Q647,$K$1)</f>
        <v>2.2</v>
      </c>
      <c r="T647" s="448">
        <f t="array" ref="T647">INDEX(INCVALUES,$Q647,$K$1)</f>
        <v>0.03</v>
      </c>
      <c r="V647">
        <f t="array" ref="V647">+J647+(4*(INDEX(MatchScoreTable,$Q647,20)-1))</f>
        <v>4</v>
      </c>
      <c r="W647" s="442">
        <f t="array" ref="W647">INDEX(INC_MINVALUES,$V647,$K$1)</f>
        <v>0.2</v>
      </c>
      <c r="X647" s="212">
        <f t="array" ref="X647">INDEX(INC_INCVALUES,$V647,$K$1)</f>
        <v>0.02</v>
      </c>
    </row>
    <row r="648" ht="15.75" customHeight="1">
      <c r="A648" s="435"/>
      <c r="B648" s="436"/>
      <c r="C648" s="95" t="str">
        <f t="array" ref="C648">IF(I648&gt;0,INDEX(DB,I648,8),"")</f>
        <v/>
      </c>
      <c r="D648" s="437">
        <f t="shared" si="1"/>
        <v>0</v>
      </c>
      <c r="F648" s="438">
        <f t="shared" si="2"/>
        <v>0</v>
      </c>
      <c r="G648" t="str">
        <f t="shared" si="3"/>
        <v/>
      </c>
      <c r="H648" t="b">
        <f t="shared" si="4"/>
        <v>0</v>
      </c>
      <c r="I648" s="439">
        <f>IF(OR(ISBLANK(A648),ISNA(MATCH(A648&amp;"",AthleteNumbers,0))),0,MATCH(A648&amp;"",AthleteNumbers,0))</f>
        <v>0</v>
      </c>
      <c r="J648" s="209">
        <f t="array" ref="J648">IF(I648&gt;0,INDEX(DB,$I648,6),0)</f>
        <v>0</v>
      </c>
      <c r="K648" s="446">
        <f t="shared" si="5"/>
        <v>0</v>
      </c>
      <c r="L648" s="446">
        <f t="shared" si="6"/>
        <v>0</v>
      </c>
      <c r="M648" s="441">
        <f>IF(L648&lt;O648,MinPoints,IF(AND(L648&gt;N648,O648&gt;0),100,+INT(($L648-O648)/P648)+MinPoints))</f>
        <v>10</v>
      </c>
      <c r="N648" s="440">
        <f t="shared" si="7"/>
        <v>4.9</v>
      </c>
      <c r="O648" s="440">
        <f t="shared" si="8"/>
        <v>2.2</v>
      </c>
      <c r="P648" s="440">
        <f t="shared" si="9"/>
        <v>0.03</v>
      </c>
      <c r="Q648">
        <f t="array" ref="Q648">IF(I648&gt;0,INDEX(DB,I648,9),EventIndex)</f>
        <v>6</v>
      </c>
      <c r="S648" s="447">
        <f t="array" ref="S648">INDEX(MINVALUES,$Q648,$K$1)</f>
        <v>2.2</v>
      </c>
      <c r="T648" s="448">
        <f t="array" ref="T648">INDEX(INCVALUES,$Q648,$K$1)</f>
        <v>0.03</v>
      </c>
      <c r="V648">
        <f t="array" ref="V648">+J648+(4*(INDEX(MatchScoreTable,$Q648,20)-1))</f>
        <v>4</v>
      </c>
      <c r="W648" s="442">
        <f t="array" ref="W648">INDEX(INC_MINVALUES,$V648,$K$1)</f>
        <v>0.2</v>
      </c>
      <c r="X648" s="212">
        <f t="array" ref="X648">INDEX(INC_INCVALUES,$V648,$K$1)</f>
        <v>0.02</v>
      </c>
    </row>
    <row r="649" ht="15.75" customHeight="1">
      <c r="A649" s="435"/>
      <c r="B649" s="436"/>
      <c r="C649" s="95" t="str">
        <f t="array" ref="C649">IF(I649&gt;0,INDEX(DB,I649,8),"")</f>
        <v/>
      </c>
      <c r="D649" s="437">
        <f t="shared" si="1"/>
        <v>0</v>
      </c>
      <c r="F649" s="438">
        <f t="shared" si="2"/>
        <v>0</v>
      </c>
      <c r="G649" t="str">
        <f t="shared" si="3"/>
        <v/>
      </c>
      <c r="H649" t="b">
        <f t="shared" si="4"/>
        <v>0</v>
      </c>
      <c r="I649" s="439">
        <f>IF(OR(ISBLANK(A649),ISNA(MATCH(A649&amp;"",AthleteNumbers,0))),0,MATCH(A649&amp;"",AthleteNumbers,0))</f>
        <v>0</v>
      </c>
      <c r="J649" s="209">
        <f t="array" ref="J649">IF(I649&gt;0,INDEX(DB,$I649,6),0)</f>
        <v>0</v>
      </c>
      <c r="K649" s="446">
        <f t="shared" si="5"/>
        <v>0</v>
      </c>
      <c r="L649" s="446">
        <f t="shared" si="6"/>
        <v>0</v>
      </c>
      <c r="M649" s="441">
        <f>IF(L649&lt;O649,MinPoints,IF(AND(L649&gt;N649,O649&gt;0),100,+INT(($L649-O649)/P649)+MinPoints))</f>
        <v>10</v>
      </c>
      <c r="N649" s="440">
        <f t="shared" si="7"/>
        <v>4.9</v>
      </c>
      <c r="O649" s="440">
        <f t="shared" si="8"/>
        <v>2.2</v>
      </c>
      <c r="P649" s="440">
        <f t="shared" si="9"/>
        <v>0.03</v>
      </c>
      <c r="Q649">
        <f t="array" ref="Q649">IF(I649&gt;0,INDEX(DB,I649,9),EventIndex)</f>
        <v>6</v>
      </c>
      <c r="S649" s="447">
        <f t="array" ref="S649">INDEX(MINVALUES,$Q649,$K$1)</f>
        <v>2.2</v>
      </c>
      <c r="T649" s="448">
        <f t="array" ref="T649">INDEX(INCVALUES,$Q649,$K$1)</f>
        <v>0.03</v>
      </c>
      <c r="V649">
        <f t="array" ref="V649">+J649+(4*(INDEX(MatchScoreTable,$Q649,20)-1))</f>
        <v>4</v>
      </c>
      <c r="W649" s="442">
        <f t="array" ref="W649">INDEX(INC_MINVALUES,$V649,$K$1)</f>
        <v>0.2</v>
      </c>
      <c r="X649" s="212">
        <f t="array" ref="X649">INDEX(INC_INCVALUES,$V649,$K$1)</f>
        <v>0.02</v>
      </c>
    </row>
    <row r="650" ht="15.75" customHeight="1">
      <c r="A650" s="435"/>
      <c r="B650" s="436"/>
      <c r="C650" s="95" t="str">
        <f t="array" ref="C650">IF(I650&gt;0,INDEX(DB,I650,8),"")</f>
        <v/>
      </c>
      <c r="D650" s="437">
        <f t="shared" si="1"/>
        <v>0</v>
      </c>
      <c r="F650" s="438">
        <f t="shared" si="2"/>
        <v>0</v>
      </c>
      <c r="G650" t="str">
        <f t="shared" si="3"/>
        <v/>
      </c>
      <c r="H650" t="b">
        <f t="shared" si="4"/>
        <v>0</v>
      </c>
      <c r="I650" s="439">
        <f>IF(OR(ISBLANK(A650),ISNA(MATCH(A650&amp;"",AthleteNumbers,0))),0,MATCH(A650&amp;"",AthleteNumbers,0))</f>
        <v>0</v>
      </c>
      <c r="J650" s="209">
        <f t="array" ref="J650">IF(I650&gt;0,INDEX(DB,$I650,6),0)</f>
        <v>0</v>
      </c>
      <c r="K650" s="446">
        <f t="shared" si="5"/>
        <v>0</v>
      </c>
      <c r="L650" s="446">
        <f t="shared" si="6"/>
        <v>0</v>
      </c>
      <c r="M650" s="441">
        <f>IF(L650&lt;O650,MinPoints,IF(AND(L650&gt;N650,O650&gt;0),100,+INT(($L650-O650)/P650)+MinPoints))</f>
        <v>10</v>
      </c>
      <c r="N650" s="440">
        <f t="shared" si="7"/>
        <v>4.9</v>
      </c>
      <c r="O650" s="440">
        <f t="shared" si="8"/>
        <v>2.2</v>
      </c>
      <c r="P650" s="440">
        <f t="shared" si="9"/>
        <v>0.03</v>
      </c>
      <c r="Q650">
        <f t="array" ref="Q650">IF(I650&gt;0,INDEX(DB,I650,9),EventIndex)</f>
        <v>6</v>
      </c>
      <c r="S650" s="447">
        <f t="array" ref="S650">INDEX(MINVALUES,$Q650,$K$1)</f>
        <v>2.2</v>
      </c>
      <c r="T650" s="448">
        <f t="array" ref="T650">INDEX(INCVALUES,$Q650,$K$1)</f>
        <v>0.03</v>
      </c>
      <c r="V650">
        <f t="array" ref="V650">+J650+(4*(INDEX(MatchScoreTable,$Q650,20)-1))</f>
        <v>4</v>
      </c>
      <c r="W650" s="442">
        <f t="array" ref="W650">INDEX(INC_MINVALUES,$V650,$K$1)</f>
        <v>0.2</v>
      </c>
      <c r="X650" s="212">
        <f t="array" ref="X650">INDEX(INC_INCVALUES,$V650,$K$1)</f>
        <v>0.02</v>
      </c>
    </row>
    <row r="651" ht="15.75" customHeight="1">
      <c r="A651" s="435"/>
      <c r="B651" s="436"/>
      <c r="C651" s="95" t="str">
        <f t="array" ref="C651">IF(I651&gt;0,INDEX(DB,I651,8),"")</f>
        <v/>
      </c>
      <c r="D651" s="437">
        <f t="shared" si="1"/>
        <v>0</v>
      </c>
      <c r="F651" s="438">
        <f t="shared" si="2"/>
        <v>0</v>
      </c>
      <c r="G651" t="str">
        <f t="shared" si="3"/>
        <v/>
      </c>
      <c r="H651" t="b">
        <f t="shared" si="4"/>
        <v>0</v>
      </c>
      <c r="I651" s="439">
        <f>IF(OR(ISBLANK(A651),ISNA(MATCH(A651&amp;"",AthleteNumbers,0))),0,MATCH(A651&amp;"",AthleteNumbers,0))</f>
        <v>0</v>
      </c>
      <c r="J651" s="209">
        <f t="array" ref="J651">IF(I651&gt;0,INDEX(DB,$I651,6),0)</f>
        <v>0</v>
      </c>
      <c r="K651" s="446">
        <f t="shared" si="5"/>
        <v>0</v>
      </c>
      <c r="L651" s="446">
        <f t="shared" si="6"/>
        <v>0</v>
      </c>
      <c r="M651" s="441">
        <f>IF(L651&lt;O651,MinPoints,IF(AND(L651&gt;N651,O651&gt;0),100,+INT(($L651-O651)/P651)+MinPoints))</f>
        <v>10</v>
      </c>
      <c r="N651" s="440">
        <f t="shared" si="7"/>
        <v>4.9</v>
      </c>
      <c r="O651" s="440">
        <f t="shared" si="8"/>
        <v>2.2</v>
      </c>
      <c r="P651" s="440">
        <f t="shared" si="9"/>
        <v>0.03</v>
      </c>
      <c r="Q651">
        <f t="array" ref="Q651">IF(I651&gt;0,INDEX(DB,I651,9),EventIndex)</f>
        <v>6</v>
      </c>
      <c r="S651" s="447">
        <f t="array" ref="S651">INDEX(MINVALUES,$Q651,$K$1)</f>
        <v>2.2</v>
      </c>
      <c r="T651" s="448">
        <f t="array" ref="T651">INDEX(INCVALUES,$Q651,$K$1)</f>
        <v>0.03</v>
      </c>
      <c r="V651">
        <f t="array" ref="V651">+J651+(4*(INDEX(MatchScoreTable,$Q651,20)-1))</f>
        <v>4</v>
      </c>
      <c r="W651" s="442">
        <f t="array" ref="W651">INDEX(INC_MINVALUES,$V651,$K$1)</f>
        <v>0.2</v>
      </c>
      <c r="X651" s="212">
        <f t="array" ref="X651">INDEX(INC_INCVALUES,$V651,$K$1)</f>
        <v>0.02</v>
      </c>
    </row>
    <row r="652" ht="15.75" customHeight="1">
      <c r="A652" s="435"/>
      <c r="B652" s="436"/>
      <c r="C652" s="95" t="str">
        <f t="array" ref="C652">IF(I652&gt;0,INDEX(DB,I652,8),"")</f>
        <v/>
      </c>
      <c r="D652" s="437">
        <f t="shared" si="1"/>
        <v>0</v>
      </c>
      <c r="F652" s="438">
        <f t="shared" si="2"/>
        <v>0</v>
      </c>
      <c r="G652" t="str">
        <f t="shared" si="3"/>
        <v/>
      </c>
      <c r="H652" t="b">
        <f t="shared" si="4"/>
        <v>0</v>
      </c>
      <c r="I652" s="439">
        <f>IF(OR(ISBLANK(A652),ISNA(MATCH(A652&amp;"",AthleteNumbers,0))),0,MATCH(A652&amp;"",AthleteNumbers,0))</f>
        <v>0</v>
      </c>
      <c r="J652" s="209">
        <f t="array" ref="J652">IF(I652&gt;0,INDEX(DB,$I652,6),0)</f>
        <v>0</v>
      </c>
      <c r="K652" s="446">
        <f t="shared" si="5"/>
        <v>0</v>
      </c>
      <c r="L652" s="446">
        <f t="shared" si="6"/>
        <v>0</v>
      </c>
      <c r="M652" s="441">
        <f>IF(L652&lt;O652,MinPoints,IF(AND(L652&gt;N652,O652&gt;0),100,+INT(($L652-O652)/P652)+MinPoints))</f>
        <v>10</v>
      </c>
      <c r="N652" s="440">
        <f t="shared" si="7"/>
        <v>4.9</v>
      </c>
      <c r="O652" s="440">
        <f t="shared" si="8"/>
        <v>2.2</v>
      </c>
      <c r="P652" s="440">
        <f t="shared" si="9"/>
        <v>0.03</v>
      </c>
      <c r="Q652">
        <f t="array" ref="Q652">IF(I652&gt;0,INDEX(DB,I652,9),EventIndex)</f>
        <v>6</v>
      </c>
      <c r="S652" s="447">
        <f t="array" ref="S652">INDEX(MINVALUES,$Q652,$K$1)</f>
        <v>2.2</v>
      </c>
      <c r="T652" s="448">
        <f t="array" ref="T652">INDEX(INCVALUES,$Q652,$K$1)</f>
        <v>0.03</v>
      </c>
      <c r="V652">
        <f t="array" ref="V652">+J652+(4*(INDEX(MatchScoreTable,$Q652,20)-1))</f>
        <v>4</v>
      </c>
      <c r="W652" s="442">
        <f t="array" ref="W652">INDEX(INC_MINVALUES,$V652,$K$1)</f>
        <v>0.2</v>
      </c>
      <c r="X652" s="212">
        <f t="array" ref="X652">INDEX(INC_INCVALUES,$V652,$K$1)</f>
        <v>0.02</v>
      </c>
    </row>
    <row r="653" ht="15.75" customHeight="1">
      <c r="A653" s="435"/>
      <c r="B653" s="436"/>
      <c r="C653" s="95" t="str">
        <f t="array" ref="C653">IF(I653&gt;0,INDEX(DB,I653,8),"")</f>
        <v/>
      </c>
      <c r="D653" s="437">
        <f t="shared" si="1"/>
        <v>0</v>
      </c>
      <c r="F653" s="438">
        <f t="shared" si="2"/>
        <v>0</v>
      </c>
      <c r="G653" t="str">
        <f t="shared" si="3"/>
        <v/>
      </c>
      <c r="H653" t="b">
        <f t="shared" si="4"/>
        <v>0</v>
      </c>
      <c r="I653" s="439">
        <f>IF(OR(ISBLANK(A653),ISNA(MATCH(A653&amp;"",AthleteNumbers,0))),0,MATCH(A653&amp;"",AthleteNumbers,0))</f>
        <v>0</v>
      </c>
      <c r="J653" s="209">
        <f t="array" ref="J653">IF(I653&gt;0,INDEX(DB,$I653,6),0)</f>
        <v>0</v>
      </c>
      <c r="K653" s="446">
        <f t="shared" si="5"/>
        <v>0</v>
      </c>
      <c r="L653" s="446">
        <f t="shared" si="6"/>
        <v>0</v>
      </c>
      <c r="M653" s="441">
        <f>IF(L653&lt;O653,MinPoints,IF(AND(L653&gt;N653,O653&gt;0),100,+INT(($L653-O653)/P653)+MinPoints))</f>
        <v>10</v>
      </c>
      <c r="N653" s="440">
        <f t="shared" si="7"/>
        <v>4.9</v>
      </c>
      <c r="O653" s="440">
        <f t="shared" si="8"/>
        <v>2.2</v>
      </c>
      <c r="P653" s="440">
        <f t="shared" si="9"/>
        <v>0.03</v>
      </c>
      <c r="Q653">
        <f t="array" ref="Q653">IF(I653&gt;0,INDEX(DB,I653,9),EventIndex)</f>
        <v>6</v>
      </c>
      <c r="S653" s="447">
        <f t="array" ref="S653">INDEX(MINVALUES,$Q653,$K$1)</f>
        <v>2.2</v>
      </c>
      <c r="T653" s="448">
        <f t="array" ref="T653">INDEX(INCVALUES,$Q653,$K$1)</f>
        <v>0.03</v>
      </c>
      <c r="V653">
        <f t="array" ref="V653">+J653+(4*(INDEX(MatchScoreTable,$Q653,20)-1))</f>
        <v>4</v>
      </c>
      <c r="W653" s="442">
        <f t="array" ref="W653">INDEX(INC_MINVALUES,$V653,$K$1)</f>
        <v>0.2</v>
      </c>
      <c r="X653" s="212">
        <f t="array" ref="X653">INDEX(INC_INCVALUES,$V653,$K$1)</f>
        <v>0.02</v>
      </c>
    </row>
    <row r="654" ht="15.75" customHeight="1">
      <c r="A654" s="435"/>
      <c r="B654" s="436"/>
      <c r="C654" s="95" t="str">
        <f t="array" ref="C654">IF(I654&gt;0,INDEX(DB,I654,8),"")</f>
        <v/>
      </c>
      <c r="D654" s="437">
        <f t="shared" si="1"/>
        <v>0</v>
      </c>
      <c r="F654" s="438">
        <f t="shared" si="2"/>
        <v>0</v>
      </c>
      <c r="G654" t="str">
        <f t="shared" si="3"/>
        <v/>
      </c>
      <c r="H654" t="b">
        <f t="shared" si="4"/>
        <v>0</v>
      </c>
      <c r="I654" s="439">
        <f>IF(OR(ISBLANK(A654),ISNA(MATCH(A654&amp;"",AthleteNumbers,0))),0,MATCH(A654&amp;"",AthleteNumbers,0))</f>
        <v>0</v>
      </c>
      <c r="J654" s="209">
        <f t="array" ref="J654">IF(I654&gt;0,INDEX(DB,$I654,6),0)</f>
        <v>0</v>
      </c>
      <c r="K654" s="446">
        <f t="shared" si="5"/>
        <v>0</v>
      </c>
      <c r="L654" s="446">
        <f t="shared" si="6"/>
        <v>0</v>
      </c>
      <c r="M654" s="441">
        <f>IF(L654&lt;O654,MinPoints,IF(AND(L654&gt;N654,O654&gt;0),100,+INT(($L654-O654)/P654)+MinPoints))</f>
        <v>10</v>
      </c>
      <c r="N654" s="440">
        <f t="shared" si="7"/>
        <v>4.9</v>
      </c>
      <c r="O654" s="440">
        <f t="shared" si="8"/>
        <v>2.2</v>
      </c>
      <c r="P654" s="440">
        <f t="shared" si="9"/>
        <v>0.03</v>
      </c>
      <c r="Q654">
        <f t="array" ref="Q654">IF(I654&gt;0,INDEX(DB,I654,9),EventIndex)</f>
        <v>6</v>
      </c>
      <c r="S654" s="447">
        <f t="array" ref="S654">INDEX(MINVALUES,$Q654,$K$1)</f>
        <v>2.2</v>
      </c>
      <c r="T654" s="448">
        <f t="array" ref="T654">INDEX(INCVALUES,$Q654,$K$1)</f>
        <v>0.03</v>
      </c>
      <c r="V654">
        <f t="array" ref="V654">+J654+(4*(INDEX(MatchScoreTable,$Q654,20)-1))</f>
        <v>4</v>
      </c>
      <c r="W654" s="442">
        <f t="array" ref="W654">INDEX(INC_MINVALUES,$V654,$K$1)</f>
        <v>0.2</v>
      </c>
      <c r="X654" s="212">
        <f t="array" ref="X654">INDEX(INC_INCVALUES,$V654,$K$1)</f>
        <v>0.02</v>
      </c>
    </row>
    <row r="655" ht="15.75" customHeight="1">
      <c r="A655" s="435"/>
      <c r="B655" s="436"/>
      <c r="C655" s="95" t="str">
        <f t="array" ref="C655">IF(I655&gt;0,INDEX(DB,I655,8),"")</f>
        <v/>
      </c>
      <c r="D655" s="437">
        <f t="shared" si="1"/>
        <v>0</v>
      </c>
      <c r="F655" s="438">
        <f t="shared" si="2"/>
        <v>0</v>
      </c>
      <c r="G655" t="str">
        <f t="shared" si="3"/>
        <v/>
      </c>
      <c r="H655" t="b">
        <f t="shared" si="4"/>
        <v>0</v>
      </c>
      <c r="I655" s="439">
        <f>IF(OR(ISBLANK(A655),ISNA(MATCH(A655&amp;"",AthleteNumbers,0))),0,MATCH(A655&amp;"",AthleteNumbers,0))</f>
        <v>0</v>
      </c>
      <c r="J655" s="209">
        <f t="array" ref="J655">IF(I655&gt;0,INDEX(DB,$I655,6),0)</f>
        <v>0</v>
      </c>
      <c r="K655" s="446">
        <f t="shared" si="5"/>
        <v>0</v>
      </c>
      <c r="L655" s="446">
        <f t="shared" si="6"/>
        <v>0</v>
      </c>
      <c r="M655" s="441">
        <f>IF(L655&lt;O655,MinPoints,IF(AND(L655&gt;N655,O655&gt;0),100,+INT(($L655-O655)/P655)+MinPoints))</f>
        <v>10</v>
      </c>
      <c r="N655" s="440">
        <f t="shared" si="7"/>
        <v>4.9</v>
      </c>
      <c r="O655" s="440">
        <f t="shared" si="8"/>
        <v>2.2</v>
      </c>
      <c r="P655" s="440">
        <f t="shared" si="9"/>
        <v>0.03</v>
      </c>
      <c r="Q655">
        <f t="array" ref="Q655">IF(I655&gt;0,INDEX(DB,I655,9),EventIndex)</f>
        <v>6</v>
      </c>
      <c r="S655" s="447">
        <f t="array" ref="S655">INDEX(MINVALUES,$Q655,$K$1)</f>
        <v>2.2</v>
      </c>
      <c r="T655" s="448">
        <f t="array" ref="T655">INDEX(INCVALUES,$Q655,$K$1)</f>
        <v>0.03</v>
      </c>
      <c r="V655">
        <f t="array" ref="V655">+J655+(4*(INDEX(MatchScoreTable,$Q655,20)-1))</f>
        <v>4</v>
      </c>
      <c r="W655" s="442">
        <f t="array" ref="W655">INDEX(INC_MINVALUES,$V655,$K$1)</f>
        <v>0.2</v>
      </c>
      <c r="X655" s="212">
        <f t="array" ref="X655">INDEX(INC_INCVALUES,$V655,$K$1)</f>
        <v>0.02</v>
      </c>
    </row>
    <row r="656" ht="15.75" customHeight="1">
      <c r="A656" s="435"/>
      <c r="B656" s="436"/>
      <c r="C656" s="95" t="str">
        <f t="array" ref="C656">IF(I656&gt;0,INDEX(DB,I656,8),"")</f>
        <v/>
      </c>
      <c r="D656" s="437">
        <f t="shared" si="1"/>
        <v>0</v>
      </c>
      <c r="F656" s="438">
        <f t="shared" si="2"/>
        <v>0</v>
      </c>
      <c r="G656" t="str">
        <f t="shared" si="3"/>
        <v/>
      </c>
      <c r="H656" t="b">
        <f t="shared" si="4"/>
        <v>0</v>
      </c>
      <c r="I656" s="439">
        <f>IF(OR(ISBLANK(A656),ISNA(MATCH(A656&amp;"",AthleteNumbers,0))),0,MATCH(A656&amp;"",AthleteNumbers,0))</f>
        <v>0</v>
      </c>
      <c r="J656" s="209">
        <f t="array" ref="J656">IF(I656&gt;0,INDEX(DB,$I656,6),0)</f>
        <v>0</v>
      </c>
      <c r="K656" s="446">
        <f t="shared" si="5"/>
        <v>0</v>
      </c>
      <c r="L656" s="446">
        <f t="shared" si="6"/>
        <v>0</v>
      </c>
      <c r="M656" s="441">
        <f>IF(L656&lt;O656,MinPoints,IF(AND(L656&gt;N656,O656&gt;0),100,+INT(($L656-O656)/P656)+MinPoints))</f>
        <v>10</v>
      </c>
      <c r="N656" s="440">
        <f t="shared" si="7"/>
        <v>4.9</v>
      </c>
      <c r="O656" s="440">
        <f t="shared" si="8"/>
        <v>2.2</v>
      </c>
      <c r="P656" s="440">
        <f t="shared" si="9"/>
        <v>0.03</v>
      </c>
      <c r="Q656">
        <f t="array" ref="Q656">IF(I656&gt;0,INDEX(DB,I656,9),EventIndex)</f>
        <v>6</v>
      </c>
      <c r="S656" s="447">
        <f t="array" ref="S656">INDEX(MINVALUES,$Q656,$K$1)</f>
        <v>2.2</v>
      </c>
      <c r="T656" s="448">
        <f t="array" ref="T656">INDEX(INCVALUES,$Q656,$K$1)</f>
        <v>0.03</v>
      </c>
      <c r="V656">
        <f t="array" ref="V656">+J656+(4*(INDEX(MatchScoreTable,$Q656,20)-1))</f>
        <v>4</v>
      </c>
      <c r="W656" s="442">
        <f t="array" ref="W656">INDEX(INC_MINVALUES,$V656,$K$1)</f>
        <v>0.2</v>
      </c>
      <c r="X656" s="212">
        <f t="array" ref="X656">INDEX(INC_INCVALUES,$V656,$K$1)</f>
        <v>0.02</v>
      </c>
    </row>
    <row r="657" ht="15.75" customHeight="1">
      <c r="A657" s="435"/>
      <c r="B657" s="436"/>
      <c r="C657" s="95" t="str">
        <f t="array" ref="C657">IF(I657&gt;0,INDEX(DB,I657,8),"")</f>
        <v/>
      </c>
      <c r="D657" s="437">
        <f t="shared" si="1"/>
        <v>0</v>
      </c>
      <c r="F657" s="438">
        <f t="shared" si="2"/>
        <v>0</v>
      </c>
      <c r="G657" t="str">
        <f t="shared" si="3"/>
        <v/>
      </c>
      <c r="H657" t="b">
        <f t="shared" si="4"/>
        <v>0</v>
      </c>
      <c r="I657" s="439">
        <f>IF(OR(ISBLANK(A657),ISNA(MATCH(A657&amp;"",AthleteNumbers,0))),0,MATCH(A657&amp;"",AthleteNumbers,0))</f>
        <v>0</v>
      </c>
      <c r="J657" s="209">
        <f t="array" ref="J657">IF(I657&gt;0,INDEX(DB,$I657,6),0)</f>
        <v>0</v>
      </c>
      <c r="K657" s="446">
        <f t="shared" si="5"/>
        <v>0</v>
      </c>
      <c r="L657" s="446">
        <f t="shared" si="6"/>
        <v>0</v>
      </c>
      <c r="M657" s="441">
        <f>IF(L657&lt;O657,MinPoints,IF(AND(L657&gt;N657,O657&gt;0),100,+INT(($L657-O657)/P657)+MinPoints))</f>
        <v>10</v>
      </c>
      <c r="N657" s="440">
        <f t="shared" si="7"/>
        <v>4.9</v>
      </c>
      <c r="O657" s="440">
        <f t="shared" si="8"/>
        <v>2.2</v>
      </c>
      <c r="P657" s="440">
        <f t="shared" si="9"/>
        <v>0.03</v>
      </c>
      <c r="Q657">
        <f t="array" ref="Q657">IF(I657&gt;0,INDEX(DB,I657,9),EventIndex)</f>
        <v>6</v>
      </c>
      <c r="S657" s="447">
        <f t="array" ref="S657">INDEX(MINVALUES,$Q657,$K$1)</f>
        <v>2.2</v>
      </c>
      <c r="T657" s="448">
        <f t="array" ref="T657">INDEX(INCVALUES,$Q657,$K$1)</f>
        <v>0.03</v>
      </c>
      <c r="V657">
        <f t="array" ref="V657">+J657+(4*(INDEX(MatchScoreTable,$Q657,20)-1))</f>
        <v>4</v>
      </c>
      <c r="W657" s="442">
        <f t="array" ref="W657">INDEX(INC_MINVALUES,$V657,$K$1)</f>
        <v>0.2</v>
      </c>
      <c r="X657" s="212">
        <f t="array" ref="X657">INDEX(INC_INCVALUES,$V657,$K$1)</f>
        <v>0.02</v>
      </c>
    </row>
    <row r="658" ht="15.75" customHeight="1">
      <c r="A658" s="435"/>
      <c r="B658" s="436"/>
      <c r="C658" s="95" t="str">
        <f t="array" ref="C658">IF(I658&gt;0,INDEX(DB,I658,8),"")</f>
        <v/>
      </c>
      <c r="D658" s="437">
        <f t="shared" si="1"/>
        <v>0</v>
      </c>
      <c r="F658" s="438">
        <f t="shared" si="2"/>
        <v>0</v>
      </c>
      <c r="G658" t="str">
        <f t="shared" si="3"/>
        <v/>
      </c>
      <c r="H658" t="b">
        <f t="shared" si="4"/>
        <v>0</v>
      </c>
      <c r="I658" s="439">
        <f>IF(OR(ISBLANK(A658),ISNA(MATCH(A658&amp;"",AthleteNumbers,0))),0,MATCH(A658&amp;"",AthleteNumbers,0))</f>
        <v>0</v>
      </c>
      <c r="J658" s="209">
        <f t="array" ref="J658">IF(I658&gt;0,INDEX(DB,$I658,6),0)</f>
        <v>0</v>
      </c>
      <c r="K658" s="446">
        <f t="shared" si="5"/>
        <v>0</v>
      </c>
      <c r="L658" s="446">
        <f t="shared" si="6"/>
        <v>0</v>
      </c>
      <c r="M658" s="441">
        <f>IF(L658&lt;O658,MinPoints,IF(AND(L658&gt;N658,O658&gt;0),100,+INT(($L658-O658)/P658)+MinPoints))</f>
        <v>10</v>
      </c>
      <c r="N658" s="440">
        <f t="shared" si="7"/>
        <v>4.9</v>
      </c>
      <c r="O658" s="440">
        <f t="shared" si="8"/>
        <v>2.2</v>
      </c>
      <c r="P658" s="440">
        <f t="shared" si="9"/>
        <v>0.03</v>
      </c>
      <c r="Q658">
        <f t="array" ref="Q658">IF(I658&gt;0,INDEX(DB,I658,9),EventIndex)</f>
        <v>6</v>
      </c>
      <c r="S658" s="447">
        <f t="array" ref="S658">INDEX(MINVALUES,$Q658,$K$1)</f>
        <v>2.2</v>
      </c>
      <c r="T658" s="448">
        <f t="array" ref="T658">INDEX(INCVALUES,$Q658,$K$1)</f>
        <v>0.03</v>
      </c>
      <c r="V658">
        <f t="array" ref="V658">+J658+(4*(INDEX(MatchScoreTable,$Q658,20)-1))</f>
        <v>4</v>
      </c>
      <c r="W658" s="442">
        <f t="array" ref="W658">INDEX(INC_MINVALUES,$V658,$K$1)</f>
        <v>0.2</v>
      </c>
      <c r="X658" s="212">
        <f t="array" ref="X658">INDEX(INC_INCVALUES,$V658,$K$1)</f>
        <v>0.02</v>
      </c>
    </row>
    <row r="659" ht="15.75" customHeight="1">
      <c r="A659" s="435"/>
      <c r="B659" s="436"/>
      <c r="C659" s="95" t="str">
        <f t="array" ref="C659">IF(I659&gt;0,INDEX(DB,I659,8),"")</f>
        <v/>
      </c>
      <c r="D659" s="437">
        <f t="shared" si="1"/>
        <v>0</v>
      </c>
      <c r="F659" s="438">
        <f t="shared" si="2"/>
        <v>0</v>
      </c>
      <c r="G659" t="str">
        <f t="shared" si="3"/>
        <v/>
      </c>
      <c r="H659" t="b">
        <f t="shared" si="4"/>
        <v>0</v>
      </c>
      <c r="I659" s="439">
        <f>IF(OR(ISBLANK(A659),ISNA(MATCH(A659&amp;"",AthleteNumbers,0))),0,MATCH(A659&amp;"",AthleteNumbers,0))</f>
        <v>0</v>
      </c>
      <c r="J659" s="209">
        <f t="array" ref="J659">IF(I659&gt;0,INDEX(DB,$I659,6),0)</f>
        <v>0</v>
      </c>
      <c r="K659" s="446">
        <f t="shared" si="5"/>
        <v>0</v>
      </c>
      <c r="L659" s="446">
        <f t="shared" si="6"/>
        <v>0</v>
      </c>
      <c r="M659" s="441">
        <f>IF(L659&lt;O659,MinPoints,IF(AND(L659&gt;N659,O659&gt;0),100,+INT(($L659-O659)/P659)+MinPoints))</f>
        <v>10</v>
      </c>
      <c r="N659" s="440">
        <f t="shared" si="7"/>
        <v>4.9</v>
      </c>
      <c r="O659" s="440">
        <f t="shared" si="8"/>
        <v>2.2</v>
      </c>
      <c r="P659" s="440">
        <f t="shared" si="9"/>
        <v>0.03</v>
      </c>
      <c r="Q659">
        <f t="array" ref="Q659">IF(I659&gt;0,INDEX(DB,I659,9),EventIndex)</f>
        <v>6</v>
      </c>
      <c r="S659" s="447">
        <f t="array" ref="S659">INDEX(MINVALUES,$Q659,$K$1)</f>
        <v>2.2</v>
      </c>
      <c r="T659" s="448">
        <f t="array" ref="T659">INDEX(INCVALUES,$Q659,$K$1)</f>
        <v>0.03</v>
      </c>
      <c r="V659">
        <f t="array" ref="V659">+J659+(4*(INDEX(MatchScoreTable,$Q659,20)-1))</f>
        <v>4</v>
      </c>
      <c r="W659" s="442">
        <f t="array" ref="W659">INDEX(INC_MINVALUES,$V659,$K$1)</f>
        <v>0.2</v>
      </c>
      <c r="X659" s="212">
        <f t="array" ref="X659">INDEX(INC_INCVALUES,$V659,$K$1)</f>
        <v>0.02</v>
      </c>
    </row>
    <row r="660" ht="15.75" customHeight="1">
      <c r="A660" s="435"/>
      <c r="B660" s="436"/>
      <c r="C660" s="95" t="str">
        <f t="array" ref="C660">IF(I660&gt;0,INDEX(DB,I660,8),"")</f>
        <v/>
      </c>
      <c r="D660" s="437">
        <f t="shared" si="1"/>
        <v>0</v>
      </c>
      <c r="F660" s="438">
        <f t="shared" si="2"/>
        <v>0</v>
      </c>
      <c r="G660" t="str">
        <f t="shared" si="3"/>
        <v/>
      </c>
      <c r="H660" t="b">
        <f t="shared" si="4"/>
        <v>0</v>
      </c>
      <c r="I660" s="439">
        <f>IF(OR(ISBLANK(A660),ISNA(MATCH(A660&amp;"",AthleteNumbers,0))),0,MATCH(A660&amp;"",AthleteNumbers,0))</f>
        <v>0</v>
      </c>
      <c r="J660" s="209">
        <f t="array" ref="J660">IF(I660&gt;0,INDEX(DB,$I660,6),0)</f>
        <v>0</v>
      </c>
      <c r="K660" s="446">
        <f t="shared" si="5"/>
        <v>0</v>
      </c>
      <c r="L660" s="446">
        <f t="shared" si="6"/>
        <v>0</v>
      </c>
      <c r="M660" s="441">
        <f>IF(L660&lt;O660,MinPoints,IF(AND(L660&gt;N660,O660&gt;0),100,+INT(($L660-O660)/P660)+MinPoints))</f>
        <v>10</v>
      </c>
      <c r="N660" s="440">
        <f t="shared" si="7"/>
        <v>4.9</v>
      </c>
      <c r="O660" s="440">
        <f t="shared" si="8"/>
        <v>2.2</v>
      </c>
      <c r="P660" s="440">
        <f t="shared" si="9"/>
        <v>0.03</v>
      </c>
      <c r="Q660">
        <f t="array" ref="Q660">IF(I660&gt;0,INDEX(DB,I660,9),EventIndex)</f>
        <v>6</v>
      </c>
      <c r="S660" s="447">
        <f t="array" ref="S660">INDEX(MINVALUES,$Q660,$K$1)</f>
        <v>2.2</v>
      </c>
      <c r="T660" s="448">
        <f t="array" ref="T660">INDEX(INCVALUES,$Q660,$K$1)</f>
        <v>0.03</v>
      </c>
      <c r="V660">
        <f t="array" ref="V660">+J660+(4*(INDEX(MatchScoreTable,$Q660,20)-1))</f>
        <v>4</v>
      </c>
      <c r="W660" s="442">
        <f t="array" ref="W660">INDEX(INC_MINVALUES,$V660,$K$1)</f>
        <v>0.2</v>
      </c>
      <c r="X660" s="212">
        <f t="array" ref="X660">INDEX(INC_INCVALUES,$V660,$K$1)</f>
        <v>0.02</v>
      </c>
    </row>
    <row r="661" ht="15.75" customHeight="1">
      <c r="A661" s="435"/>
      <c r="B661" s="436"/>
      <c r="C661" s="95" t="str">
        <f t="array" ref="C661">IF(I661&gt;0,INDEX(DB,I661,8),"")</f>
        <v/>
      </c>
      <c r="D661" s="437">
        <f t="shared" si="1"/>
        <v>0</v>
      </c>
      <c r="F661" s="438">
        <f t="shared" si="2"/>
        <v>0</v>
      </c>
      <c r="G661" t="str">
        <f t="shared" si="3"/>
        <v/>
      </c>
      <c r="H661" t="b">
        <f t="shared" si="4"/>
        <v>0</v>
      </c>
      <c r="I661" s="439">
        <f>IF(OR(ISBLANK(A661),ISNA(MATCH(A661&amp;"",AthleteNumbers,0))),0,MATCH(A661&amp;"",AthleteNumbers,0))</f>
        <v>0</v>
      </c>
      <c r="J661" s="209">
        <f t="array" ref="J661">IF(I661&gt;0,INDEX(DB,$I661,6),0)</f>
        <v>0</v>
      </c>
      <c r="K661" s="446">
        <f t="shared" si="5"/>
        <v>0</v>
      </c>
      <c r="L661" s="446">
        <f t="shared" si="6"/>
        <v>0</v>
      </c>
      <c r="M661" s="441">
        <f>IF(L661&lt;O661,MinPoints,IF(AND(L661&gt;N661,O661&gt;0),100,+INT(($L661-O661)/P661)+MinPoints))</f>
        <v>10</v>
      </c>
      <c r="N661" s="440">
        <f t="shared" si="7"/>
        <v>4.9</v>
      </c>
      <c r="O661" s="440">
        <f t="shared" si="8"/>
        <v>2.2</v>
      </c>
      <c r="P661" s="440">
        <f t="shared" si="9"/>
        <v>0.03</v>
      </c>
      <c r="Q661">
        <f t="array" ref="Q661">IF(I661&gt;0,INDEX(DB,I661,9),EventIndex)</f>
        <v>6</v>
      </c>
      <c r="S661" s="447">
        <f t="array" ref="S661">INDEX(MINVALUES,$Q661,$K$1)</f>
        <v>2.2</v>
      </c>
      <c r="T661" s="448">
        <f t="array" ref="T661">INDEX(INCVALUES,$Q661,$K$1)</f>
        <v>0.03</v>
      </c>
      <c r="V661">
        <f t="array" ref="V661">+J661+(4*(INDEX(MatchScoreTable,$Q661,20)-1))</f>
        <v>4</v>
      </c>
      <c r="W661" s="442">
        <f t="array" ref="W661">INDEX(INC_MINVALUES,$V661,$K$1)</f>
        <v>0.2</v>
      </c>
      <c r="X661" s="212">
        <f t="array" ref="X661">INDEX(INC_INCVALUES,$V661,$K$1)</f>
        <v>0.02</v>
      </c>
    </row>
    <row r="662" ht="15.75" customHeight="1">
      <c r="A662" s="435"/>
      <c r="B662" s="436"/>
      <c r="C662" s="95" t="str">
        <f t="array" ref="C662">IF(I662&gt;0,INDEX(DB,I662,8),"")</f>
        <v/>
      </c>
      <c r="D662" s="437">
        <f t="shared" si="1"/>
        <v>0</v>
      </c>
      <c r="F662" s="438">
        <f t="shared" si="2"/>
        <v>0</v>
      </c>
      <c r="G662" t="str">
        <f t="shared" si="3"/>
        <v/>
      </c>
      <c r="H662" t="b">
        <f t="shared" si="4"/>
        <v>0</v>
      </c>
      <c r="I662" s="439">
        <f>IF(OR(ISBLANK(A662),ISNA(MATCH(A662&amp;"",AthleteNumbers,0))),0,MATCH(A662&amp;"",AthleteNumbers,0))</f>
        <v>0</v>
      </c>
      <c r="J662" s="209">
        <f t="array" ref="J662">IF(I662&gt;0,INDEX(DB,$I662,6),0)</f>
        <v>0</v>
      </c>
      <c r="K662" s="446">
        <f t="shared" si="5"/>
        <v>0</v>
      </c>
      <c r="L662" s="446">
        <f t="shared" si="6"/>
        <v>0</v>
      </c>
      <c r="M662" s="441">
        <f>IF(L662&lt;O662,MinPoints,IF(AND(L662&gt;N662,O662&gt;0),100,+INT(($L662-O662)/P662)+MinPoints))</f>
        <v>10</v>
      </c>
      <c r="N662" s="440">
        <f t="shared" si="7"/>
        <v>4.9</v>
      </c>
      <c r="O662" s="440">
        <f t="shared" si="8"/>
        <v>2.2</v>
      </c>
      <c r="P662" s="440">
        <f t="shared" si="9"/>
        <v>0.03</v>
      </c>
      <c r="Q662">
        <f t="array" ref="Q662">IF(I662&gt;0,INDEX(DB,I662,9),EventIndex)</f>
        <v>6</v>
      </c>
      <c r="S662" s="447">
        <f t="array" ref="S662">INDEX(MINVALUES,$Q662,$K$1)</f>
        <v>2.2</v>
      </c>
      <c r="T662" s="448">
        <f t="array" ref="T662">INDEX(INCVALUES,$Q662,$K$1)</f>
        <v>0.03</v>
      </c>
      <c r="V662">
        <f t="array" ref="V662">+J662+(4*(INDEX(MatchScoreTable,$Q662,20)-1))</f>
        <v>4</v>
      </c>
      <c r="W662" s="442">
        <f t="array" ref="W662">INDEX(INC_MINVALUES,$V662,$K$1)</f>
        <v>0.2</v>
      </c>
      <c r="X662" s="212">
        <f t="array" ref="X662">INDEX(INC_INCVALUES,$V662,$K$1)</f>
        <v>0.02</v>
      </c>
    </row>
    <row r="663" ht="15.75" customHeight="1">
      <c r="A663" s="435"/>
      <c r="B663" s="436"/>
      <c r="C663" s="95" t="str">
        <f t="array" ref="C663">IF(I663&gt;0,INDEX(DB,I663,8),"")</f>
        <v/>
      </c>
      <c r="D663" s="437">
        <f t="shared" si="1"/>
        <v>0</v>
      </c>
      <c r="F663" s="438">
        <f t="shared" si="2"/>
        <v>0</v>
      </c>
      <c r="G663" t="str">
        <f t="shared" si="3"/>
        <v/>
      </c>
      <c r="H663" t="b">
        <f t="shared" si="4"/>
        <v>0</v>
      </c>
      <c r="I663" s="439">
        <f>IF(OR(ISBLANK(A663),ISNA(MATCH(A663&amp;"",AthleteNumbers,0))),0,MATCH(A663&amp;"",AthleteNumbers,0))</f>
        <v>0</v>
      </c>
      <c r="J663" s="209">
        <f t="array" ref="J663">IF(I663&gt;0,INDEX(DB,$I663,6),0)</f>
        <v>0</v>
      </c>
      <c r="K663" s="446">
        <f t="shared" si="5"/>
        <v>0</v>
      </c>
      <c r="L663" s="446">
        <f t="shared" si="6"/>
        <v>0</v>
      </c>
      <c r="M663" s="441">
        <f>IF(L663&lt;O663,MinPoints,IF(AND(L663&gt;N663,O663&gt;0),100,+INT(($L663-O663)/P663)+MinPoints))</f>
        <v>10</v>
      </c>
      <c r="N663" s="440">
        <f t="shared" si="7"/>
        <v>4.9</v>
      </c>
      <c r="O663" s="440">
        <f t="shared" si="8"/>
        <v>2.2</v>
      </c>
      <c r="P663" s="440">
        <f t="shared" si="9"/>
        <v>0.03</v>
      </c>
      <c r="Q663">
        <f t="array" ref="Q663">IF(I663&gt;0,INDEX(DB,I663,9),EventIndex)</f>
        <v>6</v>
      </c>
      <c r="S663" s="447">
        <f t="array" ref="S663">INDEX(MINVALUES,$Q663,$K$1)</f>
        <v>2.2</v>
      </c>
      <c r="T663" s="448">
        <f t="array" ref="T663">INDEX(INCVALUES,$Q663,$K$1)</f>
        <v>0.03</v>
      </c>
      <c r="V663">
        <f t="array" ref="V663">+J663+(4*(INDEX(MatchScoreTable,$Q663,20)-1))</f>
        <v>4</v>
      </c>
      <c r="W663" s="442">
        <f t="array" ref="W663">INDEX(INC_MINVALUES,$V663,$K$1)</f>
        <v>0.2</v>
      </c>
      <c r="X663" s="212">
        <f t="array" ref="X663">INDEX(INC_INCVALUES,$V663,$K$1)</f>
        <v>0.02</v>
      </c>
    </row>
    <row r="664" ht="15.75" customHeight="1">
      <c r="A664" s="435"/>
      <c r="B664" s="436"/>
      <c r="C664" s="95" t="str">
        <f t="array" ref="C664">IF(I664&gt;0,INDEX(DB,I664,8),"")</f>
        <v/>
      </c>
      <c r="D664" s="437">
        <f t="shared" si="1"/>
        <v>0</v>
      </c>
      <c r="F664" s="438">
        <f t="shared" si="2"/>
        <v>0</v>
      </c>
      <c r="G664" t="str">
        <f t="shared" si="3"/>
        <v/>
      </c>
      <c r="H664" t="b">
        <f t="shared" si="4"/>
        <v>0</v>
      </c>
      <c r="I664" s="439">
        <f>IF(OR(ISBLANK(A664),ISNA(MATCH(A664&amp;"",AthleteNumbers,0))),0,MATCH(A664&amp;"",AthleteNumbers,0))</f>
        <v>0</v>
      </c>
      <c r="J664" s="209">
        <f t="array" ref="J664">IF(I664&gt;0,INDEX(DB,$I664,6),0)</f>
        <v>0</v>
      </c>
      <c r="K664" s="446">
        <f t="shared" si="5"/>
        <v>0</v>
      </c>
      <c r="L664" s="446">
        <f t="shared" si="6"/>
        <v>0</v>
      </c>
      <c r="M664" s="441">
        <f>IF(L664&lt;O664,MinPoints,IF(AND(L664&gt;N664,O664&gt;0),100,+INT(($L664-O664)/P664)+MinPoints))</f>
        <v>10</v>
      </c>
      <c r="N664" s="440">
        <f t="shared" si="7"/>
        <v>4.9</v>
      </c>
      <c r="O664" s="440">
        <f t="shared" si="8"/>
        <v>2.2</v>
      </c>
      <c r="P664" s="440">
        <f t="shared" si="9"/>
        <v>0.03</v>
      </c>
      <c r="Q664">
        <f t="array" ref="Q664">IF(I664&gt;0,INDEX(DB,I664,9),EventIndex)</f>
        <v>6</v>
      </c>
      <c r="S664" s="447">
        <f t="array" ref="S664">INDEX(MINVALUES,$Q664,$K$1)</f>
        <v>2.2</v>
      </c>
      <c r="T664" s="448">
        <f t="array" ref="T664">INDEX(INCVALUES,$Q664,$K$1)</f>
        <v>0.03</v>
      </c>
      <c r="V664">
        <f t="array" ref="V664">+J664+(4*(INDEX(MatchScoreTable,$Q664,20)-1))</f>
        <v>4</v>
      </c>
      <c r="W664" s="442">
        <f t="array" ref="W664">INDEX(INC_MINVALUES,$V664,$K$1)</f>
        <v>0.2</v>
      </c>
      <c r="X664" s="212">
        <f t="array" ref="X664">INDEX(INC_INCVALUES,$V664,$K$1)</f>
        <v>0.02</v>
      </c>
    </row>
    <row r="665" ht="15.75" customHeight="1">
      <c r="A665" s="435"/>
      <c r="B665" s="436"/>
      <c r="C665" s="95" t="str">
        <f t="array" ref="C665">IF(I665&gt;0,INDEX(DB,I665,8),"")</f>
        <v/>
      </c>
      <c r="D665" s="437">
        <f t="shared" si="1"/>
        <v>0</v>
      </c>
      <c r="F665" s="438">
        <f t="shared" si="2"/>
        <v>0</v>
      </c>
      <c r="G665" t="str">
        <f t="shared" si="3"/>
        <v/>
      </c>
      <c r="H665" t="b">
        <f t="shared" si="4"/>
        <v>0</v>
      </c>
      <c r="I665" s="439">
        <f>IF(OR(ISBLANK(A665),ISNA(MATCH(A665&amp;"",AthleteNumbers,0))),0,MATCH(A665&amp;"",AthleteNumbers,0))</f>
        <v>0</v>
      </c>
      <c r="J665" s="209">
        <f t="array" ref="J665">IF(I665&gt;0,INDEX(DB,$I665,6),0)</f>
        <v>0</v>
      </c>
      <c r="K665" s="446">
        <f t="shared" si="5"/>
        <v>0</v>
      </c>
      <c r="L665" s="446">
        <f t="shared" si="6"/>
        <v>0</v>
      </c>
      <c r="M665" s="441">
        <f>IF(L665&lt;O665,MinPoints,IF(AND(L665&gt;N665,O665&gt;0),100,+INT(($L665-O665)/P665)+MinPoints))</f>
        <v>10</v>
      </c>
      <c r="N665" s="440">
        <f t="shared" si="7"/>
        <v>4.9</v>
      </c>
      <c r="O665" s="440">
        <f t="shared" si="8"/>
        <v>2.2</v>
      </c>
      <c r="P665" s="440">
        <f t="shared" si="9"/>
        <v>0.03</v>
      </c>
      <c r="Q665">
        <f t="array" ref="Q665">IF(I665&gt;0,INDEX(DB,I665,9),EventIndex)</f>
        <v>6</v>
      </c>
      <c r="S665" s="447">
        <f t="array" ref="S665">INDEX(MINVALUES,$Q665,$K$1)</f>
        <v>2.2</v>
      </c>
      <c r="T665" s="448">
        <f t="array" ref="T665">INDEX(INCVALUES,$Q665,$K$1)</f>
        <v>0.03</v>
      </c>
      <c r="V665">
        <f t="array" ref="V665">+J665+(4*(INDEX(MatchScoreTable,$Q665,20)-1))</f>
        <v>4</v>
      </c>
      <c r="W665" s="442">
        <f t="array" ref="W665">INDEX(INC_MINVALUES,$V665,$K$1)</f>
        <v>0.2</v>
      </c>
      <c r="X665" s="212">
        <f t="array" ref="X665">INDEX(INC_INCVALUES,$V665,$K$1)</f>
        <v>0.02</v>
      </c>
    </row>
    <row r="666" ht="15.75" customHeight="1">
      <c r="A666" s="435"/>
      <c r="B666" s="436"/>
      <c r="C666" s="95" t="str">
        <f t="array" ref="C666">IF(I666&gt;0,INDEX(DB,I666,8),"")</f>
        <v/>
      </c>
      <c r="D666" s="437">
        <f t="shared" si="1"/>
        <v>0</v>
      </c>
      <c r="F666" s="438">
        <f t="shared" si="2"/>
        <v>0</v>
      </c>
      <c r="G666" t="str">
        <f t="shared" si="3"/>
        <v/>
      </c>
      <c r="H666" t="b">
        <f t="shared" si="4"/>
        <v>0</v>
      </c>
      <c r="I666" s="439">
        <f>IF(OR(ISBLANK(A666),ISNA(MATCH(A666&amp;"",AthleteNumbers,0))),0,MATCH(A666&amp;"",AthleteNumbers,0))</f>
        <v>0</v>
      </c>
      <c r="J666" s="209">
        <f t="array" ref="J666">IF(I666&gt;0,INDEX(DB,$I666,6),0)</f>
        <v>0</v>
      </c>
      <c r="K666" s="446">
        <f t="shared" si="5"/>
        <v>0</v>
      </c>
      <c r="L666" s="446">
        <f t="shared" si="6"/>
        <v>0</v>
      </c>
      <c r="M666" s="441">
        <f>IF(L666&lt;O666,MinPoints,IF(AND(L666&gt;N666,O666&gt;0),100,+INT(($L666-O666)/P666)+MinPoints))</f>
        <v>10</v>
      </c>
      <c r="N666" s="440">
        <f t="shared" si="7"/>
        <v>4.9</v>
      </c>
      <c r="O666" s="440">
        <f t="shared" si="8"/>
        <v>2.2</v>
      </c>
      <c r="P666" s="440">
        <f t="shared" si="9"/>
        <v>0.03</v>
      </c>
      <c r="Q666">
        <f t="array" ref="Q666">IF(I666&gt;0,INDEX(DB,I666,9),EventIndex)</f>
        <v>6</v>
      </c>
      <c r="S666" s="447">
        <f t="array" ref="S666">INDEX(MINVALUES,$Q666,$K$1)</f>
        <v>2.2</v>
      </c>
      <c r="T666" s="448">
        <f t="array" ref="T666">INDEX(INCVALUES,$Q666,$K$1)</f>
        <v>0.03</v>
      </c>
      <c r="V666">
        <f t="array" ref="V666">+J666+(4*(INDEX(MatchScoreTable,$Q666,20)-1))</f>
        <v>4</v>
      </c>
      <c r="W666" s="442">
        <f t="array" ref="W666">INDEX(INC_MINVALUES,$V666,$K$1)</f>
        <v>0.2</v>
      </c>
      <c r="X666" s="212">
        <f t="array" ref="X666">INDEX(INC_INCVALUES,$V666,$K$1)</f>
        <v>0.02</v>
      </c>
    </row>
    <row r="667" ht="15.75" customHeight="1">
      <c r="A667" s="435"/>
      <c r="B667" s="436"/>
      <c r="C667" s="95" t="str">
        <f t="array" ref="C667">IF(I667&gt;0,INDEX(DB,I667,8),"")</f>
        <v/>
      </c>
      <c r="D667" s="437">
        <f t="shared" si="1"/>
        <v>0</v>
      </c>
      <c r="F667" s="438">
        <f t="shared" si="2"/>
        <v>0</v>
      </c>
      <c r="G667" t="str">
        <f t="shared" si="3"/>
        <v/>
      </c>
      <c r="H667" t="b">
        <f t="shared" si="4"/>
        <v>0</v>
      </c>
      <c r="I667" s="439">
        <f>IF(OR(ISBLANK(A667),ISNA(MATCH(A667&amp;"",AthleteNumbers,0))),0,MATCH(A667&amp;"",AthleteNumbers,0))</f>
        <v>0</v>
      </c>
      <c r="J667" s="209">
        <f t="array" ref="J667">IF(I667&gt;0,INDEX(DB,$I667,6),0)</f>
        <v>0</v>
      </c>
      <c r="K667" s="446">
        <f t="shared" si="5"/>
        <v>0</v>
      </c>
      <c r="L667" s="446">
        <f t="shared" si="6"/>
        <v>0</v>
      </c>
      <c r="M667" s="441">
        <f>IF(L667&lt;O667,MinPoints,IF(AND(L667&gt;N667,O667&gt;0),100,+INT(($L667-O667)/P667)+MinPoints))</f>
        <v>10</v>
      </c>
      <c r="N667" s="440">
        <f t="shared" si="7"/>
        <v>4.9</v>
      </c>
      <c r="O667" s="440">
        <f t="shared" si="8"/>
        <v>2.2</v>
      </c>
      <c r="P667" s="440">
        <f t="shared" si="9"/>
        <v>0.03</v>
      </c>
      <c r="Q667">
        <f t="array" ref="Q667">IF(I667&gt;0,INDEX(DB,I667,9),EventIndex)</f>
        <v>6</v>
      </c>
      <c r="S667" s="447">
        <f t="array" ref="S667">INDEX(MINVALUES,$Q667,$K$1)</f>
        <v>2.2</v>
      </c>
      <c r="T667" s="448">
        <f t="array" ref="T667">INDEX(INCVALUES,$Q667,$K$1)</f>
        <v>0.03</v>
      </c>
      <c r="V667">
        <f t="array" ref="V667">+J667+(4*(INDEX(MatchScoreTable,$Q667,20)-1))</f>
        <v>4</v>
      </c>
      <c r="W667" s="442">
        <f t="array" ref="W667">INDEX(INC_MINVALUES,$V667,$K$1)</f>
        <v>0.2</v>
      </c>
      <c r="X667" s="212">
        <f t="array" ref="X667">INDEX(INC_INCVALUES,$V667,$K$1)</f>
        <v>0.02</v>
      </c>
    </row>
    <row r="668" ht="15.75" customHeight="1">
      <c r="A668" s="435"/>
      <c r="B668" s="436"/>
      <c r="C668" s="95" t="str">
        <f t="array" ref="C668">IF(I668&gt;0,INDEX(DB,I668,8),"")</f>
        <v/>
      </c>
      <c r="D668" s="437">
        <f t="shared" si="1"/>
        <v>0</v>
      </c>
      <c r="F668" s="438">
        <f t="shared" si="2"/>
        <v>0</v>
      </c>
      <c r="G668" t="str">
        <f t="shared" si="3"/>
        <v/>
      </c>
      <c r="H668" t="b">
        <f t="shared" si="4"/>
        <v>0</v>
      </c>
      <c r="I668" s="439">
        <f>IF(OR(ISBLANK(A668),ISNA(MATCH(A668&amp;"",AthleteNumbers,0))),0,MATCH(A668&amp;"",AthleteNumbers,0))</f>
        <v>0</v>
      </c>
      <c r="J668" s="209">
        <f t="array" ref="J668">IF(I668&gt;0,INDEX(DB,$I668,6),0)</f>
        <v>0</v>
      </c>
      <c r="K668" s="446">
        <f t="shared" si="5"/>
        <v>0</v>
      </c>
      <c r="L668" s="446">
        <f t="shared" si="6"/>
        <v>0</v>
      </c>
      <c r="M668" s="441">
        <f>IF(L668&lt;O668,MinPoints,IF(AND(L668&gt;N668,O668&gt;0),100,+INT(($L668-O668)/P668)+MinPoints))</f>
        <v>10</v>
      </c>
      <c r="N668" s="440">
        <f t="shared" si="7"/>
        <v>4.9</v>
      </c>
      <c r="O668" s="440">
        <f t="shared" si="8"/>
        <v>2.2</v>
      </c>
      <c r="P668" s="440">
        <f t="shared" si="9"/>
        <v>0.03</v>
      </c>
      <c r="Q668">
        <f t="array" ref="Q668">IF(I668&gt;0,INDEX(DB,I668,9),EventIndex)</f>
        <v>6</v>
      </c>
      <c r="S668" s="447">
        <f t="array" ref="S668">INDEX(MINVALUES,$Q668,$K$1)</f>
        <v>2.2</v>
      </c>
      <c r="T668" s="448">
        <f t="array" ref="T668">INDEX(INCVALUES,$Q668,$K$1)</f>
        <v>0.03</v>
      </c>
      <c r="V668">
        <f t="array" ref="V668">+J668+(4*(INDEX(MatchScoreTable,$Q668,20)-1))</f>
        <v>4</v>
      </c>
      <c r="W668" s="442">
        <f t="array" ref="W668">INDEX(INC_MINVALUES,$V668,$K$1)</f>
        <v>0.2</v>
      </c>
      <c r="X668" s="212">
        <f t="array" ref="X668">INDEX(INC_INCVALUES,$V668,$K$1)</f>
        <v>0.02</v>
      </c>
    </row>
    <row r="669" ht="15.75" customHeight="1">
      <c r="A669" s="435"/>
      <c r="B669" s="436"/>
      <c r="C669" s="95" t="str">
        <f t="array" ref="C669">IF(I669&gt;0,INDEX(DB,I669,8),"")</f>
        <v/>
      </c>
      <c r="D669" s="437">
        <f t="shared" si="1"/>
        <v>0</v>
      </c>
      <c r="F669" s="438">
        <f t="shared" si="2"/>
        <v>0</v>
      </c>
      <c r="G669" t="str">
        <f t="shared" si="3"/>
        <v/>
      </c>
      <c r="H669" t="b">
        <f t="shared" si="4"/>
        <v>0</v>
      </c>
      <c r="I669" s="439">
        <f>IF(OR(ISBLANK(A669),ISNA(MATCH(A669&amp;"",AthleteNumbers,0))),0,MATCH(A669&amp;"",AthleteNumbers,0))</f>
        <v>0</v>
      </c>
      <c r="J669" s="209">
        <f t="array" ref="J669">IF(I669&gt;0,INDEX(DB,$I669,6),0)</f>
        <v>0</v>
      </c>
      <c r="K669" s="446">
        <f t="shared" si="5"/>
        <v>0</v>
      </c>
      <c r="L669" s="446">
        <f t="shared" si="6"/>
        <v>0</v>
      </c>
      <c r="M669" s="441">
        <f>IF(L669&lt;O669,MinPoints,IF(AND(L669&gt;N669,O669&gt;0),100,+INT(($L669-O669)/P669)+MinPoints))</f>
        <v>10</v>
      </c>
      <c r="N669" s="440">
        <f t="shared" si="7"/>
        <v>4.9</v>
      </c>
      <c r="O669" s="440">
        <f t="shared" si="8"/>
        <v>2.2</v>
      </c>
      <c r="P669" s="440">
        <f t="shared" si="9"/>
        <v>0.03</v>
      </c>
      <c r="Q669">
        <f t="array" ref="Q669">IF(I669&gt;0,INDEX(DB,I669,9),EventIndex)</f>
        <v>6</v>
      </c>
      <c r="S669" s="447">
        <f t="array" ref="S669">INDEX(MINVALUES,$Q669,$K$1)</f>
        <v>2.2</v>
      </c>
      <c r="T669" s="448">
        <f t="array" ref="T669">INDEX(INCVALUES,$Q669,$K$1)</f>
        <v>0.03</v>
      </c>
      <c r="V669">
        <f t="array" ref="V669">+J669+(4*(INDEX(MatchScoreTable,$Q669,20)-1))</f>
        <v>4</v>
      </c>
      <c r="W669" s="442">
        <f t="array" ref="W669">INDEX(INC_MINVALUES,$V669,$K$1)</f>
        <v>0.2</v>
      </c>
      <c r="X669" s="212">
        <f t="array" ref="X669">INDEX(INC_INCVALUES,$V669,$K$1)</f>
        <v>0.02</v>
      </c>
    </row>
    <row r="670" ht="15.75" customHeight="1">
      <c r="A670" s="435"/>
      <c r="B670" s="436"/>
      <c r="C670" s="95" t="str">
        <f t="array" ref="C670">IF(I670&gt;0,INDEX(DB,I670,8),"")</f>
        <v/>
      </c>
      <c r="D670" s="437">
        <f t="shared" si="1"/>
        <v>0</v>
      </c>
      <c r="F670" s="438">
        <f t="shared" si="2"/>
        <v>0</v>
      </c>
      <c r="G670" t="str">
        <f t="shared" si="3"/>
        <v/>
      </c>
      <c r="H670" t="b">
        <f t="shared" si="4"/>
        <v>0</v>
      </c>
      <c r="I670" s="439">
        <f>IF(OR(ISBLANK(A670),ISNA(MATCH(A670&amp;"",AthleteNumbers,0))),0,MATCH(A670&amp;"",AthleteNumbers,0))</f>
        <v>0</v>
      </c>
      <c r="J670" s="209">
        <f t="array" ref="J670">IF(I670&gt;0,INDEX(DB,$I670,6),0)</f>
        <v>0</v>
      </c>
      <c r="K670" s="446">
        <f t="shared" si="5"/>
        <v>0</v>
      </c>
      <c r="L670" s="446">
        <f t="shared" si="6"/>
        <v>0</v>
      </c>
      <c r="M670" s="441">
        <f>IF(L670&lt;O670,MinPoints,IF(AND(L670&gt;N670,O670&gt;0),100,+INT(($L670-O670)/P670)+MinPoints))</f>
        <v>10</v>
      </c>
      <c r="N670" s="440">
        <f t="shared" si="7"/>
        <v>4.9</v>
      </c>
      <c r="O670" s="440">
        <f t="shared" si="8"/>
        <v>2.2</v>
      </c>
      <c r="P670" s="440">
        <f t="shared" si="9"/>
        <v>0.03</v>
      </c>
      <c r="Q670">
        <f t="array" ref="Q670">IF(I670&gt;0,INDEX(DB,I670,9),EventIndex)</f>
        <v>6</v>
      </c>
      <c r="S670" s="447">
        <f t="array" ref="S670">INDEX(MINVALUES,$Q670,$K$1)</f>
        <v>2.2</v>
      </c>
      <c r="T670" s="448">
        <f t="array" ref="T670">INDEX(INCVALUES,$Q670,$K$1)</f>
        <v>0.03</v>
      </c>
      <c r="V670">
        <f t="array" ref="V670">+J670+(4*(INDEX(MatchScoreTable,$Q670,20)-1))</f>
        <v>4</v>
      </c>
      <c r="W670" s="442">
        <f t="array" ref="W670">INDEX(INC_MINVALUES,$V670,$K$1)</f>
        <v>0.2</v>
      </c>
      <c r="X670" s="212">
        <f t="array" ref="X670">INDEX(INC_INCVALUES,$V670,$K$1)</f>
        <v>0.02</v>
      </c>
    </row>
    <row r="671" ht="15.75" customHeight="1">
      <c r="A671" s="435"/>
      <c r="B671" s="436"/>
      <c r="C671" s="95" t="str">
        <f t="array" ref="C671">IF(I671&gt;0,INDEX(DB,I671,8),"")</f>
        <v/>
      </c>
      <c r="D671" s="437">
        <f t="shared" si="1"/>
        <v>0</v>
      </c>
      <c r="F671" s="438">
        <f t="shared" si="2"/>
        <v>0</v>
      </c>
      <c r="G671" t="str">
        <f t="shared" si="3"/>
        <v/>
      </c>
      <c r="H671" t="b">
        <f t="shared" si="4"/>
        <v>0</v>
      </c>
      <c r="I671" s="439">
        <f>IF(OR(ISBLANK(A671),ISNA(MATCH(A671&amp;"",AthleteNumbers,0))),0,MATCH(A671&amp;"",AthleteNumbers,0))</f>
        <v>0</v>
      </c>
      <c r="J671" s="209">
        <f t="array" ref="J671">IF(I671&gt;0,INDEX(DB,$I671,6),0)</f>
        <v>0</v>
      </c>
      <c r="K671" s="446">
        <f t="shared" si="5"/>
        <v>0</v>
      </c>
      <c r="L671" s="446">
        <f t="shared" si="6"/>
        <v>0</v>
      </c>
      <c r="M671" s="441">
        <f>IF(L671&lt;O671,MinPoints,IF(AND(L671&gt;N671,O671&gt;0),100,+INT(($L671-O671)/P671)+MinPoints))</f>
        <v>10</v>
      </c>
      <c r="N671" s="440">
        <f t="shared" si="7"/>
        <v>4.9</v>
      </c>
      <c r="O671" s="440">
        <f t="shared" si="8"/>
        <v>2.2</v>
      </c>
      <c r="P671" s="440">
        <f t="shared" si="9"/>
        <v>0.03</v>
      </c>
      <c r="Q671">
        <f t="array" ref="Q671">IF(I671&gt;0,INDEX(DB,I671,9),EventIndex)</f>
        <v>6</v>
      </c>
      <c r="S671" s="447">
        <f t="array" ref="S671">INDEX(MINVALUES,$Q671,$K$1)</f>
        <v>2.2</v>
      </c>
      <c r="T671" s="448">
        <f t="array" ref="T671">INDEX(INCVALUES,$Q671,$K$1)</f>
        <v>0.03</v>
      </c>
      <c r="V671">
        <f t="array" ref="V671">+J671+(4*(INDEX(MatchScoreTable,$Q671,20)-1))</f>
        <v>4</v>
      </c>
      <c r="W671" s="442">
        <f t="array" ref="W671">INDEX(INC_MINVALUES,$V671,$K$1)</f>
        <v>0.2</v>
      </c>
      <c r="X671" s="212">
        <f t="array" ref="X671">INDEX(INC_INCVALUES,$V671,$K$1)</f>
        <v>0.02</v>
      </c>
    </row>
    <row r="672" ht="15.75" customHeight="1">
      <c r="A672" s="435"/>
      <c r="B672" s="436"/>
      <c r="C672" s="95" t="str">
        <f t="array" ref="C672">IF(I672&gt;0,INDEX(DB,I672,8),"")</f>
        <v/>
      </c>
      <c r="D672" s="437">
        <f t="shared" si="1"/>
        <v>0</v>
      </c>
      <c r="F672" s="438">
        <f t="shared" si="2"/>
        <v>0</v>
      </c>
      <c r="G672" t="str">
        <f t="shared" si="3"/>
        <v/>
      </c>
      <c r="H672" t="b">
        <f t="shared" si="4"/>
        <v>0</v>
      </c>
      <c r="I672" s="439">
        <f>IF(OR(ISBLANK(A672),ISNA(MATCH(A672&amp;"",AthleteNumbers,0))),0,MATCH(A672&amp;"",AthleteNumbers,0))</f>
        <v>0</v>
      </c>
      <c r="J672" s="209">
        <f t="array" ref="J672">IF(I672&gt;0,INDEX(DB,$I672,6),0)</f>
        <v>0</v>
      </c>
      <c r="K672" s="446">
        <f t="shared" si="5"/>
        <v>0</v>
      </c>
      <c r="L672" s="446">
        <f t="shared" si="6"/>
        <v>0</v>
      </c>
      <c r="M672" s="441">
        <f>IF(L672&lt;O672,MinPoints,IF(AND(L672&gt;N672,O672&gt;0),100,+INT(($L672-O672)/P672)+MinPoints))</f>
        <v>10</v>
      </c>
      <c r="N672" s="440">
        <f t="shared" si="7"/>
        <v>4.9</v>
      </c>
      <c r="O672" s="440">
        <f t="shared" si="8"/>
        <v>2.2</v>
      </c>
      <c r="P672" s="440">
        <f t="shared" si="9"/>
        <v>0.03</v>
      </c>
      <c r="Q672">
        <f t="array" ref="Q672">IF(I672&gt;0,INDEX(DB,I672,9),EventIndex)</f>
        <v>6</v>
      </c>
      <c r="S672" s="447">
        <f t="array" ref="S672">INDEX(MINVALUES,$Q672,$K$1)</f>
        <v>2.2</v>
      </c>
      <c r="T672" s="448">
        <f t="array" ref="T672">INDEX(INCVALUES,$Q672,$K$1)</f>
        <v>0.03</v>
      </c>
      <c r="V672">
        <f t="array" ref="V672">+J672+(4*(INDEX(MatchScoreTable,$Q672,20)-1))</f>
        <v>4</v>
      </c>
      <c r="W672" s="442">
        <f t="array" ref="W672">INDEX(INC_MINVALUES,$V672,$K$1)</f>
        <v>0.2</v>
      </c>
      <c r="X672" s="212">
        <f t="array" ref="X672">INDEX(INC_INCVALUES,$V672,$K$1)</f>
        <v>0.02</v>
      </c>
    </row>
    <row r="673" ht="15.75" customHeight="1">
      <c r="A673" s="435"/>
      <c r="B673" s="436"/>
      <c r="C673" s="95" t="str">
        <f t="array" ref="C673">IF(I673&gt;0,INDEX(DB,I673,8),"")</f>
        <v/>
      </c>
      <c r="D673" s="437">
        <f t="shared" si="1"/>
        <v>0</v>
      </c>
      <c r="F673" s="438">
        <f t="shared" si="2"/>
        <v>0</v>
      </c>
      <c r="G673" t="str">
        <f t="shared" si="3"/>
        <v/>
      </c>
      <c r="H673" t="b">
        <f t="shared" si="4"/>
        <v>0</v>
      </c>
      <c r="I673" s="439">
        <f>IF(OR(ISBLANK(A673),ISNA(MATCH(A673&amp;"",AthleteNumbers,0))),0,MATCH(A673&amp;"",AthleteNumbers,0))</f>
        <v>0</v>
      </c>
      <c r="J673" s="209">
        <f t="array" ref="J673">IF(I673&gt;0,INDEX(DB,$I673,6),0)</f>
        <v>0</v>
      </c>
      <c r="K673" s="446">
        <f t="shared" si="5"/>
        <v>0</v>
      </c>
      <c r="L673" s="446">
        <f t="shared" si="6"/>
        <v>0</v>
      </c>
      <c r="M673" s="441">
        <f>IF(L673&lt;O673,MinPoints,IF(AND(L673&gt;N673,O673&gt;0),100,+INT(($L673-O673)/P673)+MinPoints))</f>
        <v>10</v>
      </c>
      <c r="N673" s="440">
        <f t="shared" si="7"/>
        <v>4.9</v>
      </c>
      <c r="O673" s="440">
        <f t="shared" si="8"/>
        <v>2.2</v>
      </c>
      <c r="P673" s="440">
        <f t="shared" si="9"/>
        <v>0.03</v>
      </c>
      <c r="Q673">
        <f t="array" ref="Q673">IF(I673&gt;0,INDEX(DB,I673,9),EventIndex)</f>
        <v>6</v>
      </c>
      <c r="S673" s="447">
        <f t="array" ref="S673">INDEX(MINVALUES,$Q673,$K$1)</f>
        <v>2.2</v>
      </c>
      <c r="T673" s="448">
        <f t="array" ref="T673">INDEX(INCVALUES,$Q673,$K$1)</f>
        <v>0.03</v>
      </c>
      <c r="V673">
        <f t="array" ref="V673">+J673+(4*(INDEX(MatchScoreTable,$Q673,20)-1))</f>
        <v>4</v>
      </c>
      <c r="W673" s="442">
        <f t="array" ref="W673">INDEX(INC_MINVALUES,$V673,$K$1)</f>
        <v>0.2</v>
      </c>
      <c r="X673" s="212">
        <f t="array" ref="X673">INDEX(INC_INCVALUES,$V673,$K$1)</f>
        <v>0.02</v>
      </c>
    </row>
    <row r="674" ht="15.75" customHeight="1">
      <c r="A674" s="435"/>
      <c r="B674" s="436"/>
      <c r="C674" s="95" t="str">
        <f t="array" ref="C674">IF(I674&gt;0,INDEX(DB,I674,8),"")</f>
        <v/>
      </c>
      <c r="D674" s="437">
        <f t="shared" si="1"/>
        <v>0</v>
      </c>
      <c r="F674" s="438">
        <f t="shared" si="2"/>
        <v>0</v>
      </c>
      <c r="G674" t="str">
        <f t="shared" si="3"/>
        <v/>
      </c>
      <c r="H674" t="b">
        <f t="shared" si="4"/>
        <v>0</v>
      </c>
      <c r="I674" s="439">
        <f>IF(OR(ISBLANK(A674),ISNA(MATCH(A674&amp;"",AthleteNumbers,0))),0,MATCH(A674&amp;"",AthleteNumbers,0))</f>
        <v>0</v>
      </c>
      <c r="J674" s="209">
        <f t="array" ref="J674">IF(I674&gt;0,INDEX(DB,$I674,6),0)</f>
        <v>0</v>
      </c>
      <c r="K674" s="446">
        <f t="shared" si="5"/>
        <v>0</v>
      </c>
      <c r="L674" s="446">
        <f t="shared" si="6"/>
        <v>0</v>
      </c>
      <c r="M674" s="441">
        <f>IF(L674&lt;O674,MinPoints,IF(AND(L674&gt;N674,O674&gt;0),100,+INT(($L674-O674)/P674)+MinPoints))</f>
        <v>10</v>
      </c>
      <c r="N674" s="440">
        <f t="shared" si="7"/>
        <v>4.9</v>
      </c>
      <c r="O674" s="440">
        <f t="shared" si="8"/>
        <v>2.2</v>
      </c>
      <c r="P674" s="440">
        <f t="shared" si="9"/>
        <v>0.03</v>
      </c>
      <c r="Q674">
        <f t="array" ref="Q674">IF(I674&gt;0,INDEX(DB,I674,9),EventIndex)</f>
        <v>6</v>
      </c>
      <c r="S674" s="447">
        <f t="array" ref="S674">INDEX(MINVALUES,$Q674,$K$1)</f>
        <v>2.2</v>
      </c>
      <c r="T674" s="448">
        <f t="array" ref="T674">INDEX(INCVALUES,$Q674,$K$1)</f>
        <v>0.03</v>
      </c>
      <c r="V674">
        <f t="array" ref="V674">+J674+(4*(INDEX(MatchScoreTable,$Q674,20)-1))</f>
        <v>4</v>
      </c>
      <c r="W674" s="442">
        <f t="array" ref="W674">INDEX(INC_MINVALUES,$V674,$K$1)</f>
        <v>0.2</v>
      </c>
      <c r="X674" s="212">
        <f t="array" ref="X674">INDEX(INC_INCVALUES,$V674,$K$1)</f>
        <v>0.02</v>
      </c>
    </row>
    <row r="675" ht="15.75" customHeight="1">
      <c r="A675" s="435"/>
      <c r="B675" s="436"/>
      <c r="C675" s="95" t="str">
        <f t="array" ref="C675">IF(I675&gt;0,INDEX(DB,I675,8),"")</f>
        <v/>
      </c>
      <c r="D675" s="437">
        <f t="shared" si="1"/>
        <v>0</v>
      </c>
      <c r="F675" s="438">
        <f t="shared" si="2"/>
        <v>0</v>
      </c>
      <c r="G675" t="str">
        <f t="shared" si="3"/>
        <v/>
      </c>
      <c r="H675" t="b">
        <f t="shared" si="4"/>
        <v>0</v>
      </c>
      <c r="I675" s="439">
        <f>IF(OR(ISBLANK(A675),ISNA(MATCH(A675&amp;"",AthleteNumbers,0))),0,MATCH(A675&amp;"",AthleteNumbers,0))</f>
        <v>0</v>
      </c>
      <c r="J675" s="209">
        <f t="array" ref="J675">IF(I675&gt;0,INDEX(DB,$I675,6),0)</f>
        <v>0</v>
      </c>
      <c r="K675" s="446">
        <f t="shared" si="5"/>
        <v>0</v>
      </c>
      <c r="L675" s="446">
        <f t="shared" si="6"/>
        <v>0</v>
      </c>
      <c r="M675" s="441">
        <f>IF(L675&lt;O675,MinPoints,IF(AND(L675&gt;N675,O675&gt;0),100,+INT(($L675-O675)/P675)+MinPoints))</f>
        <v>10</v>
      </c>
      <c r="N675" s="440">
        <f t="shared" si="7"/>
        <v>4.9</v>
      </c>
      <c r="O675" s="440">
        <f t="shared" si="8"/>
        <v>2.2</v>
      </c>
      <c r="P675" s="440">
        <f t="shared" si="9"/>
        <v>0.03</v>
      </c>
      <c r="Q675">
        <f t="array" ref="Q675">IF(I675&gt;0,INDEX(DB,I675,9),EventIndex)</f>
        <v>6</v>
      </c>
      <c r="S675" s="447">
        <f t="array" ref="S675">INDEX(MINVALUES,$Q675,$K$1)</f>
        <v>2.2</v>
      </c>
      <c r="T675" s="448">
        <f t="array" ref="T675">INDEX(INCVALUES,$Q675,$K$1)</f>
        <v>0.03</v>
      </c>
      <c r="V675">
        <f t="array" ref="V675">+J675+(4*(INDEX(MatchScoreTable,$Q675,20)-1))</f>
        <v>4</v>
      </c>
      <c r="W675" s="442">
        <f t="array" ref="W675">INDEX(INC_MINVALUES,$V675,$K$1)</f>
        <v>0.2</v>
      </c>
      <c r="X675" s="212">
        <f t="array" ref="X675">INDEX(INC_INCVALUES,$V675,$K$1)</f>
        <v>0.02</v>
      </c>
    </row>
    <row r="676" ht="15.75" customHeight="1">
      <c r="A676" s="435"/>
      <c r="B676" s="436"/>
      <c r="C676" s="95" t="str">
        <f t="array" ref="C676">IF(I676&gt;0,INDEX(DB,I676,8),"")</f>
        <v/>
      </c>
      <c r="D676" s="437">
        <f t="shared" si="1"/>
        <v>0</v>
      </c>
      <c r="F676" s="438">
        <f t="shared" si="2"/>
        <v>0</v>
      </c>
      <c r="G676" t="str">
        <f t="shared" si="3"/>
        <v/>
      </c>
      <c r="H676" t="b">
        <f t="shared" si="4"/>
        <v>0</v>
      </c>
      <c r="I676" s="439">
        <f>IF(OR(ISBLANK(A676),ISNA(MATCH(A676&amp;"",AthleteNumbers,0))),0,MATCH(A676&amp;"",AthleteNumbers,0))</f>
        <v>0</v>
      </c>
      <c r="J676" s="209">
        <f t="array" ref="J676">IF(I676&gt;0,INDEX(DB,$I676,6),0)</f>
        <v>0</v>
      </c>
      <c r="K676" s="446">
        <f t="shared" si="5"/>
        <v>0</v>
      </c>
      <c r="L676" s="446">
        <f t="shared" si="6"/>
        <v>0</v>
      </c>
      <c r="M676" s="441">
        <f>IF(L676&lt;O676,MinPoints,IF(AND(L676&gt;N676,O676&gt;0),100,+INT(($L676-O676)/P676)+MinPoints))</f>
        <v>10</v>
      </c>
      <c r="N676" s="440">
        <f t="shared" si="7"/>
        <v>4.9</v>
      </c>
      <c r="O676" s="440">
        <f t="shared" si="8"/>
        <v>2.2</v>
      </c>
      <c r="P676" s="440">
        <f t="shared" si="9"/>
        <v>0.03</v>
      </c>
      <c r="Q676">
        <f t="array" ref="Q676">IF(I676&gt;0,INDEX(DB,I676,9),EventIndex)</f>
        <v>6</v>
      </c>
      <c r="S676" s="447">
        <f t="array" ref="S676">INDEX(MINVALUES,$Q676,$K$1)</f>
        <v>2.2</v>
      </c>
      <c r="T676" s="448">
        <f t="array" ref="T676">INDEX(INCVALUES,$Q676,$K$1)</f>
        <v>0.03</v>
      </c>
      <c r="V676">
        <f t="array" ref="V676">+J676+(4*(INDEX(MatchScoreTable,$Q676,20)-1))</f>
        <v>4</v>
      </c>
      <c r="W676" s="442">
        <f t="array" ref="W676">INDEX(INC_MINVALUES,$V676,$K$1)</f>
        <v>0.2</v>
      </c>
      <c r="X676" s="212">
        <f t="array" ref="X676">INDEX(INC_INCVALUES,$V676,$K$1)</f>
        <v>0.02</v>
      </c>
    </row>
    <row r="677" ht="15.75" customHeight="1">
      <c r="A677" s="435"/>
      <c r="B677" s="436"/>
      <c r="C677" s="95" t="str">
        <f t="array" ref="C677">IF(I677&gt;0,INDEX(DB,I677,8),"")</f>
        <v/>
      </c>
      <c r="D677" s="437">
        <f t="shared" si="1"/>
        <v>0</v>
      </c>
      <c r="F677" s="438">
        <f t="shared" si="2"/>
        <v>0</v>
      </c>
      <c r="G677" t="str">
        <f t="shared" si="3"/>
        <v/>
      </c>
      <c r="H677" t="b">
        <f t="shared" si="4"/>
        <v>0</v>
      </c>
      <c r="I677" s="439">
        <f>IF(OR(ISBLANK(A677),ISNA(MATCH(A677&amp;"",AthleteNumbers,0))),0,MATCH(A677&amp;"",AthleteNumbers,0))</f>
        <v>0</v>
      </c>
      <c r="J677" s="209">
        <f t="array" ref="J677">IF(I677&gt;0,INDEX(DB,$I677,6),0)</f>
        <v>0</v>
      </c>
      <c r="K677" s="446">
        <f t="shared" si="5"/>
        <v>0</v>
      </c>
      <c r="L677" s="446">
        <f t="shared" si="6"/>
        <v>0</v>
      </c>
      <c r="M677" s="441">
        <f>IF(L677&lt;O677,MinPoints,IF(AND(L677&gt;N677,O677&gt;0),100,+INT(($L677-O677)/P677)+MinPoints))</f>
        <v>10</v>
      </c>
      <c r="N677" s="440">
        <f t="shared" si="7"/>
        <v>4.9</v>
      </c>
      <c r="O677" s="440">
        <f t="shared" si="8"/>
        <v>2.2</v>
      </c>
      <c r="P677" s="440">
        <f t="shared" si="9"/>
        <v>0.03</v>
      </c>
      <c r="Q677">
        <f t="array" ref="Q677">IF(I677&gt;0,INDEX(DB,I677,9),EventIndex)</f>
        <v>6</v>
      </c>
      <c r="S677" s="447">
        <f t="array" ref="S677">INDEX(MINVALUES,$Q677,$K$1)</f>
        <v>2.2</v>
      </c>
      <c r="T677" s="448">
        <f t="array" ref="T677">INDEX(INCVALUES,$Q677,$K$1)</f>
        <v>0.03</v>
      </c>
      <c r="V677">
        <f t="array" ref="V677">+J677+(4*(INDEX(MatchScoreTable,$Q677,20)-1))</f>
        <v>4</v>
      </c>
      <c r="W677" s="442">
        <f t="array" ref="W677">INDEX(INC_MINVALUES,$V677,$K$1)</f>
        <v>0.2</v>
      </c>
      <c r="X677" s="212">
        <f t="array" ref="X677">INDEX(INC_INCVALUES,$V677,$K$1)</f>
        <v>0.02</v>
      </c>
    </row>
    <row r="678" ht="15.75" customHeight="1">
      <c r="A678" s="435"/>
      <c r="B678" s="436"/>
      <c r="C678" s="95" t="str">
        <f t="array" ref="C678">IF(I678&gt;0,INDEX(DB,I678,8),"")</f>
        <v/>
      </c>
      <c r="D678" s="437">
        <f t="shared" si="1"/>
        <v>0</v>
      </c>
      <c r="F678" s="438">
        <f t="shared" si="2"/>
        <v>0</v>
      </c>
      <c r="G678" t="str">
        <f t="shared" si="3"/>
        <v/>
      </c>
      <c r="H678" t="b">
        <f t="shared" si="4"/>
        <v>0</v>
      </c>
      <c r="I678" s="439">
        <f>IF(OR(ISBLANK(A678),ISNA(MATCH(A678&amp;"",AthleteNumbers,0))),0,MATCH(A678&amp;"",AthleteNumbers,0))</f>
        <v>0</v>
      </c>
      <c r="J678" s="209">
        <f t="array" ref="J678">IF(I678&gt;0,INDEX(DB,$I678,6),0)</f>
        <v>0</v>
      </c>
      <c r="K678" s="446">
        <f t="shared" si="5"/>
        <v>0</v>
      </c>
      <c r="L678" s="446">
        <f t="shared" si="6"/>
        <v>0</v>
      </c>
      <c r="M678" s="441">
        <f>IF(L678&lt;O678,MinPoints,IF(AND(L678&gt;N678,O678&gt;0),100,+INT(($L678-O678)/P678)+MinPoints))</f>
        <v>10</v>
      </c>
      <c r="N678" s="440">
        <f t="shared" si="7"/>
        <v>4.9</v>
      </c>
      <c r="O678" s="440">
        <f t="shared" si="8"/>
        <v>2.2</v>
      </c>
      <c r="P678" s="440">
        <f t="shared" si="9"/>
        <v>0.03</v>
      </c>
      <c r="Q678">
        <f t="array" ref="Q678">IF(I678&gt;0,INDEX(DB,I678,9),EventIndex)</f>
        <v>6</v>
      </c>
      <c r="S678" s="447">
        <f t="array" ref="S678">INDEX(MINVALUES,$Q678,$K$1)</f>
        <v>2.2</v>
      </c>
      <c r="T678" s="448">
        <f t="array" ref="T678">INDEX(INCVALUES,$Q678,$K$1)</f>
        <v>0.03</v>
      </c>
      <c r="V678">
        <f t="array" ref="V678">+J678+(4*(INDEX(MatchScoreTable,$Q678,20)-1))</f>
        <v>4</v>
      </c>
      <c r="W678" s="442">
        <f t="array" ref="W678">INDEX(INC_MINVALUES,$V678,$K$1)</f>
        <v>0.2</v>
      </c>
      <c r="X678" s="212">
        <f t="array" ref="X678">INDEX(INC_INCVALUES,$V678,$K$1)</f>
        <v>0.02</v>
      </c>
    </row>
    <row r="679" ht="15.75" customHeight="1">
      <c r="A679" s="435"/>
      <c r="B679" s="436"/>
      <c r="C679" s="95" t="str">
        <f t="array" ref="C679">IF(I679&gt;0,INDEX(DB,I679,8),"")</f>
        <v/>
      </c>
      <c r="D679" s="437">
        <f t="shared" si="1"/>
        <v>0</v>
      </c>
      <c r="F679" s="438">
        <f t="shared" si="2"/>
        <v>0</v>
      </c>
      <c r="G679" t="str">
        <f t="shared" si="3"/>
        <v/>
      </c>
      <c r="H679" t="b">
        <f t="shared" si="4"/>
        <v>0</v>
      </c>
      <c r="I679" s="439">
        <f>IF(OR(ISBLANK(A679),ISNA(MATCH(A679&amp;"",AthleteNumbers,0))),0,MATCH(A679&amp;"",AthleteNumbers,0))</f>
        <v>0</v>
      </c>
      <c r="J679" s="209">
        <f t="array" ref="J679">IF(I679&gt;0,INDEX(DB,$I679,6),0)</f>
        <v>0</v>
      </c>
      <c r="K679" s="446">
        <f t="shared" si="5"/>
        <v>0</v>
      </c>
      <c r="L679" s="446">
        <f t="shared" si="6"/>
        <v>0</v>
      </c>
      <c r="M679" s="441">
        <f>IF(L679&lt;O679,MinPoints,IF(AND(L679&gt;N679,O679&gt;0),100,+INT(($L679-O679)/P679)+MinPoints))</f>
        <v>10</v>
      </c>
      <c r="N679" s="440">
        <f t="shared" si="7"/>
        <v>4.9</v>
      </c>
      <c r="O679" s="440">
        <f t="shared" si="8"/>
        <v>2.2</v>
      </c>
      <c r="P679" s="440">
        <f t="shared" si="9"/>
        <v>0.03</v>
      </c>
      <c r="Q679">
        <f t="array" ref="Q679">IF(I679&gt;0,INDEX(DB,I679,9),EventIndex)</f>
        <v>6</v>
      </c>
      <c r="S679" s="447">
        <f t="array" ref="S679">INDEX(MINVALUES,$Q679,$K$1)</f>
        <v>2.2</v>
      </c>
      <c r="T679" s="448">
        <f t="array" ref="T679">INDEX(INCVALUES,$Q679,$K$1)</f>
        <v>0.03</v>
      </c>
      <c r="V679">
        <f t="array" ref="V679">+J679+(4*(INDEX(MatchScoreTable,$Q679,20)-1))</f>
        <v>4</v>
      </c>
      <c r="W679" s="442">
        <f t="array" ref="W679">INDEX(INC_MINVALUES,$V679,$K$1)</f>
        <v>0.2</v>
      </c>
      <c r="X679" s="212">
        <f t="array" ref="X679">INDEX(INC_INCVALUES,$V679,$K$1)</f>
        <v>0.02</v>
      </c>
    </row>
    <row r="680" ht="15.75" customHeight="1">
      <c r="A680" s="435"/>
      <c r="B680" s="436"/>
      <c r="C680" s="95" t="str">
        <f t="array" ref="C680">IF(I680&gt;0,INDEX(DB,I680,8),"")</f>
        <v/>
      </c>
      <c r="D680" s="437">
        <f t="shared" si="1"/>
        <v>0</v>
      </c>
      <c r="F680" s="438">
        <f t="shared" si="2"/>
        <v>0</v>
      </c>
      <c r="G680" t="str">
        <f t="shared" si="3"/>
        <v/>
      </c>
      <c r="H680" t="b">
        <f t="shared" si="4"/>
        <v>0</v>
      </c>
      <c r="I680" s="439">
        <f>IF(OR(ISBLANK(A680),ISNA(MATCH(A680&amp;"",AthleteNumbers,0))),0,MATCH(A680&amp;"",AthleteNumbers,0))</f>
        <v>0</v>
      </c>
      <c r="J680" s="209">
        <f t="array" ref="J680">IF(I680&gt;0,INDEX(DB,$I680,6),0)</f>
        <v>0</v>
      </c>
      <c r="K680" s="446">
        <f t="shared" si="5"/>
        <v>0</v>
      </c>
      <c r="L680" s="446">
        <f t="shared" si="6"/>
        <v>0</v>
      </c>
      <c r="M680" s="441">
        <f>IF(L680&lt;O680,MinPoints,IF(AND(L680&gt;N680,O680&gt;0),100,+INT(($L680-O680)/P680)+MinPoints))</f>
        <v>10</v>
      </c>
      <c r="N680" s="440">
        <f t="shared" si="7"/>
        <v>4.9</v>
      </c>
      <c r="O680" s="440">
        <f t="shared" si="8"/>
        <v>2.2</v>
      </c>
      <c r="P680" s="440">
        <f t="shared" si="9"/>
        <v>0.03</v>
      </c>
      <c r="Q680">
        <f t="array" ref="Q680">IF(I680&gt;0,INDEX(DB,I680,9),EventIndex)</f>
        <v>6</v>
      </c>
      <c r="S680" s="447">
        <f t="array" ref="S680">INDEX(MINVALUES,$Q680,$K$1)</f>
        <v>2.2</v>
      </c>
      <c r="T680" s="448">
        <f t="array" ref="T680">INDEX(INCVALUES,$Q680,$K$1)</f>
        <v>0.03</v>
      </c>
      <c r="V680">
        <f t="array" ref="V680">+J680+(4*(INDEX(MatchScoreTable,$Q680,20)-1))</f>
        <v>4</v>
      </c>
      <c r="W680" s="442">
        <f t="array" ref="W680">INDEX(INC_MINVALUES,$V680,$K$1)</f>
        <v>0.2</v>
      </c>
      <c r="X680" s="212">
        <f t="array" ref="X680">INDEX(INC_INCVALUES,$V680,$K$1)</f>
        <v>0.02</v>
      </c>
    </row>
    <row r="681" ht="15.75" customHeight="1">
      <c r="A681" s="435"/>
      <c r="B681" s="436"/>
      <c r="C681" s="95" t="str">
        <f t="array" ref="C681">IF(I681&gt;0,INDEX(DB,I681,8),"")</f>
        <v/>
      </c>
      <c r="D681" s="437">
        <f t="shared" si="1"/>
        <v>0</v>
      </c>
      <c r="F681" s="438">
        <f t="shared" si="2"/>
        <v>0</v>
      </c>
      <c r="G681" t="str">
        <f t="shared" si="3"/>
        <v/>
      </c>
      <c r="H681" t="b">
        <f t="shared" si="4"/>
        <v>0</v>
      </c>
      <c r="I681" s="439">
        <f>IF(OR(ISBLANK(A681),ISNA(MATCH(A681&amp;"",AthleteNumbers,0))),0,MATCH(A681&amp;"",AthleteNumbers,0))</f>
        <v>0</v>
      </c>
      <c r="J681" s="209">
        <f t="array" ref="J681">IF(I681&gt;0,INDEX(DB,$I681,6),0)</f>
        <v>0</v>
      </c>
      <c r="K681" s="446">
        <f t="shared" si="5"/>
        <v>0</v>
      </c>
      <c r="L681" s="446">
        <f t="shared" si="6"/>
        <v>0</v>
      </c>
      <c r="M681" s="441">
        <f>IF(L681&lt;O681,MinPoints,IF(AND(L681&gt;N681,O681&gt;0),100,+INT(($L681-O681)/P681)+MinPoints))</f>
        <v>10</v>
      </c>
      <c r="N681" s="440">
        <f t="shared" si="7"/>
        <v>4.9</v>
      </c>
      <c r="O681" s="440">
        <f t="shared" si="8"/>
        <v>2.2</v>
      </c>
      <c r="P681" s="440">
        <f t="shared" si="9"/>
        <v>0.03</v>
      </c>
      <c r="Q681">
        <f t="array" ref="Q681">IF(I681&gt;0,INDEX(DB,I681,9),EventIndex)</f>
        <v>6</v>
      </c>
      <c r="S681" s="447">
        <f t="array" ref="S681">INDEX(MINVALUES,$Q681,$K$1)</f>
        <v>2.2</v>
      </c>
      <c r="T681" s="448">
        <f t="array" ref="T681">INDEX(INCVALUES,$Q681,$K$1)</f>
        <v>0.03</v>
      </c>
      <c r="V681">
        <f t="array" ref="V681">+J681+(4*(INDEX(MatchScoreTable,$Q681,20)-1))</f>
        <v>4</v>
      </c>
      <c r="W681" s="442">
        <f t="array" ref="W681">INDEX(INC_MINVALUES,$V681,$K$1)</f>
        <v>0.2</v>
      </c>
      <c r="X681" s="212">
        <f t="array" ref="X681">INDEX(INC_INCVALUES,$V681,$K$1)</f>
        <v>0.02</v>
      </c>
    </row>
    <row r="682" ht="15.75" customHeight="1">
      <c r="A682" s="435"/>
      <c r="B682" s="436"/>
      <c r="C682" s="95" t="str">
        <f t="array" ref="C682">IF(I682&gt;0,INDEX(DB,I682,8),"")</f>
        <v/>
      </c>
      <c r="D682" s="437">
        <f t="shared" si="1"/>
        <v>0</v>
      </c>
      <c r="F682" s="438">
        <f t="shared" si="2"/>
        <v>0</v>
      </c>
      <c r="G682" t="str">
        <f t="shared" si="3"/>
        <v/>
      </c>
      <c r="H682" t="b">
        <f t="shared" si="4"/>
        <v>0</v>
      </c>
      <c r="I682" s="439">
        <f>IF(OR(ISBLANK(A682),ISNA(MATCH(A682&amp;"",AthleteNumbers,0))),0,MATCH(A682&amp;"",AthleteNumbers,0))</f>
        <v>0</v>
      </c>
      <c r="J682" s="209">
        <f t="array" ref="J682">IF(I682&gt;0,INDEX(DB,$I682,6),0)</f>
        <v>0</v>
      </c>
      <c r="K682" s="446">
        <f t="shared" si="5"/>
        <v>0</v>
      </c>
      <c r="L682" s="446">
        <f t="shared" si="6"/>
        <v>0</v>
      </c>
      <c r="M682" s="441">
        <f>IF(L682&lt;O682,MinPoints,IF(AND(L682&gt;N682,O682&gt;0),100,+INT(($L682-O682)/P682)+MinPoints))</f>
        <v>10</v>
      </c>
      <c r="N682" s="440">
        <f t="shared" si="7"/>
        <v>4.9</v>
      </c>
      <c r="O682" s="440">
        <f t="shared" si="8"/>
        <v>2.2</v>
      </c>
      <c r="P682" s="440">
        <f t="shared" si="9"/>
        <v>0.03</v>
      </c>
      <c r="Q682">
        <f t="array" ref="Q682">IF(I682&gt;0,INDEX(DB,I682,9),EventIndex)</f>
        <v>6</v>
      </c>
      <c r="S682" s="447">
        <f t="array" ref="S682">INDEX(MINVALUES,$Q682,$K$1)</f>
        <v>2.2</v>
      </c>
      <c r="T682" s="448">
        <f t="array" ref="T682">INDEX(INCVALUES,$Q682,$K$1)</f>
        <v>0.03</v>
      </c>
      <c r="V682">
        <f t="array" ref="V682">+J682+(4*(INDEX(MatchScoreTable,$Q682,20)-1))</f>
        <v>4</v>
      </c>
      <c r="W682" s="442">
        <f t="array" ref="W682">INDEX(INC_MINVALUES,$V682,$K$1)</f>
        <v>0.2</v>
      </c>
      <c r="X682" s="212">
        <f t="array" ref="X682">INDEX(INC_INCVALUES,$V682,$K$1)</f>
        <v>0.02</v>
      </c>
    </row>
    <row r="683" ht="15.75" customHeight="1">
      <c r="A683" s="435"/>
      <c r="B683" s="436"/>
      <c r="C683" s="95" t="str">
        <f t="array" ref="C683">IF(I683&gt;0,INDEX(DB,I683,8),"")</f>
        <v/>
      </c>
      <c r="D683" s="437">
        <f t="shared" si="1"/>
        <v>0</v>
      </c>
      <c r="F683" s="438">
        <f t="shared" si="2"/>
        <v>0</v>
      </c>
      <c r="G683" t="str">
        <f t="shared" si="3"/>
        <v/>
      </c>
      <c r="H683" t="b">
        <f t="shared" si="4"/>
        <v>0</v>
      </c>
      <c r="I683" s="439">
        <f>IF(OR(ISBLANK(A683),ISNA(MATCH(A683&amp;"",AthleteNumbers,0))),0,MATCH(A683&amp;"",AthleteNumbers,0))</f>
        <v>0</v>
      </c>
      <c r="J683" s="209">
        <f t="array" ref="J683">IF(I683&gt;0,INDEX(DB,$I683,6),0)</f>
        <v>0</v>
      </c>
      <c r="K683" s="446">
        <f t="shared" si="5"/>
        <v>0</v>
      </c>
      <c r="L683" s="446">
        <f t="shared" si="6"/>
        <v>0</v>
      </c>
      <c r="M683" s="441">
        <f>IF(L683&lt;O683,MinPoints,IF(AND(L683&gt;N683,O683&gt;0),100,+INT(($L683-O683)/P683)+MinPoints))</f>
        <v>10</v>
      </c>
      <c r="N683" s="440">
        <f t="shared" si="7"/>
        <v>4.9</v>
      </c>
      <c r="O683" s="440">
        <f t="shared" si="8"/>
        <v>2.2</v>
      </c>
      <c r="P683" s="440">
        <f t="shared" si="9"/>
        <v>0.03</v>
      </c>
      <c r="Q683">
        <f t="array" ref="Q683">IF(I683&gt;0,INDEX(DB,I683,9),EventIndex)</f>
        <v>6</v>
      </c>
      <c r="S683" s="447">
        <f t="array" ref="S683">INDEX(MINVALUES,$Q683,$K$1)</f>
        <v>2.2</v>
      </c>
      <c r="T683" s="448">
        <f t="array" ref="T683">INDEX(INCVALUES,$Q683,$K$1)</f>
        <v>0.03</v>
      </c>
      <c r="V683">
        <f t="array" ref="V683">+J683+(4*(INDEX(MatchScoreTable,$Q683,20)-1))</f>
        <v>4</v>
      </c>
      <c r="W683" s="442">
        <f t="array" ref="W683">INDEX(INC_MINVALUES,$V683,$K$1)</f>
        <v>0.2</v>
      </c>
      <c r="X683" s="212">
        <f t="array" ref="X683">INDEX(INC_INCVALUES,$V683,$K$1)</f>
        <v>0.02</v>
      </c>
    </row>
    <row r="684" ht="15.75" customHeight="1">
      <c r="A684" s="435"/>
      <c r="B684" s="436"/>
      <c r="C684" s="95" t="str">
        <f t="array" ref="C684">IF(I684&gt;0,INDEX(DB,I684,8),"")</f>
        <v/>
      </c>
      <c r="D684" s="437">
        <f t="shared" si="1"/>
        <v>0</v>
      </c>
      <c r="F684" s="438">
        <f t="shared" si="2"/>
        <v>0</v>
      </c>
      <c r="G684" t="str">
        <f t="shared" si="3"/>
        <v/>
      </c>
      <c r="H684" t="b">
        <f t="shared" si="4"/>
        <v>0</v>
      </c>
      <c r="I684" s="439">
        <f>IF(OR(ISBLANK(A684),ISNA(MATCH(A684&amp;"",AthleteNumbers,0))),0,MATCH(A684&amp;"",AthleteNumbers,0))</f>
        <v>0</v>
      </c>
      <c r="J684" s="209">
        <f t="array" ref="J684">IF(I684&gt;0,INDEX(DB,$I684,6),0)</f>
        <v>0</v>
      </c>
      <c r="K684" s="446">
        <f t="shared" si="5"/>
        <v>0</v>
      </c>
      <c r="L684" s="446">
        <f t="shared" si="6"/>
        <v>0</v>
      </c>
      <c r="M684" s="441">
        <f>IF(L684&lt;O684,MinPoints,IF(AND(L684&gt;N684,O684&gt;0),100,+INT(($L684-O684)/P684)+MinPoints))</f>
        <v>10</v>
      </c>
      <c r="N684" s="440">
        <f t="shared" si="7"/>
        <v>4.9</v>
      </c>
      <c r="O684" s="440">
        <f t="shared" si="8"/>
        <v>2.2</v>
      </c>
      <c r="P684" s="440">
        <f t="shared" si="9"/>
        <v>0.03</v>
      </c>
      <c r="Q684">
        <f t="array" ref="Q684">IF(I684&gt;0,INDEX(DB,I684,9),EventIndex)</f>
        <v>6</v>
      </c>
      <c r="S684" s="447">
        <f t="array" ref="S684">INDEX(MINVALUES,$Q684,$K$1)</f>
        <v>2.2</v>
      </c>
      <c r="T684" s="448">
        <f t="array" ref="T684">INDEX(INCVALUES,$Q684,$K$1)</f>
        <v>0.03</v>
      </c>
      <c r="V684">
        <f t="array" ref="V684">+J684+(4*(INDEX(MatchScoreTable,$Q684,20)-1))</f>
        <v>4</v>
      </c>
      <c r="W684" s="442">
        <f t="array" ref="W684">INDEX(INC_MINVALUES,$V684,$K$1)</f>
        <v>0.2</v>
      </c>
      <c r="X684" s="212">
        <f t="array" ref="X684">INDEX(INC_INCVALUES,$V684,$K$1)</f>
        <v>0.02</v>
      </c>
    </row>
    <row r="685" ht="15.75" customHeight="1">
      <c r="A685" s="435"/>
      <c r="B685" s="436"/>
      <c r="C685" s="95" t="str">
        <f t="array" ref="C685">IF(I685&gt;0,INDEX(DB,I685,8),"")</f>
        <v/>
      </c>
      <c r="D685" s="437">
        <f t="shared" si="1"/>
        <v>0</v>
      </c>
      <c r="F685" s="438">
        <f t="shared" si="2"/>
        <v>0</v>
      </c>
      <c r="G685" t="str">
        <f t="shared" si="3"/>
        <v/>
      </c>
      <c r="H685" t="b">
        <f t="shared" si="4"/>
        <v>0</v>
      </c>
      <c r="I685" s="439">
        <f>IF(OR(ISBLANK(A685),ISNA(MATCH(A685&amp;"",AthleteNumbers,0))),0,MATCH(A685&amp;"",AthleteNumbers,0))</f>
        <v>0</v>
      </c>
      <c r="J685" s="209">
        <f t="array" ref="J685">IF(I685&gt;0,INDEX(DB,$I685,6),0)</f>
        <v>0</v>
      </c>
      <c r="K685" s="446">
        <f t="shared" si="5"/>
        <v>0</v>
      </c>
      <c r="L685" s="446">
        <f t="shared" si="6"/>
        <v>0</v>
      </c>
      <c r="M685" s="441">
        <f>IF(L685&lt;O685,MinPoints,IF(AND(L685&gt;N685,O685&gt;0),100,+INT(($L685-O685)/P685)+MinPoints))</f>
        <v>10</v>
      </c>
      <c r="N685" s="440">
        <f t="shared" si="7"/>
        <v>4.9</v>
      </c>
      <c r="O685" s="440">
        <f t="shared" si="8"/>
        <v>2.2</v>
      </c>
      <c r="P685" s="440">
        <f t="shared" si="9"/>
        <v>0.03</v>
      </c>
      <c r="Q685">
        <f t="array" ref="Q685">IF(I685&gt;0,INDEX(DB,I685,9),EventIndex)</f>
        <v>6</v>
      </c>
      <c r="S685" s="447">
        <f t="array" ref="S685">INDEX(MINVALUES,$Q685,$K$1)</f>
        <v>2.2</v>
      </c>
      <c r="T685" s="448">
        <f t="array" ref="T685">INDEX(INCVALUES,$Q685,$K$1)</f>
        <v>0.03</v>
      </c>
      <c r="V685">
        <f t="array" ref="V685">+J685+(4*(INDEX(MatchScoreTable,$Q685,20)-1))</f>
        <v>4</v>
      </c>
      <c r="W685" s="442">
        <f t="array" ref="W685">INDEX(INC_MINVALUES,$V685,$K$1)</f>
        <v>0.2</v>
      </c>
      <c r="X685" s="212">
        <f t="array" ref="X685">INDEX(INC_INCVALUES,$V685,$K$1)</f>
        <v>0.02</v>
      </c>
    </row>
    <row r="686" ht="15.75" customHeight="1">
      <c r="A686" s="435"/>
      <c r="B686" s="436"/>
      <c r="C686" s="95" t="str">
        <f t="array" ref="C686">IF(I686&gt;0,INDEX(DB,I686,8),"")</f>
        <v/>
      </c>
      <c r="D686" s="437">
        <f t="shared" si="1"/>
        <v>0</v>
      </c>
      <c r="F686" s="438">
        <f t="shared" si="2"/>
        <v>0</v>
      </c>
      <c r="G686" t="str">
        <f t="shared" si="3"/>
        <v/>
      </c>
      <c r="H686" t="b">
        <f t="shared" si="4"/>
        <v>0</v>
      </c>
      <c r="I686" s="439">
        <f>IF(OR(ISBLANK(A686),ISNA(MATCH(A686&amp;"",AthleteNumbers,0))),0,MATCH(A686&amp;"",AthleteNumbers,0))</f>
        <v>0</v>
      </c>
      <c r="J686" s="209">
        <f t="array" ref="J686">IF(I686&gt;0,INDEX(DB,$I686,6),0)</f>
        <v>0</v>
      </c>
      <c r="K686" s="446">
        <f t="shared" si="5"/>
        <v>0</v>
      </c>
      <c r="L686" s="446">
        <f t="shared" si="6"/>
        <v>0</v>
      </c>
      <c r="M686" s="441">
        <f>IF(L686&lt;O686,MinPoints,IF(AND(L686&gt;N686,O686&gt;0),100,+INT(($L686-O686)/P686)+MinPoints))</f>
        <v>10</v>
      </c>
      <c r="N686" s="440">
        <f t="shared" si="7"/>
        <v>4.9</v>
      </c>
      <c r="O686" s="440">
        <f t="shared" si="8"/>
        <v>2.2</v>
      </c>
      <c r="P686" s="440">
        <f t="shared" si="9"/>
        <v>0.03</v>
      </c>
      <c r="Q686">
        <f t="array" ref="Q686">IF(I686&gt;0,INDEX(DB,I686,9),EventIndex)</f>
        <v>6</v>
      </c>
      <c r="S686" s="447">
        <f t="array" ref="S686">INDEX(MINVALUES,$Q686,$K$1)</f>
        <v>2.2</v>
      </c>
      <c r="T686" s="448">
        <f t="array" ref="T686">INDEX(INCVALUES,$Q686,$K$1)</f>
        <v>0.03</v>
      </c>
      <c r="V686">
        <f t="array" ref="V686">+J686+(4*(INDEX(MatchScoreTable,$Q686,20)-1))</f>
        <v>4</v>
      </c>
      <c r="W686" s="442">
        <f t="array" ref="W686">INDEX(INC_MINVALUES,$V686,$K$1)</f>
        <v>0.2</v>
      </c>
      <c r="X686" s="212">
        <f t="array" ref="X686">INDEX(INC_INCVALUES,$V686,$K$1)</f>
        <v>0.02</v>
      </c>
    </row>
    <row r="687" ht="15.75" customHeight="1">
      <c r="A687" s="435"/>
      <c r="B687" s="436"/>
      <c r="C687" s="95" t="str">
        <f t="array" ref="C687">IF(I687&gt;0,INDEX(DB,I687,8),"")</f>
        <v/>
      </c>
      <c r="D687" s="437">
        <f t="shared" si="1"/>
        <v>0</v>
      </c>
      <c r="F687" s="438">
        <f t="shared" si="2"/>
        <v>0</v>
      </c>
      <c r="G687" t="str">
        <f t="shared" si="3"/>
        <v/>
      </c>
      <c r="H687" t="b">
        <f t="shared" si="4"/>
        <v>0</v>
      </c>
      <c r="I687" s="439">
        <f>IF(OR(ISBLANK(A687),ISNA(MATCH(A687&amp;"",AthleteNumbers,0))),0,MATCH(A687&amp;"",AthleteNumbers,0))</f>
        <v>0</v>
      </c>
      <c r="J687" s="209">
        <f t="array" ref="J687">IF(I687&gt;0,INDEX(DB,$I687,6),0)</f>
        <v>0</v>
      </c>
      <c r="K687" s="446">
        <f t="shared" si="5"/>
        <v>0</v>
      </c>
      <c r="L687" s="446">
        <f t="shared" si="6"/>
        <v>0</v>
      </c>
      <c r="M687" s="441">
        <f>IF(L687&lt;O687,MinPoints,IF(AND(L687&gt;N687,O687&gt;0),100,+INT(($L687-O687)/P687)+MinPoints))</f>
        <v>10</v>
      </c>
      <c r="N687" s="440">
        <f t="shared" si="7"/>
        <v>4.9</v>
      </c>
      <c r="O687" s="440">
        <f t="shared" si="8"/>
        <v>2.2</v>
      </c>
      <c r="P687" s="440">
        <f t="shared" si="9"/>
        <v>0.03</v>
      </c>
      <c r="Q687">
        <f t="array" ref="Q687">IF(I687&gt;0,INDEX(DB,I687,9),EventIndex)</f>
        <v>6</v>
      </c>
      <c r="S687" s="447">
        <f t="array" ref="S687">INDEX(MINVALUES,$Q687,$K$1)</f>
        <v>2.2</v>
      </c>
      <c r="T687" s="448">
        <f t="array" ref="T687">INDEX(INCVALUES,$Q687,$K$1)</f>
        <v>0.03</v>
      </c>
      <c r="V687">
        <f t="array" ref="V687">+J687+(4*(INDEX(MatchScoreTable,$Q687,20)-1))</f>
        <v>4</v>
      </c>
      <c r="W687" s="442">
        <f t="array" ref="W687">INDEX(INC_MINVALUES,$V687,$K$1)</f>
        <v>0.2</v>
      </c>
      <c r="X687" s="212">
        <f t="array" ref="X687">INDEX(INC_INCVALUES,$V687,$K$1)</f>
        <v>0.02</v>
      </c>
    </row>
    <row r="688" ht="15.75" customHeight="1">
      <c r="A688" s="435"/>
      <c r="B688" s="436"/>
      <c r="C688" s="95" t="str">
        <f t="array" ref="C688">IF(I688&gt;0,INDEX(DB,I688,8),"")</f>
        <v/>
      </c>
      <c r="D688" s="437">
        <f t="shared" si="1"/>
        <v>0</v>
      </c>
      <c r="F688" s="438">
        <f t="shared" si="2"/>
        <v>0</v>
      </c>
      <c r="G688" t="str">
        <f t="shared" si="3"/>
        <v/>
      </c>
      <c r="H688" t="b">
        <f t="shared" si="4"/>
        <v>0</v>
      </c>
      <c r="I688" s="439">
        <f>IF(OR(ISBLANK(A688),ISNA(MATCH(A688&amp;"",AthleteNumbers,0))),0,MATCH(A688&amp;"",AthleteNumbers,0))</f>
        <v>0</v>
      </c>
      <c r="J688" s="209">
        <f t="array" ref="J688">IF(I688&gt;0,INDEX(DB,$I688,6),0)</f>
        <v>0</v>
      </c>
      <c r="K688" s="446">
        <f t="shared" si="5"/>
        <v>0</v>
      </c>
      <c r="L688" s="446">
        <f t="shared" si="6"/>
        <v>0</v>
      </c>
      <c r="M688" s="441">
        <f>IF(L688&lt;O688,MinPoints,IF(AND(L688&gt;N688,O688&gt;0),100,+INT(($L688-O688)/P688)+MinPoints))</f>
        <v>10</v>
      </c>
      <c r="N688" s="440">
        <f t="shared" si="7"/>
        <v>4.9</v>
      </c>
      <c r="O688" s="440">
        <f t="shared" si="8"/>
        <v>2.2</v>
      </c>
      <c r="P688" s="440">
        <f t="shared" si="9"/>
        <v>0.03</v>
      </c>
      <c r="Q688">
        <f t="array" ref="Q688">IF(I688&gt;0,INDEX(DB,I688,9),EventIndex)</f>
        <v>6</v>
      </c>
      <c r="S688" s="447">
        <f t="array" ref="S688">INDEX(MINVALUES,$Q688,$K$1)</f>
        <v>2.2</v>
      </c>
      <c r="T688" s="448">
        <f t="array" ref="T688">INDEX(INCVALUES,$Q688,$K$1)</f>
        <v>0.03</v>
      </c>
      <c r="V688">
        <f t="array" ref="V688">+J688+(4*(INDEX(MatchScoreTable,$Q688,20)-1))</f>
        <v>4</v>
      </c>
      <c r="W688" s="442">
        <f t="array" ref="W688">INDEX(INC_MINVALUES,$V688,$K$1)</f>
        <v>0.2</v>
      </c>
      <c r="X688" s="212">
        <f t="array" ref="X688">INDEX(INC_INCVALUES,$V688,$K$1)</f>
        <v>0.02</v>
      </c>
    </row>
    <row r="689" ht="15.75" customHeight="1">
      <c r="A689" s="435"/>
      <c r="B689" s="436"/>
      <c r="C689" s="95" t="str">
        <f t="array" ref="C689">IF(I689&gt;0,INDEX(DB,I689,8),"")</f>
        <v/>
      </c>
      <c r="D689" s="437">
        <f t="shared" si="1"/>
        <v>0</v>
      </c>
      <c r="F689" s="438">
        <f t="shared" si="2"/>
        <v>0</v>
      </c>
      <c r="G689" t="str">
        <f t="shared" si="3"/>
        <v/>
      </c>
      <c r="H689" t="b">
        <f t="shared" si="4"/>
        <v>0</v>
      </c>
      <c r="I689" s="439">
        <f>IF(OR(ISBLANK(A689),ISNA(MATCH(A689&amp;"",AthleteNumbers,0))),0,MATCH(A689&amp;"",AthleteNumbers,0))</f>
        <v>0</v>
      </c>
      <c r="J689" s="209">
        <f t="array" ref="J689">IF(I689&gt;0,INDEX(DB,$I689,6),0)</f>
        <v>0</v>
      </c>
      <c r="K689" s="446">
        <f t="shared" si="5"/>
        <v>0</v>
      </c>
      <c r="L689" s="446">
        <f t="shared" si="6"/>
        <v>0</v>
      </c>
      <c r="M689" s="441">
        <f>IF(L689&lt;O689,MinPoints,IF(AND(L689&gt;N689,O689&gt;0),100,+INT(($L689-O689)/P689)+MinPoints))</f>
        <v>10</v>
      </c>
      <c r="N689" s="440">
        <f t="shared" si="7"/>
        <v>4.9</v>
      </c>
      <c r="O689" s="440">
        <f t="shared" si="8"/>
        <v>2.2</v>
      </c>
      <c r="P689" s="440">
        <f t="shared" si="9"/>
        <v>0.03</v>
      </c>
      <c r="Q689">
        <f t="array" ref="Q689">IF(I689&gt;0,INDEX(DB,I689,9),EventIndex)</f>
        <v>6</v>
      </c>
      <c r="S689" s="447">
        <f t="array" ref="S689">INDEX(MINVALUES,$Q689,$K$1)</f>
        <v>2.2</v>
      </c>
      <c r="T689" s="448">
        <f t="array" ref="T689">INDEX(INCVALUES,$Q689,$K$1)</f>
        <v>0.03</v>
      </c>
      <c r="V689">
        <f t="array" ref="V689">+J689+(4*(INDEX(MatchScoreTable,$Q689,20)-1))</f>
        <v>4</v>
      </c>
      <c r="W689" s="442">
        <f t="array" ref="W689">INDEX(INC_MINVALUES,$V689,$K$1)</f>
        <v>0.2</v>
      </c>
      <c r="X689" s="212">
        <f t="array" ref="X689">INDEX(INC_INCVALUES,$V689,$K$1)</f>
        <v>0.02</v>
      </c>
    </row>
    <row r="690" ht="15.75" customHeight="1">
      <c r="A690" s="435"/>
      <c r="B690" s="436"/>
      <c r="C690" s="95" t="str">
        <f t="array" ref="C690">IF(I690&gt;0,INDEX(DB,I690,8),"")</f>
        <v/>
      </c>
      <c r="D690" s="437">
        <f t="shared" si="1"/>
        <v>0</v>
      </c>
      <c r="F690" s="438">
        <f t="shared" si="2"/>
        <v>0</v>
      </c>
      <c r="G690" t="str">
        <f t="shared" si="3"/>
        <v/>
      </c>
      <c r="H690" t="b">
        <f t="shared" si="4"/>
        <v>0</v>
      </c>
      <c r="I690" s="439">
        <f>IF(OR(ISBLANK(A690),ISNA(MATCH(A690&amp;"",AthleteNumbers,0))),0,MATCH(A690&amp;"",AthleteNumbers,0))</f>
        <v>0</v>
      </c>
      <c r="J690" s="209">
        <f t="array" ref="J690">IF(I690&gt;0,INDEX(DB,$I690,6),0)</f>
        <v>0</v>
      </c>
      <c r="K690" s="446">
        <f t="shared" si="5"/>
        <v>0</v>
      </c>
      <c r="L690" s="446">
        <f t="shared" si="6"/>
        <v>0</v>
      </c>
      <c r="M690" s="441">
        <f>IF(L690&lt;O690,MinPoints,IF(AND(L690&gt;N690,O690&gt;0),100,+INT(($L690-O690)/P690)+MinPoints))</f>
        <v>10</v>
      </c>
      <c r="N690" s="440">
        <f t="shared" si="7"/>
        <v>4.9</v>
      </c>
      <c r="O690" s="440">
        <f t="shared" si="8"/>
        <v>2.2</v>
      </c>
      <c r="P690" s="440">
        <f t="shared" si="9"/>
        <v>0.03</v>
      </c>
      <c r="Q690">
        <f t="array" ref="Q690">IF(I690&gt;0,INDEX(DB,I690,9),EventIndex)</f>
        <v>6</v>
      </c>
      <c r="S690" s="447">
        <f t="array" ref="S690">INDEX(MINVALUES,$Q690,$K$1)</f>
        <v>2.2</v>
      </c>
      <c r="T690" s="448">
        <f t="array" ref="T690">INDEX(INCVALUES,$Q690,$K$1)</f>
        <v>0.03</v>
      </c>
      <c r="V690">
        <f t="array" ref="V690">+J690+(4*(INDEX(MatchScoreTable,$Q690,20)-1))</f>
        <v>4</v>
      </c>
      <c r="W690" s="442">
        <f t="array" ref="W690">INDEX(INC_MINVALUES,$V690,$K$1)</f>
        <v>0.2</v>
      </c>
      <c r="X690" s="212">
        <f t="array" ref="X690">INDEX(INC_INCVALUES,$V690,$K$1)</f>
        <v>0.02</v>
      </c>
    </row>
    <row r="691" ht="15.75" customHeight="1">
      <c r="A691" s="435"/>
      <c r="B691" s="436"/>
      <c r="C691" s="95" t="str">
        <f t="array" ref="C691">IF(I691&gt;0,INDEX(DB,I691,8),"")</f>
        <v/>
      </c>
      <c r="D691" s="437">
        <f t="shared" si="1"/>
        <v>0</v>
      </c>
      <c r="F691" s="438">
        <f t="shared" si="2"/>
        <v>0</v>
      </c>
      <c r="G691" t="str">
        <f t="shared" si="3"/>
        <v/>
      </c>
      <c r="H691" t="b">
        <f t="shared" si="4"/>
        <v>0</v>
      </c>
      <c r="I691" s="439">
        <f>IF(OR(ISBLANK(A691),ISNA(MATCH(A691&amp;"",AthleteNumbers,0))),0,MATCH(A691&amp;"",AthleteNumbers,0))</f>
        <v>0</v>
      </c>
      <c r="J691" s="209">
        <f t="array" ref="J691">IF(I691&gt;0,INDEX(DB,$I691,6),0)</f>
        <v>0</v>
      </c>
      <c r="K691" s="446">
        <f t="shared" si="5"/>
        <v>0</v>
      </c>
      <c r="L691" s="446">
        <f t="shared" si="6"/>
        <v>0</v>
      </c>
      <c r="M691" s="441">
        <f>IF(L691&lt;O691,MinPoints,IF(AND(L691&gt;N691,O691&gt;0),100,+INT(($L691-O691)/P691)+MinPoints))</f>
        <v>10</v>
      </c>
      <c r="N691" s="440">
        <f t="shared" si="7"/>
        <v>4.9</v>
      </c>
      <c r="O691" s="440">
        <f t="shared" si="8"/>
        <v>2.2</v>
      </c>
      <c r="P691" s="440">
        <f t="shared" si="9"/>
        <v>0.03</v>
      </c>
      <c r="Q691">
        <f t="array" ref="Q691">IF(I691&gt;0,INDEX(DB,I691,9),EventIndex)</f>
        <v>6</v>
      </c>
      <c r="S691" s="447">
        <f t="array" ref="S691">INDEX(MINVALUES,$Q691,$K$1)</f>
        <v>2.2</v>
      </c>
      <c r="T691" s="448">
        <f t="array" ref="T691">INDEX(INCVALUES,$Q691,$K$1)</f>
        <v>0.03</v>
      </c>
      <c r="V691">
        <f t="array" ref="V691">+J691+(4*(INDEX(MatchScoreTable,$Q691,20)-1))</f>
        <v>4</v>
      </c>
      <c r="W691" s="442">
        <f t="array" ref="W691">INDEX(INC_MINVALUES,$V691,$K$1)</f>
        <v>0.2</v>
      </c>
      <c r="X691" s="212">
        <f t="array" ref="X691">INDEX(INC_INCVALUES,$V691,$K$1)</f>
        <v>0.02</v>
      </c>
    </row>
    <row r="692" ht="15.75" customHeight="1">
      <c r="A692" s="435"/>
      <c r="B692" s="436"/>
      <c r="C692" s="95" t="str">
        <f t="array" ref="C692">IF(I692&gt;0,INDEX(DB,I692,8),"")</f>
        <v/>
      </c>
      <c r="D692" s="437">
        <f t="shared" si="1"/>
        <v>0</v>
      </c>
      <c r="F692" s="438">
        <f t="shared" si="2"/>
        <v>0</v>
      </c>
      <c r="G692" t="str">
        <f t="shared" si="3"/>
        <v/>
      </c>
      <c r="H692" t="b">
        <f t="shared" si="4"/>
        <v>0</v>
      </c>
      <c r="I692" s="439">
        <f>IF(OR(ISBLANK(A692),ISNA(MATCH(A692&amp;"",AthleteNumbers,0))),0,MATCH(A692&amp;"",AthleteNumbers,0))</f>
        <v>0</v>
      </c>
      <c r="J692" s="209">
        <f t="array" ref="J692">IF(I692&gt;0,INDEX(DB,$I692,6),0)</f>
        <v>0</v>
      </c>
      <c r="K692" s="446">
        <f t="shared" si="5"/>
        <v>0</v>
      </c>
      <c r="L692" s="446">
        <f t="shared" si="6"/>
        <v>0</v>
      </c>
      <c r="M692" s="441">
        <f>IF(L692&lt;O692,MinPoints,IF(AND(L692&gt;N692,O692&gt;0),100,+INT(($L692-O692)/P692)+MinPoints))</f>
        <v>10</v>
      </c>
      <c r="N692" s="440">
        <f t="shared" si="7"/>
        <v>4.9</v>
      </c>
      <c r="O692" s="440">
        <f t="shared" si="8"/>
        <v>2.2</v>
      </c>
      <c r="P692" s="440">
        <f t="shared" si="9"/>
        <v>0.03</v>
      </c>
      <c r="Q692">
        <f t="array" ref="Q692">IF(I692&gt;0,INDEX(DB,I692,9),EventIndex)</f>
        <v>6</v>
      </c>
      <c r="S692" s="447">
        <f t="array" ref="S692">INDEX(MINVALUES,$Q692,$K$1)</f>
        <v>2.2</v>
      </c>
      <c r="T692" s="448">
        <f t="array" ref="T692">INDEX(INCVALUES,$Q692,$K$1)</f>
        <v>0.03</v>
      </c>
      <c r="V692">
        <f t="array" ref="V692">+J692+(4*(INDEX(MatchScoreTable,$Q692,20)-1))</f>
        <v>4</v>
      </c>
      <c r="W692" s="442">
        <f t="array" ref="W692">INDEX(INC_MINVALUES,$V692,$K$1)</f>
        <v>0.2</v>
      </c>
      <c r="X692" s="212">
        <f t="array" ref="X692">INDEX(INC_INCVALUES,$V692,$K$1)</f>
        <v>0.02</v>
      </c>
    </row>
    <row r="693" ht="15.75" customHeight="1">
      <c r="A693" s="435"/>
      <c r="B693" s="436"/>
      <c r="C693" s="95" t="str">
        <f t="array" ref="C693">IF(I693&gt;0,INDEX(DB,I693,8),"")</f>
        <v/>
      </c>
      <c r="D693" s="437">
        <f t="shared" si="1"/>
        <v>0</v>
      </c>
      <c r="F693" s="438">
        <f t="shared" si="2"/>
        <v>0</v>
      </c>
      <c r="G693" t="str">
        <f t="shared" si="3"/>
        <v/>
      </c>
      <c r="H693" t="b">
        <f t="shared" si="4"/>
        <v>0</v>
      </c>
      <c r="I693" s="439">
        <f>IF(OR(ISBLANK(A693),ISNA(MATCH(A693&amp;"",AthleteNumbers,0))),0,MATCH(A693&amp;"",AthleteNumbers,0))</f>
        <v>0</v>
      </c>
      <c r="J693" s="209">
        <f t="array" ref="J693">IF(I693&gt;0,INDEX(DB,$I693,6),0)</f>
        <v>0</v>
      </c>
      <c r="K693" s="446">
        <f t="shared" si="5"/>
        <v>0</v>
      </c>
      <c r="L693" s="446">
        <f t="shared" si="6"/>
        <v>0</v>
      </c>
      <c r="M693" s="441">
        <f>IF(L693&lt;O693,MinPoints,IF(AND(L693&gt;N693,O693&gt;0),100,+INT(($L693-O693)/P693)+MinPoints))</f>
        <v>10</v>
      </c>
      <c r="N693" s="440">
        <f t="shared" si="7"/>
        <v>4.9</v>
      </c>
      <c r="O693" s="440">
        <f t="shared" si="8"/>
        <v>2.2</v>
      </c>
      <c r="P693" s="440">
        <f t="shared" si="9"/>
        <v>0.03</v>
      </c>
      <c r="Q693">
        <f t="array" ref="Q693">IF(I693&gt;0,INDEX(DB,I693,9),EventIndex)</f>
        <v>6</v>
      </c>
      <c r="S693" s="447">
        <f t="array" ref="S693">INDEX(MINVALUES,$Q693,$K$1)</f>
        <v>2.2</v>
      </c>
      <c r="T693" s="448">
        <f t="array" ref="T693">INDEX(INCVALUES,$Q693,$K$1)</f>
        <v>0.03</v>
      </c>
      <c r="V693">
        <f t="array" ref="V693">+J693+(4*(INDEX(MatchScoreTable,$Q693,20)-1))</f>
        <v>4</v>
      </c>
      <c r="W693" s="442">
        <f t="array" ref="W693">INDEX(INC_MINVALUES,$V693,$K$1)</f>
        <v>0.2</v>
      </c>
      <c r="X693" s="212">
        <f t="array" ref="X693">INDEX(INC_INCVALUES,$V693,$K$1)</f>
        <v>0.02</v>
      </c>
    </row>
    <row r="694" ht="15.75" customHeight="1">
      <c r="A694" s="435"/>
      <c r="B694" s="436"/>
      <c r="C694" s="95" t="str">
        <f t="array" ref="C694">IF(I694&gt;0,INDEX(DB,I694,8),"")</f>
        <v/>
      </c>
      <c r="D694" s="437">
        <f t="shared" si="1"/>
        <v>0</v>
      </c>
      <c r="F694" s="438">
        <f t="shared" si="2"/>
        <v>0</v>
      </c>
      <c r="G694" t="str">
        <f t="shared" si="3"/>
        <v/>
      </c>
      <c r="H694" t="b">
        <f t="shared" si="4"/>
        <v>0</v>
      </c>
      <c r="I694" s="439">
        <f>IF(OR(ISBLANK(A694),ISNA(MATCH(A694&amp;"",AthleteNumbers,0))),0,MATCH(A694&amp;"",AthleteNumbers,0))</f>
        <v>0</v>
      </c>
      <c r="J694" s="209">
        <f t="array" ref="J694">IF(I694&gt;0,INDEX(DB,$I694,6),0)</f>
        <v>0</v>
      </c>
      <c r="K694" s="446">
        <f t="shared" si="5"/>
        <v>0</v>
      </c>
      <c r="L694" s="446">
        <f t="shared" si="6"/>
        <v>0</v>
      </c>
      <c r="M694" s="441">
        <f>IF(L694&lt;O694,MinPoints,IF(AND(L694&gt;N694,O694&gt;0),100,+INT(($L694-O694)/P694)+MinPoints))</f>
        <v>10</v>
      </c>
      <c r="N694" s="440">
        <f t="shared" si="7"/>
        <v>4.9</v>
      </c>
      <c r="O694" s="440">
        <f t="shared" si="8"/>
        <v>2.2</v>
      </c>
      <c r="P694" s="440">
        <f t="shared" si="9"/>
        <v>0.03</v>
      </c>
      <c r="Q694">
        <f t="array" ref="Q694">IF(I694&gt;0,INDEX(DB,I694,9),EventIndex)</f>
        <v>6</v>
      </c>
      <c r="S694" s="447">
        <f t="array" ref="S694">INDEX(MINVALUES,$Q694,$K$1)</f>
        <v>2.2</v>
      </c>
      <c r="T694" s="448">
        <f t="array" ref="T694">INDEX(INCVALUES,$Q694,$K$1)</f>
        <v>0.03</v>
      </c>
      <c r="V694">
        <f t="array" ref="V694">+J694+(4*(INDEX(MatchScoreTable,$Q694,20)-1))</f>
        <v>4</v>
      </c>
      <c r="W694" s="442">
        <f t="array" ref="W694">INDEX(INC_MINVALUES,$V694,$K$1)</f>
        <v>0.2</v>
      </c>
      <c r="X694" s="212">
        <f t="array" ref="X694">INDEX(INC_INCVALUES,$V694,$K$1)</f>
        <v>0.02</v>
      </c>
    </row>
    <row r="695" ht="15.75" customHeight="1">
      <c r="A695" s="435"/>
      <c r="B695" s="436"/>
      <c r="C695" s="95" t="str">
        <f t="array" ref="C695">IF(I695&gt;0,INDEX(DB,I695,8),"")</f>
        <v/>
      </c>
      <c r="D695" s="437">
        <f t="shared" si="1"/>
        <v>0</v>
      </c>
      <c r="F695" s="438">
        <f t="shared" si="2"/>
        <v>0</v>
      </c>
      <c r="G695" t="str">
        <f t="shared" si="3"/>
        <v/>
      </c>
      <c r="H695" t="b">
        <f t="shared" si="4"/>
        <v>0</v>
      </c>
      <c r="I695" s="439">
        <f>IF(OR(ISBLANK(A695),ISNA(MATCH(A695&amp;"",AthleteNumbers,0))),0,MATCH(A695&amp;"",AthleteNumbers,0))</f>
        <v>0</v>
      </c>
      <c r="J695" s="209">
        <f t="array" ref="J695">IF(I695&gt;0,INDEX(DB,$I695,6),0)</f>
        <v>0</v>
      </c>
      <c r="K695" s="446">
        <f t="shared" si="5"/>
        <v>0</v>
      </c>
      <c r="L695" s="446">
        <f t="shared" si="6"/>
        <v>0</v>
      </c>
      <c r="M695" s="441">
        <f>IF(L695&lt;O695,MinPoints,IF(AND(L695&gt;N695,O695&gt;0),100,+INT(($L695-O695)/P695)+MinPoints))</f>
        <v>10</v>
      </c>
      <c r="N695" s="440">
        <f t="shared" si="7"/>
        <v>4.9</v>
      </c>
      <c r="O695" s="440">
        <f t="shared" si="8"/>
        <v>2.2</v>
      </c>
      <c r="P695" s="440">
        <f t="shared" si="9"/>
        <v>0.03</v>
      </c>
      <c r="Q695">
        <f t="array" ref="Q695">IF(I695&gt;0,INDEX(DB,I695,9),EventIndex)</f>
        <v>6</v>
      </c>
      <c r="S695" s="447">
        <f t="array" ref="S695">INDEX(MINVALUES,$Q695,$K$1)</f>
        <v>2.2</v>
      </c>
      <c r="T695" s="448">
        <f t="array" ref="T695">INDEX(INCVALUES,$Q695,$K$1)</f>
        <v>0.03</v>
      </c>
      <c r="V695">
        <f t="array" ref="V695">+J695+(4*(INDEX(MatchScoreTable,$Q695,20)-1))</f>
        <v>4</v>
      </c>
      <c r="W695" s="442">
        <f t="array" ref="W695">INDEX(INC_MINVALUES,$V695,$K$1)</f>
        <v>0.2</v>
      </c>
      <c r="X695" s="212">
        <f t="array" ref="X695">INDEX(INC_INCVALUES,$V695,$K$1)</f>
        <v>0.02</v>
      </c>
    </row>
    <row r="696" ht="15.75" customHeight="1">
      <c r="A696" s="435"/>
      <c r="B696" s="436"/>
      <c r="C696" s="95" t="str">
        <f t="array" ref="C696">IF(I696&gt;0,INDEX(DB,I696,8),"")</f>
        <v/>
      </c>
      <c r="D696" s="437">
        <f t="shared" si="1"/>
        <v>0</v>
      </c>
      <c r="F696" s="438">
        <f t="shared" si="2"/>
        <v>0</v>
      </c>
      <c r="G696" t="str">
        <f t="shared" si="3"/>
        <v/>
      </c>
      <c r="H696" t="b">
        <f t="shared" si="4"/>
        <v>0</v>
      </c>
      <c r="I696" s="439">
        <f>IF(OR(ISBLANK(A696),ISNA(MATCH(A696&amp;"",AthleteNumbers,0))),0,MATCH(A696&amp;"",AthleteNumbers,0))</f>
        <v>0</v>
      </c>
      <c r="J696" s="209">
        <f t="array" ref="J696">IF(I696&gt;0,INDEX(DB,$I696,6),0)</f>
        <v>0</v>
      </c>
      <c r="K696" s="446">
        <f t="shared" si="5"/>
        <v>0</v>
      </c>
      <c r="L696" s="446">
        <f t="shared" si="6"/>
        <v>0</v>
      </c>
      <c r="M696" s="441">
        <f>IF(L696&lt;O696,MinPoints,IF(AND(L696&gt;N696,O696&gt;0),100,+INT(($L696-O696)/P696)+MinPoints))</f>
        <v>10</v>
      </c>
      <c r="N696" s="440">
        <f t="shared" si="7"/>
        <v>4.9</v>
      </c>
      <c r="O696" s="440">
        <f t="shared" si="8"/>
        <v>2.2</v>
      </c>
      <c r="P696" s="440">
        <f t="shared" si="9"/>
        <v>0.03</v>
      </c>
      <c r="Q696">
        <f t="array" ref="Q696">IF(I696&gt;0,INDEX(DB,I696,9),EventIndex)</f>
        <v>6</v>
      </c>
      <c r="S696" s="447">
        <f t="array" ref="S696">INDEX(MINVALUES,$Q696,$K$1)</f>
        <v>2.2</v>
      </c>
      <c r="T696" s="448">
        <f t="array" ref="T696">INDEX(INCVALUES,$Q696,$K$1)</f>
        <v>0.03</v>
      </c>
      <c r="V696">
        <f t="array" ref="V696">+J696+(4*(INDEX(MatchScoreTable,$Q696,20)-1))</f>
        <v>4</v>
      </c>
      <c r="W696" s="442">
        <f t="array" ref="W696">INDEX(INC_MINVALUES,$V696,$K$1)</f>
        <v>0.2</v>
      </c>
      <c r="X696" s="212">
        <f t="array" ref="X696">INDEX(INC_INCVALUES,$V696,$K$1)</f>
        <v>0.02</v>
      </c>
    </row>
    <row r="697" ht="15.75" customHeight="1">
      <c r="A697" s="435"/>
      <c r="B697" s="436"/>
      <c r="C697" s="95" t="str">
        <f t="array" ref="C697">IF(I697&gt;0,INDEX(DB,I697,8),"")</f>
        <v/>
      </c>
      <c r="D697" s="437">
        <f t="shared" si="1"/>
        <v>0</v>
      </c>
      <c r="F697" s="438">
        <f t="shared" si="2"/>
        <v>0</v>
      </c>
      <c r="G697" t="str">
        <f t="shared" si="3"/>
        <v/>
      </c>
      <c r="H697" t="b">
        <f t="shared" si="4"/>
        <v>0</v>
      </c>
      <c r="I697" s="439">
        <f>IF(OR(ISBLANK(A697),ISNA(MATCH(A697&amp;"",AthleteNumbers,0))),0,MATCH(A697&amp;"",AthleteNumbers,0))</f>
        <v>0</v>
      </c>
      <c r="J697" s="209">
        <f t="array" ref="J697">IF(I697&gt;0,INDEX(DB,$I697,6),0)</f>
        <v>0</v>
      </c>
      <c r="K697" s="446">
        <f t="shared" si="5"/>
        <v>0</v>
      </c>
      <c r="L697" s="446">
        <f t="shared" si="6"/>
        <v>0</v>
      </c>
      <c r="M697" s="441">
        <f>IF(L697&lt;O697,MinPoints,IF(AND(L697&gt;N697,O697&gt;0),100,+INT(($L697-O697)/P697)+MinPoints))</f>
        <v>10</v>
      </c>
      <c r="N697" s="440">
        <f t="shared" si="7"/>
        <v>4.9</v>
      </c>
      <c r="O697" s="440">
        <f t="shared" si="8"/>
        <v>2.2</v>
      </c>
      <c r="P697" s="440">
        <f t="shared" si="9"/>
        <v>0.03</v>
      </c>
      <c r="Q697">
        <f t="array" ref="Q697">IF(I697&gt;0,INDEX(DB,I697,9),EventIndex)</f>
        <v>6</v>
      </c>
      <c r="S697" s="447">
        <f t="array" ref="S697">INDEX(MINVALUES,$Q697,$K$1)</f>
        <v>2.2</v>
      </c>
      <c r="T697" s="448">
        <f t="array" ref="T697">INDEX(INCVALUES,$Q697,$K$1)</f>
        <v>0.03</v>
      </c>
      <c r="V697">
        <f t="array" ref="V697">+J697+(4*(INDEX(MatchScoreTable,$Q697,20)-1))</f>
        <v>4</v>
      </c>
      <c r="W697" s="442">
        <f t="array" ref="W697">INDEX(INC_MINVALUES,$V697,$K$1)</f>
        <v>0.2</v>
      </c>
      <c r="X697" s="212">
        <f t="array" ref="X697">INDEX(INC_INCVALUES,$V697,$K$1)</f>
        <v>0.02</v>
      </c>
    </row>
    <row r="698" ht="15.75" customHeight="1">
      <c r="A698" s="435"/>
      <c r="B698" s="436"/>
      <c r="C698" s="95" t="str">
        <f t="array" ref="C698">IF(I698&gt;0,INDEX(DB,I698,8),"")</f>
        <v/>
      </c>
      <c r="D698" s="437">
        <f t="shared" si="1"/>
        <v>0</v>
      </c>
      <c r="F698" s="438">
        <f t="shared" si="2"/>
        <v>0</v>
      </c>
      <c r="G698" t="str">
        <f t="shared" si="3"/>
        <v/>
      </c>
      <c r="H698" t="b">
        <f t="shared" si="4"/>
        <v>0</v>
      </c>
      <c r="I698" s="439">
        <f>IF(OR(ISBLANK(A698),ISNA(MATCH(A698&amp;"",AthleteNumbers,0))),0,MATCH(A698&amp;"",AthleteNumbers,0))</f>
        <v>0</v>
      </c>
      <c r="J698" s="209">
        <f t="array" ref="J698">IF(I698&gt;0,INDEX(DB,$I698,6),0)</f>
        <v>0</v>
      </c>
      <c r="K698" s="446">
        <f t="shared" si="5"/>
        <v>0</v>
      </c>
      <c r="L698" s="446">
        <f t="shared" si="6"/>
        <v>0</v>
      </c>
      <c r="M698" s="441">
        <f>IF(L698&lt;O698,MinPoints,IF(AND(L698&gt;N698,O698&gt;0),100,+INT(($L698-O698)/P698)+MinPoints))</f>
        <v>10</v>
      </c>
      <c r="N698" s="440">
        <f t="shared" si="7"/>
        <v>4.9</v>
      </c>
      <c r="O698" s="440">
        <f t="shared" si="8"/>
        <v>2.2</v>
      </c>
      <c r="P698" s="440">
        <f t="shared" si="9"/>
        <v>0.03</v>
      </c>
      <c r="Q698">
        <f t="array" ref="Q698">IF(I698&gt;0,INDEX(DB,I698,9),EventIndex)</f>
        <v>6</v>
      </c>
      <c r="S698" s="447">
        <f t="array" ref="S698">INDEX(MINVALUES,$Q698,$K$1)</f>
        <v>2.2</v>
      </c>
      <c r="T698" s="448">
        <f t="array" ref="T698">INDEX(INCVALUES,$Q698,$K$1)</f>
        <v>0.03</v>
      </c>
      <c r="V698">
        <f t="array" ref="V698">+J698+(4*(INDEX(MatchScoreTable,$Q698,20)-1))</f>
        <v>4</v>
      </c>
      <c r="W698" s="442">
        <f t="array" ref="W698">INDEX(INC_MINVALUES,$V698,$K$1)</f>
        <v>0.2</v>
      </c>
      <c r="X698" s="212">
        <f t="array" ref="X698">INDEX(INC_INCVALUES,$V698,$K$1)</f>
        <v>0.02</v>
      </c>
    </row>
    <row r="699" ht="15.75" customHeight="1">
      <c r="A699" s="435"/>
      <c r="B699" s="436"/>
      <c r="C699" s="95" t="str">
        <f t="array" ref="C699">IF(I699&gt;0,INDEX(DB,I699,8),"")</f>
        <v/>
      </c>
      <c r="D699" s="437">
        <f t="shared" si="1"/>
        <v>0</v>
      </c>
      <c r="F699" s="438">
        <f t="shared" si="2"/>
        <v>0</v>
      </c>
      <c r="G699" t="str">
        <f t="shared" si="3"/>
        <v/>
      </c>
      <c r="H699" t="b">
        <f t="shared" si="4"/>
        <v>0</v>
      </c>
      <c r="I699" s="439">
        <f>IF(OR(ISBLANK(A699),ISNA(MATCH(A699&amp;"",AthleteNumbers,0))),0,MATCH(A699&amp;"",AthleteNumbers,0))</f>
        <v>0</v>
      </c>
      <c r="J699" s="209">
        <f t="array" ref="J699">IF(I699&gt;0,INDEX(DB,$I699,6),0)</f>
        <v>0</v>
      </c>
      <c r="K699" s="446">
        <f t="shared" si="5"/>
        <v>0</v>
      </c>
      <c r="L699" s="446">
        <f t="shared" si="6"/>
        <v>0</v>
      </c>
      <c r="M699" s="441">
        <f>IF(L699&lt;O699,MinPoints,IF(AND(L699&gt;N699,O699&gt;0),100,+INT(($L699-O699)/P699)+MinPoints))</f>
        <v>10</v>
      </c>
      <c r="N699" s="440">
        <f t="shared" si="7"/>
        <v>4.9</v>
      </c>
      <c r="O699" s="440">
        <f t="shared" si="8"/>
        <v>2.2</v>
      </c>
      <c r="P699" s="440">
        <f t="shared" si="9"/>
        <v>0.03</v>
      </c>
      <c r="Q699">
        <f t="array" ref="Q699">IF(I699&gt;0,INDEX(DB,I699,9),EventIndex)</f>
        <v>6</v>
      </c>
      <c r="S699" s="447">
        <f t="array" ref="S699">INDEX(MINVALUES,$Q699,$K$1)</f>
        <v>2.2</v>
      </c>
      <c r="T699" s="448">
        <f t="array" ref="T699">INDEX(INCVALUES,$Q699,$K$1)</f>
        <v>0.03</v>
      </c>
      <c r="V699">
        <f t="array" ref="V699">+J699+(4*(INDEX(MatchScoreTable,$Q699,20)-1))</f>
        <v>4</v>
      </c>
      <c r="W699" s="442">
        <f t="array" ref="W699">INDEX(INC_MINVALUES,$V699,$K$1)</f>
        <v>0.2</v>
      </c>
      <c r="X699" s="212">
        <f t="array" ref="X699">INDEX(INC_INCVALUES,$V699,$K$1)</f>
        <v>0.02</v>
      </c>
    </row>
    <row r="700" ht="15.75" customHeight="1">
      <c r="A700" s="435"/>
      <c r="B700" s="436"/>
      <c r="C700" s="95" t="str">
        <f t="array" ref="C700">IF(I700&gt;0,INDEX(DB,I700,8),"")</f>
        <v/>
      </c>
      <c r="D700" s="437">
        <f t="shared" si="1"/>
        <v>0</v>
      </c>
      <c r="F700" s="438">
        <f t="shared" si="2"/>
        <v>0</v>
      </c>
      <c r="G700" t="str">
        <f t="shared" si="3"/>
        <v/>
      </c>
      <c r="H700" t="b">
        <f t="shared" si="4"/>
        <v>0</v>
      </c>
      <c r="I700" s="439">
        <f>IF(OR(ISBLANK(A700),ISNA(MATCH(A700&amp;"",AthleteNumbers,0))),0,MATCH(A700&amp;"",AthleteNumbers,0))</f>
        <v>0</v>
      </c>
      <c r="J700" s="209">
        <f t="array" ref="J700">IF(I700&gt;0,INDEX(DB,$I700,6),0)</f>
        <v>0</v>
      </c>
      <c r="K700" s="446">
        <f t="shared" si="5"/>
        <v>0</v>
      </c>
      <c r="L700" s="446">
        <f t="shared" si="6"/>
        <v>0</v>
      </c>
      <c r="M700" s="441">
        <f>IF(L700&lt;O700,MinPoints,IF(AND(L700&gt;N700,O700&gt;0),100,+INT(($L700-O700)/P700)+MinPoints))</f>
        <v>10</v>
      </c>
      <c r="N700" s="440">
        <f t="shared" si="7"/>
        <v>4.9</v>
      </c>
      <c r="O700" s="440">
        <f t="shared" si="8"/>
        <v>2.2</v>
      </c>
      <c r="P700" s="440">
        <f t="shared" si="9"/>
        <v>0.03</v>
      </c>
      <c r="Q700">
        <f t="array" ref="Q700">IF(I700&gt;0,INDEX(DB,I700,9),EventIndex)</f>
        <v>6</v>
      </c>
      <c r="S700" s="447">
        <f t="array" ref="S700">INDEX(MINVALUES,$Q700,$K$1)</f>
        <v>2.2</v>
      </c>
      <c r="T700" s="448">
        <f t="array" ref="T700">INDEX(INCVALUES,$Q700,$K$1)</f>
        <v>0.03</v>
      </c>
      <c r="V700">
        <f t="array" ref="V700">+J700+(4*(INDEX(MatchScoreTable,$Q700,20)-1))</f>
        <v>4</v>
      </c>
      <c r="W700" s="442">
        <f t="array" ref="W700">INDEX(INC_MINVALUES,$V700,$K$1)</f>
        <v>0.2</v>
      </c>
      <c r="X700" s="212">
        <f t="array" ref="X700">INDEX(INC_INCVALUES,$V700,$K$1)</f>
        <v>0.02</v>
      </c>
    </row>
    <row r="701" ht="15.75" customHeight="1">
      <c r="A701" s="435"/>
      <c r="B701" s="436"/>
      <c r="C701" s="95" t="str">
        <f t="array" ref="C701">IF(I701&gt;0,INDEX(DB,I701,8),"")</f>
        <v/>
      </c>
      <c r="D701" s="437">
        <f t="shared" si="1"/>
        <v>0</v>
      </c>
      <c r="F701" s="438">
        <f t="shared" si="2"/>
        <v>0</v>
      </c>
      <c r="G701" t="str">
        <f t="shared" si="3"/>
        <v/>
      </c>
      <c r="H701" t="b">
        <f t="shared" si="4"/>
        <v>0</v>
      </c>
      <c r="I701" s="439">
        <f>IF(OR(ISBLANK(A701),ISNA(MATCH(A701&amp;"",AthleteNumbers,0))),0,MATCH(A701&amp;"",AthleteNumbers,0))</f>
        <v>0</v>
      </c>
      <c r="J701" s="209">
        <f t="array" ref="J701">IF(I701&gt;0,INDEX(DB,$I701,6),0)</f>
        <v>0</v>
      </c>
      <c r="K701" s="446">
        <f t="shared" si="5"/>
        <v>0</v>
      </c>
      <c r="L701" s="446">
        <f t="shared" si="6"/>
        <v>0</v>
      </c>
      <c r="M701" s="441">
        <f>IF(L701&lt;O701,MinPoints,IF(AND(L701&gt;N701,O701&gt;0),100,+INT(($L701-O701)/P701)+MinPoints))</f>
        <v>10</v>
      </c>
      <c r="N701" s="440">
        <f t="shared" si="7"/>
        <v>4.9</v>
      </c>
      <c r="O701" s="440">
        <f t="shared" si="8"/>
        <v>2.2</v>
      </c>
      <c r="P701" s="440">
        <f t="shared" si="9"/>
        <v>0.03</v>
      </c>
      <c r="Q701">
        <f t="array" ref="Q701">IF(I701&gt;0,INDEX(DB,I701,9),EventIndex)</f>
        <v>6</v>
      </c>
      <c r="S701" s="447">
        <f t="array" ref="S701">INDEX(MINVALUES,$Q701,$K$1)</f>
        <v>2.2</v>
      </c>
      <c r="T701" s="448">
        <f t="array" ref="T701">INDEX(INCVALUES,$Q701,$K$1)</f>
        <v>0.03</v>
      </c>
      <c r="V701">
        <f t="array" ref="V701">+J701+(4*(INDEX(MatchScoreTable,$Q701,20)-1))</f>
        <v>4</v>
      </c>
      <c r="W701" s="442">
        <f t="array" ref="W701">INDEX(INC_MINVALUES,$V701,$K$1)</f>
        <v>0.2</v>
      </c>
      <c r="X701" s="212">
        <f t="array" ref="X701">INDEX(INC_INCVALUES,$V701,$K$1)</f>
        <v>0.02</v>
      </c>
    </row>
    <row r="702" ht="15.75" customHeight="1">
      <c r="A702" s="435"/>
      <c r="B702" s="436"/>
      <c r="C702" s="95" t="str">
        <f t="array" ref="C702">IF(I702&gt;0,INDEX(DB,I702,8),"")</f>
        <v/>
      </c>
      <c r="D702" s="437">
        <f t="shared" si="1"/>
        <v>0</v>
      </c>
      <c r="F702" s="438">
        <f t="shared" si="2"/>
        <v>0</v>
      </c>
      <c r="G702" t="str">
        <f t="shared" si="3"/>
        <v/>
      </c>
      <c r="H702" t="b">
        <f t="shared" si="4"/>
        <v>0</v>
      </c>
      <c r="I702" s="439">
        <f>IF(OR(ISBLANK(A702),ISNA(MATCH(A702&amp;"",AthleteNumbers,0))),0,MATCH(A702&amp;"",AthleteNumbers,0))</f>
        <v>0</v>
      </c>
      <c r="J702" s="209">
        <f t="array" ref="J702">IF(I702&gt;0,INDEX(DB,$I702,6),0)</f>
        <v>0</v>
      </c>
      <c r="K702" s="446">
        <f t="shared" si="5"/>
        <v>0</v>
      </c>
      <c r="L702" s="446">
        <f t="shared" si="6"/>
        <v>0</v>
      </c>
      <c r="M702" s="441">
        <f>IF(L702&lt;O702,MinPoints,IF(AND(L702&gt;N702,O702&gt;0),100,+INT(($L702-O702)/P702)+MinPoints))</f>
        <v>10</v>
      </c>
      <c r="N702" s="440">
        <f t="shared" si="7"/>
        <v>4.9</v>
      </c>
      <c r="O702" s="440">
        <f t="shared" si="8"/>
        <v>2.2</v>
      </c>
      <c r="P702" s="440">
        <f t="shared" si="9"/>
        <v>0.03</v>
      </c>
      <c r="Q702">
        <f t="array" ref="Q702">IF(I702&gt;0,INDEX(DB,I702,9),EventIndex)</f>
        <v>6</v>
      </c>
      <c r="S702" s="447">
        <f t="array" ref="S702">INDEX(MINVALUES,$Q702,$K$1)</f>
        <v>2.2</v>
      </c>
      <c r="T702" s="448">
        <f t="array" ref="T702">INDEX(INCVALUES,$Q702,$K$1)</f>
        <v>0.03</v>
      </c>
      <c r="V702">
        <f t="array" ref="V702">+J702+(4*(INDEX(MatchScoreTable,$Q702,20)-1))</f>
        <v>4</v>
      </c>
      <c r="W702" s="442">
        <f t="array" ref="W702">INDEX(INC_MINVALUES,$V702,$K$1)</f>
        <v>0.2</v>
      </c>
      <c r="X702" s="212">
        <f t="array" ref="X702">INDEX(INC_INCVALUES,$V702,$K$1)</f>
        <v>0.02</v>
      </c>
    </row>
    <row r="703" ht="15.75" customHeight="1">
      <c r="A703" s="435"/>
      <c r="B703" s="436"/>
      <c r="C703" s="95" t="str">
        <f t="array" ref="C703">IF(I703&gt;0,INDEX(DB,I703,8),"")</f>
        <v/>
      </c>
      <c r="D703" s="437">
        <f t="shared" si="1"/>
        <v>0</v>
      </c>
      <c r="F703" s="438">
        <f t="shared" si="2"/>
        <v>0</v>
      </c>
      <c r="G703" t="str">
        <f t="shared" si="3"/>
        <v/>
      </c>
      <c r="H703" t="b">
        <f t="shared" si="4"/>
        <v>0</v>
      </c>
      <c r="I703" s="439">
        <f>IF(OR(ISBLANK(A703),ISNA(MATCH(A703&amp;"",AthleteNumbers,0))),0,MATCH(A703&amp;"",AthleteNumbers,0))</f>
        <v>0</v>
      </c>
      <c r="J703" s="209">
        <f t="array" ref="J703">IF(I703&gt;0,INDEX(DB,$I703,6),0)</f>
        <v>0</v>
      </c>
      <c r="K703" s="446">
        <f t="shared" si="5"/>
        <v>0</v>
      </c>
      <c r="L703" s="446">
        <f t="shared" si="6"/>
        <v>0</v>
      </c>
      <c r="M703" s="441">
        <f>IF(L703&lt;O703,MinPoints,IF(AND(L703&gt;N703,O703&gt;0),100,+INT(($L703-O703)/P703)+MinPoints))</f>
        <v>10</v>
      </c>
      <c r="N703" s="440">
        <f t="shared" si="7"/>
        <v>4.9</v>
      </c>
      <c r="O703" s="440">
        <f t="shared" si="8"/>
        <v>2.2</v>
      </c>
      <c r="P703" s="440">
        <f t="shared" si="9"/>
        <v>0.03</v>
      </c>
      <c r="Q703">
        <f t="array" ref="Q703">IF(I703&gt;0,INDEX(DB,I703,9),EventIndex)</f>
        <v>6</v>
      </c>
      <c r="S703" s="447">
        <f t="array" ref="S703">INDEX(MINVALUES,$Q703,$K$1)</f>
        <v>2.2</v>
      </c>
      <c r="T703" s="448">
        <f t="array" ref="T703">INDEX(INCVALUES,$Q703,$K$1)</f>
        <v>0.03</v>
      </c>
      <c r="V703">
        <f t="array" ref="V703">+J703+(4*(INDEX(MatchScoreTable,$Q703,20)-1))</f>
        <v>4</v>
      </c>
      <c r="W703" s="442">
        <f t="array" ref="W703">INDEX(INC_MINVALUES,$V703,$K$1)</f>
        <v>0.2</v>
      </c>
      <c r="X703" s="212">
        <f t="array" ref="X703">INDEX(INC_INCVALUES,$V703,$K$1)</f>
        <v>0.02</v>
      </c>
    </row>
    <row r="704" ht="15.75" customHeight="1">
      <c r="A704" s="435"/>
      <c r="B704" s="436"/>
      <c r="C704" s="95" t="str">
        <f t="array" ref="C704">IF(I704&gt;0,INDEX(DB,I704,8),"")</f>
        <v/>
      </c>
      <c r="D704" s="437">
        <f t="shared" si="1"/>
        <v>0</v>
      </c>
      <c r="F704" s="438">
        <f t="shared" si="2"/>
        <v>0</v>
      </c>
      <c r="G704" t="str">
        <f t="shared" si="3"/>
        <v/>
      </c>
      <c r="H704" t="b">
        <f t="shared" si="4"/>
        <v>0</v>
      </c>
      <c r="I704" s="439">
        <f>IF(OR(ISBLANK(A704),ISNA(MATCH(A704&amp;"",AthleteNumbers,0))),0,MATCH(A704&amp;"",AthleteNumbers,0))</f>
        <v>0</v>
      </c>
      <c r="J704" s="209">
        <f t="array" ref="J704">IF(I704&gt;0,INDEX(DB,$I704,6),0)</f>
        <v>0</v>
      </c>
      <c r="K704" s="446">
        <f t="shared" si="5"/>
        <v>0</v>
      </c>
      <c r="L704" s="446">
        <f t="shared" si="6"/>
        <v>0</v>
      </c>
      <c r="M704" s="441">
        <f>IF(L704&lt;O704,MinPoints,IF(AND(L704&gt;N704,O704&gt;0),100,+INT(($L704-O704)/P704)+MinPoints))</f>
        <v>10</v>
      </c>
      <c r="N704" s="440">
        <f t="shared" si="7"/>
        <v>4.9</v>
      </c>
      <c r="O704" s="440">
        <f t="shared" si="8"/>
        <v>2.2</v>
      </c>
      <c r="P704" s="440">
        <f t="shared" si="9"/>
        <v>0.03</v>
      </c>
      <c r="Q704">
        <f t="array" ref="Q704">IF(I704&gt;0,INDEX(DB,I704,9),EventIndex)</f>
        <v>6</v>
      </c>
      <c r="S704" s="447">
        <f t="array" ref="S704">INDEX(MINVALUES,$Q704,$K$1)</f>
        <v>2.2</v>
      </c>
      <c r="T704" s="448">
        <f t="array" ref="T704">INDEX(INCVALUES,$Q704,$K$1)</f>
        <v>0.03</v>
      </c>
      <c r="V704">
        <f t="array" ref="V704">+J704+(4*(INDEX(MatchScoreTable,$Q704,20)-1))</f>
        <v>4</v>
      </c>
      <c r="W704" s="442">
        <f t="array" ref="W704">INDEX(INC_MINVALUES,$V704,$K$1)</f>
        <v>0.2</v>
      </c>
      <c r="X704" s="212">
        <f t="array" ref="X704">INDEX(INC_INCVALUES,$V704,$K$1)</f>
        <v>0.02</v>
      </c>
    </row>
    <row r="705" ht="15.75" customHeight="1">
      <c r="A705" s="435"/>
      <c r="B705" s="436"/>
      <c r="C705" s="95" t="str">
        <f t="array" ref="C705">IF(I705&gt;0,INDEX(DB,I705,8),"")</f>
        <v/>
      </c>
      <c r="D705" s="437">
        <f t="shared" si="1"/>
        <v>0</v>
      </c>
      <c r="F705" s="438">
        <f t="shared" si="2"/>
        <v>0</v>
      </c>
      <c r="G705" t="str">
        <f t="shared" si="3"/>
        <v/>
      </c>
      <c r="H705" t="b">
        <f t="shared" si="4"/>
        <v>0</v>
      </c>
      <c r="I705" s="439">
        <f>IF(OR(ISBLANK(A705),ISNA(MATCH(A705&amp;"",AthleteNumbers,0))),0,MATCH(A705&amp;"",AthleteNumbers,0))</f>
        <v>0</v>
      </c>
      <c r="J705" s="209">
        <f t="array" ref="J705">IF(I705&gt;0,INDEX(DB,$I705,6),0)</f>
        <v>0</v>
      </c>
      <c r="K705" s="446">
        <f t="shared" si="5"/>
        <v>0</v>
      </c>
      <c r="L705" s="446">
        <f t="shared" si="6"/>
        <v>0</v>
      </c>
      <c r="M705" s="441">
        <f>IF(L705&lt;O705,MinPoints,IF(AND(L705&gt;N705,O705&gt;0),100,+INT(($L705-O705)/P705)+MinPoints))</f>
        <v>10</v>
      </c>
      <c r="N705" s="440">
        <f t="shared" si="7"/>
        <v>4.9</v>
      </c>
      <c r="O705" s="440">
        <f t="shared" si="8"/>
        <v>2.2</v>
      </c>
      <c r="P705" s="440">
        <f t="shared" si="9"/>
        <v>0.03</v>
      </c>
      <c r="Q705">
        <f t="array" ref="Q705">IF(I705&gt;0,INDEX(DB,I705,9),EventIndex)</f>
        <v>6</v>
      </c>
      <c r="S705" s="447">
        <f t="array" ref="S705">INDEX(MINVALUES,$Q705,$K$1)</f>
        <v>2.2</v>
      </c>
      <c r="T705" s="448">
        <f t="array" ref="T705">INDEX(INCVALUES,$Q705,$K$1)</f>
        <v>0.03</v>
      </c>
      <c r="V705">
        <f t="array" ref="V705">+J705+(4*(INDEX(MatchScoreTable,$Q705,20)-1))</f>
        <v>4</v>
      </c>
      <c r="W705" s="442">
        <f t="array" ref="W705">INDEX(INC_MINVALUES,$V705,$K$1)</f>
        <v>0.2</v>
      </c>
      <c r="X705" s="212">
        <f t="array" ref="X705">INDEX(INC_INCVALUES,$V705,$K$1)</f>
        <v>0.02</v>
      </c>
    </row>
    <row r="706" ht="15.75" customHeight="1">
      <c r="A706" s="435"/>
      <c r="B706" s="436"/>
      <c r="C706" s="95" t="str">
        <f t="array" ref="C706">IF(I706&gt;0,INDEX(DB,I706,8),"")</f>
        <v/>
      </c>
      <c r="D706" s="437">
        <f t="shared" si="1"/>
        <v>0</v>
      </c>
      <c r="F706" s="438">
        <f t="shared" si="2"/>
        <v>0</v>
      </c>
      <c r="G706" t="str">
        <f t="shared" si="3"/>
        <v/>
      </c>
      <c r="H706" t="b">
        <f t="shared" si="4"/>
        <v>0</v>
      </c>
      <c r="I706" s="439">
        <f>IF(OR(ISBLANK(A706),ISNA(MATCH(A706&amp;"",AthleteNumbers,0))),0,MATCH(A706&amp;"",AthleteNumbers,0))</f>
        <v>0</v>
      </c>
      <c r="J706" s="209">
        <f t="array" ref="J706">IF(I706&gt;0,INDEX(DB,$I706,6),0)</f>
        <v>0</v>
      </c>
      <c r="K706" s="446">
        <f t="shared" si="5"/>
        <v>0</v>
      </c>
      <c r="L706" s="446">
        <f t="shared" si="6"/>
        <v>0</v>
      </c>
      <c r="M706" s="441">
        <f>IF(L706&lt;O706,MinPoints,IF(AND(L706&gt;N706,O706&gt;0),100,+INT(($L706-O706)/P706)+MinPoints))</f>
        <v>10</v>
      </c>
      <c r="N706" s="440">
        <f t="shared" si="7"/>
        <v>4.9</v>
      </c>
      <c r="O706" s="440">
        <f t="shared" si="8"/>
        <v>2.2</v>
      </c>
      <c r="P706" s="440">
        <f t="shared" si="9"/>
        <v>0.03</v>
      </c>
      <c r="Q706">
        <f t="array" ref="Q706">IF(I706&gt;0,INDEX(DB,I706,9),EventIndex)</f>
        <v>6</v>
      </c>
      <c r="S706" s="447">
        <f t="array" ref="S706">INDEX(MINVALUES,$Q706,$K$1)</f>
        <v>2.2</v>
      </c>
      <c r="T706" s="448">
        <f t="array" ref="T706">INDEX(INCVALUES,$Q706,$K$1)</f>
        <v>0.03</v>
      </c>
      <c r="V706">
        <f t="array" ref="V706">+J706+(4*(INDEX(MatchScoreTable,$Q706,20)-1))</f>
        <v>4</v>
      </c>
      <c r="W706" s="442">
        <f t="array" ref="W706">INDEX(INC_MINVALUES,$V706,$K$1)</f>
        <v>0.2</v>
      </c>
      <c r="X706" s="212">
        <f t="array" ref="X706">INDEX(INC_INCVALUES,$V706,$K$1)</f>
        <v>0.02</v>
      </c>
    </row>
    <row r="707" ht="15.75" customHeight="1">
      <c r="A707" s="435"/>
      <c r="B707" s="436"/>
      <c r="C707" s="95" t="str">
        <f t="array" ref="C707">IF(I707&gt;0,INDEX(DB,I707,8),"")</f>
        <v/>
      </c>
      <c r="D707" s="437">
        <f t="shared" si="1"/>
        <v>0</v>
      </c>
      <c r="F707" s="438">
        <f t="shared" si="2"/>
        <v>0</v>
      </c>
      <c r="G707" t="str">
        <f t="shared" si="3"/>
        <v/>
      </c>
      <c r="H707" t="b">
        <f t="shared" si="4"/>
        <v>0</v>
      </c>
      <c r="I707" s="439">
        <f>IF(OR(ISBLANK(A707),ISNA(MATCH(A707&amp;"",AthleteNumbers,0))),0,MATCH(A707&amp;"",AthleteNumbers,0))</f>
        <v>0</v>
      </c>
      <c r="J707" s="209">
        <f t="array" ref="J707">IF(I707&gt;0,INDEX(DB,$I707,6),0)</f>
        <v>0</v>
      </c>
      <c r="K707" s="446">
        <f t="shared" si="5"/>
        <v>0</v>
      </c>
      <c r="L707" s="446">
        <f t="shared" si="6"/>
        <v>0</v>
      </c>
      <c r="M707" s="441">
        <f>IF(L707&lt;O707,MinPoints,IF(AND(L707&gt;N707,O707&gt;0),100,+INT(($L707-O707)/P707)+MinPoints))</f>
        <v>10</v>
      </c>
      <c r="N707" s="440">
        <f t="shared" si="7"/>
        <v>4.9</v>
      </c>
      <c r="O707" s="440">
        <f t="shared" si="8"/>
        <v>2.2</v>
      </c>
      <c r="P707" s="440">
        <f t="shared" si="9"/>
        <v>0.03</v>
      </c>
      <c r="Q707">
        <f t="array" ref="Q707">IF(I707&gt;0,INDEX(DB,I707,9),EventIndex)</f>
        <v>6</v>
      </c>
      <c r="S707" s="447">
        <f t="array" ref="S707">INDEX(MINVALUES,$Q707,$K$1)</f>
        <v>2.2</v>
      </c>
      <c r="T707" s="448">
        <f t="array" ref="T707">INDEX(INCVALUES,$Q707,$K$1)</f>
        <v>0.03</v>
      </c>
      <c r="V707">
        <f t="array" ref="V707">+J707+(4*(INDEX(MatchScoreTable,$Q707,20)-1))</f>
        <v>4</v>
      </c>
      <c r="W707" s="442">
        <f t="array" ref="W707">INDEX(INC_MINVALUES,$V707,$K$1)</f>
        <v>0.2</v>
      </c>
      <c r="X707" s="212">
        <f t="array" ref="X707">INDEX(INC_INCVALUES,$V707,$K$1)</f>
        <v>0.02</v>
      </c>
    </row>
    <row r="708" ht="15.75" customHeight="1">
      <c r="A708" s="435"/>
      <c r="B708" s="436"/>
      <c r="C708" s="95" t="str">
        <f t="array" ref="C708">IF(I708&gt;0,INDEX(DB,I708,8),"")</f>
        <v/>
      </c>
      <c r="D708" s="437">
        <f t="shared" si="1"/>
        <v>0</v>
      </c>
      <c r="F708" s="438">
        <f t="shared" si="2"/>
        <v>0</v>
      </c>
      <c r="G708" t="str">
        <f t="shared" si="3"/>
        <v/>
      </c>
      <c r="H708" t="b">
        <f t="shared" si="4"/>
        <v>0</v>
      </c>
      <c r="I708" s="439">
        <f>IF(OR(ISBLANK(A708),ISNA(MATCH(A708&amp;"",AthleteNumbers,0))),0,MATCH(A708&amp;"",AthleteNumbers,0))</f>
        <v>0</v>
      </c>
      <c r="J708" s="209">
        <f t="array" ref="J708">IF(I708&gt;0,INDEX(DB,$I708,6),0)</f>
        <v>0</v>
      </c>
      <c r="K708" s="446">
        <f t="shared" si="5"/>
        <v>0</v>
      </c>
      <c r="L708" s="446">
        <f t="shared" si="6"/>
        <v>0</v>
      </c>
      <c r="M708" s="441">
        <f>IF(L708&lt;O708,MinPoints,IF(AND(L708&gt;N708,O708&gt;0),100,+INT(($L708-O708)/P708)+MinPoints))</f>
        <v>10</v>
      </c>
      <c r="N708" s="440">
        <f t="shared" si="7"/>
        <v>4.9</v>
      </c>
      <c r="O708" s="440">
        <f t="shared" si="8"/>
        <v>2.2</v>
      </c>
      <c r="P708" s="440">
        <f t="shared" si="9"/>
        <v>0.03</v>
      </c>
      <c r="Q708">
        <f t="array" ref="Q708">IF(I708&gt;0,INDEX(DB,I708,9),EventIndex)</f>
        <v>6</v>
      </c>
      <c r="S708" s="447">
        <f t="array" ref="S708">INDEX(MINVALUES,$Q708,$K$1)</f>
        <v>2.2</v>
      </c>
      <c r="T708" s="448">
        <f t="array" ref="T708">INDEX(INCVALUES,$Q708,$K$1)</f>
        <v>0.03</v>
      </c>
      <c r="V708">
        <f t="array" ref="V708">+J708+(4*(INDEX(MatchScoreTable,$Q708,20)-1))</f>
        <v>4</v>
      </c>
      <c r="W708" s="442">
        <f t="array" ref="W708">INDEX(INC_MINVALUES,$V708,$K$1)</f>
        <v>0.2</v>
      </c>
      <c r="X708" s="212">
        <f t="array" ref="X708">INDEX(INC_INCVALUES,$V708,$K$1)</f>
        <v>0.02</v>
      </c>
    </row>
    <row r="709" ht="15.75" customHeight="1">
      <c r="A709" s="435"/>
      <c r="B709" s="436"/>
      <c r="C709" s="95" t="str">
        <f t="array" ref="C709">IF(I709&gt;0,INDEX(DB,I709,8),"")</f>
        <v/>
      </c>
      <c r="D709" s="437">
        <f t="shared" si="1"/>
        <v>0</v>
      </c>
      <c r="F709" s="438">
        <f t="shared" si="2"/>
        <v>0</v>
      </c>
      <c r="G709" t="str">
        <f t="shared" si="3"/>
        <v/>
      </c>
      <c r="H709" t="b">
        <f t="shared" si="4"/>
        <v>0</v>
      </c>
      <c r="I709" s="439">
        <f>IF(OR(ISBLANK(A709),ISNA(MATCH(A709&amp;"",AthleteNumbers,0))),0,MATCH(A709&amp;"",AthleteNumbers,0))</f>
        <v>0</v>
      </c>
      <c r="J709" s="209">
        <f t="array" ref="J709">IF(I709&gt;0,INDEX(DB,$I709,6),0)</f>
        <v>0</v>
      </c>
      <c r="K709" s="446">
        <f t="shared" si="5"/>
        <v>0</v>
      </c>
      <c r="L709" s="446">
        <f t="shared" si="6"/>
        <v>0</v>
      </c>
      <c r="M709" s="441">
        <f>IF(L709&lt;O709,MinPoints,IF(AND(L709&gt;N709,O709&gt;0),100,+INT(($L709-O709)/P709)+MinPoints))</f>
        <v>10</v>
      </c>
      <c r="N709" s="440">
        <f t="shared" si="7"/>
        <v>4.9</v>
      </c>
      <c r="O709" s="440">
        <f t="shared" si="8"/>
        <v>2.2</v>
      </c>
      <c r="P709" s="440">
        <f t="shared" si="9"/>
        <v>0.03</v>
      </c>
      <c r="Q709">
        <f t="array" ref="Q709">IF(I709&gt;0,INDEX(DB,I709,9),EventIndex)</f>
        <v>6</v>
      </c>
      <c r="S709" s="447">
        <f t="array" ref="S709">INDEX(MINVALUES,$Q709,$K$1)</f>
        <v>2.2</v>
      </c>
      <c r="T709" s="448">
        <f t="array" ref="T709">INDEX(INCVALUES,$Q709,$K$1)</f>
        <v>0.03</v>
      </c>
      <c r="V709">
        <f t="array" ref="V709">+J709+(4*(INDEX(MatchScoreTable,$Q709,20)-1))</f>
        <v>4</v>
      </c>
      <c r="W709" s="442">
        <f t="array" ref="W709">INDEX(INC_MINVALUES,$V709,$K$1)</f>
        <v>0.2</v>
      </c>
      <c r="X709" s="212">
        <f t="array" ref="X709">INDEX(INC_INCVALUES,$V709,$K$1)</f>
        <v>0.02</v>
      </c>
    </row>
    <row r="710" ht="15.75" customHeight="1">
      <c r="A710" s="435"/>
      <c r="B710" s="436"/>
      <c r="C710" s="95" t="str">
        <f t="array" ref="C710">IF(I710&gt;0,INDEX(DB,I710,8),"")</f>
        <v/>
      </c>
      <c r="D710" s="437">
        <f t="shared" si="1"/>
        <v>0</v>
      </c>
      <c r="F710" s="438">
        <f t="shared" si="2"/>
        <v>0</v>
      </c>
      <c r="G710" t="str">
        <f t="shared" si="3"/>
        <v/>
      </c>
      <c r="H710" t="b">
        <f t="shared" si="4"/>
        <v>0</v>
      </c>
      <c r="I710" s="439">
        <f>IF(OR(ISBLANK(A710),ISNA(MATCH(A710&amp;"",AthleteNumbers,0))),0,MATCH(A710&amp;"",AthleteNumbers,0))</f>
        <v>0</v>
      </c>
      <c r="J710" s="209">
        <f t="array" ref="J710">IF(I710&gt;0,INDEX(DB,$I710,6),0)</f>
        <v>0</v>
      </c>
      <c r="K710" s="446">
        <f t="shared" si="5"/>
        <v>0</v>
      </c>
      <c r="L710" s="446">
        <f t="shared" si="6"/>
        <v>0</v>
      </c>
      <c r="M710" s="441">
        <f>IF(L710&lt;O710,MinPoints,IF(AND(L710&gt;N710,O710&gt;0),100,+INT(($L710-O710)/P710)+MinPoints))</f>
        <v>10</v>
      </c>
      <c r="N710" s="440">
        <f t="shared" si="7"/>
        <v>4.9</v>
      </c>
      <c r="O710" s="440">
        <f t="shared" si="8"/>
        <v>2.2</v>
      </c>
      <c r="P710" s="440">
        <f t="shared" si="9"/>
        <v>0.03</v>
      </c>
      <c r="Q710">
        <f t="array" ref="Q710">IF(I710&gt;0,INDEX(DB,I710,9),EventIndex)</f>
        <v>6</v>
      </c>
      <c r="S710" s="447">
        <f t="array" ref="S710">INDEX(MINVALUES,$Q710,$K$1)</f>
        <v>2.2</v>
      </c>
      <c r="T710" s="448">
        <f t="array" ref="T710">INDEX(INCVALUES,$Q710,$K$1)</f>
        <v>0.03</v>
      </c>
      <c r="V710">
        <f t="array" ref="V710">+J710+(4*(INDEX(MatchScoreTable,$Q710,20)-1))</f>
        <v>4</v>
      </c>
      <c r="W710" s="442">
        <f t="array" ref="W710">INDEX(INC_MINVALUES,$V710,$K$1)</f>
        <v>0.2</v>
      </c>
      <c r="X710" s="212">
        <f t="array" ref="X710">INDEX(INC_INCVALUES,$V710,$K$1)</f>
        <v>0.02</v>
      </c>
    </row>
    <row r="711" ht="15.75" customHeight="1">
      <c r="A711" s="435"/>
      <c r="B711" s="436"/>
      <c r="C711" s="95" t="str">
        <f t="array" ref="C711">IF(I711&gt;0,INDEX(DB,I711,8),"")</f>
        <v/>
      </c>
      <c r="D711" s="437">
        <f t="shared" si="1"/>
        <v>0</v>
      </c>
      <c r="F711" s="438">
        <f t="shared" si="2"/>
        <v>0</v>
      </c>
      <c r="G711" t="str">
        <f t="shared" si="3"/>
        <v/>
      </c>
      <c r="H711" t="b">
        <f t="shared" si="4"/>
        <v>0</v>
      </c>
      <c r="I711" s="439">
        <f>IF(OR(ISBLANK(A711),ISNA(MATCH(A711&amp;"",AthleteNumbers,0))),0,MATCH(A711&amp;"",AthleteNumbers,0))</f>
        <v>0</v>
      </c>
      <c r="J711" s="209">
        <f t="array" ref="J711">IF(I711&gt;0,INDEX(DB,$I711,6),0)</f>
        <v>0</v>
      </c>
      <c r="K711" s="446">
        <f t="shared" si="5"/>
        <v>0</v>
      </c>
      <c r="L711" s="446">
        <f t="shared" si="6"/>
        <v>0</v>
      </c>
      <c r="M711" s="441">
        <f>IF(L711&lt;O711,MinPoints,IF(AND(L711&gt;N711,O711&gt;0),100,+INT(($L711-O711)/P711)+MinPoints))</f>
        <v>10</v>
      </c>
      <c r="N711" s="440">
        <f t="shared" si="7"/>
        <v>4.9</v>
      </c>
      <c r="O711" s="440">
        <f t="shared" si="8"/>
        <v>2.2</v>
      </c>
      <c r="P711" s="440">
        <f t="shared" si="9"/>
        <v>0.03</v>
      </c>
      <c r="Q711">
        <f t="array" ref="Q711">IF(I711&gt;0,INDEX(DB,I711,9),EventIndex)</f>
        <v>6</v>
      </c>
      <c r="S711" s="447">
        <f t="array" ref="S711">INDEX(MINVALUES,$Q711,$K$1)</f>
        <v>2.2</v>
      </c>
      <c r="T711" s="448">
        <f t="array" ref="T711">INDEX(INCVALUES,$Q711,$K$1)</f>
        <v>0.03</v>
      </c>
      <c r="V711">
        <f t="array" ref="V711">+J711+(4*(INDEX(MatchScoreTable,$Q711,20)-1))</f>
        <v>4</v>
      </c>
      <c r="W711" s="442">
        <f t="array" ref="W711">INDEX(INC_MINVALUES,$V711,$K$1)</f>
        <v>0.2</v>
      </c>
      <c r="X711" s="212">
        <f t="array" ref="X711">INDEX(INC_INCVALUES,$V711,$K$1)</f>
        <v>0.02</v>
      </c>
    </row>
    <row r="712" ht="15.75" customHeight="1">
      <c r="A712" s="435"/>
      <c r="B712" s="436"/>
      <c r="C712" s="95" t="str">
        <f t="array" ref="C712">IF(I712&gt;0,INDEX(DB,I712,8),"")</f>
        <v/>
      </c>
      <c r="D712" s="437">
        <f t="shared" si="1"/>
        <v>0</v>
      </c>
      <c r="F712" s="438">
        <f t="shared" si="2"/>
        <v>0</v>
      </c>
      <c r="G712" t="str">
        <f t="shared" si="3"/>
        <v/>
      </c>
      <c r="H712" t="b">
        <f t="shared" si="4"/>
        <v>0</v>
      </c>
      <c r="I712" s="439">
        <f>IF(OR(ISBLANK(A712),ISNA(MATCH(A712&amp;"",AthleteNumbers,0))),0,MATCH(A712&amp;"",AthleteNumbers,0))</f>
        <v>0</v>
      </c>
      <c r="J712" s="209">
        <f t="array" ref="J712">IF(I712&gt;0,INDEX(DB,$I712,6),0)</f>
        <v>0</v>
      </c>
      <c r="K712" s="446">
        <f t="shared" si="5"/>
        <v>0</v>
      </c>
      <c r="L712" s="446">
        <f t="shared" si="6"/>
        <v>0</v>
      </c>
      <c r="M712" s="441">
        <f>IF(L712&lt;O712,MinPoints,IF(AND(L712&gt;N712,O712&gt;0),100,+INT(($L712-O712)/P712)+MinPoints))</f>
        <v>10</v>
      </c>
      <c r="N712" s="440">
        <f t="shared" si="7"/>
        <v>4.9</v>
      </c>
      <c r="O712" s="440">
        <f t="shared" si="8"/>
        <v>2.2</v>
      </c>
      <c r="P712" s="440">
        <f t="shared" si="9"/>
        <v>0.03</v>
      </c>
      <c r="Q712">
        <f t="array" ref="Q712">IF(I712&gt;0,INDEX(DB,I712,9),EventIndex)</f>
        <v>6</v>
      </c>
      <c r="S712" s="447">
        <f t="array" ref="S712">INDEX(MINVALUES,$Q712,$K$1)</f>
        <v>2.2</v>
      </c>
      <c r="T712" s="448">
        <f t="array" ref="T712">INDEX(INCVALUES,$Q712,$K$1)</f>
        <v>0.03</v>
      </c>
      <c r="V712">
        <f t="array" ref="V712">+J712+(4*(INDEX(MatchScoreTable,$Q712,20)-1))</f>
        <v>4</v>
      </c>
      <c r="W712" s="442">
        <f t="array" ref="W712">INDEX(INC_MINVALUES,$V712,$K$1)</f>
        <v>0.2</v>
      </c>
      <c r="X712" s="212">
        <f t="array" ref="X712">INDEX(INC_INCVALUES,$V712,$K$1)</f>
        <v>0.02</v>
      </c>
    </row>
    <row r="713" ht="15.75" customHeight="1">
      <c r="A713" s="435"/>
      <c r="B713" s="436"/>
      <c r="C713" s="95" t="str">
        <f t="array" ref="C713">IF(I713&gt;0,INDEX(DB,I713,8),"")</f>
        <v/>
      </c>
      <c r="D713" s="437">
        <f t="shared" si="1"/>
        <v>0</v>
      </c>
      <c r="F713" s="438">
        <f t="shared" si="2"/>
        <v>0</v>
      </c>
      <c r="G713" t="str">
        <f t="shared" si="3"/>
        <v/>
      </c>
      <c r="H713" t="b">
        <f t="shared" si="4"/>
        <v>0</v>
      </c>
      <c r="I713" s="439">
        <f>IF(OR(ISBLANK(A713),ISNA(MATCH(A713&amp;"",AthleteNumbers,0))),0,MATCH(A713&amp;"",AthleteNumbers,0))</f>
        <v>0</v>
      </c>
      <c r="J713" s="209">
        <f t="array" ref="J713">IF(I713&gt;0,INDEX(DB,$I713,6),0)</f>
        <v>0</v>
      </c>
      <c r="K713" s="446">
        <f t="shared" si="5"/>
        <v>0</v>
      </c>
      <c r="L713" s="446">
        <f t="shared" si="6"/>
        <v>0</v>
      </c>
      <c r="M713" s="441">
        <f>IF(L713&lt;O713,MinPoints,IF(AND(L713&gt;N713,O713&gt;0),100,+INT(($L713-O713)/P713)+MinPoints))</f>
        <v>10</v>
      </c>
      <c r="N713" s="440">
        <f t="shared" si="7"/>
        <v>4.9</v>
      </c>
      <c r="O713" s="440">
        <f t="shared" si="8"/>
        <v>2.2</v>
      </c>
      <c r="P713" s="440">
        <f t="shared" si="9"/>
        <v>0.03</v>
      </c>
      <c r="Q713">
        <f t="array" ref="Q713">IF(I713&gt;0,INDEX(DB,I713,9),EventIndex)</f>
        <v>6</v>
      </c>
      <c r="S713" s="447">
        <f t="array" ref="S713">INDEX(MINVALUES,$Q713,$K$1)</f>
        <v>2.2</v>
      </c>
      <c r="T713" s="448">
        <f t="array" ref="T713">INDEX(INCVALUES,$Q713,$K$1)</f>
        <v>0.03</v>
      </c>
      <c r="V713">
        <f t="array" ref="V713">+J713+(4*(INDEX(MatchScoreTable,$Q713,20)-1))</f>
        <v>4</v>
      </c>
      <c r="W713" s="442">
        <f t="array" ref="W713">INDEX(INC_MINVALUES,$V713,$K$1)</f>
        <v>0.2</v>
      </c>
      <c r="X713" s="212">
        <f t="array" ref="X713">INDEX(INC_INCVALUES,$V713,$K$1)</f>
        <v>0.02</v>
      </c>
    </row>
    <row r="714" ht="15.75" customHeight="1">
      <c r="A714" s="435"/>
      <c r="B714" s="436"/>
      <c r="C714" s="95" t="str">
        <f t="array" ref="C714">IF(I714&gt;0,INDEX(DB,I714,8),"")</f>
        <v/>
      </c>
      <c r="D714" s="437">
        <f t="shared" si="1"/>
        <v>0</v>
      </c>
      <c r="F714" s="438">
        <f t="shared" si="2"/>
        <v>0</v>
      </c>
      <c r="G714" t="str">
        <f t="shared" si="3"/>
        <v/>
      </c>
      <c r="H714" t="b">
        <f t="shared" si="4"/>
        <v>0</v>
      </c>
      <c r="I714" s="439">
        <f>IF(OR(ISBLANK(A714),ISNA(MATCH(A714&amp;"",AthleteNumbers,0))),0,MATCH(A714&amp;"",AthleteNumbers,0))</f>
        <v>0</v>
      </c>
      <c r="J714" s="209">
        <f t="array" ref="J714">IF(I714&gt;0,INDEX(DB,$I714,6),0)</f>
        <v>0</v>
      </c>
      <c r="K714" s="446">
        <f t="shared" si="5"/>
        <v>0</v>
      </c>
      <c r="L714" s="446">
        <f t="shared" si="6"/>
        <v>0</v>
      </c>
      <c r="M714" s="441">
        <f>IF(L714&lt;O714,MinPoints,IF(AND(L714&gt;N714,O714&gt;0),100,+INT(($L714-O714)/P714)+MinPoints))</f>
        <v>10</v>
      </c>
      <c r="N714" s="440">
        <f t="shared" si="7"/>
        <v>4.9</v>
      </c>
      <c r="O714" s="440">
        <f t="shared" si="8"/>
        <v>2.2</v>
      </c>
      <c r="P714" s="440">
        <f t="shared" si="9"/>
        <v>0.03</v>
      </c>
      <c r="Q714">
        <f t="array" ref="Q714">IF(I714&gt;0,INDEX(DB,I714,9),EventIndex)</f>
        <v>6</v>
      </c>
      <c r="S714" s="447">
        <f t="array" ref="S714">INDEX(MINVALUES,$Q714,$K$1)</f>
        <v>2.2</v>
      </c>
      <c r="T714" s="448">
        <f t="array" ref="T714">INDEX(INCVALUES,$Q714,$K$1)</f>
        <v>0.03</v>
      </c>
      <c r="V714">
        <f t="array" ref="V714">+J714+(4*(INDEX(MatchScoreTable,$Q714,20)-1))</f>
        <v>4</v>
      </c>
      <c r="W714" s="442">
        <f t="array" ref="W714">INDEX(INC_MINVALUES,$V714,$K$1)</f>
        <v>0.2</v>
      </c>
      <c r="X714" s="212">
        <f t="array" ref="X714">INDEX(INC_INCVALUES,$V714,$K$1)</f>
        <v>0.02</v>
      </c>
    </row>
    <row r="715" ht="15.75" customHeight="1">
      <c r="A715" s="435"/>
      <c r="B715" s="436"/>
      <c r="C715" s="95" t="str">
        <f t="array" ref="C715">IF(I715&gt;0,INDEX(DB,I715,8),"")</f>
        <v/>
      </c>
      <c r="D715" s="437">
        <f t="shared" si="1"/>
        <v>0</v>
      </c>
      <c r="F715" s="438">
        <f t="shared" si="2"/>
        <v>0</v>
      </c>
      <c r="G715" t="str">
        <f t="shared" si="3"/>
        <v/>
      </c>
      <c r="H715" t="b">
        <f t="shared" si="4"/>
        <v>0</v>
      </c>
      <c r="I715" s="439">
        <f>IF(OR(ISBLANK(A715),ISNA(MATCH(A715&amp;"",AthleteNumbers,0))),0,MATCH(A715&amp;"",AthleteNumbers,0))</f>
        <v>0</v>
      </c>
      <c r="J715" s="209">
        <f t="array" ref="J715">IF(I715&gt;0,INDEX(DB,$I715,6),0)</f>
        <v>0</v>
      </c>
      <c r="K715" s="446">
        <f t="shared" si="5"/>
        <v>0</v>
      </c>
      <c r="L715" s="446">
        <f t="shared" si="6"/>
        <v>0</v>
      </c>
      <c r="M715" s="441">
        <f>IF(L715&lt;O715,MinPoints,IF(AND(L715&gt;N715,O715&gt;0),100,+INT(($L715-O715)/P715)+MinPoints))</f>
        <v>10</v>
      </c>
      <c r="N715" s="440">
        <f t="shared" si="7"/>
        <v>4.9</v>
      </c>
      <c r="O715" s="440">
        <f t="shared" si="8"/>
        <v>2.2</v>
      </c>
      <c r="P715" s="440">
        <f t="shared" si="9"/>
        <v>0.03</v>
      </c>
      <c r="Q715">
        <f t="array" ref="Q715">IF(I715&gt;0,INDEX(DB,I715,9),EventIndex)</f>
        <v>6</v>
      </c>
      <c r="S715" s="447">
        <f t="array" ref="S715">INDEX(MINVALUES,$Q715,$K$1)</f>
        <v>2.2</v>
      </c>
      <c r="T715" s="448">
        <f t="array" ref="T715">INDEX(INCVALUES,$Q715,$K$1)</f>
        <v>0.03</v>
      </c>
      <c r="V715">
        <f t="array" ref="V715">+J715+(4*(INDEX(MatchScoreTable,$Q715,20)-1))</f>
        <v>4</v>
      </c>
      <c r="W715" s="442">
        <f t="array" ref="W715">INDEX(INC_MINVALUES,$V715,$K$1)</f>
        <v>0.2</v>
      </c>
      <c r="X715" s="212">
        <f t="array" ref="X715">INDEX(INC_INCVALUES,$V715,$K$1)</f>
        <v>0.02</v>
      </c>
    </row>
    <row r="716" ht="15.75" customHeight="1">
      <c r="A716" s="435"/>
      <c r="B716" s="436"/>
      <c r="C716" s="95" t="str">
        <f t="array" ref="C716">IF(I716&gt;0,INDEX(DB,I716,8),"")</f>
        <v/>
      </c>
      <c r="D716" s="437">
        <f t="shared" si="1"/>
        <v>0</v>
      </c>
      <c r="F716" s="438">
        <f t="shared" si="2"/>
        <v>0</v>
      </c>
      <c r="G716" t="str">
        <f t="shared" si="3"/>
        <v/>
      </c>
      <c r="H716" t="b">
        <f t="shared" si="4"/>
        <v>0</v>
      </c>
      <c r="I716" s="439">
        <f>IF(OR(ISBLANK(A716),ISNA(MATCH(A716&amp;"",AthleteNumbers,0))),0,MATCH(A716&amp;"",AthleteNumbers,0))</f>
        <v>0</v>
      </c>
      <c r="J716" s="209">
        <f t="array" ref="J716">IF(I716&gt;0,INDEX(DB,$I716,6),0)</f>
        <v>0</v>
      </c>
      <c r="K716" s="446">
        <f t="shared" si="5"/>
        <v>0</v>
      </c>
      <c r="L716" s="446">
        <f t="shared" si="6"/>
        <v>0</v>
      </c>
      <c r="M716" s="441">
        <f>IF(L716&lt;O716,MinPoints,IF(AND(L716&gt;N716,O716&gt;0),100,+INT(($L716-O716)/P716)+MinPoints))</f>
        <v>10</v>
      </c>
      <c r="N716" s="440">
        <f t="shared" si="7"/>
        <v>4.9</v>
      </c>
      <c r="O716" s="440">
        <f t="shared" si="8"/>
        <v>2.2</v>
      </c>
      <c r="P716" s="440">
        <f t="shared" si="9"/>
        <v>0.03</v>
      </c>
      <c r="Q716">
        <f t="array" ref="Q716">IF(I716&gt;0,INDEX(DB,I716,9),EventIndex)</f>
        <v>6</v>
      </c>
      <c r="S716" s="447">
        <f t="array" ref="S716">INDEX(MINVALUES,$Q716,$K$1)</f>
        <v>2.2</v>
      </c>
      <c r="T716" s="448">
        <f t="array" ref="T716">INDEX(INCVALUES,$Q716,$K$1)</f>
        <v>0.03</v>
      </c>
      <c r="V716">
        <f t="array" ref="V716">+J716+(4*(INDEX(MatchScoreTable,$Q716,20)-1))</f>
        <v>4</v>
      </c>
      <c r="W716" s="442">
        <f t="array" ref="W716">INDEX(INC_MINVALUES,$V716,$K$1)</f>
        <v>0.2</v>
      </c>
      <c r="X716" s="212">
        <f t="array" ref="X716">INDEX(INC_INCVALUES,$V716,$K$1)</f>
        <v>0.02</v>
      </c>
    </row>
    <row r="717" ht="15.75" customHeight="1">
      <c r="A717" s="435"/>
      <c r="B717" s="436"/>
      <c r="C717" s="95" t="str">
        <f t="array" ref="C717">IF(I717&gt;0,INDEX(DB,I717,8),"")</f>
        <v/>
      </c>
      <c r="D717" s="437">
        <f t="shared" si="1"/>
        <v>0</v>
      </c>
      <c r="F717" s="438">
        <f t="shared" si="2"/>
        <v>0</v>
      </c>
      <c r="G717" t="str">
        <f t="shared" si="3"/>
        <v/>
      </c>
      <c r="H717" t="b">
        <f t="shared" si="4"/>
        <v>0</v>
      </c>
      <c r="I717" s="439">
        <f>IF(OR(ISBLANK(A717),ISNA(MATCH(A717&amp;"",AthleteNumbers,0))),0,MATCH(A717&amp;"",AthleteNumbers,0))</f>
        <v>0</v>
      </c>
      <c r="J717" s="209">
        <f t="array" ref="J717">IF(I717&gt;0,INDEX(DB,$I717,6),0)</f>
        <v>0</v>
      </c>
      <c r="K717" s="446">
        <f t="shared" si="5"/>
        <v>0</v>
      </c>
      <c r="L717" s="446">
        <f t="shared" si="6"/>
        <v>0</v>
      </c>
      <c r="M717" s="441">
        <f>IF(L717&lt;O717,MinPoints,IF(AND(L717&gt;N717,O717&gt;0),100,+INT(($L717-O717)/P717)+MinPoints))</f>
        <v>10</v>
      </c>
      <c r="N717" s="440">
        <f t="shared" si="7"/>
        <v>4.9</v>
      </c>
      <c r="O717" s="440">
        <f t="shared" si="8"/>
        <v>2.2</v>
      </c>
      <c r="P717" s="440">
        <f t="shared" si="9"/>
        <v>0.03</v>
      </c>
      <c r="Q717">
        <f t="array" ref="Q717">IF(I717&gt;0,INDEX(DB,I717,9),EventIndex)</f>
        <v>6</v>
      </c>
      <c r="S717" s="447">
        <f t="array" ref="S717">INDEX(MINVALUES,$Q717,$K$1)</f>
        <v>2.2</v>
      </c>
      <c r="T717" s="448">
        <f t="array" ref="T717">INDEX(INCVALUES,$Q717,$K$1)</f>
        <v>0.03</v>
      </c>
      <c r="V717">
        <f t="array" ref="V717">+J717+(4*(INDEX(MatchScoreTable,$Q717,20)-1))</f>
        <v>4</v>
      </c>
      <c r="W717" s="442">
        <f t="array" ref="W717">INDEX(INC_MINVALUES,$V717,$K$1)</f>
        <v>0.2</v>
      </c>
      <c r="X717" s="212">
        <f t="array" ref="X717">INDEX(INC_INCVALUES,$V717,$K$1)</f>
        <v>0.02</v>
      </c>
    </row>
    <row r="718" ht="15.75" customHeight="1">
      <c r="A718" s="435"/>
      <c r="B718" s="436"/>
      <c r="C718" s="95" t="str">
        <f t="array" ref="C718">IF(I718&gt;0,INDEX(DB,I718,8),"")</f>
        <v/>
      </c>
      <c r="D718" s="437">
        <f t="shared" si="1"/>
        <v>0</v>
      </c>
      <c r="F718" s="438">
        <f t="shared" si="2"/>
        <v>0</v>
      </c>
      <c r="G718" t="str">
        <f t="shared" si="3"/>
        <v/>
      </c>
      <c r="H718" t="b">
        <f t="shared" si="4"/>
        <v>0</v>
      </c>
      <c r="I718" s="439">
        <f>IF(OR(ISBLANK(A718),ISNA(MATCH(A718&amp;"",AthleteNumbers,0))),0,MATCH(A718&amp;"",AthleteNumbers,0))</f>
        <v>0</v>
      </c>
      <c r="J718" s="209">
        <f t="array" ref="J718">IF(I718&gt;0,INDEX(DB,$I718,6),0)</f>
        <v>0</v>
      </c>
      <c r="K718" s="446">
        <f t="shared" si="5"/>
        <v>0</v>
      </c>
      <c r="L718" s="446">
        <f t="shared" si="6"/>
        <v>0</v>
      </c>
      <c r="M718" s="441">
        <f>IF(L718&lt;O718,MinPoints,IF(AND(L718&gt;N718,O718&gt;0),100,+INT(($L718-O718)/P718)+MinPoints))</f>
        <v>10</v>
      </c>
      <c r="N718" s="440">
        <f t="shared" si="7"/>
        <v>4.9</v>
      </c>
      <c r="O718" s="440">
        <f t="shared" si="8"/>
        <v>2.2</v>
      </c>
      <c r="P718" s="440">
        <f t="shared" si="9"/>
        <v>0.03</v>
      </c>
      <c r="Q718">
        <f t="array" ref="Q718">IF(I718&gt;0,INDEX(DB,I718,9),EventIndex)</f>
        <v>6</v>
      </c>
      <c r="S718" s="447">
        <f t="array" ref="S718">INDEX(MINVALUES,$Q718,$K$1)</f>
        <v>2.2</v>
      </c>
      <c r="T718" s="448">
        <f t="array" ref="T718">INDEX(INCVALUES,$Q718,$K$1)</f>
        <v>0.03</v>
      </c>
      <c r="V718">
        <f t="array" ref="V718">+J718+(4*(INDEX(MatchScoreTable,$Q718,20)-1))</f>
        <v>4</v>
      </c>
      <c r="W718" s="442">
        <f t="array" ref="W718">INDEX(INC_MINVALUES,$V718,$K$1)</f>
        <v>0.2</v>
      </c>
      <c r="X718" s="212">
        <f t="array" ref="X718">INDEX(INC_INCVALUES,$V718,$K$1)</f>
        <v>0.02</v>
      </c>
    </row>
    <row r="719" ht="15.75" customHeight="1">
      <c r="A719" s="435"/>
      <c r="B719" s="436"/>
      <c r="C719" s="95" t="str">
        <f t="array" ref="C719">IF(I719&gt;0,INDEX(DB,I719,8),"")</f>
        <v/>
      </c>
      <c r="D719" s="437">
        <f t="shared" si="1"/>
        <v>0</v>
      </c>
      <c r="F719" s="438">
        <f t="shared" si="2"/>
        <v>0</v>
      </c>
      <c r="G719" t="str">
        <f t="shared" si="3"/>
        <v/>
      </c>
      <c r="H719" t="b">
        <f t="shared" si="4"/>
        <v>0</v>
      </c>
      <c r="I719" s="439">
        <f>IF(OR(ISBLANK(A719),ISNA(MATCH(A719&amp;"",AthleteNumbers,0))),0,MATCH(A719&amp;"",AthleteNumbers,0))</f>
        <v>0</v>
      </c>
      <c r="J719" s="209">
        <f t="array" ref="J719">IF(I719&gt;0,INDEX(DB,$I719,6),0)</f>
        <v>0</v>
      </c>
      <c r="K719" s="446">
        <f t="shared" si="5"/>
        <v>0</v>
      </c>
      <c r="L719" s="446">
        <f t="shared" si="6"/>
        <v>0</v>
      </c>
      <c r="M719" s="441">
        <f>IF(L719&lt;O719,MinPoints,IF(AND(L719&gt;N719,O719&gt;0),100,+INT(($L719-O719)/P719)+MinPoints))</f>
        <v>10</v>
      </c>
      <c r="N719" s="440">
        <f t="shared" si="7"/>
        <v>4.9</v>
      </c>
      <c r="O719" s="440">
        <f t="shared" si="8"/>
        <v>2.2</v>
      </c>
      <c r="P719" s="440">
        <f t="shared" si="9"/>
        <v>0.03</v>
      </c>
      <c r="Q719">
        <f t="array" ref="Q719">IF(I719&gt;0,INDEX(DB,I719,9),EventIndex)</f>
        <v>6</v>
      </c>
      <c r="S719" s="447">
        <f t="array" ref="S719">INDEX(MINVALUES,$Q719,$K$1)</f>
        <v>2.2</v>
      </c>
      <c r="T719" s="448">
        <f t="array" ref="T719">INDEX(INCVALUES,$Q719,$K$1)</f>
        <v>0.03</v>
      </c>
      <c r="V719">
        <f t="array" ref="V719">+J719+(4*(INDEX(MatchScoreTable,$Q719,20)-1))</f>
        <v>4</v>
      </c>
      <c r="W719" s="442">
        <f t="array" ref="W719">INDEX(INC_MINVALUES,$V719,$K$1)</f>
        <v>0.2</v>
      </c>
      <c r="X719" s="212">
        <f t="array" ref="X719">INDEX(INC_INCVALUES,$V719,$K$1)</f>
        <v>0.02</v>
      </c>
    </row>
    <row r="720" ht="15.75" customHeight="1">
      <c r="A720" s="435"/>
      <c r="B720" s="436"/>
      <c r="C720" s="95" t="str">
        <f t="array" ref="C720">IF(I720&gt;0,INDEX(DB,I720,8),"")</f>
        <v/>
      </c>
      <c r="D720" s="437">
        <f t="shared" si="1"/>
        <v>0</v>
      </c>
      <c r="F720" s="438">
        <f t="shared" si="2"/>
        <v>0</v>
      </c>
      <c r="G720" t="str">
        <f t="shared" si="3"/>
        <v/>
      </c>
      <c r="H720" t="b">
        <f t="shared" si="4"/>
        <v>0</v>
      </c>
      <c r="I720" s="439">
        <f>IF(OR(ISBLANK(A720),ISNA(MATCH(A720&amp;"",AthleteNumbers,0))),0,MATCH(A720&amp;"",AthleteNumbers,0))</f>
        <v>0</v>
      </c>
      <c r="J720" s="209">
        <f t="array" ref="J720">IF(I720&gt;0,INDEX(DB,$I720,6),0)</f>
        <v>0</v>
      </c>
      <c r="K720" s="446">
        <f t="shared" si="5"/>
        <v>0</v>
      </c>
      <c r="L720" s="446">
        <f t="shared" si="6"/>
        <v>0</v>
      </c>
      <c r="M720" s="441">
        <f>IF(L720&lt;O720,MinPoints,IF(AND(L720&gt;N720,O720&gt;0),100,+INT(($L720-O720)/P720)+MinPoints))</f>
        <v>10</v>
      </c>
      <c r="N720" s="440">
        <f t="shared" si="7"/>
        <v>4.9</v>
      </c>
      <c r="O720" s="440">
        <f t="shared" si="8"/>
        <v>2.2</v>
      </c>
      <c r="P720" s="440">
        <f t="shared" si="9"/>
        <v>0.03</v>
      </c>
      <c r="Q720">
        <f t="array" ref="Q720">IF(I720&gt;0,INDEX(DB,I720,9),EventIndex)</f>
        <v>6</v>
      </c>
      <c r="S720" s="447">
        <f t="array" ref="S720">INDEX(MINVALUES,$Q720,$K$1)</f>
        <v>2.2</v>
      </c>
      <c r="T720" s="448">
        <f t="array" ref="T720">INDEX(INCVALUES,$Q720,$K$1)</f>
        <v>0.03</v>
      </c>
      <c r="V720">
        <f t="array" ref="V720">+J720+(4*(INDEX(MatchScoreTable,$Q720,20)-1))</f>
        <v>4</v>
      </c>
      <c r="W720" s="442">
        <f t="array" ref="W720">INDEX(INC_MINVALUES,$V720,$K$1)</f>
        <v>0.2</v>
      </c>
      <c r="X720" s="212">
        <f t="array" ref="X720">INDEX(INC_INCVALUES,$V720,$K$1)</f>
        <v>0.02</v>
      </c>
    </row>
    <row r="721" ht="15.75" customHeight="1">
      <c r="A721" s="435"/>
      <c r="B721" s="436"/>
      <c r="C721" s="95" t="str">
        <f t="array" ref="C721">IF(I721&gt;0,INDEX(DB,I721,8),"")</f>
        <v/>
      </c>
      <c r="D721" s="437">
        <f t="shared" si="1"/>
        <v>0</v>
      </c>
      <c r="F721" s="438">
        <f t="shared" si="2"/>
        <v>0</v>
      </c>
      <c r="G721" t="str">
        <f t="shared" si="3"/>
        <v/>
      </c>
      <c r="H721" t="b">
        <f t="shared" si="4"/>
        <v>0</v>
      </c>
      <c r="I721" s="439">
        <f>IF(OR(ISBLANK(A721),ISNA(MATCH(A721&amp;"",AthleteNumbers,0))),0,MATCH(A721&amp;"",AthleteNumbers,0))</f>
        <v>0</v>
      </c>
      <c r="J721" s="209">
        <f t="array" ref="J721">IF(I721&gt;0,INDEX(DB,$I721,6),0)</f>
        <v>0</v>
      </c>
      <c r="K721" s="446">
        <f t="shared" si="5"/>
        <v>0</v>
      </c>
      <c r="L721" s="446">
        <f t="shared" si="6"/>
        <v>0</v>
      </c>
      <c r="M721" s="441">
        <f>IF(L721&lt;O721,MinPoints,IF(AND(L721&gt;N721,O721&gt;0),100,+INT(($L721-O721)/P721)+MinPoints))</f>
        <v>10</v>
      </c>
      <c r="N721" s="440">
        <f t="shared" si="7"/>
        <v>4.9</v>
      </c>
      <c r="O721" s="440">
        <f t="shared" si="8"/>
        <v>2.2</v>
      </c>
      <c r="P721" s="440">
        <f t="shared" si="9"/>
        <v>0.03</v>
      </c>
      <c r="Q721">
        <f t="array" ref="Q721">IF(I721&gt;0,INDEX(DB,I721,9),EventIndex)</f>
        <v>6</v>
      </c>
      <c r="S721" s="447">
        <f t="array" ref="S721">INDEX(MINVALUES,$Q721,$K$1)</f>
        <v>2.2</v>
      </c>
      <c r="T721" s="448">
        <f t="array" ref="T721">INDEX(INCVALUES,$Q721,$K$1)</f>
        <v>0.03</v>
      </c>
      <c r="V721">
        <f t="array" ref="V721">+J721+(4*(INDEX(MatchScoreTable,$Q721,20)-1))</f>
        <v>4</v>
      </c>
      <c r="W721" s="442">
        <f t="array" ref="W721">INDEX(INC_MINVALUES,$V721,$K$1)</f>
        <v>0.2</v>
      </c>
      <c r="X721" s="212">
        <f t="array" ref="X721">INDEX(INC_INCVALUES,$V721,$K$1)</f>
        <v>0.02</v>
      </c>
    </row>
    <row r="722" ht="15.75" customHeight="1">
      <c r="A722" s="435"/>
      <c r="B722" s="436"/>
      <c r="C722" s="95" t="str">
        <f t="array" ref="C722">IF(I722&gt;0,INDEX(DB,I722,8),"")</f>
        <v/>
      </c>
      <c r="D722" s="437">
        <f t="shared" si="1"/>
        <v>0</v>
      </c>
      <c r="F722" s="438">
        <f t="shared" si="2"/>
        <v>0</v>
      </c>
      <c r="G722" t="str">
        <f t="shared" si="3"/>
        <v/>
      </c>
      <c r="H722" t="b">
        <f t="shared" si="4"/>
        <v>0</v>
      </c>
      <c r="I722" s="439">
        <f>IF(OR(ISBLANK(A722),ISNA(MATCH(A722&amp;"",AthleteNumbers,0))),0,MATCH(A722&amp;"",AthleteNumbers,0))</f>
        <v>0</v>
      </c>
      <c r="J722" s="209">
        <f t="array" ref="J722">IF(I722&gt;0,INDEX(DB,$I722,6),0)</f>
        <v>0</v>
      </c>
      <c r="K722" s="446">
        <f t="shared" si="5"/>
        <v>0</v>
      </c>
      <c r="L722" s="446">
        <f t="shared" si="6"/>
        <v>0</v>
      </c>
      <c r="M722" s="441">
        <f>IF(L722&lt;O722,MinPoints,IF(AND(L722&gt;N722,O722&gt;0),100,+INT(($L722-O722)/P722)+MinPoints))</f>
        <v>10</v>
      </c>
      <c r="N722" s="440">
        <f t="shared" si="7"/>
        <v>4.9</v>
      </c>
      <c r="O722" s="440">
        <f t="shared" si="8"/>
        <v>2.2</v>
      </c>
      <c r="P722" s="440">
        <f t="shared" si="9"/>
        <v>0.03</v>
      </c>
      <c r="Q722">
        <f t="array" ref="Q722">IF(I722&gt;0,INDEX(DB,I722,9),EventIndex)</f>
        <v>6</v>
      </c>
      <c r="S722" s="447">
        <f t="array" ref="S722">INDEX(MINVALUES,$Q722,$K$1)</f>
        <v>2.2</v>
      </c>
      <c r="T722" s="448">
        <f t="array" ref="T722">INDEX(INCVALUES,$Q722,$K$1)</f>
        <v>0.03</v>
      </c>
      <c r="V722">
        <f t="array" ref="V722">+J722+(4*(INDEX(MatchScoreTable,$Q722,20)-1))</f>
        <v>4</v>
      </c>
      <c r="W722" s="442">
        <f t="array" ref="W722">INDEX(INC_MINVALUES,$V722,$K$1)</f>
        <v>0.2</v>
      </c>
      <c r="X722" s="212">
        <f t="array" ref="X722">INDEX(INC_INCVALUES,$V722,$K$1)</f>
        <v>0.02</v>
      </c>
    </row>
    <row r="723" ht="15.75" customHeight="1">
      <c r="A723" s="435"/>
      <c r="B723" s="436"/>
      <c r="C723" s="95" t="str">
        <f t="array" ref="C723">IF(I723&gt;0,INDEX(DB,I723,8),"")</f>
        <v/>
      </c>
      <c r="D723" s="437">
        <f t="shared" si="1"/>
        <v>0</v>
      </c>
      <c r="F723" s="438">
        <f t="shared" si="2"/>
        <v>0</v>
      </c>
      <c r="G723" t="str">
        <f t="shared" si="3"/>
        <v/>
      </c>
      <c r="H723" t="b">
        <f t="shared" si="4"/>
        <v>0</v>
      </c>
      <c r="I723" s="439">
        <f>IF(OR(ISBLANK(A723),ISNA(MATCH(A723&amp;"",AthleteNumbers,0))),0,MATCH(A723&amp;"",AthleteNumbers,0))</f>
        <v>0</v>
      </c>
      <c r="J723" s="209">
        <f t="array" ref="J723">IF(I723&gt;0,INDEX(DB,$I723,6),0)</f>
        <v>0</v>
      </c>
      <c r="K723" s="446">
        <f t="shared" si="5"/>
        <v>0</v>
      </c>
      <c r="L723" s="446">
        <f t="shared" si="6"/>
        <v>0</v>
      </c>
      <c r="M723" s="441">
        <f>IF(L723&lt;O723,MinPoints,IF(AND(L723&gt;N723,O723&gt;0),100,+INT(($L723-O723)/P723)+MinPoints))</f>
        <v>10</v>
      </c>
      <c r="N723" s="440">
        <f t="shared" si="7"/>
        <v>4.9</v>
      </c>
      <c r="O723" s="440">
        <f t="shared" si="8"/>
        <v>2.2</v>
      </c>
      <c r="P723" s="440">
        <f t="shared" si="9"/>
        <v>0.03</v>
      </c>
      <c r="Q723">
        <f t="array" ref="Q723">IF(I723&gt;0,INDEX(DB,I723,9),EventIndex)</f>
        <v>6</v>
      </c>
      <c r="S723" s="447">
        <f t="array" ref="S723">INDEX(MINVALUES,$Q723,$K$1)</f>
        <v>2.2</v>
      </c>
      <c r="T723" s="448">
        <f t="array" ref="T723">INDEX(INCVALUES,$Q723,$K$1)</f>
        <v>0.03</v>
      </c>
      <c r="V723">
        <f t="array" ref="V723">+J723+(4*(INDEX(MatchScoreTable,$Q723,20)-1))</f>
        <v>4</v>
      </c>
      <c r="W723" s="442">
        <f t="array" ref="W723">INDEX(INC_MINVALUES,$V723,$K$1)</f>
        <v>0.2</v>
      </c>
      <c r="X723" s="212">
        <f t="array" ref="X723">INDEX(INC_INCVALUES,$V723,$K$1)</f>
        <v>0.02</v>
      </c>
    </row>
    <row r="724" ht="15.75" customHeight="1">
      <c r="A724" s="435"/>
      <c r="B724" s="436"/>
      <c r="C724" s="95" t="str">
        <f t="array" ref="C724">IF(I724&gt;0,INDEX(DB,I724,8),"")</f>
        <v/>
      </c>
      <c r="D724" s="437">
        <f t="shared" si="1"/>
        <v>0</v>
      </c>
      <c r="F724" s="438">
        <f t="shared" si="2"/>
        <v>0</v>
      </c>
      <c r="G724" t="str">
        <f t="shared" si="3"/>
        <v/>
      </c>
      <c r="H724" t="b">
        <f t="shared" si="4"/>
        <v>0</v>
      </c>
      <c r="I724" s="439">
        <f>IF(OR(ISBLANK(A724),ISNA(MATCH(A724&amp;"",AthleteNumbers,0))),0,MATCH(A724&amp;"",AthleteNumbers,0))</f>
        <v>0</v>
      </c>
      <c r="J724" s="209">
        <f t="array" ref="J724">IF(I724&gt;0,INDEX(DB,$I724,6),0)</f>
        <v>0</v>
      </c>
      <c r="K724" s="446">
        <f t="shared" si="5"/>
        <v>0</v>
      </c>
      <c r="L724" s="446">
        <f t="shared" si="6"/>
        <v>0</v>
      </c>
      <c r="M724" s="441">
        <f>IF(L724&lt;O724,MinPoints,IF(AND(L724&gt;N724,O724&gt;0),100,+INT(($L724-O724)/P724)+MinPoints))</f>
        <v>10</v>
      </c>
      <c r="N724" s="440">
        <f t="shared" si="7"/>
        <v>4.9</v>
      </c>
      <c r="O724" s="440">
        <f t="shared" si="8"/>
        <v>2.2</v>
      </c>
      <c r="P724" s="440">
        <f t="shared" si="9"/>
        <v>0.03</v>
      </c>
      <c r="Q724">
        <f t="array" ref="Q724">IF(I724&gt;0,INDEX(DB,I724,9),EventIndex)</f>
        <v>6</v>
      </c>
      <c r="S724" s="447">
        <f t="array" ref="S724">INDEX(MINVALUES,$Q724,$K$1)</f>
        <v>2.2</v>
      </c>
      <c r="T724" s="448">
        <f t="array" ref="T724">INDEX(INCVALUES,$Q724,$K$1)</f>
        <v>0.03</v>
      </c>
      <c r="V724">
        <f t="array" ref="V724">+J724+(4*(INDEX(MatchScoreTable,$Q724,20)-1))</f>
        <v>4</v>
      </c>
      <c r="W724" s="442">
        <f t="array" ref="W724">INDEX(INC_MINVALUES,$V724,$K$1)</f>
        <v>0.2</v>
      </c>
      <c r="X724" s="212">
        <f t="array" ref="X724">INDEX(INC_INCVALUES,$V724,$K$1)</f>
        <v>0.02</v>
      </c>
    </row>
    <row r="725" ht="15.75" customHeight="1">
      <c r="A725" s="435"/>
      <c r="B725" s="436"/>
      <c r="C725" s="95" t="str">
        <f t="array" ref="C725">IF(I725&gt;0,INDEX(DB,I725,8),"")</f>
        <v/>
      </c>
      <c r="D725" s="437">
        <f t="shared" si="1"/>
        <v>0</v>
      </c>
      <c r="F725" s="438">
        <f t="shared" si="2"/>
        <v>0</v>
      </c>
      <c r="G725" t="str">
        <f t="shared" si="3"/>
        <v/>
      </c>
      <c r="H725" t="b">
        <f t="shared" si="4"/>
        <v>0</v>
      </c>
      <c r="I725" s="439">
        <f>IF(OR(ISBLANK(A725),ISNA(MATCH(A725&amp;"",AthleteNumbers,0))),0,MATCH(A725&amp;"",AthleteNumbers,0))</f>
        <v>0</v>
      </c>
      <c r="J725" s="209">
        <f t="array" ref="J725">IF(I725&gt;0,INDEX(DB,$I725,6),0)</f>
        <v>0</v>
      </c>
      <c r="K725" s="446">
        <f t="shared" si="5"/>
        <v>0</v>
      </c>
      <c r="L725" s="446">
        <f t="shared" si="6"/>
        <v>0</v>
      </c>
      <c r="M725" s="441">
        <f>IF(L725&lt;O725,MinPoints,IF(AND(L725&gt;N725,O725&gt;0),100,+INT(($L725-O725)/P725)+MinPoints))</f>
        <v>10</v>
      </c>
      <c r="N725" s="440">
        <f t="shared" si="7"/>
        <v>4.9</v>
      </c>
      <c r="O725" s="440">
        <f t="shared" si="8"/>
        <v>2.2</v>
      </c>
      <c r="P725" s="440">
        <f t="shared" si="9"/>
        <v>0.03</v>
      </c>
      <c r="Q725">
        <f t="array" ref="Q725">IF(I725&gt;0,INDEX(DB,I725,9),EventIndex)</f>
        <v>6</v>
      </c>
      <c r="S725" s="447">
        <f t="array" ref="S725">INDEX(MINVALUES,$Q725,$K$1)</f>
        <v>2.2</v>
      </c>
      <c r="T725" s="448">
        <f t="array" ref="T725">INDEX(INCVALUES,$Q725,$K$1)</f>
        <v>0.03</v>
      </c>
      <c r="V725">
        <f t="array" ref="V725">+J725+(4*(INDEX(MatchScoreTable,$Q725,20)-1))</f>
        <v>4</v>
      </c>
      <c r="W725" s="442">
        <f t="array" ref="W725">INDEX(INC_MINVALUES,$V725,$K$1)</f>
        <v>0.2</v>
      </c>
      <c r="X725" s="212">
        <f t="array" ref="X725">INDEX(INC_INCVALUES,$V725,$K$1)</f>
        <v>0.02</v>
      </c>
    </row>
    <row r="726" ht="15.75" customHeight="1">
      <c r="A726" s="435"/>
      <c r="B726" s="436"/>
      <c r="C726" s="95" t="str">
        <f t="array" ref="C726">IF(I726&gt;0,INDEX(DB,I726,8),"")</f>
        <v/>
      </c>
      <c r="D726" s="437">
        <f t="shared" si="1"/>
        <v>0</v>
      </c>
      <c r="F726" s="438">
        <f t="shared" si="2"/>
        <v>0</v>
      </c>
      <c r="G726" t="str">
        <f t="shared" si="3"/>
        <v/>
      </c>
      <c r="H726" t="b">
        <f t="shared" si="4"/>
        <v>0</v>
      </c>
      <c r="I726" s="439">
        <f>IF(OR(ISBLANK(A726),ISNA(MATCH(A726&amp;"",AthleteNumbers,0))),0,MATCH(A726&amp;"",AthleteNumbers,0))</f>
        <v>0</v>
      </c>
      <c r="J726" s="209">
        <f t="array" ref="J726">IF(I726&gt;0,INDEX(DB,$I726,6),0)</f>
        <v>0</v>
      </c>
      <c r="K726" s="446">
        <f t="shared" si="5"/>
        <v>0</v>
      </c>
      <c r="L726" s="446">
        <f t="shared" si="6"/>
        <v>0</v>
      </c>
      <c r="M726" s="441">
        <f>IF(L726&lt;O726,MinPoints,IF(AND(L726&gt;N726,O726&gt;0),100,+INT(($L726-O726)/P726)+MinPoints))</f>
        <v>10</v>
      </c>
      <c r="N726" s="440">
        <f t="shared" si="7"/>
        <v>4.9</v>
      </c>
      <c r="O726" s="440">
        <f t="shared" si="8"/>
        <v>2.2</v>
      </c>
      <c r="P726" s="440">
        <f t="shared" si="9"/>
        <v>0.03</v>
      </c>
      <c r="Q726">
        <f t="array" ref="Q726">IF(I726&gt;0,INDEX(DB,I726,9),EventIndex)</f>
        <v>6</v>
      </c>
      <c r="S726" s="447">
        <f t="array" ref="S726">INDEX(MINVALUES,$Q726,$K$1)</f>
        <v>2.2</v>
      </c>
      <c r="T726" s="448">
        <f t="array" ref="T726">INDEX(INCVALUES,$Q726,$K$1)</f>
        <v>0.03</v>
      </c>
      <c r="V726">
        <f t="array" ref="V726">+J726+(4*(INDEX(MatchScoreTable,$Q726,20)-1))</f>
        <v>4</v>
      </c>
      <c r="W726" s="442">
        <f t="array" ref="W726">INDEX(INC_MINVALUES,$V726,$K$1)</f>
        <v>0.2</v>
      </c>
      <c r="X726" s="212">
        <f t="array" ref="X726">INDEX(INC_INCVALUES,$V726,$K$1)</f>
        <v>0.02</v>
      </c>
    </row>
    <row r="727" ht="15.75" customHeight="1">
      <c r="A727" s="435"/>
      <c r="B727" s="436"/>
      <c r="C727" s="95" t="str">
        <f t="array" ref="C727">IF(I727&gt;0,INDEX(DB,I727,8),"")</f>
        <v/>
      </c>
      <c r="D727" s="437">
        <f t="shared" si="1"/>
        <v>0</v>
      </c>
      <c r="F727" s="438">
        <f t="shared" si="2"/>
        <v>0</v>
      </c>
      <c r="G727" t="str">
        <f t="shared" si="3"/>
        <v/>
      </c>
      <c r="H727" t="b">
        <f t="shared" si="4"/>
        <v>0</v>
      </c>
      <c r="I727" s="439">
        <f>IF(OR(ISBLANK(A727),ISNA(MATCH(A727&amp;"",AthleteNumbers,0))),0,MATCH(A727&amp;"",AthleteNumbers,0))</f>
        <v>0</v>
      </c>
      <c r="J727" s="209">
        <f t="array" ref="J727">IF(I727&gt;0,INDEX(DB,$I727,6),0)</f>
        <v>0</v>
      </c>
      <c r="K727" s="446">
        <f t="shared" si="5"/>
        <v>0</v>
      </c>
      <c r="L727" s="446">
        <f t="shared" si="6"/>
        <v>0</v>
      </c>
      <c r="M727" s="441">
        <f>IF(L727&lt;O727,MinPoints,IF(AND(L727&gt;N727,O727&gt;0),100,+INT(($L727-O727)/P727)+MinPoints))</f>
        <v>10</v>
      </c>
      <c r="N727" s="440">
        <f t="shared" si="7"/>
        <v>4.9</v>
      </c>
      <c r="O727" s="440">
        <f t="shared" si="8"/>
        <v>2.2</v>
      </c>
      <c r="P727" s="440">
        <f t="shared" si="9"/>
        <v>0.03</v>
      </c>
      <c r="Q727">
        <f t="array" ref="Q727">IF(I727&gt;0,INDEX(DB,I727,9),EventIndex)</f>
        <v>6</v>
      </c>
      <c r="S727" s="447">
        <f t="array" ref="S727">INDEX(MINVALUES,$Q727,$K$1)</f>
        <v>2.2</v>
      </c>
      <c r="T727" s="448">
        <f t="array" ref="T727">INDEX(INCVALUES,$Q727,$K$1)</f>
        <v>0.03</v>
      </c>
      <c r="V727">
        <f t="array" ref="V727">+J727+(4*(INDEX(MatchScoreTable,$Q727,20)-1))</f>
        <v>4</v>
      </c>
      <c r="W727" s="442">
        <f t="array" ref="W727">INDEX(INC_MINVALUES,$V727,$K$1)</f>
        <v>0.2</v>
      </c>
      <c r="X727" s="212">
        <f t="array" ref="X727">INDEX(INC_INCVALUES,$V727,$K$1)</f>
        <v>0.02</v>
      </c>
    </row>
    <row r="728" ht="15.75" customHeight="1">
      <c r="A728" s="435"/>
      <c r="B728" s="436"/>
      <c r="C728" s="95" t="str">
        <f t="array" ref="C728">IF(I728&gt;0,INDEX(DB,I728,8),"")</f>
        <v/>
      </c>
      <c r="D728" s="437">
        <f t="shared" si="1"/>
        <v>0</v>
      </c>
      <c r="F728" s="438">
        <f t="shared" si="2"/>
        <v>0</v>
      </c>
      <c r="G728" t="str">
        <f t="shared" si="3"/>
        <v/>
      </c>
      <c r="H728" t="b">
        <f t="shared" si="4"/>
        <v>0</v>
      </c>
      <c r="I728" s="439">
        <f>IF(OR(ISBLANK(A728),ISNA(MATCH(A728&amp;"",AthleteNumbers,0))),0,MATCH(A728&amp;"",AthleteNumbers,0))</f>
        <v>0</v>
      </c>
      <c r="J728" s="209">
        <f t="array" ref="J728">IF(I728&gt;0,INDEX(DB,$I728,6),0)</f>
        <v>0</v>
      </c>
      <c r="K728" s="446">
        <f t="shared" si="5"/>
        <v>0</v>
      </c>
      <c r="L728" s="446">
        <f t="shared" si="6"/>
        <v>0</v>
      </c>
      <c r="M728" s="441">
        <f>IF(L728&lt;O728,MinPoints,IF(AND(L728&gt;N728,O728&gt;0),100,+INT(($L728-O728)/P728)+MinPoints))</f>
        <v>10</v>
      </c>
      <c r="N728" s="440">
        <f t="shared" si="7"/>
        <v>4.9</v>
      </c>
      <c r="O728" s="440">
        <f t="shared" si="8"/>
        <v>2.2</v>
      </c>
      <c r="P728" s="440">
        <f t="shared" si="9"/>
        <v>0.03</v>
      </c>
      <c r="Q728">
        <f t="array" ref="Q728">IF(I728&gt;0,INDEX(DB,I728,9),EventIndex)</f>
        <v>6</v>
      </c>
      <c r="S728" s="447">
        <f t="array" ref="S728">INDEX(MINVALUES,$Q728,$K$1)</f>
        <v>2.2</v>
      </c>
      <c r="T728" s="448">
        <f t="array" ref="T728">INDEX(INCVALUES,$Q728,$K$1)</f>
        <v>0.03</v>
      </c>
      <c r="V728">
        <f t="array" ref="V728">+J728+(4*(INDEX(MatchScoreTable,$Q728,20)-1))</f>
        <v>4</v>
      </c>
      <c r="W728" s="442">
        <f t="array" ref="W728">INDEX(INC_MINVALUES,$V728,$K$1)</f>
        <v>0.2</v>
      </c>
      <c r="X728" s="212">
        <f t="array" ref="X728">INDEX(INC_INCVALUES,$V728,$K$1)</f>
        <v>0.02</v>
      </c>
    </row>
    <row r="729" ht="15.75" customHeight="1">
      <c r="A729" s="435"/>
      <c r="B729" s="436"/>
      <c r="C729" s="95" t="str">
        <f t="array" ref="C729">IF(I729&gt;0,INDEX(DB,I729,8),"")</f>
        <v/>
      </c>
      <c r="D729" s="437">
        <f t="shared" si="1"/>
        <v>0</v>
      </c>
      <c r="F729" s="438">
        <f t="shared" si="2"/>
        <v>0</v>
      </c>
      <c r="G729" t="str">
        <f t="shared" si="3"/>
        <v/>
      </c>
      <c r="H729" t="b">
        <f t="shared" si="4"/>
        <v>0</v>
      </c>
      <c r="I729" s="439">
        <f>IF(OR(ISBLANK(A729),ISNA(MATCH(A729&amp;"",AthleteNumbers,0))),0,MATCH(A729&amp;"",AthleteNumbers,0))</f>
        <v>0</v>
      </c>
      <c r="J729" s="209">
        <f t="array" ref="J729">IF(I729&gt;0,INDEX(DB,$I729,6),0)</f>
        <v>0</v>
      </c>
      <c r="K729" s="446">
        <f t="shared" si="5"/>
        <v>0</v>
      </c>
      <c r="L729" s="446">
        <f t="shared" si="6"/>
        <v>0</v>
      </c>
      <c r="M729" s="441">
        <f>IF(L729&lt;O729,MinPoints,IF(AND(L729&gt;N729,O729&gt;0),100,+INT(($L729-O729)/P729)+MinPoints))</f>
        <v>10</v>
      </c>
      <c r="N729" s="440">
        <f t="shared" si="7"/>
        <v>4.9</v>
      </c>
      <c r="O729" s="440">
        <f t="shared" si="8"/>
        <v>2.2</v>
      </c>
      <c r="P729" s="440">
        <f t="shared" si="9"/>
        <v>0.03</v>
      </c>
      <c r="Q729">
        <f t="array" ref="Q729">IF(I729&gt;0,INDEX(DB,I729,9),EventIndex)</f>
        <v>6</v>
      </c>
      <c r="S729" s="447">
        <f t="array" ref="S729">INDEX(MINVALUES,$Q729,$K$1)</f>
        <v>2.2</v>
      </c>
      <c r="T729" s="448">
        <f t="array" ref="T729">INDEX(INCVALUES,$Q729,$K$1)</f>
        <v>0.03</v>
      </c>
      <c r="V729">
        <f t="array" ref="V729">+J729+(4*(INDEX(MatchScoreTable,$Q729,20)-1))</f>
        <v>4</v>
      </c>
      <c r="W729" s="442">
        <f t="array" ref="W729">INDEX(INC_MINVALUES,$V729,$K$1)</f>
        <v>0.2</v>
      </c>
      <c r="X729" s="212">
        <f t="array" ref="X729">INDEX(INC_INCVALUES,$V729,$K$1)</f>
        <v>0.02</v>
      </c>
    </row>
    <row r="730" ht="15.75" customHeight="1">
      <c r="A730" s="435"/>
      <c r="B730" s="436"/>
      <c r="C730" s="95" t="str">
        <f t="array" ref="C730">IF(I730&gt;0,INDEX(DB,I730,8),"")</f>
        <v/>
      </c>
      <c r="D730" s="437">
        <f t="shared" si="1"/>
        <v>0</v>
      </c>
      <c r="F730" s="438">
        <f t="shared" si="2"/>
        <v>0</v>
      </c>
      <c r="G730" t="str">
        <f t="shared" si="3"/>
        <v/>
      </c>
      <c r="H730" t="b">
        <f t="shared" si="4"/>
        <v>0</v>
      </c>
      <c r="I730" s="439">
        <f>IF(OR(ISBLANK(A730),ISNA(MATCH(A730&amp;"",AthleteNumbers,0))),0,MATCH(A730&amp;"",AthleteNumbers,0))</f>
        <v>0</v>
      </c>
      <c r="J730" s="209">
        <f t="array" ref="J730">IF(I730&gt;0,INDEX(DB,$I730,6),0)</f>
        <v>0</v>
      </c>
      <c r="K730" s="446">
        <f t="shared" si="5"/>
        <v>0</v>
      </c>
      <c r="L730" s="446">
        <f t="shared" si="6"/>
        <v>0</v>
      </c>
      <c r="M730" s="441">
        <f>IF(L730&lt;O730,MinPoints,IF(AND(L730&gt;N730,O730&gt;0),100,+INT(($L730-O730)/P730)+MinPoints))</f>
        <v>10</v>
      </c>
      <c r="N730" s="440">
        <f t="shared" si="7"/>
        <v>4.9</v>
      </c>
      <c r="O730" s="440">
        <f t="shared" si="8"/>
        <v>2.2</v>
      </c>
      <c r="P730" s="440">
        <f t="shared" si="9"/>
        <v>0.03</v>
      </c>
      <c r="Q730">
        <f t="array" ref="Q730">IF(I730&gt;0,INDEX(DB,I730,9),EventIndex)</f>
        <v>6</v>
      </c>
      <c r="S730" s="447">
        <f t="array" ref="S730">INDEX(MINVALUES,$Q730,$K$1)</f>
        <v>2.2</v>
      </c>
      <c r="T730" s="448">
        <f t="array" ref="T730">INDEX(INCVALUES,$Q730,$K$1)</f>
        <v>0.03</v>
      </c>
      <c r="V730">
        <f t="array" ref="V730">+J730+(4*(INDEX(MatchScoreTable,$Q730,20)-1))</f>
        <v>4</v>
      </c>
      <c r="W730" s="442">
        <f t="array" ref="W730">INDEX(INC_MINVALUES,$V730,$K$1)</f>
        <v>0.2</v>
      </c>
      <c r="X730" s="212">
        <f t="array" ref="X730">INDEX(INC_INCVALUES,$V730,$K$1)</f>
        <v>0.02</v>
      </c>
    </row>
    <row r="731" ht="15.75" customHeight="1">
      <c r="A731" s="435"/>
      <c r="B731" s="436"/>
      <c r="C731" s="95" t="str">
        <f t="array" ref="C731">IF(I731&gt;0,INDEX(DB,I731,8),"")</f>
        <v/>
      </c>
      <c r="D731" s="437">
        <f t="shared" si="1"/>
        <v>0</v>
      </c>
      <c r="F731" s="438">
        <f t="shared" si="2"/>
        <v>0</v>
      </c>
      <c r="G731" t="str">
        <f t="shared" si="3"/>
        <v/>
      </c>
      <c r="H731" t="b">
        <f t="shared" si="4"/>
        <v>0</v>
      </c>
      <c r="I731" s="439">
        <f>IF(OR(ISBLANK(A731),ISNA(MATCH(A731&amp;"",AthleteNumbers,0))),0,MATCH(A731&amp;"",AthleteNumbers,0))</f>
        <v>0</v>
      </c>
      <c r="J731" s="209">
        <f t="array" ref="J731">IF(I731&gt;0,INDEX(DB,$I731,6),0)</f>
        <v>0</v>
      </c>
      <c r="K731" s="446">
        <f t="shared" si="5"/>
        <v>0</v>
      </c>
      <c r="L731" s="446">
        <f t="shared" si="6"/>
        <v>0</v>
      </c>
      <c r="M731" s="441">
        <f>IF(L731&lt;O731,MinPoints,IF(AND(L731&gt;N731,O731&gt;0),100,+INT(($L731-O731)/P731)+MinPoints))</f>
        <v>10</v>
      </c>
      <c r="N731" s="440">
        <f t="shared" si="7"/>
        <v>4.9</v>
      </c>
      <c r="O731" s="440">
        <f t="shared" si="8"/>
        <v>2.2</v>
      </c>
      <c r="P731" s="440">
        <f t="shared" si="9"/>
        <v>0.03</v>
      </c>
      <c r="Q731">
        <f t="array" ref="Q731">IF(I731&gt;0,INDEX(DB,I731,9),EventIndex)</f>
        <v>6</v>
      </c>
      <c r="S731" s="447">
        <f t="array" ref="S731">INDEX(MINVALUES,$Q731,$K$1)</f>
        <v>2.2</v>
      </c>
      <c r="T731" s="448">
        <f t="array" ref="T731">INDEX(INCVALUES,$Q731,$K$1)</f>
        <v>0.03</v>
      </c>
      <c r="V731">
        <f t="array" ref="V731">+J731+(4*(INDEX(MatchScoreTable,$Q731,20)-1))</f>
        <v>4</v>
      </c>
      <c r="W731" s="442">
        <f t="array" ref="W731">INDEX(INC_MINVALUES,$V731,$K$1)</f>
        <v>0.2</v>
      </c>
      <c r="X731" s="212">
        <f t="array" ref="X731">INDEX(INC_INCVALUES,$V731,$K$1)</f>
        <v>0.02</v>
      </c>
    </row>
    <row r="732" ht="15.75" customHeight="1">
      <c r="A732" s="435"/>
      <c r="B732" s="436"/>
      <c r="C732" s="95" t="str">
        <f t="array" ref="C732">IF(I732&gt;0,INDEX(DB,I732,8),"")</f>
        <v/>
      </c>
      <c r="D732" s="437">
        <f t="shared" si="1"/>
        <v>0</v>
      </c>
      <c r="F732" s="438">
        <f t="shared" si="2"/>
        <v>0</v>
      </c>
      <c r="G732" t="str">
        <f t="shared" si="3"/>
        <v/>
      </c>
      <c r="H732" t="b">
        <f t="shared" si="4"/>
        <v>0</v>
      </c>
      <c r="I732" s="439">
        <f>IF(OR(ISBLANK(A732),ISNA(MATCH(A732&amp;"",AthleteNumbers,0))),0,MATCH(A732&amp;"",AthleteNumbers,0))</f>
        <v>0</v>
      </c>
      <c r="J732" s="209">
        <f t="array" ref="J732">IF(I732&gt;0,INDEX(DB,$I732,6),0)</f>
        <v>0</v>
      </c>
      <c r="K732" s="446">
        <f t="shared" si="5"/>
        <v>0</v>
      </c>
      <c r="L732" s="446">
        <f t="shared" si="6"/>
        <v>0</v>
      </c>
      <c r="M732" s="441">
        <f>IF(L732&lt;O732,MinPoints,IF(AND(L732&gt;N732,O732&gt;0),100,+INT(($L732-O732)/P732)+MinPoints))</f>
        <v>10</v>
      </c>
      <c r="N732" s="440">
        <f t="shared" si="7"/>
        <v>4.9</v>
      </c>
      <c r="O732" s="440">
        <f t="shared" si="8"/>
        <v>2.2</v>
      </c>
      <c r="P732" s="440">
        <f t="shared" si="9"/>
        <v>0.03</v>
      </c>
      <c r="Q732">
        <f t="array" ref="Q732">IF(I732&gt;0,INDEX(DB,I732,9),EventIndex)</f>
        <v>6</v>
      </c>
      <c r="S732" s="447">
        <f t="array" ref="S732">INDEX(MINVALUES,$Q732,$K$1)</f>
        <v>2.2</v>
      </c>
      <c r="T732" s="448">
        <f t="array" ref="T732">INDEX(INCVALUES,$Q732,$K$1)</f>
        <v>0.03</v>
      </c>
      <c r="V732">
        <f t="array" ref="V732">+J732+(4*(INDEX(MatchScoreTable,$Q732,20)-1))</f>
        <v>4</v>
      </c>
      <c r="W732" s="442">
        <f t="array" ref="W732">INDEX(INC_MINVALUES,$V732,$K$1)</f>
        <v>0.2</v>
      </c>
      <c r="X732" s="212">
        <f t="array" ref="X732">INDEX(INC_INCVALUES,$V732,$K$1)</f>
        <v>0.02</v>
      </c>
    </row>
    <row r="733" ht="15.75" customHeight="1">
      <c r="A733" s="435"/>
      <c r="B733" s="436"/>
      <c r="C733" s="95" t="str">
        <f t="array" ref="C733">IF(I733&gt;0,INDEX(DB,I733,8),"")</f>
        <v/>
      </c>
      <c r="D733" s="437">
        <f t="shared" si="1"/>
        <v>0</v>
      </c>
      <c r="F733" s="438">
        <f t="shared" si="2"/>
        <v>0</v>
      </c>
      <c r="G733" t="str">
        <f t="shared" si="3"/>
        <v/>
      </c>
      <c r="H733" t="b">
        <f t="shared" si="4"/>
        <v>0</v>
      </c>
      <c r="I733" s="439">
        <f>IF(OR(ISBLANK(A733),ISNA(MATCH(A733&amp;"",AthleteNumbers,0))),0,MATCH(A733&amp;"",AthleteNumbers,0))</f>
        <v>0</v>
      </c>
      <c r="J733" s="209">
        <f t="array" ref="J733">IF(I733&gt;0,INDEX(DB,$I733,6),0)</f>
        <v>0</v>
      </c>
      <c r="K733" s="446">
        <f t="shared" si="5"/>
        <v>0</v>
      </c>
      <c r="L733" s="446">
        <f t="shared" si="6"/>
        <v>0</v>
      </c>
      <c r="M733" s="441">
        <f>IF(L733&lt;O733,MinPoints,IF(AND(L733&gt;N733,O733&gt;0),100,+INT(($L733-O733)/P733)+MinPoints))</f>
        <v>10</v>
      </c>
      <c r="N733" s="440">
        <f t="shared" si="7"/>
        <v>4.9</v>
      </c>
      <c r="O733" s="440">
        <f t="shared" si="8"/>
        <v>2.2</v>
      </c>
      <c r="P733" s="440">
        <f t="shared" si="9"/>
        <v>0.03</v>
      </c>
      <c r="Q733">
        <f t="array" ref="Q733">IF(I733&gt;0,INDEX(DB,I733,9),EventIndex)</f>
        <v>6</v>
      </c>
      <c r="S733" s="447">
        <f t="array" ref="S733">INDEX(MINVALUES,$Q733,$K$1)</f>
        <v>2.2</v>
      </c>
      <c r="T733" s="448">
        <f t="array" ref="T733">INDEX(INCVALUES,$Q733,$K$1)</f>
        <v>0.03</v>
      </c>
      <c r="V733">
        <f t="array" ref="V733">+J733+(4*(INDEX(MatchScoreTable,$Q733,20)-1))</f>
        <v>4</v>
      </c>
      <c r="W733" s="442">
        <f t="array" ref="W733">INDEX(INC_MINVALUES,$V733,$K$1)</f>
        <v>0.2</v>
      </c>
      <c r="X733" s="212">
        <f t="array" ref="X733">INDEX(INC_INCVALUES,$V733,$K$1)</f>
        <v>0.02</v>
      </c>
    </row>
    <row r="734" ht="15.75" customHeight="1">
      <c r="A734" s="435"/>
      <c r="B734" s="436"/>
      <c r="C734" s="95" t="str">
        <f t="array" ref="C734">IF(I734&gt;0,INDEX(DB,I734,8),"")</f>
        <v/>
      </c>
      <c r="D734" s="437">
        <f t="shared" si="1"/>
        <v>0</v>
      </c>
      <c r="F734" s="438">
        <f t="shared" si="2"/>
        <v>0</v>
      </c>
      <c r="G734" t="str">
        <f t="shared" si="3"/>
        <v/>
      </c>
      <c r="H734" t="b">
        <f t="shared" si="4"/>
        <v>0</v>
      </c>
      <c r="I734" s="439">
        <f>IF(OR(ISBLANK(A734),ISNA(MATCH(A734&amp;"",AthleteNumbers,0))),0,MATCH(A734&amp;"",AthleteNumbers,0))</f>
        <v>0</v>
      </c>
      <c r="J734" s="209">
        <f t="array" ref="J734">IF(I734&gt;0,INDEX(DB,$I734,6),0)</f>
        <v>0</v>
      </c>
      <c r="K734" s="446">
        <f t="shared" si="5"/>
        <v>0</v>
      </c>
      <c r="L734" s="446">
        <f t="shared" si="6"/>
        <v>0</v>
      </c>
      <c r="M734" s="441">
        <f>IF(L734&lt;O734,MinPoints,IF(AND(L734&gt;N734,O734&gt;0),100,+INT(($L734-O734)/P734)+MinPoints))</f>
        <v>10</v>
      </c>
      <c r="N734" s="440">
        <f t="shared" si="7"/>
        <v>4.9</v>
      </c>
      <c r="O734" s="440">
        <f t="shared" si="8"/>
        <v>2.2</v>
      </c>
      <c r="P734" s="440">
        <f t="shared" si="9"/>
        <v>0.03</v>
      </c>
      <c r="Q734">
        <f t="array" ref="Q734">IF(I734&gt;0,INDEX(DB,I734,9),EventIndex)</f>
        <v>6</v>
      </c>
      <c r="S734" s="447">
        <f t="array" ref="S734">INDEX(MINVALUES,$Q734,$K$1)</f>
        <v>2.2</v>
      </c>
      <c r="T734" s="448">
        <f t="array" ref="T734">INDEX(INCVALUES,$Q734,$K$1)</f>
        <v>0.03</v>
      </c>
      <c r="V734">
        <f t="array" ref="V734">+J734+(4*(INDEX(MatchScoreTable,$Q734,20)-1))</f>
        <v>4</v>
      </c>
      <c r="W734" s="442">
        <f t="array" ref="W734">INDEX(INC_MINVALUES,$V734,$K$1)</f>
        <v>0.2</v>
      </c>
      <c r="X734" s="212">
        <f t="array" ref="X734">INDEX(INC_INCVALUES,$V734,$K$1)</f>
        <v>0.02</v>
      </c>
    </row>
    <row r="735" ht="15.75" customHeight="1">
      <c r="A735" s="435"/>
      <c r="B735" s="436"/>
      <c r="C735" s="95" t="str">
        <f t="array" ref="C735">IF(I735&gt;0,INDEX(DB,I735,8),"")</f>
        <v/>
      </c>
      <c r="D735" s="437">
        <f t="shared" si="1"/>
        <v>0</v>
      </c>
      <c r="F735" s="438">
        <f t="shared" si="2"/>
        <v>0</v>
      </c>
      <c r="G735" t="str">
        <f t="shared" si="3"/>
        <v/>
      </c>
      <c r="H735" t="b">
        <f t="shared" si="4"/>
        <v>0</v>
      </c>
      <c r="I735" s="439">
        <f>IF(OR(ISBLANK(A735),ISNA(MATCH(A735&amp;"",AthleteNumbers,0))),0,MATCH(A735&amp;"",AthleteNumbers,0))</f>
        <v>0</v>
      </c>
      <c r="J735" s="209">
        <f t="array" ref="J735">IF(I735&gt;0,INDEX(DB,$I735,6),0)</f>
        <v>0</v>
      </c>
      <c r="K735" s="446">
        <f t="shared" si="5"/>
        <v>0</v>
      </c>
      <c r="L735" s="446">
        <f t="shared" si="6"/>
        <v>0</v>
      </c>
      <c r="M735" s="441">
        <f>IF(L735&lt;O735,MinPoints,IF(AND(L735&gt;N735,O735&gt;0),100,+INT(($L735-O735)/P735)+MinPoints))</f>
        <v>10</v>
      </c>
      <c r="N735" s="440">
        <f t="shared" si="7"/>
        <v>4.9</v>
      </c>
      <c r="O735" s="440">
        <f t="shared" si="8"/>
        <v>2.2</v>
      </c>
      <c r="P735" s="440">
        <f t="shared" si="9"/>
        <v>0.03</v>
      </c>
      <c r="Q735">
        <f t="array" ref="Q735">IF(I735&gt;0,INDEX(DB,I735,9),EventIndex)</f>
        <v>6</v>
      </c>
      <c r="S735" s="447">
        <f t="array" ref="S735">INDEX(MINVALUES,$Q735,$K$1)</f>
        <v>2.2</v>
      </c>
      <c r="T735" s="448">
        <f t="array" ref="T735">INDEX(INCVALUES,$Q735,$K$1)</f>
        <v>0.03</v>
      </c>
      <c r="V735">
        <f t="array" ref="V735">+J735+(4*(INDEX(MatchScoreTable,$Q735,20)-1))</f>
        <v>4</v>
      </c>
      <c r="W735" s="442">
        <f t="array" ref="W735">INDEX(INC_MINVALUES,$V735,$K$1)</f>
        <v>0.2</v>
      </c>
      <c r="X735" s="212">
        <f t="array" ref="X735">INDEX(INC_INCVALUES,$V735,$K$1)</f>
        <v>0.02</v>
      </c>
    </row>
    <row r="736" ht="15.75" customHeight="1">
      <c r="A736" s="435"/>
      <c r="B736" s="436"/>
      <c r="C736" s="95" t="str">
        <f t="array" ref="C736">IF(I736&gt;0,INDEX(DB,I736,8),"")</f>
        <v/>
      </c>
      <c r="D736" s="437">
        <f t="shared" si="1"/>
        <v>0</v>
      </c>
      <c r="F736" s="438">
        <f t="shared" si="2"/>
        <v>0</v>
      </c>
      <c r="G736" t="str">
        <f t="shared" si="3"/>
        <v/>
      </c>
      <c r="H736" t="b">
        <f t="shared" si="4"/>
        <v>0</v>
      </c>
      <c r="I736" s="439">
        <f>IF(OR(ISBLANK(A736),ISNA(MATCH(A736&amp;"",AthleteNumbers,0))),0,MATCH(A736&amp;"",AthleteNumbers,0))</f>
        <v>0</v>
      </c>
      <c r="J736" s="209">
        <f t="array" ref="J736">IF(I736&gt;0,INDEX(DB,$I736,6),0)</f>
        <v>0</v>
      </c>
      <c r="K736" s="446">
        <f t="shared" si="5"/>
        <v>0</v>
      </c>
      <c r="L736" s="446">
        <f t="shared" si="6"/>
        <v>0</v>
      </c>
      <c r="M736" s="441">
        <f>IF(L736&lt;O736,MinPoints,IF(AND(L736&gt;N736,O736&gt;0),100,+INT(($L736-O736)/P736)+MinPoints))</f>
        <v>10</v>
      </c>
      <c r="N736" s="440">
        <f t="shared" si="7"/>
        <v>4.9</v>
      </c>
      <c r="O736" s="440">
        <f t="shared" si="8"/>
        <v>2.2</v>
      </c>
      <c r="P736" s="440">
        <f t="shared" si="9"/>
        <v>0.03</v>
      </c>
      <c r="Q736">
        <f t="array" ref="Q736">IF(I736&gt;0,INDEX(DB,I736,9),EventIndex)</f>
        <v>6</v>
      </c>
      <c r="S736" s="447">
        <f t="array" ref="S736">INDEX(MINVALUES,$Q736,$K$1)</f>
        <v>2.2</v>
      </c>
      <c r="T736" s="448">
        <f t="array" ref="T736">INDEX(INCVALUES,$Q736,$K$1)</f>
        <v>0.03</v>
      </c>
      <c r="V736">
        <f t="array" ref="V736">+J736+(4*(INDEX(MatchScoreTable,$Q736,20)-1))</f>
        <v>4</v>
      </c>
      <c r="W736" s="442">
        <f t="array" ref="W736">INDEX(INC_MINVALUES,$V736,$K$1)</f>
        <v>0.2</v>
      </c>
      <c r="X736" s="212">
        <f t="array" ref="X736">INDEX(INC_INCVALUES,$V736,$K$1)</f>
        <v>0.02</v>
      </c>
    </row>
    <row r="737" ht="15.75" customHeight="1">
      <c r="A737" s="435"/>
      <c r="B737" s="436"/>
      <c r="C737" s="95" t="str">
        <f t="array" ref="C737">IF(I737&gt;0,INDEX(DB,I737,8),"")</f>
        <v/>
      </c>
      <c r="D737" s="437">
        <f t="shared" si="1"/>
        <v>0</v>
      </c>
      <c r="F737" s="438">
        <f t="shared" si="2"/>
        <v>0</v>
      </c>
      <c r="G737" t="str">
        <f t="shared" si="3"/>
        <v/>
      </c>
      <c r="H737" t="b">
        <f t="shared" si="4"/>
        <v>0</v>
      </c>
      <c r="I737" s="439">
        <f>IF(OR(ISBLANK(A737),ISNA(MATCH(A737&amp;"",AthleteNumbers,0))),0,MATCH(A737&amp;"",AthleteNumbers,0))</f>
        <v>0</v>
      </c>
      <c r="J737" s="209">
        <f t="array" ref="J737">IF(I737&gt;0,INDEX(DB,$I737,6),0)</f>
        <v>0</v>
      </c>
      <c r="K737" s="446">
        <f t="shared" si="5"/>
        <v>0</v>
      </c>
      <c r="L737" s="446">
        <f t="shared" si="6"/>
        <v>0</v>
      </c>
      <c r="M737" s="441">
        <f>IF(L737&lt;O737,MinPoints,IF(AND(L737&gt;N737,O737&gt;0),100,+INT(($L737-O737)/P737)+MinPoints))</f>
        <v>10</v>
      </c>
      <c r="N737" s="440">
        <f t="shared" si="7"/>
        <v>4.9</v>
      </c>
      <c r="O737" s="440">
        <f t="shared" si="8"/>
        <v>2.2</v>
      </c>
      <c r="P737" s="440">
        <f t="shared" si="9"/>
        <v>0.03</v>
      </c>
      <c r="Q737">
        <f t="array" ref="Q737">IF(I737&gt;0,INDEX(DB,I737,9),EventIndex)</f>
        <v>6</v>
      </c>
      <c r="S737" s="447">
        <f t="array" ref="S737">INDEX(MINVALUES,$Q737,$K$1)</f>
        <v>2.2</v>
      </c>
      <c r="T737" s="448">
        <f t="array" ref="T737">INDEX(INCVALUES,$Q737,$K$1)</f>
        <v>0.03</v>
      </c>
      <c r="V737">
        <f t="array" ref="V737">+J737+(4*(INDEX(MatchScoreTable,$Q737,20)-1))</f>
        <v>4</v>
      </c>
      <c r="W737" s="442">
        <f t="array" ref="W737">INDEX(INC_MINVALUES,$V737,$K$1)</f>
        <v>0.2</v>
      </c>
      <c r="X737" s="212">
        <f t="array" ref="X737">INDEX(INC_INCVALUES,$V737,$K$1)</f>
        <v>0.02</v>
      </c>
    </row>
    <row r="738" ht="15.75" customHeight="1">
      <c r="A738" s="435"/>
      <c r="B738" s="436"/>
      <c r="C738" s="95" t="str">
        <f t="array" ref="C738">IF(I738&gt;0,INDEX(DB,I738,8),"")</f>
        <v/>
      </c>
      <c r="D738" s="437">
        <f t="shared" si="1"/>
        <v>0</v>
      </c>
      <c r="F738" s="438">
        <f t="shared" si="2"/>
        <v>0</v>
      </c>
      <c r="G738" t="str">
        <f t="shared" si="3"/>
        <v/>
      </c>
      <c r="H738" t="b">
        <f t="shared" si="4"/>
        <v>0</v>
      </c>
      <c r="I738" s="439">
        <f>IF(OR(ISBLANK(A738),ISNA(MATCH(A738&amp;"",AthleteNumbers,0))),0,MATCH(A738&amp;"",AthleteNumbers,0))</f>
        <v>0</v>
      </c>
      <c r="J738" s="209">
        <f t="array" ref="J738">IF(I738&gt;0,INDEX(DB,$I738,6),0)</f>
        <v>0</v>
      </c>
      <c r="K738" s="446">
        <f t="shared" si="5"/>
        <v>0</v>
      </c>
      <c r="L738" s="446">
        <f t="shared" si="6"/>
        <v>0</v>
      </c>
      <c r="M738" s="441">
        <f>IF(L738&lt;O738,MinPoints,IF(AND(L738&gt;N738,O738&gt;0),100,+INT(($L738-O738)/P738)+MinPoints))</f>
        <v>10</v>
      </c>
      <c r="N738" s="440">
        <f t="shared" si="7"/>
        <v>4.9</v>
      </c>
      <c r="O738" s="440">
        <f t="shared" si="8"/>
        <v>2.2</v>
      </c>
      <c r="P738" s="440">
        <f t="shared" si="9"/>
        <v>0.03</v>
      </c>
      <c r="Q738">
        <f t="array" ref="Q738">IF(I738&gt;0,INDEX(DB,I738,9),EventIndex)</f>
        <v>6</v>
      </c>
      <c r="S738" s="447">
        <f t="array" ref="S738">INDEX(MINVALUES,$Q738,$K$1)</f>
        <v>2.2</v>
      </c>
      <c r="T738" s="448">
        <f t="array" ref="T738">INDEX(INCVALUES,$Q738,$K$1)</f>
        <v>0.03</v>
      </c>
      <c r="V738">
        <f t="array" ref="V738">+J738+(4*(INDEX(MatchScoreTable,$Q738,20)-1))</f>
        <v>4</v>
      </c>
      <c r="W738" s="442">
        <f t="array" ref="W738">INDEX(INC_MINVALUES,$V738,$K$1)</f>
        <v>0.2</v>
      </c>
      <c r="X738" s="212">
        <f t="array" ref="X738">INDEX(INC_INCVALUES,$V738,$K$1)</f>
        <v>0.02</v>
      </c>
    </row>
    <row r="739" ht="15.75" customHeight="1">
      <c r="A739" s="435"/>
      <c r="B739" s="436"/>
      <c r="C739" s="95" t="str">
        <f t="array" ref="C739">IF(I739&gt;0,INDEX(DB,I739,8),"")</f>
        <v/>
      </c>
      <c r="D739" s="437">
        <f t="shared" si="1"/>
        <v>0</v>
      </c>
      <c r="F739" s="438">
        <f t="shared" si="2"/>
        <v>0</v>
      </c>
      <c r="G739" t="str">
        <f t="shared" si="3"/>
        <v/>
      </c>
      <c r="H739" t="b">
        <f t="shared" si="4"/>
        <v>0</v>
      </c>
      <c r="I739" s="439">
        <f>IF(OR(ISBLANK(A739),ISNA(MATCH(A739&amp;"",AthleteNumbers,0))),0,MATCH(A739&amp;"",AthleteNumbers,0))</f>
        <v>0</v>
      </c>
      <c r="J739" s="209">
        <f t="array" ref="J739">IF(I739&gt;0,INDEX(DB,$I739,6),0)</f>
        <v>0</v>
      </c>
      <c r="K739" s="446">
        <f t="shared" si="5"/>
        <v>0</v>
      </c>
      <c r="L739" s="446">
        <f t="shared" si="6"/>
        <v>0</v>
      </c>
      <c r="M739" s="441">
        <f>IF(L739&lt;O739,MinPoints,IF(AND(L739&gt;N739,O739&gt;0),100,+INT(($L739-O739)/P739)+MinPoints))</f>
        <v>10</v>
      </c>
      <c r="N739" s="440">
        <f t="shared" si="7"/>
        <v>4.9</v>
      </c>
      <c r="O739" s="440">
        <f t="shared" si="8"/>
        <v>2.2</v>
      </c>
      <c r="P739" s="440">
        <f t="shared" si="9"/>
        <v>0.03</v>
      </c>
      <c r="Q739">
        <f t="array" ref="Q739">IF(I739&gt;0,INDEX(DB,I739,9),EventIndex)</f>
        <v>6</v>
      </c>
      <c r="S739" s="447">
        <f t="array" ref="S739">INDEX(MINVALUES,$Q739,$K$1)</f>
        <v>2.2</v>
      </c>
      <c r="T739" s="448">
        <f t="array" ref="T739">INDEX(INCVALUES,$Q739,$K$1)</f>
        <v>0.03</v>
      </c>
      <c r="V739">
        <f t="array" ref="V739">+J739+(4*(INDEX(MatchScoreTable,$Q739,20)-1))</f>
        <v>4</v>
      </c>
      <c r="W739" s="442">
        <f t="array" ref="W739">INDEX(INC_MINVALUES,$V739,$K$1)</f>
        <v>0.2</v>
      </c>
      <c r="X739" s="212">
        <f t="array" ref="X739">INDEX(INC_INCVALUES,$V739,$K$1)</f>
        <v>0.02</v>
      </c>
    </row>
    <row r="740" ht="15.75" customHeight="1">
      <c r="A740" s="435"/>
      <c r="B740" s="436"/>
      <c r="C740" s="95" t="str">
        <f t="array" ref="C740">IF(I740&gt;0,INDEX(DB,I740,8),"")</f>
        <v/>
      </c>
      <c r="D740" s="437">
        <f t="shared" si="1"/>
        <v>0</v>
      </c>
      <c r="F740" s="438">
        <f t="shared" si="2"/>
        <v>0</v>
      </c>
      <c r="G740" t="str">
        <f t="shared" si="3"/>
        <v/>
      </c>
      <c r="H740" t="b">
        <f t="shared" si="4"/>
        <v>0</v>
      </c>
      <c r="I740" s="439">
        <f>IF(OR(ISBLANK(A740),ISNA(MATCH(A740&amp;"",AthleteNumbers,0))),0,MATCH(A740&amp;"",AthleteNumbers,0))</f>
        <v>0</v>
      </c>
      <c r="J740" s="209">
        <f t="array" ref="J740">IF(I740&gt;0,INDEX(DB,$I740,6),0)</f>
        <v>0</v>
      </c>
      <c r="K740" s="446">
        <f t="shared" si="5"/>
        <v>0</v>
      </c>
      <c r="L740" s="446">
        <f t="shared" si="6"/>
        <v>0</v>
      </c>
      <c r="M740" s="441">
        <f>IF(L740&lt;O740,MinPoints,IF(AND(L740&gt;N740,O740&gt;0),100,+INT(($L740-O740)/P740)+MinPoints))</f>
        <v>10</v>
      </c>
      <c r="N740" s="440">
        <f t="shared" si="7"/>
        <v>4.9</v>
      </c>
      <c r="O740" s="440">
        <f t="shared" si="8"/>
        <v>2.2</v>
      </c>
      <c r="P740" s="440">
        <f t="shared" si="9"/>
        <v>0.03</v>
      </c>
      <c r="Q740">
        <f t="array" ref="Q740">IF(I740&gt;0,INDEX(DB,I740,9),EventIndex)</f>
        <v>6</v>
      </c>
      <c r="S740" s="447">
        <f t="array" ref="S740">INDEX(MINVALUES,$Q740,$K$1)</f>
        <v>2.2</v>
      </c>
      <c r="T740" s="448">
        <f t="array" ref="T740">INDEX(INCVALUES,$Q740,$K$1)</f>
        <v>0.03</v>
      </c>
      <c r="V740">
        <f t="array" ref="V740">+J740+(4*(INDEX(MatchScoreTable,$Q740,20)-1))</f>
        <v>4</v>
      </c>
      <c r="W740" s="442">
        <f t="array" ref="W740">INDEX(INC_MINVALUES,$V740,$K$1)</f>
        <v>0.2</v>
      </c>
      <c r="X740" s="212">
        <f t="array" ref="X740">INDEX(INC_INCVALUES,$V740,$K$1)</f>
        <v>0.02</v>
      </c>
    </row>
    <row r="741" ht="15.75" customHeight="1">
      <c r="A741" s="435"/>
      <c r="B741" s="436"/>
      <c r="C741" s="95" t="str">
        <f t="array" ref="C741">IF(I741&gt;0,INDEX(DB,I741,8),"")</f>
        <v/>
      </c>
      <c r="D741" s="437">
        <f t="shared" si="1"/>
        <v>0</v>
      </c>
      <c r="F741" s="438">
        <f t="shared" si="2"/>
        <v>0</v>
      </c>
      <c r="G741" t="str">
        <f t="shared" si="3"/>
        <v/>
      </c>
      <c r="H741" t="b">
        <f t="shared" si="4"/>
        <v>0</v>
      </c>
      <c r="I741" s="439">
        <f>IF(OR(ISBLANK(A741),ISNA(MATCH(A741&amp;"",AthleteNumbers,0))),0,MATCH(A741&amp;"",AthleteNumbers,0))</f>
        <v>0</v>
      </c>
      <c r="J741" s="209">
        <f t="array" ref="J741">IF(I741&gt;0,INDEX(DB,$I741,6),0)</f>
        <v>0</v>
      </c>
      <c r="K741" s="446">
        <f t="shared" si="5"/>
        <v>0</v>
      </c>
      <c r="L741" s="446">
        <f t="shared" si="6"/>
        <v>0</v>
      </c>
      <c r="M741" s="441">
        <f>IF(L741&lt;O741,MinPoints,IF(AND(L741&gt;N741,O741&gt;0),100,+INT(($L741-O741)/P741)+MinPoints))</f>
        <v>10</v>
      </c>
      <c r="N741" s="440">
        <f t="shared" si="7"/>
        <v>4.9</v>
      </c>
      <c r="O741" s="440">
        <f t="shared" si="8"/>
        <v>2.2</v>
      </c>
      <c r="P741" s="440">
        <f t="shared" si="9"/>
        <v>0.03</v>
      </c>
      <c r="Q741">
        <f t="array" ref="Q741">IF(I741&gt;0,INDEX(DB,I741,9),EventIndex)</f>
        <v>6</v>
      </c>
      <c r="S741" s="447">
        <f t="array" ref="S741">INDEX(MINVALUES,$Q741,$K$1)</f>
        <v>2.2</v>
      </c>
      <c r="T741" s="448">
        <f t="array" ref="T741">INDEX(INCVALUES,$Q741,$K$1)</f>
        <v>0.03</v>
      </c>
      <c r="V741">
        <f t="array" ref="V741">+J741+(4*(INDEX(MatchScoreTable,$Q741,20)-1))</f>
        <v>4</v>
      </c>
      <c r="W741" s="442">
        <f t="array" ref="W741">INDEX(INC_MINVALUES,$V741,$K$1)</f>
        <v>0.2</v>
      </c>
      <c r="X741" s="212">
        <f t="array" ref="X741">INDEX(INC_INCVALUES,$V741,$K$1)</f>
        <v>0.02</v>
      </c>
    </row>
    <row r="742" ht="15.75" customHeight="1">
      <c r="A742" s="435"/>
      <c r="B742" s="436"/>
      <c r="C742" s="95" t="str">
        <f t="array" ref="C742">IF(I742&gt;0,INDEX(DB,I742,8),"")</f>
        <v/>
      </c>
      <c r="D742" s="437">
        <f t="shared" si="1"/>
        <v>0</v>
      </c>
      <c r="F742" s="438">
        <f t="shared" si="2"/>
        <v>0</v>
      </c>
      <c r="G742" t="str">
        <f t="shared" si="3"/>
        <v/>
      </c>
      <c r="H742" t="b">
        <f t="shared" si="4"/>
        <v>0</v>
      </c>
      <c r="I742" s="439">
        <f>IF(OR(ISBLANK(A742),ISNA(MATCH(A742&amp;"",AthleteNumbers,0))),0,MATCH(A742&amp;"",AthleteNumbers,0))</f>
        <v>0</v>
      </c>
      <c r="J742" s="209">
        <f t="array" ref="J742">IF(I742&gt;0,INDEX(DB,$I742,6),0)</f>
        <v>0</v>
      </c>
      <c r="K742" s="446">
        <f t="shared" si="5"/>
        <v>0</v>
      </c>
      <c r="L742" s="446">
        <f t="shared" si="6"/>
        <v>0</v>
      </c>
      <c r="M742" s="441">
        <f>IF(L742&lt;O742,MinPoints,IF(AND(L742&gt;N742,O742&gt;0),100,+INT(($L742-O742)/P742)+MinPoints))</f>
        <v>10</v>
      </c>
      <c r="N742" s="440">
        <f t="shared" si="7"/>
        <v>4.9</v>
      </c>
      <c r="O742" s="440">
        <f t="shared" si="8"/>
        <v>2.2</v>
      </c>
      <c r="P742" s="440">
        <f t="shared" si="9"/>
        <v>0.03</v>
      </c>
      <c r="Q742">
        <f t="array" ref="Q742">IF(I742&gt;0,INDEX(DB,I742,9),EventIndex)</f>
        <v>6</v>
      </c>
      <c r="S742" s="447">
        <f t="array" ref="S742">INDEX(MINVALUES,$Q742,$K$1)</f>
        <v>2.2</v>
      </c>
      <c r="T742" s="448">
        <f t="array" ref="T742">INDEX(INCVALUES,$Q742,$K$1)</f>
        <v>0.03</v>
      </c>
      <c r="V742">
        <f t="array" ref="V742">+J742+(4*(INDEX(MatchScoreTable,$Q742,20)-1))</f>
        <v>4</v>
      </c>
      <c r="W742" s="442">
        <f t="array" ref="W742">INDEX(INC_MINVALUES,$V742,$K$1)</f>
        <v>0.2</v>
      </c>
      <c r="X742" s="212">
        <f t="array" ref="X742">INDEX(INC_INCVALUES,$V742,$K$1)</f>
        <v>0.02</v>
      </c>
    </row>
    <row r="743" ht="15.75" customHeight="1">
      <c r="A743" s="435"/>
      <c r="B743" s="436"/>
      <c r="C743" s="95" t="str">
        <f t="array" ref="C743">IF(I743&gt;0,INDEX(DB,I743,8),"")</f>
        <v/>
      </c>
      <c r="D743" s="437">
        <f t="shared" si="1"/>
        <v>0</v>
      </c>
      <c r="F743" s="438">
        <f t="shared" si="2"/>
        <v>0</v>
      </c>
      <c r="G743" t="str">
        <f t="shared" si="3"/>
        <v/>
      </c>
      <c r="H743" t="b">
        <f t="shared" si="4"/>
        <v>0</v>
      </c>
      <c r="I743" s="439">
        <f>IF(OR(ISBLANK(A743),ISNA(MATCH(A743&amp;"",AthleteNumbers,0))),0,MATCH(A743&amp;"",AthleteNumbers,0))</f>
        <v>0</v>
      </c>
      <c r="J743" s="209">
        <f t="array" ref="J743">IF(I743&gt;0,INDEX(DB,$I743,6),0)</f>
        <v>0</v>
      </c>
      <c r="K743" s="446">
        <f t="shared" si="5"/>
        <v>0</v>
      </c>
      <c r="L743" s="446">
        <f t="shared" si="6"/>
        <v>0</v>
      </c>
      <c r="M743" s="441">
        <f>IF(L743&lt;O743,MinPoints,IF(AND(L743&gt;N743,O743&gt;0),100,+INT(($L743-O743)/P743)+MinPoints))</f>
        <v>10</v>
      </c>
      <c r="N743" s="440">
        <f t="shared" si="7"/>
        <v>4.9</v>
      </c>
      <c r="O743" s="440">
        <f t="shared" si="8"/>
        <v>2.2</v>
      </c>
      <c r="P743" s="440">
        <f t="shared" si="9"/>
        <v>0.03</v>
      </c>
      <c r="Q743">
        <f t="array" ref="Q743">IF(I743&gt;0,INDEX(DB,I743,9),EventIndex)</f>
        <v>6</v>
      </c>
      <c r="S743" s="447">
        <f t="array" ref="S743">INDEX(MINVALUES,$Q743,$K$1)</f>
        <v>2.2</v>
      </c>
      <c r="T743" s="448">
        <f t="array" ref="T743">INDEX(INCVALUES,$Q743,$K$1)</f>
        <v>0.03</v>
      </c>
      <c r="V743">
        <f t="array" ref="V743">+J743+(4*(INDEX(MatchScoreTable,$Q743,20)-1))</f>
        <v>4</v>
      </c>
      <c r="W743" s="442">
        <f t="array" ref="W743">INDEX(INC_MINVALUES,$V743,$K$1)</f>
        <v>0.2</v>
      </c>
      <c r="X743" s="212">
        <f t="array" ref="X743">INDEX(INC_INCVALUES,$V743,$K$1)</f>
        <v>0.02</v>
      </c>
    </row>
    <row r="744" ht="15.75" customHeight="1">
      <c r="A744" s="435"/>
      <c r="B744" s="436"/>
      <c r="C744" s="95" t="str">
        <f t="array" ref="C744">IF(I744&gt;0,INDEX(DB,I744,8),"")</f>
        <v/>
      </c>
      <c r="D744" s="437">
        <f t="shared" si="1"/>
        <v>0</v>
      </c>
      <c r="F744" s="438">
        <f t="shared" si="2"/>
        <v>0</v>
      </c>
      <c r="G744" t="str">
        <f t="shared" si="3"/>
        <v/>
      </c>
      <c r="H744" t="b">
        <f t="shared" si="4"/>
        <v>0</v>
      </c>
      <c r="I744" s="439">
        <f>IF(OR(ISBLANK(A744),ISNA(MATCH(A744&amp;"",AthleteNumbers,0))),0,MATCH(A744&amp;"",AthleteNumbers,0))</f>
        <v>0</v>
      </c>
      <c r="J744" s="209">
        <f t="array" ref="J744">IF(I744&gt;0,INDEX(DB,$I744,6),0)</f>
        <v>0</v>
      </c>
      <c r="K744" s="446">
        <f t="shared" si="5"/>
        <v>0</v>
      </c>
      <c r="L744" s="446">
        <f t="shared" si="6"/>
        <v>0</v>
      </c>
      <c r="M744" s="441">
        <f>IF(L744&lt;O744,MinPoints,IF(AND(L744&gt;N744,O744&gt;0),100,+INT(($L744-O744)/P744)+MinPoints))</f>
        <v>10</v>
      </c>
      <c r="N744" s="440">
        <f t="shared" si="7"/>
        <v>4.9</v>
      </c>
      <c r="O744" s="440">
        <f t="shared" si="8"/>
        <v>2.2</v>
      </c>
      <c r="P744" s="440">
        <f t="shared" si="9"/>
        <v>0.03</v>
      </c>
      <c r="Q744">
        <f t="array" ref="Q744">IF(I744&gt;0,INDEX(DB,I744,9),EventIndex)</f>
        <v>6</v>
      </c>
      <c r="S744" s="447">
        <f t="array" ref="S744">INDEX(MINVALUES,$Q744,$K$1)</f>
        <v>2.2</v>
      </c>
      <c r="T744" s="448">
        <f t="array" ref="T744">INDEX(INCVALUES,$Q744,$K$1)</f>
        <v>0.03</v>
      </c>
      <c r="V744">
        <f t="array" ref="V744">+J744+(4*(INDEX(MatchScoreTable,$Q744,20)-1))</f>
        <v>4</v>
      </c>
      <c r="W744" s="442">
        <f t="array" ref="W744">INDEX(INC_MINVALUES,$V744,$K$1)</f>
        <v>0.2</v>
      </c>
      <c r="X744" s="212">
        <f t="array" ref="X744">INDEX(INC_INCVALUES,$V744,$K$1)</f>
        <v>0.02</v>
      </c>
    </row>
    <row r="745" ht="15.75" customHeight="1">
      <c r="A745" s="435"/>
      <c r="B745" s="436"/>
      <c r="C745" s="95" t="str">
        <f t="array" ref="C745">IF(I745&gt;0,INDEX(DB,I745,8),"")</f>
        <v/>
      </c>
      <c r="D745" s="437">
        <f t="shared" si="1"/>
        <v>0</v>
      </c>
      <c r="F745" s="438">
        <f t="shared" si="2"/>
        <v>0</v>
      </c>
      <c r="G745" t="str">
        <f t="shared" si="3"/>
        <v/>
      </c>
      <c r="H745" t="b">
        <f t="shared" si="4"/>
        <v>0</v>
      </c>
      <c r="I745" s="439">
        <f>IF(OR(ISBLANK(A745),ISNA(MATCH(A745&amp;"",AthleteNumbers,0))),0,MATCH(A745&amp;"",AthleteNumbers,0))</f>
        <v>0</v>
      </c>
      <c r="J745" s="209">
        <f t="array" ref="J745">IF(I745&gt;0,INDEX(DB,$I745,6),0)</f>
        <v>0</v>
      </c>
      <c r="K745" s="446">
        <f t="shared" si="5"/>
        <v>0</v>
      </c>
      <c r="L745" s="446">
        <f t="shared" si="6"/>
        <v>0</v>
      </c>
      <c r="M745" s="441">
        <f>IF(L745&lt;O745,MinPoints,IF(AND(L745&gt;N745,O745&gt;0),100,+INT(($L745-O745)/P745)+MinPoints))</f>
        <v>10</v>
      </c>
      <c r="N745" s="440">
        <f t="shared" si="7"/>
        <v>4.9</v>
      </c>
      <c r="O745" s="440">
        <f t="shared" si="8"/>
        <v>2.2</v>
      </c>
      <c r="P745" s="440">
        <f t="shared" si="9"/>
        <v>0.03</v>
      </c>
      <c r="Q745">
        <f t="array" ref="Q745">IF(I745&gt;0,INDEX(DB,I745,9),EventIndex)</f>
        <v>6</v>
      </c>
      <c r="S745" s="447">
        <f t="array" ref="S745">INDEX(MINVALUES,$Q745,$K$1)</f>
        <v>2.2</v>
      </c>
      <c r="T745" s="448">
        <f t="array" ref="T745">INDEX(INCVALUES,$Q745,$K$1)</f>
        <v>0.03</v>
      </c>
      <c r="V745">
        <f t="array" ref="V745">+J745+(4*(INDEX(MatchScoreTable,$Q745,20)-1))</f>
        <v>4</v>
      </c>
      <c r="W745" s="442">
        <f t="array" ref="W745">INDEX(INC_MINVALUES,$V745,$K$1)</f>
        <v>0.2</v>
      </c>
      <c r="X745" s="212">
        <f t="array" ref="X745">INDEX(INC_INCVALUES,$V745,$K$1)</f>
        <v>0.02</v>
      </c>
    </row>
    <row r="746" ht="15.75" customHeight="1">
      <c r="A746" s="435"/>
      <c r="B746" s="436"/>
      <c r="C746" s="95" t="str">
        <f t="array" ref="C746">IF(I746&gt;0,INDEX(DB,I746,8),"")</f>
        <v/>
      </c>
      <c r="D746" s="437">
        <f t="shared" si="1"/>
        <v>0</v>
      </c>
      <c r="F746" s="438">
        <f t="shared" si="2"/>
        <v>0</v>
      </c>
      <c r="G746" t="str">
        <f t="shared" si="3"/>
        <v/>
      </c>
      <c r="H746" t="b">
        <f t="shared" si="4"/>
        <v>0</v>
      </c>
      <c r="I746" s="439">
        <f>IF(OR(ISBLANK(A746),ISNA(MATCH(A746&amp;"",AthleteNumbers,0))),0,MATCH(A746&amp;"",AthleteNumbers,0))</f>
        <v>0</v>
      </c>
      <c r="J746" s="209">
        <f t="array" ref="J746">IF(I746&gt;0,INDEX(DB,$I746,6),0)</f>
        <v>0</v>
      </c>
      <c r="K746" s="446">
        <f t="shared" si="5"/>
        <v>0</v>
      </c>
      <c r="L746" s="446">
        <f t="shared" si="6"/>
        <v>0</v>
      </c>
      <c r="M746" s="441">
        <f>IF(L746&lt;O746,MinPoints,IF(AND(L746&gt;N746,O746&gt;0),100,+INT(($L746-O746)/P746)+MinPoints))</f>
        <v>10</v>
      </c>
      <c r="N746" s="440">
        <f t="shared" si="7"/>
        <v>4.9</v>
      </c>
      <c r="O746" s="440">
        <f t="shared" si="8"/>
        <v>2.2</v>
      </c>
      <c r="P746" s="440">
        <f t="shared" si="9"/>
        <v>0.03</v>
      </c>
      <c r="Q746">
        <f t="array" ref="Q746">IF(I746&gt;0,INDEX(DB,I746,9),EventIndex)</f>
        <v>6</v>
      </c>
      <c r="S746" s="447">
        <f t="array" ref="S746">INDEX(MINVALUES,$Q746,$K$1)</f>
        <v>2.2</v>
      </c>
      <c r="T746" s="448">
        <f t="array" ref="T746">INDEX(INCVALUES,$Q746,$K$1)</f>
        <v>0.03</v>
      </c>
      <c r="V746">
        <f t="array" ref="V746">+J746+(4*(INDEX(MatchScoreTable,$Q746,20)-1))</f>
        <v>4</v>
      </c>
      <c r="W746" s="442">
        <f t="array" ref="W746">INDEX(INC_MINVALUES,$V746,$K$1)</f>
        <v>0.2</v>
      </c>
      <c r="X746" s="212">
        <f t="array" ref="X746">INDEX(INC_INCVALUES,$V746,$K$1)</f>
        <v>0.02</v>
      </c>
    </row>
    <row r="747" ht="15.75" customHeight="1">
      <c r="A747" s="435"/>
      <c r="B747" s="436"/>
      <c r="C747" s="95" t="str">
        <f t="array" ref="C747">IF(I747&gt;0,INDEX(DB,I747,8),"")</f>
        <v/>
      </c>
      <c r="D747" s="437">
        <f t="shared" si="1"/>
        <v>0</v>
      </c>
      <c r="F747" s="438">
        <f t="shared" si="2"/>
        <v>0</v>
      </c>
      <c r="G747" t="str">
        <f t="shared" si="3"/>
        <v/>
      </c>
      <c r="H747" t="b">
        <f t="shared" si="4"/>
        <v>0</v>
      </c>
      <c r="I747" s="439">
        <f>IF(OR(ISBLANK(A747),ISNA(MATCH(A747&amp;"",AthleteNumbers,0))),0,MATCH(A747&amp;"",AthleteNumbers,0))</f>
        <v>0</v>
      </c>
      <c r="J747" s="209">
        <f t="array" ref="J747">IF(I747&gt;0,INDEX(DB,$I747,6),0)</f>
        <v>0</v>
      </c>
      <c r="K747" s="446">
        <f t="shared" si="5"/>
        <v>0</v>
      </c>
      <c r="L747" s="446">
        <f t="shared" si="6"/>
        <v>0</v>
      </c>
      <c r="M747" s="441">
        <f>IF(L747&lt;O747,MinPoints,IF(AND(L747&gt;N747,O747&gt;0),100,+INT(($L747-O747)/P747)+MinPoints))</f>
        <v>10</v>
      </c>
      <c r="N747" s="440">
        <f t="shared" si="7"/>
        <v>4.9</v>
      </c>
      <c r="O747" s="440">
        <f t="shared" si="8"/>
        <v>2.2</v>
      </c>
      <c r="P747" s="440">
        <f t="shared" si="9"/>
        <v>0.03</v>
      </c>
      <c r="Q747">
        <f t="array" ref="Q747">IF(I747&gt;0,INDEX(DB,I747,9),EventIndex)</f>
        <v>6</v>
      </c>
      <c r="S747" s="447">
        <f t="array" ref="S747">INDEX(MINVALUES,$Q747,$K$1)</f>
        <v>2.2</v>
      </c>
      <c r="T747" s="448">
        <f t="array" ref="T747">INDEX(INCVALUES,$Q747,$K$1)</f>
        <v>0.03</v>
      </c>
      <c r="V747">
        <f t="array" ref="V747">+J747+(4*(INDEX(MatchScoreTable,$Q747,20)-1))</f>
        <v>4</v>
      </c>
      <c r="W747" s="442">
        <f t="array" ref="W747">INDEX(INC_MINVALUES,$V747,$K$1)</f>
        <v>0.2</v>
      </c>
      <c r="X747" s="212">
        <f t="array" ref="X747">INDEX(INC_INCVALUES,$V747,$K$1)</f>
        <v>0.02</v>
      </c>
    </row>
    <row r="748" ht="15.75" customHeight="1">
      <c r="A748" s="435"/>
      <c r="B748" s="436"/>
      <c r="C748" s="95" t="str">
        <f t="array" ref="C748">IF(I748&gt;0,INDEX(DB,I748,8),"")</f>
        <v/>
      </c>
      <c r="D748" s="437">
        <f t="shared" si="1"/>
        <v>0</v>
      </c>
      <c r="F748" s="438">
        <f t="shared" si="2"/>
        <v>0</v>
      </c>
      <c r="G748" t="str">
        <f t="shared" si="3"/>
        <v/>
      </c>
      <c r="H748" t="b">
        <f t="shared" si="4"/>
        <v>0</v>
      </c>
      <c r="I748" s="439">
        <f>IF(OR(ISBLANK(A748),ISNA(MATCH(A748&amp;"",AthleteNumbers,0))),0,MATCH(A748&amp;"",AthleteNumbers,0))</f>
        <v>0</v>
      </c>
      <c r="J748" s="209">
        <f t="array" ref="J748">IF(I748&gt;0,INDEX(DB,$I748,6),0)</f>
        <v>0</v>
      </c>
      <c r="K748" s="446">
        <f t="shared" si="5"/>
        <v>0</v>
      </c>
      <c r="L748" s="446">
        <f t="shared" si="6"/>
        <v>0</v>
      </c>
      <c r="M748" s="441">
        <f>IF(L748&lt;O748,MinPoints,IF(AND(L748&gt;N748,O748&gt;0),100,+INT(($L748-O748)/P748)+MinPoints))</f>
        <v>10</v>
      </c>
      <c r="N748" s="440">
        <f t="shared" si="7"/>
        <v>4.9</v>
      </c>
      <c r="O748" s="440">
        <f t="shared" si="8"/>
        <v>2.2</v>
      </c>
      <c r="P748" s="440">
        <f t="shared" si="9"/>
        <v>0.03</v>
      </c>
      <c r="Q748">
        <f t="array" ref="Q748">IF(I748&gt;0,INDEX(DB,I748,9),EventIndex)</f>
        <v>6</v>
      </c>
      <c r="S748" s="447">
        <f t="array" ref="S748">INDEX(MINVALUES,$Q748,$K$1)</f>
        <v>2.2</v>
      </c>
      <c r="T748" s="448">
        <f t="array" ref="T748">INDEX(INCVALUES,$Q748,$K$1)</f>
        <v>0.03</v>
      </c>
      <c r="V748">
        <f t="array" ref="V748">+J748+(4*(INDEX(MatchScoreTable,$Q748,20)-1))</f>
        <v>4</v>
      </c>
      <c r="W748" s="442">
        <f t="array" ref="W748">INDEX(INC_MINVALUES,$V748,$K$1)</f>
        <v>0.2</v>
      </c>
      <c r="X748" s="212">
        <f t="array" ref="X748">INDEX(INC_INCVALUES,$V748,$K$1)</f>
        <v>0.02</v>
      </c>
    </row>
    <row r="749" ht="15.75" customHeight="1">
      <c r="A749" s="435"/>
      <c r="B749" s="436"/>
      <c r="C749" s="95" t="str">
        <f t="array" ref="C749">IF(I749&gt;0,INDEX(DB,I749,8),"")</f>
        <v/>
      </c>
      <c r="D749" s="437">
        <f t="shared" si="1"/>
        <v>0</v>
      </c>
      <c r="F749" s="438">
        <f t="shared" si="2"/>
        <v>0</v>
      </c>
      <c r="G749" t="str">
        <f t="shared" si="3"/>
        <v/>
      </c>
      <c r="H749" t="b">
        <f t="shared" si="4"/>
        <v>0</v>
      </c>
      <c r="I749" s="439">
        <f>IF(OR(ISBLANK(A749),ISNA(MATCH(A749&amp;"",AthleteNumbers,0))),0,MATCH(A749&amp;"",AthleteNumbers,0))</f>
        <v>0</v>
      </c>
      <c r="J749" s="209">
        <f t="array" ref="J749">IF(I749&gt;0,INDEX(DB,$I749,6),0)</f>
        <v>0</v>
      </c>
      <c r="K749" s="446">
        <f t="shared" si="5"/>
        <v>0</v>
      </c>
      <c r="L749" s="446">
        <f t="shared" si="6"/>
        <v>0</v>
      </c>
      <c r="M749" s="441">
        <f>IF(L749&lt;O749,MinPoints,IF(AND(L749&gt;N749,O749&gt;0),100,+INT(($L749-O749)/P749)+MinPoints))</f>
        <v>10</v>
      </c>
      <c r="N749" s="440">
        <f t="shared" si="7"/>
        <v>4.9</v>
      </c>
      <c r="O749" s="440">
        <f t="shared" si="8"/>
        <v>2.2</v>
      </c>
      <c r="P749" s="440">
        <f t="shared" si="9"/>
        <v>0.03</v>
      </c>
      <c r="Q749">
        <f t="array" ref="Q749">IF(I749&gt;0,INDEX(DB,I749,9),EventIndex)</f>
        <v>6</v>
      </c>
      <c r="S749" s="447">
        <f t="array" ref="S749">INDEX(MINVALUES,$Q749,$K$1)</f>
        <v>2.2</v>
      </c>
      <c r="T749" s="448">
        <f t="array" ref="T749">INDEX(INCVALUES,$Q749,$K$1)</f>
        <v>0.03</v>
      </c>
      <c r="V749">
        <f t="array" ref="V749">+J749+(4*(INDEX(MatchScoreTable,$Q749,20)-1))</f>
        <v>4</v>
      </c>
      <c r="W749" s="442">
        <f t="array" ref="W749">INDEX(INC_MINVALUES,$V749,$K$1)</f>
        <v>0.2</v>
      </c>
      <c r="X749" s="212">
        <f t="array" ref="X749">INDEX(INC_INCVALUES,$V749,$K$1)</f>
        <v>0.02</v>
      </c>
    </row>
    <row r="750" ht="15.75" customHeight="1">
      <c r="A750" s="435"/>
      <c r="B750" s="436"/>
      <c r="C750" s="95" t="str">
        <f t="array" ref="C750">IF(I750&gt;0,INDEX(DB,I750,8),"")</f>
        <v/>
      </c>
      <c r="D750" s="437">
        <f t="shared" si="1"/>
        <v>0</v>
      </c>
      <c r="F750" s="438">
        <f t="shared" si="2"/>
        <v>0</v>
      </c>
      <c r="G750" t="str">
        <f t="shared" si="3"/>
        <v/>
      </c>
      <c r="H750" t="b">
        <f t="shared" si="4"/>
        <v>0</v>
      </c>
      <c r="I750" s="439">
        <f>IF(OR(ISBLANK(A750),ISNA(MATCH(A750&amp;"",AthleteNumbers,0))),0,MATCH(A750&amp;"",AthleteNumbers,0))</f>
        <v>0</v>
      </c>
      <c r="J750" s="209">
        <f t="array" ref="J750">IF(I750&gt;0,INDEX(DB,$I750,6),0)</f>
        <v>0</v>
      </c>
      <c r="K750" s="446">
        <f t="shared" si="5"/>
        <v>0</v>
      </c>
      <c r="L750" s="446">
        <f t="shared" si="6"/>
        <v>0</v>
      </c>
      <c r="M750" s="441">
        <f>IF(L750&lt;O750,MinPoints,IF(AND(L750&gt;N750,O750&gt;0),100,+INT(($L750-O750)/P750)+MinPoints))</f>
        <v>10</v>
      </c>
      <c r="N750" s="440">
        <f t="shared" si="7"/>
        <v>4.9</v>
      </c>
      <c r="O750" s="440">
        <f t="shared" si="8"/>
        <v>2.2</v>
      </c>
      <c r="P750" s="440">
        <f t="shared" si="9"/>
        <v>0.03</v>
      </c>
      <c r="Q750">
        <f t="array" ref="Q750">IF(I750&gt;0,INDEX(DB,I750,9),EventIndex)</f>
        <v>6</v>
      </c>
      <c r="S750" s="447">
        <f t="array" ref="S750">INDEX(MINVALUES,$Q750,$K$1)</f>
        <v>2.2</v>
      </c>
      <c r="T750" s="448">
        <f t="array" ref="T750">INDEX(INCVALUES,$Q750,$K$1)</f>
        <v>0.03</v>
      </c>
      <c r="V750">
        <f t="array" ref="V750">+J750+(4*(INDEX(MatchScoreTable,$Q750,20)-1))</f>
        <v>4</v>
      </c>
      <c r="W750" s="442">
        <f t="array" ref="W750">INDEX(INC_MINVALUES,$V750,$K$1)</f>
        <v>0.2</v>
      </c>
      <c r="X750" s="212">
        <f t="array" ref="X750">INDEX(INC_INCVALUES,$V750,$K$1)</f>
        <v>0.02</v>
      </c>
    </row>
    <row r="751" ht="15.75" customHeight="1">
      <c r="A751" s="435"/>
      <c r="B751" s="436"/>
      <c r="C751" s="95" t="str">
        <f t="array" ref="C751">IF(I751&gt;0,INDEX(DB,I751,8),"")</f>
        <v/>
      </c>
      <c r="D751" s="437">
        <f t="shared" si="1"/>
        <v>0</v>
      </c>
      <c r="F751" s="438">
        <f t="shared" si="2"/>
        <v>0</v>
      </c>
      <c r="G751" t="str">
        <f t="shared" si="3"/>
        <v/>
      </c>
      <c r="H751" t="b">
        <f t="shared" si="4"/>
        <v>0</v>
      </c>
      <c r="I751" s="439">
        <f>IF(OR(ISBLANK(A751),ISNA(MATCH(A751&amp;"",AthleteNumbers,0))),0,MATCH(A751&amp;"",AthleteNumbers,0))</f>
        <v>0</v>
      </c>
      <c r="J751" s="209">
        <f t="array" ref="J751">IF(I751&gt;0,INDEX(DB,$I751,6),0)</f>
        <v>0</v>
      </c>
      <c r="K751" s="446">
        <f t="shared" si="5"/>
        <v>0</v>
      </c>
      <c r="L751" s="446">
        <f t="shared" si="6"/>
        <v>0</v>
      </c>
      <c r="M751" s="441">
        <f>IF(L751&lt;O751,MinPoints,IF(AND(L751&gt;N751,O751&gt;0),100,+INT(($L751-O751)/P751)+MinPoints))</f>
        <v>10</v>
      </c>
      <c r="N751" s="440">
        <f t="shared" si="7"/>
        <v>4.9</v>
      </c>
      <c r="O751" s="440">
        <f t="shared" si="8"/>
        <v>2.2</v>
      </c>
      <c r="P751" s="440">
        <f t="shared" si="9"/>
        <v>0.03</v>
      </c>
      <c r="Q751">
        <f t="array" ref="Q751">IF(I751&gt;0,INDEX(DB,I751,9),EventIndex)</f>
        <v>6</v>
      </c>
      <c r="S751" s="447">
        <f t="array" ref="S751">INDEX(MINVALUES,$Q751,$K$1)</f>
        <v>2.2</v>
      </c>
      <c r="T751" s="448">
        <f t="array" ref="T751">INDEX(INCVALUES,$Q751,$K$1)</f>
        <v>0.03</v>
      </c>
      <c r="V751">
        <f t="array" ref="V751">+J751+(4*(INDEX(MatchScoreTable,$Q751,20)-1))</f>
        <v>4</v>
      </c>
      <c r="W751" s="442">
        <f t="array" ref="W751">INDEX(INC_MINVALUES,$V751,$K$1)</f>
        <v>0.2</v>
      </c>
      <c r="X751" s="212">
        <f t="array" ref="X751">INDEX(INC_INCVALUES,$V751,$K$1)</f>
        <v>0.02</v>
      </c>
    </row>
    <row r="752" ht="15.75" customHeight="1">
      <c r="A752" s="435"/>
      <c r="B752" s="436"/>
      <c r="C752" s="95" t="str">
        <f t="array" ref="C752">IF(I752&gt;0,INDEX(DB,I752,8),"")</f>
        <v/>
      </c>
      <c r="D752" s="437">
        <f t="shared" si="1"/>
        <v>0</v>
      </c>
      <c r="F752" s="438">
        <f t="shared" si="2"/>
        <v>0</v>
      </c>
      <c r="G752" t="str">
        <f t="shared" si="3"/>
        <v/>
      </c>
      <c r="H752" t="b">
        <f t="shared" si="4"/>
        <v>0</v>
      </c>
      <c r="I752" s="439">
        <f>IF(OR(ISBLANK(A752),ISNA(MATCH(A752&amp;"",AthleteNumbers,0))),0,MATCH(A752&amp;"",AthleteNumbers,0))</f>
        <v>0</v>
      </c>
      <c r="J752" s="209">
        <f t="array" ref="J752">IF(I752&gt;0,INDEX(DB,$I752,6),0)</f>
        <v>0</v>
      </c>
      <c r="K752" s="446">
        <f t="shared" si="5"/>
        <v>0</v>
      </c>
      <c r="L752" s="446">
        <f t="shared" si="6"/>
        <v>0</v>
      </c>
      <c r="M752" s="441">
        <f>IF(L752&lt;O752,MinPoints,IF(AND(L752&gt;N752,O752&gt;0),100,+INT(($L752-O752)/P752)+MinPoints))</f>
        <v>10</v>
      </c>
      <c r="N752" s="440">
        <f t="shared" si="7"/>
        <v>4.9</v>
      </c>
      <c r="O752" s="440">
        <f t="shared" si="8"/>
        <v>2.2</v>
      </c>
      <c r="P752" s="440">
        <f t="shared" si="9"/>
        <v>0.03</v>
      </c>
      <c r="Q752">
        <f t="array" ref="Q752">IF(I752&gt;0,INDEX(DB,I752,9),EventIndex)</f>
        <v>6</v>
      </c>
      <c r="S752" s="447">
        <f t="array" ref="S752">INDEX(MINVALUES,$Q752,$K$1)</f>
        <v>2.2</v>
      </c>
      <c r="T752" s="448">
        <f t="array" ref="T752">INDEX(INCVALUES,$Q752,$K$1)</f>
        <v>0.03</v>
      </c>
      <c r="V752">
        <f t="array" ref="V752">+J752+(4*(INDEX(MatchScoreTable,$Q752,20)-1))</f>
        <v>4</v>
      </c>
      <c r="W752" s="442">
        <f t="array" ref="W752">INDEX(INC_MINVALUES,$V752,$K$1)</f>
        <v>0.2</v>
      </c>
      <c r="X752" s="212">
        <f t="array" ref="X752">INDEX(INC_INCVALUES,$V752,$K$1)</f>
        <v>0.02</v>
      </c>
    </row>
    <row r="753" ht="15.75" customHeight="1">
      <c r="A753" s="435"/>
      <c r="B753" s="436"/>
      <c r="C753" s="95" t="str">
        <f t="array" ref="C753">IF(I753&gt;0,INDEX(DB,I753,8),"")</f>
        <v/>
      </c>
      <c r="D753" s="437">
        <f t="shared" si="1"/>
        <v>0</v>
      </c>
      <c r="F753" s="438">
        <f t="shared" si="2"/>
        <v>0</v>
      </c>
      <c r="G753" t="str">
        <f t="shared" si="3"/>
        <v/>
      </c>
      <c r="H753" t="b">
        <f t="shared" si="4"/>
        <v>0</v>
      </c>
      <c r="I753" s="439">
        <f>IF(OR(ISBLANK(A753),ISNA(MATCH(A753&amp;"",AthleteNumbers,0))),0,MATCH(A753&amp;"",AthleteNumbers,0))</f>
        <v>0</v>
      </c>
      <c r="J753" s="209">
        <f t="array" ref="J753">IF(I753&gt;0,INDEX(DB,$I753,6),0)</f>
        <v>0</v>
      </c>
      <c r="K753" s="446">
        <f t="shared" si="5"/>
        <v>0</v>
      </c>
      <c r="L753" s="446">
        <f t="shared" si="6"/>
        <v>0</v>
      </c>
      <c r="M753" s="441">
        <f>IF(L753&lt;O753,MinPoints,IF(AND(L753&gt;N753,O753&gt;0),100,+INT(($L753-O753)/P753)+MinPoints))</f>
        <v>10</v>
      </c>
      <c r="N753" s="440">
        <f t="shared" si="7"/>
        <v>4.9</v>
      </c>
      <c r="O753" s="440">
        <f t="shared" si="8"/>
        <v>2.2</v>
      </c>
      <c r="P753" s="440">
        <f t="shared" si="9"/>
        <v>0.03</v>
      </c>
      <c r="Q753">
        <f t="array" ref="Q753">IF(I753&gt;0,INDEX(DB,I753,9),EventIndex)</f>
        <v>6</v>
      </c>
      <c r="S753" s="447">
        <f t="array" ref="S753">INDEX(MINVALUES,$Q753,$K$1)</f>
        <v>2.2</v>
      </c>
      <c r="T753" s="448">
        <f t="array" ref="T753">INDEX(INCVALUES,$Q753,$K$1)</f>
        <v>0.03</v>
      </c>
      <c r="V753">
        <f t="array" ref="V753">+J753+(4*(INDEX(MatchScoreTable,$Q753,20)-1))</f>
        <v>4</v>
      </c>
      <c r="W753" s="442">
        <f t="array" ref="W753">INDEX(INC_MINVALUES,$V753,$K$1)</f>
        <v>0.2</v>
      </c>
      <c r="X753" s="212">
        <f t="array" ref="X753">INDEX(INC_INCVALUES,$V753,$K$1)</f>
        <v>0.02</v>
      </c>
    </row>
    <row r="754" ht="15.75" customHeight="1">
      <c r="A754" s="435"/>
      <c r="B754" s="436"/>
      <c r="C754" s="95" t="str">
        <f t="array" ref="C754">IF(I754&gt;0,INDEX(DB,I754,8),"")</f>
        <v/>
      </c>
      <c r="D754" s="437">
        <f t="shared" si="1"/>
        <v>0</v>
      </c>
      <c r="F754" s="438">
        <f t="shared" si="2"/>
        <v>0</v>
      </c>
      <c r="G754" t="str">
        <f t="shared" si="3"/>
        <v/>
      </c>
      <c r="H754" t="b">
        <f t="shared" si="4"/>
        <v>0</v>
      </c>
      <c r="I754" s="439">
        <f>IF(OR(ISBLANK(A754),ISNA(MATCH(A754&amp;"",AthleteNumbers,0))),0,MATCH(A754&amp;"",AthleteNumbers,0))</f>
        <v>0</v>
      </c>
      <c r="J754" s="209">
        <f t="array" ref="J754">IF(I754&gt;0,INDEX(DB,$I754,6),0)</f>
        <v>0</v>
      </c>
      <c r="K754" s="446">
        <f t="shared" si="5"/>
        <v>0</v>
      </c>
      <c r="L754" s="446">
        <f t="shared" si="6"/>
        <v>0</v>
      </c>
      <c r="M754" s="441">
        <f>IF(L754&lt;O754,MinPoints,IF(AND(L754&gt;N754,O754&gt;0),100,+INT(($L754-O754)/P754)+MinPoints))</f>
        <v>10</v>
      </c>
      <c r="N754" s="440">
        <f t="shared" si="7"/>
        <v>4.9</v>
      </c>
      <c r="O754" s="440">
        <f t="shared" si="8"/>
        <v>2.2</v>
      </c>
      <c r="P754" s="440">
        <f t="shared" si="9"/>
        <v>0.03</v>
      </c>
      <c r="Q754">
        <f t="array" ref="Q754">IF(I754&gt;0,INDEX(DB,I754,9),EventIndex)</f>
        <v>6</v>
      </c>
      <c r="S754" s="447">
        <f t="array" ref="S754">INDEX(MINVALUES,$Q754,$K$1)</f>
        <v>2.2</v>
      </c>
      <c r="T754" s="448">
        <f t="array" ref="T754">INDEX(INCVALUES,$Q754,$K$1)</f>
        <v>0.03</v>
      </c>
      <c r="V754">
        <f t="array" ref="V754">+J754+(4*(INDEX(MatchScoreTable,$Q754,20)-1))</f>
        <v>4</v>
      </c>
      <c r="W754" s="442">
        <f t="array" ref="W754">INDEX(INC_MINVALUES,$V754,$K$1)</f>
        <v>0.2</v>
      </c>
      <c r="X754" s="212">
        <f t="array" ref="X754">INDEX(INC_INCVALUES,$V754,$K$1)</f>
        <v>0.02</v>
      </c>
    </row>
    <row r="755" ht="15.75" customHeight="1">
      <c r="A755" s="435"/>
      <c r="B755" s="436"/>
      <c r="C755" s="95" t="str">
        <f t="array" ref="C755">IF(I755&gt;0,INDEX(DB,I755,8),"")</f>
        <v/>
      </c>
      <c r="D755" s="437">
        <f t="shared" si="1"/>
        <v>0</v>
      </c>
      <c r="F755" s="438">
        <f t="shared" si="2"/>
        <v>0</v>
      </c>
      <c r="G755" t="str">
        <f t="shared" si="3"/>
        <v/>
      </c>
      <c r="H755" t="b">
        <f t="shared" si="4"/>
        <v>0</v>
      </c>
      <c r="I755" s="439">
        <f>IF(OR(ISBLANK(A755),ISNA(MATCH(A755&amp;"",AthleteNumbers,0))),0,MATCH(A755&amp;"",AthleteNumbers,0))</f>
        <v>0</v>
      </c>
      <c r="J755" s="209">
        <f t="array" ref="J755">IF(I755&gt;0,INDEX(DB,$I755,6),0)</f>
        <v>0</v>
      </c>
      <c r="K755" s="446">
        <f t="shared" si="5"/>
        <v>0</v>
      </c>
      <c r="L755" s="446">
        <f t="shared" si="6"/>
        <v>0</v>
      </c>
      <c r="M755" s="441">
        <f>IF(L755&lt;O755,MinPoints,IF(AND(L755&gt;N755,O755&gt;0),100,+INT(($L755-O755)/P755)+MinPoints))</f>
        <v>10</v>
      </c>
      <c r="N755" s="440">
        <f t="shared" si="7"/>
        <v>4.9</v>
      </c>
      <c r="O755" s="440">
        <f t="shared" si="8"/>
        <v>2.2</v>
      </c>
      <c r="P755" s="440">
        <f t="shared" si="9"/>
        <v>0.03</v>
      </c>
      <c r="Q755">
        <f t="array" ref="Q755">IF(I755&gt;0,INDEX(DB,I755,9),EventIndex)</f>
        <v>6</v>
      </c>
      <c r="S755" s="447">
        <f t="array" ref="S755">INDEX(MINVALUES,$Q755,$K$1)</f>
        <v>2.2</v>
      </c>
      <c r="T755" s="448">
        <f t="array" ref="T755">INDEX(INCVALUES,$Q755,$K$1)</f>
        <v>0.03</v>
      </c>
      <c r="V755">
        <f t="array" ref="V755">+J755+(4*(INDEX(MatchScoreTable,$Q755,20)-1))</f>
        <v>4</v>
      </c>
      <c r="W755" s="442">
        <f t="array" ref="W755">INDEX(INC_MINVALUES,$V755,$K$1)</f>
        <v>0.2</v>
      </c>
      <c r="X755" s="212">
        <f t="array" ref="X755">INDEX(INC_INCVALUES,$V755,$K$1)</f>
        <v>0.02</v>
      </c>
    </row>
    <row r="756" ht="15.75" customHeight="1">
      <c r="A756" s="435"/>
      <c r="B756" s="436"/>
      <c r="C756" s="95" t="str">
        <f t="array" ref="C756">IF(I756&gt;0,INDEX(DB,I756,8),"")</f>
        <v/>
      </c>
      <c r="D756" s="437">
        <f t="shared" si="1"/>
        <v>0</v>
      </c>
      <c r="F756" s="438">
        <f t="shared" si="2"/>
        <v>0</v>
      </c>
      <c r="G756" t="str">
        <f t="shared" si="3"/>
        <v/>
      </c>
      <c r="H756" t="b">
        <f t="shared" si="4"/>
        <v>0</v>
      </c>
      <c r="I756" s="439">
        <f>IF(OR(ISBLANK(A756),ISNA(MATCH(A756&amp;"",AthleteNumbers,0))),0,MATCH(A756&amp;"",AthleteNumbers,0))</f>
        <v>0</v>
      </c>
      <c r="J756" s="209">
        <f t="array" ref="J756">IF(I756&gt;0,INDEX(DB,$I756,6),0)</f>
        <v>0</v>
      </c>
      <c r="K756" s="446">
        <f t="shared" si="5"/>
        <v>0</v>
      </c>
      <c r="L756" s="446">
        <f t="shared" si="6"/>
        <v>0</v>
      </c>
      <c r="M756" s="441">
        <f>IF(L756&lt;O756,MinPoints,IF(AND(L756&gt;N756,O756&gt;0),100,+INT(($L756-O756)/P756)+MinPoints))</f>
        <v>10</v>
      </c>
      <c r="N756" s="440">
        <f t="shared" si="7"/>
        <v>4.9</v>
      </c>
      <c r="O756" s="440">
        <f t="shared" si="8"/>
        <v>2.2</v>
      </c>
      <c r="P756" s="440">
        <f t="shared" si="9"/>
        <v>0.03</v>
      </c>
      <c r="Q756">
        <f t="array" ref="Q756">IF(I756&gt;0,INDEX(DB,I756,9),EventIndex)</f>
        <v>6</v>
      </c>
      <c r="S756" s="447">
        <f t="array" ref="S756">INDEX(MINVALUES,$Q756,$K$1)</f>
        <v>2.2</v>
      </c>
      <c r="T756" s="448">
        <f t="array" ref="T756">INDEX(INCVALUES,$Q756,$K$1)</f>
        <v>0.03</v>
      </c>
      <c r="V756">
        <f t="array" ref="V756">+J756+(4*(INDEX(MatchScoreTable,$Q756,20)-1))</f>
        <v>4</v>
      </c>
      <c r="W756" s="442">
        <f t="array" ref="W756">INDEX(INC_MINVALUES,$V756,$K$1)</f>
        <v>0.2</v>
      </c>
      <c r="X756" s="212">
        <f t="array" ref="X756">INDEX(INC_INCVALUES,$V756,$K$1)</f>
        <v>0.02</v>
      </c>
    </row>
    <row r="757" ht="15.75" customHeight="1">
      <c r="A757" s="435"/>
      <c r="B757" s="436"/>
      <c r="C757" s="95" t="str">
        <f t="array" ref="C757">IF(I757&gt;0,INDEX(DB,I757,8),"")</f>
        <v/>
      </c>
      <c r="D757" s="437">
        <f t="shared" si="1"/>
        <v>0</v>
      </c>
      <c r="F757" s="438">
        <f t="shared" si="2"/>
        <v>0</v>
      </c>
      <c r="G757" t="str">
        <f t="shared" si="3"/>
        <v/>
      </c>
      <c r="H757" t="b">
        <f t="shared" si="4"/>
        <v>0</v>
      </c>
      <c r="I757" s="439">
        <f>IF(OR(ISBLANK(A757),ISNA(MATCH(A757&amp;"",AthleteNumbers,0))),0,MATCH(A757&amp;"",AthleteNumbers,0))</f>
        <v>0</v>
      </c>
      <c r="J757" s="209">
        <f t="array" ref="J757">IF(I757&gt;0,INDEX(DB,$I757,6),0)</f>
        <v>0</v>
      </c>
      <c r="K757" s="446">
        <f t="shared" si="5"/>
        <v>0</v>
      </c>
      <c r="L757" s="446">
        <f t="shared" si="6"/>
        <v>0</v>
      </c>
      <c r="M757" s="441">
        <f>IF(L757&lt;O757,MinPoints,IF(AND(L757&gt;N757,O757&gt;0),100,+INT(($L757-O757)/P757)+MinPoints))</f>
        <v>10</v>
      </c>
      <c r="N757" s="440">
        <f t="shared" si="7"/>
        <v>4.9</v>
      </c>
      <c r="O757" s="440">
        <f t="shared" si="8"/>
        <v>2.2</v>
      </c>
      <c r="P757" s="440">
        <f t="shared" si="9"/>
        <v>0.03</v>
      </c>
      <c r="Q757">
        <f t="array" ref="Q757">IF(I757&gt;0,INDEX(DB,I757,9),EventIndex)</f>
        <v>6</v>
      </c>
      <c r="S757" s="447">
        <f t="array" ref="S757">INDEX(MINVALUES,$Q757,$K$1)</f>
        <v>2.2</v>
      </c>
      <c r="T757" s="448">
        <f t="array" ref="T757">INDEX(INCVALUES,$Q757,$K$1)</f>
        <v>0.03</v>
      </c>
      <c r="V757">
        <f t="array" ref="V757">+J757+(4*(INDEX(MatchScoreTable,$Q757,20)-1))</f>
        <v>4</v>
      </c>
      <c r="W757" s="442">
        <f t="array" ref="W757">INDEX(INC_MINVALUES,$V757,$K$1)</f>
        <v>0.2</v>
      </c>
      <c r="X757" s="212">
        <f t="array" ref="X757">INDEX(INC_INCVALUES,$V757,$K$1)</f>
        <v>0.02</v>
      </c>
    </row>
    <row r="758" ht="15.75" customHeight="1">
      <c r="A758" s="435"/>
      <c r="B758" s="436"/>
      <c r="C758" s="95" t="str">
        <f t="array" ref="C758">IF(I758&gt;0,INDEX(DB,I758,8),"")</f>
        <v/>
      </c>
      <c r="D758" s="437">
        <f t="shared" si="1"/>
        <v>0</v>
      </c>
      <c r="F758" s="438">
        <f t="shared" si="2"/>
        <v>0</v>
      </c>
      <c r="G758" t="str">
        <f t="shared" si="3"/>
        <v/>
      </c>
      <c r="H758" t="b">
        <f t="shared" si="4"/>
        <v>0</v>
      </c>
      <c r="I758" s="439">
        <f>IF(OR(ISBLANK(A758),ISNA(MATCH(A758&amp;"",AthleteNumbers,0))),0,MATCH(A758&amp;"",AthleteNumbers,0))</f>
        <v>0</v>
      </c>
      <c r="J758" s="209">
        <f t="array" ref="J758">IF(I758&gt;0,INDEX(DB,$I758,6),0)</f>
        <v>0</v>
      </c>
      <c r="K758" s="446">
        <f t="shared" si="5"/>
        <v>0</v>
      </c>
      <c r="L758" s="446">
        <f t="shared" si="6"/>
        <v>0</v>
      </c>
      <c r="M758" s="441">
        <f>IF(L758&lt;O758,MinPoints,IF(AND(L758&gt;N758,O758&gt;0),100,+INT(($L758-O758)/P758)+MinPoints))</f>
        <v>10</v>
      </c>
      <c r="N758" s="440">
        <f t="shared" si="7"/>
        <v>4.9</v>
      </c>
      <c r="O758" s="440">
        <f t="shared" si="8"/>
        <v>2.2</v>
      </c>
      <c r="P758" s="440">
        <f t="shared" si="9"/>
        <v>0.03</v>
      </c>
      <c r="Q758">
        <f t="array" ref="Q758">IF(I758&gt;0,INDEX(DB,I758,9),EventIndex)</f>
        <v>6</v>
      </c>
      <c r="S758" s="447">
        <f t="array" ref="S758">INDEX(MINVALUES,$Q758,$K$1)</f>
        <v>2.2</v>
      </c>
      <c r="T758" s="448">
        <f t="array" ref="T758">INDEX(INCVALUES,$Q758,$K$1)</f>
        <v>0.03</v>
      </c>
      <c r="V758">
        <f t="array" ref="V758">+J758+(4*(INDEX(MatchScoreTable,$Q758,20)-1))</f>
        <v>4</v>
      </c>
      <c r="W758" s="442">
        <f t="array" ref="W758">INDEX(INC_MINVALUES,$V758,$K$1)</f>
        <v>0.2</v>
      </c>
      <c r="X758" s="212">
        <f t="array" ref="X758">INDEX(INC_INCVALUES,$V758,$K$1)</f>
        <v>0.02</v>
      </c>
    </row>
    <row r="759" ht="15.75" customHeight="1">
      <c r="A759" s="435"/>
      <c r="B759" s="436"/>
      <c r="C759" s="95" t="str">
        <f t="array" ref="C759">IF(I759&gt;0,INDEX(DB,I759,8),"")</f>
        <v/>
      </c>
      <c r="D759" s="437">
        <f t="shared" si="1"/>
        <v>0</v>
      </c>
      <c r="F759" s="438">
        <f t="shared" si="2"/>
        <v>0</v>
      </c>
      <c r="G759" t="str">
        <f t="shared" si="3"/>
        <v/>
      </c>
      <c r="H759" t="b">
        <f t="shared" si="4"/>
        <v>0</v>
      </c>
      <c r="I759" s="439">
        <f>IF(OR(ISBLANK(A759),ISNA(MATCH(A759&amp;"",AthleteNumbers,0))),0,MATCH(A759&amp;"",AthleteNumbers,0))</f>
        <v>0</v>
      </c>
      <c r="J759" s="209">
        <f t="array" ref="J759">IF(I759&gt;0,INDEX(DB,$I759,6),0)</f>
        <v>0</v>
      </c>
      <c r="K759" s="446">
        <f t="shared" si="5"/>
        <v>0</v>
      </c>
      <c r="L759" s="446">
        <f t="shared" si="6"/>
        <v>0</v>
      </c>
      <c r="M759" s="441">
        <f>IF(L759&lt;O759,MinPoints,IF(AND(L759&gt;N759,O759&gt;0),100,+INT(($L759-O759)/P759)+MinPoints))</f>
        <v>10</v>
      </c>
      <c r="N759" s="440">
        <f t="shared" si="7"/>
        <v>4.9</v>
      </c>
      <c r="O759" s="440">
        <f t="shared" si="8"/>
        <v>2.2</v>
      </c>
      <c r="P759" s="440">
        <f t="shared" si="9"/>
        <v>0.03</v>
      </c>
      <c r="Q759">
        <f t="array" ref="Q759">IF(I759&gt;0,INDEX(DB,I759,9),EventIndex)</f>
        <v>6</v>
      </c>
      <c r="S759" s="447">
        <f t="array" ref="S759">INDEX(MINVALUES,$Q759,$K$1)</f>
        <v>2.2</v>
      </c>
      <c r="T759" s="448">
        <f t="array" ref="T759">INDEX(INCVALUES,$Q759,$K$1)</f>
        <v>0.03</v>
      </c>
      <c r="V759">
        <f t="array" ref="V759">+J759+(4*(INDEX(MatchScoreTable,$Q759,20)-1))</f>
        <v>4</v>
      </c>
      <c r="W759" s="442">
        <f t="array" ref="W759">INDEX(INC_MINVALUES,$V759,$K$1)</f>
        <v>0.2</v>
      </c>
      <c r="X759" s="212">
        <f t="array" ref="X759">INDEX(INC_INCVALUES,$V759,$K$1)</f>
        <v>0.02</v>
      </c>
    </row>
    <row r="760" ht="15.75" customHeight="1">
      <c r="A760" s="435"/>
      <c r="B760" s="436"/>
      <c r="C760" s="95" t="str">
        <f t="array" ref="C760">IF(I760&gt;0,INDEX(DB,I760,8),"")</f>
        <v/>
      </c>
      <c r="D760" s="437">
        <f t="shared" si="1"/>
        <v>0</v>
      </c>
      <c r="F760" s="438">
        <f t="shared" si="2"/>
        <v>0</v>
      </c>
      <c r="G760" t="str">
        <f t="shared" si="3"/>
        <v/>
      </c>
      <c r="H760" t="b">
        <f t="shared" si="4"/>
        <v>0</v>
      </c>
      <c r="I760" s="439">
        <f>IF(OR(ISBLANK(A760),ISNA(MATCH(A760&amp;"",AthleteNumbers,0))),0,MATCH(A760&amp;"",AthleteNumbers,0))</f>
        <v>0</v>
      </c>
      <c r="J760" s="209">
        <f t="array" ref="J760">IF(I760&gt;0,INDEX(DB,$I760,6),0)</f>
        <v>0</v>
      </c>
      <c r="K760" s="446">
        <f t="shared" si="5"/>
        <v>0</v>
      </c>
      <c r="L760" s="446">
        <f t="shared" si="6"/>
        <v>0</v>
      </c>
      <c r="M760" s="441">
        <f>IF(L760&lt;O760,MinPoints,IF(AND(L760&gt;N760,O760&gt;0),100,+INT(($L760-O760)/P760)+MinPoints))</f>
        <v>10</v>
      </c>
      <c r="N760" s="440">
        <f t="shared" si="7"/>
        <v>4.9</v>
      </c>
      <c r="O760" s="440">
        <f t="shared" si="8"/>
        <v>2.2</v>
      </c>
      <c r="P760" s="440">
        <f t="shared" si="9"/>
        <v>0.03</v>
      </c>
      <c r="Q760">
        <f t="array" ref="Q760">IF(I760&gt;0,INDEX(DB,I760,9),EventIndex)</f>
        <v>6</v>
      </c>
      <c r="S760" s="447">
        <f t="array" ref="S760">INDEX(MINVALUES,$Q760,$K$1)</f>
        <v>2.2</v>
      </c>
      <c r="T760" s="448">
        <f t="array" ref="T760">INDEX(INCVALUES,$Q760,$K$1)</f>
        <v>0.03</v>
      </c>
      <c r="V760">
        <f t="array" ref="V760">+J760+(4*(INDEX(MatchScoreTable,$Q760,20)-1))</f>
        <v>4</v>
      </c>
      <c r="W760" s="442">
        <f t="array" ref="W760">INDEX(INC_MINVALUES,$V760,$K$1)</f>
        <v>0.2</v>
      </c>
      <c r="X760" s="212">
        <f t="array" ref="X760">INDEX(INC_INCVALUES,$V760,$K$1)</f>
        <v>0.02</v>
      </c>
    </row>
    <row r="761" ht="15.75" customHeight="1">
      <c r="A761" s="435"/>
      <c r="B761" s="436"/>
      <c r="C761" s="95" t="str">
        <f t="array" ref="C761">IF(I761&gt;0,INDEX(DB,I761,8),"")</f>
        <v/>
      </c>
      <c r="D761" s="437">
        <f t="shared" si="1"/>
        <v>0</v>
      </c>
      <c r="F761" s="438">
        <f t="shared" si="2"/>
        <v>0</v>
      </c>
      <c r="G761" t="str">
        <f t="shared" si="3"/>
        <v/>
      </c>
      <c r="H761" t="b">
        <f t="shared" si="4"/>
        <v>0</v>
      </c>
      <c r="I761" s="439">
        <f>IF(OR(ISBLANK(A761),ISNA(MATCH(A761&amp;"",AthleteNumbers,0))),0,MATCH(A761&amp;"",AthleteNumbers,0))</f>
        <v>0</v>
      </c>
      <c r="J761" s="209">
        <f t="array" ref="J761">IF(I761&gt;0,INDEX(DB,$I761,6),0)</f>
        <v>0</v>
      </c>
      <c r="K761" s="446">
        <f t="shared" si="5"/>
        <v>0</v>
      </c>
      <c r="L761" s="446">
        <f t="shared" si="6"/>
        <v>0</v>
      </c>
      <c r="M761" s="441">
        <f>IF(L761&lt;O761,MinPoints,IF(AND(L761&gt;N761,O761&gt;0),100,+INT(($L761-O761)/P761)+MinPoints))</f>
        <v>10</v>
      </c>
      <c r="N761" s="440">
        <f t="shared" si="7"/>
        <v>4.9</v>
      </c>
      <c r="O761" s="440">
        <f t="shared" si="8"/>
        <v>2.2</v>
      </c>
      <c r="P761" s="440">
        <f t="shared" si="9"/>
        <v>0.03</v>
      </c>
      <c r="Q761">
        <f t="array" ref="Q761">IF(I761&gt;0,INDEX(DB,I761,9),EventIndex)</f>
        <v>6</v>
      </c>
      <c r="S761" s="447">
        <f t="array" ref="S761">INDEX(MINVALUES,$Q761,$K$1)</f>
        <v>2.2</v>
      </c>
      <c r="T761" s="448">
        <f t="array" ref="T761">INDEX(INCVALUES,$Q761,$K$1)</f>
        <v>0.03</v>
      </c>
      <c r="V761">
        <f t="array" ref="V761">+J761+(4*(INDEX(MatchScoreTable,$Q761,20)-1))</f>
        <v>4</v>
      </c>
      <c r="W761" s="442">
        <f t="array" ref="W761">INDEX(INC_MINVALUES,$V761,$K$1)</f>
        <v>0.2</v>
      </c>
      <c r="X761" s="212">
        <f t="array" ref="X761">INDEX(INC_INCVALUES,$V761,$K$1)</f>
        <v>0.02</v>
      </c>
    </row>
    <row r="762" ht="15.75" customHeight="1">
      <c r="A762" s="435"/>
      <c r="B762" s="436"/>
      <c r="C762" s="95" t="str">
        <f t="array" ref="C762">IF(I762&gt;0,INDEX(DB,I762,8),"")</f>
        <v/>
      </c>
      <c r="D762" s="437">
        <f t="shared" si="1"/>
        <v>0</v>
      </c>
      <c r="F762" s="438">
        <f t="shared" si="2"/>
        <v>0</v>
      </c>
      <c r="G762" t="str">
        <f t="shared" si="3"/>
        <v/>
      </c>
      <c r="H762" t="b">
        <f t="shared" si="4"/>
        <v>0</v>
      </c>
      <c r="I762" s="439">
        <f>IF(OR(ISBLANK(A762),ISNA(MATCH(A762&amp;"",AthleteNumbers,0))),0,MATCH(A762&amp;"",AthleteNumbers,0))</f>
        <v>0</v>
      </c>
      <c r="J762" s="209">
        <f t="array" ref="J762">IF(I762&gt;0,INDEX(DB,$I762,6),0)</f>
        <v>0</v>
      </c>
      <c r="K762" s="446">
        <f t="shared" si="5"/>
        <v>0</v>
      </c>
      <c r="L762" s="446">
        <f t="shared" si="6"/>
        <v>0</v>
      </c>
      <c r="M762" s="441">
        <f>IF(L762&lt;O762,MinPoints,IF(AND(L762&gt;N762,O762&gt;0),100,+INT(($L762-O762)/P762)+MinPoints))</f>
        <v>10</v>
      </c>
      <c r="N762" s="440">
        <f t="shared" si="7"/>
        <v>4.9</v>
      </c>
      <c r="O762" s="440">
        <f t="shared" si="8"/>
        <v>2.2</v>
      </c>
      <c r="P762" s="440">
        <f t="shared" si="9"/>
        <v>0.03</v>
      </c>
      <c r="Q762">
        <f t="array" ref="Q762">IF(I762&gt;0,INDEX(DB,I762,9),EventIndex)</f>
        <v>6</v>
      </c>
      <c r="S762" s="447">
        <f t="array" ref="S762">INDEX(MINVALUES,$Q762,$K$1)</f>
        <v>2.2</v>
      </c>
      <c r="T762" s="448">
        <f t="array" ref="T762">INDEX(INCVALUES,$Q762,$K$1)</f>
        <v>0.03</v>
      </c>
      <c r="V762">
        <f t="array" ref="V762">+J762+(4*(INDEX(MatchScoreTable,$Q762,20)-1))</f>
        <v>4</v>
      </c>
      <c r="W762" s="442">
        <f t="array" ref="W762">INDEX(INC_MINVALUES,$V762,$K$1)</f>
        <v>0.2</v>
      </c>
      <c r="X762" s="212">
        <f t="array" ref="X762">INDEX(INC_INCVALUES,$V762,$K$1)</f>
        <v>0.02</v>
      </c>
    </row>
    <row r="763" ht="15.75" customHeight="1">
      <c r="A763" s="435"/>
      <c r="B763" s="436"/>
      <c r="C763" s="95" t="str">
        <f t="array" ref="C763">IF(I763&gt;0,INDEX(DB,I763,8),"")</f>
        <v/>
      </c>
      <c r="D763" s="437">
        <f t="shared" si="1"/>
        <v>0</v>
      </c>
      <c r="F763" s="438">
        <f t="shared" si="2"/>
        <v>0</v>
      </c>
      <c r="G763" t="str">
        <f t="shared" si="3"/>
        <v/>
      </c>
      <c r="H763" t="b">
        <f t="shared" si="4"/>
        <v>0</v>
      </c>
      <c r="I763" s="439">
        <f>IF(OR(ISBLANK(A763),ISNA(MATCH(A763&amp;"",AthleteNumbers,0))),0,MATCH(A763&amp;"",AthleteNumbers,0))</f>
        <v>0</v>
      </c>
      <c r="J763" s="209">
        <f t="array" ref="J763">IF(I763&gt;0,INDEX(DB,$I763,6),0)</f>
        <v>0</v>
      </c>
      <c r="K763" s="446">
        <f t="shared" si="5"/>
        <v>0</v>
      </c>
      <c r="L763" s="446">
        <f t="shared" si="6"/>
        <v>0</v>
      </c>
      <c r="M763" s="441">
        <f>IF(L763&lt;O763,MinPoints,IF(AND(L763&gt;N763,O763&gt;0),100,+INT(($L763-O763)/P763)+MinPoints))</f>
        <v>10</v>
      </c>
      <c r="N763" s="440">
        <f t="shared" si="7"/>
        <v>4.9</v>
      </c>
      <c r="O763" s="440">
        <f t="shared" si="8"/>
        <v>2.2</v>
      </c>
      <c r="P763" s="440">
        <f t="shared" si="9"/>
        <v>0.03</v>
      </c>
      <c r="Q763">
        <f t="array" ref="Q763">IF(I763&gt;0,INDEX(DB,I763,9),EventIndex)</f>
        <v>6</v>
      </c>
      <c r="S763" s="447">
        <f t="array" ref="S763">INDEX(MINVALUES,$Q763,$K$1)</f>
        <v>2.2</v>
      </c>
      <c r="T763" s="448">
        <f t="array" ref="T763">INDEX(INCVALUES,$Q763,$K$1)</f>
        <v>0.03</v>
      </c>
      <c r="V763">
        <f t="array" ref="V763">+J763+(4*(INDEX(MatchScoreTable,$Q763,20)-1))</f>
        <v>4</v>
      </c>
      <c r="W763" s="442">
        <f t="array" ref="W763">INDEX(INC_MINVALUES,$V763,$K$1)</f>
        <v>0.2</v>
      </c>
      <c r="X763" s="212">
        <f t="array" ref="X763">INDEX(INC_INCVALUES,$V763,$K$1)</f>
        <v>0.02</v>
      </c>
    </row>
    <row r="764" ht="15.75" customHeight="1">
      <c r="A764" s="435"/>
      <c r="B764" s="436"/>
      <c r="C764" s="95" t="str">
        <f t="array" ref="C764">IF(I764&gt;0,INDEX(DB,I764,8),"")</f>
        <v/>
      </c>
      <c r="D764" s="437">
        <f t="shared" si="1"/>
        <v>0</v>
      </c>
      <c r="F764" s="438">
        <f t="shared" si="2"/>
        <v>0</v>
      </c>
      <c r="G764" t="str">
        <f t="shared" si="3"/>
        <v/>
      </c>
      <c r="H764" t="b">
        <f t="shared" si="4"/>
        <v>0</v>
      </c>
      <c r="I764" s="439">
        <f>IF(OR(ISBLANK(A764),ISNA(MATCH(A764&amp;"",AthleteNumbers,0))),0,MATCH(A764&amp;"",AthleteNumbers,0))</f>
        <v>0</v>
      </c>
      <c r="J764" s="209">
        <f t="array" ref="J764">IF(I764&gt;0,INDEX(DB,$I764,6),0)</f>
        <v>0</v>
      </c>
      <c r="K764" s="446">
        <f t="shared" si="5"/>
        <v>0</v>
      </c>
      <c r="L764" s="446">
        <f t="shared" si="6"/>
        <v>0</v>
      </c>
      <c r="M764" s="441">
        <f>IF(L764&lt;O764,MinPoints,IF(AND(L764&gt;N764,O764&gt;0),100,+INT(($L764-O764)/P764)+MinPoints))</f>
        <v>10</v>
      </c>
      <c r="N764" s="440">
        <f t="shared" si="7"/>
        <v>4.9</v>
      </c>
      <c r="O764" s="440">
        <f t="shared" si="8"/>
        <v>2.2</v>
      </c>
      <c r="P764" s="440">
        <f t="shared" si="9"/>
        <v>0.03</v>
      </c>
      <c r="Q764">
        <f t="array" ref="Q764">IF(I764&gt;0,INDEX(DB,I764,9),EventIndex)</f>
        <v>6</v>
      </c>
      <c r="S764" s="447">
        <f t="array" ref="S764">INDEX(MINVALUES,$Q764,$K$1)</f>
        <v>2.2</v>
      </c>
      <c r="T764" s="448">
        <f t="array" ref="T764">INDEX(INCVALUES,$Q764,$K$1)</f>
        <v>0.03</v>
      </c>
      <c r="V764">
        <f t="array" ref="V764">+J764+(4*(INDEX(MatchScoreTable,$Q764,20)-1))</f>
        <v>4</v>
      </c>
      <c r="W764" s="442">
        <f t="array" ref="W764">INDEX(INC_MINVALUES,$V764,$K$1)</f>
        <v>0.2</v>
      </c>
      <c r="X764" s="212">
        <f t="array" ref="X764">INDEX(INC_INCVALUES,$V764,$K$1)</f>
        <v>0.02</v>
      </c>
    </row>
    <row r="765" ht="15.75" customHeight="1">
      <c r="A765" s="435"/>
      <c r="B765" s="436"/>
      <c r="C765" s="95" t="str">
        <f t="array" ref="C765">IF(I765&gt;0,INDEX(DB,I765,8),"")</f>
        <v/>
      </c>
      <c r="D765" s="437">
        <f t="shared" si="1"/>
        <v>0</v>
      </c>
      <c r="F765" s="438">
        <f t="shared" si="2"/>
        <v>0</v>
      </c>
      <c r="G765" t="str">
        <f t="shared" si="3"/>
        <v/>
      </c>
      <c r="H765" t="b">
        <f t="shared" si="4"/>
        <v>0</v>
      </c>
      <c r="I765" s="439">
        <f>IF(OR(ISBLANK(A765),ISNA(MATCH(A765&amp;"",AthleteNumbers,0))),0,MATCH(A765&amp;"",AthleteNumbers,0))</f>
        <v>0</v>
      </c>
      <c r="J765" s="209">
        <f t="array" ref="J765">IF(I765&gt;0,INDEX(DB,$I765,6),0)</f>
        <v>0</v>
      </c>
      <c r="K765" s="446">
        <f t="shared" si="5"/>
        <v>0</v>
      </c>
      <c r="L765" s="446">
        <f t="shared" si="6"/>
        <v>0</v>
      </c>
      <c r="M765" s="441">
        <f>IF(L765&lt;O765,MinPoints,IF(AND(L765&gt;N765,O765&gt;0),100,+INT(($L765-O765)/P765)+MinPoints))</f>
        <v>10</v>
      </c>
      <c r="N765" s="440">
        <f t="shared" si="7"/>
        <v>4.9</v>
      </c>
      <c r="O765" s="440">
        <f t="shared" si="8"/>
        <v>2.2</v>
      </c>
      <c r="P765" s="440">
        <f t="shared" si="9"/>
        <v>0.03</v>
      </c>
      <c r="Q765">
        <f t="array" ref="Q765">IF(I765&gt;0,INDEX(DB,I765,9),EventIndex)</f>
        <v>6</v>
      </c>
      <c r="S765" s="447">
        <f t="array" ref="S765">INDEX(MINVALUES,$Q765,$K$1)</f>
        <v>2.2</v>
      </c>
      <c r="T765" s="448">
        <f t="array" ref="T765">INDEX(INCVALUES,$Q765,$K$1)</f>
        <v>0.03</v>
      </c>
      <c r="V765">
        <f t="array" ref="V765">+J765+(4*(INDEX(MatchScoreTable,$Q765,20)-1))</f>
        <v>4</v>
      </c>
      <c r="W765" s="442">
        <f t="array" ref="W765">INDEX(INC_MINVALUES,$V765,$K$1)</f>
        <v>0.2</v>
      </c>
      <c r="X765" s="212">
        <f t="array" ref="X765">INDEX(INC_INCVALUES,$V765,$K$1)</f>
        <v>0.02</v>
      </c>
    </row>
    <row r="766" ht="15.75" customHeight="1">
      <c r="A766" s="435"/>
      <c r="B766" s="436"/>
      <c r="C766" s="95" t="str">
        <f t="array" ref="C766">IF(I766&gt;0,INDEX(DB,I766,8),"")</f>
        <v/>
      </c>
      <c r="D766" s="437">
        <f t="shared" si="1"/>
        <v>0</v>
      </c>
      <c r="F766" s="438">
        <f t="shared" si="2"/>
        <v>0</v>
      </c>
      <c r="G766" t="str">
        <f t="shared" si="3"/>
        <v/>
      </c>
      <c r="H766" t="b">
        <f t="shared" si="4"/>
        <v>0</v>
      </c>
      <c r="I766" s="439">
        <f>IF(OR(ISBLANK(A766),ISNA(MATCH(A766&amp;"",AthleteNumbers,0))),0,MATCH(A766&amp;"",AthleteNumbers,0))</f>
        <v>0</v>
      </c>
      <c r="J766" s="209">
        <f t="array" ref="J766">IF(I766&gt;0,INDEX(DB,$I766,6),0)</f>
        <v>0</v>
      </c>
      <c r="K766" s="446">
        <f t="shared" si="5"/>
        <v>0</v>
      </c>
      <c r="L766" s="446">
        <f t="shared" si="6"/>
        <v>0</v>
      </c>
      <c r="M766" s="441">
        <f>IF(L766&lt;O766,MinPoints,IF(AND(L766&gt;N766,O766&gt;0),100,+INT(($L766-O766)/P766)+MinPoints))</f>
        <v>10</v>
      </c>
      <c r="N766" s="440">
        <f t="shared" si="7"/>
        <v>4.9</v>
      </c>
      <c r="O766" s="440">
        <f t="shared" si="8"/>
        <v>2.2</v>
      </c>
      <c r="P766" s="440">
        <f t="shared" si="9"/>
        <v>0.03</v>
      </c>
      <c r="Q766">
        <f t="array" ref="Q766">IF(I766&gt;0,INDEX(DB,I766,9),EventIndex)</f>
        <v>6</v>
      </c>
      <c r="S766" s="447">
        <f t="array" ref="S766">INDEX(MINVALUES,$Q766,$K$1)</f>
        <v>2.2</v>
      </c>
      <c r="T766" s="448">
        <f t="array" ref="T766">INDEX(INCVALUES,$Q766,$K$1)</f>
        <v>0.03</v>
      </c>
      <c r="V766">
        <f t="array" ref="V766">+J766+(4*(INDEX(MatchScoreTable,$Q766,20)-1))</f>
        <v>4</v>
      </c>
      <c r="W766" s="442">
        <f t="array" ref="W766">INDEX(INC_MINVALUES,$V766,$K$1)</f>
        <v>0.2</v>
      </c>
      <c r="X766" s="212">
        <f t="array" ref="X766">INDEX(INC_INCVALUES,$V766,$K$1)</f>
        <v>0.02</v>
      </c>
    </row>
    <row r="767" ht="15.75" customHeight="1">
      <c r="A767" s="435"/>
      <c r="B767" s="436"/>
      <c r="C767" s="95" t="str">
        <f t="array" ref="C767">IF(I767&gt;0,INDEX(DB,I767,8),"")</f>
        <v/>
      </c>
      <c r="D767" s="437">
        <f t="shared" si="1"/>
        <v>0</v>
      </c>
      <c r="F767" s="438">
        <f t="shared" si="2"/>
        <v>0</v>
      </c>
      <c r="G767" t="str">
        <f t="shared" si="3"/>
        <v/>
      </c>
      <c r="H767" t="b">
        <f t="shared" si="4"/>
        <v>0</v>
      </c>
      <c r="I767" s="439">
        <f>IF(OR(ISBLANK(A767),ISNA(MATCH(A767&amp;"",AthleteNumbers,0))),0,MATCH(A767&amp;"",AthleteNumbers,0))</f>
        <v>0</v>
      </c>
      <c r="J767" s="209">
        <f t="array" ref="J767">IF(I767&gt;0,INDEX(DB,$I767,6),0)</f>
        <v>0</v>
      </c>
      <c r="K767" s="446">
        <f t="shared" si="5"/>
        <v>0</v>
      </c>
      <c r="L767" s="446">
        <f t="shared" si="6"/>
        <v>0</v>
      </c>
      <c r="M767" s="441">
        <f>IF(L767&lt;O767,MinPoints,IF(AND(L767&gt;N767,O767&gt;0),100,+INT(($L767-O767)/P767)+MinPoints))</f>
        <v>10</v>
      </c>
      <c r="N767" s="440">
        <f t="shared" si="7"/>
        <v>4.9</v>
      </c>
      <c r="O767" s="440">
        <f t="shared" si="8"/>
        <v>2.2</v>
      </c>
      <c r="P767" s="440">
        <f t="shared" si="9"/>
        <v>0.03</v>
      </c>
      <c r="Q767">
        <f t="array" ref="Q767">IF(I767&gt;0,INDEX(DB,I767,9),EventIndex)</f>
        <v>6</v>
      </c>
      <c r="S767" s="447">
        <f t="array" ref="S767">INDEX(MINVALUES,$Q767,$K$1)</f>
        <v>2.2</v>
      </c>
      <c r="T767" s="448">
        <f t="array" ref="T767">INDEX(INCVALUES,$Q767,$K$1)</f>
        <v>0.03</v>
      </c>
      <c r="V767">
        <f t="array" ref="V767">+J767+(4*(INDEX(MatchScoreTable,$Q767,20)-1))</f>
        <v>4</v>
      </c>
      <c r="W767" s="442">
        <f t="array" ref="W767">INDEX(INC_MINVALUES,$V767,$K$1)</f>
        <v>0.2</v>
      </c>
      <c r="X767" s="212">
        <f t="array" ref="X767">INDEX(INC_INCVALUES,$V767,$K$1)</f>
        <v>0.02</v>
      </c>
    </row>
    <row r="768" ht="15.75" customHeight="1">
      <c r="A768" s="435"/>
      <c r="B768" s="436"/>
      <c r="C768" s="95" t="str">
        <f t="array" ref="C768">IF(I768&gt;0,INDEX(DB,I768,8),"")</f>
        <v/>
      </c>
      <c r="D768" s="437">
        <f t="shared" si="1"/>
        <v>0</v>
      </c>
      <c r="F768" s="438">
        <f t="shared" si="2"/>
        <v>0</v>
      </c>
      <c r="G768" t="str">
        <f t="shared" si="3"/>
        <v/>
      </c>
      <c r="H768" t="b">
        <f t="shared" si="4"/>
        <v>0</v>
      </c>
      <c r="I768" s="439">
        <f>IF(OR(ISBLANK(A768),ISNA(MATCH(A768&amp;"",AthleteNumbers,0))),0,MATCH(A768&amp;"",AthleteNumbers,0))</f>
        <v>0</v>
      </c>
      <c r="J768" s="209">
        <f t="array" ref="J768">IF(I768&gt;0,INDEX(DB,$I768,6),0)</f>
        <v>0</v>
      </c>
      <c r="K768" s="446">
        <f t="shared" si="5"/>
        <v>0</v>
      </c>
      <c r="L768" s="446">
        <f t="shared" si="6"/>
        <v>0</v>
      </c>
      <c r="M768" s="441">
        <f>IF(L768&lt;O768,MinPoints,IF(AND(L768&gt;N768,O768&gt;0),100,+INT(($L768-O768)/P768)+MinPoints))</f>
        <v>10</v>
      </c>
      <c r="N768" s="440">
        <f t="shared" si="7"/>
        <v>4.9</v>
      </c>
      <c r="O768" s="440">
        <f t="shared" si="8"/>
        <v>2.2</v>
      </c>
      <c r="P768" s="440">
        <f t="shared" si="9"/>
        <v>0.03</v>
      </c>
      <c r="Q768">
        <f t="array" ref="Q768">IF(I768&gt;0,INDEX(DB,I768,9),EventIndex)</f>
        <v>6</v>
      </c>
      <c r="S768" s="447">
        <f t="array" ref="S768">INDEX(MINVALUES,$Q768,$K$1)</f>
        <v>2.2</v>
      </c>
      <c r="T768" s="448">
        <f t="array" ref="T768">INDEX(INCVALUES,$Q768,$K$1)</f>
        <v>0.03</v>
      </c>
      <c r="V768">
        <f t="array" ref="V768">+J768+(4*(INDEX(MatchScoreTable,$Q768,20)-1))</f>
        <v>4</v>
      </c>
      <c r="W768" s="442">
        <f t="array" ref="W768">INDEX(INC_MINVALUES,$V768,$K$1)</f>
        <v>0.2</v>
      </c>
      <c r="X768" s="212">
        <f t="array" ref="X768">INDEX(INC_INCVALUES,$V768,$K$1)</f>
        <v>0.02</v>
      </c>
    </row>
    <row r="769" ht="15.75" customHeight="1">
      <c r="A769" s="435"/>
      <c r="B769" s="436"/>
      <c r="C769" s="95" t="str">
        <f t="array" ref="C769">IF(I769&gt;0,INDEX(DB,I769,8),"")</f>
        <v/>
      </c>
      <c r="D769" s="437">
        <f t="shared" si="1"/>
        <v>0</v>
      </c>
      <c r="F769" s="438">
        <f t="shared" si="2"/>
        <v>0</v>
      </c>
      <c r="G769" t="str">
        <f t="shared" si="3"/>
        <v/>
      </c>
      <c r="H769" t="b">
        <f t="shared" si="4"/>
        <v>0</v>
      </c>
      <c r="I769" s="439">
        <f>IF(OR(ISBLANK(A769),ISNA(MATCH(A769&amp;"",AthleteNumbers,0))),0,MATCH(A769&amp;"",AthleteNumbers,0))</f>
        <v>0</v>
      </c>
      <c r="J769" s="209">
        <f t="array" ref="J769">IF(I769&gt;0,INDEX(DB,$I769,6),0)</f>
        <v>0</v>
      </c>
      <c r="K769" s="446">
        <f t="shared" si="5"/>
        <v>0</v>
      </c>
      <c r="L769" s="446">
        <f t="shared" si="6"/>
        <v>0</v>
      </c>
      <c r="M769" s="441">
        <f>IF(L769&lt;O769,MinPoints,IF(AND(L769&gt;N769,O769&gt;0),100,+INT(($L769-O769)/P769)+MinPoints))</f>
        <v>10</v>
      </c>
      <c r="N769" s="440">
        <f t="shared" si="7"/>
        <v>4.9</v>
      </c>
      <c r="O769" s="440">
        <f t="shared" si="8"/>
        <v>2.2</v>
      </c>
      <c r="P769" s="440">
        <f t="shared" si="9"/>
        <v>0.03</v>
      </c>
      <c r="Q769">
        <f t="array" ref="Q769">IF(I769&gt;0,INDEX(DB,I769,9),EventIndex)</f>
        <v>6</v>
      </c>
      <c r="S769" s="447">
        <f t="array" ref="S769">INDEX(MINVALUES,$Q769,$K$1)</f>
        <v>2.2</v>
      </c>
      <c r="T769" s="448">
        <f t="array" ref="T769">INDEX(INCVALUES,$Q769,$K$1)</f>
        <v>0.03</v>
      </c>
      <c r="V769">
        <f t="array" ref="V769">+J769+(4*(INDEX(MatchScoreTable,$Q769,20)-1))</f>
        <v>4</v>
      </c>
      <c r="W769" s="442">
        <f t="array" ref="W769">INDEX(INC_MINVALUES,$V769,$K$1)</f>
        <v>0.2</v>
      </c>
      <c r="X769" s="212">
        <f t="array" ref="X769">INDEX(INC_INCVALUES,$V769,$K$1)</f>
        <v>0.02</v>
      </c>
    </row>
    <row r="770" ht="15.75" customHeight="1">
      <c r="A770" s="435"/>
      <c r="B770" s="436"/>
      <c r="C770" s="95" t="str">
        <f t="array" ref="C770">IF(I770&gt;0,INDEX(DB,I770,8),"")</f>
        <v/>
      </c>
      <c r="D770" s="437">
        <f t="shared" si="1"/>
        <v>0</v>
      </c>
      <c r="F770" s="438">
        <f t="shared" si="2"/>
        <v>0</v>
      </c>
      <c r="G770" t="str">
        <f t="shared" si="3"/>
        <v/>
      </c>
      <c r="H770" t="b">
        <f t="shared" si="4"/>
        <v>0</v>
      </c>
      <c r="I770" s="439">
        <f>IF(OR(ISBLANK(A770),ISNA(MATCH(A770&amp;"",AthleteNumbers,0))),0,MATCH(A770&amp;"",AthleteNumbers,0))</f>
        <v>0</v>
      </c>
      <c r="J770" s="209">
        <f t="array" ref="J770">IF(I770&gt;0,INDEX(DB,$I770,6),0)</f>
        <v>0</v>
      </c>
      <c r="K770" s="446">
        <f t="shared" si="5"/>
        <v>0</v>
      </c>
      <c r="L770" s="446">
        <f t="shared" si="6"/>
        <v>0</v>
      </c>
      <c r="M770" s="441">
        <f>IF(L770&lt;O770,MinPoints,IF(AND(L770&gt;N770,O770&gt;0),100,+INT(($L770-O770)/P770)+MinPoints))</f>
        <v>10</v>
      </c>
      <c r="N770" s="440">
        <f t="shared" si="7"/>
        <v>4.9</v>
      </c>
      <c r="O770" s="440">
        <f t="shared" si="8"/>
        <v>2.2</v>
      </c>
      <c r="P770" s="440">
        <f t="shared" si="9"/>
        <v>0.03</v>
      </c>
      <c r="Q770">
        <f t="array" ref="Q770">IF(I770&gt;0,INDEX(DB,I770,9),EventIndex)</f>
        <v>6</v>
      </c>
      <c r="S770" s="447">
        <f t="array" ref="S770">INDEX(MINVALUES,$Q770,$K$1)</f>
        <v>2.2</v>
      </c>
      <c r="T770" s="448">
        <f t="array" ref="T770">INDEX(INCVALUES,$Q770,$K$1)</f>
        <v>0.03</v>
      </c>
      <c r="V770">
        <f t="array" ref="V770">+J770+(4*(INDEX(MatchScoreTable,$Q770,20)-1))</f>
        <v>4</v>
      </c>
      <c r="W770" s="442">
        <f t="array" ref="W770">INDEX(INC_MINVALUES,$V770,$K$1)</f>
        <v>0.2</v>
      </c>
      <c r="X770" s="212">
        <f t="array" ref="X770">INDEX(INC_INCVALUES,$V770,$K$1)</f>
        <v>0.02</v>
      </c>
    </row>
    <row r="771" ht="15.75" customHeight="1">
      <c r="A771" s="435"/>
      <c r="B771" s="436"/>
      <c r="C771" s="95" t="str">
        <f t="array" ref="C771">IF(I771&gt;0,INDEX(DB,I771,8),"")</f>
        <v/>
      </c>
      <c r="D771" s="437">
        <f t="shared" si="1"/>
        <v>0</v>
      </c>
      <c r="F771" s="438">
        <f t="shared" si="2"/>
        <v>0</v>
      </c>
      <c r="G771" t="str">
        <f t="shared" si="3"/>
        <v/>
      </c>
      <c r="H771" t="b">
        <f t="shared" si="4"/>
        <v>0</v>
      </c>
      <c r="I771" s="439">
        <f>IF(OR(ISBLANK(A771),ISNA(MATCH(A771&amp;"",AthleteNumbers,0))),0,MATCH(A771&amp;"",AthleteNumbers,0))</f>
        <v>0</v>
      </c>
      <c r="J771" s="209">
        <f t="array" ref="J771">IF(I771&gt;0,INDEX(DB,$I771,6),0)</f>
        <v>0</v>
      </c>
      <c r="K771" s="446">
        <f t="shared" si="5"/>
        <v>0</v>
      </c>
      <c r="L771" s="446">
        <f t="shared" si="6"/>
        <v>0</v>
      </c>
      <c r="M771" s="441">
        <f>IF(L771&lt;O771,MinPoints,IF(AND(L771&gt;N771,O771&gt;0),100,+INT(($L771-O771)/P771)+MinPoints))</f>
        <v>10</v>
      </c>
      <c r="N771" s="440">
        <f t="shared" si="7"/>
        <v>4.9</v>
      </c>
      <c r="O771" s="440">
        <f t="shared" si="8"/>
        <v>2.2</v>
      </c>
      <c r="P771" s="440">
        <f t="shared" si="9"/>
        <v>0.03</v>
      </c>
      <c r="Q771">
        <f t="array" ref="Q771">IF(I771&gt;0,INDEX(DB,I771,9),EventIndex)</f>
        <v>6</v>
      </c>
      <c r="S771" s="447">
        <f t="array" ref="S771">INDEX(MINVALUES,$Q771,$K$1)</f>
        <v>2.2</v>
      </c>
      <c r="T771" s="448">
        <f t="array" ref="T771">INDEX(INCVALUES,$Q771,$K$1)</f>
        <v>0.03</v>
      </c>
      <c r="V771">
        <f t="array" ref="V771">+J771+(4*(INDEX(MatchScoreTable,$Q771,20)-1))</f>
        <v>4</v>
      </c>
      <c r="W771" s="442">
        <f t="array" ref="W771">INDEX(INC_MINVALUES,$V771,$K$1)</f>
        <v>0.2</v>
      </c>
      <c r="X771" s="212">
        <f t="array" ref="X771">INDEX(INC_INCVALUES,$V771,$K$1)</f>
        <v>0.02</v>
      </c>
    </row>
    <row r="772" ht="15.75" customHeight="1">
      <c r="A772" s="435"/>
      <c r="B772" s="436"/>
      <c r="C772" s="95" t="str">
        <f t="array" ref="C772">IF(I772&gt;0,INDEX(DB,I772,8),"")</f>
        <v/>
      </c>
      <c r="D772" s="437">
        <f t="shared" si="1"/>
        <v>0</v>
      </c>
      <c r="F772" s="438">
        <f t="shared" si="2"/>
        <v>0</v>
      </c>
      <c r="G772" t="str">
        <f t="shared" si="3"/>
        <v/>
      </c>
      <c r="H772" t="b">
        <f t="shared" si="4"/>
        <v>0</v>
      </c>
      <c r="I772" s="439">
        <f>IF(OR(ISBLANK(A772),ISNA(MATCH(A772&amp;"",AthleteNumbers,0))),0,MATCH(A772&amp;"",AthleteNumbers,0))</f>
        <v>0</v>
      </c>
      <c r="J772" s="209">
        <f t="array" ref="J772">IF(I772&gt;0,INDEX(DB,$I772,6),0)</f>
        <v>0</v>
      </c>
      <c r="K772" s="446">
        <f t="shared" si="5"/>
        <v>0</v>
      </c>
      <c r="L772" s="446">
        <f t="shared" si="6"/>
        <v>0</v>
      </c>
      <c r="M772" s="441">
        <f>IF(L772&lt;O772,MinPoints,IF(AND(L772&gt;N772,O772&gt;0),100,+INT(($L772-O772)/P772)+MinPoints))</f>
        <v>10</v>
      </c>
      <c r="N772" s="440">
        <f t="shared" si="7"/>
        <v>4.9</v>
      </c>
      <c r="O772" s="440">
        <f t="shared" si="8"/>
        <v>2.2</v>
      </c>
      <c r="P772" s="440">
        <f t="shared" si="9"/>
        <v>0.03</v>
      </c>
      <c r="Q772">
        <f t="array" ref="Q772">IF(I772&gt;0,INDEX(DB,I772,9),EventIndex)</f>
        <v>6</v>
      </c>
      <c r="S772" s="447">
        <f t="array" ref="S772">INDEX(MINVALUES,$Q772,$K$1)</f>
        <v>2.2</v>
      </c>
      <c r="T772" s="448">
        <f t="array" ref="T772">INDEX(INCVALUES,$Q772,$K$1)</f>
        <v>0.03</v>
      </c>
      <c r="V772">
        <f t="array" ref="V772">+J772+(4*(INDEX(MatchScoreTable,$Q772,20)-1))</f>
        <v>4</v>
      </c>
      <c r="W772" s="442">
        <f t="array" ref="W772">INDEX(INC_MINVALUES,$V772,$K$1)</f>
        <v>0.2</v>
      </c>
      <c r="X772" s="212">
        <f t="array" ref="X772">INDEX(INC_INCVALUES,$V772,$K$1)</f>
        <v>0.02</v>
      </c>
    </row>
    <row r="773" ht="15.75" customHeight="1">
      <c r="A773" s="435"/>
      <c r="B773" s="436"/>
      <c r="C773" s="95" t="str">
        <f t="array" ref="C773">IF(I773&gt;0,INDEX(DB,I773,8),"")</f>
        <v/>
      </c>
      <c r="D773" s="437">
        <f t="shared" si="1"/>
        <v>0</v>
      </c>
      <c r="F773" s="438">
        <f t="shared" si="2"/>
        <v>0</v>
      </c>
      <c r="G773" t="str">
        <f t="shared" si="3"/>
        <v/>
      </c>
      <c r="H773" t="b">
        <f t="shared" si="4"/>
        <v>0</v>
      </c>
      <c r="I773" s="439">
        <f>IF(OR(ISBLANK(A773),ISNA(MATCH(A773&amp;"",AthleteNumbers,0))),0,MATCH(A773&amp;"",AthleteNumbers,0))</f>
        <v>0</v>
      </c>
      <c r="J773" s="209">
        <f t="array" ref="J773">IF(I773&gt;0,INDEX(DB,$I773,6),0)</f>
        <v>0</v>
      </c>
      <c r="K773" s="446">
        <f t="shared" si="5"/>
        <v>0</v>
      </c>
      <c r="L773" s="446">
        <f t="shared" si="6"/>
        <v>0</v>
      </c>
      <c r="M773" s="441">
        <f>IF(L773&lt;O773,MinPoints,IF(AND(L773&gt;N773,O773&gt;0),100,+INT(($L773-O773)/P773)+MinPoints))</f>
        <v>10</v>
      </c>
      <c r="N773" s="440">
        <f t="shared" si="7"/>
        <v>4.9</v>
      </c>
      <c r="O773" s="440">
        <f t="shared" si="8"/>
        <v>2.2</v>
      </c>
      <c r="P773" s="440">
        <f t="shared" si="9"/>
        <v>0.03</v>
      </c>
      <c r="Q773">
        <f t="array" ref="Q773">IF(I773&gt;0,INDEX(DB,I773,9),EventIndex)</f>
        <v>6</v>
      </c>
      <c r="S773" s="447">
        <f t="array" ref="S773">INDEX(MINVALUES,$Q773,$K$1)</f>
        <v>2.2</v>
      </c>
      <c r="T773" s="448">
        <f t="array" ref="T773">INDEX(INCVALUES,$Q773,$K$1)</f>
        <v>0.03</v>
      </c>
      <c r="V773">
        <f t="array" ref="V773">+J773+(4*(INDEX(MatchScoreTable,$Q773,20)-1))</f>
        <v>4</v>
      </c>
      <c r="W773" s="442">
        <f t="array" ref="W773">INDEX(INC_MINVALUES,$V773,$K$1)</f>
        <v>0.2</v>
      </c>
      <c r="X773" s="212">
        <f t="array" ref="X773">INDEX(INC_INCVALUES,$V773,$K$1)</f>
        <v>0.02</v>
      </c>
    </row>
    <row r="774" ht="15.75" customHeight="1">
      <c r="A774" s="435"/>
      <c r="B774" s="436"/>
      <c r="C774" s="95" t="str">
        <f t="array" ref="C774">IF(I774&gt;0,INDEX(DB,I774,8),"")</f>
        <v/>
      </c>
      <c r="D774" s="437">
        <f t="shared" si="1"/>
        <v>0</v>
      </c>
      <c r="F774" s="438">
        <f t="shared" si="2"/>
        <v>0</v>
      </c>
      <c r="G774" t="str">
        <f t="shared" si="3"/>
        <v/>
      </c>
      <c r="H774" t="b">
        <f t="shared" si="4"/>
        <v>0</v>
      </c>
      <c r="I774" s="439">
        <f>IF(OR(ISBLANK(A774),ISNA(MATCH(A774&amp;"",AthleteNumbers,0))),0,MATCH(A774&amp;"",AthleteNumbers,0))</f>
        <v>0</v>
      </c>
      <c r="J774" s="209">
        <f t="array" ref="J774">IF(I774&gt;0,INDEX(DB,$I774,6),0)</f>
        <v>0</v>
      </c>
      <c r="K774" s="446">
        <f t="shared" si="5"/>
        <v>0</v>
      </c>
      <c r="L774" s="446">
        <f t="shared" si="6"/>
        <v>0</v>
      </c>
      <c r="M774" s="441">
        <f>IF(L774&lt;O774,MinPoints,IF(AND(L774&gt;N774,O774&gt;0),100,+INT(($L774-O774)/P774)+MinPoints))</f>
        <v>10</v>
      </c>
      <c r="N774" s="440">
        <f t="shared" si="7"/>
        <v>4.9</v>
      </c>
      <c r="O774" s="440">
        <f t="shared" si="8"/>
        <v>2.2</v>
      </c>
      <c r="P774" s="440">
        <f t="shared" si="9"/>
        <v>0.03</v>
      </c>
      <c r="Q774">
        <f t="array" ref="Q774">IF(I774&gt;0,INDEX(DB,I774,9),EventIndex)</f>
        <v>6</v>
      </c>
      <c r="S774" s="447">
        <f t="array" ref="S774">INDEX(MINVALUES,$Q774,$K$1)</f>
        <v>2.2</v>
      </c>
      <c r="T774" s="448">
        <f t="array" ref="T774">INDEX(INCVALUES,$Q774,$K$1)</f>
        <v>0.03</v>
      </c>
      <c r="V774">
        <f t="array" ref="V774">+J774+(4*(INDEX(MatchScoreTable,$Q774,20)-1))</f>
        <v>4</v>
      </c>
      <c r="W774" s="442">
        <f t="array" ref="W774">INDEX(INC_MINVALUES,$V774,$K$1)</f>
        <v>0.2</v>
      </c>
      <c r="X774" s="212">
        <f t="array" ref="X774">INDEX(INC_INCVALUES,$V774,$K$1)</f>
        <v>0.02</v>
      </c>
    </row>
    <row r="775" ht="15.75" customHeight="1">
      <c r="A775" s="435"/>
      <c r="B775" s="436"/>
      <c r="C775" s="95" t="str">
        <f t="array" ref="C775">IF(I775&gt;0,INDEX(DB,I775,8),"")</f>
        <v/>
      </c>
      <c r="D775" s="437">
        <f t="shared" si="1"/>
        <v>0</v>
      </c>
      <c r="F775" s="438">
        <f t="shared" si="2"/>
        <v>0</v>
      </c>
      <c r="G775" t="str">
        <f t="shared" si="3"/>
        <v/>
      </c>
      <c r="H775" t="b">
        <f t="shared" si="4"/>
        <v>0</v>
      </c>
      <c r="I775" s="439">
        <f>IF(OR(ISBLANK(A775),ISNA(MATCH(A775&amp;"",AthleteNumbers,0))),0,MATCH(A775&amp;"",AthleteNumbers,0))</f>
        <v>0</v>
      </c>
      <c r="J775" s="209">
        <f t="array" ref="J775">IF(I775&gt;0,INDEX(DB,$I775,6),0)</f>
        <v>0</v>
      </c>
      <c r="K775" s="446">
        <f t="shared" si="5"/>
        <v>0</v>
      </c>
      <c r="L775" s="446">
        <f t="shared" si="6"/>
        <v>0</v>
      </c>
      <c r="M775" s="441">
        <f>IF(L775&lt;O775,MinPoints,IF(AND(L775&gt;N775,O775&gt;0),100,+INT(($L775-O775)/P775)+MinPoints))</f>
        <v>10</v>
      </c>
      <c r="N775" s="440">
        <f t="shared" si="7"/>
        <v>4.9</v>
      </c>
      <c r="O775" s="440">
        <f t="shared" si="8"/>
        <v>2.2</v>
      </c>
      <c r="P775" s="440">
        <f t="shared" si="9"/>
        <v>0.03</v>
      </c>
      <c r="Q775">
        <f t="array" ref="Q775">IF(I775&gt;0,INDEX(DB,I775,9),EventIndex)</f>
        <v>6</v>
      </c>
      <c r="S775" s="447">
        <f t="array" ref="S775">INDEX(MINVALUES,$Q775,$K$1)</f>
        <v>2.2</v>
      </c>
      <c r="T775" s="448">
        <f t="array" ref="T775">INDEX(INCVALUES,$Q775,$K$1)</f>
        <v>0.03</v>
      </c>
      <c r="V775">
        <f t="array" ref="V775">+J775+(4*(INDEX(MatchScoreTable,$Q775,20)-1))</f>
        <v>4</v>
      </c>
      <c r="W775" s="442">
        <f t="array" ref="W775">INDEX(INC_MINVALUES,$V775,$K$1)</f>
        <v>0.2</v>
      </c>
      <c r="X775" s="212">
        <f t="array" ref="X775">INDEX(INC_INCVALUES,$V775,$K$1)</f>
        <v>0.02</v>
      </c>
    </row>
    <row r="776" ht="15.75" customHeight="1">
      <c r="A776" s="435"/>
      <c r="B776" s="436"/>
      <c r="C776" s="95" t="str">
        <f t="array" ref="C776">IF(I776&gt;0,INDEX(DB,I776,8),"")</f>
        <v/>
      </c>
      <c r="D776" s="437">
        <f t="shared" si="1"/>
        <v>0</v>
      </c>
      <c r="F776" s="438">
        <f t="shared" si="2"/>
        <v>0</v>
      </c>
      <c r="G776" t="str">
        <f t="shared" si="3"/>
        <v/>
      </c>
      <c r="H776" t="b">
        <f t="shared" si="4"/>
        <v>0</v>
      </c>
      <c r="I776" s="439">
        <f>IF(OR(ISBLANK(A776),ISNA(MATCH(A776&amp;"",AthleteNumbers,0))),0,MATCH(A776&amp;"",AthleteNumbers,0))</f>
        <v>0</v>
      </c>
      <c r="J776" s="209">
        <f t="array" ref="J776">IF(I776&gt;0,INDEX(DB,$I776,6),0)</f>
        <v>0</v>
      </c>
      <c r="K776" s="446">
        <f t="shared" si="5"/>
        <v>0</v>
      </c>
      <c r="L776" s="446">
        <f t="shared" si="6"/>
        <v>0</v>
      </c>
      <c r="M776" s="441">
        <f>IF(L776&lt;O776,MinPoints,IF(AND(L776&gt;N776,O776&gt;0),100,+INT(($L776-O776)/P776)+MinPoints))</f>
        <v>10</v>
      </c>
      <c r="N776" s="440">
        <f t="shared" si="7"/>
        <v>4.9</v>
      </c>
      <c r="O776" s="440">
        <f t="shared" si="8"/>
        <v>2.2</v>
      </c>
      <c r="P776" s="440">
        <f t="shared" si="9"/>
        <v>0.03</v>
      </c>
      <c r="Q776">
        <f t="array" ref="Q776">IF(I776&gt;0,INDEX(DB,I776,9),EventIndex)</f>
        <v>6</v>
      </c>
      <c r="S776" s="447">
        <f t="array" ref="S776">INDEX(MINVALUES,$Q776,$K$1)</f>
        <v>2.2</v>
      </c>
      <c r="T776" s="448">
        <f t="array" ref="T776">INDEX(INCVALUES,$Q776,$K$1)</f>
        <v>0.03</v>
      </c>
      <c r="V776">
        <f t="array" ref="V776">+J776+(4*(INDEX(MatchScoreTable,$Q776,20)-1))</f>
        <v>4</v>
      </c>
      <c r="W776" s="442">
        <f t="array" ref="W776">INDEX(INC_MINVALUES,$V776,$K$1)</f>
        <v>0.2</v>
      </c>
      <c r="X776" s="212">
        <f t="array" ref="X776">INDEX(INC_INCVALUES,$V776,$K$1)</f>
        <v>0.02</v>
      </c>
    </row>
    <row r="777" ht="15.75" customHeight="1">
      <c r="A777" s="435"/>
      <c r="B777" s="436"/>
      <c r="C777" s="95" t="str">
        <f t="array" ref="C777">IF(I777&gt;0,INDEX(DB,I777,8),"")</f>
        <v/>
      </c>
      <c r="D777" s="437">
        <f t="shared" si="1"/>
        <v>0</v>
      </c>
      <c r="F777" s="438">
        <f t="shared" si="2"/>
        <v>0</v>
      </c>
      <c r="G777" t="str">
        <f t="shared" si="3"/>
        <v/>
      </c>
      <c r="H777" t="b">
        <f t="shared" si="4"/>
        <v>0</v>
      </c>
      <c r="I777" s="439">
        <f>IF(OR(ISBLANK(A777),ISNA(MATCH(A777&amp;"",AthleteNumbers,0))),0,MATCH(A777&amp;"",AthleteNumbers,0))</f>
        <v>0</v>
      </c>
      <c r="J777" s="209">
        <f t="array" ref="J777">IF(I777&gt;0,INDEX(DB,$I777,6),0)</f>
        <v>0</v>
      </c>
      <c r="K777" s="446">
        <f t="shared" si="5"/>
        <v>0</v>
      </c>
      <c r="L777" s="446">
        <f t="shared" si="6"/>
        <v>0</v>
      </c>
      <c r="M777" s="441">
        <f>IF(L777&lt;O777,MinPoints,IF(AND(L777&gt;N777,O777&gt;0),100,+INT(($L777-O777)/P777)+MinPoints))</f>
        <v>10</v>
      </c>
      <c r="N777" s="440">
        <f t="shared" si="7"/>
        <v>4.9</v>
      </c>
      <c r="O777" s="440">
        <f t="shared" si="8"/>
        <v>2.2</v>
      </c>
      <c r="P777" s="440">
        <f t="shared" si="9"/>
        <v>0.03</v>
      </c>
      <c r="Q777">
        <f t="array" ref="Q777">IF(I777&gt;0,INDEX(DB,I777,9),EventIndex)</f>
        <v>6</v>
      </c>
      <c r="S777" s="447">
        <f t="array" ref="S777">INDEX(MINVALUES,$Q777,$K$1)</f>
        <v>2.2</v>
      </c>
      <c r="T777" s="448">
        <f t="array" ref="T777">INDEX(INCVALUES,$Q777,$K$1)</f>
        <v>0.03</v>
      </c>
      <c r="V777">
        <f t="array" ref="V777">+J777+(4*(INDEX(MatchScoreTable,$Q777,20)-1))</f>
        <v>4</v>
      </c>
      <c r="W777" s="442">
        <f t="array" ref="W777">INDEX(INC_MINVALUES,$V777,$K$1)</f>
        <v>0.2</v>
      </c>
      <c r="X777" s="212">
        <f t="array" ref="X777">INDEX(INC_INCVALUES,$V777,$K$1)</f>
        <v>0.02</v>
      </c>
    </row>
    <row r="778" ht="15.75" customHeight="1">
      <c r="A778" s="435"/>
      <c r="B778" s="436"/>
      <c r="C778" s="95" t="str">
        <f t="array" ref="C778">IF(I778&gt;0,INDEX(DB,I778,8),"")</f>
        <v/>
      </c>
      <c r="D778" s="437">
        <f t="shared" si="1"/>
        <v>0</v>
      </c>
      <c r="F778" s="438">
        <f t="shared" si="2"/>
        <v>0</v>
      </c>
      <c r="G778" t="str">
        <f t="shared" si="3"/>
        <v/>
      </c>
      <c r="H778" t="b">
        <f t="shared" si="4"/>
        <v>0</v>
      </c>
      <c r="I778" s="439">
        <f>IF(OR(ISBLANK(A778),ISNA(MATCH(A778&amp;"",AthleteNumbers,0))),0,MATCH(A778&amp;"",AthleteNumbers,0))</f>
        <v>0</v>
      </c>
      <c r="J778" s="209">
        <f t="array" ref="J778">IF(I778&gt;0,INDEX(DB,$I778,6),0)</f>
        <v>0</v>
      </c>
      <c r="K778" s="446">
        <f t="shared" si="5"/>
        <v>0</v>
      </c>
      <c r="L778" s="446">
        <f t="shared" si="6"/>
        <v>0</v>
      </c>
      <c r="M778" s="441">
        <f>IF(L778&lt;O778,MinPoints,IF(AND(L778&gt;N778,O778&gt;0),100,+INT(($L778-O778)/P778)+MinPoints))</f>
        <v>10</v>
      </c>
      <c r="N778" s="440">
        <f t="shared" si="7"/>
        <v>4.9</v>
      </c>
      <c r="O778" s="440">
        <f t="shared" si="8"/>
        <v>2.2</v>
      </c>
      <c r="P778" s="440">
        <f t="shared" si="9"/>
        <v>0.03</v>
      </c>
      <c r="Q778">
        <f t="array" ref="Q778">IF(I778&gt;0,INDEX(DB,I778,9),EventIndex)</f>
        <v>6</v>
      </c>
      <c r="S778" s="447">
        <f t="array" ref="S778">INDEX(MINVALUES,$Q778,$K$1)</f>
        <v>2.2</v>
      </c>
      <c r="T778" s="448">
        <f t="array" ref="T778">INDEX(INCVALUES,$Q778,$K$1)</f>
        <v>0.03</v>
      </c>
      <c r="V778">
        <f t="array" ref="V778">+J778+(4*(INDEX(MatchScoreTable,$Q778,20)-1))</f>
        <v>4</v>
      </c>
      <c r="W778" s="442">
        <f t="array" ref="W778">INDEX(INC_MINVALUES,$V778,$K$1)</f>
        <v>0.2</v>
      </c>
      <c r="X778" s="212">
        <f t="array" ref="X778">INDEX(INC_INCVALUES,$V778,$K$1)</f>
        <v>0.02</v>
      </c>
    </row>
    <row r="779" ht="15.75" customHeight="1">
      <c r="A779" s="435"/>
      <c r="B779" s="436"/>
      <c r="C779" s="95" t="str">
        <f t="array" ref="C779">IF(I779&gt;0,INDEX(DB,I779,8),"")</f>
        <v/>
      </c>
      <c r="D779" s="437">
        <f t="shared" si="1"/>
        <v>0</v>
      </c>
      <c r="F779" s="438">
        <f t="shared" si="2"/>
        <v>0</v>
      </c>
      <c r="G779" t="str">
        <f t="shared" si="3"/>
        <v/>
      </c>
      <c r="H779" t="b">
        <f t="shared" si="4"/>
        <v>0</v>
      </c>
      <c r="I779" s="439">
        <f>IF(OR(ISBLANK(A779),ISNA(MATCH(A779&amp;"",AthleteNumbers,0))),0,MATCH(A779&amp;"",AthleteNumbers,0))</f>
        <v>0</v>
      </c>
      <c r="J779" s="209">
        <f t="array" ref="J779">IF(I779&gt;0,INDEX(DB,$I779,6),0)</f>
        <v>0</v>
      </c>
      <c r="K779" s="446">
        <f t="shared" si="5"/>
        <v>0</v>
      </c>
      <c r="L779" s="446">
        <f t="shared" si="6"/>
        <v>0</v>
      </c>
      <c r="M779" s="441">
        <f>IF(L779&lt;O779,MinPoints,IF(AND(L779&gt;N779,O779&gt;0),100,+INT(($L779-O779)/P779)+MinPoints))</f>
        <v>10</v>
      </c>
      <c r="N779" s="440">
        <f t="shared" si="7"/>
        <v>4.9</v>
      </c>
      <c r="O779" s="440">
        <f t="shared" si="8"/>
        <v>2.2</v>
      </c>
      <c r="P779" s="440">
        <f t="shared" si="9"/>
        <v>0.03</v>
      </c>
      <c r="Q779">
        <f t="array" ref="Q779">IF(I779&gt;0,INDEX(DB,I779,9),EventIndex)</f>
        <v>6</v>
      </c>
      <c r="S779" s="447">
        <f t="array" ref="S779">INDEX(MINVALUES,$Q779,$K$1)</f>
        <v>2.2</v>
      </c>
      <c r="T779" s="448">
        <f t="array" ref="T779">INDEX(INCVALUES,$Q779,$K$1)</f>
        <v>0.03</v>
      </c>
      <c r="V779">
        <f t="array" ref="V779">+J779+(4*(INDEX(MatchScoreTable,$Q779,20)-1))</f>
        <v>4</v>
      </c>
      <c r="W779" s="442">
        <f t="array" ref="W779">INDEX(INC_MINVALUES,$V779,$K$1)</f>
        <v>0.2</v>
      </c>
      <c r="X779" s="212">
        <f t="array" ref="X779">INDEX(INC_INCVALUES,$V779,$K$1)</f>
        <v>0.02</v>
      </c>
    </row>
    <row r="780" ht="15.75" customHeight="1">
      <c r="A780" s="435"/>
      <c r="B780" s="436"/>
      <c r="C780" s="95" t="str">
        <f t="array" ref="C780">IF(I780&gt;0,INDEX(DB,I780,8),"")</f>
        <v/>
      </c>
      <c r="D780" s="437">
        <f t="shared" si="1"/>
        <v>0</v>
      </c>
      <c r="F780" s="438">
        <f t="shared" si="2"/>
        <v>0</v>
      </c>
      <c r="G780" t="str">
        <f t="shared" si="3"/>
        <v/>
      </c>
      <c r="H780" t="b">
        <f t="shared" si="4"/>
        <v>0</v>
      </c>
      <c r="I780" s="439">
        <f>IF(OR(ISBLANK(A780),ISNA(MATCH(A780&amp;"",AthleteNumbers,0))),0,MATCH(A780&amp;"",AthleteNumbers,0))</f>
        <v>0</v>
      </c>
      <c r="J780" s="209">
        <f t="array" ref="J780">IF(I780&gt;0,INDEX(DB,$I780,6),0)</f>
        <v>0</v>
      </c>
      <c r="K780" s="446">
        <f t="shared" si="5"/>
        <v>0</v>
      </c>
      <c r="L780" s="446">
        <f t="shared" si="6"/>
        <v>0</v>
      </c>
      <c r="M780" s="441">
        <f>IF(L780&lt;O780,MinPoints,IF(AND(L780&gt;N780,O780&gt;0),100,+INT(($L780-O780)/P780)+MinPoints))</f>
        <v>10</v>
      </c>
      <c r="N780" s="440">
        <f t="shared" si="7"/>
        <v>4.9</v>
      </c>
      <c r="O780" s="440">
        <f t="shared" si="8"/>
        <v>2.2</v>
      </c>
      <c r="P780" s="440">
        <f t="shared" si="9"/>
        <v>0.03</v>
      </c>
      <c r="Q780">
        <f t="array" ref="Q780">IF(I780&gt;0,INDEX(DB,I780,9),EventIndex)</f>
        <v>6</v>
      </c>
      <c r="S780" s="447">
        <f t="array" ref="S780">INDEX(MINVALUES,$Q780,$K$1)</f>
        <v>2.2</v>
      </c>
      <c r="T780" s="448">
        <f t="array" ref="T780">INDEX(INCVALUES,$Q780,$K$1)</f>
        <v>0.03</v>
      </c>
      <c r="V780">
        <f t="array" ref="V780">+J780+(4*(INDEX(MatchScoreTable,$Q780,20)-1))</f>
        <v>4</v>
      </c>
      <c r="W780" s="442">
        <f t="array" ref="W780">INDEX(INC_MINVALUES,$V780,$K$1)</f>
        <v>0.2</v>
      </c>
      <c r="X780" s="212">
        <f t="array" ref="X780">INDEX(INC_INCVALUES,$V780,$K$1)</f>
        <v>0.02</v>
      </c>
    </row>
    <row r="781" ht="15.75" customHeight="1">
      <c r="A781" s="435"/>
      <c r="B781" s="436"/>
      <c r="C781" s="95" t="str">
        <f t="array" ref="C781">IF(I781&gt;0,INDEX(DB,I781,8),"")</f>
        <v/>
      </c>
      <c r="D781" s="437">
        <f t="shared" si="1"/>
        <v>0</v>
      </c>
      <c r="F781" s="438">
        <f t="shared" si="2"/>
        <v>0</v>
      </c>
      <c r="G781" t="str">
        <f t="shared" si="3"/>
        <v/>
      </c>
      <c r="H781" t="b">
        <f t="shared" si="4"/>
        <v>0</v>
      </c>
      <c r="I781" s="439">
        <f>IF(OR(ISBLANK(A781),ISNA(MATCH(A781&amp;"",AthleteNumbers,0))),0,MATCH(A781&amp;"",AthleteNumbers,0))</f>
        <v>0</v>
      </c>
      <c r="J781" s="209">
        <f t="array" ref="J781">IF(I781&gt;0,INDEX(DB,$I781,6),0)</f>
        <v>0</v>
      </c>
      <c r="K781" s="446">
        <f t="shared" si="5"/>
        <v>0</v>
      </c>
      <c r="L781" s="446">
        <f t="shared" si="6"/>
        <v>0</v>
      </c>
      <c r="M781" s="441">
        <f>IF(L781&lt;O781,MinPoints,IF(AND(L781&gt;N781,O781&gt;0),100,+INT(($L781-O781)/P781)+MinPoints))</f>
        <v>10</v>
      </c>
      <c r="N781" s="440">
        <f t="shared" si="7"/>
        <v>4.9</v>
      </c>
      <c r="O781" s="440">
        <f t="shared" si="8"/>
        <v>2.2</v>
      </c>
      <c r="P781" s="440">
        <f t="shared" si="9"/>
        <v>0.03</v>
      </c>
      <c r="Q781">
        <f t="array" ref="Q781">IF(I781&gt;0,INDEX(DB,I781,9),EventIndex)</f>
        <v>6</v>
      </c>
      <c r="S781" s="447">
        <f t="array" ref="S781">INDEX(MINVALUES,$Q781,$K$1)</f>
        <v>2.2</v>
      </c>
      <c r="T781" s="448">
        <f t="array" ref="T781">INDEX(INCVALUES,$Q781,$K$1)</f>
        <v>0.03</v>
      </c>
      <c r="V781">
        <f t="array" ref="V781">+J781+(4*(INDEX(MatchScoreTable,$Q781,20)-1))</f>
        <v>4</v>
      </c>
      <c r="W781" s="442">
        <f t="array" ref="W781">INDEX(INC_MINVALUES,$V781,$K$1)</f>
        <v>0.2</v>
      </c>
      <c r="X781" s="212">
        <f t="array" ref="X781">INDEX(INC_INCVALUES,$V781,$K$1)</f>
        <v>0.02</v>
      </c>
    </row>
    <row r="782" ht="15.75" customHeight="1">
      <c r="A782" s="435"/>
      <c r="B782" s="436"/>
      <c r="C782" s="95" t="str">
        <f t="array" ref="C782">IF(I782&gt;0,INDEX(DB,I782,8),"")</f>
        <v/>
      </c>
      <c r="D782" s="437">
        <f t="shared" si="1"/>
        <v>0</v>
      </c>
      <c r="F782" s="438">
        <f t="shared" si="2"/>
        <v>0</v>
      </c>
      <c r="G782" t="str">
        <f t="shared" si="3"/>
        <v/>
      </c>
      <c r="H782" t="b">
        <f t="shared" si="4"/>
        <v>0</v>
      </c>
      <c r="I782" s="439">
        <f>IF(OR(ISBLANK(A782),ISNA(MATCH(A782&amp;"",AthleteNumbers,0))),0,MATCH(A782&amp;"",AthleteNumbers,0))</f>
        <v>0</v>
      </c>
      <c r="J782" s="209">
        <f t="array" ref="J782">IF(I782&gt;0,INDEX(DB,$I782,6),0)</f>
        <v>0</v>
      </c>
      <c r="K782" s="446">
        <f t="shared" si="5"/>
        <v>0</v>
      </c>
      <c r="L782" s="446">
        <f t="shared" si="6"/>
        <v>0</v>
      </c>
      <c r="M782" s="441">
        <f>IF(L782&lt;O782,MinPoints,IF(AND(L782&gt;N782,O782&gt;0),100,+INT(($L782-O782)/P782)+MinPoints))</f>
        <v>10</v>
      </c>
      <c r="N782" s="440">
        <f t="shared" si="7"/>
        <v>4.9</v>
      </c>
      <c r="O782" s="440">
        <f t="shared" si="8"/>
        <v>2.2</v>
      </c>
      <c r="P782" s="440">
        <f t="shared" si="9"/>
        <v>0.03</v>
      </c>
      <c r="Q782">
        <f t="array" ref="Q782">IF(I782&gt;0,INDEX(DB,I782,9),EventIndex)</f>
        <v>6</v>
      </c>
      <c r="S782" s="447">
        <f t="array" ref="S782">INDEX(MINVALUES,$Q782,$K$1)</f>
        <v>2.2</v>
      </c>
      <c r="T782" s="448">
        <f t="array" ref="T782">INDEX(INCVALUES,$Q782,$K$1)</f>
        <v>0.03</v>
      </c>
      <c r="V782">
        <f t="array" ref="V782">+J782+(4*(INDEX(MatchScoreTable,$Q782,20)-1))</f>
        <v>4</v>
      </c>
      <c r="W782" s="442">
        <f t="array" ref="W782">INDEX(INC_MINVALUES,$V782,$K$1)</f>
        <v>0.2</v>
      </c>
      <c r="X782" s="212">
        <f t="array" ref="X782">INDEX(INC_INCVALUES,$V782,$K$1)</f>
        <v>0.02</v>
      </c>
    </row>
    <row r="783" ht="15.75" customHeight="1">
      <c r="A783" s="435"/>
      <c r="B783" s="436"/>
      <c r="C783" s="95" t="str">
        <f t="array" ref="C783">IF(I783&gt;0,INDEX(DB,I783,8),"")</f>
        <v/>
      </c>
      <c r="D783" s="437">
        <f t="shared" si="1"/>
        <v>0</v>
      </c>
      <c r="F783" s="438">
        <f t="shared" si="2"/>
        <v>0</v>
      </c>
      <c r="G783" t="str">
        <f t="shared" si="3"/>
        <v/>
      </c>
      <c r="H783" t="b">
        <f t="shared" si="4"/>
        <v>0</v>
      </c>
      <c r="I783" s="439">
        <f>IF(OR(ISBLANK(A783),ISNA(MATCH(A783&amp;"",AthleteNumbers,0))),0,MATCH(A783&amp;"",AthleteNumbers,0))</f>
        <v>0</v>
      </c>
      <c r="J783" s="209">
        <f t="array" ref="J783">IF(I783&gt;0,INDEX(DB,$I783,6),0)</f>
        <v>0</v>
      </c>
      <c r="K783" s="446">
        <f t="shared" si="5"/>
        <v>0</v>
      </c>
      <c r="L783" s="446">
        <f t="shared" si="6"/>
        <v>0</v>
      </c>
      <c r="M783" s="441">
        <f>IF(L783&lt;O783,MinPoints,IF(AND(L783&gt;N783,O783&gt;0),100,+INT(($L783-O783)/P783)+MinPoints))</f>
        <v>10</v>
      </c>
      <c r="N783" s="440">
        <f t="shared" si="7"/>
        <v>4.9</v>
      </c>
      <c r="O783" s="440">
        <f t="shared" si="8"/>
        <v>2.2</v>
      </c>
      <c r="P783" s="440">
        <f t="shared" si="9"/>
        <v>0.03</v>
      </c>
      <c r="Q783">
        <f t="array" ref="Q783">IF(I783&gt;0,INDEX(DB,I783,9),EventIndex)</f>
        <v>6</v>
      </c>
      <c r="S783" s="447">
        <f t="array" ref="S783">INDEX(MINVALUES,$Q783,$K$1)</f>
        <v>2.2</v>
      </c>
      <c r="T783" s="448">
        <f t="array" ref="T783">INDEX(INCVALUES,$Q783,$K$1)</f>
        <v>0.03</v>
      </c>
      <c r="V783">
        <f t="array" ref="V783">+J783+(4*(INDEX(MatchScoreTable,$Q783,20)-1))</f>
        <v>4</v>
      </c>
      <c r="W783" s="442">
        <f t="array" ref="W783">INDEX(INC_MINVALUES,$V783,$K$1)</f>
        <v>0.2</v>
      </c>
      <c r="X783" s="212">
        <f t="array" ref="X783">INDEX(INC_INCVALUES,$V783,$K$1)</f>
        <v>0.02</v>
      </c>
    </row>
    <row r="784" ht="15.75" customHeight="1">
      <c r="A784" s="435"/>
      <c r="B784" s="436"/>
      <c r="C784" s="95" t="str">
        <f t="array" ref="C784">IF(I784&gt;0,INDEX(DB,I784,8),"")</f>
        <v/>
      </c>
      <c r="D784" s="437">
        <f t="shared" si="1"/>
        <v>0</v>
      </c>
      <c r="F784" s="438">
        <f t="shared" si="2"/>
        <v>0</v>
      </c>
      <c r="G784" t="str">
        <f t="shared" si="3"/>
        <v/>
      </c>
      <c r="H784" t="b">
        <f t="shared" si="4"/>
        <v>0</v>
      </c>
      <c r="I784" s="439">
        <f>IF(OR(ISBLANK(A784),ISNA(MATCH(A784&amp;"",AthleteNumbers,0))),0,MATCH(A784&amp;"",AthleteNumbers,0))</f>
        <v>0</v>
      </c>
      <c r="J784" s="209">
        <f t="array" ref="J784">IF(I784&gt;0,INDEX(DB,$I784,6),0)</f>
        <v>0</v>
      </c>
      <c r="K784" s="446">
        <f t="shared" si="5"/>
        <v>0</v>
      </c>
      <c r="L784" s="446">
        <f t="shared" si="6"/>
        <v>0</v>
      </c>
      <c r="M784" s="441">
        <f>IF(L784&lt;O784,MinPoints,IF(AND(L784&gt;N784,O784&gt;0),100,+INT(($L784-O784)/P784)+MinPoints))</f>
        <v>10</v>
      </c>
      <c r="N784" s="440">
        <f t="shared" si="7"/>
        <v>4.9</v>
      </c>
      <c r="O784" s="440">
        <f t="shared" si="8"/>
        <v>2.2</v>
      </c>
      <c r="P784" s="440">
        <f t="shared" si="9"/>
        <v>0.03</v>
      </c>
      <c r="Q784">
        <f t="array" ref="Q784">IF(I784&gt;0,INDEX(DB,I784,9),EventIndex)</f>
        <v>6</v>
      </c>
      <c r="S784" s="447">
        <f t="array" ref="S784">INDEX(MINVALUES,$Q784,$K$1)</f>
        <v>2.2</v>
      </c>
      <c r="T784" s="448">
        <f t="array" ref="T784">INDEX(INCVALUES,$Q784,$K$1)</f>
        <v>0.03</v>
      </c>
      <c r="V784">
        <f t="array" ref="V784">+J784+(4*(INDEX(MatchScoreTable,$Q784,20)-1))</f>
        <v>4</v>
      </c>
      <c r="W784" s="442">
        <f t="array" ref="W784">INDEX(INC_MINVALUES,$V784,$K$1)</f>
        <v>0.2</v>
      </c>
      <c r="X784" s="212">
        <f t="array" ref="X784">INDEX(INC_INCVALUES,$V784,$K$1)</f>
        <v>0.02</v>
      </c>
    </row>
    <row r="785" ht="15.75" customHeight="1">
      <c r="A785" s="435"/>
      <c r="B785" s="436"/>
      <c r="C785" s="95" t="str">
        <f t="array" ref="C785">IF(I785&gt;0,INDEX(DB,I785,8),"")</f>
        <v/>
      </c>
      <c r="D785" s="437">
        <f t="shared" si="1"/>
        <v>0</v>
      </c>
      <c r="F785" s="438">
        <f t="shared" si="2"/>
        <v>0</v>
      </c>
      <c r="G785" t="str">
        <f t="shared" si="3"/>
        <v/>
      </c>
      <c r="H785" t="b">
        <f t="shared" si="4"/>
        <v>0</v>
      </c>
      <c r="I785" s="439">
        <f>IF(OR(ISBLANK(A785),ISNA(MATCH(A785&amp;"",AthleteNumbers,0))),0,MATCH(A785&amp;"",AthleteNumbers,0))</f>
        <v>0</v>
      </c>
      <c r="J785" s="209">
        <f t="array" ref="J785">IF(I785&gt;0,INDEX(DB,$I785,6),0)</f>
        <v>0</v>
      </c>
      <c r="K785" s="446">
        <f t="shared" si="5"/>
        <v>0</v>
      </c>
      <c r="L785" s="446">
        <f t="shared" si="6"/>
        <v>0</v>
      </c>
      <c r="M785" s="441">
        <f>IF(L785&lt;O785,MinPoints,IF(AND(L785&gt;N785,O785&gt;0),100,+INT(($L785-O785)/P785)+MinPoints))</f>
        <v>10</v>
      </c>
      <c r="N785" s="440">
        <f t="shared" si="7"/>
        <v>4.9</v>
      </c>
      <c r="O785" s="440">
        <f t="shared" si="8"/>
        <v>2.2</v>
      </c>
      <c r="P785" s="440">
        <f t="shared" si="9"/>
        <v>0.03</v>
      </c>
      <c r="Q785">
        <f t="array" ref="Q785">IF(I785&gt;0,INDEX(DB,I785,9),EventIndex)</f>
        <v>6</v>
      </c>
      <c r="S785" s="447">
        <f t="array" ref="S785">INDEX(MINVALUES,$Q785,$K$1)</f>
        <v>2.2</v>
      </c>
      <c r="T785" s="448">
        <f t="array" ref="T785">INDEX(INCVALUES,$Q785,$K$1)</f>
        <v>0.03</v>
      </c>
      <c r="V785">
        <f t="array" ref="V785">+J785+(4*(INDEX(MatchScoreTable,$Q785,20)-1))</f>
        <v>4</v>
      </c>
      <c r="W785" s="442">
        <f t="array" ref="W785">INDEX(INC_MINVALUES,$V785,$K$1)</f>
        <v>0.2</v>
      </c>
      <c r="X785" s="212">
        <f t="array" ref="X785">INDEX(INC_INCVALUES,$V785,$K$1)</f>
        <v>0.02</v>
      </c>
    </row>
    <row r="786" ht="15.75" customHeight="1">
      <c r="A786" s="435"/>
      <c r="B786" s="436"/>
      <c r="C786" s="95" t="str">
        <f t="array" ref="C786">IF(I786&gt;0,INDEX(DB,I786,8),"")</f>
        <v/>
      </c>
      <c r="D786" s="437">
        <f t="shared" si="1"/>
        <v>0</v>
      </c>
      <c r="F786" s="438">
        <f t="shared" si="2"/>
        <v>0</v>
      </c>
      <c r="G786" t="str">
        <f t="shared" si="3"/>
        <v/>
      </c>
      <c r="H786" t="b">
        <f t="shared" si="4"/>
        <v>0</v>
      </c>
      <c r="I786" s="439">
        <f>IF(OR(ISBLANK(A786),ISNA(MATCH(A786&amp;"",AthleteNumbers,0))),0,MATCH(A786&amp;"",AthleteNumbers,0))</f>
        <v>0</v>
      </c>
      <c r="J786" s="209">
        <f t="array" ref="J786">IF(I786&gt;0,INDEX(DB,$I786,6),0)</f>
        <v>0</v>
      </c>
      <c r="K786" s="446">
        <f t="shared" si="5"/>
        <v>0</v>
      </c>
      <c r="L786" s="446">
        <f t="shared" si="6"/>
        <v>0</v>
      </c>
      <c r="M786" s="441">
        <f>IF(L786&lt;O786,MinPoints,IF(AND(L786&gt;N786,O786&gt;0),100,+INT(($L786-O786)/P786)+MinPoints))</f>
        <v>10</v>
      </c>
      <c r="N786" s="440">
        <f t="shared" si="7"/>
        <v>4.9</v>
      </c>
      <c r="O786" s="440">
        <f t="shared" si="8"/>
        <v>2.2</v>
      </c>
      <c r="P786" s="440">
        <f t="shared" si="9"/>
        <v>0.03</v>
      </c>
      <c r="Q786">
        <f t="array" ref="Q786">IF(I786&gt;0,INDEX(DB,I786,9),EventIndex)</f>
        <v>6</v>
      </c>
      <c r="S786" s="447">
        <f t="array" ref="S786">INDEX(MINVALUES,$Q786,$K$1)</f>
        <v>2.2</v>
      </c>
      <c r="T786" s="448">
        <f t="array" ref="T786">INDEX(INCVALUES,$Q786,$K$1)</f>
        <v>0.03</v>
      </c>
      <c r="V786">
        <f t="array" ref="V786">+J786+(4*(INDEX(MatchScoreTable,$Q786,20)-1))</f>
        <v>4</v>
      </c>
      <c r="W786" s="442">
        <f t="array" ref="W786">INDEX(INC_MINVALUES,$V786,$K$1)</f>
        <v>0.2</v>
      </c>
      <c r="X786" s="212">
        <f t="array" ref="X786">INDEX(INC_INCVALUES,$V786,$K$1)</f>
        <v>0.02</v>
      </c>
    </row>
    <row r="787" ht="15.75" customHeight="1">
      <c r="A787" s="435"/>
      <c r="B787" s="436"/>
      <c r="C787" s="95" t="str">
        <f t="array" ref="C787">IF(I787&gt;0,INDEX(DB,I787,8),"")</f>
        <v/>
      </c>
      <c r="D787" s="437">
        <f t="shared" si="1"/>
        <v>0</v>
      </c>
      <c r="F787" s="438">
        <f t="shared" si="2"/>
        <v>0</v>
      </c>
      <c r="G787" t="str">
        <f t="shared" si="3"/>
        <v/>
      </c>
      <c r="H787" t="b">
        <f t="shared" si="4"/>
        <v>0</v>
      </c>
      <c r="I787" s="439">
        <f>IF(OR(ISBLANK(A787),ISNA(MATCH(A787&amp;"",AthleteNumbers,0))),0,MATCH(A787&amp;"",AthleteNumbers,0))</f>
        <v>0</v>
      </c>
      <c r="J787" s="209">
        <f t="array" ref="J787">IF(I787&gt;0,INDEX(DB,$I787,6),0)</f>
        <v>0</v>
      </c>
      <c r="K787" s="446">
        <f t="shared" si="5"/>
        <v>0</v>
      </c>
      <c r="L787" s="446">
        <f t="shared" si="6"/>
        <v>0</v>
      </c>
      <c r="M787" s="441">
        <f>IF(L787&lt;O787,MinPoints,IF(AND(L787&gt;N787,O787&gt;0),100,+INT(($L787-O787)/P787)+MinPoints))</f>
        <v>10</v>
      </c>
      <c r="N787" s="440">
        <f t="shared" si="7"/>
        <v>4.9</v>
      </c>
      <c r="O787" s="440">
        <f t="shared" si="8"/>
        <v>2.2</v>
      </c>
      <c r="P787" s="440">
        <f t="shared" si="9"/>
        <v>0.03</v>
      </c>
      <c r="Q787">
        <f t="array" ref="Q787">IF(I787&gt;0,INDEX(DB,I787,9),EventIndex)</f>
        <v>6</v>
      </c>
      <c r="S787" s="447">
        <f t="array" ref="S787">INDEX(MINVALUES,$Q787,$K$1)</f>
        <v>2.2</v>
      </c>
      <c r="T787" s="448">
        <f t="array" ref="T787">INDEX(INCVALUES,$Q787,$K$1)</f>
        <v>0.03</v>
      </c>
      <c r="V787">
        <f t="array" ref="V787">+J787+(4*(INDEX(MatchScoreTable,$Q787,20)-1))</f>
        <v>4</v>
      </c>
      <c r="W787" s="442">
        <f t="array" ref="W787">INDEX(INC_MINVALUES,$V787,$K$1)</f>
        <v>0.2</v>
      </c>
      <c r="X787" s="212">
        <f t="array" ref="X787">INDEX(INC_INCVALUES,$V787,$K$1)</f>
        <v>0.02</v>
      </c>
    </row>
    <row r="788" ht="15.75" customHeight="1">
      <c r="A788" s="435"/>
      <c r="B788" s="436"/>
      <c r="C788" s="95" t="str">
        <f t="array" ref="C788">IF(I788&gt;0,INDEX(DB,I788,8),"")</f>
        <v/>
      </c>
      <c r="D788" s="437">
        <f t="shared" si="1"/>
        <v>0</v>
      </c>
      <c r="F788" s="438">
        <f t="shared" si="2"/>
        <v>0</v>
      </c>
      <c r="G788" t="str">
        <f t="shared" si="3"/>
        <v/>
      </c>
      <c r="H788" t="b">
        <f t="shared" si="4"/>
        <v>0</v>
      </c>
      <c r="I788" s="439">
        <f>IF(OR(ISBLANK(A788),ISNA(MATCH(A788&amp;"",AthleteNumbers,0))),0,MATCH(A788&amp;"",AthleteNumbers,0))</f>
        <v>0</v>
      </c>
      <c r="J788" s="209">
        <f t="array" ref="J788">IF(I788&gt;0,INDEX(DB,$I788,6),0)</f>
        <v>0</v>
      </c>
      <c r="K788" s="446">
        <f t="shared" si="5"/>
        <v>0</v>
      </c>
      <c r="L788" s="446">
        <f t="shared" si="6"/>
        <v>0</v>
      </c>
      <c r="M788" s="441">
        <f>IF(L788&lt;O788,MinPoints,IF(AND(L788&gt;N788,O788&gt;0),100,+INT(($L788-O788)/P788)+MinPoints))</f>
        <v>10</v>
      </c>
      <c r="N788" s="440">
        <f t="shared" si="7"/>
        <v>4.9</v>
      </c>
      <c r="O788" s="440">
        <f t="shared" si="8"/>
        <v>2.2</v>
      </c>
      <c r="P788" s="440">
        <f t="shared" si="9"/>
        <v>0.03</v>
      </c>
      <c r="Q788">
        <f t="array" ref="Q788">IF(I788&gt;0,INDEX(DB,I788,9),EventIndex)</f>
        <v>6</v>
      </c>
      <c r="S788" s="447">
        <f t="array" ref="S788">INDEX(MINVALUES,$Q788,$K$1)</f>
        <v>2.2</v>
      </c>
      <c r="T788" s="448">
        <f t="array" ref="T788">INDEX(INCVALUES,$Q788,$K$1)</f>
        <v>0.03</v>
      </c>
      <c r="V788">
        <f t="array" ref="V788">+J788+(4*(INDEX(MatchScoreTable,$Q788,20)-1))</f>
        <v>4</v>
      </c>
      <c r="W788" s="442">
        <f t="array" ref="W788">INDEX(INC_MINVALUES,$V788,$K$1)</f>
        <v>0.2</v>
      </c>
      <c r="X788" s="212">
        <f t="array" ref="X788">INDEX(INC_INCVALUES,$V788,$K$1)</f>
        <v>0.02</v>
      </c>
    </row>
    <row r="789" ht="15.75" customHeight="1">
      <c r="A789" s="435"/>
      <c r="B789" s="436"/>
      <c r="C789" s="95" t="str">
        <f t="array" ref="C789">IF(I789&gt;0,INDEX(DB,I789,8),"")</f>
        <v/>
      </c>
      <c r="D789" s="437">
        <f t="shared" si="1"/>
        <v>0</v>
      </c>
      <c r="F789" s="438">
        <f t="shared" si="2"/>
        <v>0</v>
      </c>
      <c r="G789" t="str">
        <f t="shared" si="3"/>
        <v/>
      </c>
      <c r="H789" t="b">
        <f t="shared" si="4"/>
        <v>0</v>
      </c>
      <c r="I789" s="439">
        <f>IF(OR(ISBLANK(A789),ISNA(MATCH(A789&amp;"",AthleteNumbers,0))),0,MATCH(A789&amp;"",AthleteNumbers,0))</f>
        <v>0</v>
      </c>
      <c r="J789" s="209">
        <f t="array" ref="J789">IF(I789&gt;0,INDEX(DB,$I789,6),0)</f>
        <v>0</v>
      </c>
      <c r="K789" s="446">
        <f t="shared" si="5"/>
        <v>0</v>
      </c>
      <c r="L789" s="446">
        <f t="shared" si="6"/>
        <v>0</v>
      </c>
      <c r="M789" s="441">
        <f>IF(L789&lt;O789,MinPoints,IF(AND(L789&gt;N789,O789&gt;0),100,+INT(($L789-O789)/P789)+MinPoints))</f>
        <v>10</v>
      </c>
      <c r="N789" s="440">
        <f t="shared" si="7"/>
        <v>4.9</v>
      </c>
      <c r="O789" s="440">
        <f t="shared" si="8"/>
        <v>2.2</v>
      </c>
      <c r="P789" s="440">
        <f t="shared" si="9"/>
        <v>0.03</v>
      </c>
      <c r="Q789">
        <f t="array" ref="Q789">IF(I789&gt;0,INDEX(DB,I789,9),EventIndex)</f>
        <v>6</v>
      </c>
      <c r="S789" s="447">
        <f t="array" ref="S789">INDEX(MINVALUES,$Q789,$K$1)</f>
        <v>2.2</v>
      </c>
      <c r="T789" s="448">
        <f t="array" ref="T789">INDEX(INCVALUES,$Q789,$K$1)</f>
        <v>0.03</v>
      </c>
      <c r="V789">
        <f t="array" ref="V789">+J789+(4*(INDEX(MatchScoreTable,$Q789,20)-1))</f>
        <v>4</v>
      </c>
      <c r="W789" s="442">
        <f t="array" ref="W789">INDEX(INC_MINVALUES,$V789,$K$1)</f>
        <v>0.2</v>
      </c>
      <c r="X789" s="212">
        <f t="array" ref="X789">INDEX(INC_INCVALUES,$V789,$K$1)</f>
        <v>0.02</v>
      </c>
    </row>
    <row r="790" ht="15.75" customHeight="1">
      <c r="A790" s="435"/>
      <c r="B790" s="436"/>
      <c r="C790" s="95" t="str">
        <f t="array" ref="C790">IF(I790&gt;0,INDEX(DB,I790,8),"")</f>
        <v/>
      </c>
      <c r="D790" s="437">
        <f t="shared" si="1"/>
        <v>0</v>
      </c>
      <c r="F790" s="438">
        <f t="shared" si="2"/>
        <v>0</v>
      </c>
      <c r="G790" t="str">
        <f t="shared" si="3"/>
        <v/>
      </c>
      <c r="H790" t="b">
        <f t="shared" si="4"/>
        <v>0</v>
      </c>
      <c r="I790" s="439">
        <f>IF(OR(ISBLANK(A790),ISNA(MATCH(A790&amp;"",AthleteNumbers,0))),0,MATCH(A790&amp;"",AthleteNumbers,0))</f>
        <v>0</v>
      </c>
      <c r="J790" s="209">
        <f t="array" ref="J790">IF(I790&gt;0,INDEX(DB,$I790,6),0)</f>
        <v>0</v>
      </c>
      <c r="K790" s="446">
        <f t="shared" si="5"/>
        <v>0</v>
      </c>
      <c r="L790" s="446">
        <f t="shared" si="6"/>
        <v>0</v>
      </c>
      <c r="M790" s="441">
        <f>IF(L790&lt;O790,MinPoints,IF(AND(L790&gt;N790,O790&gt;0),100,+INT(($L790-O790)/P790)+MinPoints))</f>
        <v>10</v>
      </c>
      <c r="N790" s="440">
        <f t="shared" si="7"/>
        <v>4.9</v>
      </c>
      <c r="O790" s="440">
        <f t="shared" si="8"/>
        <v>2.2</v>
      </c>
      <c r="P790" s="440">
        <f t="shared" si="9"/>
        <v>0.03</v>
      </c>
      <c r="Q790">
        <f t="array" ref="Q790">IF(I790&gt;0,INDEX(DB,I790,9),EventIndex)</f>
        <v>6</v>
      </c>
      <c r="S790" s="447">
        <f t="array" ref="S790">INDEX(MINVALUES,$Q790,$K$1)</f>
        <v>2.2</v>
      </c>
      <c r="T790" s="448">
        <f t="array" ref="T790">INDEX(INCVALUES,$Q790,$K$1)</f>
        <v>0.03</v>
      </c>
      <c r="V790">
        <f t="array" ref="V790">+J790+(4*(INDEX(MatchScoreTable,$Q790,20)-1))</f>
        <v>4</v>
      </c>
      <c r="W790" s="442">
        <f t="array" ref="W790">INDEX(INC_MINVALUES,$V790,$K$1)</f>
        <v>0.2</v>
      </c>
      <c r="X790" s="212">
        <f t="array" ref="X790">INDEX(INC_INCVALUES,$V790,$K$1)</f>
        <v>0.02</v>
      </c>
    </row>
    <row r="791" ht="15.75" customHeight="1">
      <c r="A791" s="435"/>
      <c r="B791" s="436"/>
      <c r="C791" s="95" t="str">
        <f t="array" ref="C791">IF(I791&gt;0,INDEX(DB,I791,8),"")</f>
        <v/>
      </c>
      <c r="D791" s="437">
        <f t="shared" si="1"/>
        <v>0</v>
      </c>
      <c r="F791" s="438">
        <f t="shared" si="2"/>
        <v>0</v>
      </c>
      <c r="G791" t="str">
        <f t="shared" si="3"/>
        <v/>
      </c>
      <c r="H791" t="b">
        <f t="shared" si="4"/>
        <v>0</v>
      </c>
      <c r="I791" s="439">
        <f>IF(OR(ISBLANK(A791),ISNA(MATCH(A791&amp;"",AthleteNumbers,0))),0,MATCH(A791&amp;"",AthleteNumbers,0))</f>
        <v>0</v>
      </c>
      <c r="J791" s="209">
        <f t="array" ref="J791">IF(I791&gt;0,INDEX(DB,$I791,6),0)</f>
        <v>0</v>
      </c>
      <c r="K791" s="446">
        <f t="shared" si="5"/>
        <v>0</v>
      </c>
      <c r="L791" s="446">
        <f t="shared" si="6"/>
        <v>0</v>
      </c>
      <c r="M791" s="441">
        <f>IF(L791&lt;O791,MinPoints,IF(AND(L791&gt;N791,O791&gt;0),100,+INT(($L791-O791)/P791)+MinPoints))</f>
        <v>10</v>
      </c>
      <c r="N791" s="440">
        <f t="shared" si="7"/>
        <v>4.9</v>
      </c>
      <c r="O791" s="440">
        <f t="shared" si="8"/>
        <v>2.2</v>
      </c>
      <c r="P791" s="440">
        <f t="shared" si="9"/>
        <v>0.03</v>
      </c>
      <c r="Q791">
        <f t="array" ref="Q791">IF(I791&gt;0,INDEX(DB,I791,9),EventIndex)</f>
        <v>6</v>
      </c>
      <c r="S791" s="447">
        <f t="array" ref="S791">INDEX(MINVALUES,$Q791,$K$1)</f>
        <v>2.2</v>
      </c>
      <c r="T791" s="448">
        <f t="array" ref="T791">INDEX(INCVALUES,$Q791,$K$1)</f>
        <v>0.03</v>
      </c>
      <c r="V791">
        <f t="array" ref="V791">+J791+(4*(INDEX(MatchScoreTable,$Q791,20)-1))</f>
        <v>4</v>
      </c>
      <c r="W791" s="442">
        <f t="array" ref="W791">INDEX(INC_MINVALUES,$V791,$K$1)</f>
        <v>0.2</v>
      </c>
      <c r="X791" s="212">
        <f t="array" ref="X791">INDEX(INC_INCVALUES,$V791,$K$1)</f>
        <v>0.02</v>
      </c>
    </row>
    <row r="792" ht="15.75" customHeight="1">
      <c r="A792" s="435"/>
      <c r="B792" s="436"/>
      <c r="C792" s="95" t="str">
        <f t="array" ref="C792">IF(I792&gt;0,INDEX(DB,I792,8),"")</f>
        <v/>
      </c>
      <c r="D792" s="437">
        <f t="shared" si="1"/>
        <v>0</v>
      </c>
      <c r="F792" s="438">
        <f t="shared" si="2"/>
        <v>0</v>
      </c>
      <c r="G792" t="str">
        <f t="shared" si="3"/>
        <v/>
      </c>
      <c r="H792" t="b">
        <f t="shared" si="4"/>
        <v>0</v>
      </c>
      <c r="I792" s="439">
        <f>IF(OR(ISBLANK(A792),ISNA(MATCH(A792&amp;"",AthleteNumbers,0))),0,MATCH(A792&amp;"",AthleteNumbers,0))</f>
        <v>0</v>
      </c>
      <c r="J792" s="209">
        <f t="array" ref="J792">IF(I792&gt;0,INDEX(DB,$I792,6),0)</f>
        <v>0</v>
      </c>
      <c r="K792" s="446">
        <f t="shared" si="5"/>
        <v>0</v>
      </c>
      <c r="L792" s="446">
        <f t="shared" si="6"/>
        <v>0</v>
      </c>
      <c r="M792" s="441">
        <f>IF(L792&lt;O792,MinPoints,IF(AND(L792&gt;N792,O792&gt;0),100,+INT(($L792-O792)/P792)+MinPoints))</f>
        <v>10</v>
      </c>
      <c r="N792" s="440">
        <f t="shared" si="7"/>
        <v>4.9</v>
      </c>
      <c r="O792" s="440">
        <f t="shared" si="8"/>
        <v>2.2</v>
      </c>
      <c r="P792" s="440">
        <f t="shared" si="9"/>
        <v>0.03</v>
      </c>
      <c r="Q792">
        <f t="array" ref="Q792">IF(I792&gt;0,INDEX(DB,I792,9),EventIndex)</f>
        <v>6</v>
      </c>
      <c r="S792" s="447">
        <f t="array" ref="S792">INDEX(MINVALUES,$Q792,$K$1)</f>
        <v>2.2</v>
      </c>
      <c r="T792" s="448">
        <f t="array" ref="T792">INDEX(INCVALUES,$Q792,$K$1)</f>
        <v>0.03</v>
      </c>
      <c r="V792">
        <f t="array" ref="V792">+J792+(4*(INDEX(MatchScoreTable,$Q792,20)-1))</f>
        <v>4</v>
      </c>
      <c r="W792" s="442">
        <f t="array" ref="W792">INDEX(INC_MINVALUES,$V792,$K$1)</f>
        <v>0.2</v>
      </c>
      <c r="X792" s="212">
        <f t="array" ref="X792">INDEX(INC_INCVALUES,$V792,$K$1)</f>
        <v>0.02</v>
      </c>
    </row>
    <row r="793" ht="15.75" customHeight="1">
      <c r="A793" s="435"/>
      <c r="B793" s="436"/>
      <c r="C793" s="95" t="str">
        <f t="array" ref="C793">IF(I793&gt;0,INDEX(DB,I793,8),"")</f>
        <v/>
      </c>
      <c r="D793" s="437">
        <f t="shared" si="1"/>
        <v>0</v>
      </c>
      <c r="F793" s="438">
        <f t="shared" si="2"/>
        <v>0</v>
      </c>
      <c r="G793" t="str">
        <f t="shared" si="3"/>
        <v/>
      </c>
      <c r="H793" t="b">
        <f t="shared" si="4"/>
        <v>0</v>
      </c>
      <c r="I793" s="439">
        <f>IF(OR(ISBLANK(A793),ISNA(MATCH(A793&amp;"",AthleteNumbers,0))),0,MATCH(A793&amp;"",AthleteNumbers,0))</f>
        <v>0</v>
      </c>
      <c r="J793" s="209">
        <f t="array" ref="J793">IF(I793&gt;0,INDEX(DB,$I793,6),0)</f>
        <v>0</v>
      </c>
      <c r="K793" s="446">
        <f t="shared" si="5"/>
        <v>0</v>
      </c>
      <c r="L793" s="446">
        <f t="shared" si="6"/>
        <v>0</v>
      </c>
      <c r="M793" s="441">
        <f>IF(L793&lt;O793,MinPoints,IF(AND(L793&gt;N793,O793&gt;0),100,+INT(($L793-O793)/P793)+MinPoints))</f>
        <v>10</v>
      </c>
      <c r="N793" s="440">
        <f t="shared" si="7"/>
        <v>4.9</v>
      </c>
      <c r="O793" s="440">
        <f t="shared" si="8"/>
        <v>2.2</v>
      </c>
      <c r="P793" s="440">
        <f t="shared" si="9"/>
        <v>0.03</v>
      </c>
      <c r="Q793">
        <f t="array" ref="Q793">IF(I793&gt;0,INDEX(DB,I793,9),EventIndex)</f>
        <v>6</v>
      </c>
      <c r="S793" s="447">
        <f t="array" ref="S793">INDEX(MINVALUES,$Q793,$K$1)</f>
        <v>2.2</v>
      </c>
      <c r="T793" s="448">
        <f t="array" ref="T793">INDEX(INCVALUES,$Q793,$K$1)</f>
        <v>0.03</v>
      </c>
      <c r="V793">
        <f t="array" ref="V793">+J793+(4*(INDEX(MatchScoreTable,$Q793,20)-1))</f>
        <v>4</v>
      </c>
      <c r="W793" s="442">
        <f t="array" ref="W793">INDEX(INC_MINVALUES,$V793,$K$1)</f>
        <v>0.2</v>
      </c>
      <c r="X793" s="212">
        <f t="array" ref="X793">INDEX(INC_INCVALUES,$V793,$K$1)</f>
        <v>0.02</v>
      </c>
    </row>
    <row r="794" ht="15.75" customHeight="1">
      <c r="A794" s="435"/>
      <c r="B794" s="436"/>
      <c r="C794" s="95" t="str">
        <f t="array" ref="C794">IF(I794&gt;0,INDEX(DB,I794,8),"")</f>
        <v/>
      </c>
      <c r="D794" s="437">
        <f t="shared" si="1"/>
        <v>0</v>
      </c>
      <c r="F794" s="438">
        <f t="shared" si="2"/>
        <v>0</v>
      </c>
      <c r="G794" t="str">
        <f t="shared" si="3"/>
        <v/>
      </c>
      <c r="H794" t="b">
        <f t="shared" si="4"/>
        <v>0</v>
      </c>
      <c r="I794" s="439">
        <f>IF(OR(ISBLANK(A794),ISNA(MATCH(A794&amp;"",AthleteNumbers,0))),0,MATCH(A794&amp;"",AthleteNumbers,0))</f>
        <v>0</v>
      </c>
      <c r="J794" s="209">
        <f t="array" ref="J794">IF(I794&gt;0,INDEX(DB,$I794,6),0)</f>
        <v>0</v>
      </c>
      <c r="K794" s="446">
        <f t="shared" si="5"/>
        <v>0</v>
      </c>
      <c r="L794" s="446">
        <f t="shared" si="6"/>
        <v>0</v>
      </c>
      <c r="M794" s="441">
        <f>IF(L794&lt;O794,MinPoints,IF(AND(L794&gt;N794,O794&gt;0),100,+INT(($L794-O794)/P794)+MinPoints))</f>
        <v>10</v>
      </c>
      <c r="N794" s="440">
        <f t="shared" si="7"/>
        <v>4.9</v>
      </c>
      <c r="O794" s="440">
        <f t="shared" si="8"/>
        <v>2.2</v>
      </c>
      <c r="P794" s="440">
        <f t="shared" si="9"/>
        <v>0.03</v>
      </c>
      <c r="Q794">
        <f t="array" ref="Q794">IF(I794&gt;0,INDEX(DB,I794,9),EventIndex)</f>
        <v>6</v>
      </c>
      <c r="S794" s="447">
        <f t="array" ref="S794">INDEX(MINVALUES,$Q794,$K$1)</f>
        <v>2.2</v>
      </c>
      <c r="T794" s="448">
        <f t="array" ref="T794">INDEX(INCVALUES,$Q794,$K$1)</f>
        <v>0.03</v>
      </c>
      <c r="V794">
        <f t="array" ref="V794">+J794+(4*(INDEX(MatchScoreTable,$Q794,20)-1))</f>
        <v>4</v>
      </c>
      <c r="W794" s="442">
        <f t="array" ref="W794">INDEX(INC_MINVALUES,$V794,$K$1)</f>
        <v>0.2</v>
      </c>
      <c r="X794" s="212">
        <f t="array" ref="X794">INDEX(INC_INCVALUES,$V794,$K$1)</f>
        <v>0.02</v>
      </c>
    </row>
    <row r="795" ht="15.75" customHeight="1">
      <c r="A795" s="435"/>
      <c r="B795" s="436"/>
      <c r="C795" s="95" t="str">
        <f t="array" ref="C795">IF(I795&gt;0,INDEX(DB,I795,8),"")</f>
        <v/>
      </c>
      <c r="D795" s="437">
        <f t="shared" si="1"/>
        <v>0</v>
      </c>
      <c r="F795" s="438">
        <f t="shared" si="2"/>
        <v>0</v>
      </c>
      <c r="G795" t="str">
        <f t="shared" si="3"/>
        <v/>
      </c>
      <c r="H795" t="b">
        <f t="shared" si="4"/>
        <v>0</v>
      </c>
      <c r="I795" s="439">
        <f>IF(OR(ISBLANK(A795),ISNA(MATCH(A795&amp;"",AthleteNumbers,0))),0,MATCH(A795&amp;"",AthleteNumbers,0))</f>
        <v>0</v>
      </c>
      <c r="J795" s="209">
        <f t="array" ref="J795">IF(I795&gt;0,INDEX(DB,$I795,6),0)</f>
        <v>0</v>
      </c>
      <c r="K795" s="446">
        <f t="shared" si="5"/>
        <v>0</v>
      </c>
      <c r="L795" s="446">
        <f t="shared" si="6"/>
        <v>0</v>
      </c>
      <c r="M795" s="441">
        <f>IF(L795&lt;O795,MinPoints,IF(AND(L795&gt;N795,O795&gt;0),100,+INT(($L795-O795)/P795)+MinPoints))</f>
        <v>10</v>
      </c>
      <c r="N795" s="440">
        <f t="shared" si="7"/>
        <v>4.9</v>
      </c>
      <c r="O795" s="440">
        <f t="shared" si="8"/>
        <v>2.2</v>
      </c>
      <c r="P795" s="440">
        <f t="shared" si="9"/>
        <v>0.03</v>
      </c>
      <c r="Q795">
        <f t="array" ref="Q795">IF(I795&gt;0,INDEX(DB,I795,9),EventIndex)</f>
        <v>6</v>
      </c>
      <c r="S795" s="447">
        <f t="array" ref="S795">INDEX(MINVALUES,$Q795,$K$1)</f>
        <v>2.2</v>
      </c>
      <c r="T795" s="448">
        <f t="array" ref="T795">INDEX(INCVALUES,$Q795,$K$1)</f>
        <v>0.03</v>
      </c>
      <c r="V795">
        <f t="array" ref="V795">+J795+(4*(INDEX(MatchScoreTable,$Q795,20)-1))</f>
        <v>4</v>
      </c>
      <c r="W795" s="442">
        <f t="array" ref="W795">INDEX(INC_MINVALUES,$V795,$K$1)</f>
        <v>0.2</v>
      </c>
      <c r="X795" s="212">
        <f t="array" ref="X795">INDEX(INC_INCVALUES,$V795,$K$1)</f>
        <v>0.02</v>
      </c>
    </row>
    <row r="796" ht="15.75" customHeight="1">
      <c r="A796" s="435"/>
      <c r="B796" s="436"/>
      <c r="C796" s="95" t="str">
        <f t="array" ref="C796">IF(I796&gt;0,INDEX(DB,I796,8),"")</f>
        <v/>
      </c>
      <c r="D796" s="437">
        <f t="shared" si="1"/>
        <v>0</v>
      </c>
      <c r="F796" s="438">
        <f t="shared" si="2"/>
        <v>0</v>
      </c>
      <c r="G796" t="str">
        <f t="shared" si="3"/>
        <v/>
      </c>
      <c r="H796" t="b">
        <f t="shared" si="4"/>
        <v>0</v>
      </c>
      <c r="I796" s="439">
        <f>IF(OR(ISBLANK(A796),ISNA(MATCH(A796&amp;"",AthleteNumbers,0))),0,MATCH(A796&amp;"",AthleteNumbers,0))</f>
        <v>0</v>
      </c>
      <c r="J796" s="209">
        <f t="array" ref="J796">IF(I796&gt;0,INDEX(DB,$I796,6),0)</f>
        <v>0</v>
      </c>
      <c r="K796" s="446">
        <f t="shared" si="5"/>
        <v>0</v>
      </c>
      <c r="L796" s="446">
        <f t="shared" si="6"/>
        <v>0</v>
      </c>
      <c r="M796" s="441">
        <f>IF(L796&lt;O796,MinPoints,IF(AND(L796&gt;N796,O796&gt;0),100,+INT(($L796-O796)/P796)+MinPoints))</f>
        <v>10</v>
      </c>
      <c r="N796" s="440">
        <f t="shared" si="7"/>
        <v>4.9</v>
      </c>
      <c r="O796" s="440">
        <f t="shared" si="8"/>
        <v>2.2</v>
      </c>
      <c r="P796" s="440">
        <f t="shared" si="9"/>
        <v>0.03</v>
      </c>
      <c r="Q796">
        <f t="array" ref="Q796">IF(I796&gt;0,INDEX(DB,I796,9),EventIndex)</f>
        <v>6</v>
      </c>
      <c r="S796" s="447">
        <f t="array" ref="S796">INDEX(MINVALUES,$Q796,$K$1)</f>
        <v>2.2</v>
      </c>
      <c r="T796" s="448">
        <f t="array" ref="T796">INDEX(INCVALUES,$Q796,$K$1)</f>
        <v>0.03</v>
      </c>
      <c r="V796">
        <f t="array" ref="V796">+J796+(4*(INDEX(MatchScoreTable,$Q796,20)-1))</f>
        <v>4</v>
      </c>
      <c r="W796" s="442">
        <f t="array" ref="W796">INDEX(INC_MINVALUES,$V796,$K$1)</f>
        <v>0.2</v>
      </c>
      <c r="X796" s="212">
        <f t="array" ref="X796">INDEX(INC_INCVALUES,$V796,$K$1)</f>
        <v>0.02</v>
      </c>
    </row>
    <row r="797" ht="15.75" customHeight="1">
      <c r="A797" s="435"/>
      <c r="B797" s="436"/>
      <c r="C797" s="95" t="str">
        <f t="array" ref="C797">IF(I797&gt;0,INDEX(DB,I797,8),"")</f>
        <v/>
      </c>
      <c r="D797" s="437">
        <f t="shared" si="1"/>
        <v>0</v>
      </c>
      <c r="F797" s="438">
        <f t="shared" si="2"/>
        <v>0</v>
      </c>
      <c r="G797" t="str">
        <f t="shared" si="3"/>
        <v/>
      </c>
      <c r="H797" t="b">
        <f t="shared" si="4"/>
        <v>0</v>
      </c>
      <c r="I797" s="439">
        <f>IF(OR(ISBLANK(A797),ISNA(MATCH(A797&amp;"",AthleteNumbers,0))),0,MATCH(A797&amp;"",AthleteNumbers,0))</f>
        <v>0</v>
      </c>
      <c r="J797" s="209">
        <f t="array" ref="J797">IF(I797&gt;0,INDEX(DB,$I797,6),0)</f>
        <v>0</v>
      </c>
      <c r="K797" s="446">
        <f t="shared" si="5"/>
        <v>0</v>
      </c>
      <c r="L797" s="446">
        <f t="shared" si="6"/>
        <v>0</v>
      </c>
      <c r="M797" s="441">
        <f>IF(L797&lt;O797,MinPoints,IF(AND(L797&gt;N797,O797&gt;0),100,+INT(($L797-O797)/P797)+MinPoints))</f>
        <v>10</v>
      </c>
      <c r="N797" s="440">
        <f t="shared" si="7"/>
        <v>4.9</v>
      </c>
      <c r="O797" s="440">
        <f t="shared" si="8"/>
        <v>2.2</v>
      </c>
      <c r="P797" s="440">
        <f t="shared" si="9"/>
        <v>0.03</v>
      </c>
      <c r="Q797">
        <f t="array" ref="Q797">IF(I797&gt;0,INDEX(DB,I797,9),EventIndex)</f>
        <v>6</v>
      </c>
      <c r="S797" s="447">
        <f t="array" ref="S797">INDEX(MINVALUES,$Q797,$K$1)</f>
        <v>2.2</v>
      </c>
      <c r="T797" s="448">
        <f t="array" ref="T797">INDEX(INCVALUES,$Q797,$K$1)</f>
        <v>0.03</v>
      </c>
      <c r="V797">
        <f t="array" ref="V797">+J797+(4*(INDEX(MatchScoreTable,$Q797,20)-1))</f>
        <v>4</v>
      </c>
      <c r="W797" s="442">
        <f t="array" ref="W797">INDEX(INC_MINVALUES,$V797,$K$1)</f>
        <v>0.2</v>
      </c>
      <c r="X797" s="212">
        <f t="array" ref="X797">INDEX(INC_INCVALUES,$V797,$K$1)</f>
        <v>0.02</v>
      </c>
    </row>
    <row r="798" ht="15.75" customHeight="1">
      <c r="A798" s="435"/>
      <c r="B798" s="436"/>
      <c r="C798" s="95" t="str">
        <f t="array" ref="C798">IF(I798&gt;0,INDEX(DB,I798,8),"")</f>
        <v/>
      </c>
      <c r="D798" s="437">
        <f t="shared" si="1"/>
        <v>0</v>
      </c>
      <c r="F798" s="438">
        <f t="shared" si="2"/>
        <v>0</v>
      </c>
      <c r="G798" t="str">
        <f t="shared" si="3"/>
        <v/>
      </c>
      <c r="H798" t="b">
        <f t="shared" si="4"/>
        <v>0</v>
      </c>
      <c r="I798" s="439">
        <f>IF(OR(ISBLANK(A798),ISNA(MATCH(A798&amp;"",AthleteNumbers,0))),0,MATCH(A798&amp;"",AthleteNumbers,0))</f>
        <v>0</v>
      </c>
      <c r="J798" s="209">
        <f t="array" ref="J798">IF(I798&gt;0,INDEX(DB,$I798,6),0)</f>
        <v>0</v>
      </c>
      <c r="K798" s="446">
        <f t="shared" si="5"/>
        <v>0</v>
      </c>
      <c r="L798" s="446">
        <f t="shared" si="6"/>
        <v>0</v>
      </c>
      <c r="M798" s="441">
        <f>IF(L798&lt;O798,MinPoints,IF(AND(L798&gt;N798,O798&gt;0),100,+INT(($L798-O798)/P798)+MinPoints))</f>
        <v>10</v>
      </c>
      <c r="N798" s="440">
        <f t="shared" si="7"/>
        <v>4.9</v>
      </c>
      <c r="O798" s="440">
        <f t="shared" si="8"/>
        <v>2.2</v>
      </c>
      <c r="P798" s="440">
        <f t="shared" si="9"/>
        <v>0.03</v>
      </c>
      <c r="Q798">
        <f t="array" ref="Q798">IF(I798&gt;0,INDEX(DB,I798,9),EventIndex)</f>
        <v>6</v>
      </c>
      <c r="S798" s="447">
        <f t="array" ref="S798">INDEX(MINVALUES,$Q798,$K$1)</f>
        <v>2.2</v>
      </c>
      <c r="T798" s="448">
        <f t="array" ref="T798">INDEX(INCVALUES,$Q798,$K$1)</f>
        <v>0.03</v>
      </c>
      <c r="V798">
        <f t="array" ref="V798">+J798+(4*(INDEX(MatchScoreTable,$Q798,20)-1))</f>
        <v>4</v>
      </c>
      <c r="W798" s="442">
        <f t="array" ref="W798">INDEX(INC_MINVALUES,$V798,$K$1)</f>
        <v>0.2</v>
      </c>
      <c r="X798" s="212">
        <f t="array" ref="X798">INDEX(INC_INCVALUES,$V798,$K$1)</f>
        <v>0.02</v>
      </c>
    </row>
    <row r="799" ht="15.75" customHeight="1">
      <c r="A799" s="435"/>
      <c r="B799" s="436"/>
      <c r="C799" s="95" t="str">
        <f t="array" ref="C799">IF(I799&gt;0,INDEX(DB,I799,8),"")</f>
        <v/>
      </c>
      <c r="D799" s="437">
        <f t="shared" si="1"/>
        <v>0</v>
      </c>
      <c r="F799" s="438">
        <f t="shared" si="2"/>
        <v>0</v>
      </c>
      <c r="G799" t="str">
        <f t="shared" si="3"/>
        <v/>
      </c>
      <c r="H799" t="b">
        <f t="shared" si="4"/>
        <v>0</v>
      </c>
      <c r="I799" s="439">
        <f>IF(OR(ISBLANK(A799),ISNA(MATCH(A799&amp;"",AthleteNumbers,0))),0,MATCH(A799&amp;"",AthleteNumbers,0))</f>
        <v>0</v>
      </c>
      <c r="J799" s="209">
        <f t="array" ref="J799">IF(I799&gt;0,INDEX(DB,$I799,6),0)</f>
        <v>0</v>
      </c>
      <c r="K799" s="446">
        <f t="shared" si="5"/>
        <v>0</v>
      </c>
      <c r="L799" s="446">
        <f t="shared" si="6"/>
        <v>0</v>
      </c>
      <c r="M799" s="441">
        <f>IF(L799&lt;O799,MinPoints,IF(AND(L799&gt;N799,O799&gt;0),100,+INT(($L799-O799)/P799)+MinPoints))</f>
        <v>10</v>
      </c>
      <c r="N799" s="440">
        <f t="shared" si="7"/>
        <v>4.9</v>
      </c>
      <c r="O799" s="440">
        <f t="shared" si="8"/>
        <v>2.2</v>
      </c>
      <c r="P799" s="440">
        <f t="shared" si="9"/>
        <v>0.03</v>
      </c>
      <c r="Q799">
        <f t="array" ref="Q799">IF(I799&gt;0,INDEX(DB,I799,9),EventIndex)</f>
        <v>6</v>
      </c>
      <c r="S799" s="447">
        <f t="array" ref="S799">INDEX(MINVALUES,$Q799,$K$1)</f>
        <v>2.2</v>
      </c>
      <c r="T799" s="448">
        <f t="array" ref="T799">INDEX(INCVALUES,$Q799,$K$1)</f>
        <v>0.03</v>
      </c>
      <c r="V799">
        <f t="array" ref="V799">+J799+(4*(INDEX(MatchScoreTable,$Q799,20)-1))</f>
        <v>4</v>
      </c>
      <c r="W799" s="442">
        <f t="array" ref="W799">INDEX(INC_MINVALUES,$V799,$K$1)</f>
        <v>0.2</v>
      </c>
      <c r="X799" s="212">
        <f t="array" ref="X799">INDEX(INC_INCVALUES,$V799,$K$1)</f>
        <v>0.02</v>
      </c>
    </row>
    <row r="800" ht="15.75" customHeight="1">
      <c r="A800" s="435"/>
      <c r="B800" s="436"/>
      <c r="C800" s="95" t="str">
        <f t="array" ref="C800">IF(I800&gt;0,INDEX(DB,I800,8),"")</f>
        <v/>
      </c>
      <c r="D800" s="437">
        <f t="shared" si="1"/>
        <v>0</v>
      </c>
      <c r="F800" s="438">
        <f t="shared" si="2"/>
        <v>0</v>
      </c>
      <c r="G800" t="str">
        <f t="shared" si="3"/>
        <v/>
      </c>
      <c r="H800" t="b">
        <f t="shared" si="4"/>
        <v>0</v>
      </c>
      <c r="I800" s="439">
        <f>IF(OR(ISBLANK(A800),ISNA(MATCH(A800&amp;"",AthleteNumbers,0))),0,MATCH(A800&amp;"",AthleteNumbers,0))</f>
        <v>0</v>
      </c>
      <c r="J800" s="209">
        <f t="array" ref="J800">IF(I800&gt;0,INDEX(DB,$I800,6),0)</f>
        <v>0</v>
      </c>
      <c r="K800" s="446">
        <f t="shared" si="5"/>
        <v>0</v>
      </c>
      <c r="L800" s="446">
        <f t="shared" si="6"/>
        <v>0</v>
      </c>
      <c r="M800" s="441">
        <f>IF(L800&lt;O800,MinPoints,IF(AND(L800&gt;N800,O800&gt;0),100,+INT(($L800-O800)/P800)+MinPoints))</f>
        <v>10</v>
      </c>
      <c r="N800" s="440">
        <f t="shared" si="7"/>
        <v>4.9</v>
      </c>
      <c r="O800" s="440">
        <f t="shared" si="8"/>
        <v>2.2</v>
      </c>
      <c r="P800" s="440">
        <f t="shared" si="9"/>
        <v>0.03</v>
      </c>
      <c r="Q800">
        <f t="array" ref="Q800">IF(I800&gt;0,INDEX(DB,I800,9),EventIndex)</f>
        <v>6</v>
      </c>
      <c r="S800" s="447">
        <f t="array" ref="S800">INDEX(MINVALUES,$Q800,$K$1)</f>
        <v>2.2</v>
      </c>
      <c r="T800" s="448">
        <f t="array" ref="T800">INDEX(INCVALUES,$Q800,$K$1)</f>
        <v>0.03</v>
      </c>
      <c r="V800">
        <f t="array" ref="V800">+J800+(4*(INDEX(MatchScoreTable,$Q800,20)-1))</f>
        <v>4</v>
      </c>
      <c r="W800" s="442">
        <f t="array" ref="W800">INDEX(INC_MINVALUES,$V800,$K$1)</f>
        <v>0.2</v>
      </c>
      <c r="X800" s="212">
        <f t="array" ref="X800">INDEX(INC_INCVALUES,$V800,$K$1)</f>
        <v>0.02</v>
      </c>
    </row>
    <row r="801" ht="15.75" customHeight="1">
      <c r="A801" s="435"/>
      <c r="B801" s="436"/>
      <c r="C801" s="95" t="str">
        <f t="array" ref="C801">IF(I801&gt;0,INDEX(DB,I801,8),"")</f>
        <v/>
      </c>
      <c r="D801" s="437">
        <f t="shared" si="1"/>
        <v>0</v>
      </c>
      <c r="F801" s="438">
        <f t="shared" si="2"/>
        <v>0</v>
      </c>
      <c r="G801" t="str">
        <f t="shared" si="3"/>
        <v/>
      </c>
      <c r="H801" t="b">
        <f t="shared" si="4"/>
        <v>0</v>
      </c>
      <c r="I801" s="439">
        <f>IF(OR(ISBLANK(A801),ISNA(MATCH(A801&amp;"",AthleteNumbers,0))),0,MATCH(A801&amp;"",AthleteNumbers,0))</f>
        <v>0</v>
      </c>
      <c r="J801" s="209">
        <f t="array" ref="J801">IF(I801&gt;0,INDEX(DB,$I801,6),0)</f>
        <v>0</v>
      </c>
      <c r="K801" s="446">
        <f t="shared" si="5"/>
        <v>0</v>
      </c>
      <c r="L801" s="446">
        <f t="shared" si="6"/>
        <v>0</v>
      </c>
      <c r="M801" s="441">
        <f>IF(L801&lt;O801,MinPoints,IF(AND(L801&gt;N801,O801&gt;0),100,+INT(($L801-O801)/P801)+MinPoints))</f>
        <v>10</v>
      </c>
      <c r="N801" s="440">
        <f t="shared" si="7"/>
        <v>4.9</v>
      </c>
      <c r="O801" s="440">
        <f t="shared" si="8"/>
        <v>2.2</v>
      </c>
      <c r="P801" s="440">
        <f t="shared" si="9"/>
        <v>0.03</v>
      </c>
      <c r="Q801">
        <f t="array" ref="Q801">IF(I801&gt;0,INDEX(DB,I801,9),EventIndex)</f>
        <v>6</v>
      </c>
      <c r="S801" s="447">
        <f t="array" ref="S801">INDEX(MINVALUES,$Q801,$K$1)</f>
        <v>2.2</v>
      </c>
      <c r="T801" s="448">
        <f t="array" ref="T801">INDEX(INCVALUES,$Q801,$K$1)</f>
        <v>0.03</v>
      </c>
      <c r="V801">
        <f t="array" ref="V801">+J801+(4*(INDEX(MatchScoreTable,$Q801,20)-1))</f>
        <v>4</v>
      </c>
      <c r="W801" s="442">
        <f t="array" ref="W801">INDEX(INC_MINVALUES,$V801,$K$1)</f>
        <v>0.2</v>
      </c>
      <c r="X801" s="212">
        <f t="array" ref="X801">INDEX(INC_INCVALUES,$V801,$K$1)</f>
        <v>0.02</v>
      </c>
    </row>
    <row r="802" ht="15.75" customHeight="1">
      <c r="A802" s="435"/>
      <c r="B802" s="436"/>
      <c r="C802" s="95" t="str">
        <f t="array" ref="C802">IF(I802&gt;0,INDEX(DB,I802,8),"")</f>
        <v/>
      </c>
      <c r="D802" s="437">
        <f t="shared" si="1"/>
        <v>0</v>
      </c>
      <c r="F802" s="438">
        <f t="shared" si="2"/>
        <v>0</v>
      </c>
      <c r="G802" t="str">
        <f t="shared" si="3"/>
        <v/>
      </c>
      <c r="H802" t="b">
        <f t="shared" si="4"/>
        <v>0</v>
      </c>
      <c r="I802" s="439">
        <f>IF(OR(ISBLANK(A802),ISNA(MATCH(A802&amp;"",AthleteNumbers,0))),0,MATCH(A802&amp;"",AthleteNumbers,0))</f>
        <v>0</v>
      </c>
      <c r="J802" s="209">
        <f t="array" ref="J802">IF(I802&gt;0,INDEX(DB,$I802,6),0)</f>
        <v>0</v>
      </c>
      <c r="K802" s="446">
        <f t="shared" si="5"/>
        <v>0</v>
      </c>
      <c r="L802" s="446">
        <f t="shared" si="6"/>
        <v>0</v>
      </c>
      <c r="M802" s="441">
        <f>IF(L802&lt;O802,MinPoints,IF(AND(L802&gt;N802,O802&gt;0),100,+INT(($L802-O802)/P802)+MinPoints))</f>
        <v>10</v>
      </c>
      <c r="N802" s="440">
        <f t="shared" si="7"/>
        <v>4.9</v>
      </c>
      <c r="O802" s="440">
        <f t="shared" si="8"/>
        <v>2.2</v>
      </c>
      <c r="P802" s="440">
        <f t="shared" si="9"/>
        <v>0.03</v>
      </c>
      <c r="Q802">
        <f t="array" ref="Q802">IF(I802&gt;0,INDEX(DB,I802,9),EventIndex)</f>
        <v>6</v>
      </c>
      <c r="S802" s="447">
        <f t="array" ref="S802">INDEX(MINVALUES,$Q802,$K$1)</f>
        <v>2.2</v>
      </c>
      <c r="T802" s="448">
        <f t="array" ref="T802">INDEX(INCVALUES,$Q802,$K$1)</f>
        <v>0.03</v>
      </c>
      <c r="V802">
        <f t="array" ref="V802">+J802+(4*(INDEX(MatchScoreTable,$Q802,20)-1))</f>
        <v>4</v>
      </c>
      <c r="W802" s="442">
        <f t="array" ref="W802">INDEX(INC_MINVALUES,$V802,$K$1)</f>
        <v>0.2</v>
      </c>
      <c r="X802" s="212">
        <f t="array" ref="X802">INDEX(INC_INCVALUES,$V802,$K$1)</f>
        <v>0.02</v>
      </c>
    </row>
    <row r="803" ht="15.75" customHeight="1">
      <c r="A803" s="435"/>
      <c r="B803" s="436"/>
      <c r="C803" s="95" t="str">
        <f t="array" ref="C803">IF(I803&gt;0,INDEX(DB,I803,8),"")</f>
        <v/>
      </c>
      <c r="D803" s="437">
        <f t="shared" si="1"/>
        <v>0</v>
      </c>
      <c r="F803" s="438">
        <f t="shared" si="2"/>
        <v>0</v>
      </c>
      <c r="G803" t="str">
        <f t="shared" si="3"/>
        <v/>
      </c>
      <c r="H803" t="b">
        <f t="shared" si="4"/>
        <v>0</v>
      </c>
      <c r="I803" s="439">
        <f>IF(OR(ISBLANK(A803),ISNA(MATCH(A803&amp;"",AthleteNumbers,0))),0,MATCH(A803&amp;"",AthleteNumbers,0))</f>
        <v>0</v>
      </c>
      <c r="J803" s="209">
        <f t="array" ref="J803">IF(I803&gt;0,INDEX(DB,$I803,6),0)</f>
        <v>0</v>
      </c>
      <c r="K803" s="446">
        <f t="shared" si="5"/>
        <v>0</v>
      </c>
      <c r="L803" s="446">
        <f t="shared" si="6"/>
        <v>0</v>
      </c>
      <c r="M803" s="441">
        <f>IF(L803&lt;O803,MinPoints,IF(AND(L803&gt;N803,O803&gt;0),100,+INT(($L803-O803)/P803)+MinPoints))</f>
        <v>10</v>
      </c>
      <c r="N803" s="440">
        <f t="shared" si="7"/>
        <v>4.9</v>
      </c>
      <c r="O803" s="440">
        <f t="shared" si="8"/>
        <v>2.2</v>
      </c>
      <c r="P803" s="440">
        <f t="shared" si="9"/>
        <v>0.03</v>
      </c>
      <c r="Q803">
        <f t="array" ref="Q803">IF(I803&gt;0,INDEX(DB,I803,9),EventIndex)</f>
        <v>6</v>
      </c>
      <c r="S803" s="447">
        <f t="array" ref="S803">INDEX(MINVALUES,$Q803,$K$1)</f>
        <v>2.2</v>
      </c>
      <c r="T803" s="448">
        <f t="array" ref="T803">INDEX(INCVALUES,$Q803,$K$1)</f>
        <v>0.03</v>
      </c>
      <c r="V803">
        <f t="array" ref="V803">+J803+(4*(INDEX(MatchScoreTable,$Q803,20)-1))</f>
        <v>4</v>
      </c>
      <c r="W803" s="442">
        <f t="array" ref="W803">INDEX(INC_MINVALUES,$V803,$K$1)</f>
        <v>0.2</v>
      </c>
      <c r="X803" s="212">
        <f t="array" ref="X803">INDEX(INC_INCVALUES,$V803,$K$1)</f>
        <v>0.02</v>
      </c>
    </row>
    <row r="804" ht="15.75" customHeight="1">
      <c r="A804" s="435"/>
      <c r="B804" s="436"/>
      <c r="C804" s="95" t="str">
        <f t="array" ref="C804">IF(I804&gt;0,INDEX(DB,I804,8),"")</f>
        <v/>
      </c>
      <c r="D804" s="437">
        <f t="shared" si="1"/>
        <v>0</v>
      </c>
      <c r="F804" s="438">
        <f t="shared" si="2"/>
        <v>0</v>
      </c>
      <c r="G804" t="str">
        <f t="shared" si="3"/>
        <v/>
      </c>
      <c r="H804" t="b">
        <f t="shared" si="4"/>
        <v>0</v>
      </c>
      <c r="I804" s="439">
        <f>IF(OR(ISBLANK(A804),ISNA(MATCH(A804&amp;"",AthleteNumbers,0))),0,MATCH(A804&amp;"",AthleteNumbers,0))</f>
        <v>0</v>
      </c>
      <c r="J804" s="209">
        <f t="array" ref="J804">IF(I804&gt;0,INDEX(DB,$I804,6),0)</f>
        <v>0</v>
      </c>
      <c r="K804" s="446">
        <f t="shared" si="5"/>
        <v>0</v>
      </c>
      <c r="L804" s="446">
        <f t="shared" si="6"/>
        <v>0</v>
      </c>
      <c r="M804" s="441">
        <f>IF(L804&lt;O804,MinPoints,IF(AND(L804&gt;N804,O804&gt;0),100,+INT(($L804-O804)/P804)+MinPoints))</f>
        <v>10</v>
      </c>
      <c r="N804" s="440">
        <f t="shared" si="7"/>
        <v>4.9</v>
      </c>
      <c r="O804" s="440">
        <f t="shared" si="8"/>
        <v>2.2</v>
      </c>
      <c r="P804" s="440">
        <f t="shared" si="9"/>
        <v>0.03</v>
      </c>
      <c r="Q804">
        <f t="array" ref="Q804">IF(I804&gt;0,INDEX(DB,I804,9),EventIndex)</f>
        <v>6</v>
      </c>
      <c r="S804" s="447">
        <f t="array" ref="S804">INDEX(MINVALUES,$Q804,$K$1)</f>
        <v>2.2</v>
      </c>
      <c r="T804" s="448">
        <f t="array" ref="T804">INDEX(INCVALUES,$Q804,$K$1)</f>
        <v>0.03</v>
      </c>
      <c r="V804">
        <f t="array" ref="V804">+J804+(4*(INDEX(MatchScoreTable,$Q804,20)-1))</f>
        <v>4</v>
      </c>
      <c r="W804" s="442">
        <f t="array" ref="W804">INDEX(INC_MINVALUES,$V804,$K$1)</f>
        <v>0.2</v>
      </c>
      <c r="X804" s="212">
        <f t="array" ref="X804">INDEX(INC_INCVALUES,$V804,$K$1)</f>
        <v>0.02</v>
      </c>
    </row>
    <row r="805" ht="15.75" customHeight="1">
      <c r="A805" s="435"/>
      <c r="B805" s="436"/>
      <c r="C805" s="95" t="str">
        <f t="array" ref="C805">IF(I805&gt;0,INDEX(DB,I805,8),"")</f>
        <v/>
      </c>
      <c r="D805" s="437">
        <f t="shared" si="1"/>
        <v>0</v>
      </c>
      <c r="F805" s="438">
        <f t="shared" si="2"/>
        <v>0</v>
      </c>
      <c r="G805" t="str">
        <f t="shared" si="3"/>
        <v/>
      </c>
      <c r="H805" t="b">
        <f t="shared" si="4"/>
        <v>0</v>
      </c>
      <c r="I805" s="439">
        <f>IF(OR(ISBLANK(A805),ISNA(MATCH(A805&amp;"",AthleteNumbers,0))),0,MATCH(A805&amp;"",AthleteNumbers,0))</f>
        <v>0</v>
      </c>
      <c r="J805" s="209">
        <f t="array" ref="J805">IF(I805&gt;0,INDEX(DB,$I805,6),0)</f>
        <v>0</v>
      </c>
      <c r="K805" s="446">
        <f t="shared" si="5"/>
        <v>0</v>
      </c>
      <c r="L805" s="446">
        <f t="shared" si="6"/>
        <v>0</v>
      </c>
      <c r="M805" s="441">
        <f>IF(L805&lt;O805,MinPoints,IF(AND(L805&gt;N805,O805&gt;0),100,+INT(($L805-O805)/P805)+MinPoints))</f>
        <v>10</v>
      </c>
      <c r="N805" s="440">
        <f t="shared" si="7"/>
        <v>4.9</v>
      </c>
      <c r="O805" s="440">
        <f t="shared" si="8"/>
        <v>2.2</v>
      </c>
      <c r="P805" s="440">
        <f t="shared" si="9"/>
        <v>0.03</v>
      </c>
      <c r="Q805">
        <f t="array" ref="Q805">IF(I805&gt;0,INDEX(DB,I805,9),EventIndex)</f>
        <v>6</v>
      </c>
      <c r="S805" s="447">
        <f t="array" ref="S805">INDEX(MINVALUES,$Q805,$K$1)</f>
        <v>2.2</v>
      </c>
      <c r="T805" s="448">
        <f t="array" ref="T805">INDEX(INCVALUES,$Q805,$K$1)</f>
        <v>0.03</v>
      </c>
      <c r="V805">
        <f t="array" ref="V805">+J805+(4*(INDEX(MatchScoreTable,$Q805,20)-1))</f>
        <v>4</v>
      </c>
      <c r="W805" s="442">
        <f t="array" ref="W805">INDEX(INC_MINVALUES,$V805,$K$1)</f>
        <v>0.2</v>
      </c>
      <c r="X805" s="212">
        <f t="array" ref="X805">INDEX(INC_INCVALUES,$V805,$K$1)</f>
        <v>0.02</v>
      </c>
    </row>
    <row r="806" ht="15.75" customHeight="1">
      <c r="A806" s="435"/>
      <c r="B806" s="436"/>
      <c r="C806" s="95" t="str">
        <f t="array" ref="C806">IF(I806&gt;0,INDEX(DB,I806,8),"")</f>
        <v/>
      </c>
      <c r="D806" s="437">
        <f t="shared" si="1"/>
        <v>0</v>
      </c>
      <c r="F806" s="438">
        <f t="shared" si="2"/>
        <v>0</v>
      </c>
      <c r="G806" t="str">
        <f t="shared" si="3"/>
        <v/>
      </c>
      <c r="H806" t="b">
        <f t="shared" si="4"/>
        <v>0</v>
      </c>
      <c r="I806" s="439">
        <f>IF(OR(ISBLANK(A806),ISNA(MATCH(A806&amp;"",AthleteNumbers,0))),0,MATCH(A806&amp;"",AthleteNumbers,0))</f>
        <v>0</v>
      </c>
      <c r="J806" s="209">
        <f t="array" ref="J806">IF(I806&gt;0,INDEX(DB,$I806,6),0)</f>
        <v>0</v>
      </c>
      <c r="K806" s="446">
        <f t="shared" si="5"/>
        <v>0</v>
      </c>
      <c r="L806" s="446">
        <f t="shared" si="6"/>
        <v>0</v>
      </c>
      <c r="M806" s="441">
        <f>IF(L806&lt;O806,MinPoints,IF(AND(L806&gt;N806,O806&gt;0),100,+INT(($L806-O806)/P806)+MinPoints))</f>
        <v>10</v>
      </c>
      <c r="N806" s="440">
        <f t="shared" si="7"/>
        <v>4.9</v>
      </c>
      <c r="O806" s="440">
        <f t="shared" si="8"/>
        <v>2.2</v>
      </c>
      <c r="P806" s="440">
        <f t="shared" si="9"/>
        <v>0.03</v>
      </c>
      <c r="Q806">
        <f t="array" ref="Q806">IF(I806&gt;0,INDEX(DB,I806,9),EventIndex)</f>
        <v>6</v>
      </c>
      <c r="S806" s="447">
        <f t="array" ref="S806">INDEX(MINVALUES,$Q806,$K$1)</f>
        <v>2.2</v>
      </c>
      <c r="T806" s="448">
        <f t="array" ref="T806">INDEX(INCVALUES,$Q806,$K$1)</f>
        <v>0.03</v>
      </c>
      <c r="V806">
        <f t="array" ref="V806">+J806+(4*(INDEX(MatchScoreTable,$Q806,20)-1))</f>
        <v>4</v>
      </c>
      <c r="W806" s="442">
        <f t="array" ref="W806">INDEX(INC_MINVALUES,$V806,$K$1)</f>
        <v>0.2</v>
      </c>
      <c r="X806" s="212">
        <f t="array" ref="X806">INDEX(INC_INCVALUES,$V806,$K$1)</f>
        <v>0.02</v>
      </c>
    </row>
    <row r="807" ht="15.75" customHeight="1">
      <c r="A807" s="435"/>
      <c r="B807" s="436"/>
      <c r="C807" s="95" t="str">
        <f t="array" ref="C807">IF(I807&gt;0,INDEX(DB,I807,8),"")</f>
        <v/>
      </c>
      <c r="D807" s="437">
        <f t="shared" si="1"/>
        <v>0</v>
      </c>
      <c r="F807" s="438">
        <f t="shared" si="2"/>
        <v>0</v>
      </c>
      <c r="G807" t="str">
        <f t="shared" si="3"/>
        <v/>
      </c>
      <c r="H807" t="b">
        <f t="shared" si="4"/>
        <v>0</v>
      </c>
      <c r="I807" s="439">
        <f>IF(OR(ISBLANK(A807),ISNA(MATCH(A807&amp;"",AthleteNumbers,0))),0,MATCH(A807&amp;"",AthleteNumbers,0))</f>
        <v>0</v>
      </c>
      <c r="J807" s="209">
        <f t="array" ref="J807">IF(I807&gt;0,INDEX(DB,$I807,6),0)</f>
        <v>0</v>
      </c>
      <c r="K807" s="446">
        <f t="shared" si="5"/>
        <v>0</v>
      </c>
      <c r="L807" s="446">
        <f t="shared" si="6"/>
        <v>0</v>
      </c>
      <c r="M807" s="441">
        <f>IF(L807&lt;O807,MinPoints,IF(AND(L807&gt;N807,O807&gt;0),100,+INT(($L807-O807)/P807)+MinPoints))</f>
        <v>10</v>
      </c>
      <c r="N807" s="440">
        <f t="shared" si="7"/>
        <v>4.9</v>
      </c>
      <c r="O807" s="440">
        <f t="shared" si="8"/>
        <v>2.2</v>
      </c>
      <c r="P807" s="440">
        <f t="shared" si="9"/>
        <v>0.03</v>
      </c>
      <c r="Q807">
        <f t="array" ref="Q807">IF(I807&gt;0,INDEX(DB,I807,9),EventIndex)</f>
        <v>6</v>
      </c>
      <c r="S807" s="447">
        <f t="array" ref="S807">INDEX(MINVALUES,$Q807,$K$1)</f>
        <v>2.2</v>
      </c>
      <c r="T807" s="448">
        <f t="array" ref="T807">INDEX(INCVALUES,$Q807,$K$1)</f>
        <v>0.03</v>
      </c>
      <c r="V807">
        <f t="array" ref="V807">+J807+(4*(INDEX(MatchScoreTable,$Q807,20)-1))</f>
        <v>4</v>
      </c>
      <c r="W807" s="442">
        <f t="array" ref="W807">INDEX(INC_MINVALUES,$V807,$K$1)</f>
        <v>0.2</v>
      </c>
      <c r="X807" s="212">
        <f t="array" ref="X807">INDEX(INC_INCVALUES,$V807,$K$1)</f>
        <v>0.02</v>
      </c>
    </row>
    <row r="808" ht="15.75" customHeight="1">
      <c r="A808" s="435"/>
      <c r="B808" s="436"/>
      <c r="C808" s="95" t="str">
        <f t="array" ref="C808">IF(I808&gt;0,INDEX(DB,I808,8),"")</f>
        <v/>
      </c>
      <c r="D808" s="437">
        <f t="shared" si="1"/>
        <v>0</v>
      </c>
      <c r="F808" s="438">
        <f t="shared" si="2"/>
        <v>0</v>
      </c>
      <c r="G808" t="str">
        <f t="shared" si="3"/>
        <v/>
      </c>
      <c r="H808" t="b">
        <f t="shared" si="4"/>
        <v>0</v>
      </c>
      <c r="I808" s="439">
        <f>IF(OR(ISBLANK(A808),ISNA(MATCH(A808&amp;"",AthleteNumbers,0))),0,MATCH(A808&amp;"",AthleteNumbers,0))</f>
        <v>0</v>
      </c>
      <c r="J808" s="209">
        <f t="array" ref="J808">IF(I808&gt;0,INDEX(DB,$I808,6),0)</f>
        <v>0</v>
      </c>
      <c r="K808" s="446">
        <f t="shared" si="5"/>
        <v>0</v>
      </c>
      <c r="L808" s="446">
        <f t="shared" si="6"/>
        <v>0</v>
      </c>
      <c r="M808" s="441">
        <f>IF(L808&lt;O808,MinPoints,IF(AND(L808&gt;N808,O808&gt;0),100,+INT(($L808-O808)/P808)+MinPoints))</f>
        <v>10</v>
      </c>
      <c r="N808" s="440">
        <f t="shared" si="7"/>
        <v>4.9</v>
      </c>
      <c r="O808" s="440">
        <f t="shared" si="8"/>
        <v>2.2</v>
      </c>
      <c r="P808" s="440">
        <f t="shared" si="9"/>
        <v>0.03</v>
      </c>
      <c r="Q808">
        <f t="array" ref="Q808">IF(I808&gt;0,INDEX(DB,I808,9),EventIndex)</f>
        <v>6</v>
      </c>
      <c r="S808" s="447">
        <f t="array" ref="S808">INDEX(MINVALUES,$Q808,$K$1)</f>
        <v>2.2</v>
      </c>
      <c r="T808" s="448">
        <f t="array" ref="T808">INDEX(INCVALUES,$Q808,$K$1)</f>
        <v>0.03</v>
      </c>
      <c r="V808">
        <f t="array" ref="V808">+J808+(4*(INDEX(MatchScoreTable,$Q808,20)-1))</f>
        <v>4</v>
      </c>
      <c r="W808" s="442">
        <f t="array" ref="W808">INDEX(INC_MINVALUES,$V808,$K$1)</f>
        <v>0.2</v>
      </c>
      <c r="X808" s="212">
        <f t="array" ref="X808">INDEX(INC_INCVALUES,$V808,$K$1)</f>
        <v>0.02</v>
      </c>
    </row>
    <row r="809" ht="15.75" customHeight="1">
      <c r="A809" s="435"/>
      <c r="B809" s="436"/>
      <c r="C809" s="95" t="str">
        <f t="array" ref="C809">IF(I809&gt;0,INDEX(DB,I809,8),"")</f>
        <v/>
      </c>
      <c r="D809" s="437">
        <f t="shared" si="1"/>
        <v>0</v>
      </c>
      <c r="F809" s="438">
        <f t="shared" si="2"/>
        <v>0</v>
      </c>
      <c r="G809" t="str">
        <f t="shared" si="3"/>
        <v/>
      </c>
      <c r="H809" t="b">
        <f t="shared" si="4"/>
        <v>0</v>
      </c>
      <c r="I809" s="439">
        <f>IF(OR(ISBLANK(A809),ISNA(MATCH(A809&amp;"",AthleteNumbers,0))),0,MATCH(A809&amp;"",AthleteNumbers,0))</f>
        <v>0</v>
      </c>
      <c r="J809" s="209">
        <f t="array" ref="J809">IF(I809&gt;0,INDEX(DB,$I809,6),0)</f>
        <v>0</v>
      </c>
      <c r="K809" s="446">
        <f t="shared" si="5"/>
        <v>0</v>
      </c>
      <c r="L809" s="446">
        <f t="shared" si="6"/>
        <v>0</v>
      </c>
      <c r="M809" s="441">
        <f>IF(L809&lt;O809,MinPoints,IF(AND(L809&gt;N809,O809&gt;0),100,+INT(($L809-O809)/P809)+MinPoints))</f>
        <v>10</v>
      </c>
      <c r="N809" s="440">
        <f t="shared" si="7"/>
        <v>4.9</v>
      </c>
      <c r="O809" s="440">
        <f t="shared" si="8"/>
        <v>2.2</v>
      </c>
      <c r="P809" s="440">
        <f t="shared" si="9"/>
        <v>0.03</v>
      </c>
      <c r="Q809">
        <f t="array" ref="Q809">IF(I809&gt;0,INDEX(DB,I809,9),EventIndex)</f>
        <v>6</v>
      </c>
      <c r="S809" s="447">
        <f t="array" ref="S809">INDEX(MINVALUES,$Q809,$K$1)</f>
        <v>2.2</v>
      </c>
      <c r="T809" s="448">
        <f t="array" ref="T809">INDEX(INCVALUES,$Q809,$K$1)</f>
        <v>0.03</v>
      </c>
      <c r="V809">
        <f t="array" ref="V809">+J809+(4*(INDEX(MatchScoreTable,$Q809,20)-1))</f>
        <v>4</v>
      </c>
      <c r="W809" s="442">
        <f t="array" ref="W809">INDEX(INC_MINVALUES,$V809,$K$1)</f>
        <v>0.2</v>
      </c>
      <c r="X809" s="212">
        <f t="array" ref="X809">INDEX(INC_INCVALUES,$V809,$K$1)</f>
        <v>0.02</v>
      </c>
    </row>
    <row r="810" ht="15.75" customHeight="1">
      <c r="A810" s="435"/>
      <c r="B810" s="436"/>
      <c r="C810" s="95" t="str">
        <f t="array" ref="C810">IF(I810&gt;0,INDEX(DB,I810,8),"")</f>
        <v/>
      </c>
      <c r="D810" s="437">
        <f t="shared" si="1"/>
        <v>0</v>
      </c>
      <c r="F810" s="438">
        <f t="shared" si="2"/>
        <v>0</v>
      </c>
      <c r="G810" t="str">
        <f t="shared" si="3"/>
        <v/>
      </c>
      <c r="H810" t="b">
        <f t="shared" si="4"/>
        <v>0</v>
      </c>
      <c r="I810" s="439">
        <f>IF(OR(ISBLANK(A810),ISNA(MATCH(A810&amp;"",AthleteNumbers,0))),0,MATCH(A810&amp;"",AthleteNumbers,0))</f>
        <v>0</v>
      </c>
      <c r="J810" s="209">
        <f t="array" ref="J810">IF(I810&gt;0,INDEX(DB,$I810,6),0)</f>
        <v>0</v>
      </c>
      <c r="K810" s="446">
        <f t="shared" si="5"/>
        <v>0</v>
      </c>
      <c r="L810" s="446">
        <f t="shared" si="6"/>
        <v>0</v>
      </c>
      <c r="M810" s="441">
        <f>IF(L810&lt;O810,MinPoints,IF(AND(L810&gt;N810,O810&gt;0),100,+INT(($L810-O810)/P810)+MinPoints))</f>
        <v>10</v>
      </c>
      <c r="N810" s="440">
        <f t="shared" si="7"/>
        <v>4.9</v>
      </c>
      <c r="O810" s="440">
        <f t="shared" si="8"/>
        <v>2.2</v>
      </c>
      <c r="P810" s="440">
        <f t="shared" si="9"/>
        <v>0.03</v>
      </c>
      <c r="Q810">
        <f t="array" ref="Q810">IF(I810&gt;0,INDEX(DB,I810,9),EventIndex)</f>
        <v>6</v>
      </c>
      <c r="S810" s="447">
        <f t="array" ref="S810">INDEX(MINVALUES,$Q810,$K$1)</f>
        <v>2.2</v>
      </c>
      <c r="T810" s="448">
        <f t="array" ref="T810">INDEX(INCVALUES,$Q810,$K$1)</f>
        <v>0.03</v>
      </c>
      <c r="V810">
        <f t="array" ref="V810">+J810+(4*(INDEX(MatchScoreTable,$Q810,20)-1))</f>
        <v>4</v>
      </c>
      <c r="W810" s="442">
        <f t="array" ref="W810">INDEX(INC_MINVALUES,$V810,$K$1)</f>
        <v>0.2</v>
      </c>
      <c r="X810" s="212">
        <f t="array" ref="X810">INDEX(INC_INCVALUES,$V810,$K$1)</f>
        <v>0.02</v>
      </c>
    </row>
    <row r="811" ht="15.75" customHeight="1">
      <c r="A811" s="435"/>
      <c r="B811" s="436"/>
      <c r="C811" s="95" t="str">
        <f t="array" ref="C811">IF(I811&gt;0,INDEX(DB,I811,8),"")</f>
        <v/>
      </c>
      <c r="D811" s="437">
        <f t="shared" si="1"/>
        <v>0</v>
      </c>
      <c r="F811" s="438">
        <f t="shared" si="2"/>
        <v>0</v>
      </c>
      <c r="G811" t="str">
        <f t="shared" si="3"/>
        <v/>
      </c>
      <c r="H811" t="b">
        <f t="shared" si="4"/>
        <v>0</v>
      </c>
      <c r="I811" s="439">
        <f>IF(OR(ISBLANK(A811),ISNA(MATCH(A811&amp;"",AthleteNumbers,0))),0,MATCH(A811&amp;"",AthleteNumbers,0))</f>
        <v>0</v>
      </c>
      <c r="J811" s="209">
        <f t="array" ref="J811">IF(I811&gt;0,INDEX(DB,$I811,6),0)</f>
        <v>0</v>
      </c>
      <c r="K811" s="446">
        <f t="shared" si="5"/>
        <v>0</v>
      </c>
      <c r="L811" s="446">
        <f t="shared" si="6"/>
        <v>0</v>
      </c>
      <c r="M811" s="441">
        <f>IF(L811&lt;O811,MinPoints,IF(AND(L811&gt;N811,O811&gt;0),100,+INT(($L811-O811)/P811)+MinPoints))</f>
        <v>10</v>
      </c>
      <c r="N811" s="440">
        <f t="shared" si="7"/>
        <v>4.9</v>
      </c>
      <c r="O811" s="440">
        <f t="shared" si="8"/>
        <v>2.2</v>
      </c>
      <c r="P811" s="440">
        <f t="shared" si="9"/>
        <v>0.03</v>
      </c>
      <c r="Q811">
        <f t="array" ref="Q811">IF(I811&gt;0,INDEX(DB,I811,9),EventIndex)</f>
        <v>6</v>
      </c>
      <c r="S811" s="447">
        <f t="array" ref="S811">INDEX(MINVALUES,$Q811,$K$1)</f>
        <v>2.2</v>
      </c>
      <c r="T811" s="448">
        <f t="array" ref="T811">INDEX(INCVALUES,$Q811,$K$1)</f>
        <v>0.03</v>
      </c>
      <c r="V811">
        <f t="array" ref="V811">+J811+(4*(INDEX(MatchScoreTable,$Q811,20)-1))</f>
        <v>4</v>
      </c>
      <c r="W811" s="442">
        <f t="array" ref="W811">INDEX(INC_MINVALUES,$V811,$K$1)</f>
        <v>0.2</v>
      </c>
      <c r="X811" s="212">
        <f t="array" ref="X811">INDEX(INC_INCVALUES,$V811,$K$1)</f>
        <v>0.02</v>
      </c>
    </row>
    <row r="812" ht="15.75" customHeight="1">
      <c r="A812" s="435"/>
      <c r="B812" s="436"/>
      <c r="C812" s="95" t="str">
        <f t="array" ref="C812">IF(I812&gt;0,INDEX(DB,I812,8),"")</f>
        <v/>
      </c>
      <c r="D812" s="437">
        <f t="shared" si="1"/>
        <v>0</v>
      </c>
      <c r="F812" s="438">
        <f t="shared" si="2"/>
        <v>0</v>
      </c>
      <c r="G812" t="str">
        <f t="shared" si="3"/>
        <v/>
      </c>
      <c r="H812" t="b">
        <f t="shared" si="4"/>
        <v>0</v>
      </c>
      <c r="I812" s="439">
        <f>IF(OR(ISBLANK(A812),ISNA(MATCH(A812&amp;"",AthleteNumbers,0))),0,MATCH(A812&amp;"",AthleteNumbers,0))</f>
        <v>0</v>
      </c>
      <c r="J812" s="209">
        <f t="array" ref="J812">IF(I812&gt;0,INDEX(DB,$I812,6),0)</f>
        <v>0</v>
      </c>
      <c r="K812" s="446">
        <f t="shared" si="5"/>
        <v>0</v>
      </c>
      <c r="L812" s="446">
        <f t="shared" si="6"/>
        <v>0</v>
      </c>
      <c r="M812" s="441">
        <f>IF(L812&lt;O812,MinPoints,IF(AND(L812&gt;N812,O812&gt;0),100,+INT(($L812-O812)/P812)+MinPoints))</f>
        <v>10</v>
      </c>
      <c r="N812" s="440">
        <f t="shared" si="7"/>
        <v>4.9</v>
      </c>
      <c r="O812" s="440">
        <f t="shared" si="8"/>
        <v>2.2</v>
      </c>
      <c r="P812" s="440">
        <f t="shared" si="9"/>
        <v>0.03</v>
      </c>
      <c r="Q812">
        <f t="array" ref="Q812">IF(I812&gt;0,INDEX(DB,I812,9),EventIndex)</f>
        <v>6</v>
      </c>
      <c r="S812" s="447">
        <f t="array" ref="S812">INDEX(MINVALUES,$Q812,$K$1)</f>
        <v>2.2</v>
      </c>
      <c r="T812" s="448">
        <f t="array" ref="T812">INDEX(INCVALUES,$Q812,$K$1)</f>
        <v>0.03</v>
      </c>
      <c r="V812">
        <f t="array" ref="V812">+J812+(4*(INDEX(MatchScoreTable,$Q812,20)-1))</f>
        <v>4</v>
      </c>
      <c r="W812" s="442">
        <f t="array" ref="W812">INDEX(INC_MINVALUES,$V812,$K$1)</f>
        <v>0.2</v>
      </c>
      <c r="X812" s="212">
        <f t="array" ref="X812">INDEX(INC_INCVALUES,$V812,$K$1)</f>
        <v>0.02</v>
      </c>
    </row>
    <row r="813" ht="15.75" customHeight="1">
      <c r="A813" s="435"/>
      <c r="B813" s="436"/>
      <c r="C813" s="95" t="str">
        <f t="array" ref="C813">IF(I813&gt;0,INDEX(DB,I813,8),"")</f>
        <v/>
      </c>
      <c r="D813" s="437">
        <f t="shared" si="1"/>
        <v>0</v>
      </c>
      <c r="F813" s="438">
        <f t="shared" si="2"/>
        <v>0</v>
      </c>
      <c r="G813" t="str">
        <f t="shared" si="3"/>
        <v/>
      </c>
      <c r="H813" t="b">
        <f t="shared" si="4"/>
        <v>0</v>
      </c>
      <c r="I813" s="439">
        <f>IF(OR(ISBLANK(A813),ISNA(MATCH(A813&amp;"",AthleteNumbers,0))),0,MATCH(A813&amp;"",AthleteNumbers,0))</f>
        <v>0</v>
      </c>
      <c r="J813" s="209">
        <f t="array" ref="J813">IF(I813&gt;0,INDEX(DB,$I813,6),0)</f>
        <v>0</v>
      </c>
      <c r="K813" s="446">
        <f t="shared" si="5"/>
        <v>0</v>
      </c>
      <c r="L813" s="446">
        <f t="shared" si="6"/>
        <v>0</v>
      </c>
      <c r="M813" s="441">
        <f>IF(L813&lt;O813,MinPoints,IF(AND(L813&gt;N813,O813&gt;0),100,+INT(($L813-O813)/P813)+MinPoints))</f>
        <v>10</v>
      </c>
      <c r="N813" s="440">
        <f t="shared" si="7"/>
        <v>4.9</v>
      </c>
      <c r="O813" s="440">
        <f t="shared" si="8"/>
        <v>2.2</v>
      </c>
      <c r="P813" s="440">
        <f t="shared" si="9"/>
        <v>0.03</v>
      </c>
      <c r="Q813">
        <f t="array" ref="Q813">IF(I813&gt;0,INDEX(DB,I813,9),EventIndex)</f>
        <v>6</v>
      </c>
      <c r="S813" s="447">
        <f t="array" ref="S813">INDEX(MINVALUES,$Q813,$K$1)</f>
        <v>2.2</v>
      </c>
      <c r="T813" s="448">
        <f t="array" ref="T813">INDEX(INCVALUES,$Q813,$K$1)</f>
        <v>0.03</v>
      </c>
      <c r="V813">
        <f t="array" ref="V813">+J813+(4*(INDEX(MatchScoreTable,$Q813,20)-1))</f>
        <v>4</v>
      </c>
      <c r="W813" s="442">
        <f t="array" ref="W813">INDEX(INC_MINVALUES,$V813,$K$1)</f>
        <v>0.2</v>
      </c>
      <c r="X813" s="212">
        <f t="array" ref="X813">INDEX(INC_INCVALUES,$V813,$K$1)</f>
        <v>0.02</v>
      </c>
    </row>
    <row r="814" ht="15.75" customHeight="1">
      <c r="A814" s="435"/>
      <c r="B814" s="436"/>
      <c r="C814" s="95" t="str">
        <f t="array" ref="C814">IF(I814&gt;0,INDEX(DB,I814,8),"")</f>
        <v/>
      </c>
      <c r="D814" s="437">
        <f t="shared" si="1"/>
        <v>0</v>
      </c>
      <c r="F814" s="438">
        <f t="shared" si="2"/>
        <v>0</v>
      </c>
      <c r="G814" t="str">
        <f t="shared" si="3"/>
        <v/>
      </c>
      <c r="H814" t="b">
        <f t="shared" si="4"/>
        <v>0</v>
      </c>
      <c r="I814" s="439">
        <f>IF(OR(ISBLANK(A814),ISNA(MATCH(A814&amp;"",AthleteNumbers,0))),0,MATCH(A814&amp;"",AthleteNumbers,0))</f>
        <v>0</v>
      </c>
      <c r="J814" s="209">
        <f t="array" ref="J814">IF(I814&gt;0,INDEX(DB,$I814,6),0)</f>
        <v>0</v>
      </c>
      <c r="K814" s="446">
        <f t="shared" si="5"/>
        <v>0</v>
      </c>
      <c r="L814" s="446">
        <f t="shared" si="6"/>
        <v>0</v>
      </c>
      <c r="M814" s="441">
        <f>IF(L814&lt;O814,MinPoints,IF(AND(L814&gt;N814,O814&gt;0),100,+INT(($L814-O814)/P814)+MinPoints))</f>
        <v>10</v>
      </c>
      <c r="N814" s="440">
        <f t="shared" si="7"/>
        <v>4.9</v>
      </c>
      <c r="O814" s="440">
        <f t="shared" si="8"/>
        <v>2.2</v>
      </c>
      <c r="P814" s="440">
        <f t="shared" si="9"/>
        <v>0.03</v>
      </c>
      <c r="Q814">
        <f t="array" ref="Q814">IF(I814&gt;0,INDEX(DB,I814,9),EventIndex)</f>
        <v>6</v>
      </c>
      <c r="S814" s="447">
        <f t="array" ref="S814">INDEX(MINVALUES,$Q814,$K$1)</f>
        <v>2.2</v>
      </c>
      <c r="T814" s="448">
        <f t="array" ref="T814">INDEX(INCVALUES,$Q814,$K$1)</f>
        <v>0.03</v>
      </c>
      <c r="V814">
        <f t="array" ref="V814">+J814+(4*(INDEX(MatchScoreTable,$Q814,20)-1))</f>
        <v>4</v>
      </c>
      <c r="W814" s="442">
        <f t="array" ref="W814">INDEX(INC_MINVALUES,$V814,$K$1)</f>
        <v>0.2</v>
      </c>
      <c r="X814" s="212">
        <f t="array" ref="X814">INDEX(INC_INCVALUES,$V814,$K$1)</f>
        <v>0.02</v>
      </c>
    </row>
    <row r="815" ht="15.75" customHeight="1">
      <c r="A815" s="435"/>
      <c r="B815" s="436"/>
      <c r="C815" s="95" t="str">
        <f t="array" ref="C815">IF(I815&gt;0,INDEX(DB,I815,8),"")</f>
        <v/>
      </c>
      <c r="D815" s="437">
        <f t="shared" si="1"/>
        <v>0</v>
      </c>
      <c r="F815" s="438">
        <f t="shared" si="2"/>
        <v>0</v>
      </c>
      <c r="G815" t="str">
        <f t="shared" si="3"/>
        <v/>
      </c>
      <c r="H815" t="b">
        <f t="shared" si="4"/>
        <v>0</v>
      </c>
      <c r="I815" s="439">
        <f>IF(OR(ISBLANK(A815),ISNA(MATCH(A815&amp;"",AthleteNumbers,0))),0,MATCH(A815&amp;"",AthleteNumbers,0))</f>
        <v>0</v>
      </c>
      <c r="J815" s="209">
        <f t="array" ref="J815">IF(I815&gt;0,INDEX(DB,$I815,6),0)</f>
        <v>0</v>
      </c>
      <c r="K815" s="446">
        <f t="shared" si="5"/>
        <v>0</v>
      </c>
      <c r="L815" s="446">
        <f t="shared" si="6"/>
        <v>0</v>
      </c>
      <c r="M815" s="441">
        <f>IF(L815&lt;O815,MinPoints,IF(AND(L815&gt;N815,O815&gt;0),100,+INT(($L815-O815)/P815)+MinPoints))</f>
        <v>10</v>
      </c>
      <c r="N815" s="440">
        <f t="shared" si="7"/>
        <v>4.9</v>
      </c>
      <c r="O815" s="440">
        <f t="shared" si="8"/>
        <v>2.2</v>
      </c>
      <c r="P815" s="440">
        <f t="shared" si="9"/>
        <v>0.03</v>
      </c>
      <c r="Q815">
        <f t="array" ref="Q815">IF(I815&gt;0,INDEX(DB,I815,9),EventIndex)</f>
        <v>6</v>
      </c>
      <c r="S815" s="447">
        <f t="array" ref="S815">INDEX(MINVALUES,$Q815,$K$1)</f>
        <v>2.2</v>
      </c>
      <c r="T815" s="448">
        <f t="array" ref="T815">INDEX(INCVALUES,$Q815,$K$1)</f>
        <v>0.03</v>
      </c>
      <c r="V815">
        <f t="array" ref="V815">+J815+(4*(INDEX(MatchScoreTable,$Q815,20)-1))</f>
        <v>4</v>
      </c>
      <c r="W815" s="442">
        <f t="array" ref="W815">INDEX(INC_MINVALUES,$V815,$K$1)</f>
        <v>0.2</v>
      </c>
      <c r="X815" s="212">
        <f t="array" ref="X815">INDEX(INC_INCVALUES,$V815,$K$1)</f>
        <v>0.02</v>
      </c>
    </row>
    <row r="816" ht="15.75" customHeight="1">
      <c r="A816" s="435"/>
      <c r="B816" s="436"/>
      <c r="C816" s="95" t="str">
        <f t="array" ref="C816">IF(I816&gt;0,INDEX(DB,I816,8),"")</f>
        <v/>
      </c>
      <c r="D816" s="437">
        <f t="shared" si="1"/>
        <v>0</v>
      </c>
      <c r="F816" s="438">
        <f t="shared" si="2"/>
        <v>0</v>
      </c>
      <c r="G816" t="str">
        <f t="shared" si="3"/>
        <v/>
      </c>
      <c r="H816" t="b">
        <f t="shared" si="4"/>
        <v>0</v>
      </c>
      <c r="I816" s="439">
        <f>IF(OR(ISBLANK(A816),ISNA(MATCH(A816&amp;"",AthleteNumbers,0))),0,MATCH(A816&amp;"",AthleteNumbers,0))</f>
        <v>0</v>
      </c>
      <c r="J816" s="209">
        <f t="array" ref="J816">IF(I816&gt;0,INDEX(DB,$I816,6),0)</f>
        <v>0</v>
      </c>
      <c r="K816" s="446">
        <f t="shared" si="5"/>
        <v>0</v>
      </c>
      <c r="L816" s="446">
        <f t="shared" si="6"/>
        <v>0</v>
      </c>
      <c r="M816" s="441">
        <f>IF(L816&lt;O816,MinPoints,IF(AND(L816&gt;N816,O816&gt;0),100,+INT(($L816-O816)/P816)+MinPoints))</f>
        <v>10</v>
      </c>
      <c r="N816" s="440">
        <f t="shared" si="7"/>
        <v>4.9</v>
      </c>
      <c r="O816" s="440">
        <f t="shared" si="8"/>
        <v>2.2</v>
      </c>
      <c r="P816" s="440">
        <f t="shared" si="9"/>
        <v>0.03</v>
      </c>
      <c r="Q816">
        <f t="array" ref="Q816">IF(I816&gt;0,INDEX(DB,I816,9),EventIndex)</f>
        <v>6</v>
      </c>
      <c r="S816" s="447">
        <f t="array" ref="S816">INDEX(MINVALUES,$Q816,$K$1)</f>
        <v>2.2</v>
      </c>
      <c r="T816" s="448">
        <f t="array" ref="T816">INDEX(INCVALUES,$Q816,$K$1)</f>
        <v>0.03</v>
      </c>
      <c r="V816">
        <f t="array" ref="V816">+J816+(4*(INDEX(MatchScoreTable,$Q816,20)-1))</f>
        <v>4</v>
      </c>
      <c r="W816" s="442">
        <f t="array" ref="W816">INDEX(INC_MINVALUES,$V816,$K$1)</f>
        <v>0.2</v>
      </c>
      <c r="X816" s="212">
        <f t="array" ref="X816">INDEX(INC_INCVALUES,$V816,$K$1)</f>
        <v>0.02</v>
      </c>
    </row>
    <row r="817" ht="15.75" customHeight="1">
      <c r="A817" s="435"/>
      <c r="B817" s="436"/>
      <c r="C817" s="95" t="str">
        <f t="array" ref="C817">IF(I817&gt;0,INDEX(DB,I817,8),"")</f>
        <v/>
      </c>
      <c r="D817" s="437">
        <f t="shared" si="1"/>
        <v>0</v>
      </c>
      <c r="F817" s="438">
        <f t="shared" si="2"/>
        <v>0</v>
      </c>
      <c r="G817" t="str">
        <f t="shared" si="3"/>
        <v/>
      </c>
      <c r="H817" t="b">
        <f t="shared" si="4"/>
        <v>0</v>
      </c>
      <c r="I817" s="439">
        <f>IF(OR(ISBLANK(A817),ISNA(MATCH(A817&amp;"",AthleteNumbers,0))),0,MATCH(A817&amp;"",AthleteNumbers,0))</f>
        <v>0</v>
      </c>
      <c r="J817" s="209">
        <f t="array" ref="J817">IF(I817&gt;0,INDEX(DB,$I817,6),0)</f>
        <v>0</v>
      </c>
      <c r="K817" s="446">
        <f t="shared" si="5"/>
        <v>0</v>
      </c>
      <c r="L817" s="446">
        <f t="shared" si="6"/>
        <v>0</v>
      </c>
      <c r="M817" s="441">
        <f>IF(L817&lt;O817,MinPoints,IF(AND(L817&gt;N817,O817&gt;0),100,+INT(($L817-O817)/P817)+MinPoints))</f>
        <v>10</v>
      </c>
      <c r="N817" s="440">
        <f t="shared" si="7"/>
        <v>4.9</v>
      </c>
      <c r="O817" s="440">
        <f t="shared" si="8"/>
        <v>2.2</v>
      </c>
      <c r="P817" s="440">
        <f t="shared" si="9"/>
        <v>0.03</v>
      </c>
      <c r="Q817">
        <f t="array" ref="Q817">IF(I817&gt;0,INDEX(DB,I817,9),EventIndex)</f>
        <v>6</v>
      </c>
      <c r="S817" s="447">
        <f t="array" ref="S817">INDEX(MINVALUES,$Q817,$K$1)</f>
        <v>2.2</v>
      </c>
      <c r="T817" s="448">
        <f t="array" ref="T817">INDEX(INCVALUES,$Q817,$K$1)</f>
        <v>0.03</v>
      </c>
      <c r="V817">
        <f t="array" ref="V817">+J817+(4*(INDEX(MatchScoreTable,$Q817,20)-1))</f>
        <v>4</v>
      </c>
      <c r="W817" s="442">
        <f t="array" ref="W817">INDEX(INC_MINVALUES,$V817,$K$1)</f>
        <v>0.2</v>
      </c>
      <c r="X817" s="212">
        <f t="array" ref="X817">INDEX(INC_INCVALUES,$V817,$K$1)</f>
        <v>0.02</v>
      </c>
    </row>
    <row r="818" ht="15.75" customHeight="1">
      <c r="A818" s="435"/>
      <c r="B818" s="436"/>
      <c r="C818" s="95" t="str">
        <f t="array" ref="C818">IF(I818&gt;0,INDEX(DB,I818,8),"")</f>
        <v/>
      </c>
      <c r="D818" s="437">
        <f t="shared" si="1"/>
        <v>0</v>
      </c>
      <c r="F818" s="438">
        <f t="shared" si="2"/>
        <v>0</v>
      </c>
      <c r="G818" t="str">
        <f t="shared" si="3"/>
        <v/>
      </c>
      <c r="H818" t="b">
        <f t="shared" si="4"/>
        <v>0</v>
      </c>
      <c r="I818" s="439">
        <f>IF(OR(ISBLANK(A818),ISNA(MATCH(A818&amp;"",AthleteNumbers,0))),0,MATCH(A818&amp;"",AthleteNumbers,0))</f>
        <v>0</v>
      </c>
      <c r="J818" s="209">
        <f t="array" ref="J818">IF(I818&gt;0,INDEX(DB,$I818,6),0)</f>
        <v>0</v>
      </c>
      <c r="K818" s="446">
        <f t="shared" si="5"/>
        <v>0</v>
      </c>
      <c r="L818" s="446">
        <f t="shared" si="6"/>
        <v>0</v>
      </c>
      <c r="M818" s="441">
        <f>IF(L818&lt;O818,MinPoints,IF(AND(L818&gt;N818,O818&gt;0),100,+INT(($L818-O818)/P818)+MinPoints))</f>
        <v>10</v>
      </c>
      <c r="N818" s="440">
        <f t="shared" si="7"/>
        <v>4.9</v>
      </c>
      <c r="O818" s="440">
        <f t="shared" si="8"/>
        <v>2.2</v>
      </c>
      <c r="P818" s="440">
        <f t="shared" si="9"/>
        <v>0.03</v>
      </c>
      <c r="Q818">
        <f t="array" ref="Q818">IF(I818&gt;0,INDEX(DB,I818,9),EventIndex)</f>
        <v>6</v>
      </c>
      <c r="S818" s="447">
        <f t="array" ref="S818">INDEX(MINVALUES,$Q818,$K$1)</f>
        <v>2.2</v>
      </c>
      <c r="T818" s="448">
        <f t="array" ref="T818">INDEX(INCVALUES,$Q818,$K$1)</f>
        <v>0.03</v>
      </c>
      <c r="V818">
        <f t="array" ref="V818">+J818+(4*(INDEX(MatchScoreTable,$Q818,20)-1))</f>
        <v>4</v>
      </c>
      <c r="W818" s="442">
        <f t="array" ref="W818">INDEX(INC_MINVALUES,$V818,$K$1)</f>
        <v>0.2</v>
      </c>
      <c r="X818" s="212">
        <f t="array" ref="X818">INDEX(INC_INCVALUES,$V818,$K$1)</f>
        <v>0.02</v>
      </c>
    </row>
    <row r="819" ht="15.75" customHeight="1">
      <c r="A819" s="435"/>
      <c r="B819" s="436"/>
      <c r="C819" s="95" t="str">
        <f t="array" ref="C819">IF(I819&gt;0,INDEX(DB,I819,8),"")</f>
        <v/>
      </c>
      <c r="D819" s="437">
        <f t="shared" si="1"/>
        <v>0</v>
      </c>
      <c r="F819" s="438">
        <f t="shared" si="2"/>
        <v>0</v>
      </c>
      <c r="G819" t="str">
        <f t="shared" si="3"/>
        <v/>
      </c>
      <c r="H819" t="b">
        <f t="shared" si="4"/>
        <v>0</v>
      </c>
      <c r="I819" s="439">
        <f>IF(OR(ISBLANK(A819),ISNA(MATCH(A819&amp;"",AthleteNumbers,0))),0,MATCH(A819&amp;"",AthleteNumbers,0))</f>
        <v>0</v>
      </c>
      <c r="J819" s="209">
        <f t="array" ref="J819">IF(I819&gt;0,INDEX(DB,$I819,6),0)</f>
        <v>0</v>
      </c>
      <c r="K819" s="446">
        <f t="shared" si="5"/>
        <v>0</v>
      </c>
      <c r="L819" s="446">
        <f t="shared" si="6"/>
        <v>0</v>
      </c>
      <c r="M819" s="441">
        <f>IF(L819&lt;O819,MinPoints,IF(AND(L819&gt;N819,O819&gt;0),100,+INT(($L819-O819)/P819)+MinPoints))</f>
        <v>10</v>
      </c>
      <c r="N819" s="440">
        <f t="shared" si="7"/>
        <v>4.9</v>
      </c>
      <c r="O819" s="440">
        <f t="shared" si="8"/>
        <v>2.2</v>
      </c>
      <c r="P819" s="440">
        <f t="shared" si="9"/>
        <v>0.03</v>
      </c>
      <c r="Q819">
        <f t="array" ref="Q819">IF(I819&gt;0,INDEX(DB,I819,9),EventIndex)</f>
        <v>6</v>
      </c>
      <c r="S819" s="447">
        <f t="array" ref="S819">INDEX(MINVALUES,$Q819,$K$1)</f>
        <v>2.2</v>
      </c>
      <c r="T819" s="448">
        <f t="array" ref="T819">INDEX(INCVALUES,$Q819,$K$1)</f>
        <v>0.03</v>
      </c>
      <c r="V819">
        <f t="array" ref="V819">+J819+(4*(INDEX(MatchScoreTable,$Q819,20)-1))</f>
        <v>4</v>
      </c>
      <c r="W819" s="442">
        <f t="array" ref="W819">INDEX(INC_MINVALUES,$V819,$K$1)</f>
        <v>0.2</v>
      </c>
      <c r="X819" s="212">
        <f t="array" ref="X819">INDEX(INC_INCVALUES,$V819,$K$1)</f>
        <v>0.02</v>
      </c>
    </row>
    <row r="820" ht="15.75" customHeight="1">
      <c r="A820" s="435"/>
      <c r="B820" s="436"/>
      <c r="C820" s="95" t="str">
        <f t="array" ref="C820">IF(I820&gt;0,INDEX(DB,I820,8),"")</f>
        <v/>
      </c>
      <c r="D820" s="437">
        <f t="shared" si="1"/>
        <v>0</v>
      </c>
      <c r="F820" s="438">
        <f t="shared" si="2"/>
        <v>0</v>
      </c>
      <c r="G820" t="str">
        <f t="shared" si="3"/>
        <v/>
      </c>
      <c r="H820" t="b">
        <f t="shared" si="4"/>
        <v>0</v>
      </c>
      <c r="I820" s="439">
        <f>IF(OR(ISBLANK(A820),ISNA(MATCH(A820&amp;"",AthleteNumbers,0))),0,MATCH(A820&amp;"",AthleteNumbers,0))</f>
        <v>0</v>
      </c>
      <c r="J820" s="209">
        <f t="array" ref="J820">IF(I820&gt;0,INDEX(DB,$I820,6),0)</f>
        <v>0</v>
      </c>
      <c r="K820" s="446">
        <f t="shared" si="5"/>
        <v>0</v>
      </c>
      <c r="L820" s="446">
        <f t="shared" si="6"/>
        <v>0</v>
      </c>
      <c r="M820" s="441">
        <f>IF(L820&lt;O820,MinPoints,IF(AND(L820&gt;N820,O820&gt;0),100,+INT(($L820-O820)/P820)+MinPoints))</f>
        <v>10</v>
      </c>
      <c r="N820" s="440">
        <f t="shared" si="7"/>
        <v>4.9</v>
      </c>
      <c r="O820" s="440">
        <f t="shared" si="8"/>
        <v>2.2</v>
      </c>
      <c r="P820" s="440">
        <f t="shared" si="9"/>
        <v>0.03</v>
      </c>
      <c r="Q820">
        <f t="array" ref="Q820">IF(I820&gt;0,INDEX(DB,I820,9),EventIndex)</f>
        <v>6</v>
      </c>
      <c r="S820" s="447">
        <f t="array" ref="S820">INDEX(MINVALUES,$Q820,$K$1)</f>
        <v>2.2</v>
      </c>
      <c r="T820" s="448">
        <f t="array" ref="T820">INDEX(INCVALUES,$Q820,$K$1)</f>
        <v>0.03</v>
      </c>
      <c r="V820">
        <f t="array" ref="V820">+J820+(4*(INDEX(MatchScoreTable,$Q820,20)-1))</f>
        <v>4</v>
      </c>
      <c r="W820" s="442">
        <f t="array" ref="W820">INDEX(INC_MINVALUES,$V820,$K$1)</f>
        <v>0.2</v>
      </c>
      <c r="X820" s="212">
        <f t="array" ref="X820">INDEX(INC_INCVALUES,$V820,$K$1)</f>
        <v>0.02</v>
      </c>
    </row>
    <row r="821" ht="15.75" customHeight="1">
      <c r="A821" s="435"/>
      <c r="B821" s="436"/>
      <c r="C821" s="95" t="str">
        <f t="array" ref="C821">IF(I821&gt;0,INDEX(DB,I821,8),"")</f>
        <v/>
      </c>
      <c r="D821" s="437">
        <f t="shared" si="1"/>
        <v>0</v>
      </c>
      <c r="F821" s="438">
        <f t="shared" si="2"/>
        <v>0</v>
      </c>
      <c r="G821" t="str">
        <f t="shared" si="3"/>
        <v/>
      </c>
      <c r="H821" t="b">
        <f t="shared" si="4"/>
        <v>0</v>
      </c>
      <c r="I821" s="439">
        <f>IF(OR(ISBLANK(A821),ISNA(MATCH(A821&amp;"",AthleteNumbers,0))),0,MATCH(A821&amp;"",AthleteNumbers,0))</f>
        <v>0</v>
      </c>
      <c r="J821" s="209">
        <f t="array" ref="J821">IF(I821&gt;0,INDEX(DB,$I821,6),0)</f>
        <v>0</v>
      </c>
      <c r="K821" s="446">
        <f t="shared" si="5"/>
        <v>0</v>
      </c>
      <c r="L821" s="446">
        <f t="shared" si="6"/>
        <v>0</v>
      </c>
      <c r="M821" s="441">
        <f>IF(L821&lt;O821,MinPoints,IF(AND(L821&gt;N821,O821&gt;0),100,+INT(($L821-O821)/P821)+MinPoints))</f>
        <v>10</v>
      </c>
      <c r="N821" s="440">
        <f t="shared" si="7"/>
        <v>4.9</v>
      </c>
      <c r="O821" s="440">
        <f t="shared" si="8"/>
        <v>2.2</v>
      </c>
      <c r="P821" s="440">
        <f t="shared" si="9"/>
        <v>0.03</v>
      </c>
      <c r="Q821">
        <f t="array" ref="Q821">IF(I821&gt;0,INDEX(DB,I821,9),EventIndex)</f>
        <v>6</v>
      </c>
      <c r="S821" s="447">
        <f t="array" ref="S821">INDEX(MINVALUES,$Q821,$K$1)</f>
        <v>2.2</v>
      </c>
      <c r="T821" s="448">
        <f t="array" ref="T821">INDEX(INCVALUES,$Q821,$K$1)</f>
        <v>0.03</v>
      </c>
      <c r="V821">
        <f t="array" ref="V821">+J821+(4*(INDEX(MatchScoreTable,$Q821,20)-1))</f>
        <v>4</v>
      </c>
      <c r="W821" s="442">
        <f t="array" ref="W821">INDEX(INC_MINVALUES,$V821,$K$1)</f>
        <v>0.2</v>
      </c>
      <c r="X821" s="212">
        <f t="array" ref="X821">INDEX(INC_INCVALUES,$V821,$K$1)</f>
        <v>0.02</v>
      </c>
    </row>
    <row r="822" ht="15.75" customHeight="1">
      <c r="A822" s="435"/>
      <c r="B822" s="436"/>
      <c r="C822" s="95" t="str">
        <f t="array" ref="C822">IF(I822&gt;0,INDEX(DB,I822,8),"")</f>
        <v/>
      </c>
      <c r="D822" s="437">
        <f t="shared" si="1"/>
        <v>0</v>
      </c>
      <c r="F822" s="438">
        <f t="shared" si="2"/>
        <v>0</v>
      </c>
      <c r="G822" t="str">
        <f t="shared" si="3"/>
        <v/>
      </c>
      <c r="H822" t="b">
        <f t="shared" si="4"/>
        <v>0</v>
      </c>
      <c r="I822" s="439">
        <f>IF(OR(ISBLANK(A822),ISNA(MATCH(A822&amp;"",AthleteNumbers,0))),0,MATCH(A822&amp;"",AthleteNumbers,0))</f>
        <v>0</v>
      </c>
      <c r="J822" s="209">
        <f t="array" ref="J822">IF(I822&gt;0,INDEX(DB,$I822,6),0)</f>
        <v>0</v>
      </c>
      <c r="K822" s="446">
        <f t="shared" si="5"/>
        <v>0</v>
      </c>
      <c r="L822" s="446">
        <f t="shared" si="6"/>
        <v>0</v>
      </c>
      <c r="M822" s="441">
        <f>IF(L822&lt;O822,MinPoints,IF(AND(L822&gt;N822,O822&gt;0),100,+INT(($L822-O822)/P822)+MinPoints))</f>
        <v>10</v>
      </c>
      <c r="N822" s="440">
        <f t="shared" si="7"/>
        <v>4.9</v>
      </c>
      <c r="O822" s="440">
        <f t="shared" si="8"/>
        <v>2.2</v>
      </c>
      <c r="P822" s="440">
        <f t="shared" si="9"/>
        <v>0.03</v>
      </c>
      <c r="Q822">
        <f t="array" ref="Q822">IF(I822&gt;0,INDEX(DB,I822,9),EventIndex)</f>
        <v>6</v>
      </c>
      <c r="S822" s="447">
        <f t="array" ref="S822">INDEX(MINVALUES,$Q822,$K$1)</f>
        <v>2.2</v>
      </c>
      <c r="T822" s="448">
        <f t="array" ref="T822">INDEX(INCVALUES,$Q822,$K$1)</f>
        <v>0.03</v>
      </c>
      <c r="V822">
        <f t="array" ref="V822">+J822+(4*(INDEX(MatchScoreTable,$Q822,20)-1))</f>
        <v>4</v>
      </c>
      <c r="W822" s="442">
        <f t="array" ref="W822">INDEX(INC_MINVALUES,$V822,$K$1)</f>
        <v>0.2</v>
      </c>
      <c r="X822" s="212">
        <f t="array" ref="X822">INDEX(INC_INCVALUES,$V822,$K$1)</f>
        <v>0.02</v>
      </c>
    </row>
    <row r="823" ht="15.75" customHeight="1">
      <c r="A823" s="435"/>
      <c r="B823" s="436"/>
      <c r="C823" s="95" t="str">
        <f t="array" ref="C823">IF(I823&gt;0,INDEX(DB,I823,8),"")</f>
        <v/>
      </c>
      <c r="D823" s="437">
        <f t="shared" si="1"/>
        <v>0</v>
      </c>
      <c r="F823" s="438">
        <f t="shared" si="2"/>
        <v>0</v>
      </c>
      <c r="G823" t="str">
        <f t="shared" si="3"/>
        <v/>
      </c>
      <c r="H823" t="b">
        <f t="shared" si="4"/>
        <v>0</v>
      </c>
      <c r="I823" s="439">
        <f>IF(OR(ISBLANK(A823),ISNA(MATCH(A823&amp;"",AthleteNumbers,0))),0,MATCH(A823&amp;"",AthleteNumbers,0))</f>
        <v>0</v>
      </c>
      <c r="J823" s="209">
        <f t="array" ref="J823">IF(I823&gt;0,INDEX(DB,$I823,6),0)</f>
        <v>0</v>
      </c>
      <c r="K823" s="446">
        <f t="shared" si="5"/>
        <v>0</v>
      </c>
      <c r="L823" s="446">
        <f t="shared" si="6"/>
        <v>0</v>
      </c>
      <c r="M823" s="441">
        <f>IF(L823&lt;O823,MinPoints,IF(AND(L823&gt;N823,O823&gt;0),100,+INT(($L823-O823)/P823)+MinPoints))</f>
        <v>10</v>
      </c>
      <c r="N823" s="440">
        <f t="shared" si="7"/>
        <v>4.9</v>
      </c>
      <c r="O823" s="440">
        <f t="shared" si="8"/>
        <v>2.2</v>
      </c>
      <c r="P823" s="440">
        <f t="shared" si="9"/>
        <v>0.03</v>
      </c>
      <c r="Q823">
        <f t="array" ref="Q823">IF(I823&gt;0,INDEX(DB,I823,9),EventIndex)</f>
        <v>6</v>
      </c>
      <c r="S823" s="447">
        <f t="array" ref="S823">INDEX(MINVALUES,$Q823,$K$1)</f>
        <v>2.2</v>
      </c>
      <c r="T823" s="448">
        <f t="array" ref="T823">INDEX(INCVALUES,$Q823,$K$1)</f>
        <v>0.03</v>
      </c>
      <c r="V823">
        <f t="array" ref="V823">+J823+(4*(INDEX(MatchScoreTable,$Q823,20)-1))</f>
        <v>4</v>
      </c>
      <c r="W823" s="442">
        <f t="array" ref="W823">INDEX(INC_MINVALUES,$V823,$K$1)</f>
        <v>0.2</v>
      </c>
      <c r="X823" s="212">
        <f t="array" ref="X823">INDEX(INC_INCVALUES,$V823,$K$1)</f>
        <v>0.02</v>
      </c>
    </row>
    <row r="824" ht="15.75" customHeight="1">
      <c r="A824" s="435"/>
      <c r="B824" s="436"/>
      <c r="C824" s="95" t="str">
        <f t="array" ref="C824">IF(I824&gt;0,INDEX(DB,I824,8),"")</f>
        <v/>
      </c>
      <c r="D824" s="437">
        <f t="shared" si="1"/>
        <v>0</v>
      </c>
      <c r="F824" s="438">
        <f t="shared" si="2"/>
        <v>0</v>
      </c>
      <c r="G824" t="str">
        <f t="shared" si="3"/>
        <v/>
      </c>
      <c r="H824" t="b">
        <f t="shared" si="4"/>
        <v>0</v>
      </c>
      <c r="I824" s="439">
        <f>IF(OR(ISBLANK(A824),ISNA(MATCH(A824&amp;"",AthleteNumbers,0))),0,MATCH(A824&amp;"",AthleteNumbers,0))</f>
        <v>0</v>
      </c>
      <c r="J824" s="209">
        <f t="array" ref="J824">IF(I824&gt;0,INDEX(DB,$I824,6),0)</f>
        <v>0</v>
      </c>
      <c r="K824" s="446">
        <f t="shared" si="5"/>
        <v>0</v>
      </c>
      <c r="L824" s="446">
        <f t="shared" si="6"/>
        <v>0</v>
      </c>
      <c r="M824" s="441">
        <f>IF(L824&lt;O824,MinPoints,IF(AND(L824&gt;N824,O824&gt;0),100,+INT(($L824-O824)/P824)+MinPoints))</f>
        <v>10</v>
      </c>
      <c r="N824" s="440">
        <f t="shared" si="7"/>
        <v>4.9</v>
      </c>
      <c r="O824" s="440">
        <f t="shared" si="8"/>
        <v>2.2</v>
      </c>
      <c r="P824" s="440">
        <f t="shared" si="9"/>
        <v>0.03</v>
      </c>
      <c r="Q824">
        <f t="array" ref="Q824">IF(I824&gt;0,INDEX(DB,I824,9),EventIndex)</f>
        <v>6</v>
      </c>
      <c r="S824" s="447">
        <f t="array" ref="S824">INDEX(MINVALUES,$Q824,$K$1)</f>
        <v>2.2</v>
      </c>
      <c r="T824" s="448">
        <f t="array" ref="T824">INDEX(INCVALUES,$Q824,$K$1)</f>
        <v>0.03</v>
      </c>
      <c r="V824">
        <f t="array" ref="V824">+J824+(4*(INDEX(MatchScoreTable,$Q824,20)-1))</f>
        <v>4</v>
      </c>
      <c r="W824" s="442">
        <f t="array" ref="W824">INDEX(INC_MINVALUES,$V824,$K$1)</f>
        <v>0.2</v>
      </c>
      <c r="X824" s="212">
        <f t="array" ref="X824">INDEX(INC_INCVALUES,$V824,$K$1)</f>
        <v>0.02</v>
      </c>
    </row>
    <row r="825" ht="15.75" customHeight="1">
      <c r="A825" s="435"/>
      <c r="B825" s="436"/>
      <c r="C825" s="95" t="str">
        <f t="array" ref="C825">IF(I825&gt;0,INDEX(DB,I825,8),"")</f>
        <v/>
      </c>
      <c r="D825" s="437">
        <f t="shared" si="1"/>
        <v>0</v>
      </c>
      <c r="F825" s="438">
        <f t="shared" si="2"/>
        <v>0</v>
      </c>
      <c r="G825" t="str">
        <f t="shared" si="3"/>
        <v/>
      </c>
      <c r="H825" t="b">
        <f t="shared" si="4"/>
        <v>0</v>
      </c>
      <c r="I825" s="439">
        <f>IF(OR(ISBLANK(A825),ISNA(MATCH(A825&amp;"",AthleteNumbers,0))),0,MATCH(A825&amp;"",AthleteNumbers,0))</f>
        <v>0</v>
      </c>
      <c r="J825" s="209">
        <f t="array" ref="J825">IF(I825&gt;0,INDEX(DB,$I825,6),0)</f>
        <v>0</v>
      </c>
      <c r="K825" s="446">
        <f t="shared" si="5"/>
        <v>0</v>
      </c>
      <c r="L825" s="446">
        <f t="shared" si="6"/>
        <v>0</v>
      </c>
      <c r="M825" s="441">
        <f>IF(L825&lt;O825,MinPoints,IF(AND(L825&gt;N825,O825&gt;0),100,+INT(($L825-O825)/P825)+MinPoints))</f>
        <v>10</v>
      </c>
      <c r="N825" s="440">
        <f t="shared" si="7"/>
        <v>4.9</v>
      </c>
      <c r="O825" s="440">
        <f t="shared" si="8"/>
        <v>2.2</v>
      </c>
      <c r="P825" s="440">
        <f t="shared" si="9"/>
        <v>0.03</v>
      </c>
      <c r="Q825">
        <f t="array" ref="Q825">IF(I825&gt;0,INDEX(DB,I825,9),EventIndex)</f>
        <v>6</v>
      </c>
      <c r="S825" s="447">
        <f t="array" ref="S825">INDEX(MINVALUES,$Q825,$K$1)</f>
        <v>2.2</v>
      </c>
      <c r="T825" s="448">
        <f t="array" ref="T825">INDEX(INCVALUES,$Q825,$K$1)</f>
        <v>0.03</v>
      </c>
      <c r="V825">
        <f t="array" ref="V825">+J825+(4*(INDEX(MatchScoreTable,$Q825,20)-1))</f>
        <v>4</v>
      </c>
      <c r="W825" s="442">
        <f t="array" ref="W825">INDEX(INC_MINVALUES,$V825,$K$1)</f>
        <v>0.2</v>
      </c>
      <c r="X825" s="212">
        <f t="array" ref="X825">INDEX(INC_INCVALUES,$V825,$K$1)</f>
        <v>0.02</v>
      </c>
    </row>
    <row r="826" ht="15.75" customHeight="1">
      <c r="A826" s="435"/>
      <c r="B826" s="436"/>
      <c r="C826" s="95" t="str">
        <f t="array" ref="C826">IF(I826&gt;0,INDEX(DB,I826,8),"")</f>
        <v/>
      </c>
      <c r="D826" s="437">
        <f t="shared" si="1"/>
        <v>0</v>
      </c>
      <c r="F826" s="438">
        <f t="shared" si="2"/>
        <v>0</v>
      </c>
      <c r="G826" t="str">
        <f t="shared" si="3"/>
        <v/>
      </c>
      <c r="H826" t="b">
        <f t="shared" si="4"/>
        <v>0</v>
      </c>
      <c r="I826" s="439">
        <f>IF(OR(ISBLANK(A826),ISNA(MATCH(A826&amp;"",AthleteNumbers,0))),0,MATCH(A826&amp;"",AthleteNumbers,0))</f>
        <v>0</v>
      </c>
      <c r="J826" s="209">
        <f t="array" ref="J826">IF(I826&gt;0,INDEX(DB,$I826,6),0)</f>
        <v>0</v>
      </c>
      <c r="K826" s="446">
        <f t="shared" si="5"/>
        <v>0</v>
      </c>
      <c r="L826" s="446">
        <f t="shared" si="6"/>
        <v>0</v>
      </c>
      <c r="M826" s="441">
        <f>IF(L826&lt;O826,MinPoints,IF(AND(L826&gt;N826,O826&gt;0),100,+INT(($L826-O826)/P826)+MinPoints))</f>
        <v>10</v>
      </c>
      <c r="N826" s="440">
        <f t="shared" si="7"/>
        <v>4.9</v>
      </c>
      <c r="O826" s="440">
        <f t="shared" si="8"/>
        <v>2.2</v>
      </c>
      <c r="P826" s="440">
        <f t="shared" si="9"/>
        <v>0.03</v>
      </c>
      <c r="Q826">
        <f t="array" ref="Q826">IF(I826&gt;0,INDEX(DB,I826,9),EventIndex)</f>
        <v>6</v>
      </c>
      <c r="S826" s="447">
        <f t="array" ref="S826">INDEX(MINVALUES,$Q826,$K$1)</f>
        <v>2.2</v>
      </c>
      <c r="T826" s="448">
        <f t="array" ref="T826">INDEX(INCVALUES,$Q826,$K$1)</f>
        <v>0.03</v>
      </c>
      <c r="V826">
        <f t="array" ref="V826">+J826+(4*(INDEX(MatchScoreTable,$Q826,20)-1))</f>
        <v>4</v>
      </c>
      <c r="W826" s="442">
        <f t="array" ref="W826">INDEX(INC_MINVALUES,$V826,$K$1)</f>
        <v>0.2</v>
      </c>
      <c r="X826" s="212">
        <f t="array" ref="X826">INDEX(INC_INCVALUES,$V826,$K$1)</f>
        <v>0.02</v>
      </c>
    </row>
    <row r="827" ht="15.75" customHeight="1">
      <c r="A827" s="435"/>
      <c r="B827" s="436"/>
      <c r="C827" s="95" t="str">
        <f t="array" ref="C827">IF(I827&gt;0,INDEX(DB,I827,8),"")</f>
        <v/>
      </c>
      <c r="D827" s="437">
        <f t="shared" si="1"/>
        <v>0</v>
      </c>
      <c r="F827" s="438">
        <f t="shared" si="2"/>
        <v>0</v>
      </c>
      <c r="G827" t="str">
        <f t="shared" si="3"/>
        <v/>
      </c>
      <c r="H827" t="b">
        <f t="shared" si="4"/>
        <v>0</v>
      </c>
      <c r="I827" s="439">
        <f>IF(OR(ISBLANK(A827),ISNA(MATCH(A827&amp;"",AthleteNumbers,0))),0,MATCH(A827&amp;"",AthleteNumbers,0))</f>
        <v>0</v>
      </c>
      <c r="J827" s="209">
        <f t="array" ref="J827">IF(I827&gt;0,INDEX(DB,$I827,6),0)</f>
        <v>0</v>
      </c>
      <c r="K827" s="446">
        <f t="shared" si="5"/>
        <v>0</v>
      </c>
      <c r="L827" s="446">
        <f t="shared" si="6"/>
        <v>0</v>
      </c>
      <c r="M827" s="441">
        <f>IF(L827&lt;O827,MinPoints,IF(AND(L827&gt;N827,O827&gt;0),100,+INT(($L827-O827)/P827)+MinPoints))</f>
        <v>10</v>
      </c>
      <c r="N827" s="440">
        <f t="shared" si="7"/>
        <v>4.9</v>
      </c>
      <c r="O827" s="440">
        <f t="shared" si="8"/>
        <v>2.2</v>
      </c>
      <c r="P827" s="440">
        <f t="shared" si="9"/>
        <v>0.03</v>
      </c>
      <c r="Q827">
        <f t="array" ref="Q827">IF(I827&gt;0,INDEX(DB,I827,9),EventIndex)</f>
        <v>6</v>
      </c>
      <c r="S827" s="447">
        <f t="array" ref="S827">INDEX(MINVALUES,$Q827,$K$1)</f>
        <v>2.2</v>
      </c>
      <c r="T827" s="448">
        <f t="array" ref="T827">INDEX(INCVALUES,$Q827,$K$1)</f>
        <v>0.03</v>
      </c>
      <c r="V827">
        <f t="array" ref="V827">+J827+(4*(INDEX(MatchScoreTable,$Q827,20)-1))</f>
        <v>4</v>
      </c>
      <c r="W827" s="442">
        <f t="array" ref="W827">INDEX(INC_MINVALUES,$V827,$K$1)</f>
        <v>0.2</v>
      </c>
      <c r="X827" s="212">
        <f t="array" ref="X827">INDEX(INC_INCVALUES,$V827,$K$1)</f>
        <v>0.02</v>
      </c>
    </row>
    <row r="828" ht="15.75" customHeight="1">
      <c r="A828" s="435"/>
      <c r="B828" s="436"/>
      <c r="C828" s="95" t="str">
        <f t="array" ref="C828">IF(I828&gt;0,INDEX(DB,I828,8),"")</f>
        <v/>
      </c>
      <c r="D828" s="437">
        <f t="shared" si="1"/>
        <v>0</v>
      </c>
      <c r="F828" s="438">
        <f t="shared" si="2"/>
        <v>0</v>
      </c>
      <c r="G828" t="str">
        <f t="shared" si="3"/>
        <v/>
      </c>
      <c r="H828" t="b">
        <f t="shared" si="4"/>
        <v>0</v>
      </c>
      <c r="I828" s="439">
        <f>IF(OR(ISBLANK(A828),ISNA(MATCH(A828&amp;"",AthleteNumbers,0))),0,MATCH(A828&amp;"",AthleteNumbers,0))</f>
        <v>0</v>
      </c>
      <c r="J828" s="209">
        <f t="array" ref="J828">IF(I828&gt;0,INDEX(DB,$I828,6),0)</f>
        <v>0</v>
      </c>
      <c r="K828" s="446">
        <f t="shared" si="5"/>
        <v>0</v>
      </c>
      <c r="L828" s="446">
        <f t="shared" si="6"/>
        <v>0</v>
      </c>
      <c r="M828" s="441">
        <f>IF(L828&lt;O828,MinPoints,IF(AND(L828&gt;N828,O828&gt;0),100,+INT(($L828-O828)/P828)+MinPoints))</f>
        <v>10</v>
      </c>
      <c r="N828" s="440">
        <f t="shared" si="7"/>
        <v>4.9</v>
      </c>
      <c r="O828" s="440">
        <f t="shared" si="8"/>
        <v>2.2</v>
      </c>
      <c r="P828" s="440">
        <f t="shared" si="9"/>
        <v>0.03</v>
      </c>
      <c r="Q828">
        <f t="array" ref="Q828">IF(I828&gt;0,INDEX(DB,I828,9),EventIndex)</f>
        <v>6</v>
      </c>
      <c r="S828" s="447">
        <f t="array" ref="S828">INDEX(MINVALUES,$Q828,$K$1)</f>
        <v>2.2</v>
      </c>
      <c r="T828" s="448">
        <f t="array" ref="T828">INDEX(INCVALUES,$Q828,$K$1)</f>
        <v>0.03</v>
      </c>
      <c r="V828">
        <f t="array" ref="V828">+J828+(4*(INDEX(MatchScoreTable,$Q828,20)-1))</f>
        <v>4</v>
      </c>
      <c r="W828" s="442">
        <f t="array" ref="W828">INDEX(INC_MINVALUES,$V828,$K$1)</f>
        <v>0.2</v>
      </c>
      <c r="X828" s="212">
        <f t="array" ref="X828">INDEX(INC_INCVALUES,$V828,$K$1)</f>
        <v>0.02</v>
      </c>
    </row>
    <row r="829" ht="15.75" customHeight="1">
      <c r="A829" s="435"/>
      <c r="B829" s="436"/>
      <c r="C829" s="95" t="str">
        <f t="array" ref="C829">IF(I829&gt;0,INDEX(DB,I829,8),"")</f>
        <v/>
      </c>
      <c r="D829" s="437">
        <f t="shared" si="1"/>
        <v>0</v>
      </c>
      <c r="F829" s="438">
        <f t="shared" si="2"/>
        <v>0</v>
      </c>
      <c r="G829" t="str">
        <f t="shared" si="3"/>
        <v/>
      </c>
      <c r="H829" t="b">
        <f t="shared" si="4"/>
        <v>0</v>
      </c>
      <c r="I829" s="439">
        <f>IF(OR(ISBLANK(A829),ISNA(MATCH(A829&amp;"",AthleteNumbers,0))),0,MATCH(A829&amp;"",AthleteNumbers,0))</f>
        <v>0</v>
      </c>
      <c r="J829" s="209">
        <f t="array" ref="J829">IF(I829&gt;0,INDEX(DB,$I829,6),0)</f>
        <v>0</v>
      </c>
      <c r="K829" s="446">
        <f t="shared" si="5"/>
        <v>0</v>
      </c>
      <c r="L829" s="446">
        <f t="shared" si="6"/>
        <v>0</v>
      </c>
      <c r="M829" s="441">
        <f>IF(L829&lt;O829,MinPoints,IF(AND(L829&gt;N829,O829&gt;0),100,+INT(($L829-O829)/P829)+MinPoints))</f>
        <v>10</v>
      </c>
      <c r="N829" s="440">
        <f t="shared" si="7"/>
        <v>4.9</v>
      </c>
      <c r="O829" s="440">
        <f t="shared" si="8"/>
        <v>2.2</v>
      </c>
      <c r="P829" s="440">
        <f t="shared" si="9"/>
        <v>0.03</v>
      </c>
      <c r="Q829">
        <f t="array" ref="Q829">IF(I829&gt;0,INDEX(DB,I829,9),EventIndex)</f>
        <v>6</v>
      </c>
      <c r="S829" s="447">
        <f t="array" ref="S829">INDEX(MINVALUES,$Q829,$K$1)</f>
        <v>2.2</v>
      </c>
      <c r="T829" s="448">
        <f t="array" ref="T829">INDEX(INCVALUES,$Q829,$K$1)</f>
        <v>0.03</v>
      </c>
      <c r="V829">
        <f t="array" ref="V829">+J829+(4*(INDEX(MatchScoreTable,$Q829,20)-1))</f>
        <v>4</v>
      </c>
      <c r="W829" s="442">
        <f t="array" ref="W829">INDEX(INC_MINVALUES,$V829,$K$1)</f>
        <v>0.2</v>
      </c>
      <c r="X829" s="212">
        <f t="array" ref="X829">INDEX(INC_INCVALUES,$V829,$K$1)</f>
        <v>0.02</v>
      </c>
    </row>
    <row r="830" ht="15.75" customHeight="1">
      <c r="A830" s="435"/>
      <c r="B830" s="436"/>
      <c r="C830" s="95" t="str">
        <f t="array" ref="C830">IF(I830&gt;0,INDEX(DB,I830,8),"")</f>
        <v/>
      </c>
      <c r="D830" s="437">
        <f t="shared" si="1"/>
        <v>0</v>
      </c>
      <c r="F830" s="438">
        <f t="shared" si="2"/>
        <v>0</v>
      </c>
      <c r="G830" t="str">
        <f t="shared" si="3"/>
        <v/>
      </c>
      <c r="H830" t="b">
        <f t="shared" si="4"/>
        <v>0</v>
      </c>
      <c r="I830" s="439">
        <f>IF(OR(ISBLANK(A830),ISNA(MATCH(A830&amp;"",AthleteNumbers,0))),0,MATCH(A830&amp;"",AthleteNumbers,0))</f>
        <v>0</v>
      </c>
      <c r="J830" s="209">
        <f t="array" ref="J830">IF(I830&gt;0,INDEX(DB,$I830,6),0)</f>
        <v>0</v>
      </c>
      <c r="K830" s="446">
        <f t="shared" si="5"/>
        <v>0</v>
      </c>
      <c r="L830" s="446">
        <f t="shared" si="6"/>
        <v>0</v>
      </c>
      <c r="M830" s="441">
        <f>IF(L830&lt;O830,MinPoints,IF(AND(L830&gt;N830,O830&gt;0),100,+INT(($L830-O830)/P830)+MinPoints))</f>
        <v>10</v>
      </c>
      <c r="N830" s="440">
        <f t="shared" si="7"/>
        <v>4.9</v>
      </c>
      <c r="O830" s="440">
        <f t="shared" si="8"/>
        <v>2.2</v>
      </c>
      <c r="P830" s="440">
        <f t="shared" si="9"/>
        <v>0.03</v>
      </c>
      <c r="Q830">
        <f t="array" ref="Q830">IF(I830&gt;0,INDEX(DB,I830,9),EventIndex)</f>
        <v>6</v>
      </c>
      <c r="S830" s="447">
        <f t="array" ref="S830">INDEX(MINVALUES,$Q830,$K$1)</f>
        <v>2.2</v>
      </c>
      <c r="T830" s="448">
        <f t="array" ref="T830">INDEX(INCVALUES,$Q830,$K$1)</f>
        <v>0.03</v>
      </c>
      <c r="V830">
        <f t="array" ref="V830">+J830+(4*(INDEX(MatchScoreTable,$Q830,20)-1))</f>
        <v>4</v>
      </c>
      <c r="W830" s="442">
        <f t="array" ref="W830">INDEX(INC_MINVALUES,$V830,$K$1)</f>
        <v>0.2</v>
      </c>
      <c r="X830" s="212">
        <f t="array" ref="X830">INDEX(INC_INCVALUES,$V830,$K$1)</f>
        <v>0.02</v>
      </c>
    </row>
    <row r="831" ht="15.75" customHeight="1">
      <c r="A831" s="435"/>
      <c r="B831" s="436"/>
      <c r="C831" s="95" t="str">
        <f t="array" ref="C831">IF(I831&gt;0,INDEX(DB,I831,8),"")</f>
        <v/>
      </c>
      <c r="D831" s="437">
        <f t="shared" si="1"/>
        <v>0</v>
      </c>
      <c r="F831" s="438">
        <f t="shared" si="2"/>
        <v>0</v>
      </c>
      <c r="G831" t="str">
        <f t="shared" si="3"/>
        <v/>
      </c>
      <c r="H831" t="b">
        <f t="shared" si="4"/>
        <v>0</v>
      </c>
      <c r="I831" s="439">
        <f>IF(OR(ISBLANK(A831),ISNA(MATCH(A831&amp;"",AthleteNumbers,0))),0,MATCH(A831&amp;"",AthleteNumbers,0))</f>
        <v>0</v>
      </c>
      <c r="J831" s="209">
        <f t="array" ref="J831">IF(I831&gt;0,INDEX(DB,$I831,6),0)</f>
        <v>0</v>
      </c>
      <c r="K831" s="446">
        <f t="shared" si="5"/>
        <v>0</v>
      </c>
      <c r="L831" s="446">
        <f t="shared" si="6"/>
        <v>0</v>
      </c>
      <c r="M831" s="441">
        <f>IF(L831&lt;O831,MinPoints,IF(AND(L831&gt;N831,O831&gt;0),100,+INT(($L831-O831)/P831)+MinPoints))</f>
        <v>10</v>
      </c>
      <c r="N831" s="440">
        <f t="shared" si="7"/>
        <v>4.9</v>
      </c>
      <c r="O831" s="440">
        <f t="shared" si="8"/>
        <v>2.2</v>
      </c>
      <c r="P831" s="440">
        <f t="shared" si="9"/>
        <v>0.03</v>
      </c>
      <c r="Q831">
        <f t="array" ref="Q831">IF(I831&gt;0,INDEX(DB,I831,9),EventIndex)</f>
        <v>6</v>
      </c>
      <c r="S831" s="447">
        <f t="array" ref="S831">INDEX(MINVALUES,$Q831,$K$1)</f>
        <v>2.2</v>
      </c>
      <c r="T831" s="448">
        <f t="array" ref="T831">INDEX(INCVALUES,$Q831,$K$1)</f>
        <v>0.03</v>
      </c>
      <c r="V831">
        <f t="array" ref="V831">+J831+(4*(INDEX(MatchScoreTable,$Q831,20)-1))</f>
        <v>4</v>
      </c>
      <c r="W831" s="442">
        <f t="array" ref="W831">INDEX(INC_MINVALUES,$V831,$K$1)</f>
        <v>0.2</v>
      </c>
      <c r="X831" s="212">
        <f t="array" ref="X831">INDEX(INC_INCVALUES,$V831,$K$1)</f>
        <v>0.02</v>
      </c>
    </row>
    <row r="832" ht="15.75" customHeight="1">
      <c r="A832" s="435"/>
      <c r="B832" s="436"/>
      <c r="C832" s="95" t="str">
        <f t="array" ref="C832">IF(I832&gt;0,INDEX(DB,I832,8),"")</f>
        <v/>
      </c>
      <c r="D832" s="437">
        <f t="shared" si="1"/>
        <v>0</v>
      </c>
      <c r="F832" s="438">
        <f t="shared" si="2"/>
        <v>0</v>
      </c>
      <c r="G832" t="str">
        <f t="shared" si="3"/>
        <v/>
      </c>
      <c r="H832" t="b">
        <f t="shared" si="4"/>
        <v>0</v>
      </c>
      <c r="I832" s="439">
        <f>IF(OR(ISBLANK(A832),ISNA(MATCH(A832&amp;"",AthleteNumbers,0))),0,MATCH(A832&amp;"",AthleteNumbers,0))</f>
        <v>0</v>
      </c>
      <c r="J832" s="209">
        <f t="array" ref="J832">IF(I832&gt;0,INDEX(DB,$I832,6),0)</f>
        <v>0</v>
      </c>
      <c r="K832" s="446">
        <f t="shared" si="5"/>
        <v>0</v>
      </c>
      <c r="L832" s="446">
        <f t="shared" si="6"/>
        <v>0</v>
      </c>
      <c r="M832" s="441">
        <f>IF(L832&lt;O832,MinPoints,IF(AND(L832&gt;N832,O832&gt;0),100,+INT(($L832-O832)/P832)+MinPoints))</f>
        <v>10</v>
      </c>
      <c r="N832" s="440">
        <f t="shared" si="7"/>
        <v>4.9</v>
      </c>
      <c r="O832" s="440">
        <f t="shared" si="8"/>
        <v>2.2</v>
      </c>
      <c r="P832" s="440">
        <f t="shared" si="9"/>
        <v>0.03</v>
      </c>
      <c r="Q832">
        <f t="array" ref="Q832">IF(I832&gt;0,INDEX(DB,I832,9),EventIndex)</f>
        <v>6</v>
      </c>
      <c r="S832" s="447">
        <f t="array" ref="S832">INDEX(MINVALUES,$Q832,$K$1)</f>
        <v>2.2</v>
      </c>
      <c r="T832" s="448">
        <f t="array" ref="T832">INDEX(INCVALUES,$Q832,$K$1)</f>
        <v>0.03</v>
      </c>
      <c r="V832">
        <f t="array" ref="V832">+J832+(4*(INDEX(MatchScoreTable,$Q832,20)-1))</f>
        <v>4</v>
      </c>
      <c r="W832" s="442">
        <f t="array" ref="W832">INDEX(INC_MINVALUES,$V832,$K$1)</f>
        <v>0.2</v>
      </c>
      <c r="X832" s="212">
        <f t="array" ref="X832">INDEX(INC_INCVALUES,$V832,$K$1)</f>
        <v>0.02</v>
      </c>
    </row>
    <row r="833" ht="15.75" customHeight="1">
      <c r="A833" s="435"/>
      <c r="B833" s="436"/>
      <c r="C833" s="95" t="str">
        <f t="array" ref="C833">IF(I833&gt;0,INDEX(DB,I833,8),"")</f>
        <v/>
      </c>
      <c r="D833" s="437">
        <f t="shared" si="1"/>
        <v>0</v>
      </c>
      <c r="F833" s="438">
        <f t="shared" si="2"/>
        <v>0</v>
      </c>
      <c r="G833" t="str">
        <f t="shared" si="3"/>
        <v/>
      </c>
      <c r="H833" t="b">
        <f t="shared" si="4"/>
        <v>0</v>
      </c>
      <c r="I833" s="439">
        <f>IF(OR(ISBLANK(A833),ISNA(MATCH(A833&amp;"",AthleteNumbers,0))),0,MATCH(A833&amp;"",AthleteNumbers,0))</f>
        <v>0</v>
      </c>
      <c r="J833" s="209">
        <f t="array" ref="J833">IF(I833&gt;0,INDEX(DB,$I833,6),0)</f>
        <v>0</v>
      </c>
      <c r="K833" s="446">
        <f t="shared" si="5"/>
        <v>0</v>
      </c>
      <c r="L833" s="446">
        <f t="shared" si="6"/>
        <v>0</v>
      </c>
      <c r="M833" s="441">
        <f>IF(L833&lt;O833,MinPoints,IF(AND(L833&gt;N833,O833&gt;0),100,+INT(($L833-O833)/P833)+MinPoints))</f>
        <v>10</v>
      </c>
      <c r="N833" s="440">
        <f t="shared" si="7"/>
        <v>4.9</v>
      </c>
      <c r="O833" s="440">
        <f t="shared" si="8"/>
        <v>2.2</v>
      </c>
      <c r="P833" s="440">
        <f t="shared" si="9"/>
        <v>0.03</v>
      </c>
      <c r="Q833">
        <f t="array" ref="Q833">IF(I833&gt;0,INDEX(DB,I833,9),EventIndex)</f>
        <v>6</v>
      </c>
      <c r="S833" s="447">
        <f t="array" ref="S833">INDEX(MINVALUES,$Q833,$K$1)</f>
        <v>2.2</v>
      </c>
      <c r="T833" s="448">
        <f t="array" ref="T833">INDEX(INCVALUES,$Q833,$K$1)</f>
        <v>0.03</v>
      </c>
      <c r="V833">
        <f t="array" ref="V833">+J833+(4*(INDEX(MatchScoreTable,$Q833,20)-1))</f>
        <v>4</v>
      </c>
      <c r="W833" s="442">
        <f t="array" ref="W833">INDEX(INC_MINVALUES,$V833,$K$1)</f>
        <v>0.2</v>
      </c>
      <c r="X833" s="212">
        <f t="array" ref="X833">INDEX(INC_INCVALUES,$V833,$K$1)</f>
        <v>0.02</v>
      </c>
    </row>
    <row r="834" ht="15.75" customHeight="1">
      <c r="A834" s="435"/>
      <c r="B834" s="436"/>
      <c r="C834" s="95" t="str">
        <f t="array" ref="C834">IF(I834&gt;0,INDEX(DB,I834,8),"")</f>
        <v/>
      </c>
      <c r="D834" s="437">
        <f t="shared" si="1"/>
        <v>0</v>
      </c>
      <c r="F834" s="438">
        <f t="shared" si="2"/>
        <v>0</v>
      </c>
      <c r="G834" t="str">
        <f t="shared" si="3"/>
        <v/>
      </c>
      <c r="H834" t="b">
        <f t="shared" si="4"/>
        <v>0</v>
      </c>
      <c r="I834" s="439">
        <f>IF(OR(ISBLANK(A834),ISNA(MATCH(A834&amp;"",AthleteNumbers,0))),0,MATCH(A834&amp;"",AthleteNumbers,0))</f>
        <v>0</v>
      </c>
      <c r="J834" s="209">
        <f t="array" ref="J834">IF(I834&gt;0,INDEX(DB,$I834,6),0)</f>
        <v>0</v>
      </c>
      <c r="K834" s="446">
        <f t="shared" si="5"/>
        <v>0</v>
      </c>
      <c r="L834" s="446">
        <f t="shared" si="6"/>
        <v>0</v>
      </c>
      <c r="M834" s="441">
        <f>IF(L834&lt;O834,MinPoints,IF(AND(L834&gt;N834,O834&gt;0),100,+INT(($L834-O834)/P834)+MinPoints))</f>
        <v>10</v>
      </c>
      <c r="N834" s="440">
        <f t="shared" si="7"/>
        <v>4.9</v>
      </c>
      <c r="O834" s="440">
        <f t="shared" si="8"/>
        <v>2.2</v>
      </c>
      <c r="P834" s="440">
        <f t="shared" si="9"/>
        <v>0.03</v>
      </c>
      <c r="Q834">
        <f t="array" ref="Q834">IF(I834&gt;0,INDEX(DB,I834,9),EventIndex)</f>
        <v>6</v>
      </c>
      <c r="S834" s="447">
        <f t="array" ref="S834">INDEX(MINVALUES,$Q834,$K$1)</f>
        <v>2.2</v>
      </c>
      <c r="T834" s="448">
        <f t="array" ref="T834">INDEX(INCVALUES,$Q834,$K$1)</f>
        <v>0.03</v>
      </c>
      <c r="V834">
        <f t="array" ref="V834">+J834+(4*(INDEX(MatchScoreTable,$Q834,20)-1))</f>
        <v>4</v>
      </c>
      <c r="W834" s="442">
        <f t="array" ref="W834">INDEX(INC_MINVALUES,$V834,$K$1)</f>
        <v>0.2</v>
      </c>
      <c r="X834" s="212">
        <f t="array" ref="X834">INDEX(INC_INCVALUES,$V834,$K$1)</f>
        <v>0.02</v>
      </c>
    </row>
    <row r="835" ht="15.75" customHeight="1">
      <c r="A835" s="435"/>
      <c r="B835" s="436"/>
      <c r="C835" s="95" t="str">
        <f t="array" ref="C835">IF(I835&gt;0,INDEX(DB,I835,8),"")</f>
        <v/>
      </c>
      <c r="D835" s="437">
        <f t="shared" si="1"/>
        <v>0</v>
      </c>
      <c r="F835" s="438">
        <f t="shared" si="2"/>
        <v>0</v>
      </c>
      <c r="G835" t="str">
        <f t="shared" si="3"/>
        <v/>
      </c>
      <c r="H835" t="b">
        <f t="shared" si="4"/>
        <v>0</v>
      </c>
      <c r="I835" s="439">
        <f>IF(OR(ISBLANK(A835),ISNA(MATCH(A835&amp;"",AthleteNumbers,0))),0,MATCH(A835&amp;"",AthleteNumbers,0))</f>
        <v>0</v>
      </c>
      <c r="J835" s="209">
        <f t="array" ref="J835">IF(I835&gt;0,INDEX(DB,$I835,6),0)</f>
        <v>0</v>
      </c>
      <c r="K835" s="446">
        <f t="shared" si="5"/>
        <v>0</v>
      </c>
      <c r="L835" s="446">
        <f t="shared" si="6"/>
        <v>0</v>
      </c>
      <c r="M835" s="441">
        <f>IF(L835&lt;O835,MinPoints,IF(AND(L835&gt;N835,O835&gt;0),100,+INT(($L835-O835)/P835)+MinPoints))</f>
        <v>10</v>
      </c>
      <c r="N835" s="440">
        <f t="shared" si="7"/>
        <v>4.9</v>
      </c>
      <c r="O835" s="440">
        <f t="shared" si="8"/>
        <v>2.2</v>
      </c>
      <c r="P835" s="440">
        <f t="shared" si="9"/>
        <v>0.03</v>
      </c>
      <c r="Q835">
        <f t="array" ref="Q835">IF(I835&gt;0,INDEX(DB,I835,9),EventIndex)</f>
        <v>6</v>
      </c>
      <c r="S835" s="447">
        <f t="array" ref="S835">INDEX(MINVALUES,$Q835,$K$1)</f>
        <v>2.2</v>
      </c>
      <c r="T835" s="448">
        <f t="array" ref="T835">INDEX(INCVALUES,$Q835,$K$1)</f>
        <v>0.03</v>
      </c>
      <c r="V835">
        <f t="array" ref="V835">+J835+(4*(INDEX(MatchScoreTable,$Q835,20)-1))</f>
        <v>4</v>
      </c>
      <c r="W835" s="442">
        <f t="array" ref="W835">INDEX(INC_MINVALUES,$V835,$K$1)</f>
        <v>0.2</v>
      </c>
      <c r="X835" s="212">
        <f t="array" ref="X835">INDEX(INC_INCVALUES,$V835,$K$1)</f>
        <v>0.02</v>
      </c>
    </row>
    <row r="836" ht="15.75" customHeight="1">
      <c r="A836" s="435"/>
      <c r="B836" s="436"/>
      <c r="C836" s="95" t="str">
        <f t="array" ref="C836">IF(I836&gt;0,INDEX(DB,I836,8),"")</f>
        <v/>
      </c>
      <c r="D836" s="437">
        <f t="shared" si="1"/>
        <v>0</v>
      </c>
      <c r="F836" s="438">
        <f t="shared" si="2"/>
        <v>0</v>
      </c>
      <c r="G836" t="str">
        <f t="shared" si="3"/>
        <v/>
      </c>
      <c r="H836" t="b">
        <f t="shared" si="4"/>
        <v>0</v>
      </c>
      <c r="I836" s="439">
        <f>IF(OR(ISBLANK(A836),ISNA(MATCH(A836&amp;"",AthleteNumbers,0))),0,MATCH(A836&amp;"",AthleteNumbers,0))</f>
        <v>0</v>
      </c>
      <c r="J836" s="209">
        <f t="array" ref="J836">IF(I836&gt;0,INDEX(DB,$I836,6),0)</f>
        <v>0</v>
      </c>
      <c r="K836" s="446">
        <f t="shared" si="5"/>
        <v>0</v>
      </c>
      <c r="L836" s="446">
        <f t="shared" si="6"/>
        <v>0</v>
      </c>
      <c r="M836" s="441">
        <f>IF(L836&lt;O836,MinPoints,IF(AND(L836&gt;N836,O836&gt;0),100,+INT(($L836-O836)/P836)+MinPoints))</f>
        <v>10</v>
      </c>
      <c r="N836" s="440">
        <f t="shared" si="7"/>
        <v>4.9</v>
      </c>
      <c r="O836" s="440">
        <f t="shared" si="8"/>
        <v>2.2</v>
      </c>
      <c r="P836" s="440">
        <f t="shared" si="9"/>
        <v>0.03</v>
      </c>
      <c r="Q836">
        <f t="array" ref="Q836">IF(I836&gt;0,INDEX(DB,I836,9),EventIndex)</f>
        <v>6</v>
      </c>
      <c r="S836" s="447">
        <f t="array" ref="S836">INDEX(MINVALUES,$Q836,$K$1)</f>
        <v>2.2</v>
      </c>
      <c r="T836" s="448">
        <f t="array" ref="T836">INDEX(INCVALUES,$Q836,$K$1)</f>
        <v>0.03</v>
      </c>
      <c r="V836">
        <f t="array" ref="V836">+J836+(4*(INDEX(MatchScoreTable,$Q836,20)-1))</f>
        <v>4</v>
      </c>
      <c r="W836" s="442">
        <f t="array" ref="W836">INDEX(INC_MINVALUES,$V836,$K$1)</f>
        <v>0.2</v>
      </c>
      <c r="X836" s="212">
        <f t="array" ref="X836">INDEX(INC_INCVALUES,$V836,$K$1)</f>
        <v>0.02</v>
      </c>
    </row>
    <row r="837" ht="15.75" customHeight="1">
      <c r="A837" s="435"/>
      <c r="B837" s="436"/>
      <c r="C837" s="95" t="str">
        <f t="array" ref="C837">IF(I837&gt;0,INDEX(DB,I837,8),"")</f>
        <v/>
      </c>
      <c r="D837" s="437">
        <f t="shared" si="1"/>
        <v>0</v>
      </c>
      <c r="F837" s="438">
        <f t="shared" si="2"/>
        <v>0</v>
      </c>
      <c r="G837" t="str">
        <f t="shared" si="3"/>
        <v/>
      </c>
      <c r="H837" t="b">
        <f t="shared" si="4"/>
        <v>0</v>
      </c>
      <c r="I837" s="439">
        <f>IF(OR(ISBLANK(A837),ISNA(MATCH(A837&amp;"",AthleteNumbers,0))),0,MATCH(A837&amp;"",AthleteNumbers,0))</f>
        <v>0</v>
      </c>
      <c r="J837" s="209">
        <f t="array" ref="J837">IF(I837&gt;0,INDEX(DB,$I837,6),0)</f>
        <v>0</v>
      </c>
      <c r="K837" s="446">
        <f t="shared" si="5"/>
        <v>0</v>
      </c>
      <c r="L837" s="446">
        <f t="shared" si="6"/>
        <v>0</v>
      </c>
      <c r="M837" s="441">
        <f>IF(L837&lt;O837,MinPoints,IF(AND(L837&gt;N837,O837&gt;0),100,+INT(($L837-O837)/P837)+MinPoints))</f>
        <v>10</v>
      </c>
      <c r="N837" s="440">
        <f t="shared" si="7"/>
        <v>4.9</v>
      </c>
      <c r="O837" s="440">
        <f t="shared" si="8"/>
        <v>2.2</v>
      </c>
      <c r="P837" s="440">
        <f t="shared" si="9"/>
        <v>0.03</v>
      </c>
      <c r="Q837">
        <f t="array" ref="Q837">IF(I837&gt;0,INDEX(DB,I837,9),EventIndex)</f>
        <v>6</v>
      </c>
      <c r="S837" s="447">
        <f t="array" ref="S837">INDEX(MINVALUES,$Q837,$K$1)</f>
        <v>2.2</v>
      </c>
      <c r="T837" s="448">
        <f t="array" ref="T837">INDEX(INCVALUES,$Q837,$K$1)</f>
        <v>0.03</v>
      </c>
      <c r="V837">
        <f t="array" ref="V837">+J837+(4*(INDEX(MatchScoreTable,$Q837,20)-1))</f>
        <v>4</v>
      </c>
      <c r="W837" s="442">
        <f t="array" ref="W837">INDEX(INC_MINVALUES,$V837,$K$1)</f>
        <v>0.2</v>
      </c>
      <c r="X837" s="212">
        <f t="array" ref="X837">INDEX(INC_INCVALUES,$V837,$K$1)</f>
        <v>0.02</v>
      </c>
    </row>
    <row r="838" ht="15.75" customHeight="1">
      <c r="A838" s="435"/>
      <c r="B838" s="436"/>
      <c r="C838" s="95" t="str">
        <f t="array" ref="C838">IF(I838&gt;0,INDEX(DB,I838,8),"")</f>
        <v/>
      </c>
      <c r="D838" s="437">
        <f t="shared" si="1"/>
        <v>0</v>
      </c>
      <c r="F838" s="438">
        <f t="shared" si="2"/>
        <v>0</v>
      </c>
      <c r="G838" t="str">
        <f t="shared" si="3"/>
        <v/>
      </c>
      <c r="H838" t="b">
        <f t="shared" si="4"/>
        <v>0</v>
      </c>
      <c r="I838" s="439">
        <f>IF(OR(ISBLANK(A838),ISNA(MATCH(A838&amp;"",AthleteNumbers,0))),0,MATCH(A838&amp;"",AthleteNumbers,0))</f>
        <v>0</v>
      </c>
      <c r="J838" s="209">
        <f t="array" ref="J838">IF(I838&gt;0,INDEX(DB,$I838,6),0)</f>
        <v>0</v>
      </c>
      <c r="K838" s="446">
        <f t="shared" si="5"/>
        <v>0</v>
      </c>
      <c r="L838" s="446">
        <f t="shared" si="6"/>
        <v>0</v>
      </c>
      <c r="M838" s="441">
        <f>IF(L838&lt;O838,MinPoints,IF(AND(L838&gt;N838,O838&gt;0),100,+INT(($L838-O838)/P838)+MinPoints))</f>
        <v>10</v>
      </c>
      <c r="N838" s="440">
        <f t="shared" si="7"/>
        <v>4.9</v>
      </c>
      <c r="O838" s="440">
        <f t="shared" si="8"/>
        <v>2.2</v>
      </c>
      <c r="P838" s="440">
        <f t="shared" si="9"/>
        <v>0.03</v>
      </c>
      <c r="Q838">
        <f t="array" ref="Q838">IF(I838&gt;0,INDEX(DB,I838,9),EventIndex)</f>
        <v>6</v>
      </c>
      <c r="S838" s="447">
        <f t="array" ref="S838">INDEX(MINVALUES,$Q838,$K$1)</f>
        <v>2.2</v>
      </c>
      <c r="T838" s="448">
        <f t="array" ref="T838">INDEX(INCVALUES,$Q838,$K$1)</f>
        <v>0.03</v>
      </c>
      <c r="V838">
        <f t="array" ref="V838">+J838+(4*(INDEX(MatchScoreTable,$Q838,20)-1))</f>
        <v>4</v>
      </c>
      <c r="W838" s="442">
        <f t="array" ref="W838">INDEX(INC_MINVALUES,$V838,$K$1)</f>
        <v>0.2</v>
      </c>
      <c r="X838" s="212">
        <f t="array" ref="X838">INDEX(INC_INCVALUES,$V838,$K$1)</f>
        <v>0.02</v>
      </c>
    </row>
    <row r="839" ht="15.75" customHeight="1">
      <c r="A839" s="435"/>
      <c r="B839" s="436"/>
      <c r="C839" s="95" t="str">
        <f t="array" ref="C839">IF(I839&gt;0,INDEX(DB,I839,8),"")</f>
        <v/>
      </c>
      <c r="D839" s="437">
        <f t="shared" si="1"/>
        <v>0</v>
      </c>
      <c r="F839" s="438">
        <f t="shared" si="2"/>
        <v>0</v>
      </c>
      <c r="G839" t="str">
        <f t="shared" si="3"/>
        <v/>
      </c>
      <c r="H839" t="b">
        <f t="shared" si="4"/>
        <v>0</v>
      </c>
      <c r="I839" s="439">
        <f>IF(OR(ISBLANK(A839),ISNA(MATCH(A839&amp;"",AthleteNumbers,0))),0,MATCH(A839&amp;"",AthleteNumbers,0))</f>
        <v>0</v>
      </c>
      <c r="J839" s="209">
        <f t="array" ref="J839">IF(I839&gt;0,INDEX(DB,$I839,6),0)</f>
        <v>0</v>
      </c>
      <c r="K839" s="446">
        <f t="shared" si="5"/>
        <v>0</v>
      </c>
      <c r="L839" s="446">
        <f t="shared" si="6"/>
        <v>0</v>
      </c>
      <c r="M839" s="441">
        <f>IF(L839&lt;O839,MinPoints,IF(AND(L839&gt;N839,O839&gt;0),100,+INT(($L839-O839)/P839)+MinPoints))</f>
        <v>10</v>
      </c>
      <c r="N839" s="440">
        <f t="shared" si="7"/>
        <v>4.9</v>
      </c>
      <c r="O839" s="440">
        <f t="shared" si="8"/>
        <v>2.2</v>
      </c>
      <c r="P839" s="440">
        <f t="shared" si="9"/>
        <v>0.03</v>
      </c>
      <c r="Q839">
        <f t="array" ref="Q839">IF(I839&gt;0,INDEX(DB,I839,9),EventIndex)</f>
        <v>6</v>
      </c>
      <c r="S839" s="447">
        <f t="array" ref="S839">INDEX(MINVALUES,$Q839,$K$1)</f>
        <v>2.2</v>
      </c>
      <c r="T839" s="448">
        <f t="array" ref="T839">INDEX(INCVALUES,$Q839,$K$1)</f>
        <v>0.03</v>
      </c>
      <c r="V839">
        <f t="array" ref="V839">+J839+(4*(INDEX(MatchScoreTable,$Q839,20)-1))</f>
        <v>4</v>
      </c>
      <c r="W839" s="442">
        <f t="array" ref="W839">INDEX(INC_MINVALUES,$V839,$K$1)</f>
        <v>0.2</v>
      </c>
      <c r="X839" s="212">
        <f t="array" ref="X839">INDEX(INC_INCVALUES,$V839,$K$1)</f>
        <v>0.02</v>
      </c>
    </row>
    <row r="840" ht="15.75" customHeight="1">
      <c r="A840" s="435"/>
      <c r="B840" s="436"/>
      <c r="C840" s="95" t="str">
        <f t="array" ref="C840">IF(I840&gt;0,INDEX(DB,I840,8),"")</f>
        <v/>
      </c>
      <c r="D840" s="437">
        <f t="shared" si="1"/>
        <v>0</v>
      </c>
      <c r="F840" s="438">
        <f t="shared" si="2"/>
        <v>0</v>
      </c>
      <c r="G840" t="str">
        <f t="shared" si="3"/>
        <v/>
      </c>
      <c r="H840" t="b">
        <f t="shared" si="4"/>
        <v>0</v>
      </c>
      <c r="I840" s="439">
        <f>IF(OR(ISBLANK(A840),ISNA(MATCH(A840&amp;"",AthleteNumbers,0))),0,MATCH(A840&amp;"",AthleteNumbers,0))</f>
        <v>0</v>
      </c>
      <c r="J840" s="209">
        <f t="array" ref="J840">IF(I840&gt;0,INDEX(DB,$I840,6),0)</f>
        <v>0</v>
      </c>
      <c r="K840" s="446">
        <f t="shared" si="5"/>
        <v>0</v>
      </c>
      <c r="L840" s="446">
        <f t="shared" si="6"/>
        <v>0</v>
      </c>
      <c r="M840" s="441">
        <f>IF(L840&lt;O840,MinPoints,IF(AND(L840&gt;N840,O840&gt;0),100,+INT(($L840-O840)/P840)+MinPoints))</f>
        <v>10</v>
      </c>
      <c r="N840" s="440">
        <f t="shared" si="7"/>
        <v>4.9</v>
      </c>
      <c r="O840" s="440">
        <f t="shared" si="8"/>
        <v>2.2</v>
      </c>
      <c r="P840" s="440">
        <f t="shared" si="9"/>
        <v>0.03</v>
      </c>
      <c r="Q840">
        <f t="array" ref="Q840">IF(I840&gt;0,INDEX(DB,I840,9),EventIndex)</f>
        <v>6</v>
      </c>
      <c r="S840" s="447">
        <f t="array" ref="S840">INDEX(MINVALUES,$Q840,$K$1)</f>
        <v>2.2</v>
      </c>
      <c r="T840" s="448">
        <f t="array" ref="T840">INDEX(INCVALUES,$Q840,$K$1)</f>
        <v>0.03</v>
      </c>
      <c r="V840">
        <f t="array" ref="V840">+J840+(4*(INDEX(MatchScoreTable,$Q840,20)-1))</f>
        <v>4</v>
      </c>
      <c r="W840" s="442">
        <f t="array" ref="W840">INDEX(INC_MINVALUES,$V840,$K$1)</f>
        <v>0.2</v>
      </c>
      <c r="X840" s="212">
        <f t="array" ref="X840">INDEX(INC_INCVALUES,$V840,$K$1)</f>
        <v>0.02</v>
      </c>
    </row>
    <row r="841" ht="15.75" customHeight="1">
      <c r="A841" s="435"/>
      <c r="B841" s="436"/>
      <c r="C841" s="95" t="str">
        <f t="array" ref="C841">IF(I841&gt;0,INDEX(DB,I841,8),"")</f>
        <v/>
      </c>
      <c r="D841" s="437">
        <f t="shared" si="1"/>
        <v>0</v>
      </c>
      <c r="F841" s="438">
        <f t="shared" si="2"/>
        <v>0</v>
      </c>
      <c r="G841" t="str">
        <f t="shared" si="3"/>
        <v/>
      </c>
      <c r="H841" t="b">
        <f t="shared" si="4"/>
        <v>0</v>
      </c>
      <c r="I841" s="439">
        <f>IF(OR(ISBLANK(A841),ISNA(MATCH(A841&amp;"",AthleteNumbers,0))),0,MATCH(A841&amp;"",AthleteNumbers,0))</f>
        <v>0</v>
      </c>
      <c r="J841" s="209">
        <f t="array" ref="J841">IF(I841&gt;0,INDEX(DB,$I841,6),0)</f>
        <v>0</v>
      </c>
      <c r="K841" s="446">
        <f t="shared" si="5"/>
        <v>0</v>
      </c>
      <c r="L841" s="446">
        <f t="shared" si="6"/>
        <v>0</v>
      </c>
      <c r="M841" s="441">
        <f>IF(L841&lt;O841,MinPoints,IF(AND(L841&gt;N841,O841&gt;0),100,+INT(($L841-O841)/P841)+MinPoints))</f>
        <v>10</v>
      </c>
      <c r="N841" s="440">
        <f t="shared" si="7"/>
        <v>4.9</v>
      </c>
      <c r="O841" s="440">
        <f t="shared" si="8"/>
        <v>2.2</v>
      </c>
      <c r="P841" s="440">
        <f t="shared" si="9"/>
        <v>0.03</v>
      </c>
      <c r="Q841">
        <f t="array" ref="Q841">IF(I841&gt;0,INDEX(DB,I841,9),EventIndex)</f>
        <v>6</v>
      </c>
      <c r="S841" s="447">
        <f t="array" ref="S841">INDEX(MINVALUES,$Q841,$K$1)</f>
        <v>2.2</v>
      </c>
      <c r="T841" s="448">
        <f t="array" ref="T841">INDEX(INCVALUES,$Q841,$K$1)</f>
        <v>0.03</v>
      </c>
      <c r="V841">
        <f t="array" ref="V841">+J841+(4*(INDEX(MatchScoreTable,$Q841,20)-1))</f>
        <v>4</v>
      </c>
      <c r="W841" s="442">
        <f t="array" ref="W841">INDEX(INC_MINVALUES,$V841,$K$1)</f>
        <v>0.2</v>
      </c>
      <c r="X841" s="212">
        <f t="array" ref="X841">INDEX(INC_INCVALUES,$V841,$K$1)</f>
        <v>0.02</v>
      </c>
    </row>
    <row r="842" ht="15.75" customHeight="1">
      <c r="A842" s="435"/>
      <c r="B842" s="436"/>
      <c r="C842" s="95" t="str">
        <f t="array" ref="C842">IF(I842&gt;0,INDEX(DB,I842,8),"")</f>
        <v/>
      </c>
      <c r="D842" s="437">
        <f t="shared" si="1"/>
        <v>0</v>
      </c>
      <c r="F842" s="438">
        <f t="shared" si="2"/>
        <v>0</v>
      </c>
      <c r="G842" t="str">
        <f t="shared" si="3"/>
        <v/>
      </c>
      <c r="H842" t="b">
        <f t="shared" si="4"/>
        <v>0</v>
      </c>
      <c r="I842" s="439">
        <f>IF(OR(ISBLANK(A842),ISNA(MATCH(A842&amp;"",AthleteNumbers,0))),0,MATCH(A842&amp;"",AthleteNumbers,0))</f>
        <v>0</v>
      </c>
      <c r="J842" s="209">
        <f t="array" ref="J842">IF(I842&gt;0,INDEX(DB,$I842,6),0)</f>
        <v>0</v>
      </c>
      <c r="K842" s="446">
        <f t="shared" si="5"/>
        <v>0</v>
      </c>
      <c r="L842" s="446">
        <f t="shared" si="6"/>
        <v>0</v>
      </c>
      <c r="M842" s="441">
        <f>IF(L842&lt;O842,MinPoints,IF(AND(L842&gt;N842,O842&gt;0),100,+INT(($L842-O842)/P842)+MinPoints))</f>
        <v>10</v>
      </c>
      <c r="N842" s="440">
        <f t="shared" si="7"/>
        <v>4.9</v>
      </c>
      <c r="O842" s="440">
        <f t="shared" si="8"/>
        <v>2.2</v>
      </c>
      <c r="P842" s="440">
        <f t="shared" si="9"/>
        <v>0.03</v>
      </c>
      <c r="Q842">
        <f t="array" ref="Q842">IF(I842&gt;0,INDEX(DB,I842,9),EventIndex)</f>
        <v>6</v>
      </c>
      <c r="S842" s="447">
        <f t="array" ref="S842">INDEX(MINVALUES,$Q842,$K$1)</f>
        <v>2.2</v>
      </c>
      <c r="T842" s="448">
        <f t="array" ref="T842">INDEX(INCVALUES,$Q842,$K$1)</f>
        <v>0.03</v>
      </c>
      <c r="V842">
        <f t="array" ref="V842">+J842+(4*(INDEX(MatchScoreTable,$Q842,20)-1))</f>
        <v>4</v>
      </c>
      <c r="W842" s="442">
        <f t="array" ref="W842">INDEX(INC_MINVALUES,$V842,$K$1)</f>
        <v>0.2</v>
      </c>
      <c r="X842" s="212">
        <f t="array" ref="X842">INDEX(INC_INCVALUES,$V842,$K$1)</f>
        <v>0.02</v>
      </c>
    </row>
    <row r="843" ht="15.75" customHeight="1">
      <c r="A843" s="435"/>
      <c r="B843" s="436"/>
      <c r="C843" s="95" t="str">
        <f t="array" ref="C843">IF(I843&gt;0,INDEX(DB,I843,8),"")</f>
        <v/>
      </c>
      <c r="D843" s="437">
        <f t="shared" si="1"/>
        <v>0</v>
      </c>
      <c r="F843" s="438">
        <f t="shared" si="2"/>
        <v>0</v>
      </c>
      <c r="G843" t="str">
        <f t="shared" si="3"/>
        <v/>
      </c>
      <c r="H843" t="b">
        <f t="shared" si="4"/>
        <v>0</v>
      </c>
      <c r="I843" s="439">
        <f>IF(OR(ISBLANK(A843),ISNA(MATCH(A843&amp;"",AthleteNumbers,0))),0,MATCH(A843&amp;"",AthleteNumbers,0))</f>
        <v>0</v>
      </c>
      <c r="J843" s="209">
        <f t="array" ref="J843">IF(I843&gt;0,INDEX(DB,$I843,6),0)</f>
        <v>0</v>
      </c>
      <c r="K843" s="446">
        <f t="shared" si="5"/>
        <v>0</v>
      </c>
      <c r="L843" s="446">
        <f t="shared" si="6"/>
        <v>0</v>
      </c>
      <c r="M843" s="441">
        <f>IF(L843&lt;O843,MinPoints,IF(AND(L843&gt;N843,O843&gt;0),100,+INT(($L843-O843)/P843)+MinPoints))</f>
        <v>10</v>
      </c>
      <c r="N843" s="440">
        <f t="shared" si="7"/>
        <v>4.9</v>
      </c>
      <c r="O843" s="440">
        <f t="shared" si="8"/>
        <v>2.2</v>
      </c>
      <c r="P843" s="440">
        <f t="shared" si="9"/>
        <v>0.03</v>
      </c>
      <c r="Q843">
        <f t="array" ref="Q843">IF(I843&gt;0,INDEX(DB,I843,9),EventIndex)</f>
        <v>6</v>
      </c>
      <c r="S843" s="447">
        <f t="array" ref="S843">INDEX(MINVALUES,$Q843,$K$1)</f>
        <v>2.2</v>
      </c>
      <c r="T843" s="448">
        <f t="array" ref="T843">INDEX(INCVALUES,$Q843,$K$1)</f>
        <v>0.03</v>
      </c>
      <c r="V843">
        <f t="array" ref="V843">+J843+(4*(INDEX(MatchScoreTable,$Q843,20)-1))</f>
        <v>4</v>
      </c>
      <c r="W843" s="442">
        <f t="array" ref="W843">INDEX(INC_MINVALUES,$V843,$K$1)</f>
        <v>0.2</v>
      </c>
      <c r="X843" s="212">
        <f t="array" ref="X843">INDEX(INC_INCVALUES,$V843,$K$1)</f>
        <v>0.02</v>
      </c>
    </row>
    <row r="844" ht="15.75" customHeight="1">
      <c r="A844" s="435"/>
      <c r="B844" s="436"/>
      <c r="C844" s="95" t="str">
        <f t="array" ref="C844">IF(I844&gt;0,INDEX(DB,I844,8),"")</f>
        <v/>
      </c>
      <c r="D844" s="437">
        <f t="shared" si="1"/>
        <v>0</v>
      </c>
      <c r="F844" s="438">
        <f t="shared" si="2"/>
        <v>0</v>
      </c>
      <c r="G844" t="str">
        <f t="shared" si="3"/>
        <v/>
      </c>
      <c r="H844" t="b">
        <f t="shared" si="4"/>
        <v>0</v>
      </c>
      <c r="I844" s="439">
        <f>IF(OR(ISBLANK(A844),ISNA(MATCH(A844&amp;"",AthleteNumbers,0))),0,MATCH(A844&amp;"",AthleteNumbers,0))</f>
        <v>0</v>
      </c>
      <c r="J844" s="209">
        <f t="array" ref="J844">IF(I844&gt;0,INDEX(DB,$I844,6),0)</f>
        <v>0</v>
      </c>
      <c r="K844" s="446">
        <f t="shared" si="5"/>
        <v>0</v>
      </c>
      <c r="L844" s="446">
        <f t="shared" si="6"/>
        <v>0</v>
      </c>
      <c r="M844" s="441">
        <f>IF(L844&lt;O844,MinPoints,IF(AND(L844&gt;N844,O844&gt;0),100,+INT(($L844-O844)/P844)+MinPoints))</f>
        <v>10</v>
      </c>
      <c r="N844" s="440">
        <f t="shared" si="7"/>
        <v>4.9</v>
      </c>
      <c r="O844" s="440">
        <f t="shared" si="8"/>
        <v>2.2</v>
      </c>
      <c r="P844" s="440">
        <f t="shared" si="9"/>
        <v>0.03</v>
      </c>
      <c r="Q844">
        <f t="array" ref="Q844">IF(I844&gt;0,INDEX(DB,I844,9),EventIndex)</f>
        <v>6</v>
      </c>
      <c r="S844" s="447">
        <f t="array" ref="S844">INDEX(MINVALUES,$Q844,$K$1)</f>
        <v>2.2</v>
      </c>
      <c r="T844" s="448">
        <f t="array" ref="T844">INDEX(INCVALUES,$Q844,$K$1)</f>
        <v>0.03</v>
      </c>
      <c r="V844">
        <f t="array" ref="V844">+J844+(4*(INDEX(MatchScoreTable,$Q844,20)-1))</f>
        <v>4</v>
      </c>
      <c r="W844" s="442">
        <f t="array" ref="W844">INDEX(INC_MINVALUES,$V844,$K$1)</f>
        <v>0.2</v>
      </c>
      <c r="X844" s="212">
        <f t="array" ref="X844">INDEX(INC_INCVALUES,$V844,$K$1)</f>
        <v>0.02</v>
      </c>
    </row>
    <row r="845" ht="15.75" customHeight="1">
      <c r="A845" s="435"/>
      <c r="B845" s="436"/>
      <c r="C845" s="95" t="str">
        <f t="array" ref="C845">IF(I845&gt;0,INDEX(DB,I845,8),"")</f>
        <v/>
      </c>
      <c r="D845" s="437">
        <f t="shared" si="1"/>
        <v>0</v>
      </c>
      <c r="F845" s="438">
        <f t="shared" si="2"/>
        <v>0</v>
      </c>
      <c r="G845" t="str">
        <f t="shared" si="3"/>
        <v/>
      </c>
      <c r="H845" t="b">
        <f t="shared" si="4"/>
        <v>0</v>
      </c>
      <c r="I845" s="439">
        <f>IF(OR(ISBLANK(A845),ISNA(MATCH(A845&amp;"",AthleteNumbers,0))),0,MATCH(A845&amp;"",AthleteNumbers,0))</f>
        <v>0</v>
      </c>
      <c r="J845" s="209">
        <f t="array" ref="J845">IF(I845&gt;0,INDEX(DB,$I845,6),0)</f>
        <v>0</v>
      </c>
      <c r="K845" s="446">
        <f t="shared" si="5"/>
        <v>0</v>
      </c>
      <c r="L845" s="446">
        <f t="shared" si="6"/>
        <v>0</v>
      </c>
      <c r="M845" s="441">
        <f>IF(L845&lt;O845,MinPoints,IF(AND(L845&gt;N845,O845&gt;0),100,+INT(($L845-O845)/P845)+MinPoints))</f>
        <v>10</v>
      </c>
      <c r="N845" s="440">
        <f t="shared" si="7"/>
        <v>4.9</v>
      </c>
      <c r="O845" s="440">
        <f t="shared" si="8"/>
        <v>2.2</v>
      </c>
      <c r="P845" s="440">
        <f t="shared" si="9"/>
        <v>0.03</v>
      </c>
      <c r="Q845">
        <f t="array" ref="Q845">IF(I845&gt;0,INDEX(DB,I845,9),EventIndex)</f>
        <v>6</v>
      </c>
      <c r="S845" s="447">
        <f t="array" ref="S845">INDEX(MINVALUES,$Q845,$K$1)</f>
        <v>2.2</v>
      </c>
      <c r="T845" s="448">
        <f t="array" ref="T845">INDEX(INCVALUES,$Q845,$K$1)</f>
        <v>0.03</v>
      </c>
      <c r="V845">
        <f t="array" ref="V845">+J845+(4*(INDEX(MatchScoreTable,$Q845,20)-1))</f>
        <v>4</v>
      </c>
      <c r="W845" s="442">
        <f t="array" ref="W845">INDEX(INC_MINVALUES,$V845,$K$1)</f>
        <v>0.2</v>
      </c>
      <c r="X845" s="212">
        <f t="array" ref="X845">INDEX(INC_INCVALUES,$V845,$K$1)</f>
        <v>0.02</v>
      </c>
    </row>
    <row r="846" ht="15.75" customHeight="1">
      <c r="A846" s="435"/>
      <c r="B846" s="436"/>
      <c r="C846" s="95" t="str">
        <f t="array" ref="C846">IF(I846&gt;0,INDEX(DB,I846,8),"")</f>
        <v/>
      </c>
      <c r="D846" s="437">
        <f t="shared" si="1"/>
        <v>0</v>
      </c>
      <c r="F846" s="438">
        <f t="shared" si="2"/>
        <v>0</v>
      </c>
      <c r="G846" t="str">
        <f t="shared" si="3"/>
        <v/>
      </c>
      <c r="H846" t="b">
        <f t="shared" si="4"/>
        <v>0</v>
      </c>
      <c r="I846" s="439">
        <f>IF(OR(ISBLANK(A846),ISNA(MATCH(A846&amp;"",AthleteNumbers,0))),0,MATCH(A846&amp;"",AthleteNumbers,0))</f>
        <v>0</v>
      </c>
      <c r="J846" s="209">
        <f t="array" ref="J846">IF(I846&gt;0,INDEX(DB,$I846,6),0)</f>
        <v>0</v>
      </c>
      <c r="K846" s="446">
        <f t="shared" si="5"/>
        <v>0</v>
      </c>
      <c r="L846" s="446">
        <f t="shared" si="6"/>
        <v>0</v>
      </c>
      <c r="M846" s="441">
        <f>IF(L846&lt;O846,MinPoints,IF(AND(L846&gt;N846,O846&gt;0),100,+INT(($L846-O846)/P846)+MinPoints))</f>
        <v>10</v>
      </c>
      <c r="N846" s="440">
        <f t="shared" si="7"/>
        <v>4.9</v>
      </c>
      <c r="O846" s="440">
        <f t="shared" si="8"/>
        <v>2.2</v>
      </c>
      <c r="P846" s="440">
        <f t="shared" si="9"/>
        <v>0.03</v>
      </c>
      <c r="Q846">
        <f t="array" ref="Q846">IF(I846&gt;0,INDEX(DB,I846,9),EventIndex)</f>
        <v>6</v>
      </c>
      <c r="S846" s="447">
        <f t="array" ref="S846">INDEX(MINVALUES,$Q846,$K$1)</f>
        <v>2.2</v>
      </c>
      <c r="T846" s="448">
        <f t="array" ref="T846">INDEX(INCVALUES,$Q846,$K$1)</f>
        <v>0.03</v>
      </c>
      <c r="V846">
        <f t="array" ref="V846">+J846+(4*(INDEX(MatchScoreTable,$Q846,20)-1))</f>
        <v>4</v>
      </c>
      <c r="W846" s="442">
        <f t="array" ref="W846">INDEX(INC_MINVALUES,$V846,$K$1)</f>
        <v>0.2</v>
      </c>
      <c r="X846" s="212">
        <f t="array" ref="X846">INDEX(INC_INCVALUES,$V846,$K$1)</f>
        <v>0.02</v>
      </c>
    </row>
    <row r="847" ht="15.75" customHeight="1">
      <c r="A847" s="435"/>
      <c r="B847" s="436"/>
      <c r="C847" s="95" t="str">
        <f t="array" ref="C847">IF(I847&gt;0,INDEX(DB,I847,8),"")</f>
        <v/>
      </c>
      <c r="D847" s="437">
        <f t="shared" si="1"/>
        <v>0</v>
      </c>
      <c r="F847" s="438">
        <f t="shared" si="2"/>
        <v>0</v>
      </c>
      <c r="G847" t="str">
        <f t="shared" si="3"/>
        <v/>
      </c>
      <c r="H847" t="b">
        <f t="shared" si="4"/>
        <v>0</v>
      </c>
      <c r="I847" s="439">
        <f>IF(OR(ISBLANK(A847),ISNA(MATCH(A847&amp;"",AthleteNumbers,0))),0,MATCH(A847&amp;"",AthleteNumbers,0))</f>
        <v>0</v>
      </c>
      <c r="J847" s="209">
        <f t="array" ref="J847">IF(I847&gt;0,INDEX(DB,$I847,6),0)</f>
        <v>0</v>
      </c>
      <c r="K847" s="446">
        <f t="shared" si="5"/>
        <v>0</v>
      </c>
      <c r="L847" s="446">
        <f t="shared" si="6"/>
        <v>0</v>
      </c>
      <c r="M847" s="441">
        <f>IF(L847&lt;O847,MinPoints,IF(AND(L847&gt;N847,O847&gt;0),100,+INT(($L847-O847)/P847)+MinPoints))</f>
        <v>10</v>
      </c>
      <c r="N847" s="440">
        <f t="shared" si="7"/>
        <v>4.9</v>
      </c>
      <c r="O847" s="440">
        <f t="shared" si="8"/>
        <v>2.2</v>
      </c>
      <c r="P847" s="440">
        <f t="shared" si="9"/>
        <v>0.03</v>
      </c>
      <c r="Q847">
        <f t="array" ref="Q847">IF(I847&gt;0,INDEX(DB,I847,9),EventIndex)</f>
        <v>6</v>
      </c>
      <c r="S847" s="447">
        <f t="array" ref="S847">INDEX(MINVALUES,$Q847,$K$1)</f>
        <v>2.2</v>
      </c>
      <c r="T847" s="448">
        <f t="array" ref="T847">INDEX(INCVALUES,$Q847,$K$1)</f>
        <v>0.03</v>
      </c>
      <c r="V847">
        <f t="array" ref="V847">+J847+(4*(INDEX(MatchScoreTable,$Q847,20)-1))</f>
        <v>4</v>
      </c>
      <c r="W847" s="442">
        <f t="array" ref="W847">INDEX(INC_MINVALUES,$V847,$K$1)</f>
        <v>0.2</v>
      </c>
      <c r="X847" s="212">
        <f t="array" ref="X847">INDEX(INC_INCVALUES,$V847,$K$1)</f>
        <v>0.02</v>
      </c>
    </row>
    <row r="848" ht="15.75" customHeight="1">
      <c r="A848" s="435"/>
      <c r="B848" s="436"/>
      <c r="C848" s="95" t="str">
        <f t="array" ref="C848">IF(I848&gt;0,INDEX(DB,I848,8),"")</f>
        <v/>
      </c>
      <c r="D848" s="437">
        <f t="shared" si="1"/>
        <v>0</v>
      </c>
      <c r="F848" s="438">
        <f t="shared" si="2"/>
        <v>0</v>
      </c>
      <c r="G848" t="str">
        <f t="shared" si="3"/>
        <v/>
      </c>
      <c r="H848" t="b">
        <f t="shared" si="4"/>
        <v>0</v>
      </c>
      <c r="I848" s="439">
        <f>IF(OR(ISBLANK(A848),ISNA(MATCH(A848&amp;"",AthleteNumbers,0))),0,MATCH(A848&amp;"",AthleteNumbers,0))</f>
        <v>0</v>
      </c>
      <c r="J848" s="209">
        <f t="array" ref="J848">IF(I848&gt;0,INDEX(DB,$I848,6),0)</f>
        <v>0</v>
      </c>
      <c r="K848" s="446">
        <f t="shared" si="5"/>
        <v>0</v>
      </c>
      <c r="L848" s="446">
        <f t="shared" si="6"/>
        <v>0</v>
      </c>
      <c r="M848" s="441">
        <f>IF(L848&lt;O848,MinPoints,IF(AND(L848&gt;N848,O848&gt;0),100,+INT(($L848-O848)/P848)+MinPoints))</f>
        <v>10</v>
      </c>
      <c r="N848" s="440">
        <f t="shared" si="7"/>
        <v>4.9</v>
      </c>
      <c r="O848" s="440">
        <f t="shared" si="8"/>
        <v>2.2</v>
      </c>
      <c r="P848" s="440">
        <f t="shared" si="9"/>
        <v>0.03</v>
      </c>
      <c r="Q848">
        <f t="array" ref="Q848">IF(I848&gt;0,INDEX(DB,I848,9),EventIndex)</f>
        <v>6</v>
      </c>
      <c r="S848" s="447">
        <f t="array" ref="S848">INDEX(MINVALUES,$Q848,$K$1)</f>
        <v>2.2</v>
      </c>
      <c r="T848" s="448">
        <f t="array" ref="T848">INDEX(INCVALUES,$Q848,$K$1)</f>
        <v>0.03</v>
      </c>
      <c r="V848">
        <f t="array" ref="V848">+J848+(4*(INDEX(MatchScoreTable,$Q848,20)-1))</f>
        <v>4</v>
      </c>
      <c r="W848" s="442">
        <f t="array" ref="W848">INDEX(INC_MINVALUES,$V848,$K$1)</f>
        <v>0.2</v>
      </c>
      <c r="X848" s="212">
        <f t="array" ref="X848">INDEX(INC_INCVALUES,$V848,$K$1)</f>
        <v>0.02</v>
      </c>
    </row>
    <row r="849" ht="15.75" customHeight="1">
      <c r="A849" s="435"/>
      <c r="B849" s="436"/>
      <c r="C849" s="95" t="str">
        <f t="array" ref="C849">IF(I849&gt;0,INDEX(DB,I849,8),"")</f>
        <v/>
      </c>
      <c r="D849" s="437">
        <f t="shared" si="1"/>
        <v>0</v>
      </c>
      <c r="F849" s="438">
        <f t="shared" si="2"/>
        <v>0</v>
      </c>
      <c r="G849" t="str">
        <f t="shared" si="3"/>
        <v/>
      </c>
      <c r="H849" t="b">
        <f t="shared" si="4"/>
        <v>0</v>
      </c>
      <c r="I849" s="439">
        <f>IF(OR(ISBLANK(A849),ISNA(MATCH(A849&amp;"",AthleteNumbers,0))),0,MATCH(A849&amp;"",AthleteNumbers,0))</f>
        <v>0</v>
      </c>
      <c r="J849" s="209">
        <f t="array" ref="J849">IF(I849&gt;0,INDEX(DB,$I849,6),0)</f>
        <v>0</v>
      </c>
      <c r="K849" s="446">
        <f t="shared" si="5"/>
        <v>0</v>
      </c>
      <c r="L849" s="446">
        <f t="shared" si="6"/>
        <v>0</v>
      </c>
      <c r="M849" s="441">
        <f>IF(L849&lt;O849,MinPoints,IF(AND(L849&gt;N849,O849&gt;0),100,+INT(($L849-O849)/P849)+MinPoints))</f>
        <v>10</v>
      </c>
      <c r="N849" s="440">
        <f t="shared" si="7"/>
        <v>4.9</v>
      </c>
      <c r="O849" s="440">
        <f t="shared" si="8"/>
        <v>2.2</v>
      </c>
      <c r="P849" s="440">
        <f t="shared" si="9"/>
        <v>0.03</v>
      </c>
      <c r="Q849">
        <f t="array" ref="Q849">IF(I849&gt;0,INDEX(DB,I849,9),EventIndex)</f>
        <v>6</v>
      </c>
      <c r="S849" s="447">
        <f t="array" ref="S849">INDEX(MINVALUES,$Q849,$K$1)</f>
        <v>2.2</v>
      </c>
      <c r="T849" s="448">
        <f t="array" ref="T849">INDEX(INCVALUES,$Q849,$K$1)</f>
        <v>0.03</v>
      </c>
      <c r="V849">
        <f t="array" ref="V849">+J849+(4*(INDEX(MatchScoreTable,$Q849,20)-1))</f>
        <v>4</v>
      </c>
      <c r="W849" s="442">
        <f t="array" ref="W849">INDEX(INC_MINVALUES,$V849,$K$1)</f>
        <v>0.2</v>
      </c>
      <c r="X849" s="212">
        <f t="array" ref="X849">INDEX(INC_INCVALUES,$V849,$K$1)</f>
        <v>0.02</v>
      </c>
    </row>
    <row r="850" ht="15.75" customHeight="1">
      <c r="A850" s="435"/>
      <c r="B850" s="436"/>
      <c r="C850" s="95" t="str">
        <f t="array" ref="C850">IF(I850&gt;0,INDEX(DB,I850,8),"")</f>
        <v/>
      </c>
      <c r="D850" s="437">
        <f t="shared" si="1"/>
        <v>0</v>
      </c>
      <c r="F850" s="438">
        <f t="shared" si="2"/>
        <v>0</v>
      </c>
      <c r="G850" t="str">
        <f t="shared" si="3"/>
        <v/>
      </c>
      <c r="H850" t="b">
        <f t="shared" si="4"/>
        <v>0</v>
      </c>
      <c r="I850" s="439">
        <f>IF(OR(ISBLANK(A850),ISNA(MATCH(A850&amp;"",AthleteNumbers,0))),0,MATCH(A850&amp;"",AthleteNumbers,0))</f>
        <v>0</v>
      </c>
      <c r="J850" s="209">
        <f t="array" ref="J850">IF(I850&gt;0,INDEX(DB,$I850,6),0)</f>
        <v>0</v>
      </c>
      <c r="K850" s="446">
        <f t="shared" si="5"/>
        <v>0</v>
      </c>
      <c r="L850" s="446">
        <f t="shared" si="6"/>
        <v>0</v>
      </c>
      <c r="M850" s="441">
        <f>IF(L850&lt;O850,MinPoints,IF(AND(L850&gt;N850,O850&gt;0),100,+INT(($L850-O850)/P850)+MinPoints))</f>
        <v>10</v>
      </c>
      <c r="N850" s="440">
        <f t="shared" si="7"/>
        <v>4.9</v>
      </c>
      <c r="O850" s="440">
        <f t="shared" si="8"/>
        <v>2.2</v>
      </c>
      <c r="P850" s="440">
        <f t="shared" si="9"/>
        <v>0.03</v>
      </c>
      <c r="Q850">
        <f t="array" ref="Q850">IF(I850&gt;0,INDEX(DB,I850,9),EventIndex)</f>
        <v>6</v>
      </c>
      <c r="S850" s="447">
        <f t="array" ref="S850">INDEX(MINVALUES,$Q850,$K$1)</f>
        <v>2.2</v>
      </c>
      <c r="T850" s="448">
        <f t="array" ref="T850">INDEX(INCVALUES,$Q850,$K$1)</f>
        <v>0.03</v>
      </c>
      <c r="V850">
        <f t="array" ref="V850">+J850+(4*(INDEX(MatchScoreTable,$Q850,20)-1))</f>
        <v>4</v>
      </c>
      <c r="W850" s="442">
        <f t="array" ref="W850">INDEX(INC_MINVALUES,$V850,$K$1)</f>
        <v>0.2</v>
      </c>
      <c r="X850" s="212">
        <f t="array" ref="X850">INDEX(INC_INCVALUES,$V850,$K$1)</f>
        <v>0.02</v>
      </c>
    </row>
    <row r="851" ht="15.75" customHeight="1">
      <c r="A851" s="435"/>
      <c r="B851" s="436"/>
      <c r="C851" s="95" t="str">
        <f t="array" ref="C851">IF(I851&gt;0,INDEX(DB,I851,8),"")</f>
        <v/>
      </c>
      <c r="D851" s="437">
        <f t="shared" si="1"/>
        <v>0</v>
      </c>
      <c r="F851" s="438">
        <f t="shared" si="2"/>
        <v>0</v>
      </c>
      <c r="G851" t="str">
        <f t="shared" si="3"/>
        <v/>
      </c>
      <c r="H851" t="b">
        <f t="shared" si="4"/>
        <v>0</v>
      </c>
      <c r="I851" s="439">
        <f>IF(OR(ISBLANK(A851),ISNA(MATCH(A851&amp;"",AthleteNumbers,0))),0,MATCH(A851&amp;"",AthleteNumbers,0))</f>
        <v>0</v>
      </c>
      <c r="J851" s="209">
        <f t="array" ref="J851">IF(I851&gt;0,INDEX(DB,$I851,6),0)</f>
        <v>0</v>
      </c>
      <c r="K851" s="446">
        <f t="shared" si="5"/>
        <v>0</v>
      </c>
      <c r="L851" s="446">
        <f t="shared" si="6"/>
        <v>0</v>
      </c>
      <c r="M851" s="441">
        <f>IF(L851&lt;O851,MinPoints,IF(AND(L851&gt;N851,O851&gt;0),100,+INT(($L851-O851)/P851)+MinPoints))</f>
        <v>10</v>
      </c>
      <c r="N851" s="440">
        <f t="shared" si="7"/>
        <v>4.9</v>
      </c>
      <c r="O851" s="440">
        <f t="shared" si="8"/>
        <v>2.2</v>
      </c>
      <c r="P851" s="440">
        <f t="shared" si="9"/>
        <v>0.03</v>
      </c>
      <c r="Q851">
        <f t="array" ref="Q851">IF(I851&gt;0,INDEX(DB,I851,9),EventIndex)</f>
        <v>6</v>
      </c>
      <c r="S851" s="447">
        <f t="array" ref="S851">INDEX(MINVALUES,$Q851,$K$1)</f>
        <v>2.2</v>
      </c>
      <c r="T851" s="448">
        <f t="array" ref="T851">INDEX(INCVALUES,$Q851,$K$1)</f>
        <v>0.03</v>
      </c>
      <c r="V851">
        <f t="array" ref="V851">+J851+(4*(INDEX(MatchScoreTable,$Q851,20)-1))</f>
        <v>4</v>
      </c>
      <c r="W851" s="442">
        <f t="array" ref="W851">INDEX(INC_MINVALUES,$V851,$K$1)</f>
        <v>0.2</v>
      </c>
      <c r="X851" s="212">
        <f t="array" ref="X851">INDEX(INC_INCVALUES,$V851,$K$1)</f>
        <v>0.02</v>
      </c>
    </row>
    <row r="852" ht="15.75" customHeight="1">
      <c r="A852" s="435"/>
      <c r="B852" s="436"/>
      <c r="C852" s="95" t="str">
        <f t="array" ref="C852">IF(I852&gt;0,INDEX(DB,I852,8),"")</f>
        <v/>
      </c>
      <c r="D852" s="437">
        <f t="shared" si="1"/>
        <v>0</v>
      </c>
      <c r="F852" s="438">
        <f t="shared" si="2"/>
        <v>0</v>
      </c>
      <c r="G852" t="str">
        <f t="shared" si="3"/>
        <v/>
      </c>
      <c r="H852" t="b">
        <f t="shared" si="4"/>
        <v>0</v>
      </c>
      <c r="I852" s="439">
        <f>IF(OR(ISBLANK(A852),ISNA(MATCH(A852&amp;"",AthleteNumbers,0))),0,MATCH(A852&amp;"",AthleteNumbers,0))</f>
        <v>0</v>
      </c>
      <c r="J852" s="209">
        <f t="array" ref="J852">IF(I852&gt;0,INDEX(DB,$I852,6),0)</f>
        <v>0</v>
      </c>
      <c r="K852" s="446">
        <f t="shared" si="5"/>
        <v>0</v>
      </c>
      <c r="L852" s="446">
        <f t="shared" si="6"/>
        <v>0</v>
      </c>
      <c r="M852" s="441">
        <f>IF(L852&lt;O852,MinPoints,IF(AND(L852&gt;N852,O852&gt;0),100,+INT(($L852-O852)/P852)+MinPoints))</f>
        <v>10</v>
      </c>
      <c r="N852" s="440">
        <f t="shared" si="7"/>
        <v>4.9</v>
      </c>
      <c r="O852" s="440">
        <f t="shared" si="8"/>
        <v>2.2</v>
      </c>
      <c r="P852" s="440">
        <f t="shared" si="9"/>
        <v>0.03</v>
      </c>
      <c r="Q852">
        <f t="array" ref="Q852">IF(I852&gt;0,INDEX(DB,I852,9),EventIndex)</f>
        <v>6</v>
      </c>
      <c r="S852" s="447">
        <f t="array" ref="S852">INDEX(MINVALUES,$Q852,$K$1)</f>
        <v>2.2</v>
      </c>
      <c r="T852" s="448">
        <f t="array" ref="T852">INDEX(INCVALUES,$Q852,$K$1)</f>
        <v>0.03</v>
      </c>
      <c r="V852">
        <f t="array" ref="V852">+J852+(4*(INDEX(MatchScoreTable,$Q852,20)-1))</f>
        <v>4</v>
      </c>
      <c r="W852" s="442">
        <f t="array" ref="W852">INDEX(INC_MINVALUES,$V852,$K$1)</f>
        <v>0.2</v>
      </c>
      <c r="X852" s="212">
        <f t="array" ref="X852">INDEX(INC_INCVALUES,$V852,$K$1)</f>
        <v>0.02</v>
      </c>
    </row>
    <row r="853" ht="15.75" customHeight="1">
      <c r="A853" s="435"/>
      <c r="B853" s="436"/>
      <c r="C853" s="95" t="str">
        <f t="array" ref="C853">IF(I853&gt;0,INDEX(DB,I853,8),"")</f>
        <v/>
      </c>
      <c r="D853" s="437">
        <f t="shared" si="1"/>
        <v>0</v>
      </c>
      <c r="F853" s="438">
        <f t="shared" si="2"/>
        <v>0</v>
      </c>
      <c r="G853" t="str">
        <f t="shared" si="3"/>
        <v/>
      </c>
      <c r="H853" t="b">
        <f t="shared" si="4"/>
        <v>0</v>
      </c>
      <c r="I853" s="439">
        <f>IF(OR(ISBLANK(A853),ISNA(MATCH(A853&amp;"",AthleteNumbers,0))),0,MATCH(A853&amp;"",AthleteNumbers,0))</f>
        <v>0</v>
      </c>
      <c r="J853" s="209">
        <f t="array" ref="J853">IF(I853&gt;0,INDEX(DB,$I853,6),0)</f>
        <v>0</v>
      </c>
      <c r="K853" s="446">
        <f t="shared" si="5"/>
        <v>0</v>
      </c>
      <c r="L853" s="446">
        <f t="shared" si="6"/>
        <v>0</v>
      </c>
      <c r="M853" s="441">
        <f>IF(L853&lt;O853,MinPoints,IF(AND(L853&gt;N853,O853&gt;0),100,+INT(($L853-O853)/P853)+MinPoints))</f>
        <v>10</v>
      </c>
      <c r="N853" s="440">
        <f t="shared" si="7"/>
        <v>4.9</v>
      </c>
      <c r="O853" s="440">
        <f t="shared" si="8"/>
        <v>2.2</v>
      </c>
      <c r="P853" s="440">
        <f t="shared" si="9"/>
        <v>0.03</v>
      </c>
      <c r="Q853">
        <f t="array" ref="Q853">IF(I853&gt;0,INDEX(DB,I853,9),EventIndex)</f>
        <v>6</v>
      </c>
      <c r="S853" s="447">
        <f t="array" ref="S853">INDEX(MINVALUES,$Q853,$K$1)</f>
        <v>2.2</v>
      </c>
      <c r="T853" s="448">
        <f t="array" ref="T853">INDEX(INCVALUES,$Q853,$K$1)</f>
        <v>0.03</v>
      </c>
      <c r="V853">
        <f t="array" ref="V853">+J853+(4*(INDEX(MatchScoreTable,$Q853,20)-1))</f>
        <v>4</v>
      </c>
      <c r="W853" s="442">
        <f t="array" ref="W853">INDEX(INC_MINVALUES,$V853,$K$1)</f>
        <v>0.2</v>
      </c>
      <c r="X853" s="212">
        <f t="array" ref="X853">INDEX(INC_INCVALUES,$V853,$K$1)</f>
        <v>0.02</v>
      </c>
    </row>
    <row r="854" ht="15.75" customHeight="1">
      <c r="A854" s="435"/>
      <c r="B854" s="436"/>
      <c r="C854" s="95" t="str">
        <f t="array" ref="C854">IF(I854&gt;0,INDEX(DB,I854,8),"")</f>
        <v/>
      </c>
      <c r="D854" s="437">
        <f t="shared" si="1"/>
        <v>0</v>
      </c>
      <c r="F854" s="438">
        <f t="shared" si="2"/>
        <v>0</v>
      </c>
      <c r="G854" t="str">
        <f t="shared" si="3"/>
        <v/>
      </c>
      <c r="H854" t="b">
        <f t="shared" si="4"/>
        <v>0</v>
      </c>
      <c r="I854" s="439">
        <f>IF(OR(ISBLANK(A854),ISNA(MATCH(A854&amp;"",AthleteNumbers,0))),0,MATCH(A854&amp;"",AthleteNumbers,0))</f>
        <v>0</v>
      </c>
      <c r="J854" s="209">
        <f t="array" ref="J854">IF(I854&gt;0,INDEX(DB,$I854,6),0)</f>
        <v>0</v>
      </c>
      <c r="K854" s="446">
        <f t="shared" si="5"/>
        <v>0</v>
      </c>
      <c r="L854" s="446">
        <f t="shared" si="6"/>
        <v>0</v>
      </c>
      <c r="M854" s="441">
        <f>IF(L854&lt;O854,MinPoints,IF(AND(L854&gt;N854,O854&gt;0),100,+INT(($L854-O854)/P854)+MinPoints))</f>
        <v>10</v>
      </c>
      <c r="N854" s="440">
        <f t="shared" si="7"/>
        <v>4.9</v>
      </c>
      <c r="O854" s="440">
        <f t="shared" si="8"/>
        <v>2.2</v>
      </c>
      <c r="P854" s="440">
        <f t="shared" si="9"/>
        <v>0.03</v>
      </c>
      <c r="Q854">
        <f t="array" ref="Q854">IF(I854&gt;0,INDEX(DB,I854,9),EventIndex)</f>
        <v>6</v>
      </c>
      <c r="S854" s="447">
        <f t="array" ref="S854">INDEX(MINVALUES,$Q854,$K$1)</f>
        <v>2.2</v>
      </c>
      <c r="T854" s="448">
        <f t="array" ref="T854">INDEX(INCVALUES,$Q854,$K$1)</f>
        <v>0.03</v>
      </c>
      <c r="V854">
        <f t="array" ref="V854">+J854+(4*(INDEX(MatchScoreTable,$Q854,20)-1))</f>
        <v>4</v>
      </c>
      <c r="W854" s="442">
        <f t="array" ref="W854">INDEX(INC_MINVALUES,$V854,$K$1)</f>
        <v>0.2</v>
      </c>
      <c r="X854" s="212">
        <f t="array" ref="X854">INDEX(INC_INCVALUES,$V854,$K$1)</f>
        <v>0.02</v>
      </c>
    </row>
    <row r="855" ht="15.75" customHeight="1">
      <c r="A855" s="435"/>
      <c r="B855" s="436"/>
      <c r="C855" s="95" t="str">
        <f t="array" ref="C855">IF(I855&gt;0,INDEX(DB,I855,8),"")</f>
        <v/>
      </c>
      <c r="D855" s="437">
        <f t="shared" si="1"/>
        <v>0</v>
      </c>
      <c r="F855" s="438">
        <f t="shared" si="2"/>
        <v>0</v>
      </c>
      <c r="G855" t="str">
        <f t="shared" si="3"/>
        <v/>
      </c>
      <c r="H855" t="b">
        <f t="shared" si="4"/>
        <v>0</v>
      </c>
      <c r="I855" s="439">
        <f>IF(OR(ISBLANK(A855),ISNA(MATCH(A855&amp;"",AthleteNumbers,0))),0,MATCH(A855&amp;"",AthleteNumbers,0))</f>
        <v>0</v>
      </c>
      <c r="J855" s="209">
        <f t="array" ref="J855">IF(I855&gt;0,INDEX(DB,$I855,6),0)</f>
        <v>0</v>
      </c>
      <c r="K855" s="446">
        <f t="shared" si="5"/>
        <v>0</v>
      </c>
      <c r="L855" s="446">
        <f t="shared" si="6"/>
        <v>0</v>
      </c>
      <c r="M855" s="441">
        <f>IF(L855&lt;O855,MinPoints,IF(AND(L855&gt;N855,O855&gt;0),100,+INT(($L855-O855)/P855)+MinPoints))</f>
        <v>10</v>
      </c>
      <c r="N855" s="440">
        <f t="shared" si="7"/>
        <v>4.9</v>
      </c>
      <c r="O855" s="440">
        <f t="shared" si="8"/>
        <v>2.2</v>
      </c>
      <c r="P855" s="440">
        <f t="shared" si="9"/>
        <v>0.03</v>
      </c>
      <c r="Q855">
        <f t="array" ref="Q855">IF(I855&gt;0,INDEX(DB,I855,9),EventIndex)</f>
        <v>6</v>
      </c>
      <c r="S855" s="447">
        <f t="array" ref="S855">INDEX(MINVALUES,$Q855,$K$1)</f>
        <v>2.2</v>
      </c>
      <c r="T855" s="448">
        <f t="array" ref="T855">INDEX(INCVALUES,$Q855,$K$1)</f>
        <v>0.03</v>
      </c>
      <c r="V855">
        <f t="array" ref="V855">+J855+(4*(INDEX(MatchScoreTable,$Q855,20)-1))</f>
        <v>4</v>
      </c>
      <c r="W855" s="442">
        <f t="array" ref="W855">INDEX(INC_MINVALUES,$V855,$K$1)</f>
        <v>0.2</v>
      </c>
      <c r="X855" s="212">
        <f t="array" ref="X855">INDEX(INC_INCVALUES,$V855,$K$1)</f>
        <v>0.02</v>
      </c>
    </row>
    <row r="856" ht="15.75" customHeight="1">
      <c r="A856" s="435"/>
      <c r="B856" s="436"/>
      <c r="C856" s="95" t="str">
        <f t="array" ref="C856">IF(I856&gt;0,INDEX(DB,I856,8),"")</f>
        <v/>
      </c>
      <c r="D856" s="437">
        <f t="shared" si="1"/>
        <v>0</v>
      </c>
      <c r="F856" s="438">
        <f t="shared" si="2"/>
        <v>0</v>
      </c>
      <c r="G856" t="str">
        <f t="shared" si="3"/>
        <v/>
      </c>
      <c r="H856" t="b">
        <f t="shared" si="4"/>
        <v>0</v>
      </c>
      <c r="I856" s="439">
        <f>IF(OR(ISBLANK(A856),ISNA(MATCH(A856&amp;"",AthleteNumbers,0))),0,MATCH(A856&amp;"",AthleteNumbers,0))</f>
        <v>0</v>
      </c>
      <c r="J856" s="209">
        <f t="array" ref="J856">IF(I856&gt;0,INDEX(DB,$I856,6),0)</f>
        <v>0</v>
      </c>
      <c r="K856" s="446">
        <f t="shared" si="5"/>
        <v>0</v>
      </c>
      <c r="L856" s="446">
        <f t="shared" si="6"/>
        <v>0</v>
      </c>
      <c r="M856" s="441">
        <f>IF(L856&lt;O856,MinPoints,IF(AND(L856&gt;N856,O856&gt;0),100,+INT(($L856-O856)/P856)+MinPoints))</f>
        <v>10</v>
      </c>
      <c r="N856" s="440">
        <f t="shared" si="7"/>
        <v>4.9</v>
      </c>
      <c r="O856" s="440">
        <f t="shared" si="8"/>
        <v>2.2</v>
      </c>
      <c r="P856" s="440">
        <f t="shared" si="9"/>
        <v>0.03</v>
      </c>
      <c r="Q856">
        <f t="array" ref="Q856">IF(I856&gt;0,INDEX(DB,I856,9),EventIndex)</f>
        <v>6</v>
      </c>
      <c r="S856" s="447">
        <f t="array" ref="S856">INDEX(MINVALUES,$Q856,$K$1)</f>
        <v>2.2</v>
      </c>
      <c r="T856" s="448">
        <f t="array" ref="T856">INDEX(INCVALUES,$Q856,$K$1)</f>
        <v>0.03</v>
      </c>
      <c r="V856">
        <f t="array" ref="V856">+J856+(4*(INDEX(MatchScoreTable,$Q856,20)-1))</f>
        <v>4</v>
      </c>
      <c r="W856" s="442">
        <f t="array" ref="W856">INDEX(INC_MINVALUES,$V856,$K$1)</f>
        <v>0.2</v>
      </c>
      <c r="X856" s="212">
        <f t="array" ref="X856">INDEX(INC_INCVALUES,$V856,$K$1)</f>
        <v>0.02</v>
      </c>
    </row>
    <row r="857" ht="15.75" customHeight="1">
      <c r="A857" s="435"/>
      <c r="B857" s="436"/>
      <c r="C857" s="95" t="str">
        <f t="array" ref="C857">IF(I857&gt;0,INDEX(DB,I857,8),"")</f>
        <v/>
      </c>
      <c r="D857" s="437">
        <f t="shared" si="1"/>
        <v>0</v>
      </c>
      <c r="F857" s="438">
        <f t="shared" si="2"/>
        <v>0</v>
      </c>
      <c r="G857" t="str">
        <f t="shared" si="3"/>
        <v/>
      </c>
      <c r="H857" t="b">
        <f t="shared" si="4"/>
        <v>0</v>
      </c>
      <c r="I857" s="439">
        <f>IF(OR(ISBLANK(A857),ISNA(MATCH(A857&amp;"",AthleteNumbers,0))),0,MATCH(A857&amp;"",AthleteNumbers,0))</f>
        <v>0</v>
      </c>
      <c r="J857" s="209">
        <f t="array" ref="J857">IF(I857&gt;0,INDEX(DB,$I857,6),0)</f>
        <v>0</v>
      </c>
      <c r="K857" s="446">
        <f t="shared" si="5"/>
        <v>0</v>
      </c>
      <c r="L857" s="446">
        <f t="shared" si="6"/>
        <v>0</v>
      </c>
      <c r="M857" s="441">
        <f>IF(L857&lt;O857,MinPoints,IF(AND(L857&gt;N857,O857&gt;0),100,+INT(($L857-O857)/P857)+MinPoints))</f>
        <v>10</v>
      </c>
      <c r="N857" s="440">
        <f t="shared" si="7"/>
        <v>4.9</v>
      </c>
      <c r="O857" s="440">
        <f t="shared" si="8"/>
        <v>2.2</v>
      </c>
      <c r="P857" s="440">
        <f t="shared" si="9"/>
        <v>0.03</v>
      </c>
      <c r="Q857">
        <f t="array" ref="Q857">IF(I857&gt;0,INDEX(DB,I857,9),EventIndex)</f>
        <v>6</v>
      </c>
      <c r="S857" s="447">
        <f t="array" ref="S857">INDEX(MINVALUES,$Q857,$K$1)</f>
        <v>2.2</v>
      </c>
      <c r="T857" s="448">
        <f t="array" ref="T857">INDEX(INCVALUES,$Q857,$K$1)</f>
        <v>0.03</v>
      </c>
      <c r="V857">
        <f t="array" ref="V857">+J857+(4*(INDEX(MatchScoreTable,$Q857,20)-1))</f>
        <v>4</v>
      </c>
      <c r="W857" s="442">
        <f t="array" ref="W857">INDEX(INC_MINVALUES,$V857,$K$1)</f>
        <v>0.2</v>
      </c>
      <c r="X857" s="212">
        <f t="array" ref="X857">INDEX(INC_INCVALUES,$V857,$K$1)</f>
        <v>0.02</v>
      </c>
    </row>
    <row r="858" ht="15.75" customHeight="1">
      <c r="A858" s="435"/>
      <c r="B858" s="436"/>
      <c r="C858" s="95" t="str">
        <f t="array" ref="C858">IF(I858&gt;0,INDEX(DB,I858,8),"")</f>
        <v/>
      </c>
      <c r="D858" s="437">
        <f t="shared" si="1"/>
        <v>0</v>
      </c>
      <c r="F858" s="438">
        <f t="shared" si="2"/>
        <v>0</v>
      </c>
      <c r="G858" t="str">
        <f t="shared" si="3"/>
        <v/>
      </c>
      <c r="H858" t="b">
        <f t="shared" si="4"/>
        <v>0</v>
      </c>
      <c r="I858" s="439">
        <f>IF(OR(ISBLANK(A858),ISNA(MATCH(A858&amp;"",AthleteNumbers,0))),0,MATCH(A858&amp;"",AthleteNumbers,0))</f>
        <v>0</v>
      </c>
      <c r="J858" s="209">
        <f t="array" ref="J858">IF(I858&gt;0,INDEX(DB,$I858,6),0)</f>
        <v>0</v>
      </c>
      <c r="K858" s="446">
        <f t="shared" si="5"/>
        <v>0</v>
      </c>
      <c r="L858" s="446">
        <f t="shared" si="6"/>
        <v>0</v>
      </c>
      <c r="M858" s="441">
        <f>IF(L858&lt;O858,MinPoints,IF(AND(L858&gt;N858,O858&gt;0),100,+INT(($L858-O858)/P858)+MinPoints))</f>
        <v>10</v>
      </c>
      <c r="N858" s="440">
        <f t="shared" si="7"/>
        <v>4.9</v>
      </c>
      <c r="O858" s="440">
        <f t="shared" si="8"/>
        <v>2.2</v>
      </c>
      <c r="P858" s="440">
        <f t="shared" si="9"/>
        <v>0.03</v>
      </c>
      <c r="Q858">
        <f t="array" ref="Q858">IF(I858&gt;0,INDEX(DB,I858,9),EventIndex)</f>
        <v>6</v>
      </c>
      <c r="S858" s="447">
        <f t="array" ref="S858">INDEX(MINVALUES,$Q858,$K$1)</f>
        <v>2.2</v>
      </c>
      <c r="T858" s="448">
        <f t="array" ref="T858">INDEX(INCVALUES,$Q858,$K$1)</f>
        <v>0.03</v>
      </c>
      <c r="V858">
        <f t="array" ref="V858">+J858+(4*(INDEX(MatchScoreTable,$Q858,20)-1))</f>
        <v>4</v>
      </c>
      <c r="W858" s="442">
        <f t="array" ref="W858">INDEX(INC_MINVALUES,$V858,$K$1)</f>
        <v>0.2</v>
      </c>
      <c r="X858" s="212">
        <f t="array" ref="X858">INDEX(INC_INCVALUES,$V858,$K$1)</f>
        <v>0.02</v>
      </c>
    </row>
    <row r="859" ht="15.75" customHeight="1">
      <c r="A859" s="435"/>
      <c r="B859" s="436"/>
      <c r="C859" s="95" t="str">
        <f t="array" ref="C859">IF(I859&gt;0,INDEX(DB,I859,8),"")</f>
        <v/>
      </c>
      <c r="D859" s="437">
        <f t="shared" si="1"/>
        <v>0</v>
      </c>
      <c r="F859" s="438">
        <f t="shared" si="2"/>
        <v>0</v>
      </c>
      <c r="G859" t="str">
        <f t="shared" si="3"/>
        <v/>
      </c>
      <c r="H859" t="b">
        <f t="shared" si="4"/>
        <v>0</v>
      </c>
      <c r="I859" s="439">
        <f>IF(OR(ISBLANK(A859),ISNA(MATCH(A859&amp;"",AthleteNumbers,0))),0,MATCH(A859&amp;"",AthleteNumbers,0))</f>
        <v>0</v>
      </c>
      <c r="J859" s="209">
        <f t="array" ref="J859">IF(I859&gt;0,INDEX(DB,$I859,6),0)</f>
        <v>0</v>
      </c>
      <c r="K859" s="446">
        <f t="shared" si="5"/>
        <v>0</v>
      </c>
      <c r="L859" s="446">
        <f t="shared" si="6"/>
        <v>0</v>
      </c>
      <c r="M859" s="441">
        <f>IF(L859&lt;O859,MinPoints,IF(AND(L859&gt;N859,O859&gt;0),100,+INT(($L859-O859)/P859)+MinPoints))</f>
        <v>10</v>
      </c>
      <c r="N859" s="440">
        <f t="shared" si="7"/>
        <v>4.9</v>
      </c>
      <c r="O859" s="440">
        <f t="shared" si="8"/>
        <v>2.2</v>
      </c>
      <c r="P859" s="440">
        <f t="shared" si="9"/>
        <v>0.03</v>
      </c>
      <c r="Q859">
        <f t="array" ref="Q859">IF(I859&gt;0,INDEX(DB,I859,9),EventIndex)</f>
        <v>6</v>
      </c>
      <c r="S859" s="447">
        <f t="array" ref="S859">INDEX(MINVALUES,$Q859,$K$1)</f>
        <v>2.2</v>
      </c>
      <c r="T859" s="448">
        <f t="array" ref="T859">INDEX(INCVALUES,$Q859,$K$1)</f>
        <v>0.03</v>
      </c>
      <c r="V859">
        <f t="array" ref="V859">+J859+(4*(INDEX(MatchScoreTable,$Q859,20)-1))</f>
        <v>4</v>
      </c>
      <c r="W859" s="442">
        <f t="array" ref="W859">INDEX(INC_MINVALUES,$V859,$K$1)</f>
        <v>0.2</v>
      </c>
      <c r="X859" s="212">
        <f t="array" ref="X859">INDEX(INC_INCVALUES,$V859,$K$1)</f>
        <v>0.02</v>
      </c>
    </row>
    <row r="860" ht="15.75" customHeight="1">
      <c r="A860" s="435"/>
      <c r="B860" s="436"/>
      <c r="C860" s="95" t="str">
        <f t="array" ref="C860">IF(I860&gt;0,INDEX(DB,I860,8),"")</f>
        <v/>
      </c>
      <c r="D860" s="437">
        <f t="shared" si="1"/>
        <v>0</v>
      </c>
      <c r="F860" s="438">
        <f t="shared" si="2"/>
        <v>0</v>
      </c>
      <c r="G860" t="str">
        <f t="shared" si="3"/>
        <v/>
      </c>
      <c r="H860" t="b">
        <f t="shared" si="4"/>
        <v>0</v>
      </c>
      <c r="I860" s="439">
        <f>IF(OR(ISBLANK(A860),ISNA(MATCH(A860&amp;"",AthleteNumbers,0))),0,MATCH(A860&amp;"",AthleteNumbers,0))</f>
        <v>0</v>
      </c>
      <c r="J860" s="209">
        <f t="array" ref="J860">IF(I860&gt;0,INDEX(DB,$I860,6),0)</f>
        <v>0</v>
      </c>
      <c r="K860" s="446">
        <f t="shared" si="5"/>
        <v>0</v>
      </c>
      <c r="L860" s="446">
        <f t="shared" si="6"/>
        <v>0</v>
      </c>
      <c r="M860" s="441">
        <f>IF(L860&lt;O860,MinPoints,IF(AND(L860&gt;N860,O860&gt;0),100,+INT(($L860-O860)/P860)+MinPoints))</f>
        <v>10</v>
      </c>
      <c r="N860" s="440">
        <f t="shared" si="7"/>
        <v>4.9</v>
      </c>
      <c r="O860" s="440">
        <f t="shared" si="8"/>
        <v>2.2</v>
      </c>
      <c r="P860" s="440">
        <f t="shared" si="9"/>
        <v>0.03</v>
      </c>
      <c r="Q860">
        <f t="array" ref="Q860">IF(I860&gt;0,INDEX(DB,I860,9),EventIndex)</f>
        <v>6</v>
      </c>
      <c r="S860" s="447">
        <f t="array" ref="S860">INDEX(MINVALUES,$Q860,$K$1)</f>
        <v>2.2</v>
      </c>
      <c r="T860" s="448">
        <f t="array" ref="T860">INDEX(INCVALUES,$Q860,$K$1)</f>
        <v>0.03</v>
      </c>
      <c r="V860">
        <f t="array" ref="V860">+J860+(4*(INDEX(MatchScoreTable,$Q860,20)-1))</f>
        <v>4</v>
      </c>
      <c r="W860" s="442">
        <f t="array" ref="W860">INDEX(INC_MINVALUES,$V860,$K$1)</f>
        <v>0.2</v>
      </c>
      <c r="X860" s="212">
        <f t="array" ref="X860">INDEX(INC_INCVALUES,$V860,$K$1)</f>
        <v>0.02</v>
      </c>
    </row>
    <row r="861" ht="15.75" customHeight="1">
      <c r="A861" s="435"/>
      <c r="B861" s="436"/>
      <c r="C861" s="95" t="str">
        <f t="array" ref="C861">IF(I861&gt;0,INDEX(DB,I861,8),"")</f>
        <v/>
      </c>
      <c r="D861" s="437">
        <f t="shared" si="1"/>
        <v>0</v>
      </c>
      <c r="F861" s="438">
        <f t="shared" si="2"/>
        <v>0</v>
      </c>
      <c r="G861" t="str">
        <f t="shared" si="3"/>
        <v/>
      </c>
      <c r="H861" t="b">
        <f t="shared" si="4"/>
        <v>0</v>
      </c>
      <c r="I861" s="439">
        <f>IF(OR(ISBLANK(A861),ISNA(MATCH(A861&amp;"",AthleteNumbers,0))),0,MATCH(A861&amp;"",AthleteNumbers,0))</f>
        <v>0</v>
      </c>
      <c r="J861" s="209">
        <f t="array" ref="J861">IF(I861&gt;0,INDEX(DB,$I861,6),0)</f>
        <v>0</v>
      </c>
      <c r="K861" s="446">
        <f t="shared" si="5"/>
        <v>0</v>
      </c>
      <c r="L861" s="446">
        <f t="shared" si="6"/>
        <v>0</v>
      </c>
      <c r="M861" s="441">
        <f>IF(L861&lt;O861,MinPoints,IF(AND(L861&gt;N861,O861&gt;0),100,+INT(($L861-O861)/P861)+MinPoints))</f>
        <v>10</v>
      </c>
      <c r="N861" s="440">
        <f t="shared" si="7"/>
        <v>4.9</v>
      </c>
      <c r="O861" s="440">
        <f t="shared" si="8"/>
        <v>2.2</v>
      </c>
      <c r="P861" s="440">
        <f t="shared" si="9"/>
        <v>0.03</v>
      </c>
      <c r="Q861">
        <f t="array" ref="Q861">IF(I861&gt;0,INDEX(DB,I861,9),EventIndex)</f>
        <v>6</v>
      </c>
      <c r="S861" s="447">
        <f t="array" ref="S861">INDEX(MINVALUES,$Q861,$K$1)</f>
        <v>2.2</v>
      </c>
      <c r="T861" s="448">
        <f t="array" ref="T861">INDEX(INCVALUES,$Q861,$K$1)</f>
        <v>0.03</v>
      </c>
      <c r="V861">
        <f t="array" ref="V861">+J861+(4*(INDEX(MatchScoreTable,$Q861,20)-1))</f>
        <v>4</v>
      </c>
      <c r="W861" s="442">
        <f t="array" ref="W861">INDEX(INC_MINVALUES,$V861,$K$1)</f>
        <v>0.2</v>
      </c>
      <c r="X861" s="212">
        <f t="array" ref="X861">INDEX(INC_INCVALUES,$V861,$K$1)</f>
        <v>0.02</v>
      </c>
    </row>
    <row r="862" ht="15.75" customHeight="1">
      <c r="A862" s="435"/>
      <c r="B862" s="436"/>
      <c r="C862" s="95" t="str">
        <f t="array" ref="C862">IF(I862&gt;0,INDEX(DB,I862,8),"")</f>
        <v/>
      </c>
      <c r="D862" s="437">
        <f t="shared" si="1"/>
        <v>0</v>
      </c>
      <c r="F862" s="438">
        <f t="shared" si="2"/>
        <v>0</v>
      </c>
      <c r="G862" t="str">
        <f t="shared" si="3"/>
        <v/>
      </c>
      <c r="H862" t="b">
        <f t="shared" si="4"/>
        <v>0</v>
      </c>
      <c r="I862" s="439">
        <f>IF(OR(ISBLANK(A862),ISNA(MATCH(A862&amp;"",AthleteNumbers,0))),0,MATCH(A862&amp;"",AthleteNumbers,0))</f>
        <v>0</v>
      </c>
      <c r="J862" s="209">
        <f t="array" ref="J862">IF(I862&gt;0,INDEX(DB,$I862,6),0)</f>
        <v>0</v>
      </c>
      <c r="K862" s="446">
        <f t="shared" si="5"/>
        <v>0</v>
      </c>
      <c r="L862" s="446">
        <f t="shared" si="6"/>
        <v>0</v>
      </c>
      <c r="M862" s="441">
        <f>IF(L862&lt;O862,MinPoints,IF(AND(L862&gt;N862,O862&gt;0),100,+INT(($L862-O862)/P862)+MinPoints))</f>
        <v>10</v>
      </c>
      <c r="N862" s="440">
        <f t="shared" si="7"/>
        <v>4.9</v>
      </c>
      <c r="O862" s="440">
        <f t="shared" si="8"/>
        <v>2.2</v>
      </c>
      <c r="P862" s="440">
        <f t="shared" si="9"/>
        <v>0.03</v>
      </c>
      <c r="Q862">
        <f t="array" ref="Q862">IF(I862&gt;0,INDEX(DB,I862,9),EventIndex)</f>
        <v>6</v>
      </c>
      <c r="S862" s="447">
        <f t="array" ref="S862">INDEX(MINVALUES,$Q862,$K$1)</f>
        <v>2.2</v>
      </c>
      <c r="T862" s="448">
        <f t="array" ref="T862">INDEX(INCVALUES,$Q862,$K$1)</f>
        <v>0.03</v>
      </c>
      <c r="V862">
        <f t="array" ref="V862">+J862+(4*(INDEX(MatchScoreTable,$Q862,20)-1))</f>
        <v>4</v>
      </c>
      <c r="W862" s="442">
        <f t="array" ref="W862">INDEX(INC_MINVALUES,$V862,$K$1)</f>
        <v>0.2</v>
      </c>
      <c r="X862" s="212">
        <f t="array" ref="X862">INDEX(INC_INCVALUES,$V862,$K$1)</f>
        <v>0.02</v>
      </c>
    </row>
    <row r="863" ht="15.75" customHeight="1">
      <c r="A863" s="435"/>
      <c r="B863" s="436"/>
      <c r="C863" s="95" t="str">
        <f t="array" ref="C863">IF(I863&gt;0,INDEX(DB,I863,8),"")</f>
        <v/>
      </c>
      <c r="D863" s="437">
        <f t="shared" si="1"/>
        <v>0</v>
      </c>
      <c r="F863" s="438">
        <f t="shared" si="2"/>
        <v>0</v>
      </c>
      <c r="G863" t="str">
        <f t="shared" si="3"/>
        <v/>
      </c>
      <c r="H863" t="b">
        <f t="shared" si="4"/>
        <v>0</v>
      </c>
      <c r="I863" s="439">
        <f>IF(OR(ISBLANK(A863),ISNA(MATCH(A863&amp;"",AthleteNumbers,0))),0,MATCH(A863&amp;"",AthleteNumbers,0))</f>
        <v>0</v>
      </c>
      <c r="J863" s="209">
        <f t="array" ref="J863">IF(I863&gt;0,INDEX(DB,$I863,6),0)</f>
        <v>0</v>
      </c>
      <c r="K863" s="446">
        <f t="shared" si="5"/>
        <v>0</v>
      </c>
      <c r="L863" s="446">
        <f t="shared" si="6"/>
        <v>0</v>
      </c>
      <c r="M863" s="441">
        <f>IF(L863&lt;O863,MinPoints,IF(AND(L863&gt;N863,O863&gt;0),100,+INT(($L863-O863)/P863)+MinPoints))</f>
        <v>10</v>
      </c>
      <c r="N863" s="440">
        <f t="shared" si="7"/>
        <v>4.9</v>
      </c>
      <c r="O863" s="440">
        <f t="shared" si="8"/>
        <v>2.2</v>
      </c>
      <c r="P863" s="440">
        <f t="shared" si="9"/>
        <v>0.03</v>
      </c>
      <c r="Q863">
        <f t="array" ref="Q863">IF(I863&gt;0,INDEX(DB,I863,9),EventIndex)</f>
        <v>6</v>
      </c>
      <c r="S863" s="447">
        <f t="array" ref="S863">INDEX(MINVALUES,$Q863,$K$1)</f>
        <v>2.2</v>
      </c>
      <c r="T863" s="448">
        <f t="array" ref="T863">INDEX(INCVALUES,$Q863,$K$1)</f>
        <v>0.03</v>
      </c>
      <c r="V863">
        <f t="array" ref="V863">+J863+(4*(INDEX(MatchScoreTable,$Q863,20)-1))</f>
        <v>4</v>
      </c>
      <c r="W863" s="442">
        <f t="array" ref="W863">INDEX(INC_MINVALUES,$V863,$K$1)</f>
        <v>0.2</v>
      </c>
      <c r="X863" s="212">
        <f t="array" ref="X863">INDEX(INC_INCVALUES,$V863,$K$1)</f>
        <v>0.02</v>
      </c>
    </row>
    <row r="864" ht="15.75" customHeight="1">
      <c r="A864" s="435"/>
      <c r="B864" s="436"/>
      <c r="C864" s="95" t="str">
        <f t="array" ref="C864">IF(I864&gt;0,INDEX(DB,I864,8),"")</f>
        <v/>
      </c>
      <c r="D864" s="437">
        <f t="shared" si="1"/>
        <v>0</v>
      </c>
      <c r="F864" s="438">
        <f t="shared" si="2"/>
        <v>0</v>
      </c>
      <c r="G864" t="str">
        <f t="shared" si="3"/>
        <v/>
      </c>
      <c r="H864" t="b">
        <f t="shared" si="4"/>
        <v>0</v>
      </c>
      <c r="I864" s="439">
        <f>IF(OR(ISBLANK(A864),ISNA(MATCH(A864&amp;"",AthleteNumbers,0))),0,MATCH(A864&amp;"",AthleteNumbers,0))</f>
        <v>0</v>
      </c>
      <c r="J864" s="209">
        <f t="array" ref="J864">IF(I864&gt;0,INDEX(DB,$I864,6),0)</f>
        <v>0</v>
      </c>
      <c r="K864" s="446">
        <f t="shared" si="5"/>
        <v>0</v>
      </c>
      <c r="L864" s="446">
        <f t="shared" si="6"/>
        <v>0</v>
      </c>
      <c r="M864" s="441">
        <f>IF(L864&lt;O864,MinPoints,IF(AND(L864&gt;N864,O864&gt;0),100,+INT(($L864-O864)/P864)+MinPoints))</f>
        <v>10</v>
      </c>
      <c r="N864" s="440">
        <f t="shared" si="7"/>
        <v>4.9</v>
      </c>
      <c r="O864" s="440">
        <f t="shared" si="8"/>
        <v>2.2</v>
      </c>
      <c r="P864" s="440">
        <f t="shared" si="9"/>
        <v>0.03</v>
      </c>
      <c r="Q864">
        <f t="array" ref="Q864">IF(I864&gt;0,INDEX(DB,I864,9),EventIndex)</f>
        <v>6</v>
      </c>
      <c r="S864" s="447">
        <f t="array" ref="S864">INDEX(MINVALUES,$Q864,$K$1)</f>
        <v>2.2</v>
      </c>
      <c r="T864" s="448">
        <f t="array" ref="T864">INDEX(INCVALUES,$Q864,$K$1)</f>
        <v>0.03</v>
      </c>
      <c r="V864">
        <f t="array" ref="V864">+J864+(4*(INDEX(MatchScoreTable,$Q864,20)-1))</f>
        <v>4</v>
      </c>
      <c r="W864" s="442">
        <f t="array" ref="W864">INDEX(INC_MINVALUES,$V864,$K$1)</f>
        <v>0.2</v>
      </c>
      <c r="X864" s="212">
        <f t="array" ref="X864">INDEX(INC_INCVALUES,$V864,$K$1)</f>
        <v>0.02</v>
      </c>
    </row>
    <row r="865" ht="15.75" customHeight="1">
      <c r="A865" s="435"/>
      <c r="B865" s="436"/>
      <c r="C865" s="95" t="str">
        <f t="array" ref="C865">IF(I865&gt;0,INDEX(DB,I865,8),"")</f>
        <v/>
      </c>
      <c r="D865" s="437">
        <f t="shared" si="1"/>
        <v>0</v>
      </c>
      <c r="F865" s="438">
        <f t="shared" si="2"/>
        <v>0</v>
      </c>
      <c r="G865" t="str">
        <f t="shared" si="3"/>
        <v/>
      </c>
      <c r="H865" t="b">
        <f t="shared" si="4"/>
        <v>0</v>
      </c>
      <c r="I865" s="439">
        <f>IF(OR(ISBLANK(A865),ISNA(MATCH(A865&amp;"",AthleteNumbers,0))),0,MATCH(A865&amp;"",AthleteNumbers,0))</f>
        <v>0</v>
      </c>
      <c r="J865" s="209">
        <f t="array" ref="J865">IF(I865&gt;0,INDEX(DB,$I865,6),0)</f>
        <v>0</v>
      </c>
      <c r="K865" s="446">
        <f t="shared" si="5"/>
        <v>0</v>
      </c>
      <c r="L865" s="446">
        <f t="shared" si="6"/>
        <v>0</v>
      </c>
      <c r="M865" s="441">
        <f>IF(L865&lt;O865,MinPoints,IF(AND(L865&gt;N865,O865&gt;0),100,+INT(($L865-O865)/P865)+MinPoints))</f>
        <v>10</v>
      </c>
      <c r="N865" s="440">
        <f t="shared" si="7"/>
        <v>4.9</v>
      </c>
      <c r="O865" s="440">
        <f t="shared" si="8"/>
        <v>2.2</v>
      </c>
      <c r="P865" s="440">
        <f t="shared" si="9"/>
        <v>0.03</v>
      </c>
      <c r="Q865">
        <f t="array" ref="Q865">IF(I865&gt;0,INDEX(DB,I865,9),EventIndex)</f>
        <v>6</v>
      </c>
      <c r="S865" s="447">
        <f t="array" ref="S865">INDEX(MINVALUES,$Q865,$K$1)</f>
        <v>2.2</v>
      </c>
      <c r="T865" s="448">
        <f t="array" ref="T865">INDEX(INCVALUES,$Q865,$K$1)</f>
        <v>0.03</v>
      </c>
      <c r="V865">
        <f t="array" ref="V865">+J865+(4*(INDEX(MatchScoreTable,$Q865,20)-1))</f>
        <v>4</v>
      </c>
      <c r="W865" s="442">
        <f t="array" ref="W865">INDEX(INC_MINVALUES,$V865,$K$1)</f>
        <v>0.2</v>
      </c>
      <c r="X865" s="212">
        <f t="array" ref="X865">INDEX(INC_INCVALUES,$V865,$K$1)</f>
        <v>0.02</v>
      </c>
    </row>
    <row r="866" ht="15.75" customHeight="1">
      <c r="A866" s="435"/>
      <c r="B866" s="436"/>
      <c r="C866" s="95" t="str">
        <f t="array" ref="C866">IF(I866&gt;0,INDEX(DB,I866,8),"")</f>
        <v/>
      </c>
      <c r="D866" s="437">
        <f t="shared" si="1"/>
        <v>0</v>
      </c>
      <c r="F866" s="438">
        <f t="shared" si="2"/>
        <v>0</v>
      </c>
      <c r="G866" t="str">
        <f t="shared" si="3"/>
        <v/>
      </c>
      <c r="H866" t="b">
        <f t="shared" si="4"/>
        <v>0</v>
      </c>
      <c r="I866" s="439">
        <f>IF(OR(ISBLANK(A866),ISNA(MATCH(A866&amp;"",AthleteNumbers,0))),0,MATCH(A866&amp;"",AthleteNumbers,0))</f>
        <v>0</v>
      </c>
      <c r="J866" s="209">
        <f t="array" ref="J866">IF(I866&gt;0,INDEX(DB,$I866,6),0)</f>
        <v>0</v>
      </c>
      <c r="K866" s="446">
        <f t="shared" si="5"/>
        <v>0</v>
      </c>
      <c r="L866" s="446">
        <f t="shared" si="6"/>
        <v>0</v>
      </c>
      <c r="M866" s="441">
        <f>IF(L866&lt;O866,MinPoints,IF(AND(L866&gt;N866,O866&gt;0),100,+INT(($L866-O866)/P866)+MinPoints))</f>
        <v>10</v>
      </c>
      <c r="N866" s="440">
        <f t="shared" si="7"/>
        <v>4.9</v>
      </c>
      <c r="O866" s="440">
        <f t="shared" si="8"/>
        <v>2.2</v>
      </c>
      <c r="P866" s="440">
        <f t="shared" si="9"/>
        <v>0.03</v>
      </c>
      <c r="Q866">
        <f t="array" ref="Q866">IF(I866&gt;0,INDEX(DB,I866,9),EventIndex)</f>
        <v>6</v>
      </c>
      <c r="S866" s="447">
        <f t="array" ref="S866">INDEX(MINVALUES,$Q866,$K$1)</f>
        <v>2.2</v>
      </c>
      <c r="T866" s="448">
        <f t="array" ref="T866">INDEX(INCVALUES,$Q866,$K$1)</f>
        <v>0.03</v>
      </c>
      <c r="V866">
        <f t="array" ref="V866">+J866+(4*(INDEX(MatchScoreTable,$Q866,20)-1))</f>
        <v>4</v>
      </c>
      <c r="W866" s="442">
        <f t="array" ref="W866">INDEX(INC_MINVALUES,$V866,$K$1)</f>
        <v>0.2</v>
      </c>
      <c r="X866" s="212">
        <f t="array" ref="X866">INDEX(INC_INCVALUES,$V866,$K$1)</f>
        <v>0.02</v>
      </c>
    </row>
    <row r="867" ht="15.75" customHeight="1">
      <c r="A867" s="435"/>
      <c r="B867" s="436"/>
      <c r="C867" s="95" t="str">
        <f t="array" ref="C867">IF(I867&gt;0,INDEX(DB,I867,8),"")</f>
        <v/>
      </c>
      <c r="D867" s="437">
        <f t="shared" si="1"/>
        <v>0</v>
      </c>
      <c r="F867" s="438">
        <f t="shared" si="2"/>
        <v>0</v>
      </c>
      <c r="G867" t="str">
        <f t="shared" si="3"/>
        <v/>
      </c>
      <c r="H867" t="b">
        <f t="shared" si="4"/>
        <v>0</v>
      </c>
      <c r="I867" s="439">
        <f>IF(OR(ISBLANK(A867),ISNA(MATCH(A867&amp;"",AthleteNumbers,0))),0,MATCH(A867&amp;"",AthleteNumbers,0))</f>
        <v>0</v>
      </c>
      <c r="J867" s="209">
        <f t="array" ref="J867">IF(I867&gt;0,INDEX(DB,$I867,6),0)</f>
        <v>0</v>
      </c>
      <c r="K867" s="446">
        <f t="shared" si="5"/>
        <v>0</v>
      </c>
      <c r="L867" s="446">
        <f t="shared" si="6"/>
        <v>0</v>
      </c>
      <c r="M867" s="441">
        <f>IF(L867&lt;O867,MinPoints,IF(AND(L867&gt;N867,O867&gt;0),100,+INT(($L867-O867)/P867)+MinPoints))</f>
        <v>10</v>
      </c>
      <c r="N867" s="440">
        <f t="shared" si="7"/>
        <v>4.9</v>
      </c>
      <c r="O867" s="440">
        <f t="shared" si="8"/>
        <v>2.2</v>
      </c>
      <c r="P867" s="440">
        <f t="shared" si="9"/>
        <v>0.03</v>
      </c>
      <c r="Q867">
        <f t="array" ref="Q867">IF(I867&gt;0,INDEX(DB,I867,9),EventIndex)</f>
        <v>6</v>
      </c>
      <c r="S867" s="447">
        <f t="array" ref="S867">INDEX(MINVALUES,$Q867,$K$1)</f>
        <v>2.2</v>
      </c>
      <c r="T867" s="448">
        <f t="array" ref="T867">INDEX(INCVALUES,$Q867,$K$1)</f>
        <v>0.03</v>
      </c>
      <c r="V867">
        <f t="array" ref="V867">+J867+(4*(INDEX(MatchScoreTable,$Q867,20)-1))</f>
        <v>4</v>
      </c>
      <c r="W867" s="442">
        <f t="array" ref="W867">INDEX(INC_MINVALUES,$V867,$K$1)</f>
        <v>0.2</v>
      </c>
      <c r="X867" s="212">
        <f t="array" ref="X867">INDEX(INC_INCVALUES,$V867,$K$1)</f>
        <v>0.02</v>
      </c>
    </row>
    <row r="868" ht="15.75" customHeight="1">
      <c r="A868" s="435"/>
      <c r="B868" s="436"/>
      <c r="C868" s="95" t="str">
        <f t="array" ref="C868">IF(I868&gt;0,INDEX(DB,I868,8),"")</f>
        <v/>
      </c>
      <c r="D868" s="437">
        <f t="shared" si="1"/>
        <v>0</v>
      </c>
      <c r="F868" s="438">
        <f t="shared" si="2"/>
        <v>0</v>
      </c>
      <c r="G868" t="str">
        <f t="shared" si="3"/>
        <v/>
      </c>
      <c r="H868" t="b">
        <f t="shared" si="4"/>
        <v>0</v>
      </c>
      <c r="I868" s="439">
        <f>IF(OR(ISBLANK(A868),ISNA(MATCH(A868&amp;"",AthleteNumbers,0))),0,MATCH(A868&amp;"",AthleteNumbers,0))</f>
        <v>0</v>
      </c>
      <c r="J868" s="209">
        <f t="array" ref="J868">IF(I868&gt;0,INDEX(DB,$I868,6),0)</f>
        <v>0</v>
      </c>
      <c r="K868" s="446">
        <f t="shared" si="5"/>
        <v>0</v>
      </c>
      <c r="L868" s="446">
        <f t="shared" si="6"/>
        <v>0</v>
      </c>
      <c r="M868" s="441">
        <f>IF(L868&lt;O868,MinPoints,IF(AND(L868&gt;N868,O868&gt;0),100,+INT(($L868-O868)/P868)+MinPoints))</f>
        <v>10</v>
      </c>
      <c r="N868" s="440">
        <f t="shared" si="7"/>
        <v>4.9</v>
      </c>
      <c r="O868" s="440">
        <f t="shared" si="8"/>
        <v>2.2</v>
      </c>
      <c r="P868" s="440">
        <f t="shared" si="9"/>
        <v>0.03</v>
      </c>
      <c r="Q868">
        <f t="array" ref="Q868">IF(I868&gt;0,INDEX(DB,I868,9),EventIndex)</f>
        <v>6</v>
      </c>
      <c r="S868" s="447">
        <f t="array" ref="S868">INDEX(MINVALUES,$Q868,$K$1)</f>
        <v>2.2</v>
      </c>
      <c r="T868" s="448">
        <f t="array" ref="T868">INDEX(INCVALUES,$Q868,$K$1)</f>
        <v>0.03</v>
      </c>
      <c r="V868">
        <f t="array" ref="V868">+J868+(4*(INDEX(MatchScoreTable,$Q868,20)-1))</f>
        <v>4</v>
      </c>
      <c r="W868" s="442">
        <f t="array" ref="W868">INDEX(INC_MINVALUES,$V868,$K$1)</f>
        <v>0.2</v>
      </c>
      <c r="X868" s="212">
        <f t="array" ref="X868">INDEX(INC_INCVALUES,$V868,$K$1)</f>
        <v>0.02</v>
      </c>
    </row>
    <row r="869" ht="15.75" customHeight="1">
      <c r="A869" s="435"/>
      <c r="B869" s="436"/>
      <c r="C869" s="95" t="str">
        <f t="array" ref="C869">IF(I869&gt;0,INDEX(DB,I869,8),"")</f>
        <v/>
      </c>
      <c r="D869" s="437">
        <f t="shared" si="1"/>
        <v>0</v>
      </c>
      <c r="F869" s="438">
        <f t="shared" si="2"/>
        <v>0</v>
      </c>
      <c r="G869" t="str">
        <f t="shared" si="3"/>
        <v/>
      </c>
      <c r="H869" t="b">
        <f t="shared" si="4"/>
        <v>0</v>
      </c>
      <c r="I869" s="439">
        <f>IF(OR(ISBLANK(A869),ISNA(MATCH(A869&amp;"",AthleteNumbers,0))),0,MATCH(A869&amp;"",AthleteNumbers,0))</f>
        <v>0</v>
      </c>
      <c r="J869" s="209">
        <f t="array" ref="J869">IF(I869&gt;0,INDEX(DB,$I869,6),0)</f>
        <v>0</v>
      </c>
      <c r="K869" s="446">
        <f t="shared" si="5"/>
        <v>0</v>
      </c>
      <c r="L869" s="446">
        <f t="shared" si="6"/>
        <v>0</v>
      </c>
      <c r="M869" s="441">
        <f>IF(L869&lt;O869,MinPoints,IF(AND(L869&gt;N869,O869&gt;0),100,+INT(($L869-O869)/P869)+MinPoints))</f>
        <v>10</v>
      </c>
      <c r="N869" s="440">
        <f t="shared" si="7"/>
        <v>4.9</v>
      </c>
      <c r="O869" s="440">
        <f t="shared" si="8"/>
        <v>2.2</v>
      </c>
      <c r="P869" s="440">
        <f t="shared" si="9"/>
        <v>0.03</v>
      </c>
      <c r="Q869">
        <f t="array" ref="Q869">IF(I869&gt;0,INDEX(DB,I869,9),EventIndex)</f>
        <v>6</v>
      </c>
      <c r="S869" s="447">
        <f t="array" ref="S869">INDEX(MINVALUES,$Q869,$K$1)</f>
        <v>2.2</v>
      </c>
      <c r="T869" s="448">
        <f t="array" ref="T869">INDEX(INCVALUES,$Q869,$K$1)</f>
        <v>0.03</v>
      </c>
      <c r="V869">
        <f t="array" ref="V869">+J869+(4*(INDEX(MatchScoreTable,$Q869,20)-1))</f>
        <v>4</v>
      </c>
      <c r="W869" s="442">
        <f t="array" ref="W869">INDEX(INC_MINVALUES,$V869,$K$1)</f>
        <v>0.2</v>
      </c>
      <c r="X869" s="212">
        <f t="array" ref="X869">INDEX(INC_INCVALUES,$V869,$K$1)</f>
        <v>0.02</v>
      </c>
    </row>
    <row r="870" ht="15.75" customHeight="1">
      <c r="A870" s="435"/>
      <c r="B870" s="436"/>
      <c r="C870" s="95" t="str">
        <f t="array" ref="C870">IF(I870&gt;0,INDEX(DB,I870,8),"")</f>
        <v/>
      </c>
      <c r="D870" s="437">
        <f t="shared" si="1"/>
        <v>0</v>
      </c>
      <c r="F870" s="438">
        <f t="shared" si="2"/>
        <v>0</v>
      </c>
      <c r="G870" t="str">
        <f t="shared" si="3"/>
        <v/>
      </c>
      <c r="H870" t="b">
        <f t="shared" si="4"/>
        <v>0</v>
      </c>
      <c r="I870" s="439">
        <f>IF(OR(ISBLANK(A870),ISNA(MATCH(A870&amp;"",AthleteNumbers,0))),0,MATCH(A870&amp;"",AthleteNumbers,0))</f>
        <v>0</v>
      </c>
      <c r="J870" s="209">
        <f t="array" ref="J870">IF(I870&gt;0,INDEX(DB,$I870,6),0)</f>
        <v>0</v>
      </c>
      <c r="K870" s="446">
        <f t="shared" si="5"/>
        <v>0</v>
      </c>
      <c r="L870" s="446">
        <f t="shared" si="6"/>
        <v>0</v>
      </c>
      <c r="M870" s="441">
        <f>IF(L870&lt;O870,MinPoints,IF(AND(L870&gt;N870,O870&gt;0),100,+INT(($L870-O870)/P870)+MinPoints))</f>
        <v>10</v>
      </c>
      <c r="N870" s="440">
        <f t="shared" si="7"/>
        <v>4.9</v>
      </c>
      <c r="O870" s="440">
        <f t="shared" si="8"/>
        <v>2.2</v>
      </c>
      <c r="P870" s="440">
        <f t="shared" si="9"/>
        <v>0.03</v>
      </c>
      <c r="Q870">
        <f t="array" ref="Q870">IF(I870&gt;0,INDEX(DB,I870,9),EventIndex)</f>
        <v>6</v>
      </c>
      <c r="S870" s="447">
        <f t="array" ref="S870">INDEX(MINVALUES,$Q870,$K$1)</f>
        <v>2.2</v>
      </c>
      <c r="T870" s="448">
        <f t="array" ref="T870">INDEX(INCVALUES,$Q870,$K$1)</f>
        <v>0.03</v>
      </c>
      <c r="V870">
        <f t="array" ref="V870">+J870+(4*(INDEX(MatchScoreTable,$Q870,20)-1))</f>
        <v>4</v>
      </c>
      <c r="W870" s="442">
        <f t="array" ref="W870">INDEX(INC_MINVALUES,$V870,$K$1)</f>
        <v>0.2</v>
      </c>
      <c r="X870" s="212">
        <f t="array" ref="X870">INDEX(INC_INCVALUES,$V870,$K$1)</f>
        <v>0.02</v>
      </c>
    </row>
    <row r="871" ht="15.75" customHeight="1">
      <c r="A871" s="435"/>
      <c r="B871" s="436"/>
      <c r="C871" s="95" t="str">
        <f t="array" ref="C871">IF(I871&gt;0,INDEX(DB,I871,8),"")</f>
        <v/>
      </c>
      <c r="D871" s="437">
        <f t="shared" si="1"/>
        <v>0</v>
      </c>
      <c r="F871" s="438">
        <f t="shared" si="2"/>
        <v>0</v>
      </c>
      <c r="G871" t="str">
        <f t="shared" si="3"/>
        <v/>
      </c>
      <c r="H871" t="b">
        <f t="shared" si="4"/>
        <v>0</v>
      </c>
      <c r="I871" s="439">
        <f>IF(OR(ISBLANK(A871),ISNA(MATCH(A871&amp;"",AthleteNumbers,0))),0,MATCH(A871&amp;"",AthleteNumbers,0))</f>
        <v>0</v>
      </c>
      <c r="J871" s="209">
        <f t="array" ref="J871">IF(I871&gt;0,INDEX(DB,$I871,6),0)</f>
        <v>0</v>
      </c>
      <c r="K871" s="446">
        <f t="shared" si="5"/>
        <v>0</v>
      </c>
      <c r="L871" s="446">
        <f t="shared" si="6"/>
        <v>0</v>
      </c>
      <c r="M871" s="441">
        <f>IF(L871&lt;O871,MinPoints,IF(AND(L871&gt;N871,O871&gt;0),100,+INT(($L871-O871)/P871)+MinPoints))</f>
        <v>10</v>
      </c>
      <c r="N871" s="440">
        <f t="shared" si="7"/>
        <v>4.9</v>
      </c>
      <c r="O871" s="440">
        <f t="shared" si="8"/>
        <v>2.2</v>
      </c>
      <c r="P871" s="440">
        <f t="shared" si="9"/>
        <v>0.03</v>
      </c>
      <c r="Q871">
        <f t="array" ref="Q871">IF(I871&gt;0,INDEX(DB,I871,9),EventIndex)</f>
        <v>6</v>
      </c>
      <c r="S871" s="447">
        <f t="array" ref="S871">INDEX(MINVALUES,$Q871,$K$1)</f>
        <v>2.2</v>
      </c>
      <c r="T871" s="448">
        <f t="array" ref="T871">INDEX(INCVALUES,$Q871,$K$1)</f>
        <v>0.03</v>
      </c>
      <c r="V871">
        <f t="array" ref="V871">+J871+(4*(INDEX(MatchScoreTable,$Q871,20)-1))</f>
        <v>4</v>
      </c>
      <c r="W871" s="442">
        <f t="array" ref="W871">INDEX(INC_MINVALUES,$V871,$K$1)</f>
        <v>0.2</v>
      </c>
      <c r="X871" s="212">
        <f t="array" ref="X871">INDEX(INC_INCVALUES,$V871,$K$1)</f>
        <v>0.02</v>
      </c>
    </row>
    <row r="872" ht="15.75" customHeight="1">
      <c r="A872" s="435"/>
      <c r="B872" s="436"/>
      <c r="C872" s="95" t="str">
        <f t="array" ref="C872">IF(I872&gt;0,INDEX(DB,I872,8),"")</f>
        <v/>
      </c>
      <c r="D872" s="437">
        <f t="shared" si="1"/>
        <v>0</v>
      </c>
      <c r="F872" s="438">
        <f t="shared" si="2"/>
        <v>0</v>
      </c>
      <c r="G872" t="str">
        <f t="shared" si="3"/>
        <v/>
      </c>
      <c r="H872" t="b">
        <f t="shared" si="4"/>
        <v>0</v>
      </c>
      <c r="I872" s="439">
        <f>IF(OR(ISBLANK(A872),ISNA(MATCH(A872&amp;"",AthleteNumbers,0))),0,MATCH(A872&amp;"",AthleteNumbers,0))</f>
        <v>0</v>
      </c>
      <c r="J872" s="209">
        <f t="array" ref="J872">IF(I872&gt;0,INDEX(DB,$I872,6),0)</f>
        <v>0</v>
      </c>
      <c r="K872" s="446">
        <f t="shared" si="5"/>
        <v>0</v>
      </c>
      <c r="L872" s="446">
        <f t="shared" si="6"/>
        <v>0</v>
      </c>
      <c r="M872" s="441">
        <f>IF(L872&lt;O872,MinPoints,IF(AND(L872&gt;N872,O872&gt;0),100,+INT(($L872-O872)/P872)+MinPoints))</f>
        <v>10</v>
      </c>
      <c r="N872" s="440">
        <f t="shared" si="7"/>
        <v>4.9</v>
      </c>
      <c r="O872" s="440">
        <f t="shared" si="8"/>
        <v>2.2</v>
      </c>
      <c r="P872" s="440">
        <f t="shared" si="9"/>
        <v>0.03</v>
      </c>
      <c r="Q872">
        <f t="array" ref="Q872">IF(I872&gt;0,INDEX(DB,I872,9),EventIndex)</f>
        <v>6</v>
      </c>
      <c r="S872" s="447">
        <f t="array" ref="S872">INDEX(MINVALUES,$Q872,$K$1)</f>
        <v>2.2</v>
      </c>
      <c r="T872" s="448">
        <f t="array" ref="T872">INDEX(INCVALUES,$Q872,$K$1)</f>
        <v>0.03</v>
      </c>
      <c r="V872">
        <f t="array" ref="V872">+J872+(4*(INDEX(MatchScoreTable,$Q872,20)-1))</f>
        <v>4</v>
      </c>
      <c r="W872" s="442">
        <f t="array" ref="W872">INDEX(INC_MINVALUES,$V872,$K$1)</f>
        <v>0.2</v>
      </c>
      <c r="X872" s="212">
        <f t="array" ref="X872">INDEX(INC_INCVALUES,$V872,$K$1)</f>
        <v>0.02</v>
      </c>
    </row>
    <row r="873" ht="15.75" customHeight="1">
      <c r="A873" s="435"/>
      <c r="B873" s="436"/>
      <c r="C873" s="95" t="str">
        <f t="array" ref="C873">IF(I873&gt;0,INDEX(DB,I873,8),"")</f>
        <v/>
      </c>
      <c r="D873" s="437">
        <f t="shared" si="1"/>
        <v>0</v>
      </c>
      <c r="F873" s="438">
        <f t="shared" si="2"/>
        <v>0</v>
      </c>
      <c r="G873" t="str">
        <f t="shared" si="3"/>
        <v/>
      </c>
      <c r="H873" t="b">
        <f t="shared" si="4"/>
        <v>0</v>
      </c>
      <c r="I873" s="439">
        <f>IF(OR(ISBLANK(A873),ISNA(MATCH(A873&amp;"",AthleteNumbers,0))),0,MATCH(A873&amp;"",AthleteNumbers,0))</f>
        <v>0</v>
      </c>
      <c r="J873" s="209">
        <f t="array" ref="J873">IF(I873&gt;0,INDEX(DB,$I873,6),0)</f>
        <v>0</v>
      </c>
      <c r="K873" s="446">
        <f t="shared" si="5"/>
        <v>0</v>
      </c>
      <c r="L873" s="446">
        <f t="shared" si="6"/>
        <v>0</v>
      </c>
      <c r="M873" s="441">
        <f>IF(L873&lt;O873,MinPoints,IF(AND(L873&gt;N873,O873&gt;0),100,+INT(($L873-O873)/P873)+MinPoints))</f>
        <v>10</v>
      </c>
      <c r="N873" s="440">
        <f t="shared" si="7"/>
        <v>4.9</v>
      </c>
      <c r="O873" s="440">
        <f t="shared" si="8"/>
        <v>2.2</v>
      </c>
      <c r="P873" s="440">
        <f t="shared" si="9"/>
        <v>0.03</v>
      </c>
      <c r="Q873">
        <f t="array" ref="Q873">IF(I873&gt;0,INDEX(DB,I873,9),EventIndex)</f>
        <v>6</v>
      </c>
      <c r="S873" s="447">
        <f t="array" ref="S873">INDEX(MINVALUES,$Q873,$K$1)</f>
        <v>2.2</v>
      </c>
      <c r="T873" s="448">
        <f t="array" ref="T873">INDEX(INCVALUES,$Q873,$K$1)</f>
        <v>0.03</v>
      </c>
      <c r="V873">
        <f t="array" ref="V873">+J873+(4*(INDEX(MatchScoreTable,$Q873,20)-1))</f>
        <v>4</v>
      </c>
      <c r="W873" s="442">
        <f t="array" ref="W873">INDEX(INC_MINVALUES,$V873,$K$1)</f>
        <v>0.2</v>
      </c>
      <c r="X873" s="212">
        <f t="array" ref="X873">INDEX(INC_INCVALUES,$V873,$K$1)</f>
        <v>0.02</v>
      </c>
    </row>
    <row r="874" ht="15.75" customHeight="1">
      <c r="A874" s="435"/>
      <c r="B874" s="436"/>
      <c r="C874" s="95" t="str">
        <f t="array" ref="C874">IF(I874&gt;0,INDEX(DB,I874,8),"")</f>
        <v/>
      </c>
      <c r="D874" s="437">
        <f t="shared" si="1"/>
        <v>0</v>
      </c>
      <c r="F874" s="438">
        <f t="shared" si="2"/>
        <v>0</v>
      </c>
      <c r="G874" t="str">
        <f t="shared" si="3"/>
        <v/>
      </c>
      <c r="H874" t="b">
        <f t="shared" si="4"/>
        <v>0</v>
      </c>
      <c r="I874" s="439">
        <f>IF(OR(ISBLANK(A874),ISNA(MATCH(A874&amp;"",AthleteNumbers,0))),0,MATCH(A874&amp;"",AthleteNumbers,0))</f>
        <v>0</v>
      </c>
      <c r="J874" s="209">
        <f t="array" ref="J874">IF(I874&gt;0,INDEX(DB,$I874,6),0)</f>
        <v>0</v>
      </c>
      <c r="K874" s="446">
        <f t="shared" si="5"/>
        <v>0</v>
      </c>
      <c r="L874" s="446">
        <f t="shared" si="6"/>
        <v>0</v>
      </c>
      <c r="M874" s="441">
        <f>IF(L874&lt;O874,MinPoints,IF(AND(L874&gt;N874,O874&gt;0),100,+INT(($L874-O874)/P874)+MinPoints))</f>
        <v>10</v>
      </c>
      <c r="N874" s="440">
        <f t="shared" si="7"/>
        <v>4.9</v>
      </c>
      <c r="O874" s="440">
        <f t="shared" si="8"/>
        <v>2.2</v>
      </c>
      <c r="P874" s="440">
        <f t="shared" si="9"/>
        <v>0.03</v>
      </c>
      <c r="Q874">
        <f t="array" ref="Q874">IF(I874&gt;0,INDEX(DB,I874,9),EventIndex)</f>
        <v>6</v>
      </c>
      <c r="S874" s="447">
        <f t="array" ref="S874">INDEX(MINVALUES,$Q874,$K$1)</f>
        <v>2.2</v>
      </c>
      <c r="T874" s="448">
        <f t="array" ref="T874">INDEX(INCVALUES,$Q874,$K$1)</f>
        <v>0.03</v>
      </c>
      <c r="V874">
        <f t="array" ref="V874">+J874+(4*(INDEX(MatchScoreTable,$Q874,20)-1))</f>
        <v>4</v>
      </c>
      <c r="W874" s="442">
        <f t="array" ref="W874">INDEX(INC_MINVALUES,$V874,$K$1)</f>
        <v>0.2</v>
      </c>
      <c r="X874" s="212">
        <f t="array" ref="X874">INDEX(INC_INCVALUES,$V874,$K$1)</f>
        <v>0.02</v>
      </c>
    </row>
    <row r="875" ht="15.75" customHeight="1">
      <c r="A875" s="435"/>
      <c r="B875" s="436"/>
      <c r="C875" s="95" t="str">
        <f t="array" ref="C875">IF(I875&gt;0,INDEX(DB,I875,8),"")</f>
        <v/>
      </c>
      <c r="D875" s="437">
        <f t="shared" si="1"/>
        <v>0</v>
      </c>
      <c r="F875" s="438">
        <f t="shared" si="2"/>
        <v>0</v>
      </c>
      <c r="G875" t="str">
        <f t="shared" si="3"/>
        <v/>
      </c>
      <c r="H875" t="b">
        <f t="shared" si="4"/>
        <v>0</v>
      </c>
      <c r="I875" s="439">
        <f>IF(OR(ISBLANK(A875),ISNA(MATCH(A875&amp;"",AthleteNumbers,0))),0,MATCH(A875&amp;"",AthleteNumbers,0))</f>
        <v>0</v>
      </c>
      <c r="J875" s="209">
        <f t="array" ref="J875">IF(I875&gt;0,INDEX(DB,$I875,6),0)</f>
        <v>0</v>
      </c>
      <c r="K875" s="446">
        <f t="shared" si="5"/>
        <v>0</v>
      </c>
      <c r="L875" s="446">
        <f t="shared" si="6"/>
        <v>0</v>
      </c>
      <c r="M875" s="441">
        <f>IF(L875&lt;O875,MinPoints,IF(AND(L875&gt;N875,O875&gt;0),100,+INT(($L875-O875)/P875)+MinPoints))</f>
        <v>10</v>
      </c>
      <c r="N875" s="440">
        <f t="shared" si="7"/>
        <v>4.9</v>
      </c>
      <c r="O875" s="440">
        <f t="shared" si="8"/>
        <v>2.2</v>
      </c>
      <c r="P875" s="440">
        <f t="shared" si="9"/>
        <v>0.03</v>
      </c>
      <c r="Q875">
        <f t="array" ref="Q875">IF(I875&gt;0,INDEX(DB,I875,9),EventIndex)</f>
        <v>6</v>
      </c>
      <c r="S875" s="447">
        <f t="array" ref="S875">INDEX(MINVALUES,$Q875,$K$1)</f>
        <v>2.2</v>
      </c>
      <c r="T875" s="448">
        <f t="array" ref="T875">INDEX(INCVALUES,$Q875,$K$1)</f>
        <v>0.03</v>
      </c>
      <c r="V875">
        <f t="array" ref="V875">+J875+(4*(INDEX(MatchScoreTable,$Q875,20)-1))</f>
        <v>4</v>
      </c>
      <c r="W875" s="442">
        <f t="array" ref="W875">INDEX(INC_MINVALUES,$V875,$K$1)</f>
        <v>0.2</v>
      </c>
      <c r="X875" s="212">
        <f t="array" ref="X875">INDEX(INC_INCVALUES,$V875,$K$1)</f>
        <v>0.02</v>
      </c>
    </row>
    <row r="876" ht="15.75" customHeight="1">
      <c r="A876" s="435"/>
      <c r="B876" s="436"/>
      <c r="C876" s="95" t="str">
        <f t="array" ref="C876">IF(I876&gt;0,INDEX(DB,I876,8),"")</f>
        <v/>
      </c>
      <c r="D876" s="437">
        <f t="shared" si="1"/>
        <v>0</v>
      </c>
      <c r="F876" s="438">
        <f t="shared" si="2"/>
        <v>0</v>
      </c>
      <c r="G876" t="str">
        <f t="shared" si="3"/>
        <v/>
      </c>
      <c r="H876" t="b">
        <f t="shared" si="4"/>
        <v>0</v>
      </c>
      <c r="I876" s="439">
        <f>IF(OR(ISBLANK(A876),ISNA(MATCH(A876&amp;"",AthleteNumbers,0))),0,MATCH(A876&amp;"",AthleteNumbers,0))</f>
        <v>0</v>
      </c>
      <c r="J876" s="209">
        <f t="array" ref="J876">IF(I876&gt;0,INDEX(DB,$I876,6),0)</f>
        <v>0</v>
      </c>
      <c r="K876" s="446">
        <f t="shared" si="5"/>
        <v>0</v>
      </c>
      <c r="L876" s="446">
        <f t="shared" si="6"/>
        <v>0</v>
      </c>
      <c r="M876" s="441">
        <f>IF(L876&lt;O876,MinPoints,IF(AND(L876&gt;N876,O876&gt;0),100,+INT(($L876-O876)/P876)+MinPoints))</f>
        <v>10</v>
      </c>
      <c r="N876" s="440">
        <f t="shared" si="7"/>
        <v>4.9</v>
      </c>
      <c r="O876" s="440">
        <f t="shared" si="8"/>
        <v>2.2</v>
      </c>
      <c r="P876" s="440">
        <f t="shared" si="9"/>
        <v>0.03</v>
      </c>
      <c r="Q876">
        <f t="array" ref="Q876">IF(I876&gt;0,INDEX(DB,I876,9),EventIndex)</f>
        <v>6</v>
      </c>
      <c r="S876" s="447">
        <f t="array" ref="S876">INDEX(MINVALUES,$Q876,$K$1)</f>
        <v>2.2</v>
      </c>
      <c r="T876" s="448">
        <f t="array" ref="T876">INDEX(INCVALUES,$Q876,$K$1)</f>
        <v>0.03</v>
      </c>
      <c r="V876">
        <f t="array" ref="V876">+J876+(4*(INDEX(MatchScoreTable,$Q876,20)-1))</f>
        <v>4</v>
      </c>
      <c r="W876" s="442">
        <f t="array" ref="W876">INDEX(INC_MINVALUES,$V876,$K$1)</f>
        <v>0.2</v>
      </c>
      <c r="X876" s="212">
        <f t="array" ref="X876">INDEX(INC_INCVALUES,$V876,$K$1)</f>
        <v>0.02</v>
      </c>
    </row>
    <row r="877" ht="15.75" customHeight="1">
      <c r="A877" s="435"/>
      <c r="B877" s="436"/>
      <c r="C877" s="95" t="str">
        <f t="array" ref="C877">IF(I877&gt;0,INDEX(DB,I877,8),"")</f>
        <v/>
      </c>
      <c r="D877" s="437">
        <f t="shared" si="1"/>
        <v>0</v>
      </c>
      <c r="F877" s="438">
        <f t="shared" si="2"/>
        <v>0</v>
      </c>
      <c r="G877" t="str">
        <f t="shared" si="3"/>
        <v/>
      </c>
      <c r="H877" t="b">
        <f t="shared" si="4"/>
        <v>0</v>
      </c>
      <c r="I877" s="439">
        <f>IF(OR(ISBLANK(A877),ISNA(MATCH(A877&amp;"",AthleteNumbers,0))),0,MATCH(A877&amp;"",AthleteNumbers,0))</f>
        <v>0</v>
      </c>
      <c r="J877" s="209">
        <f t="array" ref="J877">IF(I877&gt;0,INDEX(DB,$I877,6),0)</f>
        <v>0</v>
      </c>
      <c r="K877" s="446">
        <f t="shared" si="5"/>
        <v>0</v>
      </c>
      <c r="L877" s="446">
        <f t="shared" si="6"/>
        <v>0</v>
      </c>
      <c r="M877" s="441">
        <f>IF(L877&lt;O877,MinPoints,IF(AND(L877&gt;N877,O877&gt;0),100,+INT(($L877-O877)/P877)+MinPoints))</f>
        <v>10</v>
      </c>
      <c r="N877" s="440">
        <f t="shared" si="7"/>
        <v>4.9</v>
      </c>
      <c r="O877" s="440">
        <f t="shared" si="8"/>
        <v>2.2</v>
      </c>
      <c r="P877" s="440">
        <f t="shared" si="9"/>
        <v>0.03</v>
      </c>
      <c r="Q877">
        <f t="array" ref="Q877">IF(I877&gt;0,INDEX(DB,I877,9),EventIndex)</f>
        <v>6</v>
      </c>
      <c r="S877" s="447">
        <f t="array" ref="S877">INDEX(MINVALUES,$Q877,$K$1)</f>
        <v>2.2</v>
      </c>
      <c r="T877" s="448">
        <f t="array" ref="T877">INDEX(INCVALUES,$Q877,$K$1)</f>
        <v>0.03</v>
      </c>
      <c r="V877">
        <f t="array" ref="V877">+J877+(4*(INDEX(MatchScoreTable,$Q877,20)-1))</f>
        <v>4</v>
      </c>
      <c r="W877" s="442">
        <f t="array" ref="W877">INDEX(INC_MINVALUES,$V877,$K$1)</f>
        <v>0.2</v>
      </c>
      <c r="X877" s="212">
        <f t="array" ref="X877">INDEX(INC_INCVALUES,$V877,$K$1)</f>
        <v>0.02</v>
      </c>
    </row>
    <row r="878" ht="15.75" customHeight="1">
      <c r="A878" s="435"/>
      <c r="B878" s="436"/>
      <c r="C878" s="95" t="str">
        <f t="array" ref="C878">IF(I878&gt;0,INDEX(DB,I878,8),"")</f>
        <v/>
      </c>
      <c r="D878" s="437">
        <f t="shared" si="1"/>
        <v>0</v>
      </c>
      <c r="F878" s="438">
        <f t="shared" si="2"/>
        <v>0</v>
      </c>
      <c r="G878" t="str">
        <f t="shared" si="3"/>
        <v/>
      </c>
      <c r="H878" t="b">
        <f t="shared" si="4"/>
        <v>0</v>
      </c>
      <c r="I878" s="439">
        <f>IF(OR(ISBLANK(A878),ISNA(MATCH(A878&amp;"",AthleteNumbers,0))),0,MATCH(A878&amp;"",AthleteNumbers,0))</f>
        <v>0</v>
      </c>
      <c r="J878" s="209">
        <f t="array" ref="J878">IF(I878&gt;0,INDEX(DB,$I878,6),0)</f>
        <v>0</v>
      </c>
      <c r="K878" s="446">
        <f t="shared" si="5"/>
        <v>0</v>
      </c>
      <c r="L878" s="446">
        <f t="shared" si="6"/>
        <v>0</v>
      </c>
      <c r="M878" s="441">
        <f>IF(L878&lt;O878,MinPoints,IF(AND(L878&gt;N878,O878&gt;0),100,+INT(($L878-O878)/P878)+MinPoints))</f>
        <v>10</v>
      </c>
      <c r="N878" s="440">
        <f t="shared" si="7"/>
        <v>4.9</v>
      </c>
      <c r="O878" s="440">
        <f t="shared" si="8"/>
        <v>2.2</v>
      </c>
      <c r="P878" s="440">
        <f t="shared" si="9"/>
        <v>0.03</v>
      </c>
      <c r="Q878">
        <f t="array" ref="Q878">IF(I878&gt;0,INDEX(DB,I878,9),EventIndex)</f>
        <v>6</v>
      </c>
      <c r="S878" s="447">
        <f t="array" ref="S878">INDEX(MINVALUES,$Q878,$K$1)</f>
        <v>2.2</v>
      </c>
      <c r="T878" s="448">
        <f t="array" ref="T878">INDEX(INCVALUES,$Q878,$K$1)</f>
        <v>0.03</v>
      </c>
      <c r="V878">
        <f t="array" ref="V878">+J878+(4*(INDEX(MatchScoreTable,$Q878,20)-1))</f>
        <v>4</v>
      </c>
      <c r="W878" s="442">
        <f t="array" ref="W878">INDEX(INC_MINVALUES,$V878,$K$1)</f>
        <v>0.2</v>
      </c>
      <c r="X878" s="212">
        <f t="array" ref="X878">INDEX(INC_INCVALUES,$V878,$K$1)</f>
        <v>0.02</v>
      </c>
    </row>
    <row r="879" ht="15.75" customHeight="1">
      <c r="A879" s="435"/>
      <c r="B879" s="436"/>
      <c r="C879" s="95" t="str">
        <f t="array" ref="C879">IF(I879&gt;0,INDEX(DB,I879,8),"")</f>
        <v/>
      </c>
      <c r="D879" s="437">
        <f t="shared" si="1"/>
        <v>0</v>
      </c>
      <c r="F879" s="438">
        <f t="shared" si="2"/>
        <v>0</v>
      </c>
      <c r="G879" t="str">
        <f t="shared" si="3"/>
        <v/>
      </c>
      <c r="H879" t="b">
        <f t="shared" si="4"/>
        <v>0</v>
      </c>
      <c r="I879" s="439">
        <f>IF(OR(ISBLANK(A879),ISNA(MATCH(A879&amp;"",AthleteNumbers,0))),0,MATCH(A879&amp;"",AthleteNumbers,0))</f>
        <v>0</v>
      </c>
      <c r="J879" s="209">
        <f t="array" ref="J879">IF(I879&gt;0,INDEX(DB,$I879,6),0)</f>
        <v>0</v>
      </c>
      <c r="K879" s="446">
        <f t="shared" si="5"/>
        <v>0</v>
      </c>
      <c r="L879" s="446">
        <f t="shared" si="6"/>
        <v>0</v>
      </c>
      <c r="M879" s="441">
        <f>IF(L879&lt;O879,MinPoints,IF(AND(L879&gt;N879,O879&gt;0),100,+INT(($L879-O879)/P879)+MinPoints))</f>
        <v>10</v>
      </c>
      <c r="N879" s="440">
        <f t="shared" si="7"/>
        <v>4.9</v>
      </c>
      <c r="O879" s="440">
        <f t="shared" si="8"/>
        <v>2.2</v>
      </c>
      <c r="P879" s="440">
        <f t="shared" si="9"/>
        <v>0.03</v>
      </c>
      <c r="Q879">
        <f t="array" ref="Q879">IF(I879&gt;0,INDEX(DB,I879,9),EventIndex)</f>
        <v>6</v>
      </c>
      <c r="S879" s="447">
        <f t="array" ref="S879">INDEX(MINVALUES,$Q879,$K$1)</f>
        <v>2.2</v>
      </c>
      <c r="T879" s="448">
        <f t="array" ref="T879">INDEX(INCVALUES,$Q879,$K$1)</f>
        <v>0.03</v>
      </c>
      <c r="V879">
        <f t="array" ref="V879">+J879+(4*(INDEX(MatchScoreTable,$Q879,20)-1))</f>
        <v>4</v>
      </c>
      <c r="W879" s="442">
        <f t="array" ref="W879">INDEX(INC_MINVALUES,$V879,$K$1)</f>
        <v>0.2</v>
      </c>
      <c r="X879" s="212">
        <f t="array" ref="X879">INDEX(INC_INCVALUES,$V879,$K$1)</f>
        <v>0.02</v>
      </c>
    </row>
    <row r="880" ht="15.75" customHeight="1">
      <c r="A880" s="435"/>
      <c r="B880" s="436"/>
      <c r="C880" s="95" t="str">
        <f t="array" ref="C880">IF(I880&gt;0,INDEX(DB,I880,8),"")</f>
        <v/>
      </c>
      <c r="D880" s="437">
        <f t="shared" si="1"/>
        <v>0</v>
      </c>
      <c r="F880" s="438">
        <f t="shared" si="2"/>
        <v>0</v>
      </c>
      <c r="G880" t="str">
        <f t="shared" si="3"/>
        <v/>
      </c>
      <c r="H880" t="b">
        <f t="shared" si="4"/>
        <v>0</v>
      </c>
      <c r="I880" s="439">
        <f>IF(OR(ISBLANK(A880),ISNA(MATCH(A880&amp;"",AthleteNumbers,0))),0,MATCH(A880&amp;"",AthleteNumbers,0))</f>
        <v>0</v>
      </c>
      <c r="J880" s="209">
        <f t="array" ref="J880">IF(I880&gt;0,INDEX(DB,$I880,6),0)</f>
        <v>0</v>
      </c>
      <c r="K880" s="446">
        <f t="shared" si="5"/>
        <v>0</v>
      </c>
      <c r="L880" s="446">
        <f t="shared" si="6"/>
        <v>0</v>
      </c>
      <c r="M880" s="441">
        <f>IF(L880&lt;O880,MinPoints,IF(AND(L880&gt;N880,O880&gt;0),100,+INT(($L880-O880)/P880)+MinPoints))</f>
        <v>10</v>
      </c>
      <c r="N880" s="440">
        <f t="shared" si="7"/>
        <v>4.9</v>
      </c>
      <c r="O880" s="440">
        <f t="shared" si="8"/>
        <v>2.2</v>
      </c>
      <c r="P880" s="440">
        <f t="shared" si="9"/>
        <v>0.03</v>
      </c>
      <c r="Q880">
        <f t="array" ref="Q880">IF(I880&gt;0,INDEX(DB,I880,9),EventIndex)</f>
        <v>6</v>
      </c>
      <c r="S880" s="447">
        <f t="array" ref="S880">INDEX(MINVALUES,$Q880,$K$1)</f>
        <v>2.2</v>
      </c>
      <c r="T880" s="448">
        <f t="array" ref="T880">INDEX(INCVALUES,$Q880,$K$1)</f>
        <v>0.03</v>
      </c>
      <c r="V880">
        <f t="array" ref="V880">+J880+(4*(INDEX(MatchScoreTable,$Q880,20)-1))</f>
        <v>4</v>
      </c>
      <c r="W880" s="442">
        <f t="array" ref="W880">INDEX(INC_MINVALUES,$V880,$K$1)</f>
        <v>0.2</v>
      </c>
      <c r="X880" s="212">
        <f t="array" ref="X880">INDEX(INC_INCVALUES,$V880,$K$1)</f>
        <v>0.02</v>
      </c>
    </row>
    <row r="881" ht="15.75" customHeight="1">
      <c r="A881" s="435"/>
      <c r="B881" s="436"/>
      <c r="C881" s="95" t="str">
        <f t="array" ref="C881">IF(I881&gt;0,INDEX(DB,I881,8),"")</f>
        <v/>
      </c>
      <c r="D881" s="437">
        <f t="shared" si="1"/>
        <v>0</v>
      </c>
      <c r="F881" s="438">
        <f t="shared" si="2"/>
        <v>0</v>
      </c>
      <c r="G881" t="str">
        <f t="shared" si="3"/>
        <v/>
      </c>
      <c r="H881" t="b">
        <f t="shared" si="4"/>
        <v>0</v>
      </c>
      <c r="I881" s="439">
        <f>IF(OR(ISBLANK(A881),ISNA(MATCH(A881&amp;"",AthleteNumbers,0))),0,MATCH(A881&amp;"",AthleteNumbers,0))</f>
        <v>0</v>
      </c>
      <c r="J881" s="209">
        <f t="array" ref="J881">IF(I881&gt;0,INDEX(DB,$I881,6),0)</f>
        <v>0</v>
      </c>
      <c r="K881" s="446">
        <f t="shared" si="5"/>
        <v>0</v>
      </c>
      <c r="L881" s="446">
        <f t="shared" si="6"/>
        <v>0</v>
      </c>
      <c r="M881" s="441">
        <f>IF(L881&lt;O881,MinPoints,IF(AND(L881&gt;N881,O881&gt;0),100,+INT(($L881-O881)/P881)+MinPoints))</f>
        <v>10</v>
      </c>
      <c r="N881" s="440">
        <f t="shared" si="7"/>
        <v>4.9</v>
      </c>
      <c r="O881" s="440">
        <f t="shared" si="8"/>
        <v>2.2</v>
      </c>
      <c r="P881" s="440">
        <f t="shared" si="9"/>
        <v>0.03</v>
      </c>
      <c r="Q881">
        <f t="array" ref="Q881">IF(I881&gt;0,INDEX(DB,I881,9),EventIndex)</f>
        <v>6</v>
      </c>
      <c r="S881" s="447">
        <f t="array" ref="S881">INDEX(MINVALUES,$Q881,$K$1)</f>
        <v>2.2</v>
      </c>
      <c r="T881" s="448">
        <f t="array" ref="T881">INDEX(INCVALUES,$Q881,$K$1)</f>
        <v>0.03</v>
      </c>
      <c r="V881">
        <f t="array" ref="V881">+J881+(4*(INDEX(MatchScoreTable,$Q881,20)-1))</f>
        <v>4</v>
      </c>
      <c r="W881" s="442">
        <f t="array" ref="W881">INDEX(INC_MINVALUES,$V881,$K$1)</f>
        <v>0.2</v>
      </c>
      <c r="X881" s="212">
        <f t="array" ref="X881">INDEX(INC_INCVALUES,$V881,$K$1)</f>
        <v>0.02</v>
      </c>
    </row>
    <row r="882" ht="15.75" customHeight="1">
      <c r="A882" s="435"/>
      <c r="B882" s="436"/>
      <c r="C882" s="95" t="str">
        <f t="array" ref="C882">IF(I882&gt;0,INDEX(DB,I882,8),"")</f>
        <v/>
      </c>
      <c r="D882" s="437">
        <f t="shared" si="1"/>
        <v>0</v>
      </c>
      <c r="F882" s="438">
        <f t="shared" si="2"/>
        <v>0</v>
      </c>
      <c r="G882" t="str">
        <f t="shared" si="3"/>
        <v/>
      </c>
      <c r="H882" t="b">
        <f t="shared" si="4"/>
        <v>0</v>
      </c>
      <c r="I882" s="439">
        <f>IF(OR(ISBLANK(A882),ISNA(MATCH(A882&amp;"",AthleteNumbers,0))),0,MATCH(A882&amp;"",AthleteNumbers,0))</f>
        <v>0</v>
      </c>
      <c r="J882" s="209">
        <f t="array" ref="J882">IF(I882&gt;0,INDEX(DB,$I882,6),0)</f>
        <v>0</v>
      </c>
      <c r="K882" s="446">
        <f t="shared" si="5"/>
        <v>0</v>
      </c>
      <c r="L882" s="446">
        <f t="shared" si="6"/>
        <v>0</v>
      </c>
      <c r="M882" s="441">
        <f>IF(L882&lt;O882,MinPoints,IF(AND(L882&gt;N882,O882&gt;0),100,+INT(($L882-O882)/P882)+MinPoints))</f>
        <v>10</v>
      </c>
      <c r="N882" s="440">
        <f t="shared" si="7"/>
        <v>4.9</v>
      </c>
      <c r="O882" s="440">
        <f t="shared" si="8"/>
        <v>2.2</v>
      </c>
      <c r="P882" s="440">
        <f t="shared" si="9"/>
        <v>0.03</v>
      </c>
      <c r="Q882">
        <f t="array" ref="Q882">IF(I882&gt;0,INDEX(DB,I882,9),EventIndex)</f>
        <v>6</v>
      </c>
      <c r="S882" s="447">
        <f t="array" ref="S882">INDEX(MINVALUES,$Q882,$K$1)</f>
        <v>2.2</v>
      </c>
      <c r="T882" s="448">
        <f t="array" ref="T882">INDEX(INCVALUES,$Q882,$K$1)</f>
        <v>0.03</v>
      </c>
      <c r="V882">
        <f t="array" ref="V882">+J882+(4*(INDEX(MatchScoreTable,$Q882,20)-1))</f>
        <v>4</v>
      </c>
      <c r="W882" s="442">
        <f t="array" ref="W882">INDEX(INC_MINVALUES,$V882,$K$1)</f>
        <v>0.2</v>
      </c>
      <c r="X882" s="212">
        <f t="array" ref="X882">INDEX(INC_INCVALUES,$V882,$K$1)</f>
        <v>0.02</v>
      </c>
    </row>
    <row r="883" ht="15.75" customHeight="1">
      <c r="A883" s="435"/>
      <c r="B883" s="436"/>
      <c r="C883" s="95" t="str">
        <f t="array" ref="C883">IF(I883&gt;0,INDEX(DB,I883,8),"")</f>
        <v/>
      </c>
      <c r="D883" s="437">
        <f t="shared" si="1"/>
        <v>0</v>
      </c>
      <c r="F883" s="438">
        <f t="shared" si="2"/>
        <v>0</v>
      </c>
      <c r="G883" t="str">
        <f t="shared" si="3"/>
        <v/>
      </c>
      <c r="H883" t="b">
        <f t="shared" si="4"/>
        <v>0</v>
      </c>
      <c r="I883" s="439">
        <f>IF(OR(ISBLANK(A883),ISNA(MATCH(A883&amp;"",AthleteNumbers,0))),0,MATCH(A883&amp;"",AthleteNumbers,0))</f>
        <v>0</v>
      </c>
      <c r="J883" s="209">
        <f t="array" ref="J883">IF(I883&gt;0,INDEX(DB,$I883,6),0)</f>
        <v>0</v>
      </c>
      <c r="K883" s="446">
        <f t="shared" si="5"/>
        <v>0</v>
      </c>
      <c r="L883" s="446">
        <f t="shared" si="6"/>
        <v>0</v>
      </c>
      <c r="M883" s="441">
        <f>IF(L883&lt;O883,MinPoints,IF(AND(L883&gt;N883,O883&gt;0),100,+INT(($L883-O883)/P883)+MinPoints))</f>
        <v>10</v>
      </c>
      <c r="N883" s="440">
        <f t="shared" si="7"/>
        <v>4.9</v>
      </c>
      <c r="O883" s="440">
        <f t="shared" si="8"/>
        <v>2.2</v>
      </c>
      <c r="P883" s="440">
        <f t="shared" si="9"/>
        <v>0.03</v>
      </c>
      <c r="Q883">
        <f t="array" ref="Q883">IF(I883&gt;0,INDEX(DB,I883,9),EventIndex)</f>
        <v>6</v>
      </c>
      <c r="S883" s="447">
        <f t="array" ref="S883">INDEX(MINVALUES,$Q883,$K$1)</f>
        <v>2.2</v>
      </c>
      <c r="T883" s="448">
        <f t="array" ref="T883">INDEX(INCVALUES,$Q883,$K$1)</f>
        <v>0.03</v>
      </c>
      <c r="V883">
        <f t="array" ref="V883">+J883+(4*(INDEX(MatchScoreTable,$Q883,20)-1))</f>
        <v>4</v>
      </c>
      <c r="W883" s="442">
        <f t="array" ref="W883">INDEX(INC_MINVALUES,$V883,$K$1)</f>
        <v>0.2</v>
      </c>
      <c r="X883" s="212">
        <f t="array" ref="X883">INDEX(INC_INCVALUES,$V883,$K$1)</f>
        <v>0.02</v>
      </c>
    </row>
    <row r="884" ht="15.75" customHeight="1">
      <c r="A884" s="435"/>
      <c r="B884" s="436"/>
      <c r="C884" s="95" t="str">
        <f t="array" ref="C884">IF(I884&gt;0,INDEX(DB,I884,8),"")</f>
        <v/>
      </c>
      <c r="D884" s="437">
        <f t="shared" si="1"/>
        <v>0</v>
      </c>
      <c r="F884" s="438">
        <f t="shared" si="2"/>
        <v>0</v>
      </c>
      <c r="G884" t="str">
        <f t="shared" si="3"/>
        <v/>
      </c>
      <c r="H884" t="b">
        <f t="shared" si="4"/>
        <v>0</v>
      </c>
      <c r="I884" s="439">
        <f>IF(OR(ISBLANK(A884),ISNA(MATCH(A884&amp;"",AthleteNumbers,0))),0,MATCH(A884&amp;"",AthleteNumbers,0))</f>
        <v>0</v>
      </c>
      <c r="J884" s="209">
        <f t="array" ref="J884">IF(I884&gt;0,INDEX(DB,$I884,6),0)</f>
        <v>0</v>
      </c>
      <c r="K884" s="446">
        <f t="shared" si="5"/>
        <v>0</v>
      </c>
      <c r="L884" s="446">
        <f t="shared" si="6"/>
        <v>0</v>
      </c>
      <c r="M884" s="441">
        <f>IF(L884&lt;O884,MinPoints,IF(AND(L884&gt;N884,O884&gt;0),100,+INT(($L884-O884)/P884)+MinPoints))</f>
        <v>10</v>
      </c>
      <c r="N884" s="440">
        <f t="shared" si="7"/>
        <v>4.9</v>
      </c>
      <c r="O884" s="440">
        <f t="shared" si="8"/>
        <v>2.2</v>
      </c>
      <c r="P884" s="440">
        <f t="shared" si="9"/>
        <v>0.03</v>
      </c>
      <c r="Q884">
        <f t="array" ref="Q884">IF(I884&gt;0,INDEX(DB,I884,9),EventIndex)</f>
        <v>6</v>
      </c>
      <c r="S884" s="447">
        <f t="array" ref="S884">INDEX(MINVALUES,$Q884,$K$1)</f>
        <v>2.2</v>
      </c>
      <c r="T884" s="448">
        <f t="array" ref="T884">INDEX(INCVALUES,$Q884,$K$1)</f>
        <v>0.03</v>
      </c>
      <c r="V884">
        <f t="array" ref="V884">+J884+(4*(INDEX(MatchScoreTable,$Q884,20)-1))</f>
        <v>4</v>
      </c>
      <c r="W884" s="442">
        <f t="array" ref="W884">INDEX(INC_MINVALUES,$V884,$K$1)</f>
        <v>0.2</v>
      </c>
      <c r="X884" s="212">
        <f t="array" ref="X884">INDEX(INC_INCVALUES,$V884,$K$1)</f>
        <v>0.02</v>
      </c>
    </row>
    <row r="885" ht="15.75" customHeight="1">
      <c r="A885" s="435"/>
      <c r="B885" s="436"/>
      <c r="C885" s="95" t="str">
        <f t="array" ref="C885">IF(I885&gt;0,INDEX(DB,I885,8),"")</f>
        <v/>
      </c>
      <c r="D885" s="437">
        <f t="shared" si="1"/>
        <v>0</v>
      </c>
      <c r="F885" s="438">
        <f t="shared" si="2"/>
        <v>0</v>
      </c>
      <c r="G885" t="str">
        <f t="shared" si="3"/>
        <v/>
      </c>
      <c r="H885" t="b">
        <f t="shared" si="4"/>
        <v>0</v>
      </c>
      <c r="I885" s="439">
        <f>IF(OR(ISBLANK(A885),ISNA(MATCH(A885&amp;"",AthleteNumbers,0))),0,MATCH(A885&amp;"",AthleteNumbers,0))</f>
        <v>0</v>
      </c>
      <c r="J885" s="209">
        <f t="array" ref="J885">IF(I885&gt;0,INDEX(DB,$I885,6),0)</f>
        <v>0</v>
      </c>
      <c r="K885" s="446">
        <f t="shared" si="5"/>
        <v>0</v>
      </c>
      <c r="L885" s="446">
        <f t="shared" si="6"/>
        <v>0</v>
      </c>
      <c r="M885" s="441">
        <f>IF(L885&lt;O885,MinPoints,IF(AND(L885&gt;N885,O885&gt;0),100,+INT(($L885-O885)/P885)+MinPoints))</f>
        <v>10</v>
      </c>
      <c r="N885" s="440">
        <f t="shared" si="7"/>
        <v>4.9</v>
      </c>
      <c r="O885" s="440">
        <f t="shared" si="8"/>
        <v>2.2</v>
      </c>
      <c r="P885" s="440">
        <f t="shared" si="9"/>
        <v>0.03</v>
      </c>
      <c r="Q885">
        <f t="array" ref="Q885">IF(I885&gt;0,INDEX(DB,I885,9),EventIndex)</f>
        <v>6</v>
      </c>
      <c r="S885" s="447">
        <f t="array" ref="S885">INDEX(MINVALUES,$Q885,$K$1)</f>
        <v>2.2</v>
      </c>
      <c r="T885" s="448">
        <f t="array" ref="T885">INDEX(INCVALUES,$Q885,$K$1)</f>
        <v>0.03</v>
      </c>
      <c r="V885">
        <f t="array" ref="V885">+J885+(4*(INDEX(MatchScoreTable,$Q885,20)-1))</f>
        <v>4</v>
      </c>
      <c r="W885" s="442">
        <f t="array" ref="W885">INDEX(INC_MINVALUES,$V885,$K$1)</f>
        <v>0.2</v>
      </c>
      <c r="X885" s="212">
        <f t="array" ref="X885">INDEX(INC_INCVALUES,$V885,$K$1)</f>
        <v>0.02</v>
      </c>
    </row>
    <row r="886" ht="15.75" customHeight="1">
      <c r="A886" s="435"/>
      <c r="B886" s="436"/>
      <c r="C886" s="95" t="str">
        <f t="array" ref="C886">IF(I886&gt;0,INDEX(DB,I886,8),"")</f>
        <v/>
      </c>
      <c r="D886" s="437">
        <f t="shared" si="1"/>
        <v>0</v>
      </c>
      <c r="F886" s="438">
        <f t="shared" si="2"/>
        <v>0</v>
      </c>
      <c r="G886" t="str">
        <f t="shared" si="3"/>
        <v/>
      </c>
      <c r="H886" t="b">
        <f t="shared" si="4"/>
        <v>0</v>
      </c>
      <c r="I886" s="439">
        <f>IF(OR(ISBLANK(A886),ISNA(MATCH(A886&amp;"",AthleteNumbers,0))),0,MATCH(A886&amp;"",AthleteNumbers,0))</f>
        <v>0</v>
      </c>
      <c r="J886" s="209">
        <f t="array" ref="J886">IF(I886&gt;0,INDEX(DB,$I886,6),0)</f>
        <v>0</v>
      </c>
      <c r="K886" s="446">
        <f t="shared" si="5"/>
        <v>0</v>
      </c>
      <c r="L886" s="446">
        <f t="shared" si="6"/>
        <v>0</v>
      </c>
      <c r="M886" s="441">
        <f>IF(L886&lt;O886,MinPoints,IF(AND(L886&gt;N886,O886&gt;0),100,+INT(($L886-O886)/P886)+MinPoints))</f>
        <v>10</v>
      </c>
      <c r="N886" s="440">
        <f t="shared" si="7"/>
        <v>4.9</v>
      </c>
      <c r="O886" s="440">
        <f t="shared" si="8"/>
        <v>2.2</v>
      </c>
      <c r="P886" s="440">
        <f t="shared" si="9"/>
        <v>0.03</v>
      </c>
      <c r="Q886">
        <f t="array" ref="Q886">IF(I886&gt;0,INDEX(DB,I886,9),EventIndex)</f>
        <v>6</v>
      </c>
      <c r="S886" s="447">
        <f t="array" ref="S886">INDEX(MINVALUES,$Q886,$K$1)</f>
        <v>2.2</v>
      </c>
      <c r="T886" s="448">
        <f t="array" ref="T886">INDEX(INCVALUES,$Q886,$K$1)</f>
        <v>0.03</v>
      </c>
      <c r="V886">
        <f t="array" ref="V886">+J886+(4*(INDEX(MatchScoreTable,$Q886,20)-1))</f>
        <v>4</v>
      </c>
      <c r="W886" s="442">
        <f t="array" ref="W886">INDEX(INC_MINVALUES,$V886,$K$1)</f>
        <v>0.2</v>
      </c>
      <c r="X886" s="212">
        <f t="array" ref="X886">INDEX(INC_INCVALUES,$V886,$K$1)</f>
        <v>0.02</v>
      </c>
    </row>
    <row r="887" ht="15.75" customHeight="1">
      <c r="A887" s="435"/>
      <c r="B887" s="436"/>
      <c r="C887" s="95" t="str">
        <f t="array" ref="C887">IF(I887&gt;0,INDEX(DB,I887,8),"")</f>
        <v/>
      </c>
      <c r="D887" s="437">
        <f t="shared" si="1"/>
        <v>0</v>
      </c>
      <c r="F887" s="438">
        <f t="shared" si="2"/>
        <v>0</v>
      </c>
      <c r="G887" t="str">
        <f t="shared" si="3"/>
        <v/>
      </c>
      <c r="H887" t="b">
        <f t="shared" si="4"/>
        <v>0</v>
      </c>
      <c r="I887" s="439">
        <f>IF(OR(ISBLANK(A887),ISNA(MATCH(A887&amp;"",AthleteNumbers,0))),0,MATCH(A887&amp;"",AthleteNumbers,0))</f>
        <v>0</v>
      </c>
      <c r="J887" s="209">
        <f t="array" ref="J887">IF(I887&gt;0,INDEX(DB,$I887,6),0)</f>
        <v>0</v>
      </c>
      <c r="K887" s="446">
        <f t="shared" si="5"/>
        <v>0</v>
      </c>
      <c r="L887" s="446">
        <f t="shared" si="6"/>
        <v>0</v>
      </c>
      <c r="M887" s="441">
        <f>IF(L887&lt;O887,MinPoints,IF(AND(L887&gt;N887,O887&gt;0),100,+INT(($L887-O887)/P887)+MinPoints))</f>
        <v>10</v>
      </c>
      <c r="N887" s="440">
        <f t="shared" si="7"/>
        <v>4.9</v>
      </c>
      <c r="O887" s="440">
        <f t="shared" si="8"/>
        <v>2.2</v>
      </c>
      <c r="P887" s="440">
        <f t="shared" si="9"/>
        <v>0.03</v>
      </c>
      <c r="Q887">
        <f t="array" ref="Q887">IF(I887&gt;0,INDEX(DB,I887,9),EventIndex)</f>
        <v>6</v>
      </c>
      <c r="S887" s="447">
        <f t="array" ref="S887">INDEX(MINVALUES,$Q887,$K$1)</f>
        <v>2.2</v>
      </c>
      <c r="T887" s="448">
        <f t="array" ref="T887">INDEX(INCVALUES,$Q887,$K$1)</f>
        <v>0.03</v>
      </c>
      <c r="V887">
        <f t="array" ref="V887">+J887+(4*(INDEX(MatchScoreTable,$Q887,20)-1))</f>
        <v>4</v>
      </c>
      <c r="W887" s="442">
        <f t="array" ref="W887">INDEX(INC_MINVALUES,$V887,$K$1)</f>
        <v>0.2</v>
      </c>
      <c r="X887" s="212">
        <f t="array" ref="X887">INDEX(INC_INCVALUES,$V887,$K$1)</f>
        <v>0.02</v>
      </c>
    </row>
    <row r="888" ht="15.75" customHeight="1">
      <c r="A888" s="435"/>
      <c r="B888" s="436"/>
      <c r="C888" s="95" t="str">
        <f t="array" ref="C888">IF(I888&gt;0,INDEX(DB,I888,8),"")</f>
        <v/>
      </c>
      <c r="D888" s="437">
        <f t="shared" si="1"/>
        <v>0</v>
      </c>
      <c r="F888" s="438">
        <f t="shared" si="2"/>
        <v>0</v>
      </c>
      <c r="G888" t="str">
        <f t="shared" si="3"/>
        <v/>
      </c>
      <c r="H888" t="b">
        <f t="shared" si="4"/>
        <v>0</v>
      </c>
      <c r="I888" s="439">
        <f>IF(OR(ISBLANK(A888),ISNA(MATCH(A888&amp;"",AthleteNumbers,0))),0,MATCH(A888&amp;"",AthleteNumbers,0))</f>
        <v>0</v>
      </c>
      <c r="J888" s="209">
        <f t="array" ref="J888">IF(I888&gt;0,INDEX(DB,$I888,6),0)</f>
        <v>0</v>
      </c>
      <c r="K888" s="446">
        <f t="shared" si="5"/>
        <v>0</v>
      </c>
      <c r="L888" s="446">
        <f t="shared" si="6"/>
        <v>0</v>
      </c>
      <c r="M888" s="441">
        <f>IF(L888&lt;O888,MinPoints,IF(AND(L888&gt;N888,O888&gt;0),100,+INT(($L888-O888)/P888)+MinPoints))</f>
        <v>10</v>
      </c>
      <c r="N888" s="440">
        <f t="shared" si="7"/>
        <v>4.9</v>
      </c>
      <c r="O888" s="440">
        <f t="shared" si="8"/>
        <v>2.2</v>
      </c>
      <c r="P888" s="440">
        <f t="shared" si="9"/>
        <v>0.03</v>
      </c>
      <c r="Q888">
        <f t="array" ref="Q888">IF(I888&gt;0,INDEX(DB,I888,9),EventIndex)</f>
        <v>6</v>
      </c>
      <c r="S888" s="447">
        <f t="array" ref="S888">INDEX(MINVALUES,$Q888,$K$1)</f>
        <v>2.2</v>
      </c>
      <c r="T888" s="448">
        <f t="array" ref="T888">INDEX(INCVALUES,$Q888,$K$1)</f>
        <v>0.03</v>
      </c>
      <c r="V888">
        <f t="array" ref="V888">+J888+(4*(INDEX(MatchScoreTable,$Q888,20)-1))</f>
        <v>4</v>
      </c>
      <c r="W888" s="442">
        <f t="array" ref="W888">INDEX(INC_MINVALUES,$V888,$K$1)</f>
        <v>0.2</v>
      </c>
      <c r="X888" s="212">
        <f t="array" ref="X888">INDEX(INC_INCVALUES,$V888,$K$1)</f>
        <v>0.02</v>
      </c>
    </row>
    <row r="889" ht="15.75" customHeight="1">
      <c r="A889" s="435"/>
      <c r="B889" s="436"/>
      <c r="C889" s="95" t="str">
        <f t="array" ref="C889">IF(I889&gt;0,INDEX(DB,I889,8),"")</f>
        <v/>
      </c>
      <c r="D889" s="437">
        <f t="shared" si="1"/>
        <v>0</v>
      </c>
      <c r="F889" s="438">
        <f t="shared" si="2"/>
        <v>0</v>
      </c>
      <c r="G889" t="str">
        <f t="shared" si="3"/>
        <v/>
      </c>
      <c r="H889" t="b">
        <f t="shared" si="4"/>
        <v>0</v>
      </c>
      <c r="I889" s="439">
        <f>IF(OR(ISBLANK(A889),ISNA(MATCH(A889&amp;"",AthleteNumbers,0))),0,MATCH(A889&amp;"",AthleteNumbers,0))</f>
        <v>0</v>
      </c>
      <c r="J889" s="209">
        <f t="array" ref="J889">IF(I889&gt;0,INDEX(DB,$I889,6),0)</f>
        <v>0</v>
      </c>
      <c r="K889" s="446">
        <f t="shared" si="5"/>
        <v>0</v>
      </c>
      <c r="L889" s="446">
        <f t="shared" si="6"/>
        <v>0</v>
      </c>
      <c r="M889" s="441">
        <f>IF(L889&lt;O889,MinPoints,IF(AND(L889&gt;N889,O889&gt;0),100,+INT(($L889-O889)/P889)+MinPoints))</f>
        <v>10</v>
      </c>
      <c r="N889" s="440">
        <f t="shared" si="7"/>
        <v>4.9</v>
      </c>
      <c r="O889" s="440">
        <f t="shared" si="8"/>
        <v>2.2</v>
      </c>
      <c r="P889" s="440">
        <f t="shared" si="9"/>
        <v>0.03</v>
      </c>
      <c r="Q889">
        <f t="array" ref="Q889">IF(I889&gt;0,INDEX(DB,I889,9),EventIndex)</f>
        <v>6</v>
      </c>
      <c r="S889" s="447">
        <f t="array" ref="S889">INDEX(MINVALUES,$Q889,$K$1)</f>
        <v>2.2</v>
      </c>
      <c r="T889" s="448">
        <f t="array" ref="T889">INDEX(INCVALUES,$Q889,$K$1)</f>
        <v>0.03</v>
      </c>
      <c r="V889">
        <f t="array" ref="V889">+J889+(4*(INDEX(MatchScoreTable,$Q889,20)-1))</f>
        <v>4</v>
      </c>
      <c r="W889" s="442">
        <f t="array" ref="W889">INDEX(INC_MINVALUES,$V889,$K$1)</f>
        <v>0.2</v>
      </c>
      <c r="X889" s="212">
        <f t="array" ref="X889">INDEX(INC_INCVALUES,$V889,$K$1)</f>
        <v>0.02</v>
      </c>
    </row>
    <row r="890" ht="15.75" customHeight="1">
      <c r="A890" s="435"/>
      <c r="B890" s="436"/>
      <c r="C890" s="95" t="str">
        <f t="array" ref="C890">IF(I890&gt;0,INDEX(DB,I890,8),"")</f>
        <v/>
      </c>
      <c r="D890" s="437">
        <f t="shared" si="1"/>
        <v>0</v>
      </c>
      <c r="F890" s="438">
        <f t="shared" si="2"/>
        <v>0</v>
      </c>
      <c r="G890" t="str">
        <f t="shared" si="3"/>
        <v/>
      </c>
      <c r="H890" t="b">
        <f t="shared" si="4"/>
        <v>0</v>
      </c>
      <c r="I890" s="439">
        <f>IF(OR(ISBLANK(A890),ISNA(MATCH(A890&amp;"",AthleteNumbers,0))),0,MATCH(A890&amp;"",AthleteNumbers,0))</f>
        <v>0</v>
      </c>
      <c r="J890" s="209">
        <f t="array" ref="J890">IF(I890&gt;0,INDEX(DB,$I890,6),0)</f>
        <v>0</v>
      </c>
      <c r="K890" s="446">
        <f t="shared" si="5"/>
        <v>0</v>
      </c>
      <c r="L890" s="446">
        <f t="shared" si="6"/>
        <v>0</v>
      </c>
      <c r="M890" s="441">
        <f>IF(L890&lt;O890,MinPoints,IF(AND(L890&gt;N890,O890&gt;0),100,+INT(($L890-O890)/P890)+MinPoints))</f>
        <v>10</v>
      </c>
      <c r="N890" s="440">
        <f t="shared" si="7"/>
        <v>4.9</v>
      </c>
      <c r="O890" s="440">
        <f t="shared" si="8"/>
        <v>2.2</v>
      </c>
      <c r="P890" s="440">
        <f t="shared" si="9"/>
        <v>0.03</v>
      </c>
      <c r="Q890">
        <f t="array" ref="Q890">IF(I890&gt;0,INDEX(DB,I890,9),EventIndex)</f>
        <v>6</v>
      </c>
      <c r="S890" s="447">
        <f t="array" ref="S890">INDEX(MINVALUES,$Q890,$K$1)</f>
        <v>2.2</v>
      </c>
      <c r="T890" s="448">
        <f t="array" ref="T890">INDEX(INCVALUES,$Q890,$K$1)</f>
        <v>0.03</v>
      </c>
      <c r="V890">
        <f t="array" ref="V890">+J890+(4*(INDEX(MatchScoreTable,$Q890,20)-1))</f>
        <v>4</v>
      </c>
      <c r="W890" s="442">
        <f t="array" ref="W890">INDEX(INC_MINVALUES,$V890,$K$1)</f>
        <v>0.2</v>
      </c>
      <c r="X890" s="212">
        <f t="array" ref="X890">INDEX(INC_INCVALUES,$V890,$K$1)</f>
        <v>0.02</v>
      </c>
    </row>
    <row r="891" ht="15.75" customHeight="1">
      <c r="A891" s="435"/>
      <c r="B891" s="436"/>
      <c r="C891" s="95" t="str">
        <f t="array" ref="C891">IF(I891&gt;0,INDEX(DB,I891,8),"")</f>
        <v/>
      </c>
      <c r="D891" s="437">
        <f t="shared" si="1"/>
        <v>0</v>
      </c>
      <c r="F891" s="438">
        <f t="shared" si="2"/>
        <v>0</v>
      </c>
      <c r="G891" t="str">
        <f t="shared" si="3"/>
        <v/>
      </c>
      <c r="H891" t="b">
        <f t="shared" si="4"/>
        <v>0</v>
      </c>
      <c r="I891" s="439">
        <f>IF(OR(ISBLANK(A891),ISNA(MATCH(A891&amp;"",AthleteNumbers,0))),0,MATCH(A891&amp;"",AthleteNumbers,0))</f>
        <v>0</v>
      </c>
      <c r="J891" s="209">
        <f t="array" ref="J891">IF(I891&gt;0,INDEX(DB,$I891,6),0)</f>
        <v>0</v>
      </c>
      <c r="K891" s="446">
        <f t="shared" si="5"/>
        <v>0</v>
      </c>
      <c r="L891" s="446">
        <f t="shared" si="6"/>
        <v>0</v>
      </c>
      <c r="M891" s="441">
        <f>IF(L891&lt;O891,MinPoints,IF(AND(L891&gt;N891,O891&gt;0),100,+INT(($L891-O891)/P891)+MinPoints))</f>
        <v>10</v>
      </c>
      <c r="N891" s="440">
        <f t="shared" si="7"/>
        <v>4.9</v>
      </c>
      <c r="O891" s="440">
        <f t="shared" si="8"/>
        <v>2.2</v>
      </c>
      <c r="P891" s="440">
        <f t="shared" si="9"/>
        <v>0.03</v>
      </c>
      <c r="Q891">
        <f t="array" ref="Q891">IF(I891&gt;0,INDEX(DB,I891,9),EventIndex)</f>
        <v>6</v>
      </c>
      <c r="S891" s="447">
        <f t="array" ref="S891">INDEX(MINVALUES,$Q891,$K$1)</f>
        <v>2.2</v>
      </c>
      <c r="T891" s="448">
        <f t="array" ref="T891">INDEX(INCVALUES,$Q891,$K$1)</f>
        <v>0.03</v>
      </c>
      <c r="V891">
        <f t="array" ref="V891">+J891+(4*(INDEX(MatchScoreTable,$Q891,20)-1))</f>
        <v>4</v>
      </c>
      <c r="W891" s="442">
        <f t="array" ref="W891">INDEX(INC_MINVALUES,$V891,$K$1)</f>
        <v>0.2</v>
      </c>
      <c r="X891" s="212">
        <f t="array" ref="X891">INDEX(INC_INCVALUES,$V891,$K$1)</f>
        <v>0.02</v>
      </c>
    </row>
    <row r="892" ht="15.75" customHeight="1">
      <c r="A892" s="435"/>
      <c r="B892" s="436"/>
      <c r="C892" s="95" t="str">
        <f t="array" ref="C892">IF(I892&gt;0,INDEX(DB,I892,8),"")</f>
        <v/>
      </c>
      <c r="D892" s="437">
        <f t="shared" si="1"/>
        <v>0</v>
      </c>
      <c r="F892" s="438">
        <f t="shared" si="2"/>
        <v>0</v>
      </c>
      <c r="G892" t="str">
        <f t="shared" si="3"/>
        <v/>
      </c>
      <c r="H892" t="b">
        <f t="shared" si="4"/>
        <v>0</v>
      </c>
      <c r="I892" s="439">
        <f>IF(OR(ISBLANK(A892),ISNA(MATCH(A892&amp;"",AthleteNumbers,0))),0,MATCH(A892&amp;"",AthleteNumbers,0))</f>
        <v>0</v>
      </c>
      <c r="J892" s="209">
        <f t="array" ref="J892">IF(I892&gt;0,INDEX(DB,$I892,6),0)</f>
        <v>0</v>
      </c>
      <c r="K892" s="446">
        <f t="shared" si="5"/>
        <v>0</v>
      </c>
      <c r="L892" s="446">
        <f t="shared" si="6"/>
        <v>0</v>
      </c>
      <c r="M892" s="441">
        <f>IF(L892&lt;O892,MinPoints,IF(AND(L892&gt;N892,O892&gt;0),100,+INT(($L892-O892)/P892)+MinPoints))</f>
        <v>10</v>
      </c>
      <c r="N892" s="440">
        <f t="shared" si="7"/>
        <v>4.9</v>
      </c>
      <c r="O892" s="440">
        <f t="shared" si="8"/>
        <v>2.2</v>
      </c>
      <c r="P892" s="440">
        <f t="shared" si="9"/>
        <v>0.03</v>
      </c>
      <c r="Q892">
        <f t="array" ref="Q892">IF(I892&gt;0,INDEX(DB,I892,9),EventIndex)</f>
        <v>6</v>
      </c>
      <c r="S892" s="447">
        <f t="array" ref="S892">INDEX(MINVALUES,$Q892,$K$1)</f>
        <v>2.2</v>
      </c>
      <c r="T892" s="448">
        <f t="array" ref="T892">INDEX(INCVALUES,$Q892,$K$1)</f>
        <v>0.03</v>
      </c>
      <c r="V892">
        <f t="array" ref="V892">+J892+(4*(INDEX(MatchScoreTable,$Q892,20)-1))</f>
        <v>4</v>
      </c>
      <c r="W892" s="442">
        <f t="array" ref="W892">INDEX(INC_MINVALUES,$V892,$K$1)</f>
        <v>0.2</v>
      </c>
      <c r="X892" s="212">
        <f t="array" ref="X892">INDEX(INC_INCVALUES,$V892,$K$1)</f>
        <v>0.02</v>
      </c>
    </row>
    <row r="893" ht="15.75" customHeight="1">
      <c r="A893" s="435"/>
      <c r="B893" s="436"/>
      <c r="C893" s="95" t="str">
        <f t="array" ref="C893">IF(I893&gt;0,INDEX(DB,I893,8),"")</f>
        <v/>
      </c>
      <c r="D893" s="437">
        <f t="shared" si="1"/>
        <v>0</v>
      </c>
      <c r="F893" s="438">
        <f t="shared" si="2"/>
        <v>0</v>
      </c>
      <c r="G893" t="str">
        <f t="shared" si="3"/>
        <v/>
      </c>
      <c r="H893" t="b">
        <f t="shared" si="4"/>
        <v>0</v>
      </c>
      <c r="I893" s="439">
        <f>IF(OR(ISBLANK(A893),ISNA(MATCH(A893&amp;"",AthleteNumbers,0))),0,MATCH(A893&amp;"",AthleteNumbers,0))</f>
        <v>0</v>
      </c>
      <c r="J893" s="209">
        <f t="array" ref="J893">IF(I893&gt;0,INDEX(DB,$I893,6),0)</f>
        <v>0</v>
      </c>
      <c r="K893" s="446">
        <f t="shared" si="5"/>
        <v>0</v>
      </c>
      <c r="L893" s="446">
        <f t="shared" si="6"/>
        <v>0</v>
      </c>
      <c r="M893" s="441">
        <f>IF(L893&lt;O893,MinPoints,IF(AND(L893&gt;N893,O893&gt;0),100,+INT(($L893-O893)/P893)+MinPoints))</f>
        <v>10</v>
      </c>
      <c r="N893" s="440">
        <f t="shared" si="7"/>
        <v>4.9</v>
      </c>
      <c r="O893" s="440">
        <f t="shared" si="8"/>
        <v>2.2</v>
      </c>
      <c r="P893" s="440">
        <f t="shared" si="9"/>
        <v>0.03</v>
      </c>
      <c r="Q893">
        <f t="array" ref="Q893">IF(I893&gt;0,INDEX(DB,I893,9),EventIndex)</f>
        <v>6</v>
      </c>
      <c r="S893" s="447">
        <f t="array" ref="S893">INDEX(MINVALUES,$Q893,$K$1)</f>
        <v>2.2</v>
      </c>
      <c r="T893" s="448">
        <f t="array" ref="T893">INDEX(INCVALUES,$Q893,$K$1)</f>
        <v>0.03</v>
      </c>
      <c r="V893">
        <f t="array" ref="V893">+J893+(4*(INDEX(MatchScoreTable,$Q893,20)-1))</f>
        <v>4</v>
      </c>
      <c r="W893" s="442">
        <f t="array" ref="W893">INDEX(INC_MINVALUES,$V893,$K$1)</f>
        <v>0.2</v>
      </c>
      <c r="X893" s="212">
        <f t="array" ref="X893">INDEX(INC_INCVALUES,$V893,$K$1)</f>
        <v>0.02</v>
      </c>
    </row>
    <row r="894" ht="15.75" customHeight="1">
      <c r="A894" s="435"/>
      <c r="B894" s="436"/>
      <c r="C894" s="95" t="str">
        <f t="array" ref="C894">IF(I894&gt;0,INDEX(DB,I894,8),"")</f>
        <v/>
      </c>
      <c r="D894" s="437">
        <f t="shared" si="1"/>
        <v>0</v>
      </c>
      <c r="F894" s="438">
        <f t="shared" si="2"/>
        <v>0</v>
      </c>
      <c r="G894" t="str">
        <f t="shared" si="3"/>
        <v/>
      </c>
      <c r="H894" t="b">
        <f t="shared" si="4"/>
        <v>0</v>
      </c>
      <c r="I894" s="439">
        <f>IF(OR(ISBLANK(A894),ISNA(MATCH(A894&amp;"",AthleteNumbers,0))),0,MATCH(A894&amp;"",AthleteNumbers,0))</f>
        <v>0</v>
      </c>
      <c r="J894" s="209">
        <f t="array" ref="J894">IF(I894&gt;0,INDEX(DB,$I894,6),0)</f>
        <v>0</v>
      </c>
      <c r="K894" s="446">
        <f t="shared" si="5"/>
        <v>0</v>
      </c>
      <c r="L894" s="446">
        <f t="shared" si="6"/>
        <v>0</v>
      </c>
      <c r="M894" s="441">
        <f>IF(L894&lt;O894,MinPoints,IF(AND(L894&gt;N894,O894&gt;0),100,+INT(($L894-O894)/P894)+MinPoints))</f>
        <v>10</v>
      </c>
      <c r="N894" s="440">
        <f t="shared" si="7"/>
        <v>4.9</v>
      </c>
      <c r="O894" s="440">
        <f t="shared" si="8"/>
        <v>2.2</v>
      </c>
      <c r="P894" s="440">
        <f t="shared" si="9"/>
        <v>0.03</v>
      </c>
      <c r="Q894">
        <f t="array" ref="Q894">IF(I894&gt;0,INDEX(DB,I894,9),EventIndex)</f>
        <v>6</v>
      </c>
      <c r="S894" s="447">
        <f t="array" ref="S894">INDEX(MINVALUES,$Q894,$K$1)</f>
        <v>2.2</v>
      </c>
      <c r="T894" s="448">
        <f t="array" ref="T894">INDEX(INCVALUES,$Q894,$K$1)</f>
        <v>0.03</v>
      </c>
      <c r="V894">
        <f t="array" ref="V894">+J894+(4*(INDEX(MatchScoreTable,$Q894,20)-1))</f>
        <v>4</v>
      </c>
      <c r="W894" s="442">
        <f t="array" ref="W894">INDEX(INC_MINVALUES,$V894,$K$1)</f>
        <v>0.2</v>
      </c>
      <c r="X894" s="212">
        <f t="array" ref="X894">INDEX(INC_INCVALUES,$V894,$K$1)</f>
        <v>0.02</v>
      </c>
    </row>
    <row r="895" ht="15.75" customHeight="1">
      <c r="A895" s="435"/>
      <c r="B895" s="436"/>
      <c r="C895" s="95" t="str">
        <f t="array" ref="C895">IF(I895&gt;0,INDEX(DB,I895,8),"")</f>
        <v/>
      </c>
      <c r="D895" s="437">
        <f t="shared" si="1"/>
        <v>0</v>
      </c>
      <c r="F895" s="438">
        <f t="shared" si="2"/>
        <v>0</v>
      </c>
      <c r="G895" t="str">
        <f t="shared" si="3"/>
        <v/>
      </c>
      <c r="H895" t="b">
        <f t="shared" si="4"/>
        <v>0</v>
      </c>
      <c r="I895" s="439">
        <f>IF(OR(ISBLANK(A895),ISNA(MATCH(A895&amp;"",AthleteNumbers,0))),0,MATCH(A895&amp;"",AthleteNumbers,0))</f>
        <v>0</v>
      </c>
      <c r="J895" s="209">
        <f t="array" ref="J895">IF(I895&gt;0,INDEX(DB,$I895,6),0)</f>
        <v>0</v>
      </c>
      <c r="K895" s="446">
        <f t="shared" si="5"/>
        <v>0</v>
      </c>
      <c r="L895" s="446">
        <f t="shared" si="6"/>
        <v>0</v>
      </c>
      <c r="M895" s="441">
        <f>IF(L895&lt;O895,MinPoints,IF(AND(L895&gt;N895,O895&gt;0),100,+INT(($L895-O895)/P895)+MinPoints))</f>
        <v>10</v>
      </c>
      <c r="N895" s="440">
        <f t="shared" si="7"/>
        <v>4.9</v>
      </c>
      <c r="O895" s="440">
        <f t="shared" si="8"/>
        <v>2.2</v>
      </c>
      <c r="P895" s="440">
        <f t="shared" si="9"/>
        <v>0.03</v>
      </c>
      <c r="Q895">
        <f t="array" ref="Q895">IF(I895&gt;0,INDEX(DB,I895,9),EventIndex)</f>
        <v>6</v>
      </c>
      <c r="S895" s="447">
        <f t="array" ref="S895">INDEX(MINVALUES,$Q895,$K$1)</f>
        <v>2.2</v>
      </c>
      <c r="T895" s="448">
        <f t="array" ref="T895">INDEX(INCVALUES,$Q895,$K$1)</f>
        <v>0.03</v>
      </c>
      <c r="V895">
        <f t="array" ref="V895">+J895+(4*(INDEX(MatchScoreTable,$Q895,20)-1))</f>
        <v>4</v>
      </c>
      <c r="W895" s="442">
        <f t="array" ref="W895">INDEX(INC_MINVALUES,$V895,$K$1)</f>
        <v>0.2</v>
      </c>
      <c r="X895" s="212">
        <f t="array" ref="X895">INDEX(INC_INCVALUES,$V895,$K$1)</f>
        <v>0.02</v>
      </c>
    </row>
    <row r="896" ht="15.75" customHeight="1">
      <c r="A896" s="435"/>
      <c r="B896" s="436"/>
      <c r="C896" s="95" t="str">
        <f t="array" ref="C896">IF(I896&gt;0,INDEX(DB,I896,8),"")</f>
        <v/>
      </c>
      <c r="D896" s="437">
        <f t="shared" si="1"/>
        <v>0</v>
      </c>
      <c r="F896" s="438">
        <f t="shared" si="2"/>
        <v>0</v>
      </c>
      <c r="G896" t="str">
        <f t="shared" si="3"/>
        <v/>
      </c>
      <c r="H896" t="b">
        <f t="shared" si="4"/>
        <v>0</v>
      </c>
      <c r="I896" s="439">
        <f>IF(OR(ISBLANK(A896),ISNA(MATCH(A896&amp;"",AthleteNumbers,0))),0,MATCH(A896&amp;"",AthleteNumbers,0))</f>
        <v>0</v>
      </c>
      <c r="J896" s="209">
        <f t="array" ref="J896">IF(I896&gt;0,INDEX(DB,$I896,6),0)</f>
        <v>0</v>
      </c>
      <c r="K896" s="446">
        <f t="shared" si="5"/>
        <v>0</v>
      </c>
      <c r="L896" s="446">
        <f t="shared" si="6"/>
        <v>0</v>
      </c>
      <c r="M896" s="441">
        <f>IF(L896&lt;O896,MinPoints,IF(AND(L896&gt;N896,O896&gt;0),100,+INT(($L896-O896)/P896)+MinPoints))</f>
        <v>10</v>
      </c>
      <c r="N896" s="440">
        <f t="shared" si="7"/>
        <v>4.9</v>
      </c>
      <c r="O896" s="440">
        <f t="shared" si="8"/>
        <v>2.2</v>
      </c>
      <c r="P896" s="440">
        <f t="shared" si="9"/>
        <v>0.03</v>
      </c>
      <c r="Q896">
        <f t="array" ref="Q896">IF(I896&gt;0,INDEX(DB,I896,9),EventIndex)</f>
        <v>6</v>
      </c>
      <c r="S896" s="447">
        <f t="array" ref="S896">INDEX(MINVALUES,$Q896,$K$1)</f>
        <v>2.2</v>
      </c>
      <c r="T896" s="448">
        <f t="array" ref="T896">INDEX(INCVALUES,$Q896,$K$1)</f>
        <v>0.03</v>
      </c>
      <c r="V896">
        <f t="array" ref="V896">+J896+(4*(INDEX(MatchScoreTable,$Q896,20)-1))</f>
        <v>4</v>
      </c>
      <c r="W896" s="442">
        <f t="array" ref="W896">INDEX(INC_MINVALUES,$V896,$K$1)</f>
        <v>0.2</v>
      </c>
      <c r="X896" s="212">
        <f t="array" ref="X896">INDEX(INC_INCVALUES,$V896,$K$1)</f>
        <v>0.02</v>
      </c>
    </row>
    <row r="897" ht="15.75" customHeight="1">
      <c r="A897" s="435"/>
      <c r="B897" s="436"/>
      <c r="C897" s="95" t="str">
        <f t="array" ref="C897">IF(I897&gt;0,INDEX(DB,I897,8),"")</f>
        <v/>
      </c>
      <c r="D897" s="437">
        <f t="shared" si="1"/>
        <v>0</v>
      </c>
      <c r="F897" s="438">
        <f t="shared" si="2"/>
        <v>0</v>
      </c>
      <c r="G897" t="str">
        <f t="shared" si="3"/>
        <v/>
      </c>
      <c r="H897" t="b">
        <f t="shared" si="4"/>
        <v>0</v>
      </c>
      <c r="I897" s="439">
        <f>IF(OR(ISBLANK(A897),ISNA(MATCH(A897&amp;"",AthleteNumbers,0))),0,MATCH(A897&amp;"",AthleteNumbers,0))</f>
        <v>0</v>
      </c>
      <c r="J897" s="209">
        <f t="array" ref="J897">IF(I897&gt;0,INDEX(DB,$I897,6),0)</f>
        <v>0</v>
      </c>
      <c r="K897" s="446">
        <f t="shared" si="5"/>
        <v>0</v>
      </c>
      <c r="L897" s="446">
        <f t="shared" si="6"/>
        <v>0</v>
      </c>
      <c r="M897" s="441">
        <f>IF(L897&lt;O897,MinPoints,IF(AND(L897&gt;N897,O897&gt;0),100,+INT(($L897-O897)/P897)+MinPoints))</f>
        <v>10</v>
      </c>
      <c r="N897" s="440">
        <f t="shared" si="7"/>
        <v>4.9</v>
      </c>
      <c r="O897" s="440">
        <f t="shared" si="8"/>
        <v>2.2</v>
      </c>
      <c r="P897" s="440">
        <f t="shared" si="9"/>
        <v>0.03</v>
      </c>
      <c r="Q897">
        <f t="array" ref="Q897">IF(I897&gt;0,INDEX(DB,I897,9),EventIndex)</f>
        <v>6</v>
      </c>
      <c r="S897" s="447">
        <f t="array" ref="S897">INDEX(MINVALUES,$Q897,$K$1)</f>
        <v>2.2</v>
      </c>
      <c r="T897" s="448">
        <f t="array" ref="T897">INDEX(INCVALUES,$Q897,$K$1)</f>
        <v>0.03</v>
      </c>
      <c r="V897">
        <f t="array" ref="V897">+J897+(4*(INDEX(MatchScoreTable,$Q897,20)-1))</f>
        <v>4</v>
      </c>
      <c r="W897" s="442">
        <f t="array" ref="W897">INDEX(INC_MINVALUES,$V897,$K$1)</f>
        <v>0.2</v>
      </c>
      <c r="X897" s="212">
        <f t="array" ref="X897">INDEX(INC_INCVALUES,$V897,$K$1)</f>
        <v>0.02</v>
      </c>
    </row>
    <row r="898" ht="15.75" customHeight="1">
      <c r="A898" s="435"/>
      <c r="B898" s="436"/>
      <c r="C898" s="95" t="str">
        <f t="array" ref="C898">IF(I898&gt;0,INDEX(DB,I898,8),"")</f>
        <v/>
      </c>
      <c r="D898" s="437">
        <f t="shared" si="1"/>
        <v>0</v>
      </c>
      <c r="F898" s="438">
        <f t="shared" si="2"/>
        <v>0</v>
      </c>
      <c r="G898" t="str">
        <f t="shared" si="3"/>
        <v/>
      </c>
      <c r="H898" t="b">
        <f t="shared" si="4"/>
        <v>0</v>
      </c>
      <c r="I898" s="439">
        <f>IF(OR(ISBLANK(A898),ISNA(MATCH(A898&amp;"",AthleteNumbers,0))),0,MATCH(A898&amp;"",AthleteNumbers,0))</f>
        <v>0</v>
      </c>
      <c r="J898" s="209">
        <f t="array" ref="J898">IF(I898&gt;0,INDEX(DB,$I898,6),0)</f>
        <v>0</v>
      </c>
      <c r="K898" s="446">
        <f t="shared" si="5"/>
        <v>0</v>
      </c>
      <c r="L898" s="446">
        <f t="shared" si="6"/>
        <v>0</v>
      </c>
      <c r="M898" s="441">
        <f>IF(L898&lt;O898,MinPoints,IF(AND(L898&gt;N898,O898&gt;0),100,+INT(($L898-O898)/P898)+MinPoints))</f>
        <v>10</v>
      </c>
      <c r="N898" s="440">
        <f t="shared" si="7"/>
        <v>4.9</v>
      </c>
      <c r="O898" s="440">
        <f t="shared" si="8"/>
        <v>2.2</v>
      </c>
      <c r="P898" s="440">
        <f t="shared" si="9"/>
        <v>0.03</v>
      </c>
      <c r="Q898">
        <f t="array" ref="Q898">IF(I898&gt;0,INDEX(DB,I898,9),EventIndex)</f>
        <v>6</v>
      </c>
      <c r="S898" s="447">
        <f t="array" ref="S898">INDEX(MINVALUES,$Q898,$K$1)</f>
        <v>2.2</v>
      </c>
      <c r="T898" s="448">
        <f t="array" ref="T898">INDEX(INCVALUES,$Q898,$K$1)</f>
        <v>0.03</v>
      </c>
      <c r="V898">
        <f t="array" ref="V898">+J898+(4*(INDEX(MatchScoreTable,$Q898,20)-1))</f>
        <v>4</v>
      </c>
      <c r="W898" s="442">
        <f t="array" ref="W898">INDEX(INC_MINVALUES,$V898,$K$1)</f>
        <v>0.2</v>
      </c>
      <c r="X898" s="212">
        <f t="array" ref="X898">INDEX(INC_INCVALUES,$V898,$K$1)</f>
        <v>0.02</v>
      </c>
    </row>
    <row r="899" ht="15.75" customHeight="1">
      <c r="A899" s="435"/>
      <c r="B899" s="436"/>
      <c r="C899" s="95" t="str">
        <f t="array" ref="C899">IF(I899&gt;0,INDEX(DB,I899,8),"")</f>
        <v/>
      </c>
      <c r="D899" s="437">
        <f t="shared" si="1"/>
        <v>0</v>
      </c>
      <c r="F899" s="438">
        <f t="shared" si="2"/>
        <v>0</v>
      </c>
      <c r="G899" t="str">
        <f t="shared" si="3"/>
        <v/>
      </c>
      <c r="H899" t="b">
        <f t="shared" si="4"/>
        <v>0</v>
      </c>
      <c r="I899" s="439">
        <f>IF(OR(ISBLANK(A899),ISNA(MATCH(A899&amp;"",AthleteNumbers,0))),0,MATCH(A899&amp;"",AthleteNumbers,0))</f>
        <v>0</v>
      </c>
      <c r="J899" s="209">
        <f t="array" ref="J899">IF(I899&gt;0,INDEX(DB,$I899,6),0)</f>
        <v>0</v>
      </c>
      <c r="K899" s="446">
        <f t="shared" si="5"/>
        <v>0</v>
      </c>
      <c r="L899" s="446">
        <f t="shared" si="6"/>
        <v>0</v>
      </c>
      <c r="M899" s="441">
        <f>IF(L899&lt;O899,MinPoints,IF(AND(L899&gt;N899,O899&gt;0),100,+INT(($L899-O899)/P899)+MinPoints))</f>
        <v>10</v>
      </c>
      <c r="N899" s="440">
        <f t="shared" si="7"/>
        <v>4.9</v>
      </c>
      <c r="O899" s="440">
        <f t="shared" si="8"/>
        <v>2.2</v>
      </c>
      <c r="P899" s="440">
        <f t="shared" si="9"/>
        <v>0.03</v>
      </c>
      <c r="Q899">
        <f t="array" ref="Q899">IF(I899&gt;0,INDEX(DB,I899,9),EventIndex)</f>
        <v>6</v>
      </c>
      <c r="S899" s="447">
        <f t="array" ref="S899">INDEX(MINVALUES,$Q899,$K$1)</f>
        <v>2.2</v>
      </c>
      <c r="T899" s="448">
        <f t="array" ref="T899">INDEX(INCVALUES,$Q899,$K$1)</f>
        <v>0.03</v>
      </c>
      <c r="V899">
        <f t="array" ref="V899">+J899+(4*(INDEX(MatchScoreTable,$Q899,20)-1))</f>
        <v>4</v>
      </c>
      <c r="W899" s="442">
        <f t="array" ref="W899">INDEX(INC_MINVALUES,$V899,$K$1)</f>
        <v>0.2</v>
      </c>
      <c r="X899" s="212">
        <f t="array" ref="X899">INDEX(INC_INCVALUES,$V899,$K$1)</f>
        <v>0.02</v>
      </c>
    </row>
    <row r="900" ht="15.75" customHeight="1">
      <c r="A900" s="435"/>
      <c r="B900" s="436"/>
      <c r="C900" s="95" t="str">
        <f t="array" ref="C900">IF(I900&gt;0,INDEX(DB,I900,8),"")</f>
        <v/>
      </c>
      <c r="D900" s="437">
        <f t="shared" si="1"/>
        <v>0</v>
      </c>
      <c r="F900" s="438">
        <f t="shared" si="2"/>
        <v>0</v>
      </c>
      <c r="G900" t="str">
        <f t="shared" si="3"/>
        <v/>
      </c>
      <c r="H900" t="b">
        <f t="shared" si="4"/>
        <v>0</v>
      </c>
      <c r="I900" s="439">
        <f>IF(OR(ISBLANK(A900),ISNA(MATCH(A900&amp;"",AthleteNumbers,0))),0,MATCH(A900&amp;"",AthleteNumbers,0))</f>
        <v>0</v>
      </c>
      <c r="J900" s="209">
        <f t="array" ref="J900">IF(I900&gt;0,INDEX(DB,$I900,6),0)</f>
        <v>0</v>
      </c>
      <c r="K900" s="446">
        <f t="shared" si="5"/>
        <v>0</v>
      </c>
      <c r="L900" s="446">
        <f t="shared" si="6"/>
        <v>0</v>
      </c>
      <c r="M900" s="441">
        <f>IF(L900&lt;O900,MinPoints,IF(AND(L900&gt;N900,O900&gt;0),100,+INT(($L900-O900)/P900)+MinPoints))</f>
        <v>10</v>
      </c>
      <c r="N900" s="440">
        <f t="shared" si="7"/>
        <v>4.9</v>
      </c>
      <c r="O900" s="440">
        <f t="shared" si="8"/>
        <v>2.2</v>
      </c>
      <c r="P900" s="440">
        <f t="shared" si="9"/>
        <v>0.03</v>
      </c>
      <c r="Q900">
        <f t="array" ref="Q900">IF(I900&gt;0,INDEX(DB,I900,9),EventIndex)</f>
        <v>6</v>
      </c>
      <c r="S900" s="447">
        <f t="array" ref="S900">INDEX(MINVALUES,$Q900,$K$1)</f>
        <v>2.2</v>
      </c>
      <c r="T900" s="448">
        <f t="array" ref="T900">INDEX(INCVALUES,$Q900,$K$1)</f>
        <v>0.03</v>
      </c>
      <c r="V900">
        <f t="array" ref="V900">+J900+(4*(INDEX(MatchScoreTable,$Q900,20)-1))</f>
        <v>4</v>
      </c>
      <c r="W900" s="442">
        <f t="array" ref="W900">INDEX(INC_MINVALUES,$V900,$K$1)</f>
        <v>0.2</v>
      </c>
      <c r="X900" s="212">
        <f t="array" ref="X900">INDEX(INC_INCVALUES,$V900,$K$1)</f>
        <v>0.02</v>
      </c>
    </row>
    <row r="901" ht="15.75" customHeight="1">
      <c r="A901" s="435"/>
      <c r="B901" s="436"/>
      <c r="C901" s="95" t="str">
        <f t="array" ref="C901">IF(I901&gt;0,INDEX(DB,I901,8),"")</f>
        <v/>
      </c>
      <c r="D901" s="437">
        <f t="shared" si="1"/>
        <v>0</v>
      </c>
      <c r="F901" s="438">
        <f t="shared" si="2"/>
        <v>0</v>
      </c>
      <c r="G901" t="str">
        <f t="shared" si="3"/>
        <v/>
      </c>
      <c r="H901" t="b">
        <f t="shared" si="4"/>
        <v>0</v>
      </c>
      <c r="I901" s="439">
        <f>IF(OR(ISBLANK(A901),ISNA(MATCH(A901&amp;"",AthleteNumbers,0))),0,MATCH(A901&amp;"",AthleteNumbers,0))</f>
        <v>0</v>
      </c>
      <c r="J901" s="209">
        <f t="array" ref="J901">IF(I901&gt;0,INDEX(DB,$I901,6),0)</f>
        <v>0</v>
      </c>
      <c r="K901" s="446">
        <f t="shared" si="5"/>
        <v>0</v>
      </c>
      <c r="L901" s="446">
        <f t="shared" si="6"/>
        <v>0</v>
      </c>
      <c r="M901" s="441">
        <f>IF(L901&lt;O901,MinPoints,IF(AND(L901&gt;N901,O901&gt;0),100,+INT(($L901-O901)/P901)+MinPoints))</f>
        <v>10</v>
      </c>
      <c r="N901" s="440">
        <f t="shared" si="7"/>
        <v>4.9</v>
      </c>
      <c r="O901" s="440">
        <f t="shared" si="8"/>
        <v>2.2</v>
      </c>
      <c r="P901" s="440">
        <f t="shared" si="9"/>
        <v>0.03</v>
      </c>
      <c r="Q901">
        <f t="array" ref="Q901">IF(I901&gt;0,INDEX(DB,I901,9),EventIndex)</f>
        <v>6</v>
      </c>
      <c r="S901" s="447">
        <f t="array" ref="S901">INDEX(MINVALUES,$Q901,$K$1)</f>
        <v>2.2</v>
      </c>
      <c r="T901" s="448">
        <f t="array" ref="T901">INDEX(INCVALUES,$Q901,$K$1)</f>
        <v>0.03</v>
      </c>
      <c r="V901">
        <f t="array" ref="V901">+J901+(4*(INDEX(MatchScoreTable,$Q901,20)-1))</f>
        <v>4</v>
      </c>
      <c r="W901" s="442">
        <f t="array" ref="W901">INDEX(INC_MINVALUES,$V901,$K$1)</f>
        <v>0.2</v>
      </c>
      <c r="X901" s="212">
        <f t="array" ref="X901">INDEX(INC_INCVALUES,$V901,$K$1)</f>
        <v>0.02</v>
      </c>
    </row>
    <row r="902" ht="15.75" customHeight="1">
      <c r="A902" s="435"/>
      <c r="B902" s="436"/>
      <c r="C902" s="95" t="str">
        <f t="array" ref="C902">IF(I902&gt;0,INDEX(DB,I902,8),"")</f>
        <v/>
      </c>
      <c r="D902" s="437">
        <f t="shared" si="1"/>
        <v>0</v>
      </c>
      <c r="F902" s="438">
        <f t="shared" si="2"/>
        <v>0</v>
      </c>
      <c r="G902" t="str">
        <f t="shared" si="3"/>
        <v/>
      </c>
      <c r="H902" t="b">
        <f t="shared" si="4"/>
        <v>0</v>
      </c>
      <c r="I902" s="439">
        <f>IF(OR(ISBLANK(A902),ISNA(MATCH(A902&amp;"",AthleteNumbers,0))),0,MATCH(A902&amp;"",AthleteNumbers,0))</f>
        <v>0</v>
      </c>
      <c r="J902" s="209">
        <f t="array" ref="J902">IF(I902&gt;0,INDEX(DB,$I902,6),0)</f>
        <v>0</v>
      </c>
      <c r="K902" s="446">
        <f t="shared" si="5"/>
        <v>0</v>
      </c>
      <c r="L902" s="446">
        <f t="shared" si="6"/>
        <v>0</v>
      </c>
      <c r="M902" s="441">
        <f>IF(L902&lt;O902,MinPoints,IF(AND(L902&gt;N902,O902&gt;0),100,+INT(($L902-O902)/P902)+MinPoints))</f>
        <v>10</v>
      </c>
      <c r="N902" s="440">
        <f t="shared" si="7"/>
        <v>4.9</v>
      </c>
      <c r="O902" s="440">
        <f t="shared" si="8"/>
        <v>2.2</v>
      </c>
      <c r="P902" s="440">
        <f t="shared" si="9"/>
        <v>0.03</v>
      </c>
      <c r="Q902">
        <f t="array" ref="Q902">IF(I902&gt;0,INDEX(DB,I902,9),EventIndex)</f>
        <v>6</v>
      </c>
      <c r="S902" s="447">
        <f t="array" ref="S902">INDEX(MINVALUES,$Q902,$K$1)</f>
        <v>2.2</v>
      </c>
      <c r="T902" s="448">
        <f t="array" ref="T902">INDEX(INCVALUES,$Q902,$K$1)</f>
        <v>0.03</v>
      </c>
      <c r="V902">
        <f t="array" ref="V902">+J902+(4*(INDEX(MatchScoreTable,$Q902,20)-1))</f>
        <v>4</v>
      </c>
      <c r="W902" s="442">
        <f t="array" ref="W902">INDEX(INC_MINVALUES,$V902,$K$1)</f>
        <v>0.2</v>
      </c>
      <c r="X902" s="212">
        <f t="array" ref="X902">INDEX(INC_INCVALUES,$V902,$K$1)</f>
        <v>0.02</v>
      </c>
    </row>
    <row r="903" ht="15.75" customHeight="1">
      <c r="A903" s="435"/>
      <c r="B903" s="436"/>
      <c r="C903" s="95" t="str">
        <f t="array" ref="C903">IF(I903&gt;0,INDEX(DB,I903,8),"")</f>
        <v/>
      </c>
      <c r="D903" s="437">
        <f t="shared" si="1"/>
        <v>0</v>
      </c>
      <c r="F903" s="438">
        <f t="shared" si="2"/>
        <v>0</v>
      </c>
      <c r="G903" t="str">
        <f t="shared" si="3"/>
        <v/>
      </c>
      <c r="H903" t="b">
        <f t="shared" si="4"/>
        <v>0</v>
      </c>
      <c r="I903" s="439">
        <f>IF(OR(ISBLANK(A903),ISNA(MATCH(A903&amp;"",AthleteNumbers,0))),0,MATCH(A903&amp;"",AthleteNumbers,0))</f>
        <v>0</v>
      </c>
      <c r="J903" s="209">
        <f t="array" ref="J903">IF(I903&gt;0,INDEX(DB,$I903,6),0)</f>
        <v>0</v>
      </c>
      <c r="K903" s="446">
        <f t="shared" si="5"/>
        <v>0</v>
      </c>
      <c r="L903" s="446">
        <f t="shared" si="6"/>
        <v>0</v>
      </c>
      <c r="M903" s="441">
        <f>IF(L903&lt;O903,MinPoints,IF(AND(L903&gt;N903,O903&gt;0),100,+INT(($L903-O903)/P903)+MinPoints))</f>
        <v>10</v>
      </c>
      <c r="N903" s="440">
        <f t="shared" si="7"/>
        <v>4.9</v>
      </c>
      <c r="O903" s="440">
        <f t="shared" si="8"/>
        <v>2.2</v>
      </c>
      <c r="P903" s="440">
        <f t="shared" si="9"/>
        <v>0.03</v>
      </c>
      <c r="Q903">
        <f t="array" ref="Q903">IF(I903&gt;0,INDEX(DB,I903,9),EventIndex)</f>
        <v>6</v>
      </c>
      <c r="S903" s="447">
        <f t="array" ref="S903">INDEX(MINVALUES,$Q903,$K$1)</f>
        <v>2.2</v>
      </c>
      <c r="T903" s="448">
        <f t="array" ref="T903">INDEX(INCVALUES,$Q903,$K$1)</f>
        <v>0.03</v>
      </c>
      <c r="V903">
        <f t="array" ref="V903">+J903+(4*(INDEX(MatchScoreTable,$Q903,20)-1))</f>
        <v>4</v>
      </c>
      <c r="W903" s="442">
        <f t="array" ref="W903">INDEX(INC_MINVALUES,$V903,$K$1)</f>
        <v>0.2</v>
      </c>
      <c r="X903" s="212">
        <f t="array" ref="X903">INDEX(INC_INCVALUES,$V903,$K$1)</f>
        <v>0.02</v>
      </c>
    </row>
    <row r="904" ht="15.75" customHeight="1">
      <c r="A904" s="435"/>
      <c r="B904" s="436"/>
      <c r="C904" s="95" t="str">
        <f t="array" ref="C904">IF(I904&gt;0,INDEX(DB,I904,8),"")</f>
        <v/>
      </c>
      <c r="D904" s="437">
        <f t="shared" si="1"/>
        <v>0</v>
      </c>
      <c r="F904" s="438">
        <f t="shared" si="2"/>
        <v>0</v>
      </c>
      <c r="G904" t="str">
        <f t="shared" si="3"/>
        <v/>
      </c>
      <c r="H904" t="b">
        <f t="shared" si="4"/>
        <v>0</v>
      </c>
      <c r="I904" s="439">
        <f>IF(OR(ISBLANK(A904),ISNA(MATCH(A904&amp;"",AthleteNumbers,0))),0,MATCH(A904&amp;"",AthleteNumbers,0))</f>
        <v>0</v>
      </c>
      <c r="J904" s="209">
        <f t="array" ref="J904">IF(I904&gt;0,INDEX(DB,$I904,6),0)</f>
        <v>0</v>
      </c>
      <c r="K904" s="446">
        <f t="shared" si="5"/>
        <v>0</v>
      </c>
      <c r="L904" s="446">
        <f t="shared" si="6"/>
        <v>0</v>
      </c>
      <c r="M904" s="441">
        <f>IF(L904&lt;O904,MinPoints,IF(AND(L904&gt;N904,O904&gt;0),100,+INT(($L904-O904)/P904)+MinPoints))</f>
        <v>10</v>
      </c>
      <c r="N904" s="440">
        <f t="shared" si="7"/>
        <v>4.9</v>
      </c>
      <c r="O904" s="440">
        <f t="shared" si="8"/>
        <v>2.2</v>
      </c>
      <c r="P904" s="440">
        <f t="shared" si="9"/>
        <v>0.03</v>
      </c>
      <c r="Q904">
        <f t="array" ref="Q904">IF(I904&gt;0,INDEX(DB,I904,9),EventIndex)</f>
        <v>6</v>
      </c>
      <c r="S904" s="447">
        <f t="array" ref="S904">INDEX(MINVALUES,$Q904,$K$1)</f>
        <v>2.2</v>
      </c>
      <c r="T904" s="448">
        <f t="array" ref="T904">INDEX(INCVALUES,$Q904,$K$1)</f>
        <v>0.03</v>
      </c>
      <c r="V904">
        <f t="array" ref="V904">+J904+(4*(INDEX(MatchScoreTable,$Q904,20)-1))</f>
        <v>4</v>
      </c>
      <c r="W904" s="442">
        <f t="array" ref="W904">INDEX(INC_MINVALUES,$V904,$K$1)</f>
        <v>0.2</v>
      </c>
      <c r="X904" s="212">
        <f t="array" ref="X904">INDEX(INC_INCVALUES,$V904,$K$1)</f>
        <v>0.02</v>
      </c>
    </row>
    <row r="905" ht="15.75" customHeight="1">
      <c r="A905" s="435"/>
      <c r="B905" s="436"/>
      <c r="C905" s="95" t="str">
        <f t="array" ref="C905">IF(I905&gt;0,INDEX(DB,I905,8),"")</f>
        <v/>
      </c>
      <c r="D905" s="437">
        <f t="shared" si="1"/>
        <v>0</v>
      </c>
      <c r="F905" s="438">
        <f t="shared" si="2"/>
        <v>0</v>
      </c>
      <c r="G905" t="str">
        <f t="shared" si="3"/>
        <v/>
      </c>
      <c r="H905" t="b">
        <f t="shared" si="4"/>
        <v>0</v>
      </c>
      <c r="I905" s="439">
        <f>IF(OR(ISBLANK(A905),ISNA(MATCH(A905&amp;"",AthleteNumbers,0))),0,MATCH(A905&amp;"",AthleteNumbers,0))</f>
        <v>0</v>
      </c>
      <c r="J905" s="209">
        <f t="array" ref="J905">IF(I905&gt;0,INDEX(DB,$I905,6),0)</f>
        <v>0</v>
      </c>
      <c r="K905" s="446">
        <f t="shared" si="5"/>
        <v>0</v>
      </c>
      <c r="L905" s="446">
        <f t="shared" si="6"/>
        <v>0</v>
      </c>
      <c r="M905" s="441">
        <f>IF(L905&lt;O905,MinPoints,IF(AND(L905&gt;N905,O905&gt;0),100,+INT(($L905-O905)/P905)+MinPoints))</f>
        <v>10</v>
      </c>
      <c r="N905" s="440">
        <f t="shared" si="7"/>
        <v>4.9</v>
      </c>
      <c r="O905" s="440">
        <f t="shared" si="8"/>
        <v>2.2</v>
      </c>
      <c r="P905" s="440">
        <f t="shared" si="9"/>
        <v>0.03</v>
      </c>
      <c r="Q905">
        <f t="array" ref="Q905">IF(I905&gt;0,INDEX(DB,I905,9),EventIndex)</f>
        <v>6</v>
      </c>
      <c r="S905" s="447">
        <f t="array" ref="S905">INDEX(MINVALUES,$Q905,$K$1)</f>
        <v>2.2</v>
      </c>
      <c r="T905" s="448">
        <f t="array" ref="T905">INDEX(INCVALUES,$Q905,$K$1)</f>
        <v>0.03</v>
      </c>
      <c r="V905">
        <f t="array" ref="V905">+J905+(4*(INDEX(MatchScoreTable,$Q905,20)-1))</f>
        <v>4</v>
      </c>
      <c r="W905" s="442">
        <f t="array" ref="W905">INDEX(INC_MINVALUES,$V905,$K$1)</f>
        <v>0.2</v>
      </c>
      <c r="X905" s="212">
        <f t="array" ref="X905">INDEX(INC_INCVALUES,$V905,$K$1)</f>
        <v>0.02</v>
      </c>
    </row>
    <row r="906" ht="15.75" customHeight="1">
      <c r="A906" s="435"/>
      <c r="B906" s="436"/>
      <c r="C906" s="95" t="str">
        <f t="array" ref="C906">IF(I906&gt;0,INDEX(DB,I906,8),"")</f>
        <v/>
      </c>
      <c r="D906" s="437">
        <f t="shared" si="1"/>
        <v>0</v>
      </c>
      <c r="F906" s="438">
        <f t="shared" si="2"/>
        <v>0</v>
      </c>
      <c r="G906" t="str">
        <f t="shared" si="3"/>
        <v/>
      </c>
      <c r="H906" t="b">
        <f t="shared" si="4"/>
        <v>0</v>
      </c>
      <c r="I906" s="439">
        <f>IF(OR(ISBLANK(A906),ISNA(MATCH(A906&amp;"",AthleteNumbers,0))),0,MATCH(A906&amp;"",AthleteNumbers,0))</f>
        <v>0</v>
      </c>
      <c r="J906" s="209">
        <f t="array" ref="J906">IF(I906&gt;0,INDEX(DB,$I906,6),0)</f>
        <v>0</v>
      </c>
      <c r="K906" s="446">
        <f t="shared" si="5"/>
        <v>0</v>
      </c>
      <c r="L906" s="446">
        <f t="shared" si="6"/>
        <v>0</v>
      </c>
      <c r="M906" s="441">
        <f>IF(L906&lt;O906,MinPoints,IF(AND(L906&gt;N906,O906&gt;0),100,+INT(($L906-O906)/P906)+MinPoints))</f>
        <v>10</v>
      </c>
      <c r="N906" s="440">
        <f t="shared" si="7"/>
        <v>4.9</v>
      </c>
      <c r="O906" s="440">
        <f t="shared" si="8"/>
        <v>2.2</v>
      </c>
      <c r="P906" s="440">
        <f t="shared" si="9"/>
        <v>0.03</v>
      </c>
      <c r="Q906">
        <f t="array" ref="Q906">IF(I906&gt;0,INDEX(DB,I906,9),EventIndex)</f>
        <v>6</v>
      </c>
      <c r="S906" s="447">
        <f t="array" ref="S906">INDEX(MINVALUES,$Q906,$K$1)</f>
        <v>2.2</v>
      </c>
      <c r="T906" s="448">
        <f t="array" ref="T906">INDEX(INCVALUES,$Q906,$K$1)</f>
        <v>0.03</v>
      </c>
      <c r="V906">
        <f t="array" ref="V906">+J906+(4*(INDEX(MatchScoreTable,$Q906,20)-1))</f>
        <v>4</v>
      </c>
      <c r="W906" s="442">
        <f t="array" ref="W906">INDEX(INC_MINVALUES,$V906,$K$1)</f>
        <v>0.2</v>
      </c>
      <c r="X906" s="212">
        <f t="array" ref="X906">INDEX(INC_INCVALUES,$V906,$K$1)</f>
        <v>0.02</v>
      </c>
    </row>
    <row r="907" ht="15.75" customHeight="1">
      <c r="A907" s="435"/>
      <c r="B907" s="436"/>
      <c r="C907" s="95" t="str">
        <f t="array" ref="C907">IF(I907&gt;0,INDEX(DB,I907,8),"")</f>
        <v/>
      </c>
      <c r="D907" s="437">
        <f t="shared" si="1"/>
        <v>0</v>
      </c>
      <c r="F907" s="438">
        <f t="shared" si="2"/>
        <v>0</v>
      </c>
      <c r="G907" t="str">
        <f t="shared" si="3"/>
        <v/>
      </c>
      <c r="H907" t="b">
        <f t="shared" si="4"/>
        <v>0</v>
      </c>
      <c r="I907" s="439">
        <f>IF(OR(ISBLANK(A907),ISNA(MATCH(A907&amp;"",AthleteNumbers,0))),0,MATCH(A907&amp;"",AthleteNumbers,0))</f>
        <v>0</v>
      </c>
      <c r="J907" s="209">
        <f t="array" ref="J907">IF(I907&gt;0,INDEX(DB,$I907,6),0)</f>
        <v>0</v>
      </c>
      <c r="K907" s="446">
        <f t="shared" si="5"/>
        <v>0</v>
      </c>
      <c r="L907" s="446">
        <f t="shared" si="6"/>
        <v>0</v>
      </c>
      <c r="M907" s="441">
        <f>IF(L907&lt;O907,MinPoints,IF(AND(L907&gt;N907,O907&gt;0),100,+INT(($L907-O907)/P907)+MinPoints))</f>
        <v>10</v>
      </c>
      <c r="N907" s="440">
        <f t="shared" si="7"/>
        <v>4.9</v>
      </c>
      <c r="O907" s="440">
        <f t="shared" si="8"/>
        <v>2.2</v>
      </c>
      <c r="P907" s="440">
        <f t="shared" si="9"/>
        <v>0.03</v>
      </c>
      <c r="Q907">
        <f t="array" ref="Q907">IF(I907&gt;0,INDEX(DB,I907,9),EventIndex)</f>
        <v>6</v>
      </c>
      <c r="S907" s="447">
        <f t="array" ref="S907">INDEX(MINVALUES,$Q907,$K$1)</f>
        <v>2.2</v>
      </c>
      <c r="T907" s="448">
        <f t="array" ref="T907">INDEX(INCVALUES,$Q907,$K$1)</f>
        <v>0.03</v>
      </c>
      <c r="V907">
        <f t="array" ref="V907">+J907+(4*(INDEX(MatchScoreTable,$Q907,20)-1))</f>
        <v>4</v>
      </c>
      <c r="W907" s="442">
        <f t="array" ref="W907">INDEX(INC_MINVALUES,$V907,$K$1)</f>
        <v>0.2</v>
      </c>
      <c r="X907" s="212">
        <f t="array" ref="X907">INDEX(INC_INCVALUES,$V907,$K$1)</f>
        <v>0.02</v>
      </c>
    </row>
    <row r="908" ht="15.75" customHeight="1">
      <c r="A908" s="435"/>
      <c r="B908" s="436"/>
      <c r="C908" s="95" t="str">
        <f t="array" ref="C908">IF(I908&gt;0,INDEX(DB,I908,8),"")</f>
        <v/>
      </c>
      <c r="D908" s="437">
        <f t="shared" si="1"/>
        <v>0</v>
      </c>
      <c r="F908" s="438">
        <f t="shared" si="2"/>
        <v>0</v>
      </c>
      <c r="G908" t="str">
        <f t="shared" si="3"/>
        <v/>
      </c>
      <c r="H908" t="b">
        <f t="shared" si="4"/>
        <v>0</v>
      </c>
      <c r="I908" s="439">
        <f>IF(OR(ISBLANK(A908),ISNA(MATCH(A908&amp;"",AthleteNumbers,0))),0,MATCH(A908&amp;"",AthleteNumbers,0))</f>
        <v>0</v>
      </c>
      <c r="J908" s="209">
        <f t="array" ref="J908">IF(I908&gt;0,INDEX(DB,$I908,6),0)</f>
        <v>0</v>
      </c>
      <c r="K908" s="446">
        <f t="shared" si="5"/>
        <v>0</v>
      </c>
      <c r="L908" s="446">
        <f t="shared" si="6"/>
        <v>0</v>
      </c>
      <c r="M908" s="441">
        <f>IF(L908&lt;O908,MinPoints,IF(AND(L908&gt;N908,O908&gt;0),100,+INT(($L908-O908)/P908)+MinPoints))</f>
        <v>10</v>
      </c>
      <c r="N908" s="440">
        <f t="shared" si="7"/>
        <v>4.9</v>
      </c>
      <c r="O908" s="440">
        <f t="shared" si="8"/>
        <v>2.2</v>
      </c>
      <c r="P908" s="440">
        <f t="shared" si="9"/>
        <v>0.03</v>
      </c>
      <c r="Q908">
        <f t="array" ref="Q908">IF(I908&gt;0,INDEX(DB,I908,9),EventIndex)</f>
        <v>6</v>
      </c>
      <c r="S908" s="447">
        <f t="array" ref="S908">INDEX(MINVALUES,$Q908,$K$1)</f>
        <v>2.2</v>
      </c>
      <c r="T908" s="448">
        <f t="array" ref="T908">INDEX(INCVALUES,$Q908,$K$1)</f>
        <v>0.03</v>
      </c>
      <c r="V908">
        <f t="array" ref="V908">+J908+(4*(INDEX(MatchScoreTable,$Q908,20)-1))</f>
        <v>4</v>
      </c>
      <c r="W908" s="442">
        <f t="array" ref="W908">INDEX(INC_MINVALUES,$V908,$K$1)</f>
        <v>0.2</v>
      </c>
      <c r="X908" s="212">
        <f t="array" ref="X908">INDEX(INC_INCVALUES,$V908,$K$1)</f>
        <v>0.02</v>
      </c>
    </row>
    <row r="909" ht="15.75" customHeight="1">
      <c r="A909" s="435"/>
      <c r="B909" s="436"/>
      <c r="C909" s="95" t="str">
        <f t="array" ref="C909">IF(I909&gt;0,INDEX(DB,I909,8),"")</f>
        <v/>
      </c>
      <c r="D909" s="437">
        <f t="shared" si="1"/>
        <v>0</v>
      </c>
      <c r="F909" s="438">
        <f t="shared" si="2"/>
        <v>0</v>
      </c>
      <c r="G909" t="str">
        <f t="shared" si="3"/>
        <v/>
      </c>
      <c r="H909" t="b">
        <f t="shared" si="4"/>
        <v>0</v>
      </c>
      <c r="I909" s="439">
        <f>IF(OR(ISBLANK(A909),ISNA(MATCH(A909&amp;"",AthleteNumbers,0))),0,MATCH(A909&amp;"",AthleteNumbers,0))</f>
        <v>0</v>
      </c>
      <c r="J909" s="209">
        <f t="array" ref="J909">IF(I909&gt;0,INDEX(DB,$I909,6),0)</f>
        <v>0</v>
      </c>
      <c r="K909" s="446">
        <f t="shared" si="5"/>
        <v>0</v>
      </c>
      <c r="L909" s="446">
        <f t="shared" si="6"/>
        <v>0</v>
      </c>
      <c r="M909" s="441">
        <f>IF(L909&lt;O909,MinPoints,IF(AND(L909&gt;N909,O909&gt;0),100,+INT(($L909-O909)/P909)+MinPoints))</f>
        <v>10</v>
      </c>
      <c r="N909" s="440">
        <f t="shared" si="7"/>
        <v>4.9</v>
      </c>
      <c r="O909" s="440">
        <f t="shared" si="8"/>
        <v>2.2</v>
      </c>
      <c r="P909" s="440">
        <f t="shared" si="9"/>
        <v>0.03</v>
      </c>
      <c r="Q909">
        <f t="array" ref="Q909">IF(I909&gt;0,INDEX(DB,I909,9),EventIndex)</f>
        <v>6</v>
      </c>
      <c r="S909" s="447">
        <f t="array" ref="S909">INDEX(MINVALUES,$Q909,$K$1)</f>
        <v>2.2</v>
      </c>
      <c r="T909" s="448">
        <f t="array" ref="T909">INDEX(INCVALUES,$Q909,$K$1)</f>
        <v>0.03</v>
      </c>
      <c r="V909">
        <f t="array" ref="V909">+J909+(4*(INDEX(MatchScoreTable,$Q909,20)-1))</f>
        <v>4</v>
      </c>
      <c r="W909" s="442">
        <f t="array" ref="W909">INDEX(INC_MINVALUES,$V909,$K$1)</f>
        <v>0.2</v>
      </c>
      <c r="X909" s="212">
        <f t="array" ref="X909">INDEX(INC_INCVALUES,$V909,$K$1)</f>
        <v>0.02</v>
      </c>
    </row>
    <row r="910" ht="15.75" customHeight="1">
      <c r="A910" s="435"/>
      <c r="B910" s="436"/>
      <c r="C910" s="95" t="str">
        <f t="array" ref="C910">IF(I910&gt;0,INDEX(DB,I910,8),"")</f>
        <v/>
      </c>
      <c r="D910" s="437">
        <f t="shared" si="1"/>
        <v>0</v>
      </c>
      <c r="F910" s="438">
        <f t="shared" si="2"/>
        <v>0</v>
      </c>
      <c r="G910" t="str">
        <f t="shared" si="3"/>
        <v/>
      </c>
      <c r="H910" t="b">
        <f t="shared" si="4"/>
        <v>0</v>
      </c>
      <c r="I910" s="439">
        <f>IF(OR(ISBLANK(A910),ISNA(MATCH(A910&amp;"",AthleteNumbers,0))),0,MATCH(A910&amp;"",AthleteNumbers,0))</f>
        <v>0</v>
      </c>
      <c r="J910" s="209">
        <f t="array" ref="J910">IF(I910&gt;0,INDEX(DB,$I910,6),0)</f>
        <v>0</v>
      </c>
      <c r="K910" s="446">
        <f t="shared" si="5"/>
        <v>0</v>
      </c>
      <c r="L910" s="446">
        <f t="shared" si="6"/>
        <v>0</v>
      </c>
      <c r="M910" s="441">
        <f>IF(L910&lt;O910,MinPoints,IF(AND(L910&gt;N910,O910&gt;0),100,+INT(($L910-O910)/P910)+MinPoints))</f>
        <v>10</v>
      </c>
      <c r="N910" s="440">
        <f t="shared" si="7"/>
        <v>4.9</v>
      </c>
      <c r="O910" s="440">
        <f t="shared" si="8"/>
        <v>2.2</v>
      </c>
      <c r="P910" s="440">
        <f t="shared" si="9"/>
        <v>0.03</v>
      </c>
      <c r="Q910">
        <f t="array" ref="Q910">IF(I910&gt;0,INDEX(DB,I910,9),EventIndex)</f>
        <v>6</v>
      </c>
      <c r="S910" s="447">
        <f t="array" ref="S910">INDEX(MINVALUES,$Q910,$K$1)</f>
        <v>2.2</v>
      </c>
      <c r="T910" s="448">
        <f t="array" ref="T910">INDEX(INCVALUES,$Q910,$K$1)</f>
        <v>0.03</v>
      </c>
      <c r="V910">
        <f t="array" ref="V910">+J910+(4*(INDEX(MatchScoreTable,$Q910,20)-1))</f>
        <v>4</v>
      </c>
      <c r="W910" s="442">
        <f t="array" ref="W910">INDEX(INC_MINVALUES,$V910,$K$1)</f>
        <v>0.2</v>
      </c>
      <c r="X910" s="212">
        <f t="array" ref="X910">INDEX(INC_INCVALUES,$V910,$K$1)</f>
        <v>0.02</v>
      </c>
    </row>
    <row r="911" ht="15.75" customHeight="1">
      <c r="A911" s="435"/>
      <c r="B911" s="436"/>
      <c r="C911" s="95" t="str">
        <f t="array" ref="C911">IF(I911&gt;0,INDEX(DB,I911,8),"")</f>
        <v/>
      </c>
      <c r="D911" s="437">
        <f t="shared" si="1"/>
        <v>0</v>
      </c>
      <c r="F911" s="438">
        <f t="shared" si="2"/>
        <v>0</v>
      </c>
      <c r="G911" t="str">
        <f t="shared" si="3"/>
        <v/>
      </c>
      <c r="H911" t="b">
        <f t="shared" si="4"/>
        <v>0</v>
      </c>
      <c r="I911" s="439">
        <f>IF(OR(ISBLANK(A911),ISNA(MATCH(A911&amp;"",AthleteNumbers,0))),0,MATCH(A911&amp;"",AthleteNumbers,0))</f>
        <v>0</v>
      </c>
      <c r="J911" s="209">
        <f t="array" ref="J911">IF(I911&gt;0,INDEX(DB,$I911,6),0)</f>
        <v>0</v>
      </c>
      <c r="K911" s="446">
        <f t="shared" si="5"/>
        <v>0</v>
      </c>
      <c r="L911" s="446">
        <f t="shared" si="6"/>
        <v>0</v>
      </c>
      <c r="M911" s="441">
        <f>IF(L911&lt;O911,MinPoints,IF(AND(L911&gt;N911,O911&gt;0),100,+INT(($L911-O911)/P911)+MinPoints))</f>
        <v>10</v>
      </c>
      <c r="N911" s="440">
        <f t="shared" si="7"/>
        <v>4.9</v>
      </c>
      <c r="O911" s="440">
        <f t="shared" si="8"/>
        <v>2.2</v>
      </c>
      <c r="P911" s="440">
        <f t="shared" si="9"/>
        <v>0.03</v>
      </c>
      <c r="Q911">
        <f t="array" ref="Q911">IF(I911&gt;0,INDEX(DB,I911,9),EventIndex)</f>
        <v>6</v>
      </c>
      <c r="S911" s="447">
        <f t="array" ref="S911">INDEX(MINVALUES,$Q911,$K$1)</f>
        <v>2.2</v>
      </c>
      <c r="T911" s="448">
        <f t="array" ref="T911">INDEX(INCVALUES,$Q911,$K$1)</f>
        <v>0.03</v>
      </c>
      <c r="V911">
        <f t="array" ref="V911">+J911+(4*(INDEX(MatchScoreTable,$Q911,20)-1))</f>
        <v>4</v>
      </c>
      <c r="W911" s="442">
        <f t="array" ref="W911">INDEX(INC_MINVALUES,$V911,$K$1)</f>
        <v>0.2</v>
      </c>
      <c r="X911" s="212">
        <f t="array" ref="X911">INDEX(INC_INCVALUES,$V911,$K$1)</f>
        <v>0.02</v>
      </c>
    </row>
    <row r="912" ht="15.75" customHeight="1">
      <c r="A912" s="435"/>
      <c r="B912" s="436"/>
      <c r="C912" s="95" t="str">
        <f t="array" ref="C912">IF(I912&gt;0,INDEX(DB,I912,8),"")</f>
        <v/>
      </c>
      <c r="D912" s="437">
        <f t="shared" si="1"/>
        <v>0</v>
      </c>
      <c r="F912" s="438">
        <f t="shared" si="2"/>
        <v>0</v>
      </c>
      <c r="G912" t="str">
        <f t="shared" si="3"/>
        <v/>
      </c>
      <c r="H912" t="b">
        <f t="shared" si="4"/>
        <v>0</v>
      </c>
      <c r="I912" s="439">
        <f>IF(OR(ISBLANK(A912),ISNA(MATCH(A912&amp;"",AthleteNumbers,0))),0,MATCH(A912&amp;"",AthleteNumbers,0))</f>
        <v>0</v>
      </c>
      <c r="J912" s="209">
        <f t="array" ref="J912">IF(I912&gt;0,INDEX(DB,$I912,6),0)</f>
        <v>0</v>
      </c>
      <c r="K912" s="446">
        <f t="shared" si="5"/>
        <v>0</v>
      </c>
      <c r="L912" s="446">
        <f t="shared" si="6"/>
        <v>0</v>
      </c>
      <c r="M912" s="441">
        <f>IF(L912&lt;O912,MinPoints,IF(AND(L912&gt;N912,O912&gt;0),100,+INT(($L912-O912)/P912)+MinPoints))</f>
        <v>10</v>
      </c>
      <c r="N912" s="440">
        <f t="shared" si="7"/>
        <v>4.9</v>
      </c>
      <c r="O912" s="440">
        <f t="shared" si="8"/>
        <v>2.2</v>
      </c>
      <c r="P912" s="440">
        <f t="shared" si="9"/>
        <v>0.03</v>
      </c>
      <c r="Q912">
        <f t="array" ref="Q912">IF(I912&gt;0,INDEX(DB,I912,9),EventIndex)</f>
        <v>6</v>
      </c>
      <c r="S912" s="447">
        <f t="array" ref="S912">INDEX(MINVALUES,$Q912,$K$1)</f>
        <v>2.2</v>
      </c>
      <c r="T912" s="448">
        <f t="array" ref="T912">INDEX(INCVALUES,$Q912,$K$1)</f>
        <v>0.03</v>
      </c>
      <c r="V912">
        <f t="array" ref="V912">+J912+(4*(INDEX(MatchScoreTable,$Q912,20)-1))</f>
        <v>4</v>
      </c>
      <c r="W912" s="442">
        <f t="array" ref="W912">INDEX(INC_MINVALUES,$V912,$K$1)</f>
        <v>0.2</v>
      </c>
      <c r="X912" s="212">
        <f t="array" ref="X912">INDEX(INC_INCVALUES,$V912,$K$1)</f>
        <v>0.02</v>
      </c>
    </row>
    <row r="913" ht="15.75" customHeight="1">
      <c r="A913" s="435"/>
      <c r="B913" s="436"/>
      <c r="C913" s="95" t="str">
        <f t="array" ref="C913">IF(I913&gt;0,INDEX(DB,I913,8),"")</f>
        <v/>
      </c>
      <c r="D913" s="437">
        <f t="shared" si="1"/>
        <v>0</v>
      </c>
      <c r="F913" s="438">
        <f t="shared" si="2"/>
        <v>0</v>
      </c>
      <c r="G913" t="str">
        <f t="shared" si="3"/>
        <v/>
      </c>
      <c r="H913" t="b">
        <f t="shared" si="4"/>
        <v>0</v>
      </c>
      <c r="I913" s="439">
        <f>IF(OR(ISBLANK(A913),ISNA(MATCH(A913&amp;"",AthleteNumbers,0))),0,MATCH(A913&amp;"",AthleteNumbers,0))</f>
        <v>0</v>
      </c>
      <c r="J913" s="209">
        <f t="array" ref="J913">IF(I913&gt;0,INDEX(DB,$I913,6),0)</f>
        <v>0</v>
      </c>
      <c r="K913" s="446">
        <f t="shared" si="5"/>
        <v>0</v>
      </c>
      <c r="L913" s="446">
        <f t="shared" si="6"/>
        <v>0</v>
      </c>
      <c r="M913" s="441">
        <f>IF(L913&lt;O913,MinPoints,IF(AND(L913&gt;N913,O913&gt;0),100,+INT(($L913-O913)/P913)+MinPoints))</f>
        <v>10</v>
      </c>
      <c r="N913" s="440">
        <f t="shared" si="7"/>
        <v>4.9</v>
      </c>
      <c r="O913" s="440">
        <f t="shared" si="8"/>
        <v>2.2</v>
      </c>
      <c r="P913" s="440">
        <f t="shared" si="9"/>
        <v>0.03</v>
      </c>
      <c r="Q913">
        <f t="array" ref="Q913">IF(I913&gt;0,INDEX(DB,I913,9),EventIndex)</f>
        <v>6</v>
      </c>
      <c r="S913" s="447">
        <f t="array" ref="S913">INDEX(MINVALUES,$Q913,$K$1)</f>
        <v>2.2</v>
      </c>
      <c r="T913" s="448">
        <f t="array" ref="T913">INDEX(INCVALUES,$Q913,$K$1)</f>
        <v>0.03</v>
      </c>
      <c r="V913">
        <f t="array" ref="V913">+J913+(4*(INDEX(MatchScoreTable,$Q913,20)-1))</f>
        <v>4</v>
      </c>
      <c r="W913" s="442">
        <f t="array" ref="W913">INDEX(INC_MINVALUES,$V913,$K$1)</f>
        <v>0.2</v>
      </c>
      <c r="X913" s="212">
        <f t="array" ref="X913">INDEX(INC_INCVALUES,$V913,$K$1)</f>
        <v>0.02</v>
      </c>
    </row>
    <row r="914" ht="15.75" customHeight="1">
      <c r="A914" s="435"/>
      <c r="B914" s="436"/>
      <c r="C914" s="95" t="str">
        <f t="array" ref="C914">IF(I914&gt;0,INDEX(DB,I914,8),"")</f>
        <v/>
      </c>
      <c r="D914" s="437">
        <f t="shared" si="1"/>
        <v>0</v>
      </c>
      <c r="F914" s="438">
        <f t="shared" si="2"/>
        <v>0</v>
      </c>
      <c r="G914" t="str">
        <f t="shared" si="3"/>
        <v/>
      </c>
      <c r="H914" t="b">
        <f t="shared" si="4"/>
        <v>0</v>
      </c>
      <c r="I914" s="439">
        <f>IF(OR(ISBLANK(A914),ISNA(MATCH(A914&amp;"",AthleteNumbers,0))),0,MATCH(A914&amp;"",AthleteNumbers,0))</f>
        <v>0</v>
      </c>
      <c r="J914" s="209">
        <f t="array" ref="J914">IF(I914&gt;0,INDEX(DB,$I914,6),0)</f>
        <v>0</v>
      </c>
      <c r="K914" s="446">
        <f t="shared" si="5"/>
        <v>0</v>
      </c>
      <c r="L914" s="446">
        <f t="shared" si="6"/>
        <v>0</v>
      </c>
      <c r="M914" s="441">
        <f>IF(L914&lt;O914,MinPoints,IF(AND(L914&gt;N914,O914&gt;0),100,+INT(($L914-O914)/P914)+MinPoints))</f>
        <v>10</v>
      </c>
      <c r="N914" s="440">
        <f t="shared" si="7"/>
        <v>4.9</v>
      </c>
      <c r="O914" s="440">
        <f t="shared" si="8"/>
        <v>2.2</v>
      </c>
      <c r="P914" s="440">
        <f t="shared" si="9"/>
        <v>0.03</v>
      </c>
      <c r="Q914">
        <f t="array" ref="Q914">IF(I914&gt;0,INDEX(DB,I914,9),EventIndex)</f>
        <v>6</v>
      </c>
      <c r="S914" s="447">
        <f t="array" ref="S914">INDEX(MINVALUES,$Q914,$K$1)</f>
        <v>2.2</v>
      </c>
      <c r="T914" s="448">
        <f t="array" ref="T914">INDEX(INCVALUES,$Q914,$K$1)</f>
        <v>0.03</v>
      </c>
      <c r="V914">
        <f t="array" ref="V914">+J914+(4*(INDEX(MatchScoreTable,$Q914,20)-1))</f>
        <v>4</v>
      </c>
      <c r="W914" s="442">
        <f t="array" ref="W914">INDEX(INC_MINVALUES,$V914,$K$1)</f>
        <v>0.2</v>
      </c>
      <c r="X914" s="212">
        <f t="array" ref="X914">INDEX(INC_INCVALUES,$V914,$K$1)</f>
        <v>0.02</v>
      </c>
    </row>
    <row r="915" ht="15.75" customHeight="1">
      <c r="A915" s="435"/>
      <c r="B915" s="436"/>
      <c r="C915" s="95" t="str">
        <f t="array" ref="C915">IF(I915&gt;0,INDEX(DB,I915,8),"")</f>
        <v/>
      </c>
      <c r="D915" s="437">
        <f t="shared" si="1"/>
        <v>0</v>
      </c>
      <c r="F915" s="438">
        <f t="shared" si="2"/>
        <v>0</v>
      </c>
      <c r="G915" t="str">
        <f t="shared" si="3"/>
        <v/>
      </c>
      <c r="H915" t="b">
        <f t="shared" si="4"/>
        <v>0</v>
      </c>
      <c r="I915" s="439">
        <f>IF(OR(ISBLANK(A915),ISNA(MATCH(A915&amp;"",AthleteNumbers,0))),0,MATCH(A915&amp;"",AthleteNumbers,0))</f>
        <v>0</v>
      </c>
      <c r="J915" s="209">
        <f t="array" ref="J915">IF(I915&gt;0,INDEX(DB,$I915,6),0)</f>
        <v>0</v>
      </c>
      <c r="K915" s="446">
        <f t="shared" si="5"/>
        <v>0</v>
      </c>
      <c r="L915" s="446">
        <f t="shared" si="6"/>
        <v>0</v>
      </c>
      <c r="M915" s="441">
        <f>IF(L915&lt;O915,MinPoints,IF(AND(L915&gt;N915,O915&gt;0),100,+INT(($L915-O915)/P915)+MinPoints))</f>
        <v>10</v>
      </c>
      <c r="N915" s="440">
        <f t="shared" si="7"/>
        <v>4.9</v>
      </c>
      <c r="O915" s="440">
        <f t="shared" si="8"/>
        <v>2.2</v>
      </c>
      <c r="P915" s="440">
        <f t="shared" si="9"/>
        <v>0.03</v>
      </c>
      <c r="Q915">
        <f t="array" ref="Q915">IF(I915&gt;0,INDEX(DB,I915,9),EventIndex)</f>
        <v>6</v>
      </c>
      <c r="S915" s="447">
        <f t="array" ref="S915">INDEX(MINVALUES,$Q915,$K$1)</f>
        <v>2.2</v>
      </c>
      <c r="T915" s="448">
        <f t="array" ref="T915">INDEX(INCVALUES,$Q915,$K$1)</f>
        <v>0.03</v>
      </c>
      <c r="V915">
        <f t="array" ref="V915">+J915+(4*(INDEX(MatchScoreTable,$Q915,20)-1))</f>
        <v>4</v>
      </c>
      <c r="W915" s="442">
        <f t="array" ref="W915">INDEX(INC_MINVALUES,$V915,$K$1)</f>
        <v>0.2</v>
      </c>
      <c r="X915" s="212">
        <f t="array" ref="X915">INDEX(INC_INCVALUES,$V915,$K$1)</f>
        <v>0.02</v>
      </c>
    </row>
    <row r="916" ht="15.75" customHeight="1">
      <c r="A916" s="435"/>
      <c r="B916" s="436"/>
      <c r="C916" s="95" t="str">
        <f t="array" ref="C916">IF(I916&gt;0,INDEX(DB,I916,8),"")</f>
        <v/>
      </c>
      <c r="D916" s="437">
        <f t="shared" si="1"/>
        <v>0</v>
      </c>
      <c r="F916" s="438">
        <f t="shared" si="2"/>
        <v>0</v>
      </c>
      <c r="G916" t="str">
        <f t="shared" si="3"/>
        <v/>
      </c>
      <c r="H916" t="b">
        <f t="shared" si="4"/>
        <v>0</v>
      </c>
      <c r="I916" s="439">
        <f>IF(OR(ISBLANK(A916),ISNA(MATCH(A916&amp;"",AthleteNumbers,0))),0,MATCH(A916&amp;"",AthleteNumbers,0))</f>
        <v>0</v>
      </c>
      <c r="J916" s="209">
        <f t="array" ref="J916">IF(I916&gt;0,INDEX(DB,$I916,6),0)</f>
        <v>0</v>
      </c>
      <c r="K916" s="446">
        <f t="shared" si="5"/>
        <v>0</v>
      </c>
      <c r="L916" s="446">
        <f t="shared" si="6"/>
        <v>0</v>
      </c>
      <c r="M916" s="441">
        <f>IF(L916&lt;O916,MinPoints,IF(AND(L916&gt;N916,O916&gt;0),100,+INT(($L916-O916)/P916)+MinPoints))</f>
        <v>10</v>
      </c>
      <c r="N916" s="440">
        <f t="shared" si="7"/>
        <v>4.9</v>
      </c>
      <c r="O916" s="440">
        <f t="shared" si="8"/>
        <v>2.2</v>
      </c>
      <c r="P916" s="440">
        <f t="shared" si="9"/>
        <v>0.03</v>
      </c>
      <c r="Q916">
        <f t="array" ref="Q916">IF(I916&gt;0,INDEX(DB,I916,9),EventIndex)</f>
        <v>6</v>
      </c>
      <c r="S916" s="447">
        <f t="array" ref="S916">INDEX(MINVALUES,$Q916,$K$1)</f>
        <v>2.2</v>
      </c>
      <c r="T916" s="448">
        <f t="array" ref="T916">INDEX(INCVALUES,$Q916,$K$1)</f>
        <v>0.03</v>
      </c>
      <c r="V916">
        <f t="array" ref="V916">+J916+(4*(INDEX(MatchScoreTable,$Q916,20)-1))</f>
        <v>4</v>
      </c>
      <c r="W916" s="442">
        <f t="array" ref="W916">INDEX(INC_MINVALUES,$V916,$K$1)</f>
        <v>0.2</v>
      </c>
      <c r="X916" s="212">
        <f t="array" ref="X916">INDEX(INC_INCVALUES,$V916,$K$1)</f>
        <v>0.02</v>
      </c>
    </row>
    <row r="917" ht="15.75" customHeight="1">
      <c r="A917" s="435"/>
      <c r="B917" s="436"/>
      <c r="C917" s="95" t="str">
        <f t="array" ref="C917">IF(I917&gt;0,INDEX(DB,I917,8),"")</f>
        <v/>
      </c>
      <c r="D917" s="437">
        <f t="shared" si="1"/>
        <v>0</v>
      </c>
      <c r="F917" s="438">
        <f t="shared" si="2"/>
        <v>0</v>
      </c>
      <c r="G917" t="str">
        <f t="shared" si="3"/>
        <v/>
      </c>
      <c r="H917" t="b">
        <f t="shared" si="4"/>
        <v>0</v>
      </c>
      <c r="I917" s="439">
        <f>IF(OR(ISBLANK(A917),ISNA(MATCH(A917&amp;"",AthleteNumbers,0))),0,MATCH(A917&amp;"",AthleteNumbers,0))</f>
        <v>0</v>
      </c>
      <c r="J917" s="209">
        <f t="array" ref="J917">IF(I917&gt;0,INDEX(DB,$I917,6),0)</f>
        <v>0</v>
      </c>
      <c r="K917" s="446">
        <f t="shared" si="5"/>
        <v>0</v>
      </c>
      <c r="L917" s="446">
        <f t="shared" si="6"/>
        <v>0</v>
      </c>
      <c r="M917" s="441">
        <f>IF(L917&lt;O917,MinPoints,IF(AND(L917&gt;N917,O917&gt;0),100,+INT(($L917-O917)/P917)+MinPoints))</f>
        <v>10</v>
      </c>
      <c r="N917" s="440">
        <f t="shared" si="7"/>
        <v>4.9</v>
      </c>
      <c r="O917" s="440">
        <f t="shared" si="8"/>
        <v>2.2</v>
      </c>
      <c r="P917" s="440">
        <f t="shared" si="9"/>
        <v>0.03</v>
      </c>
      <c r="Q917">
        <f t="array" ref="Q917">IF(I917&gt;0,INDEX(DB,I917,9),EventIndex)</f>
        <v>6</v>
      </c>
      <c r="S917" s="447">
        <f t="array" ref="S917">INDEX(MINVALUES,$Q917,$K$1)</f>
        <v>2.2</v>
      </c>
      <c r="T917" s="448">
        <f t="array" ref="T917">INDEX(INCVALUES,$Q917,$K$1)</f>
        <v>0.03</v>
      </c>
      <c r="V917">
        <f t="array" ref="V917">+J917+(4*(INDEX(MatchScoreTable,$Q917,20)-1))</f>
        <v>4</v>
      </c>
      <c r="W917" s="442">
        <f t="array" ref="W917">INDEX(INC_MINVALUES,$V917,$K$1)</f>
        <v>0.2</v>
      </c>
      <c r="X917" s="212">
        <f t="array" ref="X917">INDEX(INC_INCVALUES,$V917,$K$1)</f>
        <v>0.02</v>
      </c>
    </row>
    <row r="918" ht="15.75" customHeight="1">
      <c r="A918" s="435"/>
      <c r="B918" s="436"/>
      <c r="C918" s="95" t="str">
        <f t="array" ref="C918">IF(I918&gt;0,INDEX(DB,I918,8),"")</f>
        <v/>
      </c>
      <c r="D918" s="437">
        <f t="shared" si="1"/>
        <v>0</v>
      </c>
      <c r="F918" s="438">
        <f t="shared" si="2"/>
        <v>0</v>
      </c>
      <c r="G918" t="str">
        <f t="shared" si="3"/>
        <v/>
      </c>
      <c r="H918" t="b">
        <f t="shared" si="4"/>
        <v>0</v>
      </c>
      <c r="I918" s="439">
        <f>IF(OR(ISBLANK(A918),ISNA(MATCH(A918&amp;"",AthleteNumbers,0))),0,MATCH(A918&amp;"",AthleteNumbers,0))</f>
        <v>0</v>
      </c>
      <c r="J918" s="209">
        <f t="array" ref="J918">IF(I918&gt;0,INDEX(DB,$I918,6),0)</f>
        <v>0</v>
      </c>
      <c r="K918" s="446">
        <f t="shared" si="5"/>
        <v>0</v>
      </c>
      <c r="L918" s="446">
        <f t="shared" si="6"/>
        <v>0</v>
      </c>
      <c r="M918" s="441">
        <f>IF(L918&lt;O918,MinPoints,IF(AND(L918&gt;N918,O918&gt;0),100,+INT(($L918-O918)/P918)+MinPoints))</f>
        <v>10</v>
      </c>
      <c r="N918" s="440">
        <f t="shared" si="7"/>
        <v>4.9</v>
      </c>
      <c r="O918" s="440">
        <f t="shared" si="8"/>
        <v>2.2</v>
      </c>
      <c r="P918" s="440">
        <f t="shared" si="9"/>
        <v>0.03</v>
      </c>
      <c r="Q918">
        <f t="array" ref="Q918">IF(I918&gt;0,INDEX(DB,I918,9),EventIndex)</f>
        <v>6</v>
      </c>
      <c r="S918" s="447">
        <f t="array" ref="S918">INDEX(MINVALUES,$Q918,$K$1)</f>
        <v>2.2</v>
      </c>
      <c r="T918" s="448">
        <f t="array" ref="T918">INDEX(INCVALUES,$Q918,$K$1)</f>
        <v>0.03</v>
      </c>
      <c r="V918">
        <f t="array" ref="V918">+J918+(4*(INDEX(MatchScoreTable,$Q918,20)-1))</f>
        <v>4</v>
      </c>
      <c r="W918" s="442">
        <f t="array" ref="W918">INDEX(INC_MINVALUES,$V918,$K$1)</f>
        <v>0.2</v>
      </c>
      <c r="X918" s="212">
        <f t="array" ref="X918">INDEX(INC_INCVALUES,$V918,$K$1)</f>
        <v>0.02</v>
      </c>
    </row>
    <row r="919" ht="15.75" customHeight="1">
      <c r="A919" s="435"/>
      <c r="B919" s="436"/>
      <c r="C919" s="95" t="str">
        <f t="array" ref="C919">IF(I919&gt;0,INDEX(DB,I919,8),"")</f>
        <v/>
      </c>
      <c r="D919" s="437">
        <f t="shared" si="1"/>
        <v>0</v>
      </c>
      <c r="F919" s="438">
        <f t="shared" si="2"/>
        <v>0</v>
      </c>
      <c r="G919" t="str">
        <f t="shared" si="3"/>
        <v/>
      </c>
      <c r="H919" t="b">
        <f t="shared" si="4"/>
        <v>0</v>
      </c>
      <c r="I919" s="439">
        <f>IF(OR(ISBLANK(A919),ISNA(MATCH(A919&amp;"",AthleteNumbers,0))),0,MATCH(A919&amp;"",AthleteNumbers,0))</f>
        <v>0</v>
      </c>
      <c r="J919" s="209">
        <f t="array" ref="J919">IF(I919&gt;0,INDEX(DB,$I919,6),0)</f>
        <v>0</v>
      </c>
      <c r="K919" s="446">
        <f t="shared" si="5"/>
        <v>0</v>
      </c>
      <c r="L919" s="446">
        <f t="shared" si="6"/>
        <v>0</v>
      </c>
      <c r="M919" s="441">
        <f>IF(L919&lt;O919,MinPoints,IF(AND(L919&gt;N919,O919&gt;0),100,+INT(($L919-O919)/P919)+MinPoints))</f>
        <v>10</v>
      </c>
      <c r="N919" s="440">
        <f t="shared" si="7"/>
        <v>4.9</v>
      </c>
      <c r="O919" s="440">
        <f t="shared" si="8"/>
        <v>2.2</v>
      </c>
      <c r="P919" s="440">
        <f t="shared" si="9"/>
        <v>0.03</v>
      </c>
      <c r="Q919">
        <f t="array" ref="Q919">IF(I919&gt;0,INDEX(DB,I919,9),EventIndex)</f>
        <v>6</v>
      </c>
      <c r="S919" s="447">
        <f t="array" ref="S919">INDEX(MINVALUES,$Q919,$K$1)</f>
        <v>2.2</v>
      </c>
      <c r="T919" s="448">
        <f t="array" ref="T919">INDEX(INCVALUES,$Q919,$K$1)</f>
        <v>0.03</v>
      </c>
      <c r="V919">
        <f t="array" ref="V919">+J919+(4*(INDEX(MatchScoreTable,$Q919,20)-1))</f>
        <v>4</v>
      </c>
      <c r="W919" s="442">
        <f t="array" ref="W919">INDEX(INC_MINVALUES,$V919,$K$1)</f>
        <v>0.2</v>
      </c>
      <c r="X919" s="212">
        <f t="array" ref="X919">INDEX(INC_INCVALUES,$V919,$K$1)</f>
        <v>0.02</v>
      </c>
    </row>
    <row r="920" ht="15.75" customHeight="1">
      <c r="A920" s="435"/>
      <c r="B920" s="436"/>
      <c r="C920" s="95" t="str">
        <f t="array" ref="C920">IF(I920&gt;0,INDEX(DB,I920,8),"")</f>
        <v/>
      </c>
      <c r="D920" s="437">
        <f t="shared" si="1"/>
        <v>0</v>
      </c>
      <c r="F920" s="438">
        <f t="shared" si="2"/>
        <v>0</v>
      </c>
      <c r="G920" t="str">
        <f t="shared" si="3"/>
        <v/>
      </c>
      <c r="H920" t="b">
        <f t="shared" si="4"/>
        <v>0</v>
      </c>
      <c r="I920" s="439">
        <f>IF(OR(ISBLANK(A920),ISNA(MATCH(A920&amp;"",AthleteNumbers,0))),0,MATCH(A920&amp;"",AthleteNumbers,0))</f>
        <v>0</v>
      </c>
      <c r="J920" s="209">
        <f t="array" ref="J920">IF(I920&gt;0,INDEX(DB,$I920,6),0)</f>
        <v>0</v>
      </c>
      <c r="K920" s="446">
        <f t="shared" si="5"/>
        <v>0</v>
      </c>
      <c r="L920" s="446">
        <f t="shared" si="6"/>
        <v>0</v>
      </c>
      <c r="M920" s="441">
        <f>IF(L920&lt;O920,MinPoints,IF(AND(L920&gt;N920,O920&gt;0),100,+INT(($L920-O920)/P920)+MinPoints))</f>
        <v>10</v>
      </c>
      <c r="N920" s="440">
        <f t="shared" si="7"/>
        <v>4.9</v>
      </c>
      <c r="O920" s="440">
        <f t="shared" si="8"/>
        <v>2.2</v>
      </c>
      <c r="P920" s="440">
        <f t="shared" si="9"/>
        <v>0.03</v>
      </c>
      <c r="Q920">
        <f t="array" ref="Q920">IF(I920&gt;0,INDEX(DB,I920,9),EventIndex)</f>
        <v>6</v>
      </c>
      <c r="S920" s="447">
        <f t="array" ref="S920">INDEX(MINVALUES,$Q920,$K$1)</f>
        <v>2.2</v>
      </c>
      <c r="T920" s="448">
        <f t="array" ref="T920">INDEX(INCVALUES,$Q920,$K$1)</f>
        <v>0.03</v>
      </c>
      <c r="V920">
        <f t="array" ref="V920">+J920+(4*(INDEX(MatchScoreTable,$Q920,20)-1))</f>
        <v>4</v>
      </c>
      <c r="W920" s="442">
        <f t="array" ref="W920">INDEX(INC_MINVALUES,$V920,$K$1)</f>
        <v>0.2</v>
      </c>
      <c r="X920" s="212">
        <f t="array" ref="X920">INDEX(INC_INCVALUES,$V920,$K$1)</f>
        <v>0.02</v>
      </c>
    </row>
    <row r="921" ht="15.75" customHeight="1">
      <c r="A921" s="435"/>
      <c r="B921" s="436"/>
      <c r="C921" s="95" t="str">
        <f t="array" ref="C921">IF(I921&gt;0,INDEX(DB,I921,8),"")</f>
        <v/>
      </c>
      <c r="D921" s="437">
        <f t="shared" si="1"/>
        <v>0</v>
      </c>
      <c r="F921" s="438">
        <f t="shared" si="2"/>
        <v>0</v>
      </c>
      <c r="G921" t="str">
        <f t="shared" si="3"/>
        <v/>
      </c>
      <c r="H921" t="b">
        <f t="shared" si="4"/>
        <v>0</v>
      </c>
      <c r="I921" s="439">
        <f>IF(OR(ISBLANK(A921),ISNA(MATCH(A921&amp;"",AthleteNumbers,0))),0,MATCH(A921&amp;"",AthleteNumbers,0))</f>
        <v>0</v>
      </c>
      <c r="J921" s="209">
        <f t="array" ref="J921">IF(I921&gt;0,INDEX(DB,$I921,6),0)</f>
        <v>0</v>
      </c>
      <c r="K921" s="446">
        <f t="shared" si="5"/>
        <v>0</v>
      </c>
      <c r="L921" s="446">
        <f t="shared" si="6"/>
        <v>0</v>
      </c>
      <c r="M921" s="441">
        <f>IF(L921&lt;O921,MinPoints,IF(AND(L921&gt;N921,O921&gt;0),100,+INT(($L921-O921)/P921)+MinPoints))</f>
        <v>10</v>
      </c>
      <c r="N921" s="440">
        <f t="shared" si="7"/>
        <v>4.9</v>
      </c>
      <c r="O921" s="440">
        <f t="shared" si="8"/>
        <v>2.2</v>
      </c>
      <c r="P921" s="440">
        <f t="shared" si="9"/>
        <v>0.03</v>
      </c>
      <c r="Q921">
        <f t="array" ref="Q921">IF(I921&gt;0,INDEX(DB,I921,9),EventIndex)</f>
        <v>6</v>
      </c>
      <c r="S921" s="447">
        <f t="array" ref="S921">INDEX(MINVALUES,$Q921,$K$1)</f>
        <v>2.2</v>
      </c>
      <c r="T921" s="448">
        <f t="array" ref="T921">INDEX(INCVALUES,$Q921,$K$1)</f>
        <v>0.03</v>
      </c>
      <c r="V921">
        <f t="array" ref="V921">+J921+(4*(INDEX(MatchScoreTable,$Q921,20)-1))</f>
        <v>4</v>
      </c>
      <c r="W921" s="442">
        <f t="array" ref="W921">INDEX(INC_MINVALUES,$V921,$K$1)</f>
        <v>0.2</v>
      </c>
      <c r="X921" s="212">
        <f t="array" ref="X921">INDEX(INC_INCVALUES,$V921,$K$1)</f>
        <v>0.02</v>
      </c>
    </row>
    <row r="922" ht="15.75" customHeight="1">
      <c r="A922" s="435"/>
      <c r="B922" s="436"/>
      <c r="C922" s="95" t="str">
        <f t="array" ref="C922">IF(I922&gt;0,INDEX(DB,I922,8),"")</f>
        <v/>
      </c>
      <c r="D922" s="437">
        <f t="shared" si="1"/>
        <v>0</v>
      </c>
      <c r="F922" s="438">
        <f t="shared" si="2"/>
        <v>0</v>
      </c>
      <c r="G922" t="str">
        <f t="shared" si="3"/>
        <v/>
      </c>
      <c r="H922" t="b">
        <f t="shared" si="4"/>
        <v>0</v>
      </c>
      <c r="I922" s="439">
        <f>IF(OR(ISBLANK(A922),ISNA(MATCH(A922&amp;"",AthleteNumbers,0))),0,MATCH(A922&amp;"",AthleteNumbers,0))</f>
        <v>0</v>
      </c>
      <c r="J922" s="209">
        <f t="array" ref="J922">IF(I922&gt;0,INDEX(DB,$I922,6),0)</f>
        <v>0</v>
      </c>
      <c r="K922" s="446">
        <f t="shared" si="5"/>
        <v>0</v>
      </c>
      <c r="L922" s="446">
        <f t="shared" si="6"/>
        <v>0</v>
      </c>
      <c r="M922" s="441">
        <f>IF(L922&lt;O922,MinPoints,IF(AND(L922&gt;N922,O922&gt;0),100,+INT(($L922-O922)/P922)+MinPoints))</f>
        <v>10</v>
      </c>
      <c r="N922" s="440">
        <f t="shared" si="7"/>
        <v>4.9</v>
      </c>
      <c r="O922" s="440">
        <f t="shared" si="8"/>
        <v>2.2</v>
      </c>
      <c r="P922" s="440">
        <f t="shared" si="9"/>
        <v>0.03</v>
      </c>
      <c r="Q922">
        <f t="array" ref="Q922">IF(I922&gt;0,INDEX(DB,I922,9),EventIndex)</f>
        <v>6</v>
      </c>
      <c r="S922" s="447">
        <f t="array" ref="S922">INDEX(MINVALUES,$Q922,$K$1)</f>
        <v>2.2</v>
      </c>
      <c r="T922" s="448">
        <f t="array" ref="T922">INDEX(INCVALUES,$Q922,$K$1)</f>
        <v>0.03</v>
      </c>
      <c r="V922">
        <f t="array" ref="V922">+J922+(4*(INDEX(MatchScoreTable,$Q922,20)-1))</f>
        <v>4</v>
      </c>
      <c r="W922" s="442">
        <f t="array" ref="W922">INDEX(INC_MINVALUES,$V922,$K$1)</f>
        <v>0.2</v>
      </c>
      <c r="X922" s="212">
        <f t="array" ref="X922">INDEX(INC_INCVALUES,$V922,$K$1)</f>
        <v>0.02</v>
      </c>
    </row>
    <row r="923" ht="15.75" customHeight="1">
      <c r="A923" s="435"/>
      <c r="B923" s="436"/>
      <c r="C923" s="95" t="str">
        <f t="array" ref="C923">IF(I923&gt;0,INDEX(DB,I923,8),"")</f>
        <v/>
      </c>
      <c r="D923" s="437">
        <f t="shared" si="1"/>
        <v>0</v>
      </c>
      <c r="F923" s="438">
        <f t="shared" si="2"/>
        <v>0</v>
      </c>
      <c r="G923" t="str">
        <f t="shared" si="3"/>
        <v/>
      </c>
      <c r="H923" t="b">
        <f t="shared" si="4"/>
        <v>0</v>
      </c>
      <c r="I923" s="439">
        <f>IF(OR(ISBLANK(A923),ISNA(MATCH(A923&amp;"",AthleteNumbers,0))),0,MATCH(A923&amp;"",AthleteNumbers,0))</f>
        <v>0</v>
      </c>
      <c r="J923" s="209">
        <f t="array" ref="J923">IF(I923&gt;0,INDEX(DB,$I923,6),0)</f>
        <v>0</v>
      </c>
      <c r="K923" s="446">
        <f t="shared" si="5"/>
        <v>0</v>
      </c>
      <c r="L923" s="446">
        <f t="shared" si="6"/>
        <v>0</v>
      </c>
      <c r="M923" s="441">
        <f>IF(L923&lt;O923,MinPoints,IF(AND(L923&gt;N923,O923&gt;0),100,+INT(($L923-O923)/P923)+MinPoints))</f>
        <v>10</v>
      </c>
      <c r="N923" s="440">
        <f t="shared" si="7"/>
        <v>4.9</v>
      </c>
      <c r="O923" s="440">
        <f t="shared" si="8"/>
        <v>2.2</v>
      </c>
      <c r="P923" s="440">
        <f t="shared" si="9"/>
        <v>0.03</v>
      </c>
      <c r="Q923">
        <f t="array" ref="Q923">IF(I923&gt;0,INDEX(DB,I923,9),EventIndex)</f>
        <v>6</v>
      </c>
      <c r="S923" s="447">
        <f t="array" ref="S923">INDEX(MINVALUES,$Q923,$K$1)</f>
        <v>2.2</v>
      </c>
      <c r="T923" s="448">
        <f t="array" ref="T923">INDEX(INCVALUES,$Q923,$K$1)</f>
        <v>0.03</v>
      </c>
      <c r="V923">
        <f t="array" ref="V923">+J923+(4*(INDEX(MatchScoreTable,$Q923,20)-1))</f>
        <v>4</v>
      </c>
      <c r="W923" s="442">
        <f t="array" ref="W923">INDEX(INC_MINVALUES,$V923,$K$1)</f>
        <v>0.2</v>
      </c>
      <c r="X923" s="212">
        <f t="array" ref="X923">INDEX(INC_INCVALUES,$V923,$K$1)</f>
        <v>0.02</v>
      </c>
    </row>
    <row r="924" ht="15.75" customHeight="1">
      <c r="A924" s="435"/>
      <c r="B924" s="436"/>
      <c r="C924" s="95" t="str">
        <f t="array" ref="C924">IF(I924&gt;0,INDEX(DB,I924,8),"")</f>
        <v/>
      </c>
      <c r="D924" s="437">
        <f t="shared" si="1"/>
        <v>0</v>
      </c>
      <c r="F924" s="438">
        <f t="shared" si="2"/>
        <v>0</v>
      </c>
      <c r="G924" t="str">
        <f t="shared" si="3"/>
        <v/>
      </c>
      <c r="H924" t="b">
        <f t="shared" si="4"/>
        <v>0</v>
      </c>
      <c r="I924" s="439">
        <f>IF(OR(ISBLANK(A924),ISNA(MATCH(A924&amp;"",AthleteNumbers,0))),0,MATCH(A924&amp;"",AthleteNumbers,0))</f>
        <v>0</v>
      </c>
      <c r="J924" s="209">
        <f t="array" ref="J924">IF(I924&gt;0,INDEX(DB,$I924,6),0)</f>
        <v>0</v>
      </c>
      <c r="K924" s="446">
        <f t="shared" si="5"/>
        <v>0</v>
      </c>
      <c r="L924" s="446">
        <f t="shared" si="6"/>
        <v>0</v>
      </c>
      <c r="M924" s="441">
        <f>IF(L924&lt;O924,MinPoints,IF(AND(L924&gt;N924,O924&gt;0),100,+INT(($L924-O924)/P924)+MinPoints))</f>
        <v>10</v>
      </c>
      <c r="N924" s="440">
        <f t="shared" si="7"/>
        <v>4.9</v>
      </c>
      <c r="O924" s="440">
        <f t="shared" si="8"/>
        <v>2.2</v>
      </c>
      <c r="P924" s="440">
        <f t="shared" si="9"/>
        <v>0.03</v>
      </c>
      <c r="Q924">
        <f t="array" ref="Q924">IF(I924&gt;0,INDEX(DB,I924,9),EventIndex)</f>
        <v>6</v>
      </c>
      <c r="S924" s="447">
        <f t="array" ref="S924">INDEX(MINVALUES,$Q924,$K$1)</f>
        <v>2.2</v>
      </c>
      <c r="T924" s="448">
        <f t="array" ref="T924">INDEX(INCVALUES,$Q924,$K$1)</f>
        <v>0.03</v>
      </c>
      <c r="V924">
        <f t="array" ref="V924">+J924+(4*(INDEX(MatchScoreTable,$Q924,20)-1))</f>
        <v>4</v>
      </c>
      <c r="W924" s="442">
        <f t="array" ref="W924">INDEX(INC_MINVALUES,$V924,$K$1)</f>
        <v>0.2</v>
      </c>
      <c r="X924" s="212">
        <f t="array" ref="X924">INDEX(INC_INCVALUES,$V924,$K$1)</f>
        <v>0.02</v>
      </c>
    </row>
    <row r="925" ht="15.75" customHeight="1">
      <c r="A925" s="435"/>
      <c r="B925" s="436"/>
      <c r="C925" s="95" t="str">
        <f t="array" ref="C925">IF(I925&gt;0,INDEX(DB,I925,8),"")</f>
        <v/>
      </c>
      <c r="D925" s="437">
        <f t="shared" si="1"/>
        <v>0</v>
      </c>
      <c r="F925" s="438">
        <f t="shared" si="2"/>
        <v>0</v>
      </c>
      <c r="G925" t="str">
        <f t="shared" si="3"/>
        <v/>
      </c>
      <c r="H925" t="b">
        <f t="shared" si="4"/>
        <v>0</v>
      </c>
      <c r="I925" s="439">
        <f>IF(OR(ISBLANK(A925),ISNA(MATCH(A925&amp;"",AthleteNumbers,0))),0,MATCH(A925&amp;"",AthleteNumbers,0))</f>
        <v>0</v>
      </c>
      <c r="J925" s="209">
        <f t="array" ref="J925">IF(I925&gt;0,INDEX(DB,$I925,6),0)</f>
        <v>0</v>
      </c>
      <c r="K925" s="446">
        <f t="shared" si="5"/>
        <v>0</v>
      </c>
      <c r="L925" s="446">
        <f t="shared" si="6"/>
        <v>0</v>
      </c>
      <c r="M925" s="441">
        <f>IF(L925&lt;O925,MinPoints,IF(AND(L925&gt;N925,O925&gt;0),100,+INT(($L925-O925)/P925)+MinPoints))</f>
        <v>10</v>
      </c>
      <c r="N925" s="440">
        <f t="shared" si="7"/>
        <v>4.9</v>
      </c>
      <c r="O925" s="440">
        <f t="shared" si="8"/>
        <v>2.2</v>
      </c>
      <c r="P925" s="440">
        <f t="shared" si="9"/>
        <v>0.03</v>
      </c>
      <c r="Q925">
        <f t="array" ref="Q925">IF(I925&gt;0,INDEX(DB,I925,9),EventIndex)</f>
        <v>6</v>
      </c>
      <c r="S925" s="447">
        <f t="array" ref="S925">INDEX(MINVALUES,$Q925,$K$1)</f>
        <v>2.2</v>
      </c>
      <c r="T925" s="448">
        <f t="array" ref="T925">INDEX(INCVALUES,$Q925,$K$1)</f>
        <v>0.03</v>
      </c>
      <c r="V925">
        <f t="array" ref="V925">+J925+(4*(INDEX(MatchScoreTable,$Q925,20)-1))</f>
        <v>4</v>
      </c>
      <c r="W925" s="442">
        <f t="array" ref="W925">INDEX(INC_MINVALUES,$V925,$K$1)</f>
        <v>0.2</v>
      </c>
      <c r="X925" s="212">
        <f t="array" ref="X925">INDEX(INC_INCVALUES,$V925,$K$1)</f>
        <v>0.02</v>
      </c>
    </row>
    <row r="926" ht="15.75" customHeight="1">
      <c r="A926" s="435"/>
      <c r="B926" s="436"/>
      <c r="C926" s="95" t="str">
        <f t="array" ref="C926">IF(I926&gt;0,INDEX(DB,I926,8),"")</f>
        <v/>
      </c>
      <c r="D926" s="437">
        <f t="shared" si="1"/>
        <v>0</v>
      </c>
      <c r="F926" s="438">
        <f t="shared" si="2"/>
        <v>0</v>
      </c>
      <c r="G926" t="str">
        <f t="shared" si="3"/>
        <v/>
      </c>
      <c r="H926" t="b">
        <f t="shared" si="4"/>
        <v>0</v>
      </c>
      <c r="I926" s="439">
        <f>IF(OR(ISBLANK(A926),ISNA(MATCH(A926&amp;"",AthleteNumbers,0))),0,MATCH(A926&amp;"",AthleteNumbers,0))</f>
        <v>0</v>
      </c>
      <c r="J926" s="209">
        <f t="array" ref="J926">IF(I926&gt;0,INDEX(DB,$I926,6),0)</f>
        <v>0</v>
      </c>
      <c r="K926" s="446">
        <f t="shared" si="5"/>
        <v>0</v>
      </c>
      <c r="L926" s="446">
        <f t="shared" si="6"/>
        <v>0</v>
      </c>
      <c r="M926" s="441">
        <f>IF(L926&lt;O926,MinPoints,IF(AND(L926&gt;N926,O926&gt;0),100,+INT(($L926-O926)/P926)+MinPoints))</f>
        <v>10</v>
      </c>
      <c r="N926" s="440">
        <f t="shared" si="7"/>
        <v>4.9</v>
      </c>
      <c r="O926" s="440">
        <f t="shared" si="8"/>
        <v>2.2</v>
      </c>
      <c r="P926" s="440">
        <f t="shared" si="9"/>
        <v>0.03</v>
      </c>
      <c r="Q926">
        <f t="array" ref="Q926">IF(I926&gt;0,INDEX(DB,I926,9),EventIndex)</f>
        <v>6</v>
      </c>
      <c r="S926" s="447">
        <f t="array" ref="S926">INDEX(MINVALUES,$Q926,$K$1)</f>
        <v>2.2</v>
      </c>
      <c r="T926" s="448">
        <f t="array" ref="T926">INDEX(INCVALUES,$Q926,$K$1)</f>
        <v>0.03</v>
      </c>
      <c r="V926">
        <f t="array" ref="V926">+J926+(4*(INDEX(MatchScoreTable,$Q926,20)-1))</f>
        <v>4</v>
      </c>
      <c r="W926" s="442">
        <f t="array" ref="W926">INDEX(INC_MINVALUES,$V926,$K$1)</f>
        <v>0.2</v>
      </c>
      <c r="X926" s="212">
        <f t="array" ref="X926">INDEX(INC_INCVALUES,$V926,$K$1)</f>
        <v>0.02</v>
      </c>
    </row>
    <row r="927" ht="15.75" customHeight="1">
      <c r="A927" s="435"/>
      <c r="B927" s="436"/>
      <c r="C927" s="95" t="str">
        <f t="array" ref="C927">IF(I927&gt;0,INDEX(DB,I927,8),"")</f>
        <v/>
      </c>
      <c r="D927" s="437">
        <f t="shared" si="1"/>
        <v>0</v>
      </c>
      <c r="F927" s="438">
        <f t="shared" si="2"/>
        <v>0</v>
      </c>
      <c r="G927" t="str">
        <f t="shared" si="3"/>
        <v/>
      </c>
      <c r="H927" t="b">
        <f t="shared" si="4"/>
        <v>0</v>
      </c>
      <c r="I927" s="439">
        <f>IF(OR(ISBLANK(A927),ISNA(MATCH(A927&amp;"",AthleteNumbers,0))),0,MATCH(A927&amp;"",AthleteNumbers,0))</f>
        <v>0</v>
      </c>
      <c r="J927" s="209">
        <f t="array" ref="J927">IF(I927&gt;0,INDEX(DB,$I927,6),0)</f>
        <v>0</v>
      </c>
      <c r="K927" s="446">
        <f t="shared" si="5"/>
        <v>0</v>
      </c>
      <c r="L927" s="446">
        <f t="shared" si="6"/>
        <v>0</v>
      </c>
      <c r="M927" s="441">
        <f>IF(L927&lt;O927,MinPoints,IF(AND(L927&gt;N927,O927&gt;0),100,+INT(($L927-O927)/P927)+MinPoints))</f>
        <v>10</v>
      </c>
      <c r="N927" s="440">
        <f t="shared" si="7"/>
        <v>4.9</v>
      </c>
      <c r="O927" s="440">
        <f t="shared" si="8"/>
        <v>2.2</v>
      </c>
      <c r="P927" s="440">
        <f t="shared" si="9"/>
        <v>0.03</v>
      </c>
      <c r="Q927">
        <f t="array" ref="Q927">IF(I927&gt;0,INDEX(DB,I927,9),EventIndex)</f>
        <v>6</v>
      </c>
      <c r="S927" s="447">
        <f t="array" ref="S927">INDEX(MINVALUES,$Q927,$K$1)</f>
        <v>2.2</v>
      </c>
      <c r="T927" s="448">
        <f t="array" ref="T927">INDEX(INCVALUES,$Q927,$K$1)</f>
        <v>0.03</v>
      </c>
      <c r="V927">
        <f t="array" ref="V927">+J927+(4*(INDEX(MatchScoreTable,$Q927,20)-1))</f>
        <v>4</v>
      </c>
      <c r="W927" s="442">
        <f t="array" ref="W927">INDEX(INC_MINVALUES,$V927,$K$1)</f>
        <v>0.2</v>
      </c>
      <c r="X927" s="212">
        <f t="array" ref="X927">INDEX(INC_INCVALUES,$V927,$K$1)</f>
        <v>0.02</v>
      </c>
    </row>
    <row r="928" ht="15.75" customHeight="1">
      <c r="A928" s="435"/>
      <c r="B928" s="436"/>
      <c r="C928" s="95" t="str">
        <f t="array" ref="C928">IF(I928&gt;0,INDEX(DB,I928,8),"")</f>
        <v/>
      </c>
      <c r="D928" s="437">
        <f t="shared" si="1"/>
        <v>0</v>
      </c>
      <c r="F928" s="438">
        <f t="shared" si="2"/>
        <v>0</v>
      </c>
      <c r="G928" t="str">
        <f t="shared" si="3"/>
        <v/>
      </c>
      <c r="H928" t="b">
        <f t="shared" si="4"/>
        <v>0</v>
      </c>
      <c r="I928" s="439">
        <f>IF(OR(ISBLANK(A928),ISNA(MATCH(A928&amp;"",AthleteNumbers,0))),0,MATCH(A928&amp;"",AthleteNumbers,0))</f>
        <v>0</v>
      </c>
      <c r="J928" s="209">
        <f t="array" ref="J928">IF(I928&gt;0,INDEX(DB,$I928,6),0)</f>
        <v>0</v>
      </c>
      <c r="K928" s="446">
        <f t="shared" si="5"/>
        <v>0</v>
      </c>
      <c r="L928" s="446">
        <f t="shared" si="6"/>
        <v>0</v>
      </c>
      <c r="M928" s="441">
        <f>IF(L928&lt;O928,MinPoints,IF(AND(L928&gt;N928,O928&gt;0),100,+INT(($L928-O928)/P928)+MinPoints))</f>
        <v>10</v>
      </c>
      <c r="N928" s="440">
        <f t="shared" si="7"/>
        <v>4.9</v>
      </c>
      <c r="O928" s="440">
        <f t="shared" si="8"/>
        <v>2.2</v>
      </c>
      <c r="P928" s="440">
        <f t="shared" si="9"/>
        <v>0.03</v>
      </c>
      <c r="Q928">
        <f t="array" ref="Q928">IF(I928&gt;0,INDEX(DB,I928,9),EventIndex)</f>
        <v>6</v>
      </c>
      <c r="S928" s="447">
        <f t="array" ref="S928">INDEX(MINVALUES,$Q928,$K$1)</f>
        <v>2.2</v>
      </c>
      <c r="T928" s="448">
        <f t="array" ref="T928">INDEX(INCVALUES,$Q928,$K$1)</f>
        <v>0.03</v>
      </c>
      <c r="V928">
        <f t="array" ref="V928">+J928+(4*(INDEX(MatchScoreTable,$Q928,20)-1))</f>
        <v>4</v>
      </c>
      <c r="W928" s="442">
        <f t="array" ref="W928">INDEX(INC_MINVALUES,$V928,$K$1)</f>
        <v>0.2</v>
      </c>
      <c r="X928" s="212">
        <f t="array" ref="X928">INDEX(INC_INCVALUES,$V928,$K$1)</f>
        <v>0.02</v>
      </c>
    </row>
    <row r="929" ht="15.75" customHeight="1">
      <c r="A929" s="435"/>
      <c r="B929" s="436"/>
      <c r="C929" s="95" t="str">
        <f t="array" ref="C929">IF(I929&gt;0,INDEX(DB,I929,8),"")</f>
        <v/>
      </c>
      <c r="D929" s="437">
        <f t="shared" si="1"/>
        <v>0</v>
      </c>
      <c r="F929" s="438">
        <f t="shared" si="2"/>
        <v>0</v>
      </c>
      <c r="G929" t="str">
        <f t="shared" si="3"/>
        <v/>
      </c>
      <c r="H929" t="b">
        <f t="shared" si="4"/>
        <v>0</v>
      </c>
      <c r="I929" s="439">
        <f>IF(OR(ISBLANK(A929),ISNA(MATCH(A929&amp;"",AthleteNumbers,0))),0,MATCH(A929&amp;"",AthleteNumbers,0))</f>
        <v>0</v>
      </c>
      <c r="J929" s="209">
        <f t="array" ref="J929">IF(I929&gt;0,INDEX(DB,$I929,6),0)</f>
        <v>0</v>
      </c>
      <c r="K929" s="446">
        <f t="shared" si="5"/>
        <v>0</v>
      </c>
      <c r="L929" s="446">
        <f t="shared" si="6"/>
        <v>0</v>
      </c>
      <c r="M929" s="441">
        <f>IF(L929&lt;O929,MinPoints,IF(AND(L929&gt;N929,O929&gt;0),100,+INT(($L929-O929)/P929)+MinPoints))</f>
        <v>10</v>
      </c>
      <c r="N929" s="440">
        <f t="shared" si="7"/>
        <v>4.9</v>
      </c>
      <c r="O929" s="440">
        <f t="shared" si="8"/>
        <v>2.2</v>
      </c>
      <c r="P929" s="440">
        <f t="shared" si="9"/>
        <v>0.03</v>
      </c>
      <c r="Q929">
        <f t="array" ref="Q929">IF(I929&gt;0,INDEX(DB,I929,9),EventIndex)</f>
        <v>6</v>
      </c>
      <c r="S929" s="447">
        <f t="array" ref="S929">INDEX(MINVALUES,$Q929,$K$1)</f>
        <v>2.2</v>
      </c>
      <c r="T929" s="448">
        <f t="array" ref="T929">INDEX(INCVALUES,$Q929,$K$1)</f>
        <v>0.03</v>
      </c>
      <c r="V929">
        <f t="array" ref="V929">+J929+(4*(INDEX(MatchScoreTable,$Q929,20)-1))</f>
        <v>4</v>
      </c>
      <c r="W929" s="442">
        <f t="array" ref="W929">INDEX(INC_MINVALUES,$V929,$K$1)</f>
        <v>0.2</v>
      </c>
      <c r="X929" s="212">
        <f t="array" ref="X929">INDEX(INC_INCVALUES,$V929,$K$1)</f>
        <v>0.02</v>
      </c>
    </row>
    <row r="930" ht="15.75" customHeight="1">
      <c r="A930" s="435"/>
      <c r="B930" s="436"/>
      <c r="C930" s="95" t="str">
        <f t="array" ref="C930">IF(I930&gt;0,INDEX(DB,I930,8),"")</f>
        <v/>
      </c>
      <c r="D930" s="437">
        <f t="shared" si="1"/>
        <v>0</v>
      </c>
      <c r="F930" s="438">
        <f t="shared" si="2"/>
        <v>0</v>
      </c>
      <c r="G930" t="str">
        <f t="shared" si="3"/>
        <v/>
      </c>
      <c r="H930" t="b">
        <f t="shared" si="4"/>
        <v>0</v>
      </c>
      <c r="I930" s="439">
        <f>IF(OR(ISBLANK(A930),ISNA(MATCH(A930&amp;"",AthleteNumbers,0))),0,MATCH(A930&amp;"",AthleteNumbers,0))</f>
        <v>0</v>
      </c>
      <c r="J930" s="209">
        <f t="array" ref="J930">IF(I930&gt;0,INDEX(DB,$I930,6),0)</f>
        <v>0</v>
      </c>
      <c r="K930" s="446">
        <f t="shared" si="5"/>
        <v>0</v>
      </c>
      <c r="L930" s="446">
        <f t="shared" si="6"/>
        <v>0</v>
      </c>
      <c r="M930" s="441">
        <f>IF(L930&lt;O930,MinPoints,IF(AND(L930&gt;N930,O930&gt;0),100,+INT(($L930-O930)/P930)+MinPoints))</f>
        <v>10</v>
      </c>
      <c r="N930" s="440">
        <f t="shared" si="7"/>
        <v>4.9</v>
      </c>
      <c r="O930" s="440">
        <f t="shared" si="8"/>
        <v>2.2</v>
      </c>
      <c r="P930" s="440">
        <f t="shared" si="9"/>
        <v>0.03</v>
      </c>
      <c r="Q930">
        <f t="array" ref="Q930">IF(I930&gt;0,INDEX(DB,I930,9),EventIndex)</f>
        <v>6</v>
      </c>
      <c r="S930" s="447">
        <f t="array" ref="S930">INDEX(MINVALUES,$Q930,$K$1)</f>
        <v>2.2</v>
      </c>
      <c r="T930" s="448">
        <f t="array" ref="T930">INDEX(INCVALUES,$Q930,$K$1)</f>
        <v>0.03</v>
      </c>
      <c r="V930">
        <f t="array" ref="V930">+J930+(4*(INDEX(MatchScoreTable,$Q930,20)-1))</f>
        <v>4</v>
      </c>
      <c r="W930" s="442">
        <f t="array" ref="W930">INDEX(INC_MINVALUES,$V930,$K$1)</f>
        <v>0.2</v>
      </c>
      <c r="X930" s="212">
        <f t="array" ref="X930">INDEX(INC_INCVALUES,$V930,$K$1)</f>
        <v>0.02</v>
      </c>
    </row>
    <row r="931" ht="15.75" customHeight="1">
      <c r="A931" s="435"/>
      <c r="B931" s="436"/>
      <c r="C931" s="95" t="str">
        <f t="array" ref="C931">IF(I931&gt;0,INDEX(DB,I931,8),"")</f>
        <v/>
      </c>
      <c r="D931" s="437">
        <f t="shared" si="1"/>
        <v>0</v>
      </c>
      <c r="F931" s="438">
        <f t="shared" si="2"/>
        <v>0</v>
      </c>
      <c r="G931" t="str">
        <f t="shared" si="3"/>
        <v/>
      </c>
      <c r="H931" t="b">
        <f t="shared" si="4"/>
        <v>0</v>
      </c>
      <c r="I931" s="439">
        <f>IF(OR(ISBLANK(A931),ISNA(MATCH(A931&amp;"",AthleteNumbers,0))),0,MATCH(A931&amp;"",AthleteNumbers,0))</f>
        <v>0</v>
      </c>
      <c r="J931" s="209">
        <f t="array" ref="J931">IF(I931&gt;0,INDEX(DB,$I931,6),0)</f>
        <v>0</v>
      </c>
      <c r="K931" s="446">
        <f t="shared" si="5"/>
        <v>0</v>
      </c>
      <c r="L931" s="446">
        <f t="shared" si="6"/>
        <v>0</v>
      </c>
      <c r="M931" s="441">
        <f>IF(L931&lt;O931,MinPoints,IF(AND(L931&gt;N931,O931&gt;0),100,+INT(($L931-O931)/P931)+MinPoints))</f>
        <v>10</v>
      </c>
      <c r="N931" s="440">
        <f t="shared" si="7"/>
        <v>4.9</v>
      </c>
      <c r="O931" s="440">
        <f t="shared" si="8"/>
        <v>2.2</v>
      </c>
      <c r="P931" s="440">
        <f t="shared" si="9"/>
        <v>0.03</v>
      </c>
      <c r="Q931">
        <f t="array" ref="Q931">IF(I931&gt;0,INDEX(DB,I931,9),EventIndex)</f>
        <v>6</v>
      </c>
      <c r="S931" s="447">
        <f t="array" ref="S931">INDEX(MINVALUES,$Q931,$K$1)</f>
        <v>2.2</v>
      </c>
      <c r="T931" s="448">
        <f t="array" ref="T931">INDEX(INCVALUES,$Q931,$K$1)</f>
        <v>0.03</v>
      </c>
      <c r="V931">
        <f t="array" ref="V931">+J931+(4*(INDEX(MatchScoreTable,$Q931,20)-1))</f>
        <v>4</v>
      </c>
      <c r="W931" s="442">
        <f t="array" ref="W931">INDEX(INC_MINVALUES,$V931,$K$1)</f>
        <v>0.2</v>
      </c>
      <c r="X931" s="212">
        <f t="array" ref="X931">INDEX(INC_INCVALUES,$V931,$K$1)</f>
        <v>0.02</v>
      </c>
    </row>
    <row r="932" ht="15.75" customHeight="1">
      <c r="A932" s="435"/>
      <c r="B932" s="436"/>
      <c r="C932" s="95" t="str">
        <f t="array" ref="C932">IF(I932&gt;0,INDEX(DB,I932,8),"")</f>
        <v/>
      </c>
      <c r="D932" s="437">
        <f t="shared" si="1"/>
        <v>0</v>
      </c>
      <c r="F932" s="438">
        <f t="shared" si="2"/>
        <v>0</v>
      </c>
      <c r="G932" t="str">
        <f t="shared" si="3"/>
        <v/>
      </c>
      <c r="H932" t="b">
        <f t="shared" si="4"/>
        <v>0</v>
      </c>
      <c r="I932" s="439">
        <f>IF(OR(ISBLANK(A932),ISNA(MATCH(A932&amp;"",AthleteNumbers,0))),0,MATCH(A932&amp;"",AthleteNumbers,0))</f>
        <v>0</v>
      </c>
      <c r="J932" s="209">
        <f t="array" ref="J932">IF(I932&gt;0,INDEX(DB,$I932,6),0)</f>
        <v>0</v>
      </c>
      <c r="K932" s="446">
        <f t="shared" si="5"/>
        <v>0</v>
      </c>
      <c r="L932" s="446">
        <f t="shared" si="6"/>
        <v>0</v>
      </c>
      <c r="M932" s="441">
        <f>IF(L932&lt;O932,MinPoints,IF(AND(L932&gt;N932,O932&gt;0),100,+INT(($L932-O932)/P932)+MinPoints))</f>
        <v>10</v>
      </c>
      <c r="N932" s="440">
        <f t="shared" si="7"/>
        <v>4.9</v>
      </c>
      <c r="O932" s="440">
        <f t="shared" si="8"/>
        <v>2.2</v>
      </c>
      <c r="P932" s="440">
        <f t="shared" si="9"/>
        <v>0.03</v>
      </c>
      <c r="Q932">
        <f t="array" ref="Q932">IF(I932&gt;0,INDEX(DB,I932,9),EventIndex)</f>
        <v>6</v>
      </c>
      <c r="S932" s="447">
        <f t="array" ref="S932">INDEX(MINVALUES,$Q932,$K$1)</f>
        <v>2.2</v>
      </c>
      <c r="T932" s="448">
        <f t="array" ref="T932">INDEX(INCVALUES,$Q932,$K$1)</f>
        <v>0.03</v>
      </c>
      <c r="V932">
        <f t="array" ref="V932">+J932+(4*(INDEX(MatchScoreTable,$Q932,20)-1))</f>
        <v>4</v>
      </c>
      <c r="W932" s="442">
        <f t="array" ref="W932">INDEX(INC_MINVALUES,$V932,$K$1)</f>
        <v>0.2</v>
      </c>
      <c r="X932" s="212">
        <f t="array" ref="X932">INDEX(INC_INCVALUES,$V932,$K$1)</f>
        <v>0.02</v>
      </c>
    </row>
    <row r="933" ht="15.75" customHeight="1">
      <c r="A933" s="435"/>
      <c r="B933" s="436"/>
      <c r="C933" s="95" t="str">
        <f t="array" ref="C933">IF(I933&gt;0,INDEX(DB,I933,8),"")</f>
        <v/>
      </c>
      <c r="D933" s="437">
        <f t="shared" si="1"/>
        <v>0</v>
      </c>
      <c r="F933" s="438">
        <f t="shared" si="2"/>
        <v>0</v>
      </c>
      <c r="G933" t="str">
        <f t="shared" si="3"/>
        <v/>
      </c>
      <c r="H933" t="b">
        <f t="shared" si="4"/>
        <v>0</v>
      </c>
      <c r="I933" s="439">
        <f>IF(OR(ISBLANK(A933),ISNA(MATCH(A933&amp;"",AthleteNumbers,0))),0,MATCH(A933&amp;"",AthleteNumbers,0))</f>
        <v>0</v>
      </c>
      <c r="J933" s="209">
        <f t="array" ref="J933">IF(I933&gt;0,INDEX(DB,$I933,6),0)</f>
        <v>0</v>
      </c>
      <c r="K933" s="446">
        <f t="shared" si="5"/>
        <v>0</v>
      </c>
      <c r="L933" s="446">
        <f t="shared" si="6"/>
        <v>0</v>
      </c>
      <c r="M933" s="441">
        <f>IF(L933&lt;O933,MinPoints,IF(AND(L933&gt;N933,O933&gt;0),100,+INT(($L933-O933)/P933)+MinPoints))</f>
        <v>10</v>
      </c>
      <c r="N933" s="440">
        <f t="shared" si="7"/>
        <v>4.9</v>
      </c>
      <c r="O933" s="440">
        <f t="shared" si="8"/>
        <v>2.2</v>
      </c>
      <c r="P933" s="440">
        <f t="shared" si="9"/>
        <v>0.03</v>
      </c>
      <c r="Q933">
        <f t="array" ref="Q933">IF(I933&gt;0,INDEX(DB,I933,9),EventIndex)</f>
        <v>6</v>
      </c>
      <c r="S933" s="447">
        <f t="array" ref="S933">INDEX(MINVALUES,$Q933,$K$1)</f>
        <v>2.2</v>
      </c>
      <c r="T933" s="448">
        <f t="array" ref="T933">INDEX(INCVALUES,$Q933,$K$1)</f>
        <v>0.03</v>
      </c>
      <c r="V933">
        <f t="array" ref="V933">+J933+(4*(INDEX(MatchScoreTable,$Q933,20)-1))</f>
        <v>4</v>
      </c>
      <c r="W933" s="442">
        <f t="array" ref="W933">INDEX(INC_MINVALUES,$V933,$K$1)</f>
        <v>0.2</v>
      </c>
      <c r="X933" s="212">
        <f t="array" ref="X933">INDEX(INC_INCVALUES,$V933,$K$1)</f>
        <v>0.02</v>
      </c>
    </row>
    <row r="934" ht="15.75" customHeight="1">
      <c r="A934" s="435"/>
      <c r="B934" s="436"/>
      <c r="C934" s="95" t="str">
        <f t="array" ref="C934">IF(I934&gt;0,INDEX(DB,I934,8),"")</f>
        <v/>
      </c>
      <c r="D934" s="437">
        <f t="shared" si="1"/>
        <v>0</v>
      </c>
      <c r="F934" s="438">
        <f t="shared" si="2"/>
        <v>0</v>
      </c>
      <c r="G934" t="str">
        <f t="shared" si="3"/>
        <v/>
      </c>
      <c r="H934" t="b">
        <f t="shared" si="4"/>
        <v>0</v>
      </c>
      <c r="I934" s="439">
        <f>IF(OR(ISBLANK(A934),ISNA(MATCH(A934&amp;"",AthleteNumbers,0))),0,MATCH(A934&amp;"",AthleteNumbers,0))</f>
        <v>0</v>
      </c>
      <c r="J934" s="209">
        <f t="array" ref="J934">IF(I934&gt;0,INDEX(DB,$I934,6),0)</f>
        <v>0</v>
      </c>
      <c r="K934" s="446">
        <f t="shared" si="5"/>
        <v>0</v>
      </c>
      <c r="L934" s="446">
        <f t="shared" si="6"/>
        <v>0</v>
      </c>
      <c r="M934" s="441">
        <f>IF(L934&lt;O934,MinPoints,IF(AND(L934&gt;N934,O934&gt;0),100,+INT(($L934-O934)/P934)+MinPoints))</f>
        <v>10</v>
      </c>
      <c r="N934" s="440">
        <f t="shared" si="7"/>
        <v>4.9</v>
      </c>
      <c r="O934" s="440">
        <f t="shared" si="8"/>
        <v>2.2</v>
      </c>
      <c r="P934" s="440">
        <f t="shared" si="9"/>
        <v>0.03</v>
      </c>
      <c r="Q934">
        <f t="array" ref="Q934">IF(I934&gt;0,INDEX(DB,I934,9),EventIndex)</f>
        <v>6</v>
      </c>
      <c r="S934" s="447">
        <f t="array" ref="S934">INDEX(MINVALUES,$Q934,$K$1)</f>
        <v>2.2</v>
      </c>
      <c r="T934" s="448">
        <f t="array" ref="T934">INDEX(INCVALUES,$Q934,$K$1)</f>
        <v>0.03</v>
      </c>
      <c r="V934">
        <f t="array" ref="V934">+J934+(4*(INDEX(MatchScoreTable,$Q934,20)-1))</f>
        <v>4</v>
      </c>
      <c r="W934" s="442">
        <f t="array" ref="W934">INDEX(INC_MINVALUES,$V934,$K$1)</f>
        <v>0.2</v>
      </c>
      <c r="X934" s="212">
        <f t="array" ref="X934">INDEX(INC_INCVALUES,$V934,$K$1)</f>
        <v>0.02</v>
      </c>
    </row>
    <row r="935" ht="15.75" customHeight="1">
      <c r="A935" s="435"/>
      <c r="B935" s="436"/>
      <c r="C935" s="95" t="str">
        <f t="array" ref="C935">IF(I935&gt;0,INDEX(DB,I935,8),"")</f>
        <v/>
      </c>
      <c r="D935" s="437">
        <f t="shared" si="1"/>
        <v>0</v>
      </c>
      <c r="F935" s="438">
        <f t="shared" si="2"/>
        <v>0</v>
      </c>
      <c r="G935" t="str">
        <f t="shared" si="3"/>
        <v/>
      </c>
      <c r="H935" t="b">
        <f t="shared" si="4"/>
        <v>0</v>
      </c>
      <c r="I935" s="439">
        <f>IF(OR(ISBLANK(A935),ISNA(MATCH(A935&amp;"",AthleteNumbers,0))),0,MATCH(A935&amp;"",AthleteNumbers,0))</f>
        <v>0</v>
      </c>
      <c r="J935" s="209">
        <f t="array" ref="J935">IF(I935&gt;0,INDEX(DB,$I935,6),0)</f>
        <v>0</v>
      </c>
      <c r="K935" s="446">
        <f t="shared" si="5"/>
        <v>0</v>
      </c>
      <c r="L935" s="446">
        <f t="shared" si="6"/>
        <v>0</v>
      </c>
      <c r="M935" s="441">
        <f>IF(L935&lt;O935,MinPoints,IF(AND(L935&gt;N935,O935&gt;0),100,+INT(($L935-O935)/P935)+MinPoints))</f>
        <v>10</v>
      </c>
      <c r="N935" s="440">
        <f t="shared" si="7"/>
        <v>4.9</v>
      </c>
      <c r="O935" s="440">
        <f t="shared" si="8"/>
        <v>2.2</v>
      </c>
      <c r="P935" s="440">
        <f t="shared" si="9"/>
        <v>0.03</v>
      </c>
      <c r="Q935">
        <f t="array" ref="Q935">IF(I935&gt;0,INDEX(DB,I935,9),EventIndex)</f>
        <v>6</v>
      </c>
      <c r="S935" s="447">
        <f t="array" ref="S935">INDEX(MINVALUES,$Q935,$K$1)</f>
        <v>2.2</v>
      </c>
      <c r="T935" s="448">
        <f t="array" ref="T935">INDEX(INCVALUES,$Q935,$K$1)</f>
        <v>0.03</v>
      </c>
      <c r="V935">
        <f t="array" ref="V935">+J935+(4*(INDEX(MatchScoreTable,$Q935,20)-1))</f>
        <v>4</v>
      </c>
      <c r="W935" s="442">
        <f t="array" ref="W935">INDEX(INC_MINVALUES,$V935,$K$1)</f>
        <v>0.2</v>
      </c>
      <c r="X935" s="212">
        <f t="array" ref="X935">INDEX(INC_INCVALUES,$V935,$K$1)</f>
        <v>0.02</v>
      </c>
    </row>
    <row r="936" ht="15.75" customHeight="1">
      <c r="A936" s="435"/>
      <c r="B936" s="436"/>
      <c r="C936" s="95" t="str">
        <f t="array" ref="C936">IF(I936&gt;0,INDEX(DB,I936,8),"")</f>
        <v/>
      </c>
      <c r="D936" s="437">
        <f t="shared" si="1"/>
        <v>0</v>
      </c>
      <c r="F936" s="438">
        <f t="shared" si="2"/>
        <v>0</v>
      </c>
      <c r="G936" t="str">
        <f t="shared" si="3"/>
        <v/>
      </c>
      <c r="H936" t="b">
        <f t="shared" si="4"/>
        <v>0</v>
      </c>
      <c r="I936" s="439">
        <f>IF(OR(ISBLANK(A936),ISNA(MATCH(A936&amp;"",AthleteNumbers,0))),0,MATCH(A936&amp;"",AthleteNumbers,0))</f>
        <v>0</v>
      </c>
      <c r="J936" s="209">
        <f t="array" ref="J936">IF(I936&gt;0,INDEX(DB,$I936,6),0)</f>
        <v>0</v>
      </c>
      <c r="K936" s="446">
        <f t="shared" si="5"/>
        <v>0</v>
      </c>
      <c r="L936" s="446">
        <f t="shared" si="6"/>
        <v>0</v>
      </c>
      <c r="M936" s="441">
        <f>IF(L936&lt;O936,MinPoints,IF(AND(L936&gt;N936,O936&gt;0),100,+INT(($L936-O936)/P936)+MinPoints))</f>
        <v>10</v>
      </c>
      <c r="N936" s="440">
        <f t="shared" si="7"/>
        <v>4.9</v>
      </c>
      <c r="O936" s="440">
        <f t="shared" si="8"/>
        <v>2.2</v>
      </c>
      <c r="P936" s="440">
        <f t="shared" si="9"/>
        <v>0.03</v>
      </c>
      <c r="Q936">
        <f t="array" ref="Q936">IF(I936&gt;0,INDEX(DB,I936,9),EventIndex)</f>
        <v>6</v>
      </c>
      <c r="S936" s="447">
        <f t="array" ref="S936">INDEX(MINVALUES,$Q936,$K$1)</f>
        <v>2.2</v>
      </c>
      <c r="T936" s="448">
        <f t="array" ref="T936">INDEX(INCVALUES,$Q936,$K$1)</f>
        <v>0.03</v>
      </c>
      <c r="V936">
        <f t="array" ref="V936">+J936+(4*(INDEX(MatchScoreTable,$Q936,20)-1))</f>
        <v>4</v>
      </c>
      <c r="W936" s="442">
        <f t="array" ref="W936">INDEX(INC_MINVALUES,$V936,$K$1)</f>
        <v>0.2</v>
      </c>
      <c r="X936" s="212">
        <f t="array" ref="X936">INDEX(INC_INCVALUES,$V936,$K$1)</f>
        <v>0.02</v>
      </c>
    </row>
    <row r="937" ht="15.75" customHeight="1">
      <c r="A937" s="435"/>
      <c r="B937" s="436"/>
      <c r="C937" s="95" t="str">
        <f t="array" ref="C937">IF(I937&gt;0,INDEX(DB,I937,8),"")</f>
        <v/>
      </c>
      <c r="D937" s="437">
        <f t="shared" si="1"/>
        <v>0</v>
      </c>
      <c r="F937" s="438">
        <f t="shared" si="2"/>
        <v>0</v>
      </c>
      <c r="G937" t="str">
        <f t="shared" si="3"/>
        <v/>
      </c>
      <c r="H937" t="b">
        <f t="shared" si="4"/>
        <v>0</v>
      </c>
      <c r="I937" s="439">
        <f>IF(OR(ISBLANK(A937),ISNA(MATCH(A937&amp;"",AthleteNumbers,0))),0,MATCH(A937&amp;"",AthleteNumbers,0))</f>
        <v>0</v>
      </c>
      <c r="J937" s="209">
        <f t="array" ref="J937">IF(I937&gt;0,INDEX(DB,$I937,6),0)</f>
        <v>0</v>
      </c>
      <c r="K937" s="446">
        <f t="shared" si="5"/>
        <v>0</v>
      </c>
      <c r="L937" s="446">
        <f t="shared" si="6"/>
        <v>0</v>
      </c>
      <c r="M937" s="441">
        <f>IF(L937&lt;O937,MinPoints,IF(AND(L937&gt;N937,O937&gt;0),100,+INT(($L937-O937)/P937)+MinPoints))</f>
        <v>10</v>
      </c>
      <c r="N937" s="440">
        <f t="shared" si="7"/>
        <v>4.9</v>
      </c>
      <c r="O937" s="440">
        <f t="shared" si="8"/>
        <v>2.2</v>
      </c>
      <c r="P937" s="440">
        <f t="shared" si="9"/>
        <v>0.03</v>
      </c>
      <c r="Q937">
        <f t="array" ref="Q937">IF(I937&gt;0,INDEX(DB,I937,9),EventIndex)</f>
        <v>6</v>
      </c>
      <c r="S937" s="447">
        <f t="array" ref="S937">INDEX(MINVALUES,$Q937,$K$1)</f>
        <v>2.2</v>
      </c>
      <c r="T937" s="448">
        <f t="array" ref="T937">INDEX(INCVALUES,$Q937,$K$1)</f>
        <v>0.03</v>
      </c>
      <c r="V937">
        <f t="array" ref="V937">+J937+(4*(INDEX(MatchScoreTable,$Q937,20)-1))</f>
        <v>4</v>
      </c>
      <c r="W937" s="442">
        <f t="array" ref="W937">INDEX(INC_MINVALUES,$V937,$K$1)</f>
        <v>0.2</v>
      </c>
      <c r="X937" s="212">
        <f t="array" ref="X937">INDEX(INC_INCVALUES,$V937,$K$1)</f>
        <v>0.02</v>
      </c>
    </row>
    <row r="938" ht="15.75" customHeight="1">
      <c r="A938" s="435"/>
      <c r="B938" s="436"/>
      <c r="C938" s="95" t="str">
        <f t="array" ref="C938">IF(I938&gt;0,INDEX(DB,I938,8),"")</f>
        <v/>
      </c>
      <c r="D938" s="437">
        <f t="shared" si="1"/>
        <v>0</v>
      </c>
      <c r="F938" s="438">
        <f t="shared" si="2"/>
        <v>0</v>
      </c>
      <c r="G938" t="str">
        <f t="shared" si="3"/>
        <v/>
      </c>
      <c r="H938" t="b">
        <f t="shared" si="4"/>
        <v>0</v>
      </c>
      <c r="I938" s="439">
        <f>IF(OR(ISBLANK(A938),ISNA(MATCH(A938&amp;"",AthleteNumbers,0))),0,MATCH(A938&amp;"",AthleteNumbers,0))</f>
        <v>0</v>
      </c>
      <c r="J938" s="209">
        <f t="array" ref="J938">IF(I938&gt;0,INDEX(DB,$I938,6),0)</f>
        <v>0</v>
      </c>
      <c r="K938" s="446">
        <f t="shared" si="5"/>
        <v>0</v>
      </c>
      <c r="L938" s="446">
        <f t="shared" si="6"/>
        <v>0</v>
      </c>
      <c r="M938" s="441">
        <f>IF(L938&lt;O938,MinPoints,IF(AND(L938&gt;N938,O938&gt;0),100,+INT(($L938-O938)/P938)+MinPoints))</f>
        <v>10</v>
      </c>
      <c r="N938" s="440">
        <f t="shared" si="7"/>
        <v>4.9</v>
      </c>
      <c r="O938" s="440">
        <f t="shared" si="8"/>
        <v>2.2</v>
      </c>
      <c r="P938" s="440">
        <f t="shared" si="9"/>
        <v>0.03</v>
      </c>
      <c r="Q938">
        <f t="array" ref="Q938">IF(I938&gt;0,INDEX(DB,I938,9),EventIndex)</f>
        <v>6</v>
      </c>
      <c r="S938" s="447">
        <f t="array" ref="S938">INDEX(MINVALUES,$Q938,$K$1)</f>
        <v>2.2</v>
      </c>
      <c r="T938" s="448">
        <f t="array" ref="T938">INDEX(INCVALUES,$Q938,$K$1)</f>
        <v>0.03</v>
      </c>
      <c r="V938">
        <f t="array" ref="V938">+J938+(4*(INDEX(MatchScoreTable,$Q938,20)-1))</f>
        <v>4</v>
      </c>
      <c r="W938" s="442">
        <f t="array" ref="W938">INDEX(INC_MINVALUES,$V938,$K$1)</f>
        <v>0.2</v>
      </c>
      <c r="X938" s="212">
        <f t="array" ref="X938">INDEX(INC_INCVALUES,$V938,$K$1)</f>
        <v>0.02</v>
      </c>
    </row>
    <row r="939" ht="15.75" customHeight="1">
      <c r="A939" s="435"/>
      <c r="B939" s="436"/>
      <c r="C939" s="95" t="str">
        <f t="array" ref="C939">IF(I939&gt;0,INDEX(DB,I939,8),"")</f>
        <v/>
      </c>
      <c r="D939" s="437">
        <f t="shared" si="1"/>
        <v>0</v>
      </c>
      <c r="F939" s="438">
        <f t="shared" si="2"/>
        <v>0</v>
      </c>
      <c r="G939" t="str">
        <f t="shared" si="3"/>
        <v/>
      </c>
      <c r="H939" t="b">
        <f t="shared" si="4"/>
        <v>0</v>
      </c>
      <c r="I939" s="439">
        <f>IF(OR(ISBLANK(A939),ISNA(MATCH(A939&amp;"",AthleteNumbers,0))),0,MATCH(A939&amp;"",AthleteNumbers,0))</f>
        <v>0</v>
      </c>
      <c r="J939" s="209">
        <f t="array" ref="J939">IF(I939&gt;0,INDEX(DB,$I939,6),0)</f>
        <v>0</v>
      </c>
      <c r="K939" s="446">
        <f t="shared" si="5"/>
        <v>0</v>
      </c>
      <c r="L939" s="446">
        <f t="shared" si="6"/>
        <v>0</v>
      </c>
      <c r="M939" s="441">
        <f>IF(L939&lt;O939,MinPoints,IF(AND(L939&gt;N939,O939&gt;0),100,+INT(($L939-O939)/P939)+MinPoints))</f>
        <v>10</v>
      </c>
      <c r="N939" s="440">
        <f t="shared" si="7"/>
        <v>4.9</v>
      </c>
      <c r="O939" s="440">
        <f t="shared" si="8"/>
        <v>2.2</v>
      </c>
      <c r="P939" s="440">
        <f t="shared" si="9"/>
        <v>0.03</v>
      </c>
      <c r="Q939">
        <f t="array" ref="Q939">IF(I939&gt;0,INDEX(DB,I939,9),EventIndex)</f>
        <v>6</v>
      </c>
      <c r="S939" s="447">
        <f t="array" ref="S939">INDEX(MINVALUES,$Q939,$K$1)</f>
        <v>2.2</v>
      </c>
      <c r="T939" s="448">
        <f t="array" ref="T939">INDEX(INCVALUES,$Q939,$K$1)</f>
        <v>0.03</v>
      </c>
      <c r="V939">
        <f t="array" ref="V939">+J939+(4*(INDEX(MatchScoreTable,$Q939,20)-1))</f>
        <v>4</v>
      </c>
      <c r="W939" s="442">
        <f t="array" ref="W939">INDEX(INC_MINVALUES,$V939,$K$1)</f>
        <v>0.2</v>
      </c>
      <c r="X939" s="212">
        <f t="array" ref="X939">INDEX(INC_INCVALUES,$V939,$K$1)</f>
        <v>0.02</v>
      </c>
    </row>
    <row r="940" ht="15.75" customHeight="1">
      <c r="A940" s="435"/>
      <c r="B940" s="436"/>
      <c r="C940" s="95" t="str">
        <f t="array" ref="C940">IF(I940&gt;0,INDEX(DB,I940,8),"")</f>
        <v/>
      </c>
      <c r="D940" s="437">
        <f t="shared" si="1"/>
        <v>0</v>
      </c>
      <c r="F940" s="438">
        <f t="shared" si="2"/>
        <v>0</v>
      </c>
      <c r="G940" t="str">
        <f t="shared" si="3"/>
        <v/>
      </c>
      <c r="H940" t="b">
        <f t="shared" si="4"/>
        <v>0</v>
      </c>
      <c r="I940" s="439">
        <f>IF(OR(ISBLANK(A940),ISNA(MATCH(A940&amp;"",AthleteNumbers,0))),0,MATCH(A940&amp;"",AthleteNumbers,0))</f>
        <v>0</v>
      </c>
      <c r="J940" s="209">
        <f t="array" ref="J940">IF(I940&gt;0,INDEX(DB,$I940,6),0)</f>
        <v>0</v>
      </c>
      <c r="K940" s="446">
        <f t="shared" si="5"/>
        <v>0</v>
      </c>
      <c r="L940" s="446">
        <f t="shared" si="6"/>
        <v>0</v>
      </c>
      <c r="M940" s="441">
        <f>IF(L940&lt;O940,MinPoints,IF(AND(L940&gt;N940,O940&gt;0),100,+INT(($L940-O940)/P940)+MinPoints))</f>
        <v>10</v>
      </c>
      <c r="N940" s="440">
        <f t="shared" si="7"/>
        <v>4.9</v>
      </c>
      <c r="O940" s="440">
        <f t="shared" si="8"/>
        <v>2.2</v>
      </c>
      <c r="P940" s="440">
        <f t="shared" si="9"/>
        <v>0.03</v>
      </c>
      <c r="Q940">
        <f t="array" ref="Q940">IF(I940&gt;0,INDEX(DB,I940,9),EventIndex)</f>
        <v>6</v>
      </c>
      <c r="S940" s="447">
        <f t="array" ref="S940">INDEX(MINVALUES,$Q940,$K$1)</f>
        <v>2.2</v>
      </c>
      <c r="T940" s="448">
        <f t="array" ref="T940">INDEX(INCVALUES,$Q940,$K$1)</f>
        <v>0.03</v>
      </c>
      <c r="V940">
        <f t="array" ref="V940">+J940+(4*(INDEX(MatchScoreTable,$Q940,20)-1))</f>
        <v>4</v>
      </c>
      <c r="W940" s="442">
        <f t="array" ref="W940">INDEX(INC_MINVALUES,$V940,$K$1)</f>
        <v>0.2</v>
      </c>
      <c r="X940" s="212">
        <f t="array" ref="X940">INDEX(INC_INCVALUES,$V940,$K$1)</f>
        <v>0.02</v>
      </c>
    </row>
    <row r="941" ht="15.75" customHeight="1">
      <c r="A941" s="435"/>
      <c r="B941" s="436"/>
      <c r="C941" s="95" t="str">
        <f t="array" ref="C941">IF(I941&gt;0,INDEX(DB,I941,8),"")</f>
        <v/>
      </c>
      <c r="D941" s="437">
        <f t="shared" si="1"/>
        <v>0</v>
      </c>
      <c r="F941" s="438">
        <f t="shared" si="2"/>
        <v>0</v>
      </c>
      <c r="G941" t="str">
        <f t="shared" si="3"/>
        <v/>
      </c>
      <c r="H941" t="b">
        <f t="shared" si="4"/>
        <v>0</v>
      </c>
      <c r="I941" s="439">
        <f>IF(OR(ISBLANK(A941),ISNA(MATCH(A941&amp;"",AthleteNumbers,0))),0,MATCH(A941&amp;"",AthleteNumbers,0))</f>
        <v>0</v>
      </c>
      <c r="J941" s="209">
        <f t="array" ref="J941">IF(I941&gt;0,INDEX(DB,$I941,6),0)</f>
        <v>0</v>
      </c>
      <c r="K941" s="446">
        <f t="shared" si="5"/>
        <v>0</v>
      </c>
      <c r="L941" s="446">
        <f t="shared" si="6"/>
        <v>0</v>
      </c>
      <c r="M941" s="441">
        <f>IF(L941&lt;O941,MinPoints,IF(AND(L941&gt;N941,O941&gt;0),100,+INT(($L941-O941)/P941)+MinPoints))</f>
        <v>10</v>
      </c>
      <c r="N941" s="440">
        <f t="shared" si="7"/>
        <v>4.9</v>
      </c>
      <c r="O941" s="440">
        <f t="shared" si="8"/>
        <v>2.2</v>
      </c>
      <c r="P941" s="440">
        <f t="shared" si="9"/>
        <v>0.03</v>
      </c>
      <c r="Q941">
        <f t="array" ref="Q941">IF(I941&gt;0,INDEX(DB,I941,9),EventIndex)</f>
        <v>6</v>
      </c>
      <c r="S941" s="447">
        <f t="array" ref="S941">INDEX(MINVALUES,$Q941,$K$1)</f>
        <v>2.2</v>
      </c>
      <c r="T941" s="448">
        <f t="array" ref="T941">INDEX(INCVALUES,$Q941,$K$1)</f>
        <v>0.03</v>
      </c>
      <c r="V941">
        <f t="array" ref="V941">+J941+(4*(INDEX(MatchScoreTable,$Q941,20)-1))</f>
        <v>4</v>
      </c>
      <c r="W941" s="442">
        <f t="array" ref="W941">INDEX(INC_MINVALUES,$V941,$K$1)</f>
        <v>0.2</v>
      </c>
      <c r="X941" s="212">
        <f t="array" ref="X941">INDEX(INC_INCVALUES,$V941,$K$1)</f>
        <v>0.02</v>
      </c>
    </row>
    <row r="942" ht="15.75" customHeight="1">
      <c r="A942" s="435"/>
      <c r="B942" s="436"/>
      <c r="C942" s="95" t="str">
        <f t="array" ref="C942">IF(I942&gt;0,INDEX(DB,I942,8),"")</f>
        <v/>
      </c>
      <c r="D942" s="437">
        <f t="shared" si="1"/>
        <v>0</v>
      </c>
      <c r="F942" s="438">
        <f t="shared" si="2"/>
        <v>0</v>
      </c>
      <c r="G942" t="str">
        <f t="shared" si="3"/>
        <v/>
      </c>
      <c r="H942" t="b">
        <f t="shared" si="4"/>
        <v>0</v>
      </c>
      <c r="I942" s="439">
        <f>IF(OR(ISBLANK(A942),ISNA(MATCH(A942&amp;"",AthleteNumbers,0))),0,MATCH(A942&amp;"",AthleteNumbers,0))</f>
        <v>0</v>
      </c>
      <c r="J942" s="209">
        <f t="array" ref="J942">IF(I942&gt;0,INDEX(DB,$I942,6),0)</f>
        <v>0</v>
      </c>
      <c r="K942" s="446">
        <f t="shared" si="5"/>
        <v>0</v>
      </c>
      <c r="L942" s="446">
        <f t="shared" si="6"/>
        <v>0</v>
      </c>
      <c r="M942" s="441">
        <f>IF(L942&lt;O942,MinPoints,IF(AND(L942&gt;N942,O942&gt;0),100,+INT(($L942-O942)/P942)+MinPoints))</f>
        <v>10</v>
      </c>
      <c r="N942" s="440">
        <f t="shared" si="7"/>
        <v>4.9</v>
      </c>
      <c r="O942" s="440">
        <f t="shared" si="8"/>
        <v>2.2</v>
      </c>
      <c r="P942" s="440">
        <f t="shared" si="9"/>
        <v>0.03</v>
      </c>
      <c r="Q942">
        <f t="array" ref="Q942">IF(I942&gt;0,INDEX(DB,I942,9),EventIndex)</f>
        <v>6</v>
      </c>
      <c r="S942" s="447">
        <f t="array" ref="S942">INDEX(MINVALUES,$Q942,$K$1)</f>
        <v>2.2</v>
      </c>
      <c r="T942" s="448">
        <f t="array" ref="T942">INDEX(INCVALUES,$Q942,$K$1)</f>
        <v>0.03</v>
      </c>
      <c r="V942">
        <f t="array" ref="V942">+J942+(4*(INDEX(MatchScoreTable,$Q942,20)-1))</f>
        <v>4</v>
      </c>
      <c r="W942" s="442">
        <f t="array" ref="W942">INDEX(INC_MINVALUES,$V942,$K$1)</f>
        <v>0.2</v>
      </c>
      <c r="X942" s="212">
        <f t="array" ref="X942">INDEX(INC_INCVALUES,$V942,$K$1)</f>
        <v>0.02</v>
      </c>
    </row>
    <row r="943" ht="15.75" customHeight="1">
      <c r="A943" s="435"/>
      <c r="B943" s="436"/>
      <c r="C943" s="95" t="str">
        <f t="array" ref="C943">IF(I943&gt;0,INDEX(DB,I943,8),"")</f>
        <v/>
      </c>
      <c r="D943" s="437">
        <f t="shared" si="1"/>
        <v>0</v>
      </c>
      <c r="F943" s="438">
        <f t="shared" si="2"/>
        <v>0</v>
      </c>
      <c r="G943" t="str">
        <f t="shared" si="3"/>
        <v/>
      </c>
      <c r="H943" t="b">
        <f t="shared" si="4"/>
        <v>0</v>
      </c>
      <c r="I943" s="439">
        <f>IF(OR(ISBLANK(A943),ISNA(MATCH(A943&amp;"",AthleteNumbers,0))),0,MATCH(A943&amp;"",AthleteNumbers,0))</f>
        <v>0</v>
      </c>
      <c r="J943" s="209">
        <f t="array" ref="J943">IF(I943&gt;0,INDEX(DB,$I943,6),0)</f>
        <v>0</v>
      </c>
      <c r="K943" s="446">
        <f t="shared" si="5"/>
        <v>0</v>
      </c>
      <c r="L943" s="446">
        <f t="shared" si="6"/>
        <v>0</v>
      </c>
      <c r="M943" s="441">
        <f>IF(L943&lt;O943,MinPoints,IF(AND(L943&gt;N943,O943&gt;0),100,+INT(($L943-O943)/P943)+MinPoints))</f>
        <v>10</v>
      </c>
      <c r="N943" s="440">
        <f t="shared" si="7"/>
        <v>4.9</v>
      </c>
      <c r="O943" s="440">
        <f t="shared" si="8"/>
        <v>2.2</v>
      </c>
      <c r="P943" s="440">
        <f t="shared" si="9"/>
        <v>0.03</v>
      </c>
      <c r="Q943">
        <f t="array" ref="Q943">IF(I943&gt;0,INDEX(DB,I943,9),EventIndex)</f>
        <v>6</v>
      </c>
      <c r="S943" s="447">
        <f t="array" ref="S943">INDEX(MINVALUES,$Q943,$K$1)</f>
        <v>2.2</v>
      </c>
      <c r="T943" s="448">
        <f t="array" ref="T943">INDEX(INCVALUES,$Q943,$K$1)</f>
        <v>0.03</v>
      </c>
      <c r="V943">
        <f t="array" ref="V943">+J943+(4*(INDEX(MatchScoreTable,$Q943,20)-1))</f>
        <v>4</v>
      </c>
      <c r="W943" s="442">
        <f t="array" ref="W943">INDEX(INC_MINVALUES,$V943,$K$1)</f>
        <v>0.2</v>
      </c>
      <c r="X943" s="212">
        <f t="array" ref="X943">INDEX(INC_INCVALUES,$V943,$K$1)</f>
        <v>0.02</v>
      </c>
    </row>
    <row r="944" ht="15.75" customHeight="1">
      <c r="A944" s="435"/>
      <c r="B944" s="436"/>
      <c r="C944" s="95" t="str">
        <f t="array" ref="C944">IF(I944&gt;0,INDEX(DB,I944,8),"")</f>
        <v/>
      </c>
      <c r="D944" s="437">
        <f t="shared" si="1"/>
        <v>0</v>
      </c>
      <c r="F944" s="438">
        <f t="shared" si="2"/>
        <v>0</v>
      </c>
      <c r="G944" t="str">
        <f t="shared" si="3"/>
        <v/>
      </c>
      <c r="H944" t="b">
        <f t="shared" si="4"/>
        <v>0</v>
      </c>
      <c r="I944" s="439">
        <f>IF(OR(ISBLANK(A944),ISNA(MATCH(A944&amp;"",AthleteNumbers,0))),0,MATCH(A944&amp;"",AthleteNumbers,0))</f>
        <v>0</v>
      </c>
      <c r="J944" s="209">
        <f t="array" ref="J944">IF(I944&gt;0,INDEX(DB,$I944,6),0)</f>
        <v>0</v>
      </c>
      <c r="K944" s="446">
        <f t="shared" si="5"/>
        <v>0</v>
      </c>
      <c r="L944" s="446">
        <f t="shared" si="6"/>
        <v>0</v>
      </c>
      <c r="M944" s="441">
        <f>IF(L944&lt;O944,MinPoints,IF(AND(L944&gt;N944,O944&gt;0),100,+INT(($L944-O944)/P944)+MinPoints))</f>
        <v>10</v>
      </c>
      <c r="N944" s="440">
        <f t="shared" si="7"/>
        <v>4.9</v>
      </c>
      <c r="O944" s="440">
        <f t="shared" si="8"/>
        <v>2.2</v>
      </c>
      <c r="P944" s="440">
        <f t="shared" si="9"/>
        <v>0.03</v>
      </c>
      <c r="Q944">
        <f t="array" ref="Q944">IF(I944&gt;0,INDEX(DB,I944,9),EventIndex)</f>
        <v>6</v>
      </c>
      <c r="S944" s="447">
        <f t="array" ref="S944">INDEX(MINVALUES,$Q944,$K$1)</f>
        <v>2.2</v>
      </c>
      <c r="T944" s="448">
        <f t="array" ref="T944">INDEX(INCVALUES,$Q944,$K$1)</f>
        <v>0.03</v>
      </c>
      <c r="V944">
        <f t="array" ref="V944">+J944+(4*(INDEX(MatchScoreTable,$Q944,20)-1))</f>
        <v>4</v>
      </c>
      <c r="W944" s="442">
        <f t="array" ref="W944">INDEX(INC_MINVALUES,$V944,$K$1)</f>
        <v>0.2</v>
      </c>
      <c r="X944" s="212">
        <f t="array" ref="X944">INDEX(INC_INCVALUES,$V944,$K$1)</f>
        <v>0.02</v>
      </c>
    </row>
    <row r="945" ht="15.75" customHeight="1">
      <c r="A945" s="435"/>
      <c r="B945" s="436"/>
      <c r="C945" s="95" t="str">
        <f t="array" ref="C945">IF(I945&gt;0,INDEX(DB,I945,8),"")</f>
        <v/>
      </c>
      <c r="D945" s="437">
        <f t="shared" si="1"/>
        <v>0</v>
      </c>
      <c r="F945" s="438">
        <f t="shared" si="2"/>
        <v>0</v>
      </c>
      <c r="G945" t="str">
        <f t="shared" si="3"/>
        <v/>
      </c>
      <c r="H945" t="b">
        <f t="shared" si="4"/>
        <v>0</v>
      </c>
      <c r="I945" s="439">
        <f>IF(OR(ISBLANK(A945),ISNA(MATCH(A945&amp;"",AthleteNumbers,0))),0,MATCH(A945&amp;"",AthleteNumbers,0))</f>
        <v>0</v>
      </c>
      <c r="J945" s="209">
        <f t="array" ref="J945">IF(I945&gt;0,INDEX(DB,$I945,6),0)</f>
        <v>0</v>
      </c>
      <c r="K945" s="446">
        <f t="shared" si="5"/>
        <v>0</v>
      </c>
      <c r="L945" s="446">
        <f t="shared" si="6"/>
        <v>0</v>
      </c>
      <c r="M945" s="441">
        <f>IF(L945&lt;O945,MinPoints,IF(AND(L945&gt;N945,O945&gt;0),100,+INT(($L945-O945)/P945)+MinPoints))</f>
        <v>10</v>
      </c>
      <c r="N945" s="440">
        <f t="shared" si="7"/>
        <v>4.9</v>
      </c>
      <c r="O945" s="440">
        <f t="shared" si="8"/>
        <v>2.2</v>
      </c>
      <c r="P945" s="440">
        <f t="shared" si="9"/>
        <v>0.03</v>
      </c>
      <c r="Q945">
        <f t="array" ref="Q945">IF(I945&gt;0,INDEX(DB,I945,9),EventIndex)</f>
        <v>6</v>
      </c>
      <c r="S945" s="447">
        <f t="array" ref="S945">INDEX(MINVALUES,$Q945,$K$1)</f>
        <v>2.2</v>
      </c>
      <c r="T945" s="448">
        <f t="array" ref="T945">INDEX(INCVALUES,$Q945,$K$1)</f>
        <v>0.03</v>
      </c>
      <c r="V945">
        <f t="array" ref="V945">+J945+(4*(INDEX(MatchScoreTable,$Q945,20)-1))</f>
        <v>4</v>
      </c>
      <c r="W945" s="442">
        <f t="array" ref="W945">INDEX(INC_MINVALUES,$V945,$K$1)</f>
        <v>0.2</v>
      </c>
      <c r="X945" s="212">
        <f t="array" ref="X945">INDEX(INC_INCVALUES,$V945,$K$1)</f>
        <v>0.02</v>
      </c>
    </row>
    <row r="946" ht="15.75" customHeight="1">
      <c r="A946" s="435"/>
      <c r="B946" s="436"/>
      <c r="C946" s="95" t="str">
        <f t="array" ref="C946">IF(I946&gt;0,INDEX(DB,I946,8),"")</f>
        <v/>
      </c>
      <c r="D946" s="437">
        <f t="shared" si="1"/>
        <v>0</v>
      </c>
      <c r="F946" s="438">
        <f t="shared" si="2"/>
        <v>0</v>
      </c>
      <c r="G946" t="str">
        <f t="shared" si="3"/>
        <v/>
      </c>
      <c r="H946" t="b">
        <f t="shared" si="4"/>
        <v>0</v>
      </c>
      <c r="I946" s="439">
        <f>IF(OR(ISBLANK(A946),ISNA(MATCH(A946&amp;"",AthleteNumbers,0))),0,MATCH(A946&amp;"",AthleteNumbers,0))</f>
        <v>0</v>
      </c>
      <c r="J946" s="209">
        <f t="array" ref="J946">IF(I946&gt;0,INDEX(DB,$I946,6),0)</f>
        <v>0</v>
      </c>
      <c r="K946" s="446">
        <f t="shared" si="5"/>
        <v>0</v>
      </c>
      <c r="L946" s="446">
        <f t="shared" si="6"/>
        <v>0</v>
      </c>
      <c r="M946" s="441">
        <f>IF(L946&lt;O946,MinPoints,IF(AND(L946&gt;N946,O946&gt;0),100,+INT(($L946-O946)/P946)+MinPoints))</f>
        <v>10</v>
      </c>
      <c r="N946" s="440">
        <f t="shared" si="7"/>
        <v>4.9</v>
      </c>
      <c r="O946" s="440">
        <f t="shared" si="8"/>
        <v>2.2</v>
      </c>
      <c r="P946" s="440">
        <f t="shared" si="9"/>
        <v>0.03</v>
      </c>
      <c r="Q946">
        <f t="array" ref="Q946">IF(I946&gt;0,INDEX(DB,I946,9),EventIndex)</f>
        <v>6</v>
      </c>
      <c r="S946" s="447">
        <f t="array" ref="S946">INDEX(MINVALUES,$Q946,$K$1)</f>
        <v>2.2</v>
      </c>
      <c r="T946" s="448">
        <f t="array" ref="T946">INDEX(INCVALUES,$Q946,$K$1)</f>
        <v>0.03</v>
      </c>
      <c r="V946">
        <f t="array" ref="V946">+J946+(4*(INDEX(MatchScoreTable,$Q946,20)-1))</f>
        <v>4</v>
      </c>
      <c r="W946" s="442">
        <f t="array" ref="W946">INDEX(INC_MINVALUES,$V946,$K$1)</f>
        <v>0.2</v>
      </c>
      <c r="X946" s="212">
        <f t="array" ref="X946">INDEX(INC_INCVALUES,$V946,$K$1)</f>
        <v>0.02</v>
      </c>
    </row>
    <row r="947" ht="15.75" customHeight="1">
      <c r="A947" s="435"/>
      <c r="B947" s="436"/>
      <c r="C947" s="95" t="str">
        <f t="array" ref="C947">IF(I947&gt;0,INDEX(DB,I947,8),"")</f>
        <v/>
      </c>
      <c r="D947" s="437">
        <f t="shared" si="1"/>
        <v>0</v>
      </c>
      <c r="F947" s="438">
        <f t="shared" si="2"/>
        <v>0</v>
      </c>
      <c r="G947" t="str">
        <f t="shared" si="3"/>
        <v/>
      </c>
      <c r="H947" t="b">
        <f t="shared" si="4"/>
        <v>0</v>
      </c>
      <c r="I947" s="439">
        <f>IF(OR(ISBLANK(A947),ISNA(MATCH(A947&amp;"",AthleteNumbers,0))),0,MATCH(A947&amp;"",AthleteNumbers,0))</f>
        <v>0</v>
      </c>
      <c r="J947" s="209">
        <f t="array" ref="J947">IF(I947&gt;0,INDEX(DB,$I947,6),0)</f>
        <v>0</v>
      </c>
      <c r="K947" s="446">
        <f t="shared" si="5"/>
        <v>0</v>
      </c>
      <c r="L947" s="446">
        <f t="shared" si="6"/>
        <v>0</v>
      </c>
      <c r="M947" s="441">
        <f>IF(L947&lt;O947,MinPoints,IF(AND(L947&gt;N947,O947&gt;0),100,+INT(($L947-O947)/P947)+MinPoints))</f>
        <v>10</v>
      </c>
      <c r="N947" s="440">
        <f t="shared" si="7"/>
        <v>4.9</v>
      </c>
      <c r="O947" s="440">
        <f t="shared" si="8"/>
        <v>2.2</v>
      </c>
      <c r="P947" s="440">
        <f t="shared" si="9"/>
        <v>0.03</v>
      </c>
      <c r="Q947">
        <f t="array" ref="Q947">IF(I947&gt;0,INDEX(DB,I947,9),EventIndex)</f>
        <v>6</v>
      </c>
      <c r="S947" s="447">
        <f t="array" ref="S947">INDEX(MINVALUES,$Q947,$K$1)</f>
        <v>2.2</v>
      </c>
      <c r="T947" s="448">
        <f t="array" ref="T947">INDEX(INCVALUES,$Q947,$K$1)</f>
        <v>0.03</v>
      </c>
      <c r="V947">
        <f t="array" ref="V947">+J947+(4*(INDEX(MatchScoreTable,$Q947,20)-1))</f>
        <v>4</v>
      </c>
      <c r="W947" s="442">
        <f t="array" ref="W947">INDEX(INC_MINVALUES,$V947,$K$1)</f>
        <v>0.2</v>
      </c>
      <c r="X947" s="212">
        <f t="array" ref="X947">INDEX(INC_INCVALUES,$V947,$K$1)</f>
        <v>0.02</v>
      </c>
    </row>
    <row r="948" ht="15.75" customHeight="1">
      <c r="A948" s="435"/>
      <c r="B948" s="436"/>
      <c r="C948" s="95" t="str">
        <f t="array" ref="C948">IF(I948&gt;0,INDEX(DB,I948,8),"")</f>
        <v/>
      </c>
      <c r="D948" s="437">
        <f t="shared" si="1"/>
        <v>0</v>
      </c>
      <c r="F948" s="438">
        <f t="shared" si="2"/>
        <v>0</v>
      </c>
      <c r="G948" t="str">
        <f t="shared" si="3"/>
        <v/>
      </c>
      <c r="H948" t="b">
        <f t="shared" si="4"/>
        <v>0</v>
      </c>
      <c r="I948" s="439">
        <f>IF(OR(ISBLANK(A948),ISNA(MATCH(A948&amp;"",AthleteNumbers,0))),0,MATCH(A948&amp;"",AthleteNumbers,0))</f>
        <v>0</v>
      </c>
      <c r="J948" s="209">
        <f t="array" ref="J948">IF(I948&gt;0,INDEX(DB,$I948,6),0)</f>
        <v>0</v>
      </c>
      <c r="K948" s="446">
        <f t="shared" si="5"/>
        <v>0</v>
      </c>
      <c r="L948" s="446">
        <f t="shared" si="6"/>
        <v>0</v>
      </c>
      <c r="M948" s="441">
        <f>IF(L948&lt;O948,MinPoints,IF(AND(L948&gt;N948,O948&gt;0),100,+INT(($L948-O948)/P948)+MinPoints))</f>
        <v>10</v>
      </c>
      <c r="N948" s="440">
        <f t="shared" si="7"/>
        <v>4.9</v>
      </c>
      <c r="O948" s="440">
        <f t="shared" si="8"/>
        <v>2.2</v>
      </c>
      <c r="P948" s="440">
        <f t="shared" si="9"/>
        <v>0.03</v>
      </c>
      <c r="Q948">
        <f t="array" ref="Q948">IF(I948&gt;0,INDEX(DB,I948,9),EventIndex)</f>
        <v>6</v>
      </c>
      <c r="S948" s="447">
        <f t="array" ref="S948">INDEX(MINVALUES,$Q948,$K$1)</f>
        <v>2.2</v>
      </c>
      <c r="T948" s="448">
        <f t="array" ref="T948">INDEX(INCVALUES,$Q948,$K$1)</f>
        <v>0.03</v>
      </c>
      <c r="V948">
        <f t="array" ref="V948">+J948+(4*(INDEX(MatchScoreTable,$Q948,20)-1))</f>
        <v>4</v>
      </c>
      <c r="W948" s="442">
        <f t="array" ref="W948">INDEX(INC_MINVALUES,$V948,$K$1)</f>
        <v>0.2</v>
      </c>
      <c r="X948" s="212">
        <f t="array" ref="X948">INDEX(INC_INCVALUES,$V948,$K$1)</f>
        <v>0.02</v>
      </c>
    </row>
    <row r="949" ht="15.75" customHeight="1">
      <c r="A949" s="435"/>
      <c r="B949" s="436"/>
      <c r="C949" s="95" t="str">
        <f t="array" ref="C949">IF(I949&gt;0,INDEX(DB,I949,8),"")</f>
        <v/>
      </c>
      <c r="D949" s="437">
        <f t="shared" si="1"/>
        <v>0</v>
      </c>
      <c r="F949" s="438">
        <f t="shared" si="2"/>
        <v>0</v>
      </c>
      <c r="G949" t="str">
        <f t="shared" si="3"/>
        <v/>
      </c>
      <c r="H949" t="b">
        <f t="shared" si="4"/>
        <v>0</v>
      </c>
      <c r="I949" s="439">
        <f>IF(OR(ISBLANK(A949),ISNA(MATCH(A949&amp;"",AthleteNumbers,0))),0,MATCH(A949&amp;"",AthleteNumbers,0))</f>
        <v>0</v>
      </c>
      <c r="J949" s="209">
        <f t="array" ref="J949">IF(I949&gt;0,INDEX(DB,$I949,6),0)</f>
        <v>0</v>
      </c>
      <c r="K949" s="446">
        <f t="shared" si="5"/>
        <v>0</v>
      </c>
      <c r="L949" s="446">
        <f t="shared" si="6"/>
        <v>0</v>
      </c>
      <c r="M949" s="441">
        <f>IF(L949&lt;O949,MinPoints,IF(AND(L949&gt;N949,O949&gt;0),100,+INT(($L949-O949)/P949)+MinPoints))</f>
        <v>10</v>
      </c>
      <c r="N949" s="440">
        <f t="shared" si="7"/>
        <v>4.9</v>
      </c>
      <c r="O949" s="440">
        <f t="shared" si="8"/>
        <v>2.2</v>
      </c>
      <c r="P949" s="440">
        <f t="shared" si="9"/>
        <v>0.03</v>
      </c>
      <c r="Q949">
        <f t="array" ref="Q949">IF(I949&gt;0,INDEX(DB,I949,9),EventIndex)</f>
        <v>6</v>
      </c>
      <c r="S949" s="447">
        <f t="array" ref="S949">INDEX(MINVALUES,$Q949,$K$1)</f>
        <v>2.2</v>
      </c>
      <c r="T949" s="448">
        <f t="array" ref="T949">INDEX(INCVALUES,$Q949,$K$1)</f>
        <v>0.03</v>
      </c>
      <c r="V949">
        <f t="array" ref="V949">+J949+(4*(INDEX(MatchScoreTable,$Q949,20)-1))</f>
        <v>4</v>
      </c>
      <c r="W949" s="442">
        <f t="array" ref="W949">INDEX(INC_MINVALUES,$V949,$K$1)</f>
        <v>0.2</v>
      </c>
      <c r="X949" s="212">
        <f t="array" ref="X949">INDEX(INC_INCVALUES,$V949,$K$1)</f>
        <v>0.02</v>
      </c>
    </row>
    <row r="950" ht="15.75" customHeight="1">
      <c r="A950" s="435"/>
      <c r="B950" s="436"/>
      <c r="C950" s="95" t="str">
        <f t="array" ref="C950">IF(I950&gt;0,INDEX(DB,I950,8),"")</f>
        <v/>
      </c>
      <c r="D950" s="437">
        <f t="shared" si="1"/>
        <v>0</v>
      </c>
      <c r="F950" s="438">
        <f t="shared" si="2"/>
        <v>0</v>
      </c>
      <c r="G950" t="str">
        <f t="shared" si="3"/>
        <v/>
      </c>
      <c r="H950" t="b">
        <f t="shared" si="4"/>
        <v>0</v>
      </c>
      <c r="I950" s="439">
        <f>IF(OR(ISBLANK(A950),ISNA(MATCH(A950&amp;"",AthleteNumbers,0))),0,MATCH(A950&amp;"",AthleteNumbers,0))</f>
        <v>0</v>
      </c>
      <c r="J950" s="209">
        <f t="array" ref="J950">IF(I950&gt;0,INDEX(DB,$I950,6),0)</f>
        <v>0</v>
      </c>
      <c r="K950" s="446">
        <f t="shared" si="5"/>
        <v>0</v>
      </c>
      <c r="L950" s="446">
        <f t="shared" si="6"/>
        <v>0</v>
      </c>
      <c r="M950" s="441">
        <f>IF(L950&lt;O950,MinPoints,IF(AND(L950&gt;N950,O950&gt;0),100,+INT(($L950-O950)/P950)+MinPoints))</f>
        <v>10</v>
      </c>
      <c r="N950" s="440">
        <f t="shared" si="7"/>
        <v>4.9</v>
      </c>
      <c r="O950" s="440">
        <f t="shared" si="8"/>
        <v>2.2</v>
      </c>
      <c r="P950" s="440">
        <f t="shared" si="9"/>
        <v>0.03</v>
      </c>
      <c r="Q950">
        <f t="array" ref="Q950">IF(I950&gt;0,INDEX(DB,I950,9),EventIndex)</f>
        <v>6</v>
      </c>
      <c r="S950" s="447">
        <f t="array" ref="S950">INDEX(MINVALUES,$Q950,$K$1)</f>
        <v>2.2</v>
      </c>
      <c r="T950" s="448">
        <f t="array" ref="T950">INDEX(INCVALUES,$Q950,$K$1)</f>
        <v>0.03</v>
      </c>
      <c r="V950">
        <f t="array" ref="V950">+J950+(4*(INDEX(MatchScoreTable,$Q950,20)-1))</f>
        <v>4</v>
      </c>
      <c r="W950" s="442">
        <f t="array" ref="W950">INDEX(INC_MINVALUES,$V950,$K$1)</f>
        <v>0.2</v>
      </c>
      <c r="X950" s="212">
        <f t="array" ref="X950">INDEX(INC_INCVALUES,$V950,$K$1)</f>
        <v>0.02</v>
      </c>
    </row>
    <row r="951" ht="15.75" customHeight="1">
      <c r="A951" s="435"/>
      <c r="B951" s="436"/>
      <c r="C951" s="95" t="str">
        <f t="array" ref="C951">IF(I951&gt;0,INDEX(DB,I951,8),"")</f>
        <v/>
      </c>
      <c r="D951" s="437">
        <f t="shared" si="1"/>
        <v>0</v>
      </c>
      <c r="F951" s="438">
        <f t="shared" si="2"/>
        <v>0</v>
      </c>
      <c r="G951" t="str">
        <f t="shared" si="3"/>
        <v/>
      </c>
      <c r="H951" t="b">
        <f t="shared" si="4"/>
        <v>0</v>
      </c>
      <c r="I951" s="439">
        <f>IF(OR(ISBLANK(A951),ISNA(MATCH(A951&amp;"",AthleteNumbers,0))),0,MATCH(A951&amp;"",AthleteNumbers,0))</f>
        <v>0</v>
      </c>
      <c r="J951" s="209">
        <f t="array" ref="J951">IF(I951&gt;0,INDEX(DB,$I951,6),0)</f>
        <v>0</v>
      </c>
      <c r="K951" s="446">
        <f t="shared" si="5"/>
        <v>0</v>
      </c>
      <c r="L951" s="446">
        <f t="shared" si="6"/>
        <v>0</v>
      </c>
      <c r="M951" s="441">
        <f>IF(L951&lt;O951,MinPoints,IF(AND(L951&gt;N951,O951&gt;0),100,+INT(($L951-O951)/P951)+MinPoints))</f>
        <v>10</v>
      </c>
      <c r="N951" s="440">
        <f t="shared" si="7"/>
        <v>4.9</v>
      </c>
      <c r="O951" s="440">
        <f t="shared" si="8"/>
        <v>2.2</v>
      </c>
      <c r="P951" s="440">
        <f t="shared" si="9"/>
        <v>0.03</v>
      </c>
      <c r="Q951">
        <f t="array" ref="Q951">IF(I951&gt;0,INDEX(DB,I951,9),EventIndex)</f>
        <v>6</v>
      </c>
      <c r="S951" s="447">
        <f t="array" ref="S951">INDEX(MINVALUES,$Q951,$K$1)</f>
        <v>2.2</v>
      </c>
      <c r="T951" s="448">
        <f t="array" ref="T951">INDEX(INCVALUES,$Q951,$K$1)</f>
        <v>0.03</v>
      </c>
      <c r="V951">
        <f t="array" ref="V951">+J951+(4*(INDEX(MatchScoreTable,$Q951,20)-1))</f>
        <v>4</v>
      </c>
      <c r="W951" s="442">
        <f t="array" ref="W951">INDEX(INC_MINVALUES,$V951,$K$1)</f>
        <v>0.2</v>
      </c>
      <c r="X951" s="212">
        <f t="array" ref="X951">INDEX(INC_INCVALUES,$V951,$K$1)</f>
        <v>0.02</v>
      </c>
    </row>
    <row r="952" ht="15.75" customHeight="1">
      <c r="A952" s="435"/>
      <c r="B952" s="436"/>
      <c r="C952" s="95" t="str">
        <f t="array" ref="C952">IF(I952&gt;0,INDEX(DB,I952,8),"")</f>
        <v/>
      </c>
      <c r="D952" s="437">
        <f t="shared" si="1"/>
        <v>0</v>
      </c>
      <c r="F952" s="438">
        <f t="shared" si="2"/>
        <v>0</v>
      </c>
      <c r="G952" t="str">
        <f t="shared" si="3"/>
        <v/>
      </c>
      <c r="H952" t="b">
        <f t="shared" si="4"/>
        <v>0</v>
      </c>
      <c r="I952" s="439">
        <f>IF(OR(ISBLANK(A952),ISNA(MATCH(A952&amp;"",AthleteNumbers,0))),0,MATCH(A952&amp;"",AthleteNumbers,0))</f>
        <v>0</v>
      </c>
      <c r="J952" s="209">
        <f t="array" ref="J952">IF(I952&gt;0,INDEX(DB,$I952,6),0)</f>
        <v>0</v>
      </c>
      <c r="K952" s="446">
        <f t="shared" si="5"/>
        <v>0</v>
      </c>
      <c r="L952" s="446">
        <f t="shared" si="6"/>
        <v>0</v>
      </c>
      <c r="M952" s="441">
        <f>IF(L952&lt;O952,MinPoints,IF(AND(L952&gt;N952,O952&gt;0),100,+INT(($L952-O952)/P952)+MinPoints))</f>
        <v>10</v>
      </c>
      <c r="N952" s="440">
        <f t="shared" si="7"/>
        <v>4.9</v>
      </c>
      <c r="O952" s="440">
        <f t="shared" si="8"/>
        <v>2.2</v>
      </c>
      <c r="P952" s="440">
        <f t="shared" si="9"/>
        <v>0.03</v>
      </c>
      <c r="Q952">
        <f t="array" ref="Q952">IF(I952&gt;0,INDEX(DB,I952,9),EventIndex)</f>
        <v>6</v>
      </c>
      <c r="S952" s="447">
        <f t="array" ref="S952">INDEX(MINVALUES,$Q952,$K$1)</f>
        <v>2.2</v>
      </c>
      <c r="T952" s="448">
        <f t="array" ref="T952">INDEX(INCVALUES,$Q952,$K$1)</f>
        <v>0.03</v>
      </c>
      <c r="V952">
        <f t="array" ref="V952">+J952+(4*(INDEX(MatchScoreTable,$Q952,20)-1))</f>
        <v>4</v>
      </c>
      <c r="W952" s="442">
        <f t="array" ref="W952">INDEX(INC_MINVALUES,$V952,$K$1)</f>
        <v>0.2</v>
      </c>
      <c r="X952" s="212">
        <f t="array" ref="X952">INDEX(INC_INCVALUES,$V952,$K$1)</f>
        <v>0.02</v>
      </c>
    </row>
    <row r="953" ht="15.75" customHeight="1">
      <c r="A953" s="435"/>
      <c r="B953" s="436"/>
      <c r="C953" s="95" t="str">
        <f t="array" ref="C953">IF(I953&gt;0,INDEX(DB,I953,8),"")</f>
        <v/>
      </c>
      <c r="D953" s="437">
        <f t="shared" si="1"/>
        <v>0</v>
      </c>
      <c r="F953" s="438">
        <f t="shared" si="2"/>
        <v>0</v>
      </c>
      <c r="G953" t="str">
        <f t="shared" si="3"/>
        <v/>
      </c>
      <c r="H953" t="b">
        <f t="shared" si="4"/>
        <v>0</v>
      </c>
      <c r="I953" s="439">
        <f>IF(OR(ISBLANK(A953),ISNA(MATCH(A953&amp;"",AthleteNumbers,0))),0,MATCH(A953&amp;"",AthleteNumbers,0))</f>
        <v>0</v>
      </c>
      <c r="J953" s="209">
        <f t="array" ref="J953">IF(I953&gt;0,INDEX(DB,$I953,6),0)</f>
        <v>0</v>
      </c>
      <c r="K953" s="446">
        <f t="shared" si="5"/>
        <v>0</v>
      </c>
      <c r="L953" s="446">
        <f t="shared" si="6"/>
        <v>0</v>
      </c>
      <c r="M953" s="441">
        <f>IF(L953&lt;O953,MinPoints,IF(AND(L953&gt;N953,O953&gt;0),100,+INT(($L953-O953)/P953)+MinPoints))</f>
        <v>10</v>
      </c>
      <c r="N953" s="440">
        <f t="shared" si="7"/>
        <v>4.9</v>
      </c>
      <c r="O953" s="440">
        <f t="shared" si="8"/>
        <v>2.2</v>
      </c>
      <c r="P953" s="440">
        <f t="shared" si="9"/>
        <v>0.03</v>
      </c>
      <c r="Q953">
        <f t="array" ref="Q953">IF(I953&gt;0,INDEX(DB,I953,9),EventIndex)</f>
        <v>6</v>
      </c>
      <c r="S953" s="447">
        <f t="array" ref="S953">INDEX(MINVALUES,$Q953,$K$1)</f>
        <v>2.2</v>
      </c>
      <c r="T953" s="448">
        <f t="array" ref="T953">INDEX(INCVALUES,$Q953,$K$1)</f>
        <v>0.03</v>
      </c>
      <c r="V953">
        <f t="array" ref="V953">+J953+(4*(INDEX(MatchScoreTable,$Q953,20)-1))</f>
        <v>4</v>
      </c>
      <c r="W953" s="442">
        <f t="array" ref="W953">INDEX(INC_MINVALUES,$V953,$K$1)</f>
        <v>0.2</v>
      </c>
      <c r="X953" s="212">
        <f t="array" ref="X953">INDEX(INC_INCVALUES,$V953,$K$1)</f>
        <v>0.02</v>
      </c>
    </row>
    <row r="954" ht="15.75" customHeight="1">
      <c r="A954" s="435"/>
      <c r="B954" s="436"/>
      <c r="C954" s="95" t="str">
        <f t="array" ref="C954">IF(I954&gt;0,INDEX(DB,I954,8),"")</f>
        <v/>
      </c>
      <c r="D954" s="437">
        <f t="shared" si="1"/>
        <v>0</v>
      </c>
      <c r="F954" s="438">
        <f t="shared" si="2"/>
        <v>0</v>
      </c>
      <c r="G954" t="str">
        <f t="shared" si="3"/>
        <v/>
      </c>
      <c r="H954" t="b">
        <f t="shared" si="4"/>
        <v>0</v>
      </c>
      <c r="I954" s="439">
        <f>IF(OR(ISBLANK(A954),ISNA(MATCH(A954&amp;"",AthleteNumbers,0))),0,MATCH(A954&amp;"",AthleteNumbers,0))</f>
        <v>0</v>
      </c>
      <c r="J954" s="209">
        <f t="array" ref="J954">IF(I954&gt;0,INDEX(DB,$I954,6),0)</f>
        <v>0</v>
      </c>
      <c r="K954" s="446">
        <f t="shared" si="5"/>
        <v>0</v>
      </c>
      <c r="L954" s="446">
        <f t="shared" si="6"/>
        <v>0</v>
      </c>
      <c r="M954" s="441">
        <f>IF(L954&lt;O954,MinPoints,IF(AND(L954&gt;N954,O954&gt;0),100,+INT(($L954-O954)/P954)+MinPoints))</f>
        <v>10</v>
      </c>
      <c r="N954" s="440">
        <f t="shared" si="7"/>
        <v>4.9</v>
      </c>
      <c r="O954" s="440">
        <f t="shared" si="8"/>
        <v>2.2</v>
      </c>
      <c r="P954" s="440">
        <f t="shared" si="9"/>
        <v>0.03</v>
      </c>
      <c r="Q954">
        <f t="array" ref="Q954">IF(I954&gt;0,INDEX(DB,I954,9),EventIndex)</f>
        <v>6</v>
      </c>
      <c r="S954" s="447">
        <f t="array" ref="S954">INDEX(MINVALUES,$Q954,$K$1)</f>
        <v>2.2</v>
      </c>
      <c r="T954" s="448">
        <f t="array" ref="T954">INDEX(INCVALUES,$Q954,$K$1)</f>
        <v>0.03</v>
      </c>
      <c r="V954">
        <f t="array" ref="V954">+J954+(4*(INDEX(MatchScoreTable,$Q954,20)-1))</f>
        <v>4</v>
      </c>
      <c r="W954" s="442">
        <f t="array" ref="W954">INDEX(INC_MINVALUES,$V954,$K$1)</f>
        <v>0.2</v>
      </c>
      <c r="X954" s="212">
        <f t="array" ref="X954">INDEX(INC_INCVALUES,$V954,$K$1)</f>
        <v>0.02</v>
      </c>
    </row>
    <row r="955" ht="15.75" customHeight="1">
      <c r="A955" s="435"/>
      <c r="B955" s="436"/>
      <c r="C955" s="95" t="str">
        <f t="array" ref="C955">IF(I955&gt;0,INDEX(DB,I955,8),"")</f>
        <v/>
      </c>
      <c r="D955" s="437">
        <f t="shared" si="1"/>
        <v>0</v>
      </c>
      <c r="F955" s="438">
        <f t="shared" si="2"/>
        <v>0</v>
      </c>
      <c r="G955" t="str">
        <f t="shared" si="3"/>
        <v/>
      </c>
      <c r="H955" t="b">
        <f t="shared" si="4"/>
        <v>0</v>
      </c>
      <c r="I955" s="439">
        <f>IF(OR(ISBLANK(A955),ISNA(MATCH(A955&amp;"",AthleteNumbers,0))),0,MATCH(A955&amp;"",AthleteNumbers,0))</f>
        <v>0</v>
      </c>
      <c r="J955" s="209">
        <f t="array" ref="J955">IF(I955&gt;0,INDEX(DB,$I955,6),0)</f>
        <v>0</v>
      </c>
      <c r="K955" s="446">
        <f t="shared" si="5"/>
        <v>0</v>
      </c>
      <c r="L955" s="446">
        <f t="shared" si="6"/>
        <v>0</v>
      </c>
      <c r="M955" s="441">
        <f>IF(L955&lt;O955,MinPoints,IF(AND(L955&gt;N955,O955&gt;0),100,+INT(($L955-O955)/P955)+MinPoints))</f>
        <v>10</v>
      </c>
      <c r="N955" s="440">
        <f t="shared" si="7"/>
        <v>4.9</v>
      </c>
      <c r="O955" s="440">
        <f t="shared" si="8"/>
        <v>2.2</v>
      </c>
      <c r="P955" s="440">
        <f t="shared" si="9"/>
        <v>0.03</v>
      </c>
      <c r="Q955">
        <f t="array" ref="Q955">IF(I955&gt;0,INDEX(DB,I955,9),EventIndex)</f>
        <v>6</v>
      </c>
      <c r="S955" s="447">
        <f t="array" ref="S955">INDEX(MINVALUES,$Q955,$K$1)</f>
        <v>2.2</v>
      </c>
      <c r="T955" s="448">
        <f t="array" ref="T955">INDEX(INCVALUES,$Q955,$K$1)</f>
        <v>0.03</v>
      </c>
      <c r="V955">
        <f t="array" ref="V955">+J955+(4*(INDEX(MatchScoreTable,$Q955,20)-1))</f>
        <v>4</v>
      </c>
      <c r="W955" s="442">
        <f t="array" ref="W955">INDEX(INC_MINVALUES,$V955,$K$1)</f>
        <v>0.2</v>
      </c>
      <c r="X955" s="212">
        <f t="array" ref="X955">INDEX(INC_INCVALUES,$V955,$K$1)</f>
        <v>0.02</v>
      </c>
    </row>
    <row r="956" ht="15.75" customHeight="1">
      <c r="A956" s="435"/>
      <c r="B956" s="436"/>
      <c r="C956" s="95" t="str">
        <f t="array" ref="C956">IF(I956&gt;0,INDEX(DB,I956,8),"")</f>
        <v/>
      </c>
      <c r="D956" s="437">
        <f t="shared" si="1"/>
        <v>0</v>
      </c>
      <c r="F956" s="438">
        <f t="shared" si="2"/>
        <v>0</v>
      </c>
      <c r="G956" t="str">
        <f t="shared" si="3"/>
        <v/>
      </c>
      <c r="H956" t="b">
        <f t="shared" si="4"/>
        <v>0</v>
      </c>
      <c r="I956" s="439">
        <f>IF(OR(ISBLANK(A956),ISNA(MATCH(A956&amp;"",AthleteNumbers,0))),0,MATCH(A956&amp;"",AthleteNumbers,0))</f>
        <v>0</v>
      </c>
      <c r="J956" s="209">
        <f t="array" ref="J956">IF(I956&gt;0,INDEX(DB,$I956,6),0)</f>
        <v>0</v>
      </c>
      <c r="K956" s="446">
        <f t="shared" si="5"/>
        <v>0</v>
      </c>
      <c r="L956" s="446">
        <f t="shared" si="6"/>
        <v>0</v>
      </c>
      <c r="M956" s="441">
        <f>IF(L956&lt;O956,MinPoints,IF(AND(L956&gt;N956,O956&gt;0),100,+INT(($L956-O956)/P956)+MinPoints))</f>
        <v>10</v>
      </c>
      <c r="N956" s="440">
        <f t="shared" si="7"/>
        <v>4.9</v>
      </c>
      <c r="O956" s="440">
        <f t="shared" si="8"/>
        <v>2.2</v>
      </c>
      <c r="P956" s="440">
        <f t="shared" si="9"/>
        <v>0.03</v>
      </c>
      <c r="Q956">
        <f t="array" ref="Q956">IF(I956&gt;0,INDEX(DB,I956,9),EventIndex)</f>
        <v>6</v>
      </c>
      <c r="S956" s="447">
        <f t="array" ref="S956">INDEX(MINVALUES,$Q956,$K$1)</f>
        <v>2.2</v>
      </c>
      <c r="T956" s="448">
        <f t="array" ref="T956">INDEX(INCVALUES,$Q956,$K$1)</f>
        <v>0.03</v>
      </c>
      <c r="V956">
        <f t="array" ref="V956">+J956+(4*(INDEX(MatchScoreTable,$Q956,20)-1))</f>
        <v>4</v>
      </c>
      <c r="W956" s="442">
        <f t="array" ref="W956">INDEX(INC_MINVALUES,$V956,$K$1)</f>
        <v>0.2</v>
      </c>
      <c r="X956" s="212">
        <f t="array" ref="X956">INDEX(INC_INCVALUES,$V956,$K$1)</f>
        <v>0.02</v>
      </c>
    </row>
    <row r="957" ht="15.75" customHeight="1">
      <c r="A957" s="435"/>
      <c r="B957" s="436"/>
      <c r="C957" s="95" t="str">
        <f t="array" ref="C957">IF(I957&gt;0,INDEX(DB,I957,8),"")</f>
        <v/>
      </c>
      <c r="D957" s="437">
        <f t="shared" si="1"/>
        <v>0</v>
      </c>
      <c r="F957" s="438">
        <f t="shared" si="2"/>
        <v>0</v>
      </c>
      <c r="G957" t="str">
        <f t="shared" si="3"/>
        <v/>
      </c>
      <c r="H957" t="b">
        <f t="shared" si="4"/>
        <v>0</v>
      </c>
      <c r="I957" s="439">
        <f>IF(OR(ISBLANK(A957),ISNA(MATCH(A957&amp;"",AthleteNumbers,0))),0,MATCH(A957&amp;"",AthleteNumbers,0))</f>
        <v>0</v>
      </c>
      <c r="J957" s="209">
        <f t="array" ref="J957">IF(I957&gt;0,INDEX(DB,$I957,6),0)</f>
        <v>0</v>
      </c>
      <c r="K957" s="446">
        <f t="shared" si="5"/>
        <v>0</v>
      </c>
      <c r="L957" s="446">
        <f t="shared" si="6"/>
        <v>0</v>
      </c>
      <c r="M957" s="441">
        <f>IF(L957&lt;O957,MinPoints,IF(AND(L957&gt;N957,O957&gt;0),100,+INT(($L957-O957)/P957)+MinPoints))</f>
        <v>10</v>
      </c>
      <c r="N957" s="440">
        <f t="shared" si="7"/>
        <v>4.9</v>
      </c>
      <c r="O957" s="440">
        <f t="shared" si="8"/>
        <v>2.2</v>
      </c>
      <c r="P957" s="440">
        <f t="shared" si="9"/>
        <v>0.03</v>
      </c>
      <c r="Q957">
        <f t="array" ref="Q957">IF(I957&gt;0,INDEX(DB,I957,9),EventIndex)</f>
        <v>6</v>
      </c>
      <c r="S957" s="447">
        <f t="array" ref="S957">INDEX(MINVALUES,$Q957,$K$1)</f>
        <v>2.2</v>
      </c>
      <c r="T957" s="448">
        <f t="array" ref="T957">INDEX(INCVALUES,$Q957,$K$1)</f>
        <v>0.03</v>
      </c>
      <c r="V957">
        <f t="array" ref="V957">+J957+(4*(INDEX(MatchScoreTable,$Q957,20)-1))</f>
        <v>4</v>
      </c>
      <c r="W957" s="442">
        <f t="array" ref="W957">INDEX(INC_MINVALUES,$V957,$K$1)</f>
        <v>0.2</v>
      </c>
      <c r="X957" s="212">
        <f t="array" ref="X957">INDEX(INC_INCVALUES,$V957,$K$1)</f>
        <v>0.02</v>
      </c>
    </row>
    <row r="958" ht="15.75" customHeight="1">
      <c r="A958" s="435"/>
      <c r="B958" s="436"/>
      <c r="C958" s="95" t="str">
        <f t="array" ref="C958">IF(I958&gt;0,INDEX(DB,I958,8),"")</f>
        <v/>
      </c>
      <c r="D958" s="437">
        <f t="shared" si="1"/>
        <v>0</v>
      </c>
      <c r="F958" s="438">
        <f t="shared" si="2"/>
        <v>0</v>
      </c>
      <c r="G958" t="str">
        <f t="shared" si="3"/>
        <v/>
      </c>
      <c r="H958" t="b">
        <f t="shared" si="4"/>
        <v>0</v>
      </c>
      <c r="I958" s="439">
        <f>IF(OR(ISBLANK(A958),ISNA(MATCH(A958&amp;"",AthleteNumbers,0))),0,MATCH(A958&amp;"",AthleteNumbers,0))</f>
        <v>0</v>
      </c>
      <c r="J958" s="209">
        <f t="array" ref="J958">IF(I958&gt;0,INDEX(DB,$I958,6),0)</f>
        <v>0</v>
      </c>
      <c r="K958" s="446">
        <f t="shared" si="5"/>
        <v>0</v>
      </c>
      <c r="L958" s="446">
        <f t="shared" si="6"/>
        <v>0</v>
      </c>
      <c r="M958" s="441">
        <f>IF(L958&lt;O958,MinPoints,IF(AND(L958&gt;N958,O958&gt;0),100,+INT(($L958-O958)/P958)+MinPoints))</f>
        <v>10</v>
      </c>
      <c r="N958" s="440">
        <f t="shared" si="7"/>
        <v>4.9</v>
      </c>
      <c r="O958" s="440">
        <f t="shared" si="8"/>
        <v>2.2</v>
      </c>
      <c r="P958" s="440">
        <f t="shared" si="9"/>
        <v>0.03</v>
      </c>
      <c r="Q958">
        <f t="array" ref="Q958">IF(I958&gt;0,INDEX(DB,I958,9),EventIndex)</f>
        <v>6</v>
      </c>
      <c r="S958" s="447">
        <f t="array" ref="S958">INDEX(MINVALUES,$Q958,$K$1)</f>
        <v>2.2</v>
      </c>
      <c r="T958" s="448">
        <f t="array" ref="T958">INDEX(INCVALUES,$Q958,$K$1)</f>
        <v>0.03</v>
      </c>
      <c r="V958">
        <f t="array" ref="V958">+J958+(4*(INDEX(MatchScoreTable,$Q958,20)-1))</f>
        <v>4</v>
      </c>
      <c r="W958" s="442">
        <f t="array" ref="W958">INDEX(INC_MINVALUES,$V958,$K$1)</f>
        <v>0.2</v>
      </c>
      <c r="X958" s="212">
        <f t="array" ref="X958">INDEX(INC_INCVALUES,$V958,$K$1)</f>
        <v>0.02</v>
      </c>
    </row>
    <row r="959" ht="15.75" customHeight="1">
      <c r="A959" s="435"/>
      <c r="B959" s="436"/>
      <c r="C959" s="95" t="str">
        <f t="array" ref="C959">IF(I959&gt;0,INDEX(DB,I959,8),"")</f>
        <v/>
      </c>
      <c r="D959" s="437">
        <f t="shared" si="1"/>
        <v>0</v>
      </c>
      <c r="F959" s="438">
        <f t="shared" si="2"/>
        <v>0</v>
      </c>
      <c r="G959" t="str">
        <f t="shared" si="3"/>
        <v/>
      </c>
      <c r="H959" t="b">
        <f t="shared" si="4"/>
        <v>0</v>
      </c>
      <c r="I959" s="439">
        <f>IF(OR(ISBLANK(A959),ISNA(MATCH(A959&amp;"",AthleteNumbers,0))),0,MATCH(A959&amp;"",AthleteNumbers,0))</f>
        <v>0</v>
      </c>
      <c r="J959" s="209">
        <f t="array" ref="J959">IF(I959&gt;0,INDEX(DB,$I959,6),0)</f>
        <v>0</v>
      </c>
      <c r="K959" s="446">
        <f t="shared" si="5"/>
        <v>0</v>
      </c>
      <c r="L959" s="446">
        <f t="shared" si="6"/>
        <v>0</v>
      </c>
      <c r="M959" s="441">
        <f>IF(L959&lt;O959,MinPoints,IF(AND(L959&gt;N959,O959&gt;0),100,+INT(($L959-O959)/P959)+MinPoints))</f>
        <v>10</v>
      </c>
      <c r="N959" s="440">
        <f t="shared" si="7"/>
        <v>4.9</v>
      </c>
      <c r="O959" s="440">
        <f t="shared" si="8"/>
        <v>2.2</v>
      </c>
      <c r="P959" s="440">
        <f t="shared" si="9"/>
        <v>0.03</v>
      </c>
      <c r="Q959">
        <f t="array" ref="Q959">IF(I959&gt;0,INDEX(DB,I959,9),EventIndex)</f>
        <v>6</v>
      </c>
      <c r="S959" s="447">
        <f t="array" ref="S959">INDEX(MINVALUES,$Q959,$K$1)</f>
        <v>2.2</v>
      </c>
      <c r="T959" s="448">
        <f t="array" ref="T959">INDEX(INCVALUES,$Q959,$K$1)</f>
        <v>0.03</v>
      </c>
      <c r="V959">
        <f t="array" ref="V959">+J959+(4*(INDEX(MatchScoreTable,$Q959,20)-1))</f>
        <v>4</v>
      </c>
      <c r="W959" s="442">
        <f t="array" ref="W959">INDEX(INC_MINVALUES,$V959,$K$1)</f>
        <v>0.2</v>
      </c>
      <c r="X959" s="212">
        <f t="array" ref="X959">INDEX(INC_INCVALUES,$V959,$K$1)</f>
        <v>0.02</v>
      </c>
    </row>
    <row r="960" ht="15.75" customHeight="1">
      <c r="A960" s="435"/>
      <c r="B960" s="436"/>
      <c r="C960" s="95" t="str">
        <f t="array" ref="C960">IF(I960&gt;0,INDEX(DB,I960,8),"")</f>
        <v/>
      </c>
      <c r="D960" s="437">
        <f t="shared" si="1"/>
        <v>0</v>
      </c>
      <c r="F960" s="438">
        <f t="shared" si="2"/>
        <v>0</v>
      </c>
      <c r="G960" t="str">
        <f t="shared" si="3"/>
        <v/>
      </c>
      <c r="H960" t="b">
        <f t="shared" si="4"/>
        <v>0</v>
      </c>
      <c r="I960" s="439">
        <f>IF(OR(ISBLANK(A960),ISNA(MATCH(A960&amp;"",AthleteNumbers,0))),0,MATCH(A960&amp;"",AthleteNumbers,0))</f>
        <v>0</v>
      </c>
      <c r="J960" s="209">
        <f t="array" ref="J960">IF(I960&gt;0,INDEX(DB,$I960,6),0)</f>
        <v>0</v>
      </c>
      <c r="K960" s="446">
        <f t="shared" si="5"/>
        <v>0</v>
      </c>
      <c r="L960" s="446">
        <f t="shared" si="6"/>
        <v>0</v>
      </c>
      <c r="M960" s="441">
        <f>IF(L960&lt;O960,MinPoints,IF(AND(L960&gt;N960,O960&gt;0),100,+INT(($L960-O960)/P960)+MinPoints))</f>
        <v>10</v>
      </c>
      <c r="N960" s="440">
        <f t="shared" si="7"/>
        <v>4.9</v>
      </c>
      <c r="O960" s="440">
        <f t="shared" si="8"/>
        <v>2.2</v>
      </c>
      <c r="P960" s="440">
        <f t="shared" si="9"/>
        <v>0.03</v>
      </c>
      <c r="Q960">
        <f t="array" ref="Q960">IF(I960&gt;0,INDEX(DB,I960,9),EventIndex)</f>
        <v>6</v>
      </c>
      <c r="S960" s="447">
        <f t="array" ref="S960">INDEX(MINVALUES,$Q960,$K$1)</f>
        <v>2.2</v>
      </c>
      <c r="T960" s="448">
        <f t="array" ref="T960">INDEX(INCVALUES,$Q960,$K$1)</f>
        <v>0.03</v>
      </c>
      <c r="V960">
        <f t="array" ref="V960">+J960+(4*(INDEX(MatchScoreTable,$Q960,20)-1))</f>
        <v>4</v>
      </c>
      <c r="W960" s="442">
        <f t="array" ref="W960">INDEX(INC_MINVALUES,$V960,$K$1)</f>
        <v>0.2</v>
      </c>
      <c r="X960" s="212">
        <f t="array" ref="X960">INDEX(INC_INCVALUES,$V960,$K$1)</f>
        <v>0.02</v>
      </c>
    </row>
    <row r="961" ht="15.75" customHeight="1">
      <c r="A961" s="435"/>
      <c r="B961" s="436"/>
      <c r="C961" s="95" t="str">
        <f t="array" ref="C961">IF(I961&gt;0,INDEX(DB,I961,8),"")</f>
        <v/>
      </c>
      <c r="D961" s="437">
        <f t="shared" si="1"/>
        <v>0</v>
      </c>
      <c r="F961" s="438">
        <f t="shared" si="2"/>
        <v>0</v>
      </c>
      <c r="G961" t="str">
        <f t="shared" si="3"/>
        <v/>
      </c>
      <c r="H961" t="b">
        <f t="shared" si="4"/>
        <v>0</v>
      </c>
      <c r="I961" s="439">
        <f>IF(OR(ISBLANK(A961),ISNA(MATCH(A961&amp;"",AthleteNumbers,0))),0,MATCH(A961&amp;"",AthleteNumbers,0))</f>
        <v>0</v>
      </c>
      <c r="J961" s="209">
        <f t="array" ref="J961">IF(I961&gt;0,INDEX(DB,$I961,6),0)</f>
        <v>0</v>
      </c>
      <c r="K961" s="446">
        <f t="shared" si="5"/>
        <v>0</v>
      </c>
      <c r="L961" s="446">
        <f t="shared" si="6"/>
        <v>0</v>
      </c>
      <c r="M961" s="441">
        <f>IF(L961&lt;O961,MinPoints,IF(AND(L961&gt;N961,O961&gt;0),100,+INT(($L961-O961)/P961)+MinPoints))</f>
        <v>10</v>
      </c>
      <c r="N961" s="440">
        <f t="shared" si="7"/>
        <v>4.9</v>
      </c>
      <c r="O961" s="440">
        <f t="shared" si="8"/>
        <v>2.2</v>
      </c>
      <c r="P961" s="440">
        <f t="shared" si="9"/>
        <v>0.03</v>
      </c>
      <c r="Q961">
        <f t="array" ref="Q961">IF(I961&gt;0,INDEX(DB,I961,9),EventIndex)</f>
        <v>6</v>
      </c>
      <c r="S961" s="447">
        <f t="array" ref="S961">INDEX(MINVALUES,$Q961,$K$1)</f>
        <v>2.2</v>
      </c>
      <c r="T961" s="448">
        <f t="array" ref="T961">INDEX(INCVALUES,$Q961,$K$1)</f>
        <v>0.03</v>
      </c>
      <c r="V961">
        <f t="array" ref="V961">+J961+(4*(INDEX(MatchScoreTable,$Q961,20)-1))</f>
        <v>4</v>
      </c>
      <c r="W961" s="442">
        <f t="array" ref="W961">INDEX(INC_MINVALUES,$V961,$K$1)</f>
        <v>0.2</v>
      </c>
      <c r="X961" s="212">
        <f t="array" ref="X961">INDEX(INC_INCVALUES,$V961,$K$1)</f>
        <v>0.02</v>
      </c>
    </row>
    <row r="962" ht="15.75" customHeight="1">
      <c r="A962" s="435"/>
      <c r="B962" s="436"/>
      <c r="C962" s="95" t="str">
        <f t="array" ref="C962">IF(I962&gt;0,INDEX(DB,I962,8),"")</f>
        <v/>
      </c>
      <c r="D962" s="437">
        <f t="shared" si="1"/>
        <v>0</v>
      </c>
      <c r="F962" s="438">
        <f t="shared" si="2"/>
        <v>0</v>
      </c>
      <c r="G962" t="str">
        <f t="shared" si="3"/>
        <v/>
      </c>
      <c r="H962" t="b">
        <f t="shared" si="4"/>
        <v>0</v>
      </c>
      <c r="I962" s="439">
        <f>IF(OR(ISBLANK(A962),ISNA(MATCH(A962&amp;"",AthleteNumbers,0))),0,MATCH(A962&amp;"",AthleteNumbers,0))</f>
        <v>0</v>
      </c>
      <c r="J962" s="209">
        <f t="array" ref="J962">IF(I962&gt;0,INDEX(DB,$I962,6),0)</f>
        <v>0</v>
      </c>
      <c r="K962" s="446">
        <f t="shared" si="5"/>
        <v>0</v>
      </c>
      <c r="L962" s="446">
        <f t="shared" si="6"/>
        <v>0</v>
      </c>
      <c r="M962" s="441">
        <f>IF(L962&lt;O962,MinPoints,IF(AND(L962&gt;N962,O962&gt;0),100,+INT(($L962-O962)/P962)+MinPoints))</f>
        <v>10</v>
      </c>
      <c r="N962" s="440">
        <f t="shared" si="7"/>
        <v>4.9</v>
      </c>
      <c r="O962" s="440">
        <f t="shared" si="8"/>
        <v>2.2</v>
      </c>
      <c r="P962" s="440">
        <f t="shared" si="9"/>
        <v>0.03</v>
      </c>
      <c r="Q962">
        <f t="array" ref="Q962">IF(I962&gt;0,INDEX(DB,I962,9),EventIndex)</f>
        <v>6</v>
      </c>
      <c r="S962" s="447">
        <f t="array" ref="S962">INDEX(MINVALUES,$Q962,$K$1)</f>
        <v>2.2</v>
      </c>
      <c r="T962" s="448">
        <f t="array" ref="T962">INDEX(INCVALUES,$Q962,$K$1)</f>
        <v>0.03</v>
      </c>
      <c r="V962">
        <f t="array" ref="V962">+J962+(4*(INDEX(MatchScoreTable,$Q962,20)-1))</f>
        <v>4</v>
      </c>
      <c r="W962" s="442">
        <f t="array" ref="W962">INDEX(INC_MINVALUES,$V962,$K$1)</f>
        <v>0.2</v>
      </c>
      <c r="X962" s="212">
        <f t="array" ref="X962">INDEX(INC_INCVALUES,$V962,$K$1)</f>
        <v>0.02</v>
      </c>
    </row>
    <row r="963" ht="15.75" customHeight="1">
      <c r="A963" s="435"/>
      <c r="B963" s="436"/>
      <c r="C963" s="95" t="str">
        <f t="array" ref="C963">IF(I963&gt;0,INDEX(DB,I963,8),"")</f>
        <v/>
      </c>
      <c r="D963" s="437">
        <f t="shared" si="1"/>
        <v>0</v>
      </c>
      <c r="F963" s="438">
        <f t="shared" si="2"/>
        <v>0</v>
      </c>
      <c r="G963" t="str">
        <f t="shared" si="3"/>
        <v/>
      </c>
      <c r="H963" t="b">
        <f t="shared" si="4"/>
        <v>0</v>
      </c>
      <c r="I963" s="439">
        <f>IF(OR(ISBLANK(A963),ISNA(MATCH(A963&amp;"",AthleteNumbers,0))),0,MATCH(A963&amp;"",AthleteNumbers,0))</f>
        <v>0</v>
      </c>
      <c r="J963" s="209">
        <f t="array" ref="J963">IF(I963&gt;0,INDEX(DB,$I963,6),0)</f>
        <v>0</v>
      </c>
      <c r="K963" s="446">
        <f t="shared" si="5"/>
        <v>0</v>
      </c>
      <c r="L963" s="446">
        <f t="shared" si="6"/>
        <v>0</v>
      </c>
      <c r="M963" s="441">
        <f>IF(L963&lt;O963,MinPoints,IF(AND(L963&gt;N963,O963&gt;0),100,+INT(($L963-O963)/P963)+MinPoints))</f>
        <v>10</v>
      </c>
      <c r="N963" s="440">
        <f t="shared" si="7"/>
        <v>4.9</v>
      </c>
      <c r="O963" s="440">
        <f t="shared" si="8"/>
        <v>2.2</v>
      </c>
      <c r="P963" s="440">
        <f t="shared" si="9"/>
        <v>0.03</v>
      </c>
      <c r="Q963">
        <f t="array" ref="Q963">IF(I963&gt;0,INDEX(DB,I963,9),EventIndex)</f>
        <v>6</v>
      </c>
      <c r="S963" s="447">
        <f t="array" ref="S963">INDEX(MINVALUES,$Q963,$K$1)</f>
        <v>2.2</v>
      </c>
      <c r="T963" s="448">
        <f t="array" ref="T963">INDEX(INCVALUES,$Q963,$K$1)</f>
        <v>0.03</v>
      </c>
      <c r="V963">
        <f t="array" ref="V963">+J963+(4*(INDEX(MatchScoreTable,$Q963,20)-1))</f>
        <v>4</v>
      </c>
      <c r="W963" s="442">
        <f t="array" ref="W963">INDEX(INC_MINVALUES,$V963,$K$1)</f>
        <v>0.2</v>
      </c>
      <c r="X963" s="212">
        <f t="array" ref="X963">INDEX(INC_INCVALUES,$V963,$K$1)</f>
        <v>0.02</v>
      </c>
    </row>
    <row r="964" ht="15.75" customHeight="1">
      <c r="A964" s="435"/>
      <c r="B964" s="436"/>
      <c r="C964" s="95" t="str">
        <f t="array" ref="C964">IF(I964&gt;0,INDEX(DB,I964,8),"")</f>
        <v/>
      </c>
      <c r="D964" s="437">
        <f t="shared" si="1"/>
        <v>0</v>
      </c>
      <c r="F964" s="438">
        <f t="shared" si="2"/>
        <v>0</v>
      </c>
      <c r="G964" t="str">
        <f t="shared" si="3"/>
        <v/>
      </c>
      <c r="H964" t="b">
        <f t="shared" si="4"/>
        <v>0</v>
      </c>
      <c r="I964" s="439">
        <f>IF(OR(ISBLANK(A964),ISNA(MATCH(A964&amp;"",AthleteNumbers,0))),0,MATCH(A964&amp;"",AthleteNumbers,0))</f>
        <v>0</v>
      </c>
      <c r="J964" s="209">
        <f t="array" ref="J964">IF(I964&gt;0,INDEX(DB,$I964,6),0)</f>
        <v>0</v>
      </c>
      <c r="K964" s="446">
        <f t="shared" si="5"/>
        <v>0</v>
      </c>
      <c r="L964" s="446">
        <f t="shared" si="6"/>
        <v>0</v>
      </c>
      <c r="M964" s="441">
        <f>IF(L964&lt;O964,MinPoints,IF(AND(L964&gt;N964,O964&gt;0),100,+INT(($L964-O964)/P964)+MinPoints))</f>
        <v>10</v>
      </c>
      <c r="N964" s="440">
        <f t="shared" si="7"/>
        <v>4.9</v>
      </c>
      <c r="O964" s="440">
        <f t="shared" si="8"/>
        <v>2.2</v>
      </c>
      <c r="P964" s="440">
        <f t="shared" si="9"/>
        <v>0.03</v>
      </c>
      <c r="Q964">
        <f t="array" ref="Q964">IF(I964&gt;0,INDEX(DB,I964,9),EventIndex)</f>
        <v>6</v>
      </c>
      <c r="S964" s="447">
        <f t="array" ref="S964">INDEX(MINVALUES,$Q964,$K$1)</f>
        <v>2.2</v>
      </c>
      <c r="T964" s="448">
        <f t="array" ref="T964">INDEX(INCVALUES,$Q964,$K$1)</f>
        <v>0.03</v>
      </c>
      <c r="V964">
        <f t="array" ref="V964">+J964+(4*(INDEX(MatchScoreTable,$Q964,20)-1))</f>
        <v>4</v>
      </c>
      <c r="W964" s="442">
        <f t="array" ref="W964">INDEX(INC_MINVALUES,$V964,$K$1)</f>
        <v>0.2</v>
      </c>
      <c r="X964" s="212">
        <f t="array" ref="X964">INDEX(INC_INCVALUES,$V964,$K$1)</f>
        <v>0.02</v>
      </c>
    </row>
    <row r="965" ht="15.75" customHeight="1">
      <c r="A965" s="435"/>
      <c r="B965" s="436"/>
      <c r="C965" s="95" t="str">
        <f t="array" ref="C965">IF(I965&gt;0,INDEX(DB,I965,8),"")</f>
        <v/>
      </c>
      <c r="D965" s="437">
        <f t="shared" si="1"/>
        <v>0</v>
      </c>
      <c r="F965" s="438">
        <f t="shared" si="2"/>
        <v>0</v>
      </c>
      <c r="G965" t="str">
        <f t="shared" si="3"/>
        <v/>
      </c>
      <c r="H965" t="b">
        <f t="shared" si="4"/>
        <v>0</v>
      </c>
      <c r="I965" s="439">
        <f>IF(OR(ISBLANK(A965),ISNA(MATCH(A965&amp;"",AthleteNumbers,0))),0,MATCH(A965&amp;"",AthleteNumbers,0))</f>
        <v>0</v>
      </c>
      <c r="J965" s="209">
        <f t="array" ref="J965">IF(I965&gt;0,INDEX(DB,$I965,6),0)</f>
        <v>0</v>
      </c>
      <c r="K965" s="446">
        <f t="shared" si="5"/>
        <v>0</v>
      </c>
      <c r="L965" s="446">
        <f t="shared" si="6"/>
        <v>0</v>
      </c>
      <c r="M965" s="441">
        <f>IF(L965&lt;O965,MinPoints,IF(AND(L965&gt;N965,O965&gt;0),100,+INT(($L965-O965)/P965)+MinPoints))</f>
        <v>10</v>
      </c>
      <c r="N965" s="440">
        <f t="shared" si="7"/>
        <v>4.9</v>
      </c>
      <c r="O965" s="440">
        <f t="shared" si="8"/>
        <v>2.2</v>
      </c>
      <c r="P965" s="440">
        <f t="shared" si="9"/>
        <v>0.03</v>
      </c>
      <c r="Q965">
        <f t="array" ref="Q965">IF(I965&gt;0,INDEX(DB,I965,9),EventIndex)</f>
        <v>6</v>
      </c>
      <c r="S965" s="447">
        <f t="array" ref="S965">INDEX(MINVALUES,$Q965,$K$1)</f>
        <v>2.2</v>
      </c>
      <c r="T965" s="448">
        <f t="array" ref="T965">INDEX(INCVALUES,$Q965,$K$1)</f>
        <v>0.03</v>
      </c>
      <c r="V965">
        <f t="array" ref="V965">+J965+(4*(INDEX(MatchScoreTable,$Q965,20)-1))</f>
        <v>4</v>
      </c>
      <c r="W965" s="442">
        <f t="array" ref="W965">INDEX(INC_MINVALUES,$V965,$K$1)</f>
        <v>0.2</v>
      </c>
      <c r="X965" s="212">
        <f t="array" ref="X965">INDEX(INC_INCVALUES,$V965,$K$1)</f>
        <v>0.02</v>
      </c>
    </row>
    <row r="966" ht="15.75" customHeight="1">
      <c r="A966" s="435"/>
      <c r="B966" s="436"/>
      <c r="C966" s="95" t="str">
        <f t="array" ref="C966">IF(I966&gt;0,INDEX(DB,I966,8),"")</f>
        <v/>
      </c>
      <c r="D966" s="437">
        <f t="shared" si="1"/>
        <v>0</v>
      </c>
      <c r="F966" s="438">
        <f t="shared" si="2"/>
        <v>0</v>
      </c>
      <c r="G966" t="str">
        <f t="shared" si="3"/>
        <v/>
      </c>
      <c r="H966" t="b">
        <f t="shared" si="4"/>
        <v>0</v>
      </c>
      <c r="I966" s="439">
        <f>IF(OR(ISBLANK(A966),ISNA(MATCH(A966&amp;"",AthleteNumbers,0))),0,MATCH(A966&amp;"",AthleteNumbers,0))</f>
        <v>0</v>
      </c>
      <c r="J966" s="209">
        <f t="array" ref="J966">IF(I966&gt;0,INDEX(DB,$I966,6),0)</f>
        <v>0</v>
      </c>
      <c r="K966" s="446">
        <f t="shared" si="5"/>
        <v>0</v>
      </c>
      <c r="L966" s="446">
        <f t="shared" si="6"/>
        <v>0</v>
      </c>
      <c r="M966" s="441">
        <f>IF(L966&lt;O966,MinPoints,IF(AND(L966&gt;N966,O966&gt;0),100,+INT(($L966-O966)/P966)+MinPoints))</f>
        <v>10</v>
      </c>
      <c r="N966" s="440">
        <f t="shared" si="7"/>
        <v>4.9</v>
      </c>
      <c r="O966" s="440">
        <f t="shared" si="8"/>
        <v>2.2</v>
      </c>
      <c r="P966" s="440">
        <f t="shared" si="9"/>
        <v>0.03</v>
      </c>
      <c r="Q966">
        <f t="array" ref="Q966">IF(I966&gt;0,INDEX(DB,I966,9),EventIndex)</f>
        <v>6</v>
      </c>
      <c r="S966" s="447">
        <f t="array" ref="S966">INDEX(MINVALUES,$Q966,$K$1)</f>
        <v>2.2</v>
      </c>
      <c r="T966" s="448">
        <f t="array" ref="T966">INDEX(INCVALUES,$Q966,$K$1)</f>
        <v>0.03</v>
      </c>
      <c r="V966">
        <f t="array" ref="V966">+J966+(4*(INDEX(MatchScoreTable,$Q966,20)-1))</f>
        <v>4</v>
      </c>
      <c r="W966" s="442">
        <f t="array" ref="W966">INDEX(INC_MINVALUES,$V966,$K$1)</f>
        <v>0.2</v>
      </c>
      <c r="X966" s="212">
        <f t="array" ref="X966">INDEX(INC_INCVALUES,$V966,$K$1)</f>
        <v>0.02</v>
      </c>
    </row>
    <row r="967" ht="15.75" customHeight="1">
      <c r="A967" s="435"/>
      <c r="B967" s="436"/>
      <c r="C967" s="95" t="str">
        <f t="array" ref="C967">IF(I967&gt;0,INDEX(DB,I967,8),"")</f>
        <v/>
      </c>
      <c r="D967" s="437">
        <f t="shared" si="1"/>
        <v>0</v>
      </c>
      <c r="F967" s="438">
        <f t="shared" si="2"/>
        <v>0</v>
      </c>
      <c r="G967" t="str">
        <f t="shared" si="3"/>
        <v/>
      </c>
      <c r="H967" t="b">
        <f t="shared" si="4"/>
        <v>0</v>
      </c>
      <c r="I967" s="439">
        <f>IF(OR(ISBLANK(A967),ISNA(MATCH(A967&amp;"",AthleteNumbers,0))),0,MATCH(A967&amp;"",AthleteNumbers,0))</f>
        <v>0</v>
      </c>
      <c r="J967" s="209">
        <f t="array" ref="J967">IF(I967&gt;0,INDEX(DB,$I967,6),0)</f>
        <v>0</v>
      </c>
      <c r="K967" s="446">
        <f t="shared" si="5"/>
        <v>0</v>
      </c>
      <c r="L967" s="446">
        <f t="shared" si="6"/>
        <v>0</v>
      </c>
      <c r="M967" s="441">
        <f>IF(L967&lt;O967,MinPoints,IF(AND(L967&gt;N967,O967&gt;0),100,+INT(($L967-O967)/P967)+MinPoints))</f>
        <v>10</v>
      </c>
      <c r="N967" s="440">
        <f t="shared" si="7"/>
        <v>4.9</v>
      </c>
      <c r="O967" s="440">
        <f t="shared" si="8"/>
        <v>2.2</v>
      </c>
      <c r="P967" s="440">
        <f t="shared" si="9"/>
        <v>0.03</v>
      </c>
      <c r="Q967">
        <f t="array" ref="Q967">IF(I967&gt;0,INDEX(DB,I967,9),EventIndex)</f>
        <v>6</v>
      </c>
      <c r="S967" s="447">
        <f t="array" ref="S967">INDEX(MINVALUES,$Q967,$K$1)</f>
        <v>2.2</v>
      </c>
      <c r="T967" s="448">
        <f t="array" ref="T967">INDEX(INCVALUES,$Q967,$K$1)</f>
        <v>0.03</v>
      </c>
      <c r="V967">
        <f t="array" ref="V967">+J967+(4*(INDEX(MatchScoreTable,$Q967,20)-1))</f>
        <v>4</v>
      </c>
      <c r="W967" s="442">
        <f t="array" ref="W967">INDEX(INC_MINVALUES,$V967,$K$1)</f>
        <v>0.2</v>
      </c>
      <c r="X967" s="212">
        <f t="array" ref="X967">INDEX(INC_INCVALUES,$V967,$K$1)</f>
        <v>0.02</v>
      </c>
    </row>
    <row r="968" ht="15.75" customHeight="1">
      <c r="A968" s="435"/>
      <c r="B968" s="436"/>
      <c r="C968" s="95" t="str">
        <f t="array" ref="C968">IF(I968&gt;0,INDEX(DB,I968,8),"")</f>
        <v/>
      </c>
      <c r="D968" s="437">
        <f t="shared" si="1"/>
        <v>0</v>
      </c>
      <c r="F968" s="438">
        <f t="shared" si="2"/>
        <v>0</v>
      </c>
      <c r="G968" t="str">
        <f t="shared" si="3"/>
        <v/>
      </c>
      <c r="H968" t="b">
        <f t="shared" si="4"/>
        <v>0</v>
      </c>
      <c r="I968" s="439">
        <f>IF(OR(ISBLANK(A968),ISNA(MATCH(A968&amp;"",AthleteNumbers,0))),0,MATCH(A968&amp;"",AthleteNumbers,0))</f>
        <v>0</v>
      </c>
      <c r="J968" s="209">
        <f t="array" ref="J968">IF(I968&gt;0,INDEX(DB,$I968,6),0)</f>
        <v>0</v>
      </c>
      <c r="K968" s="446">
        <f t="shared" si="5"/>
        <v>0</v>
      </c>
      <c r="L968" s="446">
        <f t="shared" si="6"/>
        <v>0</v>
      </c>
      <c r="M968" s="441">
        <f>IF(L968&lt;O968,MinPoints,IF(AND(L968&gt;N968,O968&gt;0),100,+INT(($L968-O968)/P968)+MinPoints))</f>
        <v>10</v>
      </c>
      <c r="N968" s="440">
        <f t="shared" si="7"/>
        <v>4.9</v>
      </c>
      <c r="O968" s="440">
        <f t="shared" si="8"/>
        <v>2.2</v>
      </c>
      <c r="P968" s="440">
        <f t="shared" si="9"/>
        <v>0.03</v>
      </c>
      <c r="Q968">
        <f t="array" ref="Q968">IF(I968&gt;0,INDEX(DB,I968,9),EventIndex)</f>
        <v>6</v>
      </c>
      <c r="S968" s="447">
        <f t="array" ref="S968">INDEX(MINVALUES,$Q968,$K$1)</f>
        <v>2.2</v>
      </c>
      <c r="T968" s="448">
        <f t="array" ref="T968">INDEX(INCVALUES,$Q968,$K$1)</f>
        <v>0.03</v>
      </c>
      <c r="V968">
        <f t="array" ref="V968">+J968+(4*(INDEX(MatchScoreTable,$Q968,20)-1))</f>
        <v>4</v>
      </c>
      <c r="W968" s="442">
        <f t="array" ref="W968">INDEX(INC_MINVALUES,$V968,$K$1)</f>
        <v>0.2</v>
      </c>
      <c r="X968" s="212">
        <f t="array" ref="X968">INDEX(INC_INCVALUES,$V968,$K$1)</f>
        <v>0.02</v>
      </c>
    </row>
    <row r="969" ht="15.75" customHeight="1">
      <c r="A969" s="435"/>
      <c r="B969" s="436"/>
      <c r="C969" s="95" t="str">
        <f t="array" ref="C969">IF(I969&gt;0,INDEX(DB,I969,8),"")</f>
        <v/>
      </c>
      <c r="D969" s="437">
        <f t="shared" si="1"/>
        <v>0</v>
      </c>
      <c r="F969" s="438">
        <f t="shared" si="2"/>
        <v>0</v>
      </c>
      <c r="G969" t="str">
        <f t="shared" si="3"/>
        <v/>
      </c>
      <c r="H969" t="b">
        <f t="shared" si="4"/>
        <v>0</v>
      </c>
      <c r="I969" s="439">
        <f>IF(OR(ISBLANK(A969),ISNA(MATCH(A969&amp;"",AthleteNumbers,0))),0,MATCH(A969&amp;"",AthleteNumbers,0))</f>
        <v>0</v>
      </c>
      <c r="J969" s="209">
        <f t="array" ref="J969">IF(I969&gt;0,INDEX(DB,$I969,6),0)</f>
        <v>0</v>
      </c>
      <c r="K969" s="446">
        <f t="shared" si="5"/>
        <v>0</v>
      </c>
      <c r="L969" s="446">
        <f t="shared" si="6"/>
        <v>0</v>
      </c>
      <c r="M969" s="441">
        <f>IF(L969&lt;O969,MinPoints,IF(AND(L969&gt;N969,O969&gt;0),100,+INT(($L969-O969)/P969)+MinPoints))</f>
        <v>10</v>
      </c>
      <c r="N969" s="440">
        <f t="shared" si="7"/>
        <v>4.9</v>
      </c>
      <c r="O969" s="440">
        <f t="shared" si="8"/>
        <v>2.2</v>
      </c>
      <c r="P969" s="440">
        <f t="shared" si="9"/>
        <v>0.03</v>
      </c>
      <c r="Q969">
        <f t="array" ref="Q969">IF(I969&gt;0,INDEX(DB,I969,9),EventIndex)</f>
        <v>6</v>
      </c>
      <c r="S969" s="447">
        <f t="array" ref="S969">INDEX(MINVALUES,$Q969,$K$1)</f>
        <v>2.2</v>
      </c>
      <c r="T969" s="448">
        <f t="array" ref="T969">INDEX(INCVALUES,$Q969,$K$1)</f>
        <v>0.03</v>
      </c>
      <c r="V969">
        <f t="array" ref="V969">+J969+(4*(INDEX(MatchScoreTable,$Q969,20)-1))</f>
        <v>4</v>
      </c>
      <c r="W969" s="442">
        <f t="array" ref="W969">INDEX(INC_MINVALUES,$V969,$K$1)</f>
        <v>0.2</v>
      </c>
      <c r="X969" s="212">
        <f t="array" ref="X969">INDEX(INC_INCVALUES,$V969,$K$1)</f>
        <v>0.02</v>
      </c>
    </row>
    <row r="970" ht="15.75" customHeight="1">
      <c r="A970" s="435"/>
      <c r="B970" s="436"/>
      <c r="C970" s="95" t="str">
        <f t="array" ref="C970">IF(I970&gt;0,INDEX(DB,I970,8),"")</f>
        <v/>
      </c>
      <c r="D970" s="437">
        <f t="shared" si="1"/>
        <v>0</v>
      </c>
      <c r="F970" s="438">
        <f t="shared" si="2"/>
        <v>0</v>
      </c>
      <c r="G970" t="str">
        <f t="shared" si="3"/>
        <v/>
      </c>
      <c r="H970" t="b">
        <f t="shared" si="4"/>
        <v>0</v>
      </c>
      <c r="I970" s="439">
        <f>IF(OR(ISBLANK(A970),ISNA(MATCH(A970&amp;"",AthleteNumbers,0))),0,MATCH(A970&amp;"",AthleteNumbers,0))</f>
        <v>0</v>
      </c>
      <c r="J970" s="209">
        <f t="array" ref="J970">IF(I970&gt;0,INDEX(DB,$I970,6),0)</f>
        <v>0</v>
      </c>
      <c r="K970" s="446">
        <f t="shared" si="5"/>
        <v>0</v>
      </c>
      <c r="L970" s="446">
        <f t="shared" si="6"/>
        <v>0</v>
      </c>
      <c r="M970" s="441">
        <f>IF(L970&lt;O970,MinPoints,IF(AND(L970&gt;N970,O970&gt;0),100,+INT(($L970-O970)/P970)+MinPoints))</f>
        <v>10</v>
      </c>
      <c r="N970" s="440">
        <f t="shared" si="7"/>
        <v>4.9</v>
      </c>
      <c r="O970" s="440">
        <f t="shared" si="8"/>
        <v>2.2</v>
      </c>
      <c r="P970" s="440">
        <f t="shared" si="9"/>
        <v>0.03</v>
      </c>
      <c r="Q970">
        <f t="array" ref="Q970">IF(I970&gt;0,INDEX(DB,I970,9),EventIndex)</f>
        <v>6</v>
      </c>
      <c r="S970" s="447">
        <f t="array" ref="S970">INDEX(MINVALUES,$Q970,$K$1)</f>
        <v>2.2</v>
      </c>
      <c r="T970" s="448">
        <f t="array" ref="T970">INDEX(INCVALUES,$Q970,$K$1)</f>
        <v>0.03</v>
      </c>
      <c r="V970">
        <f t="array" ref="V970">+J970+(4*(INDEX(MatchScoreTable,$Q970,20)-1))</f>
        <v>4</v>
      </c>
      <c r="W970" s="442">
        <f t="array" ref="W970">INDEX(INC_MINVALUES,$V970,$K$1)</f>
        <v>0.2</v>
      </c>
      <c r="X970" s="212">
        <f t="array" ref="X970">INDEX(INC_INCVALUES,$V970,$K$1)</f>
        <v>0.02</v>
      </c>
    </row>
    <row r="971" ht="15.75" customHeight="1">
      <c r="A971" s="435"/>
      <c r="B971" s="436"/>
      <c r="C971" s="95" t="str">
        <f t="array" ref="C971">IF(I971&gt;0,INDEX(DB,I971,8),"")</f>
        <v/>
      </c>
      <c r="D971" s="437">
        <f t="shared" si="1"/>
        <v>0</v>
      </c>
      <c r="F971" s="438">
        <f t="shared" si="2"/>
        <v>0</v>
      </c>
      <c r="G971" t="str">
        <f t="shared" si="3"/>
        <v/>
      </c>
      <c r="H971" t="b">
        <f t="shared" si="4"/>
        <v>0</v>
      </c>
      <c r="I971" s="439">
        <f>IF(OR(ISBLANK(A971),ISNA(MATCH(A971&amp;"",AthleteNumbers,0))),0,MATCH(A971&amp;"",AthleteNumbers,0))</f>
        <v>0</v>
      </c>
      <c r="J971" s="209">
        <f t="array" ref="J971">IF(I971&gt;0,INDEX(DB,$I971,6),0)</f>
        <v>0</v>
      </c>
      <c r="K971" s="446">
        <f t="shared" si="5"/>
        <v>0</v>
      </c>
      <c r="L971" s="446">
        <f t="shared" si="6"/>
        <v>0</v>
      </c>
      <c r="M971" s="441">
        <f>IF(L971&lt;O971,MinPoints,IF(AND(L971&gt;N971,O971&gt;0),100,+INT(($L971-O971)/P971)+MinPoints))</f>
        <v>10</v>
      </c>
      <c r="N971" s="440">
        <f t="shared" si="7"/>
        <v>4.9</v>
      </c>
      <c r="O971" s="440">
        <f t="shared" si="8"/>
        <v>2.2</v>
      </c>
      <c r="P971" s="440">
        <f t="shared" si="9"/>
        <v>0.03</v>
      </c>
      <c r="Q971">
        <f t="array" ref="Q971">IF(I971&gt;0,INDEX(DB,I971,9),EventIndex)</f>
        <v>6</v>
      </c>
      <c r="S971" s="447">
        <f t="array" ref="S971">INDEX(MINVALUES,$Q971,$K$1)</f>
        <v>2.2</v>
      </c>
      <c r="T971" s="448">
        <f t="array" ref="T971">INDEX(INCVALUES,$Q971,$K$1)</f>
        <v>0.03</v>
      </c>
      <c r="V971">
        <f t="array" ref="V971">+J971+(4*(INDEX(MatchScoreTable,$Q971,20)-1))</f>
        <v>4</v>
      </c>
      <c r="W971" s="442">
        <f t="array" ref="W971">INDEX(INC_MINVALUES,$V971,$K$1)</f>
        <v>0.2</v>
      </c>
      <c r="X971" s="212">
        <f t="array" ref="X971">INDEX(INC_INCVALUES,$V971,$K$1)</f>
        <v>0.02</v>
      </c>
    </row>
    <row r="972" ht="15.75" customHeight="1">
      <c r="A972" s="435"/>
      <c r="B972" s="436"/>
      <c r="C972" s="95" t="str">
        <f t="array" ref="C972">IF(I972&gt;0,INDEX(DB,I972,8),"")</f>
        <v/>
      </c>
      <c r="D972" s="437">
        <f t="shared" si="1"/>
        <v>0</v>
      </c>
      <c r="F972" s="438">
        <f t="shared" si="2"/>
        <v>0</v>
      </c>
      <c r="G972" t="str">
        <f t="shared" si="3"/>
        <v/>
      </c>
      <c r="H972" t="b">
        <f t="shared" si="4"/>
        <v>0</v>
      </c>
      <c r="I972" s="439">
        <f>IF(OR(ISBLANK(A972),ISNA(MATCH(A972&amp;"",AthleteNumbers,0))),0,MATCH(A972&amp;"",AthleteNumbers,0))</f>
        <v>0</v>
      </c>
      <c r="J972" s="209">
        <f t="array" ref="J972">IF(I972&gt;0,INDEX(DB,$I972,6),0)</f>
        <v>0</v>
      </c>
      <c r="K972" s="446">
        <f t="shared" si="5"/>
        <v>0</v>
      </c>
      <c r="L972" s="446">
        <f t="shared" si="6"/>
        <v>0</v>
      </c>
      <c r="M972" s="441">
        <f>IF(L972&lt;O972,MinPoints,IF(AND(L972&gt;N972,O972&gt;0),100,+INT(($L972-O972)/P972)+MinPoints))</f>
        <v>10</v>
      </c>
      <c r="N972" s="440">
        <f t="shared" si="7"/>
        <v>4.9</v>
      </c>
      <c r="O972" s="440">
        <f t="shared" si="8"/>
        <v>2.2</v>
      </c>
      <c r="P972" s="440">
        <f t="shared" si="9"/>
        <v>0.03</v>
      </c>
      <c r="Q972">
        <f t="array" ref="Q972">IF(I972&gt;0,INDEX(DB,I972,9),EventIndex)</f>
        <v>6</v>
      </c>
      <c r="S972" s="447">
        <f t="array" ref="S972">INDEX(MINVALUES,$Q972,$K$1)</f>
        <v>2.2</v>
      </c>
      <c r="T972" s="448">
        <f t="array" ref="T972">INDEX(INCVALUES,$Q972,$K$1)</f>
        <v>0.03</v>
      </c>
      <c r="V972">
        <f t="array" ref="V972">+J972+(4*(INDEX(MatchScoreTable,$Q972,20)-1))</f>
        <v>4</v>
      </c>
      <c r="W972" s="442">
        <f t="array" ref="W972">INDEX(INC_MINVALUES,$V972,$K$1)</f>
        <v>0.2</v>
      </c>
      <c r="X972" s="212">
        <f t="array" ref="X972">INDEX(INC_INCVALUES,$V972,$K$1)</f>
        <v>0.02</v>
      </c>
    </row>
    <row r="973" ht="15.75" customHeight="1">
      <c r="A973" s="435"/>
      <c r="B973" s="436"/>
      <c r="C973" s="95" t="str">
        <f t="array" ref="C973">IF(I973&gt;0,INDEX(DB,I973,8),"")</f>
        <v/>
      </c>
      <c r="D973" s="437">
        <f t="shared" si="1"/>
        <v>0</v>
      </c>
      <c r="F973" s="438">
        <f t="shared" si="2"/>
        <v>0</v>
      </c>
      <c r="G973" t="str">
        <f t="shared" si="3"/>
        <v/>
      </c>
      <c r="H973" t="b">
        <f t="shared" si="4"/>
        <v>0</v>
      </c>
      <c r="I973" s="439">
        <f>IF(OR(ISBLANK(A973),ISNA(MATCH(A973&amp;"",AthleteNumbers,0))),0,MATCH(A973&amp;"",AthleteNumbers,0))</f>
        <v>0</v>
      </c>
      <c r="J973" s="209">
        <f t="array" ref="J973">IF(I973&gt;0,INDEX(DB,$I973,6),0)</f>
        <v>0</v>
      </c>
      <c r="K973" s="446">
        <f t="shared" si="5"/>
        <v>0</v>
      </c>
      <c r="L973" s="446">
        <f t="shared" si="6"/>
        <v>0</v>
      </c>
      <c r="M973" s="441">
        <f>IF(L973&lt;O973,MinPoints,IF(AND(L973&gt;N973,O973&gt;0),100,+INT(($L973-O973)/P973)+MinPoints))</f>
        <v>10</v>
      </c>
      <c r="N973" s="440">
        <f t="shared" si="7"/>
        <v>4.9</v>
      </c>
      <c r="O973" s="440">
        <f t="shared" si="8"/>
        <v>2.2</v>
      </c>
      <c r="P973" s="440">
        <f t="shared" si="9"/>
        <v>0.03</v>
      </c>
      <c r="Q973">
        <f t="array" ref="Q973">IF(I973&gt;0,INDEX(DB,I973,9),EventIndex)</f>
        <v>6</v>
      </c>
      <c r="S973" s="447">
        <f t="array" ref="S973">INDEX(MINVALUES,$Q973,$K$1)</f>
        <v>2.2</v>
      </c>
      <c r="T973" s="448">
        <f t="array" ref="T973">INDEX(INCVALUES,$Q973,$K$1)</f>
        <v>0.03</v>
      </c>
      <c r="V973">
        <f t="array" ref="V973">+J973+(4*(INDEX(MatchScoreTable,$Q973,20)-1))</f>
        <v>4</v>
      </c>
      <c r="W973" s="442">
        <f t="array" ref="W973">INDEX(INC_MINVALUES,$V973,$K$1)</f>
        <v>0.2</v>
      </c>
      <c r="X973" s="212">
        <f t="array" ref="X973">INDEX(INC_INCVALUES,$V973,$K$1)</f>
        <v>0.02</v>
      </c>
    </row>
    <row r="974" ht="15.75" customHeight="1">
      <c r="A974" s="435"/>
      <c r="B974" s="436"/>
      <c r="C974" s="95" t="str">
        <f t="array" ref="C974">IF(I974&gt;0,INDEX(DB,I974,8),"")</f>
        <v/>
      </c>
      <c r="D974" s="437">
        <f t="shared" si="1"/>
        <v>0</v>
      </c>
      <c r="F974" s="438">
        <f t="shared" si="2"/>
        <v>0</v>
      </c>
      <c r="G974" t="str">
        <f t="shared" si="3"/>
        <v/>
      </c>
      <c r="H974" t="b">
        <f t="shared" si="4"/>
        <v>0</v>
      </c>
      <c r="I974" s="439">
        <f>IF(OR(ISBLANK(A974),ISNA(MATCH(A974&amp;"",AthleteNumbers,0))),0,MATCH(A974&amp;"",AthleteNumbers,0))</f>
        <v>0</v>
      </c>
      <c r="J974" s="209">
        <f t="array" ref="J974">IF(I974&gt;0,INDEX(DB,$I974,6),0)</f>
        <v>0</v>
      </c>
      <c r="K974" s="446">
        <f t="shared" si="5"/>
        <v>0</v>
      </c>
      <c r="L974" s="446">
        <f t="shared" si="6"/>
        <v>0</v>
      </c>
      <c r="M974" s="441">
        <f>IF(L974&lt;O974,MinPoints,IF(AND(L974&gt;N974,O974&gt;0),100,+INT(($L974-O974)/P974)+MinPoints))</f>
        <v>10</v>
      </c>
      <c r="N974" s="440">
        <f t="shared" si="7"/>
        <v>4.9</v>
      </c>
      <c r="O974" s="440">
        <f t="shared" si="8"/>
        <v>2.2</v>
      </c>
      <c r="P974" s="440">
        <f t="shared" si="9"/>
        <v>0.03</v>
      </c>
      <c r="Q974">
        <f t="array" ref="Q974">IF(I974&gt;0,INDEX(DB,I974,9),EventIndex)</f>
        <v>6</v>
      </c>
      <c r="S974" s="447">
        <f t="array" ref="S974">INDEX(MINVALUES,$Q974,$K$1)</f>
        <v>2.2</v>
      </c>
      <c r="T974" s="448">
        <f t="array" ref="T974">INDEX(INCVALUES,$Q974,$K$1)</f>
        <v>0.03</v>
      </c>
      <c r="V974">
        <f t="array" ref="V974">+J974+(4*(INDEX(MatchScoreTable,$Q974,20)-1))</f>
        <v>4</v>
      </c>
      <c r="W974" s="442">
        <f t="array" ref="W974">INDEX(INC_MINVALUES,$V974,$K$1)</f>
        <v>0.2</v>
      </c>
      <c r="X974" s="212">
        <f t="array" ref="X974">INDEX(INC_INCVALUES,$V974,$K$1)</f>
        <v>0.02</v>
      </c>
    </row>
    <row r="975" ht="15.75" customHeight="1">
      <c r="A975" s="435"/>
      <c r="B975" s="436"/>
      <c r="C975" s="95" t="str">
        <f t="array" ref="C975">IF(I975&gt;0,INDEX(DB,I975,8),"")</f>
        <v/>
      </c>
      <c r="D975" s="437">
        <f t="shared" si="1"/>
        <v>0</v>
      </c>
      <c r="F975" s="438">
        <f t="shared" si="2"/>
        <v>0</v>
      </c>
      <c r="G975" t="str">
        <f t="shared" si="3"/>
        <v/>
      </c>
      <c r="H975" t="b">
        <f t="shared" si="4"/>
        <v>0</v>
      </c>
      <c r="I975" s="439">
        <f>IF(OR(ISBLANK(A975),ISNA(MATCH(A975&amp;"",AthleteNumbers,0))),0,MATCH(A975&amp;"",AthleteNumbers,0))</f>
        <v>0</v>
      </c>
      <c r="J975" s="209">
        <f t="array" ref="J975">IF(I975&gt;0,INDEX(DB,$I975,6),0)</f>
        <v>0</v>
      </c>
      <c r="K975" s="446">
        <f t="shared" si="5"/>
        <v>0</v>
      </c>
      <c r="L975" s="446">
        <f t="shared" si="6"/>
        <v>0</v>
      </c>
      <c r="M975" s="441">
        <f>IF(L975&lt;O975,MinPoints,IF(AND(L975&gt;N975,O975&gt;0),100,+INT(($L975-O975)/P975)+MinPoints))</f>
        <v>10</v>
      </c>
      <c r="N975" s="440">
        <f t="shared" si="7"/>
        <v>4.9</v>
      </c>
      <c r="O975" s="440">
        <f t="shared" si="8"/>
        <v>2.2</v>
      </c>
      <c r="P975" s="440">
        <f t="shared" si="9"/>
        <v>0.03</v>
      </c>
      <c r="Q975">
        <f t="array" ref="Q975">IF(I975&gt;0,INDEX(DB,I975,9),EventIndex)</f>
        <v>6</v>
      </c>
      <c r="S975" s="447">
        <f t="array" ref="S975">INDEX(MINVALUES,$Q975,$K$1)</f>
        <v>2.2</v>
      </c>
      <c r="T975" s="448">
        <f t="array" ref="T975">INDEX(INCVALUES,$Q975,$K$1)</f>
        <v>0.03</v>
      </c>
      <c r="V975">
        <f t="array" ref="V975">+J975+(4*(INDEX(MatchScoreTable,$Q975,20)-1))</f>
        <v>4</v>
      </c>
      <c r="W975" s="442">
        <f t="array" ref="W975">INDEX(INC_MINVALUES,$V975,$K$1)</f>
        <v>0.2</v>
      </c>
      <c r="X975" s="212">
        <f t="array" ref="X975">INDEX(INC_INCVALUES,$V975,$K$1)</f>
        <v>0.02</v>
      </c>
    </row>
    <row r="976" ht="15.75" customHeight="1">
      <c r="A976" s="435"/>
      <c r="B976" s="436"/>
      <c r="C976" s="95" t="str">
        <f t="array" ref="C976">IF(I976&gt;0,INDEX(DB,I976,8),"")</f>
        <v/>
      </c>
      <c r="D976" s="437">
        <f t="shared" si="1"/>
        <v>0</v>
      </c>
      <c r="F976" s="438">
        <f t="shared" si="2"/>
        <v>0</v>
      </c>
      <c r="G976" t="str">
        <f t="shared" si="3"/>
        <v/>
      </c>
      <c r="H976" t="b">
        <f t="shared" si="4"/>
        <v>0</v>
      </c>
      <c r="I976" s="439">
        <f>IF(OR(ISBLANK(A976),ISNA(MATCH(A976&amp;"",AthleteNumbers,0))),0,MATCH(A976&amp;"",AthleteNumbers,0))</f>
        <v>0</v>
      </c>
      <c r="J976" s="209">
        <f t="array" ref="J976">IF(I976&gt;0,INDEX(DB,$I976,6),0)</f>
        <v>0</v>
      </c>
      <c r="K976" s="446">
        <f t="shared" si="5"/>
        <v>0</v>
      </c>
      <c r="L976" s="446">
        <f t="shared" si="6"/>
        <v>0</v>
      </c>
      <c r="M976" s="441">
        <f>IF(L976&lt;O976,MinPoints,IF(AND(L976&gt;N976,O976&gt;0),100,+INT(($L976-O976)/P976)+MinPoints))</f>
        <v>10</v>
      </c>
      <c r="N976" s="440">
        <f t="shared" si="7"/>
        <v>4.9</v>
      </c>
      <c r="O976" s="440">
        <f t="shared" si="8"/>
        <v>2.2</v>
      </c>
      <c r="P976" s="440">
        <f t="shared" si="9"/>
        <v>0.03</v>
      </c>
      <c r="Q976">
        <f t="array" ref="Q976">IF(I976&gt;0,INDEX(DB,I976,9),EventIndex)</f>
        <v>6</v>
      </c>
      <c r="S976" s="447">
        <f t="array" ref="S976">INDEX(MINVALUES,$Q976,$K$1)</f>
        <v>2.2</v>
      </c>
      <c r="T976" s="448">
        <f t="array" ref="T976">INDEX(INCVALUES,$Q976,$K$1)</f>
        <v>0.03</v>
      </c>
      <c r="V976">
        <f t="array" ref="V976">+J976+(4*(INDEX(MatchScoreTable,$Q976,20)-1))</f>
        <v>4</v>
      </c>
      <c r="W976" s="442">
        <f t="array" ref="W976">INDEX(INC_MINVALUES,$V976,$K$1)</f>
        <v>0.2</v>
      </c>
      <c r="X976" s="212">
        <f t="array" ref="X976">INDEX(INC_INCVALUES,$V976,$K$1)</f>
        <v>0.02</v>
      </c>
    </row>
    <row r="977" ht="15.75" customHeight="1">
      <c r="A977" s="435"/>
      <c r="B977" s="436"/>
      <c r="C977" s="95" t="str">
        <f t="array" ref="C977">IF(I977&gt;0,INDEX(DB,I977,8),"")</f>
        <v/>
      </c>
      <c r="D977" s="437">
        <f t="shared" si="1"/>
        <v>0</v>
      </c>
      <c r="F977" s="438">
        <f t="shared" si="2"/>
        <v>0</v>
      </c>
      <c r="G977" t="str">
        <f t="shared" si="3"/>
        <v/>
      </c>
      <c r="H977" t="b">
        <f t="shared" si="4"/>
        <v>0</v>
      </c>
      <c r="I977" s="439">
        <f>IF(OR(ISBLANK(A977),ISNA(MATCH(A977&amp;"",AthleteNumbers,0))),0,MATCH(A977&amp;"",AthleteNumbers,0))</f>
        <v>0</v>
      </c>
      <c r="J977" s="209">
        <f t="array" ref="J977">IF(I977&gt;0,INDEX(DB,$I977,6),0)</f>
        <v>0</v>
      </c>
      <c r="K977" s="446">
        <f t="shared" si="5"/>
        <v>0</v>
      </c>
      <c r="L977" s="446">
        <f t="shared" si="6"/>
        <v>0</v>
      </c>
      <c r="M977" s="441">
        <f>IF(L977&lt;O977,MinPoints,IF(AND(L977&gt;N977,O977&gt;0),100,+INT(($L977-O977)/P977)+MinPoints))</f>
        <v>10</v>
      </c>
      <c r="N977" s="440">
        <f t="shared" si="7"/>
        <v>4.9</v>
      </c>
      <c r="O977" s="440">
        <f t="shared" si="8"/>
        <v>2.2</v>
      </c>
      <c r="P977" s="440">
        <f t="shared" si="9"/>
        <v>0.03</v>
      </c>
      <c r="Q977">
        <f t="array" ref="Q977">IF(I977&gt;0,INDEX(DB,I977,9),EventIndex)</f>
        <v>6</v>
      </c>
      <c r="S977" s="447">
        <f t="array" ref="S977">INDEX(MINVALUES,$Q977,$K$1)</f>
        <v>2.2</v>
      </c>
      <c r="T977" s="448">
        <f t="array" ref="T977">INDEX(INCVALUES,$Q977,$K$1)</f>
        <v>0.03</v>
      </c>
      <c r="V977">
        <f t="array" ref="V977">+J977+(4*(INDEX(MatchScoreTable,$Q977,20)-1))</f>
        <v>4</v>
      </c>
      <c r="W977" s="442">
        <f t="array" ref="W977">INDEX(INC_MINVALUES,$V977,$K$1)</f>
        <v>0.2</v>
      </c>
      <c r="X977" s="212">
        <f t="array" ref="X977">INDEX(INC_INCVALUES,$V977,$K$1)</f>
        <v>0.02</v>
      </c>
    </row>
    <row r="978" ht="15.75" customHeight="1">
      <c r="A978" s="435"/>
      <c r="B978" s="436"/>
      <c r="C978" s="95" t="str">
        <f t="array" ref="C978">IF(I978&gt;0,INDEX(DB,I978,8),"")</f>
        <v/>
      </c>
      <c r="D978" s="437">
        <f t="shared" si="1"/>
        <v>0</v>
      </c>
      <c r="F978" s="438">
        <f t="shared" si="2"/>
        <v>0</v>
      </c>
      <c r="G978" t="str">
        <f t="shared" si="3"/>
        <v/>
      </c>
      <c r="H978" t="b">
        <f t="shared" si="4"/>
        <v>0</v>
      </c>
      <c r="I978" s="439">
        <f>IF(OR(ISBLANK(A978),ISNA(MATCH(A978&amp;"",AthleteNumbers,0))),0,MATCH(A978&amp;"",AthleteNumbers,0))</f>
        <v>0</v>
      </c>
      <c r="J978" s="209">
        <f t="array" ref="J978">IF(I978&gt;0,INDEX(DB,$I978,6),0)</f>
        <v>0</v>
      </c>
      <c r="K978" s="446">
        <f t="shared" si="5"/>
        <v>0</v>
      </c>
      <c r="L978" s="446">
        <f t="shared" si="6"/>
        <v>0</v>
      </c>
      <c r="M978" s="441">
        <f>IF(L978&lt;O978,MinPoints,IF(AND(L978&gt;N978,O978&gt;0),100,+INT(($L978-O978)/P978)+MinPoints))</f>
        <v>10</v>
      </c>
      <c r="N978" s="440">
        <f t="shared" si="7"/>
        <v>4.9</v>
      </c>
      <c r="O978" s="440">
        <f t="shared" si="8"/>
        <v>2.2</v>
      </c>
      <c r="P978" s="440">
        <f t="shared" si="9"/>
        <v>0.03</v>
      </c>
      <c r="Q978">
        <f t="array" ref="Q978">IF(I978&gt;0,INDEX(DB,I978,9),EventIndex)</f>
        <v>6</v>
      </c>
      <c r="S978" s="447">
        <f t="array" ref="S978">INDEX(MINVALUES,$Q978,$K$1)</f>
        <v>2.2</v>
      </c>
      <c r="T978" s="448">
        <f t="array" ref="T978">INDEX(INCVALUES,$Q978,$K$1)</f>
        <v>0.03</v>
      </c>
      <c r="V978">
        <f t="array" ref="V978">+J978+(4*(INDEX(MatchScoreTable,$Q978,20)-1))</f>
        <v>4</v>
      </c>
      <c r="W978" s="442">
        <f t="array" ref="W978">INDEX(INC_MINVALUES,$V978,$K$1)</f>
        <v>0.2</v>
      </c>
      <c r="X978" s="212">
        <f t="array" ref="X978">INDEX(INC_INCVALUES,$V978,$K$1)</f>
        <v>0.02</v>
      </c>
    </row>
    <row r="979" ht="15.75" customHeight="1">
      <c r="A979" s="435"/>
      <c r="B979" s="436"/>
      <c r="C979" s="95" t="str">
        <f t="array" ref="C979">IF(I979&gt;0,INDEX(DB,I979,8),"")</f>
        <v/>
      </c>
      <c r="D979" s="437">
        <f t="shared" si="1"/>
        <v>0</v>
      </c>
      <c r="F979" s="438">
        <f t="shared" si="2"/>
        <v>0</v>
      </c>
      <c r="G979" t="str">
        <f t="shared" si="3"/>
        <v/>
      </c>
      <c r="H979" t="b">
        <f t="shared" si="4"/>
        <v>0</v>
      </c>
      <c r="I979" s="439">
        <f>IF(OR(ISBLANK(A979),ISNA(MATCH(A979&amp;"",AthleteNumbers,0))),0,MATCH(A979&amp;"",AthleteNumbers,0))</f>
        <v>0</v>
      </c>
      <c r="J979" s="209">
        <f t="array" ref="J979">IF(I979&gt;0,INDEX(DB,$I979,6),0)</f>
        <v>0</v>
      </c>
      <c r="K979" s="446">
        <f t="shared" si="5"/>
        <v>0</v>
      </c>
      <c r="L979" s="446">
        <f t="shared" si="6"/>
        <v>0</v>
      </c>
      <c r="M979" s="441">
        <f>IF(L979&lt;O979,MinPoints,IF(AND(L979&gt;N979,O979&gt;0),100,+INT(($L979-O979)/P979)+MinPoints))</f>
        <v>10</v>
      </c>
      <c r="N979" s="440">
        <f t="shared" si="7"/>
        <v>4.9</v>
      </c>
      <c r="O979" s="440">
        <f t="shared" si="8"/>
        <v>2.2</v>
      </c>
      <c r="P979" s="440">
        <f t="shared" si="9"/>
        <v>0.03</v>
      </c>
      <c r="Q979">
        <f t="array" ref="Q979">IF(I979&gt;0,INDEX(DB,I979,9),EventIndex)</f>
        <v>6</v>
      </c>
      <c r="S979" s="447">
        <f t="array" ref="S979">INDEX(MINVALUES,$Q979,$K$1)</f>
        <v>2.2</v>
      </c>
      <c r="T979" s="448">
        <f t="array" ref="T979">INDEX(INCVALUES,$Q979,$K$1)</f>
        <v>0.03</v>
      </c>
      <c r="V979">
        <f t="array" ref="V979">+J979+(4*(INDEX(MatchScoreTable,$Q979,20)-1))</f>
        <v>4</v>
      </c>
      <c r="W979" s="442">
        <f t="array" ref="W979">INDEX(INC_MINVALUES,$V979,$K$1)</f>
        <v>0.2</v>
      </c>
      <c r="X979" s="212">
        <f t="array" ref="X979">INDEX(INC_INCVALUES,$V979,$K$1)</f>
        <v>0.02</v>
      </c>
    </row>
    <row r="980" ht="15.75" customHeight="1">
      <c r="A980" s="435"/>
      <c r="B980" s="436"/>
      <c r="C980" s="95" t="str">
        <f t="array" ref="C980">IF(I980&gt;0,INDEX(DB,I980,8),"")</f>
        <v/>
      </c>
      <c r="D980" s="437">
        <f t="shared" si="1"/>
        <v>0</v>
      </c>
      <c r="F980" s="438">
        <f t="shared" si="2"/>
        <v>0</v>
      </c>
      <c r="G980" t="str">
        <f t="shared" si="3"/>
        <v/>
      </c>
      <c r="H980" t="b">
        <f t="shared" si="4"/>
        <v>0</v>
      </c>
      <c r="I980" s="439">
        <f>IF(OR(ISBLANK(A980),ISNA(MATCH(A980&amp;"",AthleteNumbers,0))),0,MATCH(A980&amp;"",AthleteNumbers,0))</f>
        <v>0</v>
      </c>
      <c r="J980" s="209">
        <f t="array" ref="J980">IF(I980&gt;0,INDEX(DB,$I980,6),0)</f>
        <v>0</v>
      </c>
      <c r="K980" s="446">
        <f t="shared" si="5"/>
        <v>0</v>
      </c>
      <c r="L980" s="446">
        <f t="shared" si="6"/>
        <v>0</v>
      </c>
      <c r="M980" s="441">
        <f>IF(L980&lt;O980,MinPoints,IF(AND(L980&gt;N980,O980&gt;0),100,+INT(($L980-O980)/P980)+MinPoints))</f>
        <v>10</v>
      </c>
      <c r="N980" s="440">
        <f t="shared" si="7"/>
        <v>4.9</v>
      </c>
      <c r="O980" s="440">
        <f t="shared" si="8"/>
        <v>2.2</v>
      </c>
      <c r="P980" s="440">
        <f t="shared" si="9"/>
        <v>0.03</v>
      </c>
      <c r="Q980">
        <f t="array" ref="Q980">IF(I980&gt;0,INDEX(DB,I980,9),EventIndex)</f>
        <v>6</v>
      </c>
      <c r="S980" s="447">
        <f t="array" ref="S980">INDEX(MINVALUES,$Q980,$K$1)</f>
        <v>2.2</v>
      </c>
      <c r="T980" s="448">
        <f t="array" ref="T980">INDEX(INCVALUES,$Q980,$K$1)</f>
        <v>0.03</v>
      </c>
      <c r="V980">
        <f t="array" ref="V980">+J980+(4*(INDEX(MatchScoreTable,$Q980,20)-1))</f>
        <v>4</v>
      </c>
      <c r="W980" s="442">
        <f t="array" ref="W980">INDEX(INC_MINVALUES,$V980,$K$1)</f>
        <v>0.2</v>
      </c>
      <c r="X980" s="212">
        <f t="array" ref="X980">INDEX(INC_INCVALUES,$V980,$K$1)</f>
        <v>0.02</v>
      </c>
    </row>
    <row r="981" ht="15.75" customHeight="1">
      <c r="A981" s="435"/>
      <c r="B981" s="436"/>
      <c r="C981" s="95" t="str">
        <f t="array" ref="C981">IF(I981&gt;0,INDEX(DB,I981,8),"")</f>
        <v/>
      </c>
      <c r="D981" s="437">
        <f t="shared" si="1"/>
        <v>0</v>
      </c>
      <c r="F981" s="438">
        <f t="shared" si="2"/>
        <v>0</v>
      </c>
      <c r="G981" t="str">
        <f t="shared" si="3"/>
        <v/>
      </c>
      <c r="H981" t="b">
        <f t="shared" si="4"/>
        <v>0</v>
      </c>
      <c r="I981" s="439">
        <f>IF(OR(ISBLANK(A981),ISNA(MATCH(A981&amp;"",AthleteNumbers,0))),0,MATCH(A981&amp;"",AthleteNumbers,0))</f>
        <v>0</v>
      </c>
      <c r="J981" s="209">
        <f t="array" ref="J981">IF(I981&gt;0,INDEX(DB,$I981,6),0)</f>
        <v>0</v>
      </c>
      <c r="K981" s="446">
        <f t="shared" si="5"/>
        <v>0</v>
      </c>
      <c r="L981" s="446">
        <f t="shared" si="6"/>
        <v>0</v>
      </c>
      <c r="M981" s="441">
        <f>IF(L981&lt;O981,MinPoints,IF(AND(L981&gt;N981,O981&gt;0),100,+INT(($L981-O981)/P981)+MinPoints))</f>
        <v>10</v>
      </c>
      <c r="N981" s="440">
        <f t="shared" si="7"/>
        <v>4.9</v>
      </c>
      <c r="O981" s="440">
        <f t="shared" si="8"/>
        <v>2.2</v>
      </c>
      <c r="P981" s="440">
        <f t="shared" si="9"/>
        <v>0.03</v>
      </c>
      <c r="Q981">
        <f t="array" ref="Q981">IF(I981&gt;0,INDEX(DB,I981,9),EventIndex)</f>
        <v>6</v>
      </c>
      <c r="S981" s="447">
        <f t="array" ref="S981">INDEX(MINVALUES,$Q981,$K$1)</f>
        <v>2.2</v>
      </c>
      <c r="T981" s="448">
        <f t="array" ref="T981">INDEX(INCVALUES,$Q981,$K$1)</f>
        <v>0.03</v>
      </c>
      <c r="V981">
        <f t="array" ref="V981">+J981+(4*(INDEX(MatchScoreTable,$Q981,20)-1))</f>
        <v>4</v>
      </c>
      <c r="W981" s="442">
        <f t="array" ref="W981">INDEX(INC_MINVALUES,$V981,$K$1)</f>
        <v>0.2</v>
      </c>
      <c r="X981" s="212">
        <f t="array" ref="X981">INDEX(INC_INCVALUES,$V981,$K$1)</f>
        <v>0.02</v>
      </c>
    </row>
    <row r="982" ht="15.75" customHeight="1">
      <c r="A982" s="435"/>
      <c r="B982" s="436"/>
      <c r="C982" s="95" t="str">
        <f t="array" ref="C982">IF(I982&gt;0,INDEX(DB,I982,8),"")</f>
        <v/>
      </c>
      <c r="D982" s="437">
        <f t="shared" si="1"/>
        <v>0</v>
      </c>
      <c r="F982" s="438">
        <f t="shared" si="2"/>
        <v>0</v>
      </c>
      <c r="G982" t="str">
        <f t="shared" si="3"/>
        <v/>
      </c>
      <c r="H982" t="b">
        <f t="shared" si="4"/>
        <v>0</v>
      </c>
      <c r="I982" s="439">
        <f>IF(OR(ISBLANK(A982),ISNA(MATCH(A982&amp;"",AthleteNumbers,0))),0,MATCH(A982&amp;"",AthleteNumbers,0))</f>
        <v>0</v>
      </c>
      <c r="J982" s="209">
        <f t="array" ref="J982">IF(I982&gt;0,INDEX(DB,$I982,6),0)</f>
        <v>0</v>
      </c>
      <c r="K982" s="446">
        <f t="shared" si="5"/>
        <v>0</v>
      </c>
      <c r="L982" s="446">
        <f t="shared" si="6"/>
        <v>0</v>
      </c>
      <c r="M982" s="441">
        <f>IF(L982&lt;O982,MinPoints,IF(AND(L982&gt;N982,O982&gt;0),100,+INT(($L982-O982)/P982)+MinPoints))</f>
        <v>10</v>
      </c>
      <c r="N982" s="440">
        <f t="shared" si="7"/>
        <v>4.9</v>
      </c>
      <c r="O982" s="440">
        <f t="shared" si="8"/>
        <v>2.2</v>
      </c>
      <c r="P982" s="440">
        <f t="shared" si="9"/>
        <v>0.03</v>
      </c>
      <c r="Q982">
        <f t="array" ref="Q982">IF(I982&gt;0,INDEX(DB,I982,9),EventIndex)</f>
        <v>6</v>
      </c>
      <c r="S982" s="447">
        <f t="array" ref="S982">INDEX(MINVALUES,$Q982,$K$1)</f>
        <v>2.2</v>
      </c>
      <c r="T982" s="448">
        <f t="array" ref="T982">INDEX(INCVALUES,$Q982,$K$1)</f>
        <v>0.03</v>
      </c>
      <c r="V982">
        <f t="array" ref="V982">+J982+(4*(INDEX(MatchScoreTable,$Q982,20)-1))</f>
        <v>4</v>
      </c>
      <c r="W982" s="442">
        <f t="array" ref="W982">INDEX(INC_MINVALUES,$V982,$K$1)</f>
        <v>0.2</v>
      </c>
      <c r="X982" s="212">
        <f t="array" ref="X982">INDEX(INC_INCVALUES,$V982,$K$1)</f>
        <v>0.02</v>
      </c>
    </row>
    <row r="983" ht="15.75" customHeight="1">
      <c r="A983" s="435"/>
      <c r="B983" s="436"/>
      <c r="C983" s="95" t="str">
        <f t="array" ref="C983">IF(I983&gt;0,INDEX(DB,I983,8),"")</f>
        <v/>
      </c>
      <c r="D983" s="437">
        <f t="shared" si="1"/>
        <v>0</v>
      </c>
      <c r="F983" s="438">
        <f t="shared" si="2"/>
        <v>0</v>
      </c>
      <c r="G983" t="str">
        <f t="shared" si="3"/>
        <v/>
      </c>
      <c r="H983" t="b">
        <f t="shared" si="4"/>
        <v>0</v>
      </c>
      <c r="I983" s="439">
        <f>IF(OR(ISBLANK(A983),ISNA(MATCH(A983&amp;"",AthleteNumbers,0))),0,MATCH(A983&amp;"",AthleteNumbers,0))</f>
        <v>0</v>
      </c>
      <c r="J983" s="209">
        <f t="array" ref="J983">IF(I983&gt;0,INDEX(DB,$I983,6),0)</f>
        <v>0</v>
      </c>
      <c r="K983" s="446">
        <f t="shared" si="5"/>
        <v>0</v>
      </c>
      <c r="L983" s="446">
        <f t="shared" si="6"/>
        <v>0</v>
      </c>
      <c r="M983" s="441">
        <f>IF(L983&lt;O983,MinPoints,IF(AND(L983&gt;N983,O983&gt;0),100,+INT(($L983-O983)/P983)+MinPoints))</f>
        <v>10</v>
      </c>
      <c r="N983" s="440">
        <f t="shared" si="7"/>
        <v>4.9</v>
      </c>
      <c r="O983" s="440">
        <f t="shared" si="8"/>
        <v>2.2</v>
      </c>
      <c r="P983" s="440">
        <f t="shared" si="9"/>
        <v>0.03</v>
      </c>
      <c r="Q983">
        <f t="array" ref="Q983">IF(I983&gt;0,INDEX(DB,I983,9),EventIndex)</f>
        <v>6</v>
      </c>
      <c r="S983" s="447">
        <f t="array" ref="S983">INDEX(MINVALUES,$Q983,$K$1)</f>
        <v>2.2</v>
      </c>
      <c r="T983" s="448">
        <f t="array" ref="T983">INDEX(INCVALUES,$Q983,$K$1)</f>
        <v>0.03</v>
      </c>
      <c r="V983">
        <f t="array" ref="V983">+J983+(4*(INDEX(MatchScoreTable,$Q983,20)-1))</f>
        <v>4</v>
      </c>
      <c r="W983" s="442">
        <f t="array" ref="W983">INDEX(INC_MINVALUES,$V983,$K$1)</f>
        <v>0.2</v>
      </c>
      <c r="X983" s="212">
        <f t="array" ref="X983">INDEX(INC_INCVALUES,$V983,$K$1)</f>
        <v>0.02</v>
      </c>
    </row>
    <row r="984" ht="15.75" customHeight="1">
      <c r="A984" s="435"/>
      <c r="B984" s="436"/>
      <c r="C984" s="95" t="str">
        <f t="array" ref="C984">IF(I984&gt;0,INDEX(DB,I984,8),"")</f>
        <v/>
      </c>
      <c r="D984" s="437">
        <f t="shared" si="1"/>
        <v>0</v>
      </c>
      <c r="F984" s="438">
        <f t="shared" si="2"/>
        <v>0</v>
      </c>
      <c r="G984" t="str">
        <f t="shared" si="3"/>
        <v/>
      </c>
      <c r="H984" t="b">
        <f t="shared" si="4"/>
        <v>0</v>
      </c>
      <c r="I984" s="439">
        <f>IF(OR(ISBLANK(A984),ISNA(MATCH(A984&amp;"",AthleteNumbers,0))),0,MATCH(A984&amp;"",AthleteNumbers,0))</f>
        <v>0</v>
      </c>
      <c r="J984" s="209">
        <f t="array" ref="J984">IF(I984&gt;0,INDEX(DB,$I984,6),0)</f>
        <v>0</v>
      </c>
      <c r="K984" s="446">
        <f t="shared" si="5"/>
        <v>0</v>
      </c>
      <c r="L984" s="446">
        <f t="shared" si="6"/>
        <v>0</v>
      </c>
      <c r="M984" s="441">
        <f>IF(L984&lt;O984,MinPoints,IF(AND(L984&gt;N984,O984&gt;0),100,+INT(($L984-O984)/P984)+MinPoints))</f>
        <v>10</v>
      </c>
      <c r="N984" s="440">
        <f t="shared" si="7"/>
        <v>4.9</v>
      </c>
      <c r="O984" s="440">
        <f t="shared" si="8"/>
        <v>2.2</v>
      </c>
      <c r="P984" s="440">
        <f t="shared" si="9"/>
        <v>0.03</v>
      </c>
      <c r="Q984">
        <f t="array" ref="Q984">IF(I984&gt;0,INDEX(DB,I984,9),EventIndex)</f>
        <v>6</v>
      </c>
      <c r="S984" s="447">
        <f t="array" ref="S984">INDEX(MINVALUES,$Q984,$K$1)</f>
        <v>2.2</v>
      </c>
      <c r="T984" s="448">
        <f t="array" ref="T984">INDEX(INCVALUES,$Q984,$K$1)</f>
        <v>0.03</v>
      </c>
      <c r="V984">
        <f t="array" ref="V984">+J984+(4*(INDEX(MatchScoreTable,$Q984,20)-1))</f>
        <v>4</v>
      </c>
      <c r="W984" s="442">
        <f t="array" ref="W984">INDEX(INC_MINVALUES,$V984,$K$1)</f>
        <v>0.2</v>
      </c>
      <c r="X984" s="212">
        <f t="array" ref="X984">INDEX(INC_INCVALUES,$V984,$K$1)</f>
        <v>0.02</v>
      </c>
    </row>
    <row r="985" ht="15.75" customHeight="1">
      <c r="A985" s="435"/>
      <c r="B985" s="436"/>
      <c r="C985" s="95" t="str">
        <f t="array" ref="C985">IF(I985&gt;0,INDEX(DB,I985,8),"")</f>
        <v/>
      </c>
      <c r="D985" s="437">
        <f t="shared" si="1"/>
        <v>0</v>
      </c>
      <c r="F985" s="438">
        <f t="shared" si="2"/>
        <v>0</v>
      </c>
      <c r="G985" t="str">
        <f t="shared" si="3"/>
        <v/>
      </c>
      <c r="H985" t="b">
        <f t="shared" si="4"/>
        <v>0</v>
      </c>
      <c r="I985" s="439">
        <f>IF(OR(ISBLANK(A985),ISNA(MATCH(A985&amp;"",AthleteNumbers,0))),0,MATCH(A985&amp;"",AthleteNumbers,0))</f>
        <v>0</v>
      </c>
      <c r="J985" s="209">
        <f t="array" ref="J985">IF(I985&gt;0,INDEX(DB,$I985,6),0)</f>
        <v>0</v>
      </c>
      <c r="K985" s="446">
        <f t="shared" si="5"/>
        <v>0</v>
      </c>
      <c r="L985" s="446">
        <f t="shared" si="6"/>
        <v>0</v>
      </c>
      <c r="M985" s="441">
        <f>IF(L985&lt;O985,MinPoints,IF(AND(L985&gt;N985,O985&gt;0),100,+INT(($L985-O985)/P985)+MinPoints))</f>
        <v>10</v>
      </c>
      <c r="N985" s="440">
        <f t="shared" si="7"/>
        <v>4.9</v>
      </c>
      <c r="O985" s="440">
        <f t="shared" si="8"/>
        <v>2.2</v>
      </c>
      <c r="P985" s="440">
        <f t="shared" si="9"/>
        <v>0.03</v>
      </c>
      <c r="Q985">
        <f t="array" ref="Q985">IF(I985&gt;0,INDEX(DB,I985,9),EventIndex)</f>
        <v>6</v>
      </c>
      <c r="S985" s="447">
        <f t="array" ref="S985">INDEX(MINVALUES,$Q985,$K$1)</f>
        <v>2.2</v>
      </c>
      <c r="T985" s="448">
        <f t="array" ref="T985">INDEX(INCVALUES,$Q985,$K$1)</f>
        <v>0.03</v>
      </c>
      <c r="V985">
        <f t="array" ref="V985">+J985+(4*(INDEX(MatchScoreTable,$Q985,20)-1))</f>
        <v>4</v>
      </c>
      <c r="W985" s="442">
        <f t="array" ref="W985">INDEX(INC_MINVALUES,$V985,$K$1)</f>
        <v>0.2</v>
      </c>
      <c r="X985" s="212">
        <f t="array" ref="X985">INDEX(INC_INCVALUES,$V985,$K$1)</f>
        <v>0.02</v>
      </c>
    </row>
    <row r="986" ht="15.75" customHeight="1">
      <c r="A986" s="435"/>
      <c r="B986" s="436"/>
      <c r="C986" s="95" t="str">
        <f t="array" ref="C986">IF(I986&gt;0,INDEX(DB,I986,8),"")</f>
        <v/>
      </c>
      <c r="D986" s="437">
        <f t="shared" si="1"/>
        <v>0</v>
      </c>
      <c r="F986" s="438">
        <f t="shared" si="2"/>
        <v>0</v>
      </c>
      <c r="G986" t="str">
        <f t="shared" si="3"/>
        <v/>
      </c>
      <c r="H986" t="b">
        <f t="shared" si="4"/>
        <v>0</v>
      </c>
      <c r="I986" s="439">
        <f>IF(OR(ISBLANK(A986),ISNA(MATCH(A986&amp;"",AthleteNumbers,0))),0,MATCH(A986&amp;"",AthleteNumbers,0))</f>
        <v>0</v>
      </c>
      <c r="J986" s="209">
        <f t="array" ref="J986">IF(I986&gt;0,INDEX(DB,$I986,6),0)</f>
        <v>0</v>
      </c>
      <c r="K986" s="446">
        <f t="shared" si="5"/>
        <v>0</v>
      </c>
      <c r="L986" s="446">
        <f t="shared" si="6"/>
        <v>0</v>
      </c>
      <c r="M986" s="441">
        <f>IF(L986&lt;O986,MinPoints,IF(AND(L986&gt;N986,O986&gt;0),100,+INT(($L986-O986)/P986)+MinPoints))</f>
        <v>10</v>
      </c>
      <c r="N986" s="440">
        <f t="shared" si="7"/>
        <v>4.9</v>
      </c>
      <c r="O986" s="440">
        <f t="shared" si="8"/>
        <v>2.2</v>
      </c>
      <c r="P986" s="440">
        <f t="shared" si="9"/>
        <v>0.03</v>
      </c>
      <c r="Q986">
        <f t="array" ref="Q986">IF(I986&gt;0,INDEX(DB,I986,9),EventIndex)</f>
        <v>6</v>
      </c>
      <c r="S986" s="447">
        <f t="array" ref="S986">INDEX(MINVALUES,$Q986,$K$1)</f>
        <v>2.2</v>
      </c>
      <c r="T986" s="448">
        <f t="array" ref="T986">INDEX(INCVALUES,$Q986,$K$1)</f>
        <v>0.03</v>
      </c>
      <c r="V986">
        <f t="array" ref="V986">+J986+(4*(INDEX(MatchScoreTable,$Q986,20)-1))</f>
        <v>4</v>
      </c>
      <c r="W986" s="442">
        <f t="array" ref="W986">INDEX(INC_MINVALUES,$V986,$K$1)</f>
        <v>0.2</v>
      </c>
      <c r="X986" s="212">
        <f t="array" ref="X986">INDEX(INC_INCVALUES,$V986,$K$1)</f>
        <v>0.02</v>
      </c>
    </row>
    <row r="987" ht="15.75" customHeight="1">
      <c r="A987" s="435"/>
      <c r="B987" s="436"/>
      <c r="C987" s="95" t="str">
        <f t="array" ref="C987">IF(I987&gt;0,INDEX(DB,I987,8),"")</f>
        <v/>
      </c>
      <c r="D987" s="437">
        <f t="shared" si="1"/>
        <v>0</v>
      </c>
      <c r="F987" s="438">
        <f t="shared" si="2"/>
        <v>0</v>
      </c>
      <c r="G987" t="str">
        <f t="shared" si="3"/>
        <v/>
      </c>
      <c r="H987" t="b">
        <f t="shared" si="4"/>
        <v>0</v>
      </c>
      <c r="I987" s="439">
        <f>IF(OR(ISBLANK(A987),ISNA(MATCH(A987&amp;"",AthleteNumbers,0))),0,MATCH(A987&amp;"",AthleteNumbers,0))</f>
        <v>0</v>
      </c>
      <c r="J987" s="209">
        <f t="array" ref="J987">IF(I987&gt;0,INDEX(DB,$I987,6),0)</f>
        <v>0</v>
      </c>
      <c r="K987" s="446">
        <f t="shared" si="5"/>
        <v>0</v>
      </c>
      <c r="L987" s="446">
        <f t="shared" si="6"/>
        <v>0</v>
      </c>
      <c r="M987" s="441">
        <f>IF(L987&lt;O987,MinPoints,IF(AND(L987&gt;N987,O987&gt;0),100,+INT(($L987-O987)/P987)+MinPoints))</f>
        <v>10</v>
      </c>
      <c r="N987" s="440">
        <f t="shared" si="7"/>
        <v>4.9</v>
      </c>
      <c r="O987" s="440">
        <f t="shared" si="8"/>
        <v>2.2</v>
      </c>
      <c r="P987" s="440">
        <f t="shared" si="9"/>
        <v>0.03</v>
      </c>
      <c r="Q987">
        <f t="array" ref="Q987">IF(I987&gt;0,INDEX(DB,I987,9),EventIndex)</f>
        <v>6</v>
      </c>
      <c r="S987" s="447">
        <f t="array" ref="S987">INDEX(MINVALUES,$Q987,$K$1)</f>
        <v>2.2</v>
      </c>
      <c r="T987" s="448">
        <f t="array" ref="T987">INDEX(INCVALUES,$Q987,$K$1)</f>
        <v>0.03</v>
      </c>
      <c r="V987">
        <f t="array" ref="V987">+J987+(4*(INDEX(MatchScoreTable,$Q987,20)-1))</f>
        <v>4</v>
      </c>
      <c r="W987" s="442">
        <f t="array" ref="W987">INDEX(INC_MINVALUES,$V987,$K$1)</f>
        <v>0.2</v>
      </c>
      <c r="X987" s="212">
        <f t="array" ref="X987">INDEX(INC_INCVALUES,$V987,$K$1)</f>
        <v>0.02</v>
      </c>
    </row>
    <row r="988" ht="15.75" customHeight="1">
      <c r="A988" s="435"/>
      <c r="B988" s="436"/>
      <c r="C988" s="95" t="str">
        <f t="array" ref="C988">IF(I988&gt;0,INDEX(DB,I988,8),"")</f>
        <v/>
      </c>
      <c r="D988" s="437">
        <f t="shared" si="1"/>
        <v>0</v>
      </c>
      <c r="F988" s="438">
        <f t="shared" si="2"/>
        <v>0</v>
      </c>
      <c r="G988" t="str">
        <f t="shared" si="3"/>
        <v/>
      </c>
      <c r="H988" t="b">
        <f t="shared" si="4"/>
        <v>0</v>
      </c>
      <c r="I988" s="439">
        <f>IF(OR(ISBLANK(A988),ISNA(MATCH(A988&amp;"",AthleteNumbers,0))),0,MATCH(A988&amp;"",AthleteNumbers,0))</f>
        <v>0</v>
      </c>
      <c r="J988" s="209">
        <f t="array" ref="J988">IF(I988&gt;0,INDEX(DB,$I988,6),0)</f>
        <v>0</v>
      </c>
      <c r="K988" s="446">
        <f t="shared" si="5"/>
        <v>0</v>
      </c>
      <c r="L988" s="446">
        <f t="shared" si="6"/>
        <v>0</v>
      </c>
      <c r="M988" s="441">
        <f>IF(L988&lt;O988,MinPoints,IF(AND(L988&gt;N988,O988&gt;0),100,+INT(($L988-O988)/P988)+MinPoints))</f>
        <v>10</v>
      </c>
      <c r="N988" s="440">
        <f t="shared" si="7"/>
        <v>4.9</v>
      </c>
      <c r="O988" s="440">
        <f t="shared" si="8"/>
        <v>2.2</v>
      </c>
      <c r="P988" s="440">
        <f t="shared" si="9"/>
        <v>0.03</v>
      </c>
      <c r="Q988">
        <f t="array" ref="Q988">IF(I988&gt;0,INDEX(DB,I988,9),EventIndex)</f>
        <v>6</v>
      </c>
      <c r="S988" s="447">
        <f t="array" ref="S988">INDEX(MINVALUES,$Q988,$K$1)</f>
        <v>2.2</v>
      </c>
      <c r="T988" s="448">
        <f t="array" ref="T988">INDEX(INCVALUES,$Q988,$K$1)</f>
        <v>0.03</v>
      </c>
      <c r="V988">
        <f t="array" ref="V988">+J988+(4*(INDEX(MatchScoreTable,$Q988,20)-1))</f>
        <v>4</v>
      </c>
      <c r="W988" s="442">
        <f t="array" ref="W988">INDEX(INC_MINVALUES,$V988,$K$1)</f>
        <v>0.2</v>
      </c>
      <c r="X988" s="212">
        <f t="array" ref="X988">INDEX(INC_INCVALUES,$V988,$K$1)</f>
        <v>0.02</v>
      </c>
    </row>
    <row r="989" ht="15.75" customHeight="1">
      <c r="A989" s="435"/>
      <c r="B989" s="436"/>
      <c r="C989" s="95" t="str">
        <f t="array" ref="C989">IF(I989&gt;0,INDEX(DB,I989,8),"")</f>
        <v/>
      </c>
      <c r="D989" s="437">
        <f t="shared" si="1"/>
        <v>0</v>
      </c>
      <c r="F989" s="438">
        <f t="shared" si="2"/>
        <v>0</v>
      </c>
      <c r="G989" t="str">
        <f t="shared" si="3"/>
        <v/>
      </c>
      <c r="H989" t="b">
        <f t="shared" si="4"/>
        <v>0</v>
      </c>
      <c r="I989" s="439">
        <f>IF(OR(ISBLANK(A989),ISNA(MATCH(A989&amp;"",AthleteNumbers,0))),0,MATCH(A989&amp;"",AthleteNumbers,0))</f>
        <v>0</v>
      </c>
      <c r="J989" s="209">
        <f t="array" ref="J989">IF(I989&gt;0,INDEX(DB,$I989,6),0)</f>
        <v>0</v>
      </c>
      <c r="K989" s="446">
        <f t="shared" si="5"/>
        <v>0</v>
      </c>
      <c r="L989" s="446">
        <f t="shared" si="6"/>
        <v>0</v>
      </c>
      <c r="M989" s="441">
        <f>IF(L989&lt;O989,MinPoints,IF(AND(L989&gt;N989,O989&gt;0),100,+INT(($L989-O989)/P989)+MinPoints))</f>
        <v>10</v>
      </c>
      <c r="N989" s="440">
        <f t="shared" si="7"/>
        <v>4.9</v>
      </c>
      <c r="O989" s="440">
        <f t="shared" si="8"/>
        <v>2.2</v>
      </c>
      <c r="P989" s="440">
        <f t="shared" si="9"/>
        <v>0.03</v>
      </c>
      <c r="Q989">
        <f t="array" ref="Q989">IF(I989&gt;0,INDEX(DB,I989,9),EventIndex)</f>
        <v>6</v>
      </c>
      <c r="S989" s="447">
        <f t="array" ref="S989">INDEX(MINVALUES,$Q989,$K$1)</f>
        <v>2.2</v>
      </c>
      <c r="T989" s="448">
        <f t="array" ref="T989">INDEX(INCVALUES,$Q989,$K$1)</f>
        <v>0.03</v>
      </c>
      <c r="V989">
        <f t="array" ref="V989">+J989+(4*(INDEX(MatchScoreTable,$Q989,20)-1))</f>
        <v>4</v>
      </c>
      <c r="W989" s="442">
        <f t="array" ref="W989">INDEX(INC_MINVALUES,$V989,$K$1)</f>
        <v>0.2</v>
      </c>
      <c r="X989" s="212">
        <f t="array" ref="X989">INDEX(INC_INCVALUES,$V989,$K$1)</f>
        <v>0.02</v>
      </c>
    </row>
    <row r="990" ht="15.75" customHeight="1">
      <c r="A990" s="435"/>
      <c r="B990" s="436"/>
      <c r="C990" s="95" t="str">
        <f t="array" ref="C990">IF(I990&gt;0,INDEX(DB,I990,8),"")</f>
        <v/>
      </c>
      <c r="D990" s="437">
        <f t="shared" si="1"/>
        <v>0</v>
      </c>
      <c r="F990" s="438">
        <f t="shared" si="2"/>
        <v>0</v>
      </c>
      <c r="G990" t="str">
        <f t="shared" si="3"/>
        <v/>
      </c>
      <c r="H990" t="b">
        <f t="shared" si="4"/>
        <v>0</v>
      </c>
      <c r="I990" s="439">
        <f>IF(OR(ISBLANK(A990),ISNA(MATCH(A990&amp;"",AthleteNumbers,0))),0,MATCH(A990&amp;"",AthleteNumbers,0))</f>
        <v>0</v>
      </c>
      <c r="J990" s="209">
        <f t="array" ref="J990">IF(I990&gt;0,INDEX(DB,$I990,6),0)</f>
        <v>0</v>
      </c>
      <c r="K990" s="446">
        <f t="shared" si="5"/>
        <v>0</v>
      </c>
      <c r="L990" s="446">
        <f t="shared" si="6"/>
        <v>0</v>
      </c>
      <c r="M990" s="441">
        <f>IF(L990&lt;O990,MinPoints,IF(AND(L990&gt;N990,O990&gt;0),100,+INT(($L990-O990)/P990)+MinPoints))</f>
        <v>10</v>
      </c>
      <c r="N990" s="440">
        <f t="shared" si="7"/>
        <v>4.9</v>
      </c>
      <c r="O990" s="440">
        <f t="shared" si="8"/>
        <v>2.2</v>
      </c>
      <c r="P990" s="440">
        <f t="shared" si="9"/>
        <v>0.03</v>
      </c>
      <c r="Q990">
        <f t="array" ref="Q990">IF(I990&gt;0,INDEX(DB,I990,9),EventIndex)</f>
        <v>6</v>
      </c>
      <c r="S990" s="447">
        <f t="array" ref="S990">INDEX(MINVALUES,$Q990,$K$1)</f>
        <v>2.2</v>
      </c>
      <c r="T990" s="448">
        <f t="array" ref="T990">INDEX(INCVALUES,$Q990,$K$1)</f>
        <v>0.03</v>
      </c>
      <c r="V990">
        <f t="array" ref="V990">+J990+(4*(INDEX(MatchScoreTable,$Q990,20)-1))</f>
        <v>4</v>
      </c>
      <c r="W990" s="442">
        <f t="array" ref="W990">INDEX(INC_MINVALUES,$V990,$K$1)</f>
        <v>0.2</v>
      </c>
      <c r="X990" s="212">
        <f t="array" ref="X990">INDEX(INC_INCVALUES,$V990,$K$1)</f>
        <v>0.02</v>
      </c>
    </row>
    <row r="991" ht="15.75" customHeight="1">
      <c r="A991" s="435"/>
      <c r="B991" s="436"/>
      <c r="C991" s="95" t="str">
        <f t="array" ref="C991">IF(I991&gt;0,INDEX(DB,I991,8),"")</f>
        <v/>
      </c>
      <c r="D991" s="437">
        <f t="shared" si="1"/>
        <v>0</v>
      </c>
      <c r="F991" s="438">
        <f t="shared" si="2"/>
        <v>0</v>
      </c>
      <c r="G991" t="str">
        <f t="shared" si="3"/>
        <v/>
      </c>
      <c r="H991" t="b">
        <f t="shared" si="4"/>
        <v>0</v>
      </c>
      <c r="I991" s="439">
        <f>IF(OR(ISBLANK(A991),ISNA(MATCH(A991&amp;"",AthleteNumbers,0))),0,MATCH(A991&amp;"",AthleteNumbers,0))</f>
        <v>0</v>
      </c>
      <c r="J991" s="209">
        <f t="array" ref="J991">IF(I991&gt;0,INDEX(DB,$I991,6),0)</f>
        <v>0</v>
      </c>
      <c r="K991" s="446">
        <f t="shared" si="5"/>
        <v>0</v>
      </c>
      <c r="L991" s="446">
        <f t="shared" si="6"/>
        <v>0</v>
      </c>
      <c r="M991" s="441">
        <f>IF(L991&lt;O991,MinPoints,IF(AND(L991&gt;N991,O991&gt;0),100,+INT(($L991-O991)/P991)+MinPoints))</f>
        <v>10</v>
      </c>
      <c r="N991" s="440">
        <f t="shared" si="7"/>
        <v>4.9</v>
      </c>
      <c r="O991" s="440">
        <f t="shared" si="8"/>
        <v>2.2</v>
      </c>
      <c r="P991" s="440">
        <f t="shared" si="9"/>
        <v>0.03</v>
      </c>
      <c r="Q991">
        <f t="array" ref="Q991">IF(I991&gt;0,INDEX(DB,I991,9),EventIndex)</f>
        <v>6</v>
      </c>
      <c r="S991" s="447">
        <f t="array" ref="S991">INDEX(MINVALUES,$Q991,$K$1)</f>
        <v>2.2</v>
      </c>
      <c r="T991" s="448">
        <f t="array" ref="T991">INDEX(INCVALUES,$Q991,$K$1)</f>
        <v>0.03</v>
      </c>
      <c r="V991">
        <f t="array" ref="V991">+J991+(4*(INDEX(MatchScoreTable,$Q991,20)-1))</f>
        <v>4</v>
      </c>
      <c r="W991" s="442">
        <f t="array" ref="W991">INDEX(INC_MINVALUES,$V991,$K$1)</f>
        <v>0.2</v>
      </c>
      <c r="X991" s="212">
        <f t="array" ref="X991">INDEX(INC_INCVALUES,$V991,$K$1)</f>
        <v>0.02</v>
      </c>
    </row>
    <row r="992" ht="15.75" customHeight="1">
      <c r="A992" s="435"/>
      <c r="B992" s="436"/>
      <c r="C992" s="95" t="str">
        <f t="array" ref="C992">IF(I992&gt;0,INDEX(DB,I992,8),"")</f>
        <v/>
      </c>
      <c r="D992" s="437">
        <f t="shared" si="1"/>
        <v>0</v>
      </c>
      <c r="F992" s="438">
        <f t="shared" si="2"/>
        <v>0</v>
      </c>
      <c r="G992" t="str">
        <f t="shared" si="3"/>
        <v/>
      </c>
      <c r="H992" t="b">
        <f t="shared" si="4"/>
        <v>0</v>
      </c>
      <c r="I992" s="439">
        <f>IF(OR(ISBLANK(A992),ISNA(MATCH(A992&amp;"",AthleteNumbers,0))),0,MATCH(A992&amp;"",AthleteNumbers,0))</f>
        <v>0</v>
      </c>
      <c r="J992" s="209">
        <f t="array" ref="J992">IF(I992&gt;0,INDEX(DB,$I992,6),0)</f>
        <v>0</v>
      </c>
      <c r="K992" s="446">
        <f t="shared" si="5"/>
        <v>0</v>
      </c>
      <c r="L992" s="446">
        <f t="shared" si="6"/>
        <v>0</v>
      </c>
      <c r="M992" s="441">
        <f>IF(L992&lt;O992,MinPoints,IF(AND(L992&gt;N992,O992&gt;0),100,+INT(($L992-O992)/P992)+MinPoints))</f>
        <v>10</v>
      </c>
      <c r="N992" s="440">
        <f t="shared" si="7"/>
        <v>4.9</v>
      </c>
      <c r="O992" s="440">
        <f t="shared" si="8"/>
        <v>2.2</v>
      </c>
      <c r="P992" s="440">
        <f t="shared" si="9"/>
        <v>0.03</v>
      </c>
      <c r="Q992">
        <f t="array" ref="Q992">IF(I992&gt;0,INDEX(DB,I992,9),EventIndex)</f>
        <v>6</v>
      </c>
      <c r="S992" s="447">
        <f t="array" ref="S992">INDEX(MINVALUES,$Q992,$K$1)</f>
        <v>2.2</v>
      </c>
      <c r="T992" s="448">
        <f t="array" ref="T992">INDEX(INCVALUES,$Q992,$K$1)</f>
        <v>0.03</v>
      </c>
      <c r="V992">
        <f t="array" ref="V992">+J992+(4*(INDEX(MatchScoreTable,$Q992,20)-1))</f>
        <v>4</v>
      </c>
      <c r="W992" s="442">
        <f t="array" ref="W992">INDEX(INC_MINVALUES,$V992,$K$1)</f>
        <v>0.2</v>
      </c>
      <c r="X992" s="212">
        <f t="array" ref="X992">INDEX(INC_INCVALUES,$V992,$K$1)</f>
        <v>0.02</v>
      </c>
    </row>
    <row r="993" ht="15.75" customHeight="1">
      <c r="A993" s="435"/>
      <c r="B993" s="436"/>
      <c r="C993" s="95" t="str">
        <f t="array" ref="C993">IF(I993&gt;0,INDEX(DB,I993,8),"")</f>
        <v/>
      </c>
      <c r="D993" s="437">
        <f t="shared" si="1"/>
        <v>0</v>
      </c>
      <c r="F993" s="438">
        <f t="shared" si="2"/>
        <v>0</v>
      </c>
      <c r="G993" t="str">
        <f t="shared" si="3"/>
        <v/>
      </c>
      <c r="H993" t="b">
        <f t="shared" si="4"/>
        <v>0</v>
      </c>
      <c r="I993" s="439">
        <f>IF(OR(ISBLANK(A993),ISNA(MATCH(A993&amp;"",AthleteNumbers,0))),0,MATCH(A993&amp;"",AthleteNumbers,0))</f>
        <v>0</v>
      </c>
      <c r="J993" s="209">
        <f t="array" ref="J993">IF(I993&gt;0,INDEX(DB,$I993,6),0)</f>
        <v>0</v>
      </c>
      <c r="K993" s="446">
        <f t="shared" si="5"/>
        <v>0</v>
      </c>
      <c r="L993" s="446">
        <f t="shared" si="6"/>
        <v>0</v>
      </c>
      <c r="M993" s="441">
        <f>IF(L993&lt;O993,MinPoints,IF(AND(L993&gt;N993,O993&gt;0),100,+INT(($L993-O993)/P993)+MinPoints))</f>
        <v>10</v>
      </c>
      <c r="N993" s="440">
        <f t="shared" si="7"/>
        <v>4.9</v>
      </c>
      <c r="O993" s="440">
        <f t="shared" si="8"/>
        <v>2.2</v>
      </c>
      <c r="P993" s="440">
        <f t="shared" si="9"/>
        <v>0.03</v>
      </c>
      <c r="Q993">
        <f t="array" ref="Q993">IF(I993&gt;0,INDEX(DB,I993,9),EventIndex)</f>
        <v>6</v>
      </c>
      <c r="S993" s="447">
        <f t="array" ref="S993">INDEX(MINVALUES,$Q993,$K$1)</f>
        <v>2.2</v>
      </c>
      <c r="T993" s="448">
        <f t="array" ref="T993">INDEX(INCVALUES,$Q993,$K$1)</f>
        <v>0.03</v>
      </c>
      <c r="V993">
        <f t="array" ref="V993">+J993+(4*(INDEX(MatchScoreTable,$Q993,20)-1))</f>
        <v>4</v>
      </c>
      <c r="W993" s="442">
        <f t="array" ref="W993">INDEX(INC_MINVALUES,$V993,$K$1)</f>
        <v>0.2</v>
      </c>
      <c r="X993" s="212">
        <f t="array" ref="X993">INDEX(INC_INCVALUES,$V993,$K$1)</f>
        <v>0.02</v>
      </c>
    </row>
    <row r="994" ht="15.75" customHeight="1">
      <c r="A994" s="435"/>
      <c r="B994" s="436"/>
      <c r="C994" s="95" t="str">
        <f t="array" ref="C994">IF(I994&gt;0,INDEX(DB,I994,8),"")</f>
        <v/>
      </c>
      <c r="D994" s="437">
        <f t="shared" si="1"/>
        <v>0</v>
      </c>
      <c r="F994" s="438">
        <f t="shared" si="2"/>
        <v>0</v>
      </c>
      <c r="G994" t="str">
        <f t="shared" si="3"/>
        <v/>
      </c>
      <c r="H994" t="b">
        <f t="shared" si="4"/>
        <v>0</v>
      </c>
      <c r="I994" s="439">
        <f>IF(OR(ISBLANK(A994),ISNA(MATCH(A994&amp;"",AthleteNumbers,0))),0,MATCH(A994&amp;"",AthleteNumbers,0))</f>
        <v>0</v>
      </c>
      <c r="J994" s="209">
        <f t="array" ref="J994">IF(I994&gt;0,INDEX(DB,$I994,6),0)</f>
        <v>0</v>
      </c>
      <c r="K994" s="446">
        <f t="shared" si="5"/>
        <v>0</v>
      </c>
      <c r="L994" s="446">
        <f t="shared" si="6"/>
        <v>0</v>
      </c>
      <c r="M994" s="441">
        <f>IF(L994&lt;O994,MinPoints,IF(AND(L994&gt;N994,O994&gt;0),100,+INT(($L994-O994)/P994)+MinPoints))</f>
        <v>10</v>
      </c>
      <c r="N994" s="440">
        <f t="shared" si="7"/>
        <v>4.9</v>
      </c>
      <c r="O994" s="440">
        <f t="shared" si="8"/>
        <v>2.2</v>
      </c>
      <c r="P994" s="440">
        <f t="shared" si="9"/>
        <v>0.03</v>
      </c>
      <c r="Q994">
        <f t="array" ref="Q994">IF(I994&gt;0,INDEX(DB,I994,9),EventIndex)</f>
        <v>6</v>
      </c>
      <c r="S994" s="447">
        <f t="array" ref="S994">INDEX(MINVALUES,$Q994,$K$1)</f>
        <v>2.2</v>
      </c>
      <c r="T994" s="448">
        <f t="array" ref="T994">INDEX(INCVALUES,$Q994,$K$1)</f>
        <v>0.03</v>
      </c>
      <c r="V994">
        <f t="array" ref="V994">+J994+(4*(INDEX(MatchScoreTable,$Q994,20)-1))</f>
        <v>4</v>
      </c>
      <c r="W994" s="442">
        <f t="array" ref="W994">INDEX(INC_MINVALUES,$V994,$K$1)</f>
        <v>0.2</v>
      </c>
      <c r="X994" s="212">
        <f t="array" ref="X994">INDEX(INC_INCVALUES,$V994,$K$1)</f>
        <v>0.02</v>
      </c>
    </row>
    <row r="995" ht="15.75" customHeight="1">
      <c r="A995" s="435"/>
      <c r="B995" s="436"/>
      <c r="C995" s="95" t="str">
        <f t="array" ref="C995">IF(I995&gt;0,INDEX(DB,I995,8),"")</f>
        <v/>
      </c>
      <c r="D995" s="437">
        <f t="shared" si="1"/>
        <v>0</v>
      </c>
      <c r="F995" s="438">
        <f t="shared" si="2"/>
        <v>0</v>
      </c>
      <c r="G995" t="str">
        <f t="shared" si="3"/>
        <v/>
      </c>
      <c r="H995" t="b">
        <f t="shared" si="4"/>
        <v>0</v>
      </c>
      <c r="I995" s="439">
        <f>IF(OR(ISBLANK(A995),ISNA(MATCH(A995&amp;"",AthleteNumbers,0))),0,MATCH(A995&amp;"",AthleteNumbers,0))</f>
        <v>0</v>
      </c>
      <c r="J995" s="209">
        <f t="array" ref="J995">IF(I995&gt;0,INDEX(DB,$I995,6),0)</f>
        <v>0</v>
      </c>
      <c r="K995" s="446">
        <f t="shared" si="5"/>
        <v>0</v>
      </c>
      <c r="L995" s="446">
        <f t="shared" si="6"/>
        <v>0</v>
      </c>
      <c r="M995" s="441">
        <f>IF(L995&lt;O995,MinPoints,IF(AND(L995&gt;N995,O995&gt;0),100,+INT(($L995-O995)/P995)+MinPoints))</f>
        <v>10</v>
      </c>
      <c r="N995" s="440">
        <f t="shared" si="7"/>
        <v>4.9</v>
      </c>
      <c r="O995" s="440">
        <f t="shared" si="8"/>
        <v>2.2</v>
      </c>
      <c r="P995" s="440">
        <f t="shared" si="9"/>
        <v>0.03</v>
      </c>
      <c r="Q995">
        <f t="array" ref="Q995">IF(I995&gt;0,INDEX(DB,I995,9),EventIndex)</f>
        <v>6</v>
      </c>
      <c r="S995" s="447">
        <f t="array" ref="S995">INDEX(MINVALUES,$Q995,$K$1)</f>
        <v>2.2</v>
      </c>
      <c r="T995" s="448">
        <f t="array" ref="T995">INDEX(INCVALUES,$Q995,$K$1)</f>
        <v>0.03</v>
      </c>
      <c r="V995">
        <f t="array" ref="V995">+J995+(4*(INDEX(MatchScoreTable,$Q995,20)-1))</f>
        <v>4</v>
      </c>
      <c r="W995" s="442">
        <f t="array" ref="W995">INDEX(INC_MINVALUES,$V995,$K$1)</f>
        <v>0.2</v>
      </c>
      <c r="X995" s="212">
        <f t="array" ref="X995">INDEX(INC_INCVALUES,$V995,$K$1)</f>
        <v>0.02</v>
      </c>
    </row>
    <row r="996" ht="15.75" customHeight="1">
      <c r="A996" s="435"/>
      <c r="B996" s="436"/>
      <c r="C996" s="95" t="str">
        <f t="array" ref="C996">IF(I996&gt;0,INDEX(DB,I996,8),"")</f>
        <v/>
      </c>
      <c r="D996" s="437">
        <f t="shared" si="1"/>
        <v>0</v>
      </c>
      <c r="F996" s="438">
        <f t="shared" si="2"/>
        <v>0</v>
      </c>
      <c r="G996" t="str">
        <f t="shared" si="3"/>
        <v/>
      </c>
      <c r="H996" t="b">
        <f t="shared" si="4"/>
        <v>0</v>
      </c>
      <c r="I996" s="439">
        <f>IF(OR(ISBLANK(A996),ISNA(MATCH(A996&amp;"",AthleteNumbers,0))),0,MATCH(A996&amp;"",AthleteNumbers,0))</f>
        <v>0</v>
      </c>
      <c r="J996" s="209">
        <f t="array" ref="J996">IF(I996&gt;0,INDEX(DB,$I996,6),0)</f>
        <v>0</v>
      </c>
      <c r="K996" s="446">
        <f t="shared" si="5"/>
        <v>0</v>
      </c>
      <c r="L996" s="446">
        <f t="shared" si="6"/>
        <v>0</v>
      </c>
      <c r="M996" s="441">
        <f>IF(L996&lt;O996,MinPoints,IF(AND(L996&gt;N996,O996&gt;0),100,+INT(($L996-O996)/P996)+MinPoints))</f>
        <v>10</v>
      </c>
      <c r="N996" s="440">
        <f t="shared" si="7"/>
        <v>4.9</v>
      </c>
      <c r="O996" s="440">
        <f t="shared" si="8"/>
        <v>2.2</v>
      </c>
      <c r="P996" s="440">
        <f t="shared" si="9"/>
        <v>0.03</v>
      </c>
      <c r="Q996">
        <f t="array" ref="Q996">IF(I996&gt;0,INDEX(DB,I996,9),EventIndex)</f>
        <v>6</v>
      </c>
      <c r="S996" s="447">
        <f t="array" ref="S996">INDEX(MINVALUES,$Q996,$K$1)</f>
        <v>2.2</v>
      </c>
      <c r="T996" s="448">
        <f t="array" ref="T996">INDEX(INCVALUES,$Q996,$K$1)</f>
        <v>0.03</v>
      </c>
      <c r="V996">
        <f t="array" ref="V996">+J996+(4*(INDEX(MatchScoreTable,$Q996,20)-1))</f>
        <v>4</v>
      </c>
      <c r="W996" s="442">
        <f t="array" ref="W996">INDEX(INC_MINVALUES,$V996,$K$1)</f>
        <v>0.2</v>
      </c>
      <c r="X996" s="212">
        <f t="array" ref="X996">INDEX(INC_INCVALUES,$V996,$K$1)</f>
        <v>0.02</v>
      </c>
    </row>
    <row r="997" ht="15.75" customHeight="1">
      <c r="A997" s="435"/>
      <c r="B997" s="436"/>
      <c r="C997" s="95" t="str">
        <f t="array" ref="C997">IF(I997&gt;0,INDEX(DB,I997,8),"")</f>
        <v/>
      </c>
      <c r="D997" s="437">
        <f t="shared" si="1"/>
        <v>0</v>
      </c>
      <c r="F997" s="438">
        <f t="shared" si="2"/>
        <v>0</v>
      </c>
      <c r="G997" t="str">
        <f t="shared" si="3"/>
        <v/>
      </c>
      <c r="H997" t="b">
        <f t="shared" si="4"/>
        <v>0</v>
      </c>
      <c r="I997" s="439">
        <f>IF(OR(ISBLANK(A997),ISNA(MATCH(A997&amp;"",AthleteNumbers,0))),0,MATCH(A997&amp;"",AthleteNumbers,0))</f>
        <v>0</v>
      </c>
      <c r="J997" s="209">
        <f t="array" ref="J997">IF(I997&gt;0,INDEX(DB,$I997,6),0)</f>
        <v>0</v>
      </c>
      <c r="K997" s="446">
        <f t="shared" si="5"/>
        <v>0</v>
      </c>
      <c r="L997" s="446">
        <f t="shared" si="6"/>
        <v>0</v>
      </c>
      <c r="M997" s="441">
        <f>IF(L997&lt;O997,MinPoints,IF(AND(L997&gt;N997,O997&gt;0),100,+INT(($L997-O997)/P997)+MinPoints))</f>
        <v>10</v>
      </c>
      <c r="N997" s="440">
        <f t="shared" si="7"/>
        <v>4.9</v>
      </c>
      <c r="O997" s="440">
        <f t="shared" si="8"/>
        <v>2.2</v>
      </c>
      <c r="P997" s="440">
        <f t="shared" si="9"/>
        <v>0.03</v>
      </c>
      <c r="Q997">
        <f t="array" ref="Q997">IF(I997&gt;0,INDEX(DB,I997,9),EventIndex)</f>
        <v>6</v>
      </c>
      <c r="S997" s="447">
        <f t="array" ref="S997">INDEX(MINVALUES,$Q997,$K$1)</f>
        <v>2.2</v>
      </c>
      <c r="T997" s="448">
        <f t="array" ref="T997">INDEX(INCVALUES,$Q997,$K$1)</f>
        <v>0.03</v>
      </c>
      <c r="V997">
        <f t="array" ref="V997">+J997+(4*(INDEX(MatchScoreTable,$Q997,20)-1))</f>
        <v>4</v>
      </c>
      <c r="W997" s="442">
        <f t="array" ref="W997">INDEX(INC_MINVALUES,$V997,$K$1)</f>
        <v>0.2</v>
      </c>
      <c r="X997" s="212">
        <f t="array" ref="X997">INDEX(INC_INCVALUES,$V997,$K$1)</f>
        <v>0.02</v>
      </c>
    </row>
    <row r="998" ht="15.75" customHeight="1">
      <c r="A998" s="435"/>
      <c r="B998" s="436"/>
      <c r="C998" s="95" t="str">
        <f t="array" ref="C998">IF(I998&gt;0,INDEX(DB,I998,8),"")</f>
        <v/>
      </c>
      <c r="D998" s="437">
        <f t="shared" si="1"/>
        <v>0</v>
      </c>
      <c r="F998" s="438">
        <f t="shared" si="2"/>
        <v>0</v>
      </c>
      <c r="G998" t="str">
        <f t="shared" si="3"/>
        <v/>
      </c>
      <c r="H998" t="b">
        <f t="shared" si="4"/>
        <v>0</v>
      </c>
      <c r="I998" s="439">
        <f>IF(OR(ISBLANK(A998),ISNA(MATCH(A998&amp;"",AthleteNumbers,0))),0,MATCH(A998&amp;"",AthleteNumbers,0))</f>
        <v>0</v>
      </c>
      <c r="J998" s="209">
        <f t="array" ref="J998">IF(I998&gt;0,INDEX(DB,$I998,6),0)</f>
        <v>0</v>
      </c>
      <c r="K998" s="446">
        <f t="shared" si="5"/>
        <v>0</v>
      </c>
      <c r="L998" s="446">
        <f t="shared" si="6"/>
        <v>0</v>
      </c>
      <c r="M998" s="441">
        <f>IF(L998&lt;O998,MinPoints,IF(AND(L998&gt;N998,O998&gt;0),100,+INT(($L998-O998)/P998)+MinPoints))</f>
        <v>10</v>
      </c>
      <c r="N998" s="440">
        <f t="shared" si="7"/>
        <v>4.9</v>
      </c>
      <c r="O998" s="440">
        <f t="shared" si="8"/>
        <v>2.2</v>
      </c>
      <c r="P998" s="440">
        <f t="shared" si="9"/>
        <v>0.03</v>
      </c>
      <c r="Q998">
        <f t="array" ref="Q998">IF(I998&gt;0,INDEX(DB,I998,9),EventIndex)</f>
        <v>6</v>
      </c>
      <c r="S998" s="447">
        <f t="array" ref="S998">INDEX(MINVALUES,$Q998,$K$1)</f>
        <v>2.2</v>
      </c>
      <c r="T998" s="448">
        <f t="array" ref="T998">INDEX(INCVALUES,$Q998,$K$1)</f>
        <v>0.03</v>
      </c>
      <c r="V998">
        <f t="array" ref="V998">+J998+(4*(INDEX(MatchScoreTable,$Q998,20)-1))</f>
        <v>4</v>
      </c>
      <c r="W998" s="442">
        <f t="array" ref="W998">INDEX(INC_MINVALUES,$V998,$K$1)</f>
        <v>0.2</v>
      </c>
      <c r="X998" s="212">
        <f t="array" ref="X998">INDEX(INC_INCVALUES,$V998,$K$1)</f>
        <v>0.02</v>
      </c>
    </row>
    <row r="999" ht="15.75" customHeight="1">
      <c r="A999" s="435"/>
      <c r="B999" s="436"/>
      <c r="C999" s="95" t="str">
        <f t="array" ref="C999">IF(I999&gt;0,INDEX(DB,I999,8),"")</f>
        <v/>
      </c>
      <c r="D999" s="437">
        <f t="shared" si="1"/>
        <v>0</v>
      </c>
      <c r="F999" s="438">
        <f t="shared" si="2"/>
        <v>0</v>
      </c>
      <c r="G999" t="str">
        <f t="shared" si="3"/>
        <v/>
      </c>
      <c r="H999" t="b">
        <f t="shared" si="4"/>
        <v>0</v>
      </c>
      <c r="I999" s="439">
        <f>IF(OR(ISBLANK(A999),ISNA(MATCH(A999&amp;"",AthleteNumbers,0))),0,MATCH(A999&amp;"",AthleteNumbers,0))</f>
        <v>0</v>
      </c>
      <c r="J999" s="209">
        <f t="array" ref="J999">IF(I999&gt;0,INDEX(DB,$I999,6),0)</f>
        <v>0</v>
      </c>
      <c r="K999" s="446">
        <f t="shared" si="5"/>
        <v>0</v>
      </c>
      <c r="L999" s="446">
        <f t="shared" si="6"/>
        <v>0</v>
      </c>
      <c r="M999" s="441">
        <f>IF(L999&lt;O999,MinPoints,IF(AND(L999&gt;N999,O999&gt;0),100,+INT(($L999-O999)/P999)+MinPoints))</f>
        <v>10</v>
      </c>
      <c r="N999" s="440">
        <f t="shared" si="7"/>
        <v>4.9</v>
      </c>
      <c r="O999" s="440">
        <f t="shared" si="8"/>
        <v>2.2</v>
      </c>
      <c r="P999" s="440">
        <f t="shared" si="9"/>
        <v>0.03</v>
      </c>
      <c r="Q999">
        <f t="array" ref="Q999">IF(I999&gt;0,INDEX(DB,I999,9),EventIndex)</f>
        <v>6</v>
      </c>
      <c r="S999" s="447">
        <f t="array" ref="S999">INDEX(MINVALUES,$Q999,$K$1)</f>
        <v>2.2</v>
      </c>
      <c r="T999" s="448">
        <f t="array" ref="T999">INDEX(INCVALUES,$Q999,$K$1)</f>
        <v>0.03</v>
      </c>
      <c r="V999">
        <f t="array" ref="V999">+J999+(4*(INDEX(MatchScoreTable,$Q999,20)-1))</f>
        <v>4</v>
      </c>
      <c r="W999" s="442">
        <f t="array" ref="W999">INDEX(INC_MINVALUES,$V999,$K$1)</f>
        <v>0.2</v>
      </c>
      <c r="X999" s="212">
        <f t="array" ref="X999">INDEX(INC_INCVALUES,$V999,$K$1)</f>
        <v>0.02</v>
      </c>
    </row>
    <row r="1000" ht="15.75" customHeight="1">
      <c r="A1000" s="435"/>
      <c r="B1000" s="436"/>
      <c r="C1000" s="95" t="str">
        <f t="array" ref="C1000">IF(I1000&gt;0,INDEX(DB,I1000,8),"")</f>
        <v/>
      </c>
      <c r="D1000" s="437">
        <f t="shared" si="1"/>
        <v>0</v>
      </c>
      <c r="F1000" s="438">
        <f t="shared" si="2"/>
        <v>0</v>
      </c>
      <c r="G1000" t="str">
        <f t="shared" si="3"/>
        <v/>
      </c>
      <c r="H1000" t="b">
        <f t="shared" si="4"/>
        <v>0</v>
      </c>
      <c r="I1000" s="439">
        <f>IF(OR(ISBLANK(A1000),ISNA(MATCH(A1000&amp;"",AthleteNumbers,0))),0,MATCH(A1000&amp;"",AthleteNumbers,0))</f>
        <v>0</v>
      </c>
      <c r="J1000" s="209">
        <f t="array" ref="J1000">IF(I1000&gt;0,INDEX(DB,$I1000,6),0)</f>
        <v>0</v>
      </c>
      <c r="K1000" s="446">
        <f t="shared" si="5"/>
        <v>0</v>
      </c>
      <c r="L1000" s="446">
        <f t="shared" si="6"/>
        <v>0</v>
      </c>
      <c r="M1000" s="441">
        <f>IF(L1000&lt;O1000,MinPoints,IF(AND(L1000&gt;N1000,O1000&gt;0),100,+INT(($L1000-O1000)/P1000)+MinPoints))</f>
        <v>10</v>
      </c>
      <c r="N1000" s="440">
        <f t="shared" si="7"/>
        <v>4.9</v>
      </c>
      <c r="O1000" s="440">
        <f t="shared" si="8"/>
        <v>2.2</v>
      </c>
      <c r="P1000" s="440">
        <f t="shared" si="9"/>
        <v>0.03</v>
      </c>
      <c r="Q1000">
        <f t="array" ref="Q1000">IF(I1000&gt;0,INDEX(DB,I1000,9),EventIndex)</f>
        <v>6</v>
      </c>
      <c r="S1000" s="447">
        <f t="array" ref="S1000">INDEX(MINVALUES,$Q1000,$K$1)</f>
        <v>2.2</v>
      </c>
      <c r="T1000" s="448">
        <f t="array" ref="T1000">INDEX(INCVALUES,$Q1000,$K$1)</f>
        <v>0.03</v>
      </c>
      <c r="V1000">
        <f t="array" ref="V1000">+J1000+(4*(INDEX(MatchScoreTable,$Q1000,20)-1))</f>
        <v>4</v>
      </c>
      <c r="W1000" s="442">
        <f t="array" ref="W1000">INDEX(INC_MINVALUES,$V1000,$K$1)</f>
        <v>0.2</v>
      </c>
      <c r="X1000" s="212">
        <f t="array" ref="X1000">INDEX(INC_INCVALUES,$V1000,$K$1)</f>
        <v>0.02</v>
      </c>
    </row>
    <row r="1001" ht="15.75" customHeight="1">
      <c r="A1001" s="435"/>
      <c r="B1001" s="436"/>
      <c r="C1001" s="95" t="str">
        <f t="array" ref="C1001">IF(I1001&gt;0,INDEX(DB,I1001,8),"")</f>
        <v/>
      </c>
      <c r="D1001" s="437">
        <f t="shared" si="1"/>
        <v>0</v>
      </c>
      <c r="F1001" s="438">
        <f t="shared" si="2"/>
        <v>0</v>
      </c>
      <c r="G1001" t="str">
        <f t="shared" si="3"/>
        <v/>
      </c>
      <c r="H1001" t="b">
        <f t="shared" si="4"/>
        <v>0</v>
      </c>
      <c r="I1001" s="439">
        <f>IF(OR(ISBLANK(A1001),ISNA(MATCH(A1001&amp;"",AthleteNumbers,0))),0,MATCH(A1001&amp;"",AthleteNumbers,0))</f>
        <v>0</v>
      </c>
      <c r="J1001" s="209">
        <f t="array" ref="J1001">IF(I1001&gt;0,INDEX(DB,$I1001,6),0)</f>
        <v>0</v>
      </c>
      <c r="K1001" s="446">
        <f t="shared" si="5"/>
        <v>0</v>
      </c>
      <c r="L1001" s="446">
        <f t="shared" si="6"/>
        <v>0</v>
      </c>
      <c r="M1001" s="441">
        <f>IF(L1001&lt;O1001,MinPoints,IF(AND(L1001&gt;N1001,O1001&gt;0),100,+INT(($L1001-O1001)/P1001)+MinPoints))</f>
        <v>10</v>
      </c>
      <c r="N1001" s="440">
        <f t="shared" si="7"/>
        <v>4.9</v>
      </c>
      <c r="O1001" s="440">
        <f t="shared" si="8"/>
        <v>2.2</v>
      </c>
      <c r="P1001" s="440">
        <f t="shared" si="9"/>
        <v>0.03</v>
      </c>
      <c r="Q1001">
        <f t="array" ref="Q1001">IF(I1001&gt;0,INDEX(DB,I1001,9),EventIndex)</f>
        <v>6</v>
      </c>
      <c r="S1001" s="447">
        <f t="array" ref="S1001">INDEX(MINVALUES,$Q1001,$K$1)</f>
        <v>2.2</v>
      </c>
      <c r="T1001" s="448">
        <f t="array" ref="T1001">INDEX(INCVALUES,$Q1001,$K$1)</f>
        <v>0.03</v>
      </c>
      <c r="V1001">
        <f t="array" ref="V1001">+J1001+(4*(INDEX(MatchScoreTable,$Q1001,20)-1))</f>
        <v>4</v>
      </c>
      <c r="W1001" s="442">
        <f t="array" ref="W1001">INDEX(INC_MINVALUES,$V1001,$K$1)</f>
        <v>0.2</v>
      </c>
      <c r="X1001" s="212">
        <f t="array" ref="X1001">INDEX(INC_INCVALUES,$V1001,$K$1)</f>
        <v>0.02</v>
      </c>
    </row>
    <row r="1002" ht="15.75" customHeight="1">
      <c r="A1002" s="449"/>
      <c r="B1002" s="450"/>
      <c r="C1002" s="95" t="str">
        <f t="array" ref="C1002">IF(I1002&gt;0,INDEX(DB,I1002,8),"")</f>
        <v/>
      </c>
      <c r="D1002" s="451">
        <f t="shared" si="1"/>
        <v>0</v>
      </c>
      <c r="F1002" s="209"/>
      <c r="J1002" s="209"/>
      <c r="L1002" s="440"/>
      <c r="O1002" s="440"/>
      <c r="P1002" s="440"/>
      <c r="Q1002" s="440"/>
    </row>
  </sheetData>
  <mergeCells count="1">
    <mergeCell ref="A1:B1"/>
  </mergeCells>
  <conditionalFormatting sqref="C3:D3">
    <cfRule type="expression" dxfId="0" priority="1">
      <formula>AND($F3&lt;=1,$G3="",$H3=TRUE)</formula>
    </cfRule>
  </conditionalFormatting>
  <conditionalFormatting sqref="C3:D3">
    <cfRule type="expression" dxfId="1" priority="2">
      <formula>$F3&gt;1</formula>
    </cfRule>
  </conditionalFormatting>
  <conditionalFormatting sqref="C3:D3">
    <cfRule type="expression" dxfId="2" priority="3">
      <formula>$G3="CHECK"</formula>
    </cfRule>
  </conditionalFormatting>
  <conditionalFormatting sqref="D4:D1001">
    <cfRule type="expression" dxfId="0" priority="4">
      <formula>AND($F4&lt;=1,$G4="",$H4=TRUE)</formula>
    </cfRule>
  </conditionalFormatting>
  <conditionalFormatting sqref="D4:D1001">
    <cfRule type="expression" dxfId="1" priority="5">
      <formula>$F4&gt;1</formula>
    </cfRule>
  </conditionalFormatting>
  <conditionalFormatting sqref="D4:D1001">
    <cfRule type="expression" dxfId="2" priority="6">
      <formula>$G4="CHECK"</formula>
    </cfRule>
  </conditionalFormatting>
  <conditionalFormatting sqref="C4:C1002">
    <cfRule type="expression" dxfId="0" priority="7">
      <formula>AND($F4&lt;=1,$G4="",$H4=TRUE)</formula>
    </cfRule>
  </conditionalFormatting>
  <conditionalFormatting sqref="C4:C1002">
    <cfRule type="expression" dxfId="1" priority="8">
      <formula>$F4&gt;1</formula>
    </cfRule>
  </conditionalFormatting>
  <conditionalFormatting sqref="C4:C1002">
    <cfRule type="expression" dxfId="2" priority="9">
      <formula>$G4="CHECK"</formula>
    </cfRule>
  </conditionalFormatting>
  <conditionalFormatting sqref="A3:A44">
    <cfRule type="expression" dxfId="0" priority="10">
      <formula>AND($F3&lt;=1,$G3="",$H3=TRUE)</formula>
    </cfRule>
  </conditionalFormatting>
  <conditionalFormatting sqref="A3:A44">
    <cfRule type="expression" dxfId="1" priority="11">
      <formula>$F3&gt;1</formula>
    </cfRule>
  </conditionalFormatting>
  <conditionalFormatting sqref="A3:A44">
    <cfRule type="expression" dxfId="2" priority="12">
      <formula>$G3="CHECK"</formula>
    </cfRule>
  </conditionalFormatting>
  <conditionalFormatting sqref="B3:B44">
    <cfRule type="expression" dxfId="0" priority="13">
      <formula>AND($F3&lt;=1,$G3="",$H3=TRUE)</formula>
    </cfRule>
  </conditionalFormatting>
  <conditionalFormatting sqref="B3:B44">
    <cfRule type="expression" dxfId="1" priority="14">
      <formula>$F3&gt;1</formula>
    </cfRule>
  </conditionalFormatting>
  <conditionalFormatting sqref="B3:B44">
    <cfRule type="expression" dxfId="2" priority="15">
      <formula>$G3="CHECK"</formula>
    </cfRule>
  </conditionalFormatting>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808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0.71"/>
    <col customWidth="1" min="2" max="2" width="12.43"/>
    <col customWidth="1" min="3" max="3" width="28.86"/>
    <col customWidth="1" min="4" max="4" width="13.86"/>
    <col customWidth="1" min="5" max="5" width="2.57"/>
    <col customWidth="1" min="6" max="6" width="10.86"/>
    <col customWidth="1" min="7" max="7" width="8.0"/>
    <col customWidth="1" hidden="1" min="8" max="14" width="9.14"/>
    <col customWidth="1" hidden="1" min="15" max="15" width="9.57"/>
    <col customWidth="1" hidden="1" min="16" max="19" width="9.14"/>
    <col customWidth="1" hidden="1" min="20" max="24" width="8.0"/>
    <col customWidth="1" min="25" max="26" width="8.0"/>
  </cols>
  <sheetData>
    <row r="1" ht="28.5" customHeight="1">
      <c r="A1" s="422" t="str">
        <f>"Event:"</f>
        <v>Event:</v>
      </c>
      <c r="C1" s="423" t="s">
        <v>34</v>
      </c>
      <c r="D1" s="209"/>
      <c r="F1" s="424">
        <f>IF(TotalAthletes,COUNTIF(D3:D1002,"&gt;0")/TotalAthletes,0)</f>
        <v>0.8701298701</v>
      </c>
      <c r="J1" s="114" t="s">
        <v>382</v>
      </c>
      <c r="K1" s="425">
        <v>4.0</v>
      </c>
      <c r="L1" s="114" t="s">
        <v>41</v>
      </c>
      <c r="M1" s="426">
        <f t="array" ref="M1">INDEX(ScoreValues,2,$K$1)</f>
        <v>5</v>
      </c>
      <c r="N1" s="114" t="s">
        <v>42</v>
      </c>
      <c r="O1" s="426">
        <f t="array" ref="O1">INDEX(ScoreValues,4,$K$1)</f>
        <v>0.5</v>
      </c>
      <c r="P1" s="114"/>
      <c r="Q1" s="114" t="s">
        <v>93</v>
      </c>
      <c r="R1" s="426">
        <f t="array" ref="R1">INDEX(ScoreValues,3,$K$1)</f>
        <v>50</v>
      </c>
    </row>
    <row r="2" ht="25.5" customHeight="1">
      <c r="A2" s="428" t="s">
        <v>384</v>
      </c>
      <c r="B2" s="429" t="s">
        <v>396</v>
      </c>
      <c r="C2" s="430" t="s">
        <v>40</v>
      </c>
      <c r="D2" s="431" t="s">
        <v>318</v>
      </c>
      <c r="F2" s="432" t="s">
        <v>386</v>
      </c>
      <c r="G2" s="433" t="s">
        <v>387</v>
      </c>
      <c r="H2" s="433" t="s">
        <v>388</v>
      </c>
      <c r="I2" s="434" t="s">
        <v>389</v>
      </c>
      <c r="J2" s="209" t="s">
        <v>390</v>
      </c>
      <c r="K2" s="209" t="s">
        <v>397</v>
      </c>
      <c r="L2" s="209" t="s">
        <v>392</v>
      </c>
      <c r="M2" s="209" t="s">
        <v>318</v>
      </c>
      <c r="N2" s="113" t="s">
        <v>93</v>
      </c>
      <c r="O2" s="113" t="s">
        <v>41</v>
      </c>
      <c r="P2" s="113" t="s">
        <v>42</v>
      </c>
      <c r="Q2" s="113" t="s">
        <v>393</v>
      </c>
      <c r="S2" s="113" t="s">
        <v>355</v>
      </c>
      <c r="T2" s="113" t="s">
        <v>73</v>
      </c>
      <c r="V2" s="113" t="s">
        <v>394</v>
      </c>
      <c r="W2" s="113" t="s">
        <v>355</v>
      </c>
      <c r="X2" s="113" t="s">
        <v>73</v>
      </c>
    </row>
    <row r="3">
      <c r="A3" s="435" t="s">
        <v>121</v>
      </c>
      <c r="B3" s="436">
        <v>13.25</v>
      </c>
      <c r="C3" s="95" t="str">
        <f t="array" ref="C3">IF(I3&gt;0,INDEX(DB,I3,8),"")</f>
        <v>Harry Adams</v>
      </c>
      <c r="D3" s="437">
        <f t="shared" ref="D3:D1002" si="1">IF(AND(H3,B3&lt;&gt;0,ISNUMBER(B3)),IF(ISERR(M3),0,M3),0)</f>
        <v>26</v>
      </c>
      <c r="F3" s="438">
        <f t="shared" ref="F3:F1001" si="2">COUNTIF(A$3:A$1002,A3)</f>
        <v>1</v>
      </c>
      <c r="G3" t="str">
        <f t="shared" ref="G3:G1001" si="3">IF(AND(H3,OR(D3&lt;=10,D3&gt;=90)),"CHECK","")</f>
        <v/>
      </c>
      <c r="H3" t="b">
        <f t="shared" ref="H3:H1001" si="4">IF(AND(I3&gt;0,LEN(C3)&gt;0,B3&lt;&gt;0),TRUE,FALSE)</f>
        <v>1</v>
      </c>
      <c r="I3" s="439">
        <f>IF(OR(ISBLANK(A3),ISNA(MATCH(A3&amp;"",AthleteNumbers,0))),0,MATCH(A3&amp;"",AthleteNumbers,0))</f>
        <v>1</v>
      </c>
      <c r="J3" s="209" t="str">
        <f t="array" ref="J3">IF(I3&gt;0,INDEX(DB,$I3,6),0)</f>
        <v/>
      </c>
      <c r="K3" s="446">
        <f t="shared" ref="K3:K1001" si="5">IF(ISNUMBER(B3),ROUND(+B3,2),0)</f>
        <v>13.25</v>
      </c>
      <c r="L3" s="446">
        <f t="shared" ref="L3:L1001" si="6">+K3</f>
        <v>13.25</v>
      </c>
      <c r="M3" s="441">
        <f>IF(L3&lt;O3,MinPoints,IF(AND(L3&gt;N3,O3&gt;0),100,+INT(($L3-O3)/P3)+MinPoints))</f>
        <v>26</v>
      </c>
      <c r="N3" s="440">
        <f t="shared" ref="N3:N1001" si="7">+O3+(P3*90)</f>
        <v>50</v>
      </c>
      <c r="O3" s="440">
        <f t="shared" ref="O3:O1001" si="8">IF($J3=0,$S3,$W3)</f>
        <v>5</v>
      </c>
      <c r="P3" s="440">
        <f t="shared" ref="P3:P1001" si="9">IF($J3=0,$T3,$X3)</f>
        <v>0.5</v>
      </c>
      <c r="Q3">
        <f t="array" ref="Q3">IF(I3&gt;0,INDEX(DB,I3,9),EventIndex)</f>
        <v>6</v>
      </c>
      <c r="S3" s="442">
        <f t="array" ref="S3">INDEX(MINVALUES,$Q3,$K$1)</f>
        <v>5</v>
      </c>
      <c r="T3">
        <f t="array" ref="T3">INDEX(INCVALUES,$Q3,$K$1)</f>
        <v>0.5</v>
      </c>
      <c r="V3">
        <f t="array" ref="V3">+J3+(4*(INDEX(MatchScoreTable,$Q3,20)-1))</f>
        <v>4</v>
      </c>
      <c r="W3" s="442">
        <f t="array" ref="W3">INDEX(INC_MINVALUES,$V3,$K$1)</f>
        <v>2.5</v>
      </c>
      <c r="X3" s="212">
        <f t="array" ref="X3">INDEX(INC_INCVALUES,$V3,$K$1)</f>
        <v>0.5</v>
      </c>
    </row>
    <row r="4">
      <c r="A4" s="435" t="s">
        <v>125</v>
      </c>
      <c r="B4" s="436">
        <v>19.11</v>
      </c>
      <c r="C4" s="95" t="str">
        <f t="array" ref="C4">IF(I4&gt;0,INDEX(DB,I4,8),"")</f>
        <v>Connor Bailey-Pierce</v>
      </c>
      <c r="D4" s="437">
        <f t="shared" si="1"/>
        <v>38</v>
      </c>
      <c r="F4" s="438">
        <f t="shared" si="2"/>
        <v>1</v>
      </c>
      <c r="G4" t="str">
        <f t="shared" si="3"/>
        <v/>
      </c>
      <c r="H4" t="b">
        <f t="shared" si="4"/>
        <v>1</v>
      </c>
      <c r="I4" s="439">
        <f>IF(OR(ISBLANK(A4),ISNA(MATCH(A4&amp;"",AthleteNumbers,0))),0,MATCH(A4&amp;"",AthleteNumbers,0))</f>
        <v>2</v>
      </c>
      <c r="J4" s="209" t="str">
        <f t="array" ref="J4">IF(I4&gt;0,INDEX(DB,$I4,6),0)</f>
        <v/>
      </c>
      <c r="K4" s="446">
        <f t="shared" si="5"/>
        <v>19.11</v>
      </c>
      <c r="L4" s="446">
        <f t="shared" si="6"/>
        <v>19.11</v>
      </c>
      <c r="M4" s="441">
        <f>IF(L4&lt;O4,MinPoints,IF(AND(L4&gt;N4,O4&gt;0),100,+INT(($L4-O4)/P4)+MinPoints))</f>
        <v>38</v>
      </c>
      <c r="N4" s="440">
        <f t="shared" si="7"/>
        <v>50</v>
      </c>
      <c r="O4" s="440">
        <f t="shared" si="8"/>
        <v>5</v>
      </c>
      <c r="P4" s="440">
        <f t="shared" si="9"/>
        <v>0.5</v>
      </c>
      <c r="Q4">
        <f t="array" ref="Q4">IF(I4&gt;0,INDEX(DB,I4,9),EventIndex)</f>
        <v>6</v>
      </c>
      <c r="S4" s="442">
        <f t="array" ref="S4">INDEX(MINVALUES,$Q4,$K$1)</f>
        <v>5</v>
      </c>
      <c r="T4">
        <f t="array" ref="T4">INDEX(INCVALUES,$Q4,$K$1)</f>
        <v>0.5</v>
      </c>
      <c r="V4">
        <f t="array" ref="V4">+J4+(4*(INDEX(MatchScoreTable,$Q4,20)-1))</f>
        <v>4</v>
      </c>
      <c r="W4" s="442">
        <f t="array" ref="W4">INDEX(INC_MINVALUES,$V4,$K$1)</f>
        <v>2.5</v>
      </c>
      <c r="X4" s="212">
        <f t="array" ref="X4">INDEX(INC_INCVALUES,$V4,$K$1)</f>
        <v>0.5</v>
      </c>
    </row>
    <row r="5">
      <c r="A5" s="435" t="s">
        <v>128</v>
      </c>
      <c r="B5" s="436">
        <v>25.55</v>
      </c>
      <c r="C5" s="95" t="str">
        <f t="array" ref="C5">IF(I5&gt;0,INDEX(DB,I5,8),"")</f>
        <v>Elouan Biwole</v>
      </c>
      <c r="D5" s="437">
        <f t="shared" si="1"/>
        <v>51</v>
      </c>
      <c r="F5" s="438">
        <f t="shared" si="2"/>
        <v>1</v>
      </c>
      <c r="G5" t="str">
        <f t="shared" si="3"/>
        <v/>
      </c>
      <c r="H5" t="b">
        <f t="shared" si="4"/>
        <v>1</v>
      </c>
      <c r="I5" s="439">
        <f>IF(OR(ISBLANK(A5),ISNA(MATCH(A5&amp;"",AthleteNumbers,0))),0,MATCH(A5&amp;"",AthleteNumbers,0))</f>
        <v>3</v>
      </c>
      <c r="J5" s="209" t="str">
        <f t="array" ref="J5">IF(I5&gt;0,INDEX(DB,$I5,6),0)</f>
        <v/>
      </c>
      <c r="K5" s="446">
        <f t="shared" si="5"/>
        <v>25.55</v>
      </c>
      <c r="L5" s="446">
        <f t="shared" si="6"/>
        <v>25.55</v>
      </c>
      <c r="M5" s="441">
        <f>IF(L5&lt;O5,MinPoints,IF(AND(L5&gt;N5,O5&gt;0),100,+INT(($L5-O5)/P5)+MinPoints))</f>
        <v>51</v>
      </c>
      <c r="N5" s="440">
        <f t="shared" si="7"/>
        <v>50</v>
      </c>
      <c r="O5" s="440">
        <f t="shared" si="8"/>
        <v>5</v>
      </c>
      <c r="P5" s="440">
        <f t="shared" si="9"/>
        <v>0.5</v>
      </c>
      <c r="Q5">
        <f t="array" ref="Q5">IF(I5&gt;0,INDEX(DB,I5,9),EventIndex)</f>
        <v>6</v>
      </c>
      <c r="S5" s="442">
        <f t="array" ref="S5">INDEX(MINVALUES,$Q5,$K$1)</f>
        <v>5</v>
      </c>
      <c r="T5">
        <f t="array" ref="T5">INDEX(INCVALUES,$Q5,$K$1)</f>
        <v>0.5</v>
      </c>
      <c r="V5">
        <f t="array" ref="V5">+J5+(4*(INDEX(MatchScoreTable,$Q5,20)-1))</f>
        <v>4</v>
      </c>
      <c r="W5" s="442">
        <f t="array" ref="W5">INDEX(INC_MINVALUES,$V5,$K$1)</f>
        <v>2.5</v>
      </c>
      <c r="X5" s="212">
        <f t="array" ref="X5">INDEX(INC_INCVALUES,$V5,$K$1)</f>
        <v>0.5</v>
      </c>
    </row>
    <row r="6">
      <c r="A6" s="435" t="s">
        <v>132</v>
      </c>
      <c r="B6" s="436">
        <v>22.98</v>
      </c>
      <c r="C6" s="95" t="str">
        <f t="array" ref="C6">IF(I6&gt;0,INDEX(DB,I6,8),"")</f>
        <v>Felix Bowyer</v>
      </c>
      <c r="D6" s="437">
        <f t="shared" si="1"/>
        <v>45</v>
      </c>
      <c r="F6" s="438">
        <f t="shared" si="2"/>
        <v>1</v>
      </c>
      <c r="G6" t="str">
        <f t="shared" si="3"/>
        <v/>
      </c>
      <c r="H6" t="b">
        <f t="shared" si="4"/>
        <v>1</v>
      </c>
      <c r="I6" s="439">
        <f>IF(OR(ISBLANK(A6),ISNA(MATCH(A6&amp;"",AthleteNumbers,0))),0,MATCH(A6&amp;"",AthleteNumbers,0))</f>
        <v>4</v>
      </c>
      <c r="J6" s="209" t="str">
        <f t="array" ref="J6">IF(I6&gt;0,INDEX(DB,$I6,6),0)</f>
        <v/>
      </c>
      <c r="K6" s="446">
        <f t="shared" si="5"/>
        <v>22.98</v>
      </c>
      <c r="L6" s="446">
        <f t="shared" si="6"/>
        <v>22.98</v>
      </c>
      <c r="M6" s="441">
        <f>IF(L6&lt;O6,MinPoints,IF(AND(L6&gt;N6,O6&gt;0),100,+INT(($L6-O6)/P6)+MinPoints))</f>
        <v>45</v>
      </c>
      <c r="N6" s="440">
        <f t="shared" si="7"/>
        <v>50</v>
      </c>
      <c r="O6" s="440">
        <f t="shared" si="8"/>
        <v>5</v>
      </c>
      <c r="P6" s="440">
        <f t="shared" si="9"/>
        <v>0.5</v>
      </c>
      <c r="Q6">
        <f t="array" ref="Q6">IF(I6&gt;0,INDEX(DB,I6,9),EventIndex)</f>
        <v>6</v>
      </c>
      <c r="S6" s="442">
        <f t="array" ref="S6">INDEX(MINVALUES,$Q6,$K$1)</f>
        <v>5</v>
      </c>
      <c r="T6">
        <f t="array" ref="T6">INDEX(INCVALUES,$Q6,$K$1)</f>
        <v>0.5</v>
      </c>
      <c r="V6">
        <f t="array" ref="V6">+J6+(4*(INDEX(MatchScoreTable,$Q6,20)-1))</f>
        <v>4</v>
      </c>
      <c r="W6" s="442">
        <f t="array" ref="W6">INDEX(INC_MINVALUES,$V6,$K$1)</f>
        <v>2.5</v>
      </c>
      <c r="X6" s="212">
        <f t="array" ref="X6">INDEX(INC_INCVALUES,$V6,$K$1)</f>
        <v>0.5</v>
      </c>
    </row>
    <row r="7">
      <c r="A7" s="435" t="s">
        <v>134</v>
      </c>
      <c r="B7" s="436">
        <v>14.09</v>
      </c>
      <c r="C7" s="95" t="str">
        <f t="array" ref="C7">IF(I7&gt;0,INDEX(DB,I7,8),"")</f>
        <v>Finlay Carvell</v>
      </c>
      <c r="D7" s="437">
        <f t="shared" si="1"/>
        <v>28</v>
      </c>
      <c r="F7" s="438">
        <f t="shared" si="2"/>
        <v>1</v>
      </c>
      <c r="G7" t="str">
        <f t="shared" si="3"/>
        <v/>
      </c>
      <c r="H7" t="b">
        <f t="shared" si="4"/>
        <v>1</v>
      </c>
      <c r="I7" s="439">
        <f>IF(OR(ISBLANK(A7),ISNA(MATCH(A7&amp;"",AthleteNumbers,0))),0,MATCH(A7&amp;"",AthleteNumbers,0))</f>
        <v>5</v>
      </c>
      <c r="J7" s="209" t="str">
        <f t="array" ref="J7">IF(I7&gt;0,INDEX(DB,$I7,6),0)</f>
        <v/>
      </c>
      <c r="K7" s="446">
        <f t="shared" si="5"/>
        <v>14.09</v>
      </c>
      <c r="L7" s="446">
        <f t="shared" si="6"/>
        <v>14.09</v>
      </c>
      <c r="M7" s="441">
        <f>IF(L7&lt;O7,MinPoints,IF(AND(L7&gt;N7,O7&gt;0),100,+INT(($L7-O7)/P7)+MinPoints))</f>
        <v>28</v>
      </c>
      <c r="N7" s="440">
        <f t="shared" si="7"/>
        <v>50</v>
      </c>
      <c r="O7" s="440">
        <f t="shared" si="8"/>
        <v>5</v>
      </c>
      <c r="P7" s="440">
        <f t="shared" si="9"/>
        <v>0.5</v>
      </c>
      <c r="Q7">
        <f t="array" ref="Q7">IF(I7&gt;0,INDEX(DB,I7,9),EventIndex)</f>
        <v>6</v>
      </c>
      <c r="S7" s="442">
        <f t="array" ref="S7">INDEX(MINVALUES,$Q7,$K$1)</f>
        <v>5</v>
      </c>
      <c r="T7">
        <f t="array" ref="T7">INDEX(INCVALUES,$Q7,$K$1)</f>
        <v>0.5</v>
      </c>
      <c r="V7">
        <f t="array" ref="V7">+J7+(4*(INDEX(MatchScoreTable,$Q7,20)-1))</f>
        <v>4</v>
      </c>
      <c r="W7" s="442">
        <f t="array" ref="W7">INDEX(INC_MINVALUES,$V7,$K$1)</f>
        <v>2.5</v>
      </c>
      <c r="X7" s="212">
        <f t="array" ref="X7">INDEX(INC_INCVALUES,$V7,$K$1)</f>
        <v>0.5</v>
      </c>
    </row>
    <row r="8">
      <c r="A8" s="435" t="s">
        <v>137</v>
      </c>
      <c r="B8" s="436">
        <v>20.03</v>
      </c>
      <c r="C8" s="95" t="str">
        <f t="array" ref="C8">IF(I8&gt;0,INDEX(DB,I8,8),"")</f>
        <v>Sam Coltman</v>
      </c>
      <c r="D8" s="437">
        <f t="shared" si="1"/>
        <v>40</v>
      </c>
      <c r="F8" s="438">
        <f t="shared" si="2"/>
        <v>1</v>
      </c>
      <c r="G8" t="str">
        <f t="shared" si="3"/>
        <v/>
      </c>
      <c r="H8" t="b">
        <f t="shared" si="4"/>
        <v>1</v>
      </c>
      <c r="I8" s="439">
        <f>IF(OR(ISBLANK(A8),ISNA(MATCH(A8&amp;"",AthleteNumbers,0))),0,MATCH(A8&amp;"",AthleteNumbers,0))</f>
        <v>6</v>
      </c>
      <c r="J8" s="209" t="str">
        <f t="array" ref="J8">IF(I8&gt;0,INDEX(DB,$I8,6),0)</f>
        <v/>
      </c>
      <c r="K8" s="446">
        <f t="shared" si="5"/>
        <v>20.03</v>
      </c>
      <c r="L8" s="446">
        <f t="shared" si="6"/>
        <v>20.03</v>
      </c>
      <c r="M8" s="441">
        <f>IF(L8&lt;O8,MinPoints,IF(AND(L8&gt;N8,O8&gt;0),100,+INT(($L8-O8)/P8)+MinPoints))</f>
        <v>40</v>
      </c>
      <c r="N8" s="440">
        <f t="shared" si="7"/>
        <v>50</v>
      </c>
      <c r="O8" s="440">
        <f t="shared" si="8"/>
        <v>5</v>
      </c>
      <c r="P8" s="440">
        <f t="shared" si="9"/>
        <v>0.5</v>
      </c>
      <c r="Q8">
        <f t="array" ref="Q8">IF(I8&gt;0,INDEX(DB,I8,9),EventIndex)</f>
        <v>6</v>
      </c>
      <c r="S8" s="442">
        <f t="array" ref="S8">INDEX(MINVALUES,$Q8,$K$1)</f>
        <v>5</v>
      </c>
      <c r="T8">
        <f t="array" ref="T8">INDEX(INCVALUES,$Q8,$K$1)</f>
        <v>0.5</v>
      </c>
      <c r="V8">
        <f t="array" ref="V8">+J8+(4*(INDEX(MatchScoreTable,$Q8,20)-1))</f>
        <v>4</v>
      </c>
      <c r="W8" s="442">
        <f t="array" ref="W8">INDEX(INC_MINVALUES,$V8,$K$1)</f>
        <v>2.5</v>
      </c>
      <c r="X8" s="212">
        <f t="array" ref="X8">INDEX(INC_INCVALUES,$V8,$K$1)</f>
        <v>0.5</v>
      </c>
    </row>
    <row r="9">
      <c r="A9" s="435" t="s">
        <v>140</v>
      </c>
      <c r="B9" s="436">
        <v>31.74</v>
      </c>
      <c r="C9" s="95" t="str">
        <f t="array" ref="C9">IF(I9&gt;0,INDEX(DB,I9,8),"")</f>
        <v>Ethan Crowley</v>
      </c>
      <c r="D9" s="437">
        <f t="shared" si="1"/>
        <v>63</v>
      </c>
      <c r="F9" s="438">
        <f t="shared" si="2"/>
        <v>1</v>
      </c>
      <c r="G9" t="str">
        <f t="shared" si="3"/>
        <v/>
      </c>
      <c r="H9" t="b">
        <f t="shared" si="4"/>
        <v>1</v>
      </c>
      <c r="I9" s="439">
        <f>IF(OR(ISBLANK(A9),ISNA(MATCH(A9&amp;"",AthleteNumbers,0))),0,MATCH(A9&amp;"",AthleteNumbers,0))</f>
        <v>7</v>
      </c>
      <c r="J9" s="209" t="str">
        <f t="array" ref="J9">IF(I9&gt;0,INDEX(DB,$I9,6),0)</f>
        <v/>
      </c>
      <c r="K9" s="446">
        <f t="shared" si="5"/>
        <v>31.74</v>
      </c>
      <c r="L9" s="446">
        <f t="shared" si="6"/>
        <v>31.74</v>
      </c>
      <c r="M9" s="441">
        <f>IF(L9&lt;O9,MinPoints,IF(AND(L9&gt;N9,O9&gt;0),100,+INT(($L9-O9)/P9)+MinPoints))</f>
        <v>63</v>
      </c>
      <c r="N9" s="440">
        <f t="shared" si="7"/>
        <v>50</v>
      </c>
      <c r="O9" s="440">
        <f t="shared" si="8"/>
        <v>5</v>
      </c>
      <c r="P9" s="440">
        <f t="shared" si="9"/>
        <v>0.5</v>
      </c>
      <c r="Q9">
        <f t="array" ref="Q9">IF(I9&gt;0,INDEX(DB,I9,9),EventIndex)</f>
        <v>6</v>
      </c>
      <c r="S9" s="442">
        <f t="array" ref="S9">INDEX(MINVALUES,$Q9,$K$1)</f>
        <v>5</v>
      </c>
      <c r="T9">
        <f t="array" ref="T9">INDEX(INCVALUES,$Q9,$K$1)</f>
        <v>0.5</v>
      </c>
      <c r="V9">
        <f t="array" ref="V9">+J9+(4*(INDEX(MatchScoreTable,$Q9,20)-1))</f>
        <v>4</v>
      </c>
      <c r="W9" s="442">
        <f t="array" ref="W9">INDEX(INC_MINVALUES,$V9,$K$1)</f>
        <v>2.5</v>
      </c>
      <c r="X9" s="212">
        <f t="array" ref="X9">INDEX(INC_INCVALUES,$V9,$K$1)</f>
        <v>0.5</v>
      </c>
    </row>
    <row r="10">
      <c r="A10" s="435" t="s">
        <v>142</v>
      </c>
      <c r="B10" s="436">
        <v>20.9</v>
      </c>
      <c r="C10" s="95" t="str">
        <f t="array" ref="C10">IF(I10&gt;0,INDEX(DB,I10,8),"")</f>
        <v>Alfie Curtis</v>
      </c>
      <c r="D10" s="437">
        <f t="shared" si="1"/>
        <v>41</v>
      </c>
      <c r="F10" s="438">
        <f t="shared" si="2"/>
        <v>1</v>
      </c>
      <c r="G10" t="str">
        <f t="shared" si="3"/>
        <v/>
      </c>
      <c r="H10" t="b">
        <f t="shared" si="4"/>
        <v>1</v>
      </c>
      <c r="I10" s="439">
        <f>IF(OR(ISBLANK(A10),ISNA(MATCH(A10&amp;"",AthleteNumbers,0))),0,MATCH(A10&amp;"",AthleteNumbers,0))</f>
        <v>8</v>
      </c>
      <c r="J10" s="209" t="str">
        <f t="array" ref="J10">IF(I10&gt;0,INDEX(DB,$I10,6),0)</f>
        <v/>
      </c>
      <c r="K10" s="446">
        <f t="shared" si="5"/>
        <v>20.9</v>
      </c>
      <c r="L10" s="446">
        <f t="shared" si="6"/>
        <v>20.9</v>
      </c>
      <c r="M10" s="441">
        <f>IF(L10&lt;O10,MinPoints,IF(AND(L10&gt;N10,O10&gt;0),100,+INT(($L10-O10)/P10)+MinPoints))</f>
        <v>41</v>
      </c>
      <c r="N10" s="440">
        <f t="shared" si="7"/>
        <v>50</v>
      </c>
      <c r="O10" s="440">
        <f t="shared" si="8"/>
        <v>5</v>
      </c>
      <c r="P10" s="440">
        <f t="shared" si="9"/>
        <v>0.5</v>
      </c>
      <c r="Q10">
        <f t="array" ref="Q10">IF(I10&gt;0,INDEX(DB,I10,9),EventIndex)</f>
        <v>6</v>
      </c>
      <c r="S10" s="442">
        <f t="array" ref="S10">INDEX(MINVALUES,$Q10,$K$1)</f>
        <v>5</v>
      </c>
      <c r="T10">
        <f t="array" ref="T10">INDEX(INCVALUES,$Q10,$K$1)</f>
        <v>0.5</v>
      </c>
      <c r="V10">
        <f t="array" ref="V10">+J10+(4*(INDEX(MatchScoreTable,$Q10,20)-1))</f>
        <v>4</v>
      </c>
      <c r="W10" s="442">
        <f t="array" ref="W10">INDEX(INC_MINVALUES,$V10,$K$1)</f>
        <v>2.5</v>
      </c>
      <c r="X10" s="212">
        <f t="array" ref="X10">INDEX(INC_INCVALUES,$V10,$K$1)</f>
        <v>0.5</v>
      </c>
    </row>
    <row r="11">
      <c r="A11" s="435" t="s">
        <v>144</v>
      </c>
      <c r="B11" s="436">
        <v>21.05</v>
      </c>
      <c r="C11" s="95" t="str">
        <f t="array" ref="C11">IF(I11&gt;0,INDEX(DB,I11,8),"")</f>
        <v>James Davie</v>
      </c>
      <c r="D11" s="437">
        <f t="shared" si="1"/>
        <v>42</v>
      </c>
      <c r="F11" s="438">
        <f t="shared" si="2"/>
        <v>1</v>
      </c>
      <c r="G11" t="str">
        <f t="shared" si="3"/>
        <v/>
      </c>
      <c r="H11" t="b">
        <f t="shared" si="4"/>
        <v>1</v>
      </c>
      <c r="I11" s="439">
        <f>IF(OR(ISBLANK(A11),ISNA(MATCH(A11&amp;"",AthleteNumbers,0))),0,MATCH(A11&amp;"",AthleteNumbers,0))</f>
        <v>9</v>
      </c>
      <c r="J11" s="209" t="str">
        <f t="array" ref="J11">IF(I11&gt;0,INDEX(DB,$I11,6),0)</f>
        <v/>
      </c>
      <c r="K11" s="446">
        <f t="shared" si="5"/>
        <v>21.05</v>
      </c>
      <c r="L11" s="446">
        <f t="shared" si="6"/>
        <v>21.05</v>
      </c>
      <c r="M11" s="441">
        <f>IF(L11&lt;O11,MinPoints,IF(AND(L11&gt;N11,O11&gt;0),100,+INT(($L11-O11)/P11)+MinPoints))</f>
        <v>42</v>
      </c>
      <c r="N11" s="440">
        <f t="shared" si="7"/>
        <v>50</v>
      </c>
      <c r="O11" s="440">
        <f t="shared" si="8"/>
        <v>5</v>
      </c>
      <c r="P11" s="440">
        <f t="shared" si="9"/>
        <v>0.5</v>
      </c>
      <c r="Q11">
        <f t="array" ref="Q11">IF(I11&gt;0,INDEX(DB,I11,9),EventIndex)</f>
        <v>6</v>
      </c>
      <c r="S11" s="442">
        <f t="array" ref="S11">INDEX(MINVALUES,$Q11,$K$1)</f>
        <v>5</v>
      </c>
      <c r="T11">
        <f t="array" ref="T11">INDEX(INCVALUES,$Q11,$K$1)</f>
        <v>0.5</v>
      </c>
      <c r="V11">
        <f t="array" ref="V11">+J11+(4*(INDEX(MatchScoreTable,$Q11,20)-1))</f>
        <v>4</v>
      </c>
      <c r="W11" s="442">
        <f t="array" ref="W11">INDEX(INC_MINVALUES,$V11,$K$1)</f>
        <v>2.5</v>
      </c>
      <c r="X11" s="212">
        <f t="array" ref="X11">INDEX(INC_INCVALUES,$V11,$K$1)</f>
        <v>0.5</v>
      </c>
    </row>
    <row r="12">
      <c r="A12" s="435" t="s">
        <v>146</v>
      </c>
      <c r="B12" s="436">
        <v>22.95</v>
      </c>
      <c r="C12" s="95" t="str">
        <f t="array" ref="C12">IF(I12&gt;0,INDEX(DB,I12,8),"")</f>
        <v>Ethan Dolman</v>
      </c>
      <c r="D12" s="437">
        <f t="shared" si="1"/>
        <v>45</v>
      </c>
      <c r="F12" s="438">
        <f t="shared" si="2"/>
        <v>1</v>
      </c>
      <c r="G12" t="str">
        <f t="shared" si="3"/>
        <v/>
      </c>
      <c r="H12" t="b">
        <f t="shared" si="4"/>
        <v>1</v>
      </c>
      <c r="I12" s="439">
        <f>IF(OR(ISBLANK(A12),ISNA(MATCH(A12&amp;"",AthleteNumbers,0))),0,MATCH(A12&amp;"",AthleteNumbers,0))</f>
        <v>10</v>
      </c>
      <c r="J12" s="209" t="str">
        <f t="array" ref="J12">IF(I12&gt;0,INDEX(DB,$I12,6),0)</f>
        <v/>
      </c>
      <c r="K12" s="446">
        <f t="shared" si="5"/>
        <v>22.95</v>
      </c>
      <c r="L12" s="446">
        <f t="shared" si="6"/>
        <v>22.95</v>
      </c>
      <c r="M12" s="441">
        <f>IF(L12&lt;O12,MinPoints,IF(AND(L12&gt;N12,O12&gt;0),100,+INT(($L12-O12)/P12)+MinPoints))</f>
        <v>45</v>
      </c>
      <c r="N12" s="440">
        <f t="shared" si="7"/>
        <v>50</v>
      </c>
      <c r="O12" s="440">
        <f t="shared" si="8"/>
        <v>5</v>
      </c>
      <c r="P12" s="440">
        <f t="shared" si="9"/>
        <v>0.5</v>
      </c>
      <c r="Q12">
        <f t="array" ref="Q12">IF(I12&gt;0,INDEX(DB,I12,9),EventIndex)</f>
        <v>6</v>
      </c>
      <c r="S12" s="442">
        <f t="array" ref="S12">INDEX(MINVALUES,$Q12,$K$1)</f>
        <v>5</v>
      </c>
      <c r="T12">
        <f t="array" ref="T12">INDEX(INCVALUES,$Q12,$K$1)</f>
        <v>0.5</v>
      </c>
      <c r="V12">
        <f t="array" ref="V12">+J12+(4*(INDEX(MatchScoreTable,$Q12,20)-1))</f>
        <v>4</v>
      </c>
      <c r="W12" s="442">
        <f t="array" ref="W12">INDEX(INC_MINVALUES,$V12,$K$1)</f>
        <v>2.5</v>
      </c>
      <c r="X12" s="212">
        <f t="array" ref="X12">INDEX(INC_INCVALUES,$V12,$K$1)</f>
        <v>0.5</v>
      </c>
    </row>
    <row r="13">
      <c r="A13" s="435" t="s">
        <v>148</v>
      </c>
      <c r="B13" s="436">
        <v>20.48</v>
      </c>
      <c r="C13" s="95" t="str">
        <f t="array" ref="C13">IF(I13&gt;0,INDEX(DB,I13,8),"")</f>
        <v>Hugo English</v>
      </c>
      <c r="D13" s="437">
        <f t="shared" si="1"/>
        <v>40</v>
      </c>
      <c r="F13" s="438">
        <f t="shared" si="2"/>
        <v>1</v>
      </c>
      <c r="G13" t="str">
        <f t="shared" si="3"/>
        <v/>
      </c>
      <c r="H13" t="b">
        <f t="shared" si="4"/>
        <v>1</v>
      </c>
      <c r="I13" s="439">
        <f>IF(OR(ISBLANK(A13),ISNA(MATCH(A13&amp;"",AthleteNumbers,0))),0,MATCH(A13&amp;"",AthleteNumbers,0))</f>
        <v>11</v>
      </c>
      <c r="J13" s="209" t="str">
        <f t="array" ref="J13">IF(I13&gt;0,INDEX(DB,$I13,6),0)</f>
        <v/>
      </c>
      <c r="K13" s="446">
        <f t="shared" si="5"/>
        <v>20.48</v>
      </c>
      <c r="L13" s="446">
        <f t="shared" si="6"/>
        <v>20.48</v>
      </c>
      <c r="M13" s="441">
        <f>IF(L13&lt;O13,MinPoints,IF(AND(L13&gt;N13,O13&gt;0),100,+INT(($L13-O13)/P13)+MinPoints))</f>
        <v>40</v>
      </c>
      <c r="N13" s="440">
        <f t="shared" si="7"/>
        <v>50</v>
      </c>
      <c r="O13" s="440">
        <f t="shared" si="8"/>
        <v>5</v>
      </c>
      <c r="P13" s="440">
        <f t="shared" si="9"/>
        <v>0.5</v>
      </c>
      <c r="Q13">
        <f t="array" ref="Q13">IF(I13&gt;0,INDEX(DB,I13,9),EventIndex)</f>
        <v>6</v>
      </c>
      <c r="S13" s="442">
        <f t="array" ref="S13">INDEX(MINVALUES,$Q13,$K$1)</f>
        <v>5</v>
      </c>
      <c r="T13">
        <f t="array" ref="T13">INDEX(INCVALUES,$Q13,$K$1)</f>
        <v>0.5</v>
      </c>
      <c r="V13">
        <f t="array" ref="V13">+J13+(4*(INDEX(MatchScoreTable,$Q13,20)-1))</f>
        <v>4</v>
      </c>
      <c r="W13" s="442">
        <f t="array" ref="W13">INDEX(INC_MINVALUES,$V13,$K$1)</f>
        <v>2.5</v>
      </c>
      <c r="X13" s="212">
        <f t="array" ref="X13">INDEX(INC_INCVALUES,$V13,$K$1)</f>
        <v>0.5</v>
      </c>
    </row>
    <row r="14">
      <c r="A14" s="435" t="s">
        <v>151</v>
      </c>
      <c r="B14" s="436">
        <v>19.26</v>
      </c>
      <c r="C14" s="95" t="str">
        <f t="array" ref="C14">IF(I14&gt;0,INDEX(DB,I14,8),"")</f>
        <v>Jude Fisher</v>
      </c>
      <c r="D14" s="437">
        <f t="shared" si="1"/>
        <v>38</v>
      </c>
      <c r="F14" s="438">
        <f t="shared" si="2"/>
        <v>1</v>
      </c>
      <c r="G14" t="str">
        <f t="shared" si="3"/>
        <v/>
      </c>
      <c r="H14" t="b">
        <f t="shared" si="4"/>
        <v>1</v>
      </c>
      <c r="I14" s="439">
        <f>IF(OR(ISBLANK(A14),ISNA(MATCH(A14&amp;"",AthleteNumbers,0))),0,MATCH(A14&amp;"",AthleteNumbers,0))</f>
        <v>12</v>
      </c>
      <c r="J14" s="209" t="str">
        <f t="array" ref="J14">IF(I14&gt;0,INDEX(DB,$I14,6),0)</f>
        <v/>
      </c>
      <c r="K14" s="446">
        <f t="shared" si="5"/>
        <v>19.26</v>
      </c>
      <c r="L14" s="446">
        <f t="shared" si="6"/>
        <v>19.26</v>
      </c>
      <c r="M14" s="441">
        <f>IF(L14&lt;O14,MinPoints,IF(AND(L14&gt;N14,O14&gt;0),100,+INT(($L14-O14)/P14)+MinPoints))</f>
        <v>38</v>
      </c>
      <c r="N14" s="440">
        <f t="shared" si="7"/>
        <v>50</v>
      </c>
      <c r="O14" s="440">
        <f t="shared" si="8"/>
        <v>5</v>
      </c>
      <c r="P14" s="440">
        <f t="shared" si="9"/>
        <v>0.5</v>
      </c>
      <c r="Q14">
        <f t="array" ref="Q14">IF(I14&gt;0,INDEX(DB,I14,9),EventIndex)</f>
        <v>6</v>
      </c>
      <c r="S14" s="442">
        <f t="array" ref="S14">INDEX(MINVALUES,$Q14,$K$1)</f>
        <v>5</v>
      </c>
      <c r="T14">
        <f t="array" ref="T14">INDEX(INCVALUES,$Q14,$K$1)</f>
        <v>0.5</v>
      </c>
      <c r="V14">
        <f t="array" ref="V14">+J14+(4*(INDEX(MatchScoreTable,$Q14,20)-1))</f>
        <v>4</v>
      </c>
      <c r="W14" s="442">
        <f t="array" ref="W14">INDEX(INC_MINVALUES,$V14,$K$1)</f>
        <v>2.5</v>
      </c>
      <c r="X14" s="212">
        <f t="array" ref="X14">INDEX(INC_INCVALUES,$V14,$K$1)</f>
        <v>0.5</v>
      </c>
    </row>
    <row r="15">
      <c r="A15" s="435" t="s">
        <v>153</v>
      </c>
      <c r="B15" s="436">
        <v>18.74</v>
      </c>
      <c r="C15" s="95" t="str">
        <f t="array" ref="C15">IF(I15&gt;0,INDEX(DB,I15,8),"")</f>
        <v>Toby Fry</v>
      </c>
      <c r="D15" s="437">
        <f t="shared" si="1"/>
        <v>37</v>
      </c>
      <c r="F15" s="438">
        <f t="shared" si="2"/>
        <v>1</v>
      </c>
      <c r="G15" t="str">
        <f t="shared" si="3"/>
        <v/>
      </c>
      <c r="H15" t="b">
        <f t="shared" si="4"/>
        <v>1</v>
      </c>
      <c r="I15" s="439">
        <f>IF(OR(ISBLANK(A15),ISNA(MATCH(A15&amp;"",AthleteNumbers,0))),0,MATCH(A15&amp;"",AthleteNumbers,0))</f>
        <v>13</v>
      </c>
      <c r="J15" s="209" t="str">
        <f t="array" ref="J15">IF(I15&gt;0,INDEX(DB,$I15,6),0)</f>
        <v/>
      </c>
      <c r="K15" s="446">
        <f t="shared" si="5"/>
        <v>18.74</v>
      </c>
      <c r="L15" s="446">
        <f t="shared" si="6"/>
        <v>18.74</v>
      </c>
      <c r="M15" s="441">
        <f>IF(L15&lt;O15,MinPoints,IF(AND(L15&gt;N15,O15&gt;0),100,+INT(($L15-O15)/P15)+MinPoints))</f>
        <v>37</v>
      </c>
      <c r="N15" s="440">
        <f t="shared" si="7"/>
        <v>50</v>
      </c>
      <c r="O15" s="440">
        <f t="shared" si="8"/>
        <v>5</v>
      </c>
      <c r="P15" s="440">
        <f t="shared" si="9"/>
        <v>0.5</v>
      </c>
      <c r="Q15">
        <f t="array" ref="Q15">IF(I15&gt;0,INDEX(DB,I15,9),EventIndex)</f>
        <v>6</v>
      </c>
      <c r="S15" s="442">
        <f t="array" ref="S15">INDEX(MINVALUES,$Q15,$K$1)</f>
        <v>5</v>
      </c>
      <c r="T15">
        <f t="array" ref="T15">INDEX(INCVALUES,$Q15,$K$1)</f>
        <v>0.5</v>
      </c>
      <c r="V15">
        <f t="array" ref="V15">+J15+(4*(INDEX(MatchScoreTable,$Q15,20)-1))</f>
        <v>4</v>
      </c>
      <c r="W15" s="442">
        <f t="array" ref="W15">INDEX(INC_MINVALUES,$V15,$K$1)</f>
        <v>2.5</v>
      </c>
      <c r="X15" s="212">
        <f t="array" ref="X15">INDEX(INC_INCVALUES,$V15,$K$1)</f>
        <v>0.5</v>
      </c>
    </row>
    <row r="16">
      <c r="A16" s="435" t="s">
        <v>155</v>
      </c>
      <c r="B16" s="436">
        <v>18.49</v>
      </c>
      <c r="C16" s="95" t="str">
        <f t="array" ref="C16">IF(I16&gt;0,INDEX(DB,I16,8),"")</f>
        <v>Tom Fry</v>
      </c>
      <c r="D16" s="437">
        <f t="shared" si="1"/>
        <v>36</v>
      </c>
      <c r="F16" s="438">
        <f t="shared" si="2"/>
        <v>1</v>
      </c>
      <c r="G16" t="str">
        <f t="shared" si="3"/>
        <v/>
      </c>
      <c r="H16" t="b">
        <f t="shared" si="4"/>
        <v>1</v>
      </c>
      <c r="I16" s="439">
        <f>IF(OR(ISBLANK(A16),ISNA(MATCH(A16&amp;"",AthleteNumbers,0))),0,MATCH(A16&amp;"",AthleteNumbers,0))</f>
        <v>14</v>
      </c>
      <c r="J16" s="209" t="str">
        <f t="array" ref="J16">IF(I16&gt;0,INDEX(DB,$I16,6),0)</f>
        <v/>
      </c>
      <c r="K16" s="446">
        <f t="shared" si="5"/>
        <v>18.49</v>
      </c>
      <c r="L16" s="446">
        <f t="shared" si="6"/>
        <v>18.49</v>
      </c>
      <c r="M16" s="441">
        <f>IF(L16&lt;O16,MinPoints,IF(AND(L16&gt;N16,O16&gt;0),100,+INT(($L16-O16)/P16)+MinPoints))</f>
        <v>36</v>
      </c>
      <c r="N16" s="440">
        <f t="shared" si="7"/>
        <v>50</v>
      </c>
      <c r="O16" s="440">
        <f t="shared" si="8"/>
        <v>5</v>
      </c>
      <c r="P16" s="440">
        <f t="shared" si="9"/>
        <v>0.5</v>
      </c>
      <c r="Q16">
        <f t="array" ref="Q16">IF(I16&gt;0,INDEX(DB,I16,9),EventIndex)</f>
        <v>6</v>
      </c>
      <c r="S16" s="442">
        <f t="array" ref="S16">INDEX(MINVALUES,$Q16,$K$1)</f>
        <v>5</v>
      </c>
      <c r="T16">
        <f t="array" ref="T16">INDEX(INCVALUES,$Q16,$K$1)</f>
        <v>0.5</v>
      </c>
      <c r="V16">
        <f t="array" ref="V16">+J16+(4*(INDEX(MatchScoreTable,$Q16,20)-1))</f>
        <v>4</v>
      </c>
      <c r="W16" s="442">
        <f t="array" ref="W16">INDEX(INC_MINVALUES,$V16,$K$1)</f>
        <v>2.5</v>
      </c>
      <c r="X16" s="212">
        <f t="array" ref="X16">INDEX(INC_INCVALUES,$V16,$K$1)</f>
        <v>0.5</v>
      </c>
    </row>
    <row r="17">
      <c r="A17" s="435" t="s">
        <v>158</v>
      </c>
      <c r="B17" s="436">
        <v>19.27</v>
      </c>
      <c r="C17" s="95" t="str">
        <f t="array" ref="C17">IF(I17&gt;0,INDEX(DB,I17,8),"")</f>
        <v>Jake Goddard</v>
      </c>
      <c r="D17" s="437">
        <f t="shared" si="1"/>
        <v>38</v>
      </c>
      <c r="F17" s="438">
        <f t="shared" si="2"/>
        <v>1</v>
      </c>
      <c r="G17" t="str">
        <f t="shared" si="3"/>
        <v/>
      </c>
      <c r="H17" t="b">
        <f t="shared" si="4"/>
        <v>1</v>
      </c>
      <c r="I17" s="439">
        <f>IF(OR(ISBLANK(A17),ISNA(MATCH(A17&amp;"",AthleteNumbers,0))),0,MATCH(A17&amp;"",AthleteNumbers,0))</f>
        <v>15</v>
      </c>
      <c r="J17" s="209" t="str">
        <f t="array" ref="J17">IF(I17&gt;0,INDEX(DB,$I17,6),0)</f>
        <v/>
      </c>
      <c r="K17" s="446">
        <f t="shared" si="5"/>
        <v>19.27</v>
      </c>
      <c r="L17" s="446">
        <f t="shared" si="6"/>
        <v>19.27</v>
      </c>
      <c r="M17" s="441">
        <f>IF(L17&lt;O17,MinPoints,IF(AND(L17&gt;N17,O17&gt;0),100,+INT(($L17-O17)/P17)+MinPoints))</f>
        <v>38</v>
      </c>
      <c r="N17" s="440">
        <f t="shared" si="7"/>
        <v>50</v>
      </c>
      <c r="O17" s="440">
        <f t="shared" si="8"/>
        <v>5</v>
      </c>
      <c r="P17" s="440">
        <f t="shared" si="9"/>
        <v>0.5</v>
      </c>
      <c r="Q17">
        <f t="array" ref="Q17">IF(I17&gt;0,INDEX(DB,I17,9),EventIndex)</f>
        <v>6</v>
      </c>
      <c r="S17" s="442">
        <f t="array" ref="S17">INDEX(MINVALUES,$Q17,$K$1)</f>
        <v>5</v>
      </c>
      <c r="T17">
        <f t="array" ref="T17">INDEX(INCVALUES,$Q17,$K$1)</f>
        <v>0.5</v>
      </c>
      <c r="V17">
        <f t="array" ref="V17">+J17+(4*(INDEX(MatchScoreTable,$Q17,20)-1))</f>
        <v>4</v>
      </c>
      <c r="W17" s="442">
        <f t="array" ref="W17">INDEX(INC_MINVALUES,$V17,$K$1)</f>
        <v>2.5</v>
      </c>
      <c r="X17" s="212">
        <f t="array" ref="X17">INDEX(INC_INCVALUES,$V17,$K$1)</f>
        <v>0.5</v>
      </c>
    </row>
    <row r="18">
      <c r="A18" s="435" t="s">
        <v>160</v>
      </c>
      <c r="B18" s="436">
        <v>20.21</v>
      </c>
      <c r="C18" s="95" t="str">
        <f t="array" ref="C18">IF(I18&gt;0,INDEX(DB,I18,8),"")</f>
        <v>Jacob Green</v>
      </c>
      <c r="D18" s="437">
        <f t="shared" si="1"/>
        <v>40</v>
      </c>
      <c r="F18" s="438">
        <f t="shared" si="2"/>
        <v>1</v>
      </c>
      <c r="G18" t="str">
        <f t="shared" si="3"/>
        <v/>
      </c>
      <c r="H18" t="b">
        <f t="shared" si="4"/>
        <v>1</v>
      </c>
      <c r="I18" s="439">
        <f>IF(OR(ISBLANK(A18),ISNA(MATCH(A18&amp;"",AthleteNumbers,0))),0,MATCH(A18&amp;"",AthleteNumbers,0))</f>
        <v>16</v>
      </c>
      <c r="J18" s="209" t="str">
        <f t="array" ref="J18">IF(I18&gt;0,INDEX(DB,$I18,6),0)</f>
        <v/>
      </c>
      <c r="K18" s="446">
        <f t="shared" si="5"/>
        <v>20.21</v>
      </c>
      <c r="L18" s="446">
        <f t="shared" si="6"/>
        <v>20.21</v>
      </c>
      <c r="M18" s="441">
        <f>IF(L18&lt;O18,MinPoints,IF(AND(L18&gt;N18,O18&gt;0),100,+INT(($L18-O18)/P18)+MinPoints))</f>
        <v>40</v>
      </c>
      <c r="N18" s="440">
        <f t="shared" si="7"/>
        <v>50</v>
      </c>
      <c r="O18" s="440">
        <f t="shared" si="8"/>
        <v>5</v>
      </c>
      <c r="P18" s="440">
        <f t="shared" si="9"/>
        <v>0.5</v>
      </c>
      <c r="Q18">
        <f t="array" ref="Q18">IF(I18&gt;0,INDEX(DB,I18,9),EventIndex)</f>
        <v>6</v>
      </c>
      <c r="S18" s="442">
        <f t="array" ref="S18">INDEX(MINVALUES,$Q18,$K$1)</f>
        <v>5</v>
      </c>
      <c r="T18">
        <f t="array" ref="T18">INDEX(INCVALUES,$Q18,$K$1)</f>
        <v>0.5</v>
      </c>
      <c r="V18">
        <f t="array" ref="V18">+J18+(4*(INDEX(MatchScoreTable,$Q18,20)-1))</f>
        <v>4</v>
      </c>
      <c r="W18" s="442">
        <f t="array" ref="W18">INDEX(INC_MINVALUES,$V18,$K$1)</f>
        <v>2.5</v>
      </c>
      <c r="X18" s="212">
        <f t="array" ref="X18">INDEX(INC_INCVALUES,$V18,$K$1)</f>
        <v>0.5</v>
      </c>
    </row>
    <row r="19">
      <c r="A19" s="435"/>
      <c r="B19" s="436"/>
      <c r="C19" s="95" t="str">
        <f t="array" ref="C19">IF(I19&gt;0,INDEX(DB,I19,8),"")</f>
        <v/>
      </c>
      <c r="D19" s="437">
        <f t="shared" si="1"/>
        <v>0</v>
      </c>
      <c r="F19" s="438">
        <f t="shared" si="2"/>
        <v>0</v>
      </c>
      <c r="G19" t="str">
        <f t="shared" si="3"/>
        <v/>
      </c>
      <c r="H19" t="b">
        <f t="shared" si="4"/>
        <v>0</v>
      </c>
      <c r="I19" s="439">
        <f>IF(OR(ISBLANK(A19),ISNA(MATCH(A19&amp;"",AthleteNumbers,0))),0,MATCH(A19&amp;"",AthleteNumbers,0))</f>
        <v>0</v>
      </c>
      <c r="J19" s="209">
        <f t="array" ref="J19">IF(I19&gt;0,INDEX(DB,$I19,6),0)</f>
        <v>0</v>
      </c>
      <c r="K19" s="446">
        <f t="shared" si="5"/>
        <v>0</v>
      </c>
      <c r="L19" s="446">
        <f t="shared" si="6"/>
        <v>0</v>
      </c>
      <c r="M19" s="441">
        <f>IF(L19&lt;O19,MinPoints,IF(AND(L19&gt;N19,O19&gt;0),100,+INT(($L19-O19)/P19)+MinPoints))</f>
        <v>10</v>
      </c>
      <c r="N19" s="440">
        <f t="shared" si="7"/>
        <v>50</v>
      </c>
      <c r="O19" s="440">
        <f t="shared" si="8"/>
        <v>5</v>
      </c>
      <c r="P19" s="440">
        <f t="shared" si="9"/>
        <v>0.5</v>
      </c>
      <c r="Q19">
        <f t="array" ref="Q19">IF(I19&gt;0,INDEX(DB,I19,9),EventIndex)</f>
        <v>6</v>
      </c>
      <c r="S19" s="442">
        <f t="array" ref="S19">INDEX(MINVALUES,$Q19,$K$1)</f>
        <v>5</v>
      </c>
      <c r="T19">
        <f t="array" ref="T19">INDEX(INCVALUES,$Q19,$K$1)</f>
        <v>0.5</v>
      </c>
      <c r="V19">
        <f t="array" ref="V19">+J19+(4*(INDEX(MatchScoreTable,$Q19,20)-1))</f>
        <v>4</v>
      </c>
      <c r="W19" s="442">
        <f t="array" ref="W19">INDEX(INC_MINVALUES,$V19,$K$1)</f>
        <v>2.5</v>
      </c>
      <c r="X19" s="212">
        <f t="array" ref="X19">INDEX(INC_INCVALUES,$V19,$K$1)</f>
        <v>0.5</v>
      </c>
    </row>
    <row r="20">
      <c r="A20" s="435" t="s">
        <v>165</v>
      </c>
      <c r="B20" s="436">
        <v>28.2</v>
      </c>
      <c r="C20" s="95" t="str">
        <f t="array" ref="C20">IF(I20&gt;0,INDEX(DB,I20,8),"")</f>
        <v>William Launder</v>
      </c>
      <c r="D20" s="437">
        <f t="shared" si="1"/>
        <v>56</v>
      </c>
      <c r="F20" s="438">
        <f t="shared" si="2"/>
        <v>1</v>
      </c>
      <c r="G20" t="str">
        <f t="shared" si="3"/>
        <v/>
      </c>
      <c r="H20" t="b">
        <f t="shared" si="4"/>
        <v>1</v>
      </c>
      <c r="I20" s="439">
        <f>IF(OR(ISBLANK(A20),ISNA(MATCH(A20&amp;"",AthleteNumbers,0))),0,MATCH(A20&amp;"",AthleteNumbers,0))</f>
        <v>18</v>
      </c>
      <c r="J20" s="209" t="str">
        <f t="array" ref="J20">IF(I20&gt;0,INDEX(DB,$I20,6),0)</f>
        <v/>
      </c>
      <c r="K20" s="446">
        <f t="shared" si="5"/>
        <v>28.2</v>
      </c>
      <c r="L20" s="446">
        <f t="shared" si="6"/>
        <v>28.2</v>
      </c>
      <c r="M20" s="441">
        <f>IF(L20&lt;O20,MinPoints,IF(AND(L20&gt;N20,O20&gt;0),100,+INT(($L20-O20)/P20)+MinPoints))</f>
        <v>56</v>
      </c>
      <c r="N20" s="440">
        <f t="shared" si="7"/>
        <v>50</v>
      </c>
      <c r="O20" s="440">
        <f t="shared" si="8"/>
        <v>5</v>
      </c>
      <c r="P20" s="440">
        <f t="shared" si="9"/>
        <v>0.5</v>
      </c>
      <c r="Q20">
        <f t="array" ref="Q20">IF(I20&gt;0,INDEX(DB,I20,9),EventIndex)</f>
        <v>6</v>
      </c>
      <c r="S20" s="442">
        <f t="array" ref="S20">INDEX(MINVALUES,$Q20,$K$1)</f>
        <v>5</v>
      </c>
      <c r="T20">
        <f t="array" ref="T20">INDEX(INCVALUES,$Q20,$K$1)</f>
        <v>0.5</v>
      </c>
      <c r="V20">
        <f t="array" ref="V20">+J20+(4*(INDEX(MatchScoreTable,$Q20,20)-1))</f>
        <v>4</v>
      </c>
      <c r="W20" s="442">
        <f t="array" ref="W20">INDEX(INC_MINVALUES,$V20,$K$1)</f>
        <v>2.5</v>
      </c>
      <c r="X20" s="212">
        <f t="array" ref="X20">INDEX(INC_INCVALUES,$V20,$K$1)</f>
        <v>0.5</v>
      </c>
    </row>
    <row r="21" ht="15.75" customHeight="1">
      <c r="A21" s="435" t="s">
        <v>167</v>
      </c>
      <c r="B21" s="436">
        <v>11.75</v>
      </c>
      <c r="C21" s="95" t="str">
        <f t="array" ref="C21">IF(I21&gt;0,INDEX(DB,I21,8),"")</f>
        <v>Marvin Marshall</v>
      </c>
      <c r="D21" s="437">
        <f t="shared" si="1"/>
        <v>23</v>
      </c>
      <c r="F21" s="438">
        <f t="shared" si="2"/>
        <v>1</v>
      </c>
      <c r="G21" t="str">
        <f t="shared" si="3"/>
        <v/>
      </c>
      <c r="H21" t="b">
        <f t="shared" si="4"/>
        <v>1</v>
      </c>
      <c r="I21" s="439">
        <f>IF(OR(ISBLANK(A21),ISNA(MATCH(A21&amp;"",AthleteNumbers,0))),0,MATCH(A21&amp;"",AthleteNumbers,0))</f>
        <v>19</v>
      </c>
      <c r="J21" s="209" t="str">
        <f t="array" ref="J21">IF(I21&gt;0,INDEX(DB,$I21,6),0)</f>
        <v/>
      </c>
      <c r="K21" s="446">
        <f t="shared" si="5"/>
        <v>11.75</v>
      </c>
      <c r="L21" s="446">
        <f t="shared" si="6"/>
        <v>11.75</v>
      </c>
      <c r="M21" s="441">
        <f>IF(L21&lt;O21,MinPoints,IF(AND(L21&gt;N21,O21&gt;0),100,+INT(($L21-O21)/P21)+MinPoints))</f>
        <v>23</v>
      </c>
      <c r="N21" s="440">
        <f t="shared" si="7"/>
        <v>50</v>
      </c>
      <c r="O21" s="440">
        <f t="shared" si="8"/>
        <v>5</v>
      </c>
      <c r="P21" s="440">
        <f t="shared" si="9"/>
        <v>0.5</v>
      </c>
      <c r="Q21">
        <f t="array" ref="Q21">IF(I21&gt;0,INDEX(DB,I21,9),EventIndex)</f>
        <v>6</v>
      </c>
      <c r="S21" s="442">
        <f t="array" ref="S21">INDEX(MINVALUES,$Q21,$K$1)</f>
        <v>5</v>
      </c>
      <c r="T21">
        <f t="array" ref="T21">INDEX(INCVALUES,$Q21,$K$1)</f>
        <v>0.5</v>
      </c>
      <c r="V21">
        <f t="array" ref="V21">+J21+(4*(INDEX(MatchScoreTable,$Q21,20)-1))</f>
        <v>4</v>
      </c>
      <c r="W21" s="442">
        <f t="array" ref="W21">INDEX(INC_MINVALUES,$V21,$K$1)</f>
        <v>2.5</v>
      </c>
      <c r="X21" s="212">
        <f t="array" ref="X21">INDEX(INC_INCVALUES,$V21,$K$1)</f>
        <v>0.5</v>
      </c>
    </row>
    <row r="22" ht="15.75" customHeight="1">
      <c r="A22" s="435" t="s">
        <v>169</v>
      </c>
      <c r="B22" s="436">
        <v>19.63</v>
      </c>
      <c r="C22" s="95" t="str">
        <f t="array" ref="C22">IF(I22&gt;0,INDEX(DB,I22,8),"")</f>
        <v>Ciaran Merrett</v>
      </c>
      <c r="D22" s="437">
        <f t="shared" si="1"/>
        <v>39</v>
      </c>
      <c r="F22" s="438">
        <f t="shared" si="2"/>
        <v>1</v>
      </c>
      <c r="G22" t="str">
        <f t="shared" si="3"/>
        <v/>
      </c>
      <c r="H22" t="b">
        <f t="shared" si="4"/>
        <v>1</v>
      </c>
      <c r="I22" s="439">
        <f>IF(OR(ISBLANK(A22),ISNA(MATCH(A22&amp;"",AthleteNumbers,0))),0,MATCH(A22&amp;"",AthleteNumbers,0))</f>
        <v>20</v>
      </c>
      <c r="J22" s="209" t="str">
        <f t="array" ref="J22">IF(I22&gt;0,INDEX(DB,$I22,6),0)</f>
        <v/>
      </c>
      <c r="K22" s="446">
        <f t="shared" si="5"/>
        <v>19.63</v>
      </c>
      <c r="L22" s="446">
        <f t="shared" si="6"/>
        <v>19.63</v>
      </c>
      <c r="M22" s="441">
        <f>IF(L22&lt;O22,MinPoints,IF(AND(L22&gt;N22,O22&gt;0),100,+INT(($L22-O22)/P22)+MinPoints))</f>
        <v>39</v>
      </c>
      <c r="N22" s="440">
        <f t="shared" si="7"/>
        <v>50</v>
      </c>
      <c r="O22" s="440">
        <f t="shared" si="8"/>
        <v>5</v>
      </c>
      <c r="P22" s="440">
        <f t="shared" si="9"/>
        <v>0.5</v>
      </c>
      <c r="Q22">
        <f t="array" ref="Q22">IF(I22&gt;0,INDEX(DB,I22,9),EventIndex)</f>
        <v>6</v>
      </c>
      <c r="S22" s="442">
        <f t="array" ref="S22">INDEX(MINVALUES,$Q22,$K$1)</f>
        <v>5</v>
      </c>
      <c r="T22">
        <f t="array" ref="T22">INDEX(INCVALUES,$Q22,$K$1)</f>
        <v>0.5</v>
      </c>
      <c r="V22">
        <f t="array" ref="V22">+J22+(4*(INDEX(MatchScoreTable,$Q22,20)-1))</f>
        <v>4</v>
      </c>
      <c r="W22" s="442">
        <f t="array" ref="W22">INDEX(INC_MINVALUES,$V22,$K$1)</f>
        <v>2.5</v>
      </c>
      <c r="X22" s="212">
        <f t="array" ref="X22">INDEX(INC_INCVALUES,$V22,$K$1)</f>
        <v>0.5</v>
      </c>
    </row>
    <row r="23" ht="15.75" customHeight="1">
      <c r="A23" s="435" t="s">
        <v>174</v>
      </c>
      <c r="B23" s="436">
        <v>15.12</v>
      </c>
      <c r="C23" s="95" t="str">
        <f t="array" ref="C23">IF(I23&gt;0,INDEX(DB,I23,8),"")</f>
        <v>Rufus Parsons</v>
      </c>
      <c r="D23" s="437">
        <f t="shared" si="1"/>
        <v>30</v>
      </c>
      <c r="F23" s="438">
        <f t="shared" si="2"/>
        <v>1</v>
      </c>
      <c r="G23" t="str">
        <f t="shared" si="3"/>
        <v/>
      </c>
      <c r="H23" t="b">
        <f t="shared" si="4"/>
        <v>1</v>
      </c>
      <c r="I23" s="439">
        <f>IF(OR(ISBLANK(A23),ISNA(MATCH(A23&amp;"",AthleteNumbers,0))),0,MATCH(A23&amp;"",AthleteNumbers,0))</f>
        <v>22</v>
      </c>
      <c r="J23" s="209" t="str">
        <f t="array" ref="J23">IF(I23&gt;0,INDEX(DB,$I23,6),0)</f>
        <v/>
      </c>
      <c r="K23" s="446">
        <f t="shared" si="5"/>
        <v>15.12</v>
      </c>
      <c r="L23" s="446">
        <f t="shared" si="6"/>
        <v>15.12</v>
      </c>
      <c r="M23" s="441">
        <f>IF(L23&lt;O23,MinPoints,IF(AND(L23&gt;N23,O23&gt;0),100,+INT(($L23-O23)/P23)+MinPoints))</f>
        <v>30</v>
      </c>
      <c r="N23" s="440">
        <f t="shared" si="7"/>
        <v>50</v>
      </c>
      <c r="O23" s="440">
        <f t="shared" si="8"/>
        <v>5</v>
      </c>
      <c r="P23" s="440">
        <f t="shared" si="9"/>
        <v>0.5</v>
      </c>
      <c r="Q23">
        <f t="array" ref="Q23">IF(I23&gt;0,INDEX(DB,I23,9),EventIndex)</f>
        <v>6</v>
      </c>
      <c r="S23" s="442">
        <f t="array" ref="S23">INDEX(MINVALUES,$Q23,$K$1)</f>
        <v>5</v>
      </c>
      <c r="T23">
        <f t="array" ref="T23">INDEX(INCVALUES,$Q23,$K$1)</f>
        <v>0.5</v>
      </c>
      <c r="V23">
        <f t="array" ref="V23">+J23+(4*(INDEX(MatchScoreTable,$Q23,20)-1))</f>
        <v>4</v>
      </c>
      <c r="W23" s="442">
        <f t="array" ref="W23">INDEX(INC_MINVALUES,$V23,$K$1)</f>
        <v>2.5</v>
      </c>
      <c r="X23" s="212">
        <f t="array" ref="X23">INDEX(INC_INCVALUES,$V23,$K$1)</f>
        <v>0.5</v>
      </c>
    </row>
    <row r="24" ht="15.75" customHeight="1">
      <c r="A24" s="435" t="s">
        <v>176</v>
      </c>
      <c r="B24" s="436">
        <v>26.4</v>
      </c>
      <c r="C24" s="95" t="str">
        <f t="array" ref="C24">IF(I24&gt;0,INDEX(DB,I24,8),"")</f>
        <v>Charlie Peters</v>
      </c>
      <c r="D24" s="437">
        <f t="shared" si="1"/>
        <v>52</v>
      </c>
      <c r="F24" s="438">
        <f t="shared" si="2"/>
        <v>1</v>
      </c>
      <c r="G24" t="str">
        <f t="shared" si="3"/>
        <v/>
      </c>
      <c r="H24" t="b">
        <f t="shared" si="4"/>
        <v>1</v>
      </c>
      <c r="I24" s="439">
        <f>IF(OR(ISBLANK(A24),ISNA(MATCH(A24&amp;"",AthleteNumbers,0))),0,MATCH(A24&amp;"",AthleteNumbers,0))</f>
        <v>23</v>
      </c>
      <c r="J24" s="209" t="str">
        <f t="array" ref="J24">IF(I24&gt;0,INDEX(DB,$I24,6),0)</f>
        <v/>
      </c>
      <c r="K24" s="446">
        <f t="shared" si="5"/>
        <v>26.4</v>
      </c>
      <c r="L24" s="446">
        <f t="shared" si="6"/>
        <v>26.4</v>
      </c>
      <c r="M24" s="441">
        <f>IF(L24&lt;O24,MinPoints,IF(AND(L24&gt;N24,O24&gt;0),100,+INT(($L24-O24)/P24)+MinPoints))</f>
        <v>52</v>
      </c>
      <c r="N24" s="440">
        <f t="shared" si="7"/>
        <v>50</v>
      </c>
      <c r="O24" s="440">
        <f t="shared" si="8"/>
        <v>5</v>
      </c>
      <c r="P24" s="440">
        <f t="shared" si="9"/>
        <v>0.5</v>
      </c>
      <c r="Q24">
        <f t="array" ref="Q24">IF(I24&gt;0,INDEX(DB,I24,9),EventIndex)</f>
        <v>6</v>
      </c>
      <c r="S24" s="442">
        <f t="array" ref="S24">INDEX(MINVALUES,$Q24,$K$1)</f>
        <v>5</v>
      </c>
      <c r="T24">
        <f t="array" ref="T24">INDEX(INCVALUES,$Q24,$K$1)</f>
        <v>0.5</v>
      </c>
      <c r="V24">
        <f t="array" ref="V24">+J24+(4*(INDEX(MatchScoreTable,$Q24,20)-1))</f>
        <v>4</v>
      </c>
      <c r="W24" s="442">
        <f t="array" ref="W24">INDEX(INC_MINVALUES,$V24,$K$1)</f>
        <v>2.5</v>
      </c>
      <c r="X24" s="212">
        <f t="array" ref="X24">INDEX(INC_INCVALUES,$V24,$K$1)</f>
        <v>0.5</v>
      </c>
    </row>
    <row r="25" ht="15.75" customHeight="1">
      <c r="A25" s="435" t="s">
        <v>178</v>
      </c>
      <c r="B25" s="436">
        <v>9.45</v>
      </c>
      <c r="C25" s="95" t="str">
        <f t="array" ref="C25">IF(I25&gt;0,INDEX(DB,I25,8),"")</f>
        <v>Elijah Robbins</v>
      </c>
      <c r="D25" s="437">
        <f t="shared" si="1"/>
        <v>18</v>
      </c>
      <c r="F25" s="438">
        <f t="shared" si="2"/>
        <v>1</v>
      </c>
      <c r="G25" t="str">
        <f t="shared" si="3"/>
        <v/>
      </c>
      <c r="H25" t="b">
        <f t="shared" si="4"/>
        <v>1</v>
      </c>
      <c r="I25" s="439">
        <f>IF(OR(ISBLANK(A25),ISNA(MATCH(A25&amp;"",AthleteNumbers,0))),0,MATCH(A25&amp;"",AthleteNumbers,0))</f>
        <v>24</v>
      </c>
      <c r="J25" s="209" t="str">
        <f t="array" ref="J25">IF(I25&gt;0,INDEX(DB,$I25,6),0)</f>
        <v/>
      </c>
      <c r="K25" s="446">
        <f t="shared" si="5"/>
        <v>9.45</v>
      </c>
      <c r="L25" s="446">
        <f t="shared" si="6"/>
        <v>9.45</v>
      </c>
      <c r="M25" s="441">
        <f>IF(L25&lt;O25,MinPoints,IF(AND(L25&gt;N25,O25&gt;0),100,+INT(($L25-O25)/P25)+MinPoints))</f>
        <v>18</v>
      </c>
      <c r="N25" s="440">
        <f t="shared" si="7"/>
        <v>50</v>
      </c>
      <c r="O25" s="440">
        <f t="shared" si="8"/>
        <v>5</v>
      </c>
      <c r="P25" s="440">
        <f t="shared" si="9"/>
        <v>0.5</v>
      </c>
      <c r="Q25">
        <f t="array" ref="Q25">IF(I25&gt;0,INDEX(DB,I25,9),EventIndex)</f>
        <v>6</v>
      </c>
      <c r="S25" s="442">
        <f t="array" ref="S25">INDEX(MINVALUES,$Q25,$K$1)</f>
        <v>5</v>
      </c>
      <c r="T25">
        <f t="array" ref="T25">INDEX(INCVALUES,$Q25,$K$1)</f>
        <v>0.5</v>
      </c>
      <c r="V25">
        <f t="array" ref="V25">+J25+(4*(INDEX(MatchScoreTable,$Q25,20)-1))</f>
        <v>4</v>
      </c>
      <c r="W25" s="442">
        <f t="array" ref="W25">INDEX(INC_MINVALUES,$V25,$K$1)</f>
        <v>2.5</v>
      </c>
      <c r="X25" s="212">
        <f t="array" ref="X25">INDEX(INC_INCVALUES,$V25,$K$1)</f>
        <v>0.5</v>
      </c>
    </row>
    <row r="26" ht="15.75" customHeight="1">
      <c r="A26" s="435" t="s">
        <v>180</v>
      </c>
      <c r="B26" s="436">
        <v>17.07</v>
      </c>
      <c r="C26" s="95" t="str">
        <f t="array" ref="C26">IF(I26&gt;0,INDEX(DB,I26,8),"")</f>
        <v>Oscar Robertson</v>
      </c>
      <c r="D26" s="437">
        <f t="shared" si="1"/>
        <v>34</v>
      </c>
      <c r="F26" s="438">
        <f t="shared" si="2"/>
        <v>1</v>
      </c>
      <c r="G26" t="str">
        <f t="shared" si="3"/>
        <v/>
      </c>
      <c r="H26" t="b">
        <f t="shared" si="4"/>
        <v>1</v>
      </c>
      <c r="I26" s="439">
        <f>IF(OR(ISBLANK(A26),ISNA(MATCH(A26&amp;"",AthleteNumbers,0))),0,MATCH(A26&amp;"",AthleteNumbers,0))</f>
        <v>25</v>
      </c>
      <c r="J26" s="209" t="str">
        <f t="array" ref="J26">IF(I26&gt;0,INDEX(DB,$I26,6),0)</f>
        <v/>
      </c>
      <c r="K26" s="446">
        <f t="shared" si="5"/>
        <v>17.07</v>
      </c>
      <c r="L26" s="446">
        <f t="shared" si="6"/>
        <v>17.07</v>
      </c>
      <c r="M26" s="441">
        <f>IF(L26&lt;O26,MinPoints,IF(AND(L26&gt;N26,O26&gt;0),100,+INT(($L26-O26)/P26)+MinPoints))</f>
        <v>34</v>
      </c>
      <c r="N26" s="440">
        <f t="shared" si="7"/>
        <v>50</v>
      </c>
      <c r="O26" s="440">
        <f t="shared" si="8"/>
        <v>5</v>
      </c>
      <c r="P26" s="440">
        <f t="shared" si="9"/>
        <v>0.5</v>
      </c>
      <c r="Q26">
        <f t="array" ref="Q26">IF(I26&gt;0,INDEX(DB,I26,9),EventIndex)</f>
        <v>6</v>
      </c>
      <c r="S26" s="442">
        <f t="array" ref="S26">INDEX(MINVALUES,$Q26,$K$1)</f>
        <v>5</v>
      </c>
      <c r="T26">
        <f t="array" ref="T26">INDEX(INCVALUES,$Q26,$K$1)</f>
        <v>0.5</v>
      </c>
      <c r="V26">
        <f t="array" ref="V26">+J26+(4*(INDEX(MatchScoreTable,$Q26,20)-1))</f>
        <v>4</v>
      </c>
      <c r="W26" s="442">
        <f t="array" ref="W26">INDEX(INC_MINVALUES,$V26,$K$1)</f>
        <v>2.5</v>
      </c>
      <c r="X26" s="212">
        <f t="array" ref="X26">INDEX(INC_INCVALUES,$V26,$K$1)</f>
        <v>0.5</v>
      </c>
    </row>
    <row r="27" ht="15.75" customHeight="1">
      <c r="A27" s="435" t="s">
        <v>182</v>
      </c>
      <c r="B27" s="436">
        <v>17.85</v>
      </c>
      <c r="C27" s="95" t="str">
        <f t="array" ref="C27">IF(I27&gt;0,INDEX(DB,I27,8),"")</f>
        <v>Jake Selwood</v>
      </c>
      <c r="D27" s="437">
        <f t="shared" si="1"/>
        <v>35</v>
      </c>
      <c r="F27" s="438">
        <f t="shared" si="2"/>
        <v>1</v>
      </c>
      <c r="G27" t="str">
        <f t="shared" si="3"/>
        <v/>
      </c>
      <c r="H27" t="b">
        <f t="shared" si="4"/>
        <v>1</v>
      </c>
      <c r="I27" s="439">
        <f>IF(OR(ISBLANK(A27),ISNA(MATCH(A27&amp;"",AthleteNumbers,0))),0,MATCH(A27&amp;"",AthleteNumbers,0))</f>
        <v>26</v>
      </c>
      <c r="J27" s="209" t="str">
        <f t="array" ref="J27">IF(I27&gt;0,INDEX(DB,$I27,6),0)</f>
        <v/>
      </c>
      <c r="K27" s="446">
        <f t="shared" si="5"/>
        <v>17.85</v>
      </c>
      <c r="L27" s="446">
        <f t="shared" si="6"/>
        <v>17.85</v>
      </c>
      <c r="M27" s="441">
        <f>IF(L27&lt;O27,MinPoints,IF(AND(L27&gt;N27,O27&gt;0),100,+INT(($L27-O27)/P27)+MinPoints))</f>
        <v>35</v>
      </c>
      <c r="N27" s="440">
        <f t="shared" si="7"/>
        <v>50</v>
      </c>
      <c r="O27" s="440">
        <f t="shared" si="8"/>
        <v>5</v>
      </c>
      <c r="P27" s="440">
        <f t="shared" si="9"/>
        <v>0.5</v>
      </c>
      <c r="Q27">
        <f t="array" ref="Q27">IF(I27&gt;0,INDEX(DB,I27,9),EventIndex)</f>
        <v>6</v>
      </c>
      <c r="S27" s="442">
        <f t="array" ref="S27">INDEX(MINVALUES,$Q27,$K$1)</f>
        <v>5</v>
      </c>
      <c r="T27">
        <f t="array" ref="T27">INDEX(INCVALUES,$Q27,$K$1)</f>
        <v>0.5</v>
      </c>
      <c r="V27">
        <f t="array" ref="V27">+J27+(4*(INDEX(MatchScoreTable,$Q27,20)-1))</f>
        <v>4</v>
      </c>
      <c r="W27" s="442">
        <f t="array" ref="W27">INDEX(INC_MINVALUES,$V27,$K$1)</f>
        <v>2.5</v>
      </c>
      <c r="X27" s="212">
        <f t="array" ref="X27">INDEX(INC_INCVALUES,$V27,$K$1)</f>
        <v>0.5</v>
      </c>
    </row>
    <row r="28" ht="15.75" customHeight="1">
      <c r="A28" s="435" t="s">
        <v>184</v>
      </c>
      <c r="B28" s="436">
        <v>17.37</v>
      </c>
      <c r="C28" s="95" t="str">
        <f t="array" ref="C28">IF(I28&gt;0,INDEX(DB,I28,8),"")</f>
        <v>Liam Sharp</v>
      </c>
      <c r="D28" s="437">
        <f t="shared" si="1"/>
        <v>34</v>
      </c>
      <c r="F28" s="438">
        <f t="shared" si="2"/>
        <v>1</v>
      </c>
      <c r="G28" t="str">
        <f t="shared" si="3"/>
        <v/>
      </c>
      <c r="H28" t="b">
        <f t="shared" si="4"/>
        <v>1</v>
      </c>
      <c r="I28" s="439">
        <f>IF(OR(ISBLANK(A28),ISNA(MATCH(A28&amp;"",AthleteNumbers,0))),0,MATCH(A28&amp;"",AthleteNumbers,0))</f>
        <v>27</v>
      </c>
      <c r="J28" s="209" t="str">
        <f t="array" ref="J28">IF(I28&gt;0,INDEX(DB,$I28,6),0)</f>
        <v/>
      </c>
      <c r="K28" s="446">
        <f t="shared" si="5"/>
        <v>17.37</v>
      </c>
      <c r="L28" s="446">
        <f t="shared" si="6"/>
        <v>17.37</v>
      </c>
      <c r="M28" s="441">
        <f>IF(L28&lt;O28,MinPoints,IF(AND(L28&gt;N28,O28&gt;0),100,+INT(($L28-O28)/P28)+MinPoints))</f>
        <v>34</v>
      </c>
      <c r="N28" s="440">
        <f t="shared" si="7"/>
        <v>50</v>
      </c>
      <c r="O28" s="440">
        <f t="shared" si="8"/>
        <v>5</v>
      </c>
      <c r="P28" s="440">
        <f t="shared" si="9"/>
        <v>0.5</v>
      </c>
      <c r="Q28">
        <f t="array" ref="Q28">IF(I28&gt;0,INDEX(DB,I28,9),EventIndex)</f>
        <v>6</v>
      </c>
      <c r="S28" s="442">
        <f t="array" ref="S28">INDEX(MINVALUES,$Q28,$K$1)</f>
        <v>5</v>
      </c>
      <c r="T28">
        <f t="array" ref="T28">INDEX(INCVALUES,$Q28,$K$1)</f>
        <v>0.5</v>
      </c>
      <c r="V28">
        <f t="array" ref="V28">+J28+(4*(INDEX(MatchScoreTable,$Q28,20)-1))</f>
        <v>4</v>
      </c>
      <c r="W28" s="442">
        <f t="array" ref="W28">INDEX(INC_MINVALUES,$V28,$K$1)</f>
        <v>2.5</v>
      </c>
      <c r="X28" s="212">
        <f t="array" ref="X28">INDEX(INC_INCVALUES,$V28,$K$1)</f>
        <v>0.5</v>
      </c>
    </row>
    <row r="29" ht="15.75" customHeight="1">
      <c r="A29" s="435" t="s">
        <v>186</v>
      </c>
      <c r="B29" s="436">
        <v>22.42</v>
      </c>
      <c r="C29" s="95" t="str">
        <f t="array" ref="C29">IF(I29&gt;0,INDEX(DB,I29,8),"")</f>
        <v>Joshua Smith</v>
      </c>
      <c r="D29" s="437">
        <f t="shared" si="1"/>
        <v>44</v>
      </c>
      <c r="F29" s="438">
        <f t="shared" si="2"/>
        <v>1</v>
      </c>
      <c r="G29" t="str">
        <f t="shared" si="3"/>
        <v/>
      </c>
      <c r="H29" t="b">
        <f t="shared" si="4"/>
        <v>1</v>
      </c>
      <c r="I29" s="439">
        <f>IF(OR(ISBLANK(A29),ISNA(MATCH(A29&amp;"",AthleteNumbers,0))),0,MATCH(A29&amp;"",AthleteNumbers,0))</f>
        <v>28</v>
      </c>
      <c r="J29" s="209" t="str">
        <f t="array" ref="J29">IF(I29&gt;0,INDEX(DB,$I29,6),0)</f>
        <v/>
      </c>
      <c r="K29" s="446">
        <f t="shared" si="5"/>
        <v>22.42</v>
      </c>
      <c r="L29" s="446">
        <f t="shared" si="6"/>
        <v>22.42</v>
      </c>
      <c r="M29" s="441">
        <f>IF(L29&lt;O29,MinPoints,IF(AND(L29&gt;N29,O29&gt;0),100,+INT(($L29-O29)/P29)+MinPoints))</f>
        <v>44</v>
      </c>
      <c r="N29" s="440">
        <f t="shared" si="7"/>
        <v>50</v>
      </c>
      <c r="O29" s="440">
        <f t="shared" si="8"/>
        <v>5</v>
      </c>
      <c r="P29" s="440">
        <f t="shared" si="9"/>
        <v>0.5</v>
      </c>
      <c r="Q29">
        <f t="array" ref="Q29">IF(I29&gt;0,INDEX(DB,I29,9),EventIndex)</f>
        <v>6</v>
      </c>
      <c r="S29" s="442">
        <f t="array" ref="S29">INDEX(MINVALUES,$Q29,$K$1)</f>
        <v>5</v>
      </c>
      <c r="T29">
        <f t="array" ref="T29">INDEX(INCVALUES,$Q29,$K$1)</f>
        <v>0.5</v>
      </c>
      <c r="V29">
        <f t="array" ref="V29">+J29+(4*(INDEX(MatchScoreTable,$Q29,20)-1))</f>
        <v>4</v>
      </c>
      <c r="W29" s="442">
        <f t="array" ref="W29">INDEX(INC_MINVALUES,$V29,$K$1)</f>
        <v>2.5</v>
      </c>
      <c r="X29" s="212">
        <f t="array" ref="X29">INDEX(INC_INCVALUES,$V29,$K$1)</f>
        <v>0.5</v>
      </c>
    </row>
    <row r="30" ht="15.75" customHeight="1">
      <c r="A30" s="435" t="s">
        <v>188</v>
      </c>
      <c r="B30" s="436">
        <v>27.3</v>
      </c>
      <c r="C30" s="95" t="str">
        <f t="array" ref="C30">IF(I30&gt;0,INDEX(DB,I30,8),"")</f>
        <v>Leo Thomasson</v>
      </c>
      <c r="D30" s="437">
        <f t="shared" si="1"/>
        <v>54</v>
      </c>
      <c r="F30" s="438">
        <f t="shared" si="2"/>
        <v>1</v>
      </c>
      <c r="G30" t="str">
        <f t="shared" si="3"/>
        <v/>
      </c>
      <c r="H30" t="b">
        <f t="shared" si="4"/>
        <v>1</v>
      </c>
      <c r="I30" s="439">
        <f>IF(OR(ISBLANK(A30),ISNA(MATCH(A30&amp;"",AthleteNumbers,0))),0,MATCH(A30&amp;"",AthleteNumbers,0))</f>
        <v>29</v>
      </c>
      <c r="J30" s="209" t="str">
        <f t="array" ref="J30">IF(I30&gt;0,INDEX(DB,$I30,6),0)</f>
        <v/>
      </c>
      <c r="K30" s="446">
        <f t="shared" si="5"/>
        <v>27.3</v>
      </c>
      <c r="L30" s="446">
        <f t="shared" si="6"/>
        <v>27.3</v>
      </c>
      <c r="M30" s="441">
        <f>IF(L30&lt;O30,MinPoints,IF(AND(L30&gt;N30,O30&gt;0),100,+INT(($L30-O30)/P30)+MinPoints))</f>
        <v>54</v>
      </c>
      <c r="N30" s="440">
        <f t="shared" si="7"/>
        <v>50</v>
      </c>
      <c r="O30" s="440">
        <f t="shared" si="8"/>
        <v>5</v>
      </c>
      <c r="P30" s="440">
        <f t="shared" si="9"/>
        <v>0.5</v>
      </c>
      <c r="Q30">
        <f t="array" ref="Q30">IF(I30&gt;0,INDEX(DB,I30,9),EventIndex)</f>
        <v>6</v>
      </c>
      <c r="S30" s="442">
        <f t="array" ref="S30">INDEX(MINVALUES,$Q30,$K$1)</f>
        <v>5</v>
      </c>
      <c r="T30">
        <f t="array" ref="T30">INDEX(INCVALUES,$Q30,$K$1)</f>
        <v>0.5</v>
      </c>
      <c r="V30">
        <f t="array" ref="V30">+J30+(4*(INDEX(MatchScoreTable,$Q30,20)-1))</f>
        <v>4</v>
      </c>
      <c r="W30" s="442">
        <f t="array" ref="W30">INDEX(INC_MINVALUES,$V30,$K$1)</f>
        <v>2.5</v>
      </c>
      <c r="X30" s="212">
        <f t="array" ref="X30">INDEX(INC_INCVALUES,$V30,$K$1)</f>
        <v>0.5</v>
      </c>
    </row>
    <row r="31" ht="15.75" customHeight="1">
      <c r="A31" s="435" t="s">
        <v>190</v>
      </c>
      <c r="B31" s="436">
        <v>26.25</v>
      </c>
      <c r="C31" s="95" t="str">
        <f t="array" ref="C31">IF(I31&gt;0,INDEX(DB,I31,8),"")</f>
        <v>Harley Vincent</v>
      </c>
      <c r="D31" s="437">
        <f t="shared" si="1"/>
        <v>52</v>
      </c>
      <c r="F31" s="438">
        <f t="shared" si="2"/>
        <v>1</v>
      </c>
      <c r="G31" t="str">
        <f t="shared" si="3"/>
        <v/>
      </c>
      <c r="H31" t="b">
        <f t="shared" si="4"/>
        <v>1</v>
      </c>
      <c r="I31" s="439">
        <f>IF(OR(ISBLANK(A31),ISNA(MATCH(A31&amp;"",AthleteNumbers,0))),0,MATCH(A31&amp;"",AthleteNumbers,0))</f>
        <v>30</v>
      </c>
      <c r="J31" s="209" t="str">
        <f t="array" ref="J31">IF(I31&gt;0,INDEX(DB,$I31,6),0)</f>
        <v/>
      </c>
      <c r="K31" s="446">
        <f t="shared" si="5"/>
        <v>26.25</v>
      </c>
      <c r="L31" s="446">
        <f t="shared" si="6"/>
        <v>26.25</v>
      </c>
      <c r="M31" s="441">
        <f>IF(L31&lt;O31,MinPoints,IF(AND(L31&gt;N31,O31&gt;0),100,+INT(($L31-O31)/P31)+MinPoints))</f>
        <v>52</v>
      </c>
      <c r="N31" s="440">
        <f t="shared" si="7"/>
        <v>50</v>
      </c>
      <c r="O31" s="440">
        <f t="shared" si="8"/>
        <v>5</v>
      </c>
      <c r="P31" s="440">
        <f t="shared" si="9"/>
        <v>0.5</v>
      </c>
      <c r="Q31">
        <f t="array" ref="Q31">IF(I31&gt;0,INDEX(DB,I31,9),EventIndex)</f>
        <v>6</v>
      </c>
      <c r="S31" s="442">
        <f t="array" ref="S31">INDEX(MINVALUES,$Q31,$K$1)</f>
        <v>5</v>
      </c>
      <c r="T31">
        <f t="array" ref="T31">INDEX(INCVALUES,$Q31,$K$1)</f>
        <v>0.5</v>
      </c>
      <c r="V31">
        <f t="array" ref="V31">+J31+(4*(INDEX(MatchScoreTable,$Q31,20)-1))</f>
        <v>4</v>
      </c>
      <c r="W31" s="442">
        <f t="array" ref="W31">INDEX(INC_MINVALUES,$V31,$K$1)</f>
        <v>2.5</v>
      </c>
      <c r="X31" s="212">
        <f t="array" ref="X31">INDEX(INC_INCVALUES,$V31,$K$1)</f>
        <v>0.5</v>
      </c>
    </row>
    <row r="32" ht="15.75" customHeight="1">
      <c r="A32" s="435" t="s">
        <v>192</v>
      </c>
      <c r="B32" s="436">
        <v>16.14</v>
      </c>
      <c r="C32" s="95" t="str">
        <f t="array" ref="C32">IF(I32&gt;0,INDEX(DB,I32,8),"")</f>
        <v>Leo Welstead</v>
      </c>
      <c r="D32" s="437">
        <f t="shared" si="1"/>
        <v>32</v>
      </c>
      <c r="F32" s="438">
        <f t="shared" si="2"/>
        <v>1</v>
      </c>
      <c r="G32" t="str">
        <f t="shared" si="3"/>
        <v/>
      </c>
      <c r="H32" t="b">
        <f t="shared" si="4"/>
        <v>1</v>
      </c>
      <c r="I32" s="439">
        <f>IF(OR(ISBLANK(A32),ISNA(MATCH(A32&amp;"",AthleteNumbers,0))),0,MATCH(A32&amp;"",AthleteNumbers,0))</f>
        <v>31</v>
      </c>
      <c r="J32" s="209" t="str">
        <f t="array" ref="J32">IF(I32&gt;0,INDEX(DB,$I32,6),0)</f>
        <v/>
      </c>
      <c r="K32" s="446">
        <f t="shared" si="5"/>
        <v>16.14</v>
      </c>
      <c r="L32" s="446">
        <f t="shared" si="6"/>
        <v>16.14</v>
      </c>
      <c r="M32" s="441">
        <f>IF(L32&lt;O32,MinPoints,IF(AND(L32&gt;N32,O32&gt;0),100,+INT(($L32-O32)/P32)+MinPoints))</f>
        <v>32</v>
      </c>
      <c r="N32" s="440">
        <f t="shared" si="7"/>
        <v>50</v>
      </c>
      <c r="O32" s="440">
        <f t="shared" si="8"/>
        <v>5</v>
      </c>
      <c r="P32" s="440">
        <f t="shared" si="9"/>
        <v>0.5</v>
      </c>
      <c r="Q32">
        <f t="array" ref="Q32">IF(I32&gt;0,INDEX(DB,I32,9),EventIndex)</f>
        <v>6</v>
      </c>
      <c r="S32" s="442">
        <f t="array" ref="S32">INDEX(MINVALUES,$Q32,$K$1)</f>
        <v>5</v>
      </c>
      <c r="T32">
        <f t="array" ref="T32">INDEX(INCVALUES,$Q32,$K$1)</f>
        <v>0.5</v>
      </c>
      <c r="V32">
        <f t="array" ref="V32">+J32+(4*(INDEX(MatchScoreTable,$Q32,20)-1))</f>
        <v>4</v>
      </c>
      <c r="W32" s="442">
        <f t="array" ref="W32">INDEX(INC_MINVALUES,$V32,$K$1)</f>
        <v>2.5</v>
      </c>
      <c r="X32" s="212">
        <f t="array" ref="X32">INDEX(INC_INCVALUES,$V32,$K$1)</f>
        <v>0.5</v>
      </c>
    </row>
    <row r="33" ht="15.75" customHeight="1">
      <c r="A33" s="435" t="s">
        <v>194</v>
      </c>
      <c r="B33" s="436">
        <v>26.29</v>
      </c>
      <c r="C33" s="95" t="str">
        <f t="array" ref="C33">IF(I33&gt;0,INDEX(DB,I33,8),"")</f>
        <v>Otto Williams</v>
      </c>
      <c r="D33" s="437">
        <f t="shared" si="1"/>
        <v>52</v>
      </c>
      <c r="F33" s="438">
        <f t="shared" si="2"/>
        <v>1</v>
      </c>
      <c r="G33" t="str">
        <f t="shared" si="3"/>
        <v/>
      </c>
      <c r="H33" t="b">
        <f t="shared" si="4"/>
        <v>1</v>
      </c>
      <c r="I33" s="439">
        <f>IF(OR(ISBLANK(A33),ISNA(MATCH(A33&amp;"",AthleteNumbers,0))),0,MATCH(A33&amp;"",AthleteNumbers,0))</f>
        <v>32</v>
      </c>
      <c r="J33" s="209" t="str">
        <f t="array" ref="J33">IF(I33&gt;0,INDEX(DB,$I33,6),0)</f>
        <v/>
      </c>
      <c r="K33" s="446">
        <f t="shared" si="5"/>
        <v>26.29</v>
      </c>
      <c r="L33" s="446">
        <f t="shared" si="6"/>
        <v>26.29</v>
      </c>
      <c r="M33" s="441">
        <f>IF(L33&lt;O33,MinPoints,IF(AND(L33&gt;N33,O33&gt;0),100,+INT(($L33-O33)/P33)+MinPoints))</f>
        <v>52</v>
      </c>
      <c r="N33" s="440">
        <f t="shared" si="7"/>
        <v>50</v>
      </c>
      <c r="O33" s="440">
        <f t="shared" si="8"/>
        <v>5</v>
      </c>
      <c r="P33" s="440">
        <f t="shared" si="9"/>
        <v>0.5</v>
      </c>
      <c r="Q33">
        <f t="array" ref="Q33">IF(I33&gt;0,INDEX(DB,I33,9),EventIndex)</f>
        <v>6</v>
      </c>
      <c r="S33" s="442">
        <f t="array" ref="S33">INDEX(MINVALUES,$Q33,$K$1)</f>
        <v>5</v>
      </c>
      <c r="T33">
        <f t="array" ref="T33">INDEX(INCVALUES,$Q33,$K$1)</f>
        <v>0.5</v>
      </c>
      <c r="V33">
        <f t="array" ref="V33">+J33+(4*(INDEX(MatchScoreTable,$Q33,20)-1))</f>
        <v>4</v>
      </c>
      <c r="W33" s="442">
        <f t="array" ref="W33">INDEX(INC_MINVALUES,$V33,$K$1)</f>
        <v>2.5</v>
      </c>
      <c r="X33" s="212">
        <f t="array" ref="X33">INDEX(INC_INCVALUES,$V33,$K$1)</f>
        <v>0.5</v>
      </c>
    </row>
    <row r="34" ht="15.75" customHeight="1">
      <c r="A34" s="435" t="s">
        <v>199</v>
      </c>
      <c r="B34" s="436">
        <v>12.82</v>
      </c>
      <c r="C34" s="95" t="str">
        <f t="array" ref="C34">IF(I34&gt;0,INDEX(DB,I34,8),"")</f>
        <v>Edee Abery</v>
      </c>
      <c r="D34" s="437">
        <f t="shared" si="1"/>
        <v>25</v>
      </c>
      <c r="F34" s="438">
        <f t="shared" si="2"/>
        <v>1</v>
      </c>
      <c r="G34" t="str">
        <f t="shared" si="3"/>
        <v/>
      </c>
      <c r="H34" t="b">
        <f t="shared" si="4"/>
        <v>1</v>
      </c>
      <c r="I34" s="439">
        <f>IF(OR(ISBLANK(A34),ISNA(MATCH(A34&amp;"",AthleteNumbers,0))),0,MATCH(A34&amp;"",AthleteNumbers,0))</f>
        <v>34</v>
      </c>
      <c r="J34" s="209" t="str">
        <f t="array" ref="J34">IF(I34&gt;0,INDEX(DB,$I34,6),0)</f>
        <v/>
      </c>
      <c r="K34" s="446">
        <f t="shared" si="5"/>
        <v>12.82</v>
      </c>
      <c r="L34" s="446">
        <f t="shared" si="6"/>
        <v>12.82</v>
      </c>
      <c r="M34" s="441">
        <f>IF(L34&lt;O34,MinPoints,IF(AND(L34&gt;N34,O34&gt;0),100,+INT(($L34-O34)/P34)+MinPoints))</f>
        <v>25</v>
      </c>
      <c r="N34" s="440">
        <f t="shared" si="7"/>
        <v>50</v>
      </c>
      <c r="O34" s="440">
        <f t="shared" si="8"/>
        <v>5</v>
      </c>
      <c r="P34" s="440">
        <f t="shared" si="9"/>
        <v>0.5</v>
      </c>
      <c r="Q34">
        <f t="array" ref="Q34">IF(I34&gt;0,INDEX(DB,I34,9),EventIndex)</f>
        <v>6</v>
      </c>
      <c r="S34" s="442">
        <f t="array" ref="S34">INDEX(MINVALUES,$Q34,$K$1)</f>
        <v>5</v>
      </c>
      <c r="T34">
        <f t="array" ref="T34">INDEX(INCVALUES,$Q34,$K$1)</f>
        <v>0.5</v>
      </c>
      <c r="V34">
        <f t="array" ref="V34">+J34+(4*(INDEX(MatchScoreTable,$Q34,20)-1))</f>
        <v>4</v>
      </c>
      <c r="W34" s="442">
        <f t="array" ref="W34">INDEX(INC_MINVALUES,$V34,$K$1)</f>
        <v>2.5</v>
      </c>
      <c r="X34" s="212">
        <f t="array" ref="X34">INDEX(INC_INCVALUES,$V34,$K$1)</f>
        <v>0.5</v>
      </c>
    </row>
    <row r="35" ht="15.75" customHeight="1">
      <c r="A35" s="435" t="s">
        <v>203</v>
      </c>
      <c r="B35" s="436">
        <v>13.76</v>
      </c>
      <c r="C35" s="95" t="str">
        <f t="array" ref="C35">IF(I35&gt;0,INDEX(DB,I35,8),"")</f>
        <v>Lucia Bertacchini</v>
      </c>
      <c r="D35" s="437">
        <f t="shared" si="1"/>
        <v>27</v>
      </c>
      <c r="F35" s="438">
        <f t="shared" si="2"/>
        <v>1</v>
      </c>
      <c r="G35" t="str">
        <f t="shared" si="3"/>
        <v/>
      </c>
      <c r="H35" t="b">
        <f t="shared" si="4"/>
        <v>1</v>
      </c>
      <c r="I35" s="439">
        <f>IF(OR(ISBLANK(A35),ISNA(MATCH(A35&amp;"",AthleteNumbers,0))),0,MATCH(A35&amp;"",AthleteNumbers,0))</f>
        <v>35</v>
      </c>
      <c r="J35" s="209" t="str">
        <f t="array" ref="J35">IF(I35&gt;0,INDEX(DB,$I35,6),0)</f>
        <v/>
      </c>
      <c r="K35" s="446">
        <f t="shared" si="5"/>
        <v>13.76</v>
      </c>
      <c r="L35" s="446">
        <f t="shared" si="6"/>
        <v>13.76</v>
      </c>
      <c r="M35" s="441">
        <f>IF(L35&lt;O35,MinPoints,IF(AND(L35&gt;N35,O35&gt;0),100,+INT(($L35-O35)/P35)+MinPoints))</f>
        <v>27</v>
      </c>
      <c r="N35" s="440">
        <f t="shared" si="7"/>
        <v>50</v>
      </c>
      <c r="O35" s="440">
        <f t="shared" si="8"/>
        <v>5</v>
      </c>
      <c r="P35" s="440">
        <f t="shared" si="9"/>
        <v>0.5</v>
      </c>
      <c r="Q35">
        <f t="array" ref="Q35">IF(I35&gt;0,INDEX(DB,I35,9),EventIndex)</f>
        <v>6</v>
      </c>
      <c r="S35" s="442">
        <f t="array" ref="S35">INDEX(MINVALUES,$Q35,$K$1)</f>
        <v>5</v>
      </c>
      <c r="T35">
        <f t="array" ref="T35">INDEX(INCVALUES,$Q35,$K$1)</f>
        <v>0.5</v>
      </c>
      <c r="V35">
        <f t="array" ref="V35">+J35+(4*(INDEX(MatchScoreTable,$Q35,20)-1))</f>
        <v>4</v>
      </c>
      <c r="W35" s="442">
        <f t="array" ref="W35">INDEX(INC_MINVALUES,$V35,$K$1)</f>
        <v>2.5</v>
      </c>
      <c r="X35" s="212">
        <f t="array" ref="X35">INDEX(INC_INCVALUES,$V35,$K$1)</f>
        <v>0.5</v>
      </c>
    </row>
    <row r="36" ht="15.75" customHeight="1">
      <c r="A36" s="435" t="s">
        <v>209</v>
      </c>
      <c r="B36" s="436">
        <v>13.21</v>
      </c>
      <c r="C36" s="95" t="str">
        <f t="array" ref="C36">IF(I36&gt;0,INDEX(DB,I36,8),"")</f>
        <v>Isabel Cherrett</v>
      </c>
      <c r="D36" s="437">
        <f t="shared" si="1"/>
        <v>26</v>
      </c>
      <c r="F36" s="438">
        <f t="shared" si="2"/>
        <v>1</v>
      </c>
      <c r="G36" t="str">
        <f t="shared" si="3"/>
        <v/>
      </c>
      <c r="H36" t="b">
        <f t="shared" si="4"/>
        <v>1</v>
      </c>
      <c r="I36" s="439">
        <f>IF(OR(ISBLANK(A36),ISNA(MATCH(A36&amp;"",AthleteNumbers,0))),0,MATCH(A36&amp;"",AthleteNumbers,0))</f>
        <v>37</v>
      </c>
      <c r="J36" s="209" t="str">
        <f t="array" ref="J36">IF(I36&gt;0,INDEX(DB,$I36,6),0)</f>
        <v/>
      </c>
      <c r="K36" s="446">
        <f t="shared" si="5"/>
        <v>13.21</v>
      </c>
      <c r="L36" s="446">
        <f t="shared" si="6"/>
        <v>13.21</v>
      </c>
      <c r="M36" s="441">
        <f>IF(L36&lt;O36,MinPoints,IF(AND(L36&gt;N36,O36&gt;0),100,+INT(($L36-O36)/P36)+MinPoints))</f>
        <v>26</v>
      </c>
      <c r="N36" s="440">
        <f t="shared" si="7"/>
        <v>50</v>
      </c>
      <c r="O36" s="440">
        <f t="shared" si="8"/>
        <v>5</v>
      </c>
      <c r="P36" s="440">
        <f t="shared" si="9"/>
        <v>0.5</v>
      </c>
      <c r="Q36">
        <f t="array" ref="Q36">IF(I36&gt;0,INDEX(DB,I36,9),EventIndex)</f>
        <v>6</v>
      </c>
      <c r="S36" s="442">
        <f t="array" ref="S36">INDEX(MINVALUES,$Q36,$K$1)</f>
        <v>5</v>
      </c>
      <c r="T36">
        <f t="array" ref="T36">INDEX(INCVALUES,$Q36,$K$1)</f>
        <v>0.5</v>
      </c>
      <c r="V36">
        <f t="array" ref="V36">+J36+(4*(INDEX(MatchScoreTable,$Q36,20)-1))</f>
        <v>4</v>
      </c>
      <c r="W36" s="442">
        <f t="array" ref="W36">INDEX(INC_MINVALUES,$V36,$K$1)</f>
        <v>2.5</v>
      </c>
      <c r="X36" s="212">
        <f t="array" ref="X36">INDEX(INC_INCVALUES,$V36,$K$1)</f>
        <v>0.5</v>
      </c>
    </row>
    <row r="37" ht="15.75" customHeight="1">
      <c r="A37" s="435" t="s">
        <v>211</v>
      </c>
      <c r="B37" s="436">
        <v>10.03</v>
      </c>
      <c r="C37" s="95" t="str">
        <f t="array" ref="C37">IF(I37&gt;0,INDEX(DB,I37,8),"")</f>
        <v>Lily Coltman</v>
      </c>
      <c r="D37" s="437">
        <f t="shared" si="1"/>
        <v>20</v>
      </c>
      <c r="F37" s="438">
        <f t="shared" si="2"/>
        <v>1</v>
      </c>
      <c r="G37" t="str">
        <f t="shared" si="3"/>
        <v/>
      </c>
      <c r="H37" t="b">
        <f t="shared" si="4"/>
        <v>1</v>
      </c>
      <c r="I37" s="439">
        <f>IF(OR(ISBLANK(A37),ISNA(MATCH(A37&amp;"",AthleteNumbers,0))),0,MATCH(A37&amp;"",AthleteNumbers,0))</f>
        <v>38</v>
      </c>
      <c r="J37" s="209" t="str">
        <f t="array" ref="J37">IF(I37&gt;0,INDEX(DB,$I37,6),0)</f>
        <v/>
      </c>
      <c r="K37" s="446">
        <f t="shared" si="5"/>
        <v>10.03</v>
      </c>
      <c r="L37" s="446">
        <f t="shared" si="6"/>
        <v>10.03</v>
      </c>
      <c r="M37" s="441">
        <f>IF(L37&lt;O37,MinPoints,IF(AND(L37&gt;N37,O37&gt;0),100,+INT(($L37-O37)/P37)+MinPoints))</f>
        <v>20</v>
      </c>
      <c r="N37" s="440">
        <f t="shared" si="7"/>
        <v>50</v>
      </c>
      <c r="O37" s="440">
        <f t="shared" si="8"/>
        <v>5</v>
      </c>
      <c r="P37" s="440">
        <f t="shared" si="9"/>
        <v>0.5</v>
      </c>
      <c r="Q37">
        <f t="array" ref="Q37">IF(I37&gt;0,INDEX(DB,I37,9),EventIndex)</f>
        <v>6</v>
      </c>
      <c r="S37" s="442">
        <f t="array" ref="S37">INDEX(MINVALUES,$Q37,$K$1)</f>
        <v>5</v>
      </c>
      <c r="T37">
        <f t="array" ref="T37">INDEX(INCVALUES,$Q37,$K$1)</f>
        <v>0.5</v>
      </c>
      <c r="V37">
        <f t="array" ref="V37">+J37+(4*(INDEX(MatchScoreTable,$Q37,20)-1))</f>
        <v>4</v>
      </c>
      <c r="W37" s="442">
        <f t="array" ref="W37">INDEX(INC_MINVALUES,$V37,$K$1)</f>
        <v>2.5</v>
      </c>
      <c r="X37" s="212">
        <f t="array" ref="X37">INDEX(INC_INCVALUES,$V37,$K$1)</f>
        <v>0.5</v>
      </c>
    </row>
    <row r="38" ht="15.75" customHeight="1">
      <c r="A38" s="435" t="s">
        <v>213</v>
      </c>
      <c r="B38" s="436">
        <v>16.14</v>
      </c>
      <c r="C38" s="95" t="str">
        <f t="array" ref="C38">IF(I38&gt;0,INDEX(DB,I38,8),"")</f>
        <v>Sophie Cross</v>
      </c>
      <c r="D38" s="437">
        <f t="shared" si="1"/>
        <v>32</v>
      </c>
      <c r="F38" s="438">
        <f t="shared" si="2"/>
        <v>1</v>
      </c>
      <c r="G38" t="str">
        <f t="shared" si="3"/>
        <v/>
      </c>
      <c r="H38" t="b">
        <f t="shared" si="4"/>
        <v>1</v>
      </c>
      <c r="I38" s="439">
        <f>IF(OR(ISBLANK(A38),ISNA(MATCH(A38&amp;"",AthleteNumbers,0))),0,MATCH(A38&amp;"",AthleteNumbers,0))</f>
        <v>39</v>
      </c>
      <c r="J38" s="209" t="str">
        <f t="array" ref="J38">IF(I38&gt;0,INDEX(DB,$I38,6),0)</f>
        <v/>
      </c>
      <c r="K38" s="446">
        <f t="shared" si="5"/>
        <v>16.14</v>
      </c>
      <c r="L38" s="446">
        <f t="shared" si="6"/>
        <v>16.14</v>
      </c>
      <c r="M38" s="441">
        <f>IF(L38&lt;O38,MinPoints,IF(AND(L38&gt;N38,O38&gt;0),100,+INT(($L38-O38)/P38)+MinPoints))</f>
        <v>32</v>
      </c>
      <c r="N38" s="440">
        <f t="shared" si="7"/>
        <v>50</v>
      </c>
      <c r="O38" s="440">
        <f t="shared" si="8"/>
        <v>5</v>
      </c>
      <c r="P38" s="440">
        <f t="shared" si="9"/>
        <v>0.5</v>
      </c>
      <c r="Q38">
        <f t="array" ref="Q38">IF(I38&gt;0,INDEX(DB,I38,9),EventIndex)</f>
        <v>6</v>
      </c>
      <c r="S38" s="442">
        <f t="array" ref="S38">INDEX(MINVALUES,$Q38,$K$1)</f>
        <v>5</v>
      </c>
      <c r="T38">
        <f t="array" ref="T38">INDEX(INCVALUES,$Q38,$K$1)</f>
        <v>0.5</v>
      </c>
      <c r="V38">
        <f t="array" ref="V38">+J38+(4*(INDEX(MatchScoreTable,$Q38,20)-1))</f>
        <v>4</v>
      </c>
      <c r="W38" s="442">
        <f t="array" ref="W38">INDEX(INC_MINVALUES,$V38,$K$1)</f>
        <v>2.5</v>
      </c>
      <c r="X38" s="212">
        <f t="array" ref="X38">INDEX(INC_INCVALUES,$V38,$K$1)</f>
        <v>0.5</v>
      </c>
    </row>
    <row r="39" ht="15.75" customHeight="1">
      <c r="A39" s="435" t="s">
        <v>216</v>
      </c>
      <c r="B39" s="436">
        <v>13.91</v>
      </c>
      <c r="C39" s="95" t="str">
        <f t="array" ref="C39">IF(I39&gt;0,INDEX(DB,I39,8),"")</f>
        <v>Isis Dalton</v>
      </c>
      <c r="D39" s="437">
        <f t="shared" si="1"/>
        <v>27</v>
      </c>
      <c r="F39" s="438">
        <f t="shared" si="2"/>
        <v>1</v>
      </c>
      <c r="G39" t="str">
        <f t="shared" si="3"/>
        <v/>
      </c>
      <c r="H39" t="b">
        <f t="shared" si="4"/>
        <v>1</v>
      </c>
      <c r="I39" s="439">
        <f>IF(OR(ISBLANK(A39),ISNA(MATCH(A39&amp;"",AthleteNumbers,0))),0,MATCH(A39&amp;"",AthleteNumbers,0))</f>
        <v>40</v>
      </c>
      <c r="J39" s="209" t="str">
        <f t="array" ref="J39">IF(I39&gt;0,INDEX(DB,$I39,6),0)</f>
        <v/>
      </c>
      <c r="K39" s="446">
        <f t="shared" si="5"/>
        <v>13.91</v>
      </c>
      <c r="L39" s="446">
        <f t="shared" si="6"/>
        <v>13.91</v>
      </c>
      <c r="M39" s="441">
        <f>IF(L39&lt;O39,MinPoints,IF(AND(L39&gt;N39,O39&gt;0),100,+INT(($L39-O39)/P39)+MinPoints))</f>
        <v>27</v>
      </c>
      <c r="N39" s="440">
        <f t="shared" si="7"/>
        <v>50</v>
      </c>
      <c r="O39" s="440">
        <f t="shared" si="8"/>
        <v>5</v>
      </c>
      <c r="P39" s="440">
        <f t="shared" si="9"/>
        <v>0.5</v>
      </c>
      <c r="Q39">
        <f t="array" ref="Q39">IF(I39&gt;0,INDEX(DB,I39,9),EventIndex)</f>
        <v>6</v>
      </c>
      <c r="S39" s="442">
        <f t="array" ref="S39">INDEX(MINVALUES,$Q39,$K$1)</f>
        <v>5</v>
      </c>
      <c r="T39">
        <f t="array" ref="T39">INDEX(INCVALUES,$Q39,$K$1)</f>
        <v>0.5</v>
      </c>
      <c r="V39">
        <f t="array" ref="V39">+J39+(4*(INDEX(MatchScoreTable,$Q39,20)-1))</f>
        <v>4</v>
      </c>
      <c r="W39" s="442">
        <f t="array" ref="W39">INDEX(INC_MINVALUES,$V39,$K$1)</f>
        <v>2.5</v>
      </c>
      <c r="X39" s="212">
        <f t="array" ref="X39">INDEX(INC_INCVALUES,$V39,$K$1)</f>
        <v>0.5</v>
      </c>
    </row>
    <row r="40" ht="15.75" customHeight="1">
      <c r="A40" s="435" t="s">
        <v>218</v>
      </c>
      <c r="B40" s="436">
        <v>15.04</v>
      </c>
      <c r="C40" s="95" t="str">
        <f t="array" ref="C40">IF(I40&gt;0,INDEX(DB,I40,8),"")</f>
        <v>Elizabeth Davie</v>
      </c>
      <c r="D40" s="437">
        <f t="shared" si="1"/>
        <v>30</v>
      </c>
      <c r="F40" s="438">
        <f t="shared" si="2"/>
        <v>1</v>
      </c>
      <c r="G40" t="str">
        <f t="shared" si="3"/>
        <v/>
      </c>
      <c r="H40" t="b">
        <f t="shared" si="4"/>
        <v>1</v>
      </c>
      <c r="I40" s="439">
        <f>IF(OR(ISBLANK(A40),ISNA(MATCH(A40&amp;"",AthleteNumbers,0))),0,MATCH(A40&amp;"",AthleteNumbers,0))</f>
        <v>41</v>
      </c>
      <c r="J40" s="209" t="str">
        <f t="array" ref="J40">IF(I40&gt;0,INDEX(DB,$I40,6),0)</f>
        <v/>
      </c>
      <c r="K40" s="446">
        <f t="shared" si="5"/>
        <v>15.04</v>
      </c>
      <c r="L40" s="446">
        <f t="shared" si="6"/>
        <v>15.04</v>
      </c>
      <c r="M40" s="441">
        <f>IF(L40&lt;O40,MinPoints,IF(AND(L40&gt;N40,O40&gt;0),100,+INT(($L40-O40)/P40)+MinPoints))</f>
        <v>30</v>
      </c>
      <c r="N40" s="440">
        <f t="shared" si="7"/>
        <v>50</v>
      </c>
      <c r="O40" s="440">
        <f t="shared" si="8"/>
        <v>5</v>
      </c>
      <c r="P40" s="440">
        <f t="shared" si="9"/>
        <v>0.5</v>
      </c>
      <c r="Q40">
        <f t="array" ref="Q40">IF(I40&gt;0,INDEX(DB,I40,9),EventIndex)</f>
        <v>6</v>
      </c>
      <c r="S40" s="442">
        <f t="array" ref="S40">INDEX(MINVALUES,$Q40,$K$1)</f>
        <v>5</v>
      </c>
      <c r="T40">
        <f t="array" ref="T40">INDEX(INCVALUES,$Q40,$K$1)</f>
        <v>0.5</v>
      </c>
      <c r="V40">
        <f t="array" ref="V40">+J40+(4*(INDEX(MatchScoreTable,$Q40,20)-1))</f>
        <v>4</v>
      </c>
      <c r="W40" s="442">
        <f t="array" ref="W40">INDEX(INC_MINVALUES,$V40,$K$1)</f>
        <v>2.5</v>
      </c>
      <c r="X40" s="212">
        <f t="array" ref="X40">INDEX(INC_INCVALUES,$V40,$K$1)</f>
        <v>0.5</v>
      </c>
    </row>
    <row r="41" ht="15.75" customHeight="1">
      <c r="A41" s="435" t="s">
        <v>220</v>
      </c>
      <c r="B41" s="436">
        <v>9.95</v>
      </c>
      <c r="C41" s="95" t="str">
        <f t="array" ref="C41">IF(I41&gt;0,INDEX(DB,I41,8),"")</f>
        <v>Amelia Drew</v>
      </c>
      <c r="D41" s="437">
        <f t="shared" si="1"/>
        <v>19</v>
      </c>
      <c r="F41" s="438">
        <f t="shared" si="2"/>
        <v>1</v>
      </c>
      <c r="G41" t="str">
        <f t="shared" si="3"/>
        <v/>
      </c>
      <c r="H41" t="b">
        <f t="shared" si="4"/>
        <v>1</v>
      </c>
      <c r="I41" s="439">
        <f>IF(OR(ISBLANK(A41),ISNA(MATCH(A41&amp;"",AthleteNumbers,0))),0,MATCH(A41&amp;"",AthleteNumbers,0))</f>
        <v>42</v>
      </c>
      <c r="J41" s="209" t="str">
        <f t="array" ref="J41">IF(I41&gt;0,INDEX(DB,$I41,6),0)</f>
        <v/>
      </c>
      <c r="K41" s="446">
        <f t="shared" si="5"/>
        <v>9.95</v>
      </c>
      <c r="L41" s="446">
        <f t="shared" si="6"/>
        <v>9.95</v>
      </c>
      <c r="M41" s="441">
        <f>IF(L41&lt;O41,MinPoints,IF(AND(L41&gt;N41,O41&gt;0),100,+INT(($L41-O41)/P41)+MinPoints))</f>
        <v>19</v>
      </c>
      <c r="N41" s="440">
        <f t="shared" si="7"/>
        <v>50</v>
      </c>
      <c r="O41" s="440">
        <f t="shared" si="8"/>
        <v>5</v>
      </c>
      <c r="P41" s="440">
        <f t="shared" si="9"/>
        <v>0.5</v>
      </c>
      <c r="Q41">
        <f t="array" ref="Q41">IF(I41&gt;0,INDEX(DB,I41,9),EventIndex)</f>
        <v>6</v>
      </c>
      <c r="S41" s="442">
        <f t="array" ref="S41">INDEX(MINVALUES,$Q41,$K$1)</f>
        <v>5</v>
      </c>
      <c r="T41">
        <f t="array" ref="T41">INDEX(INCVALUES,$Q41,$K$1)</f>
        <v>0.5</v>
      </c>
      <c r="V41">
        <f t="array" ref="V41">+J41+(4*(INDEX(MatchScoreTable,$Q41,20)-1))</f>
        <v>4</v>
      </c>
      <c r="W41" s="442">
        <f t="array" ref="W41">INDEX(INC_MINVALUES,$V41,$K$1)</f>
        <v>2.5</v>
      </c>
      <c r="X41" s="212">
        <f t="array" ref="X41">INDEX(INC_INCVALUES,$V41,$K$1)</f>
        <v>0.5</v>
      </c>
    </row>
    <row r="42" ht="15.75" customHeight="1">
      <c r="A42" s="435" t="s">
        <v>224</v>
      </c>
      <c r="B42" s="436">
        <v>12.33</v>
      </c>
      <c r="C42" s="95" t="str">
        <f t="array" ref="C42">IF(I42&gt;0,INDEX(DB,I42,8),"")</f>
        <v>Evie Fuller</v>
      </c>
      <c r="D42" s="437">
        <f t="shared" si="1"/>
        <v>24</v>
      </c>
      <c r="F42" s="438">
        <f t="shared" si="2"/>
        <v>1</v>
      </c>
      <c r="G42" t="str">
        <f t="shared" si="3"/>
        <v/>
      </c>
      <c r="H42" t="b">
        <f t="shared" si="4"/>
        <v>1</v>
      </c>
      <c r="I42" s="439">
        <f>IF(OR(ISBLANK(A42),ISNA(MATCH(A42&amp;"",AthleteNumbers,0))),0,MATCH(A42&amp;"",AthleteNumbers,0))</f>
        <v>44</v>
      </c>
      <c r="J42" s="209" t="str">
        <f t="array" ref="J42">IF(I42&gt;0,INDEX(DB,$I42,6),0)</f>
        <v/>
      </c>
      <c r="K42" s="446">
        <f t="shared" si="5"/>
        <v>12.33</v>
      </c>
      <c r="L42" s="446">
        <f t="shared" si="6"/>
        <v>12.33</v>
      </c>
      <c r="M42" s="441">
        <f>IF(L42&lt;O42,MinPoints,IF(AND(L42&gt;N42,O42&gt;0),100,+INT(($L42-O42)/P42)+MinPoints))</f>
        <v>24</v>
      </c>
      <c r="N42" s="440">
        <f t="shared" si="7"/>
        <v>50</v>
      </c>
      <c r="O42" s="440">
        <f t="shared" si="8"/>
        <v>5</v>
      </c>
      <c r="P42" s="440">
        <f t="shared" si="9"/>
        <v>0.5</v>
      </c>
      <c r="Q42">
        <f t="array" ref="Q42">IF(I42&gt;0,INDEX(DB,I42,9),EventIndex)</f>
        <v>6</v>
      </c>
      <c r="S42" s="442">
        <f t="array" ref="S42">INDEX(MINVALUES,$Q42,$K$1)</f>
        <v>5</v>
      </c>
      <c r="T42">
        <f t="array" ref="T42">INDEX(INCVALUES,$Q42,$K$1)</f>
        <v>0.5</v>
      </c>
      <c r="V42">
        <f t="array" ref="V42">+J42+(4*(INDEX(MatchScoreTable,$Q42,20)-1))</f>
        <v>4</v>
      </c>
      <c r="W42" s="442">
        <f t="array" ref="W42">INDEX(INC_MINVALUES,$V42,$K$1)</f>
        <v>2.5</v>
      </c>
      <c r="X42" s="212">
        <f t="array" ref="X42">INDEX(INC_INCVALUES,$V42,$K$1)</f>
        <v>0.5</v>
      </c>
    </row>
    <row r="43" ht="15.75" customHeight="1">
      <c r="A43" s="435" t="s">
        <v>226</v>
      </c>
      <c r="B43" s="436">
        <v>10.29</v>
      </c>
      <c r="C43" s="95" t="str">
        <f t="array" ref="C43">IF(I43&gt;0,INDEX(DB,I43,8),"")</f>
        <v>Izzy Garavini</v>
      </c>
      <c r="D43" s="437">
        <f t="shared" si="1"/>
        <v>20</v>
      </c>
      <c r="F43" s="438">
        <f t="shared" si="2"/>
        <v>1</v>
      </c>
      <c r="G43" t="str">
        <f t="shared" si="3"/>
        <v/>
      </c>
      <c r="H43" t="b">
        <f t="shared" si="4"/>
        <v>1</v>
      </c>
      <c r="I43" s="439">
        <f>IF(OR(ISBLANK(A43),ISNA(MATCH(A43&amp;"",AthleteNumbers,0))),0,MATCH(A43&amp;"",AthleteNumbers,0))</f>
        <v>45</v>
      </c>
      <c r="J43" s="209" t="str">
        <f t="array" ref="J43">IF(I43&gt;0,INDEX(DB,$I43,6),0)</f>
        <v/>
      </c>
      <c r="K43" s="446">
        <f t="shared" si="5"/>
        <v>10.29</v>
      </c>
      <c r="L43" s="446">
        <f t="shared" si="6"/>
        <v>10.29</v>
      </c>
      <c r="M43" s="441">
        <f>IF(L43&lt;O43,MinPoints,IF(AND(L43&gt;N43,O43&gt;0),100,+INT(($L43-O43)/P43)+MinPoints))</f>
        <v>20</v>
      </c>
      <c r="N43" s="440">
        <f t="shared" si="7"/>
        <v>50</v>
      </c>
      <c r="O43" s="440">
        <f t="shared" si="8"/>
        <v>5</v>
      </c>
      <c r="P43" s="440">
        <f t="shared" si="9"/>
        <v>0.5</v>
      </c>
      <c r="Q43">
        <f t="array" ref="Q43">IF(I43&gt;0,INDEX(DB,I43,9),EventIndex)</f>
        <v>6</v>
      </c>
      <c r="S43" s="442">
        <f t="array" ref="S43">INDEX(MINVALUES,$Q43,$K$1)</f>
        <v>5</v>
      </c>
      <c r="T43">
        <f t="array" ref="T43">INDEX(INCVALUES,$Q43,$K$1)</f>
        <v>0.5</v>
      </c>
      <c r="V43">
        <f t="array" ref="V43">+J43+(4*(INDEX(MatchScoreTable,$Q43,20)-1))</f>
        <v>4</v>
      </c>
      <c r="W43" s="442">
        <f t="array" ref="W43">INDEX(INC_MINVALUES,$V43,$K$1)</f>
        <v>2.5</v>
      </c>
      <c r="X43" s="212">
        <f t="array" ref="X43">INDEX(INC_INCVALUES,$V43,$K$1)</f>
        <v>0.5</v>
      </c>
    </row>
    <row r="44" ht="15.75" customHeight="1">
      <c r="A44" s="435" t="s">
        <v>230</v>
      </c>
      <c r="B44" s="436">
        <v>9.14</v>
      </c>
      <c r="C44" s="95" t="str">
        <f t="array" ref="C44">IF(I44&gt;0,INDEX(DB,I44,8),"")</f>
        <v>Emilia Parsons</v>
      </c>
      <c r="D44" s="437">
        <f t="shared" si="1"/>
        <v>18</v>
      </c>
      <c r="F44" s="438">
        <f t="shared" si="2"/>
        <v>1</v>
      </c>
      <c r="G44" t="str">
        <f t="shared" si="3"/>
        <v/>
      </c>
      <c r="H44" t="b">
        <f t="shared" si="4"/>
        <v>1</v>
      </c>
      <c r="I44" s="439">
        <f>IF(OR(ISBLANK(A44),ISNA(MATCH(A44&amp;"",AthleteNumbers,0))),0,MATCH(A44&amp;"",AthleteNumbers,0))</f>
        <v>47</v>
      </c>
      <c r="J44" s="209" t="str">
        <f t="array" ref="J44">IF(I44&gt;0,INDEX(DB,$I44,6),0)</f>
        <v/>
      </c>
      <c r="K44" s="446">
        <f t="shared" si="5"/>
        <v>9.14</v>
      </c>
      <c r="L44" s="446">
        <f t="shared" si="6"/>
        <v>9.14</v>
      </c>
      <c r="M44" s="441">
        <f>IF(L44&lt;O44,MinPoints,IF(AND(L44&gt;N44,O44&gt;0),100,+INT(($L44-O44)/P44)+MinPoints))</f>
        <v>18</v>
      </c>
      <c r="N44" s="440">
        <f t="shared" si="7"/>
        <v>50</v>
      </c>
      <c r="O44" s="440">
        <f t="shared" si="8"/>
        <v>5</v>
      </c>
      <c r="P44" s="440">
        <f t="shared" si="9"/>
        <v>0.5</v>
      </c>
      <c r="Q44">
        <f t="array" ref="Q44">IF(I44&gt;0,INDEX(DB,I44,9),EventIndex)</f>
        <v>6</v>
      </c>
      <c r="S44" s="442">
        <f t="array" ref="S44">INDEX(MINVALUES,$Q44,$K$1)</f>
        <v>5</v>
      </c>
      <c r="T44">
        <f t="array" ref="T44">INDEX(INCVALUES,$Q44,$K$1)</f>
        <v>0.5</v>
      </c>
      <c r="V44">
        <f t="array" ref="V44">+J44+(4*(INDEX(MatchScoreTable,$Q44,20)-1))</f>
        <v>4</v>
      </c>
      <c r="W44" s="442">
        <f t="array" ref="W44">INDEX(INC_MINVALUES,$V44,$K$1)</f>
        <v>2.5</v>
      </c>
      <c r="X44" s="212">
        <f t="array" ref="X44">INDEX(INC_INCVALUES,$V44,$K$1)</f>
        <v>0.5</v>
      </c>
    </row>
    <row r="45" ht="15.75" customHeight="1">
      <c r="A45" s="435" t="s">
        <v>232</v>
      </c>
      <c r="B45" s="436">
        <v>9.69</v>
      </c>
      <c r="C45" s="95" t="str">
        <f t="array" ref="C45">IF(I45&gt;0,INDEX(DB,I45,8),"")</f>
        <v>Millie Hardcastle</v>
      </c>
      <c r="D45" s="437">
        <f t="shared" si="1"/>
        <v>19</v>
      </c>
      <c r="F45" s="438">
        <f t="shared" si="2"/>
        <v>1</v>
      </c>
      <c r="G45" t="str">
        <f t="shared" si="3"/>
        <v/>
      </c>
      <c r="H45" t="b">
        <f t="shared" si="4"/>
        <v>1</v>
      </c>
      <c r="I45" s="439">
        <f>IF(OR(ISBLANK(A45),ISNA(MATCH(A45&amp;"",AthleteNumbers,0))),0,MATCH(A45&amp;"",AthleteNumbers,0))</f>
        <v>48</v>
      </c>
      <c r="J45" s="209" t="str">
        <f t="array" ref="J45">IF(I45&gt;0,INDEX(DB,$I45,6),0)</f>
        <v/>
      </c>
      <c r="K45" s="446">
        <f t="shared" si="5"/>
        <v>9.69</v>
      </c>
      <c r="L45" s="446">
        <f t="shared" si="6"/>
        <v>9.69</v>
      </c>
      <c r="M45" s="441">
        <f>IF(L45&lt;O45,MinPoints,IF(AND(L45&gt;N45,O45&gt;0),100,+INT(($L45-O45)/P45)+MinPoints))</f>
        <v>19</v>
      </c>
      <c r="N45" s="440">
        <f t="shared" si="7"/>
        <v>50</v>
      </c>
      <c r="O45" s="440">
        <f t="shared" si="8"/>
        <v>5</v>
      </c>
      <c r="P45" s="440">
        <f t="shared" si="9"/>
        <v>0.5</v>
      </c>
      <c r="Q45">
        <f t="array" ref="Q45">IF(I45&gt;0,INDEX(DB,I45,9),EventIndex)</f>
        <v>6</v>
      </c>
      <c r="S45" s="442">
        <f t="array" ref="S45">INDEX(MINVALUES,$Q45,$K$1)</f>
        <v>5</v>
      </c>
      <c r="T45">
        <f t="array" ref="T45">INDEX(INCVALUES,$Q45,$K$1)</f>
        <v>0.5</v>
      </c>
      <c r="V45">
        <f t="array" ref="V45">+J45+(4*(INDEX(MatchScoreTable,$Q45,20)-1))</f>
        <v>4</v>
      </c>
      <c r="W45" s="442">
        <f t="array" ref="W45">INDEX(INC_MINVALUES,$V45,$K$1)</f>
        <v>2.5</v>
      </c>
      <c r="X45" s="212">
        <f t="array" ref="X45">INDEX(INC_INCVALUES,$V45,$K$1)</f>
        <v>0.5</v>
      </c>
    </row>
    <row r="46" ht="15.75" customHeight="1">
      <c r="A46" s="435" t="s">
        <v>234</v>
      </c>
      <c r="B46" s="436">
        <v>5.59</v>
      </c>
      <c r="C46" s="95" t="str">
        <f t="array" ref="C46">IF(I46&gt;0,INDEX(DB,I46,8),"")</f>
        <v>Layla Holdway</v>
      </c>
      <c r="D46" s="437">
        <f t="shared" si="1"/>
        <v>11</v>
      </c>
      <c r="F46" s="438">
        <f t="shared" si="2"/>
        <v>1</v>
      </c>
      <c r="G46" t="str">
        <f t="shared" si="3"/>
        <v/>
      </c>
      <c r="H46" t="b">
        <f t="shared" si="4"/>
        <v>1</v>
      </c>
      <c r="I46" s="439">
        <f>IF(OR(ISBLANK(A46),ISNA(MATCH(A46&amp;"",AthleteNumbers,0))),0,MATCH(A46&amp;"",AthleteNumbers,0))</f>
        <v>49</v>
      </c>
      <c r="J46" s="209" t="str">
        <f t="array" ref="J46">IF(I46&gt;0,INDEX(DB,$I46,6),0)</f>
        <v/>
      </c>
      <c r="K46" s="446">
        <f t="shared" si="5"/>
        <v>5.59</v>
      </c>
      <c r="L46" s="446">
        <f t="shared" si="6"/>
        <v>5.59</v>
      </c>
      <c r="M46" s="441">
        <f>IF(L46&lt;O46,MinPoints,IF(AND(L46&gt;N46,O46&gt;0),100,+INT(($L46-O46)/P46)+MinPoints))</f>
        <v>11</v>
      </c>
      <c r="N46" s="440">
        <f t="shared" si="7"/>
        <v>50</v>
      </c>
      <c r="O46" s="440">
        <f t="shared" si="8"/>
        <v>5</v>
      </c>
      <c r="P46" s="440">
        <f t="shared" si="9"/>
        <v>0.5</v>
      </c>
      <c r="Q46">
        <f t="array" ref="Q46">IF(I46&gt;0,INDEX(DB,I46,9),EventIndex)</f>
        <v>6</v>
      </c>
      <c r="S46" s="442">
        <f t="array" ref="S46">INDEX(MINVALUES,$Q46,$K$1)</f>
        <v>5</v>
      </c>
      <c r="T46">
        <f t="array" ref="T46">INDEX(INCVALUES,$Q46,$K$1)</f>
        <v>0.5</v>
      </c>
      <c r="V46">
        <f t="array" ref="V46">+J46+(4*(INDEX(MatchScoreTable,$Q46,20)-1))</f>
        <v>4</v>
      </c>
      <c r="W46" s="442">
        <f t="array" ref="W46">INDEX(INC_MINVALUES,$V46,$K$1)</f>
        <v>2.5</v>
      </c>
      <c r="X46" s="212">
        <f t="array" ref="X46">INDEX(INC_INCVALUES,$V46,$K$1)</f>
        <v>0.5</v>
      </c>
    </row>
    <row r="47" ht="15.75" customHeight="1">
      <c r="A47" s="435" t="s">
        <v>236</v>
      </c>
      <c r="B47" s="436">
        <v>18.59</v>
      </c>
      <c r="C47" s="95" t="str">
        <f t="array" ref="C47">IF(I47&gt;0,INDEX(DB,I47,8),"")</f>
        <v>Esmee Hurst Atkins</v>
      </c>
      <c r="D47" s="437">
        <f t="shared" si="1"/>
        <v>37</v>
      </c>
      <c r="F47" s="438">
        <f t="shared" si="2"/>
        <v>1</v>
      </c>
      <c r="G47" t="str">
        <f t="shared" si="3"/>
        <v/>
      </c>
      <c r="H47" t="b">
        <f t="shared" si="4"/>
        <v>1</v>
      </c>
      <c r="I47" s="439">
        <f>IF(OR(ISBLANK(A47),ISNA(MATCH(A47&amp;"",AthleteNumbers,0))),0,MATCH(A47&amp;"",AthleteNumbers,0))</f>
        <v>50</v>
      </c>
      <c r="J47" s="209" t="str">
        <f t="array" ref="J47">IF(I47&gt;0,INDEX(DB,$I47,6),0)</f>
        <v/>
      </c>
      <c r="K47" s="446">
        <f t="shared" si="5"/>
        <v>18.59</v>
      </c>
      <c r="L47" s="446">
        <f t="shared" si="6"/>
        <v>18.59</v>
      </c>
      <c r="M47" s="441">
        <f>IF(L47&lt;O47,MinPoints,IF(AND(L47&gt;N47,O47&gt;0),100,+INT(($L47-O47)/P47)+MinPoints))</f>
        <v>37</v>
      </c>
      <c r="N47" s="440">
        <f t="shared" si="7"/>
        <v>50</v>
      </c>
      <c r="O47" s="440">
        <f t="shared" si="8"/>
        <v>5</v>
      </c>
      <c r="P47" s="440">
        <f t="shared" si="9"/>
        <v>0.5</v>
      </c>
      <c r="Q47">
        <f t="array" ref="Q47">IF(I47&gt;0,INDEX(DB,I47,9),EventIndex)</f>
        <v>6</v>
      </c>
      <c r="S47" s="442">
        <f t="array" ref="S47">INDEX(MINVALUES,$Q47,$K$1)</f>
        <v>5</v>
      </c>
      <c r="T47">
        <f t="array" ref="T47">INDEX(INCVALUES,$Q47,$K$1)</f>
        <v>0.5</v>
      </c>
      <c r="V47">
        <f t="array" ref="V47">+J47+(4*(INDEX(MatchScoreTable,$Q47,20)-1))</f>
        <v>4</v>
      </c>
      <c r="W47" s="442">
        <f t="array" ref="W47">INDEX(INC_MINVALUES,$V47,$K$1)</f>
        <v>2.5</v>
      </c>
      <c r="X47" s="212">
        <f t="array" ref="X47">INDEX(INC_INCVALUES,$V47,$K$1)</f>
        <v>0.5</v>
      </c>
    </row>
    <row r="48" ht="15.75" customHeight="1">
      <c r="A48" s="435" t="s">
        <v>238</v>
      </c>
      <c r="B48" s="436">
        <v>22.84</v>
      </c>
      <c r="C48" s="95" t="str">
        <f t="array" ref="C48">IF(I48&gt;0,INDEX(DB,I48,8),"")</f>
        <v>Matilda Hutton</v>
      </c>
      <c r="D48" s="437">
        <f t="shared" si="1"/>
        <v>45</v>
      </c>
      <c r="F48" s="438">
        <f t="shared" si="2"/>
        <v>1</v>
      </c>
      <c r="G48" t="str">
        <f t="shared" si="3"/>
        <v/>
      </c>
      <c r="H48" t="b">
        <f t="shared" si="4"/>
        <v>1</v>
      </c>
      <c r="I48" s="439">
        <f>IF(OR(ISBLANK(A48),ISNA(MATCH(A48&amp;"",AthleteNumbers,0))),0,MATCH(A48&amp;"",AthleteNumbers,0))</f>
        <v>51</v>
      </c>
      <c r="J48" s="209" t="str">
        <f t="array" ref="J48">IF(I48&gt;0,INDEX(DB,$I48,6),0)</f>
        <v/>
      </c>
      <c r="K48" s="446">
        <f t="shared" si="5"/>
        <v>22.84</v>
      </c>
      <c r="L48" s="446">
        <f t="shared" si="6"/>
        <v>22.84</v>
      </c>
      <c r="M48" s="441">
        <f>IF(L48&lt;O48,MinPoints,IF(AND(L48&gt;N48,O48&gt;0),100,+INT(($L48-O48)/P48)+MinPoints))</f>
        <v>45</v>
      </c>
      <c r="N48" s="440">
        <f t="shared" si="7"/>
        <v>50</v>
      </c>
      <c r="O48" s="440">
        <f t="shared" si="8"/>
        <v>5</v>
      </c>
      <c r="P48" s="440">
        <f t="shared" si="9"/>
        <v>0.5</v>
      </c>
      <c r="Q48">
        <f t="array" ref="Q48">IF(I48&gt;0,INDEX(DB,I48,9),EventIndex)</f>
        <v>6</v>
      </c>
      <c r="S48" s="442">
        <f t="array" ref="S48">INDEX(MINVALUES,$Q48,$K$1)</f>
        <v>5</v>
      </c>
      <c r="T48">
        <f t="array" ref="T48">INDEX(INCVALUES,$Q48,$K$1)</f>
        <v>0.5</v>
      </c>
      <c r="V48">
        <f t="array" ref="V48">+J48+(4*(INDEX(MatchScoreTable,$Q48,20)-1))</f>
        <v>4</v>
      </c>
      <c r="W48" s="442">
        <f t="array" ref="W48">INDEX(INC_MINVALUES,$V48,$K$1)</f>
        <v>2.5</v>
      </c>
      <c r="X48" s="212">
        <f t="array" ref="X48">INDEX(INC_INCVALUES,$V48,$K$1)</f>
        <v>0.5</v>
      </c>
    </row>
    <row r="49" ht="15.75" customHeight="1">
      <c r="A49" s="435" t="s">
        <v>241</v>
      </c>
      <c r="B49" s="436">
        <v>8.75</v>
      </c>
      <c r="C49" s="95" t="str">
        <f t="array" ref="C49">IF(I49&gt;0,INDEX(DB,I49,8),"")</f>
        <v>Mia Ironside</v>
      </c>
      <c r="D49" s="437">
        <f t="shared" si="1"/>
        <v>17</v>
      </c>
      <c r="F49" s="438">
        <f t="shared" si="2"/>
        <v>1</v>
      </c>
      <c r="G49" t="str">
        <f t="shared" si="3"/>
        <v/>
      </c>
      <c r="H49" t="b">
        <f t="shared" si="4"/>
        <v>1</v>
      </c>
      <c r="I49" s="439">
        <f>IF(OR(ISBLANK(A49),ISNA(MATCH(A49&amp;"",AthleteNumbers,0))),0,MATCH(A49&amp;"",AthleteNumbers,0))</f>
        <v>52</v>
      </c>
      <c r="J49" s="209" t="str">
        <f t="array" ref="J49">IF(I49&gt;0,INDEX(DB,$I49,6),0)</f>
        <v/>
      </c>
      <c r="K49" s="446">
        <f t="shared" si="5"/>
        <v>8.75</v>
      </c>
      <c r="L49" s="446">
        <f t="shared" si="6"/>
        <v>8.75</v>
      </c>
      <c r="M49" s="441">
        <f>IF(L49&lt;O49,MinPoints,IF(AND(L49&gt;N49,O49&gt;0),100,+INT(($L49-O49)/P49)+MinPoints))</f>
        <v>17</v>
      </c>
      <c r="N49" s="440">
        <f t="shared" si="7"/>
        <v>50</v>
      </c>
      <c r="O49" s="440">
        <f t="shared" si="8"/>
        <v>5</v>
      </c>
      <c r="P49" s="440">
        <f t="shared" si="9"/>
        <v>0.5</v>
      </c>
      <c r="Q49">
        <f t="array" ref="Q49">IF(I49&gt;0,INDEX(DB,I49,9),EventIndex)</f>
        <v>6</v>
      </c>
      <c r="S49" s="442">
        <f t="array" ref="S49">INDEX(MINVALUES,$Q49,$K$1)</f>
        <v>5</v>
      </c>
      <c r="T49">
        <f t="array" ref="T49">INDEX(INCVALUES,$Q49,$K$1)</f>
        <v>0.5</v>
      </c>
      <c r="V49">
        <f t="array" ref="V49">+J49+(4*(INDEX(MatchScoreTable,$Q49,20)-1))</f>
        <v>4</v>
      </c>
      <c r="W49" s="442">
        <f t="array" ref="W49">INDEX(INC_MINVALUES,$V49,$K$1)</f>
        <v>2.5</v>
      </c>
      <c r="X49" s="212">
        <f t="array" ref="X49">INDEX(INC_INCVALUES,$V49,$K$1)</f>
        <v>0.5</v>
      </c>
    </row>
    <row r="50" ht="15.75" customHeight="1">
      <c r="A50" s="435" t="s">
        <v>243</v>
      </c>
      <c r="B50" s="436">
        <v>11.99</v>
      </c>
      <c r="C50" s="95" t="str">
        <f t="array" ref="C50">IF(I50&gt;0,INDEX(DB,I50,8),"")</f>
        <v>Chloe Johnson</v>
      </c>
      <c r="D50" s="437">
        <f t="shared" si="1"/>
        <v>23</v>
      </c>
      <c r="F50" s="438">
        <f t="shared" si="2"/>
        <v>1</v>
      </c>
      <c r="G50" t="str">
        <f t="shared" si="3"/>
        <v/>
      </c>
      <c r="H50" t="b">
        <f t="shared" si="4"/>
        <v>1</v>
      </c>
      <c r="I50" s="439">
        <f>IF(OR(ISBLANK(A50),ISNA(MATCH(A50&amp;"",AthleteNumbers,0))),0,MATCH(A50&amp;"",AthleteNumbers,0))</f>
        <v>53</v>
      </c>
      <c r="J50" s="209" t="str">
        <f t="array" ref="J50">IF(I50&gt;0,INDEX(DB,$I50,6),0)</f>
        <v/>
      </c>
      <c r="K50" s="446">
        <f t="shared" si="5"/>
        <v>11.99</v>
      </c>
      <c r="L50" s="446">
        <f t="shared" si="6"/>
        <v>11.99</v>
      </c>
      <c r="M50" s="441">
        <f>IF(L50&lt;O50,MinPoints,IF(AND(L50&gt;N50,O50&gt;0),100,+INT(($L50-O50)/P50)+MinPoints))</f>
        <v>23</v>
      </c>
      <c r="N50" s="440">
        <f t="shared" si="7"/>
        <v>50</v>
      </c>
      <c r="O50" s="440">
        <f t="shared" si="8"/>
        <v>5</v>
      </c>
      <c r="P50" s="440">
        <f t="shared" si="9"/>
        <v>0.5</v>
      </c>
      <c r="Q50">
        <f t="array" ref="Q50">IF(I50&gt;0,INDEX(DB,I50,9),EventIndex)</f>
        <v>6</v>
      </c>
      <c r="S50" s="442">
        <f t="array" ref="S50">INDEX(MINVALUES,$Q50,$K$1)</f>
        <v>5</v>
      </c>
      <c r="T50">
        <f t="array" ref="T50">INDEX(INCVALUES,$Q50,$K$1)</f>
        <v>0.5</v>
      </c>
      <c r="V50">
        <f t="array" ref="V50">+J50+(4*(INDEX(MatchScoreTable,$Q50,20)-1))</f>
        <v>4</v>
      </c>
      <c r="W50" s="442">
        <f t="array" ref="W50">INDEX(INC_MINVALUES,$V50,$K$1)</f>
        <v>2.5</v>
      </c>
      <c r="X50" s="212">
        <f t="array" ref="X50">INDEX(INC_INCVALUES,$V50,$K$1)</f>
        <v>0.5</v>
      </c>
    </row>
    <row r="51" ht="15.75" customHeight="1">
      <c r="A51" s="435" t="s">
        <v>246</v>
      </c>
      <c r="B51" s="436">
        <v>18.14</v>
      </c>
      <c r="C51" s="95" t="str">
        <f t="array" ref="C51">IF(I51&gt;0,INDEX(DB,I51,8),"")</f>
        <v>Katie Kilburn</v>
      </c>
      <c r="D51" s="437">
        <f t="shared" si="1"/>
        <v>36</v>
      </c>
      <c r="F51" s="438">
        <f t="shared" si="2"/>
        <v>1</v>
      </c>
      <c r="G51" t="str">
        <f t="shared" si="3"/>
        <v/>
      </c>
      <c r="H51" t="b">
        <f t="shared" si="4"/>
        <v>1</v>
      </c>
      <c r="I51" s="439">
        <f>IF(OR(ISBLANK(A51),ISNA(MATCH(A51&amp;"",AthleteNumbers,0))),0,MATCH(A51&amp;"",AthleteNumbers,0))</f>
        <v>54</v>
      </c>
      <c r="J51" s="209" t="str">
        <f t="array" ref="J51">IF(I51&gt;0,INDEX(DB,$I51,6),0)</f>
        <v/>
      </c>
      <c r="K51" s="446">
        <f t="shared" si="5"/>
        <v>18.14</v>
      </c>
      <c r="L51" s="446">
        <f t="shared" si="6"/>
        <v>18.14</v>
      </c>
      <c r="M51" s="441">
        <f>IF(L51&lt;O51,MinPoints,IF(AND(L51&gt;N51,O51&gt;0),100,+INT(($L51-O51)/P51)+MinPoints))</f>
        <v>36</v>
      </c>
      <c r="N51" s="440">
        <f t="shared" si="7"/>
        <v>50</v>
      </c>
      <c r="O51" s="440">
        <f t="shared" si="8"/>
        <v>5</v>
      </c>
      <c r="P51" s="440">
        <f t="shared" si="9"/>
        <v>0.5</v>
      </c>
      <c r="Q51">
        <f t="array" ref="Q51">IF(I51&gt;0,INDEX(DB,I51,9),EventIndex)</f>
        <v>6</v>
      </c>
      <c r="S51" s="442">
        <f t="array" ref="S51">INDEX(MINVALUES,$Q51,$K$1)</f>
        <v>5</v>
      </c>
      <c r="T51">
        <f t="array" ref="T51">INDEX(INCVALUES,$Q51,$K$1)</f>
        <v>0.5</v>
      </c>
      <c r="V51">
        <f t="array" ref="V51">+J51+(4*(INDEX(MatchScoreTable,$Q51,20)-1))</f>
        <v>4</v>
      </c>
      <c r="W51" s="442">
        <f t="array" ref="W51">INDEX(INC_MINVALUES,$V51,$K$1)</f>
        <v>2.5</v>
      </c>
      <c r="X51" s="212">
        <f t="array" ref="X51">INDEX(INC_INCVALUES,$V51,$K$1)</f>
        <v>0.5</v>
      </c>
    </row>
    <row r="52" ht="15.75" customHeight="1">
      <c r="A52" s="435" t="s">
        <v>248</v>
      </c>
      <c r="B52" s="436">
        <v>20.87</v>
      </c>
      <c r="C52" s="95" t="str">
        <f t="array" ref="C52">IF(I52&gt;0,INDEX(DB,I52,8),"")</f>
        <v>Abigail MacDonald</v>
      </c>
      <c r="D52" s="437">
        <f t="shared" si="1"/>
        <v>41</v>
      </c>
      <c r="F52" s="438">
        <f t="shared" si="2"/>
        <v>1</v>
      </c>
      <c r="G52" t="str">
        <f t="shared" si="3"/>
        <v/>
      </c>
      <c r="H52" t="b">
        <f t="shared" si="4"/>
        <v>1</v>
      </c>
      <c r="I52" s="439">
        <f>IF(OR(ISBLANK(A52),ISNA(MATCH(A52&amp;"",AthleteNumbers,0))),0,MATCH(A52&amp;"",AthleteNumbers,0))</f>
        <v>55</v>
      </c>
      <c r="J52" s="209" t="str">
        <f t="array" ref="J52">IF(I52&gt;0,INDEX(DB,$I52,6),0)</f>
        <v/>
      </c>
      <c r="K52" s="446">
        <f t="shared" si="5"/>
        <v>20.87</v>
      </c>
      <c r="L52" s="446">
        <f t="shared" si="6"/>
        <v>20.87</v>
      </c>
      <c r="M52" s="441">
        <f>IF(L52&lt;O52,MinPoints,IF(AND(L52&gt;N52,O52&gt;0),100,+INT(($L52-O52)/P52)+MinPoints))</f>
        <v>41</v>
      </c>
      <c r="N52" s="440">
        <f t="shared" si="7"/>
        <v>50</v>
      </c>
      <c r="O52" s="440">
        <f t="shared" si="8"/>
        <v>5</v>
      </c>
      <c r="P52" s="440">
        <f t="shared" si="9"/>
        <v>0.5</v>
      </c>
      <c r="Q52">
        <f t="array" ref="Q52">IF(I52&gt;0,INDEX(DB,I52,9),EventIndex)</f>
        <v>6</v>
      </c>
      <c r="S52" s="442">
        <f t="array" ref="S52">INDEX(MINVALUES,$Q52,$K$1)</f>
        <v>5</v>
      </c>
      <c r="T52">
        <f t="array" ref="T52">INDEX(INCVALUES,$Q52,$K$1)</f>
        <v>0.5</v>
      </c>
      <c r="V52">
        <f t="array" ref="V52">+J52+(4*(INDEX(MatchScoreTable,$Q52,20)-1))</f>
        <v>4</v>
      </c>
      <c r="W52" s="442">
        <f t="array" ref="W52">INDEX(INC_MINVALUES,$V52,$K$1)</f>
        <v>2.5</v>
      </c>
      <c r="X52" s="212">
        <f t="array" ref="X52">INDEX(INC_INCVALUES,$V52,$K$1)</f>
        <v>0.5</v>
      </c>
    </row>
    <row r="53" ht="15.75" customHeight="1">
      <c r="A53" s="435" t="s">
        <v>251</v>
      </c>
      <c r="B53" s="436">
        <v>10.16</v>
      </c>
      <c r="C53" s="95" t="str">
        <f t="array" ref="C53">IF(I53&gt;0,INDEX(DB,I53,8),"")</f>
        <v>Jasmine Mahmoudi</v>
      </c>
      <c r="D53" s="437">
        <f t="shared" si="1"/>
        <v>20</v>
      </c>
      <c r="F53" s="438">
        <f t="shared" si="2"/>
        <v>1</v>
      </c>
      <c r="G53" t="str">
        <f t="shared" si="3"/>
        <v/>
      </c>
      <c r="H53" t="b">
        <f t="shared" si="4"/>
        <v>1</v>
      </c>
      <c r="I53" s="439">
        <f>IF(OR(ISBLANK(A53),ISNA(MATCH(A53&amp;"",AthleteNumbers,0))),0,MATCH(A53&amp;"",AthleteNumbers,0))</f>
        <v>56</v>
      </c>
      <c r="J53" s="209" t="str">
        <f t="array" ref="J53">IF(I53&gt;0,INDEX(DB,$I53,6),0)</f>
        <v/>
      </c>
      <c r="K53" s="446">
        <f t="shared" si="5"/>
        <v>10.16</v>
      </c>
      <c r="L53" s="446">
        <f t="shared" si="6"/>
        <v>10.16</v>
      </c>
      <c r="M53" s="441">
        <f>IF(L53&lt;O53,MinPoints,IF(AND(L53&gt;N53,O53&gt;0),100,+INT(($L53-O53)/P53)+MinPoints))</f>
        <v>20</v>
      </c>
      <c r="N53" s="440">
        <f t="shared" si="7"/>
        <v>50</v>
      </c>
      <c r="O53" s="440">
        <f t="shared" si="8"/>
        <v>5</v>
      </c>
      <c r="P53" s="440">
        <f t="shared" si="9"/>
        <v>0.5</v>
      </c>
      <c r="Q53">
        <f t="array" ref="Q53">IF(I53&gt;0,INDEX(DB,I53,9),EventIndex)</f>
        <v>6</v>
      </c>
      <c r="S53" s="442">
        <f t="array" ref="S53">INDEX(MINVALUES,$Q53,$K$1)</f>
        <v>5</v>
      </c>
      <c r="T53">
        <f t="array" ref="T53">INDEX(INCVALUES,$Q53,$K$1)</f>
        <v>0.5</v>
      </c>
      <c r="V53">
        <f t="array" ref="V53">+J53+(4*(INDEX(MatchScoreTable,$Q53,20)-1))</f>
        <v>4</v>
      </c>
      <c r="W53" s="442">
        <f t="array" ref="W53">INDEX(INC_MINVALUES,$V53,$K$1)</f>
        <v>2.5</v>
      </c>
      <c r="X53" s="212">
        <f t="array" ref="X53">INDEX(INC_INCVALUES,$V53,$K$1)</f>
        <v>0.5</v>
      </c>
    </row>
    <row r="54" ht="15.75" customHeight="1">
      <c r="A54" s="435" t="s">
        <v>255</v>
      </c>
      <c r="B54" s="436">
        <v>9.77</v>
      </c>
      <c r="C54" s="95" t="str">
        <f t="array" ref="C54">IF(I54&gt;0,INDEX(DB,I54,8),"")</f>
        <v>Myla McNeill</v>
      </c>
      <c r="D54" s="437">
        <f t="shared" si="1"/>
        <v>19</v>
      </c>
      <c r="F54" s="438">
        <f t="shared" si="2"/>
        <v>1</v>
      </c>
      <c r="G54" t="str">
        <f t="shared" si="3"/>
        <v/>
      </c>
      <c r="H54" t="b">
        <f t="shared" si="4"/>
        <v>1</v>
      </c>
      <c r="I54" s="439">
        <f>IF(OR(ISBLANK(A54),ISNA(MATCH(A54&amp;"",AthleteNumbers,0))),0,MATCH(A54&amp;"",AthleteNumbers,0))</f>
        <v>58</v>
      </c>
      <c r="J54" s="209" t="str">
        <f t="array" ref="J54">IF(I54&gt;0,INDEX(DB,$I54,6),0)</f>
        <v/>
      </c>
      <c r="K54" s="446">
        <f t="shared" si="5"/>
        <v>9.77</v>
      </c>
      <c r="L54" s="446">
        <f t="shared" si="6"/>
        <v>9.77</v>
      </c>
      <c r="M54" s="441">
        <f>IF(L54&lt;O54,MinPoints,IF(AND(L54&gt;N54,O54&gt;0),100,+INT(($L54-O54)/P54)+MinPoints))</f>
        <v>19</v>
      </c>
      <c r="N54" s="440">
        <f t="shared" si="7"/>
        <v>50</v>
      </c>
      <c r="O54" s="440">
        <f t="shared" si="8"/>
        <v>5</v>
      </c>
      <c r="P54" s="440">
        <f t="shared" si="9"/>
        <v>0.5</v>
      </c>
      <c r="Q54">
        <f t="array" ref="Q54">IF(I54&gt;0,INDEX(DB,I54,9),EventIndex)</f>
        <v>6</v>
      </c>
      <c r="S54" s="442">
        <f t="array" ref="S54">INDEX(MINVALUES,$Q54,$K$1)</f>
        <v>5</v>
      </c>
      <c r="T54">
        <f t="array" ref="T54">INDEX(INCVALUES,$Q54,$K$1)</f>
        <v>0.5</v>
      </c>
      <c r="V54">
        <f t="array" ref="V54">+J54+(4*(INDEX(MatchScoreTable,$Q54,20)-1))</f>
        <v>4</v>
      </c>
      <c r="W54" s="442">
        <f t="array" ref="W54">INDEX(INC_MINVALUES,$V54,$K$1)</f>
        <v>2.5</v>
      </c>
      <c r="X54" s="212">
        <f t="array" ref="X54">INDEX(INC_INCVALUES,$V54,$K$1)</f>
        <v>0.5</v>
      </c>
    </row>
    <row r="55" ht="15.75" customHeight="1">
      <c r="A55" s="435" t="s">
        <v>257</v>
      </c>
      <c r="B55" s="436">
        <v>14.45</v>
      </c>
      <c r="C55" s="95" t="str">
        <f t="array" ref="C55">IF(I55&gt;0,INDEX(DB,I55,8),"")</f>
        <v>Albha O'Brien</v>
      </c>
      <c r="D55" s="437">
        <f t="shared" si="1"/>
        <v>28</v>
      </c>
      <c r="F55" s="438">
        <f t="shared" si="2"/>
        <v>1</v>
      </c>
      <c r="G55" t="str">
        <f t="shared" si="3"/>
        <v/>
      </c>
      <c r="H55" t="b">
        <f t="shared" si="4"/>
        <v>1</v>
      </c>
      <c r="I55" s="439">
        <f>IF(OR(ISBLANK(A55),ISNA(MATCH(A55&amp;"",AthleteNumbers,0))),0,MATCH(A55&amp;"",AthleteNumbers,0))</f>
        <v>59</v>
      </c>
      <c r="J55" s="209" t="str">
        <f t="array" ref="J55">IF(I55&gt;0,INDEX(DB,$I55,6),0)</f>
        <v/>
      </c>
      <c r="K55" s="446">
        <f t="shared" si="5"/>
        <v>14.45</v>
      </c>
      <c r="L55" s="446">
        <f t="shared" si="6"/>
        <v>14.45</v>
      </c>
      <c r="M55" s="441">
        <f>IF(L55&lt;O55,MinPoints,IF(AND(L55&gt;N55,O55&gt;0),100,+INT(($L55-O55)/P55)+MinPoints))</f>
        <v>28</v>
      </c>
      <c r="N55" s="440">
        <f t="shared" si="7"/>
        <v>50</v>
      </c>
      <c r="O55" s="440">
        <f t="shared" si="8"/>
        <v>5</v>
      </c>
      <c r="P55" s="440">
        <f t="shared" si="9"/>
        <v>0.5</v>
      </c>
      <c r="Q55">
        <f t="array" ref="Q55">IF(I55&gt;0,INDEX(DB,I55,9),EventIndex)</f>
        <v>6</v>
      </c>
      <c r="S55" s="442">
        <f t="array" ref="S55">INDEX(MINVALUES,$Q55,$K$1)</f>
        <v>5</v>
      </c>
      <c r="T55">
        <f t="array" ref="T55">INDEX(INCVALUES,$Q55,$K$1)</f>
        <v>0.5</v>
      </c>
      <c r="V55">
        <f t="array" ref="V55">+J55+(4*(INDEX(MatchScoreTable,$Q55,20)-1))</f>
        <v>4</v>
      </c>
      <c r="W55" s="442">
        <f t="array" ref="W55">INDEX(INC_MINVALUES,$V55,$K$1)</f>
        <v>2.5</v>
      </c>
      <c r="X55" s="212">
        <f t="array" ref="X55">INDEX(INC_INCVALUES,$V55,$K$1)</f>
        <v>0.5</v>
      </c>
    </row>
    <row r="56" ht="15.75" customHeight="1">
      <c r="A56" s="435" t="s">
        <v>259</v>
      </c>
      <c r="B56" s="436">
        <v>22.29</v>
      </c>
      <c r="C56" s="95" t="str">
        <f t="array" ref="C56">IF(I56&gt;0,INDEX(DB,I56,8),"")</f>
        <v>Clodagh O'Brien</v>
      </c>
      <c r="D56" s="437">
        <f t="shared" si="1"/>
        <v>44</v>
      </c>
      <c r="F56" s="438">
        <f t="shared" si="2"/>
        <v>1</v>
      </c>
      <c r="G56" t="str">
        <f t="shared" si="3"/>
        <v/>
      </c>
      <c r="H56" t="b">
        <f t="shared" si="4"/>
        <v>1</v>
      </c>
      <c r="I56" s="439">
        <f>IF(OR(ISBLANK(A56),ISNA(MATCH(A56&amp;"",AthleteNumbers,0))),0,MATCH(A56&amp;"",AthleteNumbers,0))</f>
        <v>60</v>
      </c>
      <c r="J56" s="209" t="str">
        <f t="array" ref="J56">IF(I56&gt;0,INDEX(DB,$I56,6),0)</f>
        <v/>
      </c>
      <c r="K56" s="446">
        <f t="shared" si="5"/>
        <v>22.29</v>
      </c>
      <c r="L56" s="446">
        <f t="shared" si="6"/>
        <v>22.29</v>
      </c>
      <c r="M56" s="441">
        <f>IF(L56&lt;O56,MinPoints,IF(AND(L56&gt;N56,O56&gt;0),100,+INT(($L56-O56)/P56)+MinPoints))</f>
        <v>44</v>
      </c>
      <c r="N56" s="440">
        <f t="shared" si="7"/>
        <v>50</v>
      </c>
      <c r="O56" s="440">
        <f t="shared" si="8"/>
        <v>5</v>
      </c>
      <c r="P56" s="440">
        <f t="shared" si="9"/>
        <v>0.5</v>
      </c>
      <c r="Q56">
        <f t="array" ref="Q56">IF(I56&gt;0,INDEX(DB,I56,9),EventIndex)</f>
        <v>6</v>
      </c>
      <c r="S56" s="442">
        <f t="array" ref="S56">INDEX(MINVALUES,$Q56,$K$1)</f>
        <v>5</v>
      </c>
      <c r="T56">
        <f t="array" ref="T56">INDEX(INCVALUES,$Q56,$K$1)</f>
        <v>0.5</v>
      </c>
      <c r="V56">
        <f t="array" ref="V56">+J56+(4*(INDEX(MatchScoreTable,$Q56,20)-1))</f>
        <v>4</v>
      </c>
      <c r="W56" s="442">
        <f t="array" ref="W56">INDEX(INC_MINVALUES,$V56,$K$1)</f>
        <v>2.5</v>
      </c>
      <c r="X56" s="212">
        <f t="array" ref="X56">INDEX(INC_INCVALUES,$V56,$K$1)</f>
        <v>0.5</v>
      </c>
    </row>
    <row r="57" ht="15.75" customHeight="1">
      <c r="A57" s="435" t="s">
        <v>261</v>
      </c>
      <c r="B57" s="436">
        <v>19.5</v>
      </c>
      <c r="C57" s="95" t="str">
        <f t="array" ref="C57">IF(I57&gt;0,INDEX(DB,I57,8),"")</f>
        <v>Gracie Osman</v>
      </c>
      <c r="D57" s="437">
        <f t="shared" si="1"/>
        <v>39</v>
      </c>
      <c r="F57" s="438">
        <f t="shared" si="2"/>
        <v>1</v>
      </c>
      <c r="G57" t="str">
        <f t="shared" si="3"/>
        <v/>
      </c>
      <c r="H57" t="b">
        <f t="shared" si="4"/>
        <v>1</v>
      </c>
      <c r="I57" s="439">
        <f>IF(OR(ISBLANK(A57),ISNA(MATCH(A57&amp;"",AthleteNumbers,0))),0,MATCH(A57&amp;"",AthleteNumbers,0))</f>
        <v>61</v>
      </c>
      <c r="J57" s="209" t="str">
        <f t="array" ref="J57">IF(I57&gt;0,INDEX(DB,$I57,6),0)</f>
        <v/>
      </c>
      <c r="K57" s="446">
        <f t="shared" si="5"/>
        <v>19.5</v>
      </c>
      <c r="L57" s="446">
        <f t="shared" si="6"/>
        <v>19.5</v>
      </c>
      <c r="M57" s="441">
        <f>IF(L57&lt;O57,MinPoints,IF(AND(L57&gt;N57,O57&gt;0),100,+INT(($L57-O57)/P57)+MinPoints))</f>
        <v>39</v>
      </c>
      <c r="N57" s="440">
        <f t="shared" si="7"/>
        <v>50</v>
      </c>
      <c r="O57" s="440">
        <f t="shared" si="8"/>
        <v>5</v>
      </c>
      <c r="P57" s="440">
        <f t="shared" si="9"/>
        <v>0.5</v>
      </c>
      <c r="Q57">
        <f t="array" ref="Q57">IF(I57&gt;0,INDEX(DB,I57,9),EventIndex)</f>
        <v>6</v>
      </c>
      <c r="S57" s="442">
        <f t="array" ref="S57">INDEX(MINVALUES,$Q57,$K$1)</f>
        <v>5</v>
      </c>
      <c r="T57">
        <f t="array" ref="T57">INDEX(INCVALUES,$Q57,$K$1)</f>
        <v>0.5</v>
      </c>
      <c r="V57">
        <f t="array" ref="V57">+J57+(4*(INDEX(MatchScoreTable,$Q57,20)-1))</f>
        <v>4</v>
      </c>
      <c r="W57" s="442">
        <f t="array" ref="W57">INDEX(INC_MINVALUES,$V57,$K$1)</f>
        <v>2.5</v>
      </c>
      <c r="X57" s="212">
        <f t="array" ref="X57">INDEX(INC_INCVALUES,$V57,$K$1)</f>
        <v>0.5</v>
      </c>
    </row>
    <row r="58" ht="15.75" customHeight="1">
      <c r="A58" s="435" t="s">
        <v>263</v>
      </c>
      <c r="B58" s="436">
        <v>13.61</v>
      </c>
      <c r="C58" s="95" t="str">
        <f t="array" ref="C58">IF(I58&gt;0,INDEX(DB,I58,8),"")</f>
        <v>Isabelle Saint</v>
      </c>
      <c r="D58" s="437">
        <f t="shared" si="1"/>
        <v>27</v>
      </c>
      <c r="F58" s="438">
        <f t="shared" si="2"/>
        <v>1</v>
      </c>
      <c r="G58" t="str">
        <f t="shared" si="3"/>
        <v/>
      </c>
      <c r="H58" t="b">
        <f t="shared" si="4"/>
        <v>1</v>
      </c>
      <c r="I58" s="439">
        <f>IF(OR(ISBLANK(A58),ISNA(MATCH(A58&amp;"",AthleteNumbers,0))),0,MATCH(A58&amp;"",AthleteNumbers,0))</f>
        <v>62</v>
      </c>
      <c r="J58" s="209" t="str">
        <f t="array" ref="J58">IF(I58&gt;0,INDEX(DB,$I58,6),0)</f>
        <v/>
      </c>
      <c r="K58" s="446">
        <f t="shared" si="5"/>
        <v>13.61</v>
      </c>
      <c r="L58" s="446">
        <f t="shared" si="6"/>
        <v>13.61</v>
      </c>
      <c r="M58" s="441">
        <f>IF(L58&lt;O58,MinPoints,IF(AND(L58&gt;N58,O58&gt;0),100,+INT(($L58-O58)/P58)+MinPoints))</f>
        <v>27</v>
      </c>
      <c r="N58" s="440">
        <f t="shared" si="7"/>
        <v>50</v>
      </c>
      <c r="O58" s="440">
        <f t="shared" si="8"/>
        <v>5</v>
      </c>
      <c r="P58" s="440">
        <f t="shared" si="9"/>
        <v>0.5</v>
      </c>
      <c r="Q58">
        <f t="array" ref="Q58">IF(I58&gt;0,INDEX(DB,I58,9),EventIndex)</f>
        <v>6</v>
      </c>
      <c r="S58" s="442">
        <f t="array" ref="S58">INDEX(MINVALUES,$Q58,$K$1)</f>
        <v>5</v>
      </c>
      <c r="T58">
        <f t="array" ref="T58">INDEX(INCVALUES,$Q58,$K$1)</f>
        <v>0.5</v>
      </c>
      <c r="V58">
        <f t="array" ref="V58">+J58+(4*(INDEX(MatchScoreTable,$Q58,20)-1))</f>
        <v>4</v>
      </c>
      <c r="W58" s="442">
        <f t="array" ref="W58">INDEX(INC_MINVALUES,$V58,$K$1)</f>
        <v>2.5</v>
      </c>
      <c r="X58" s="212">
        <f t="array" ref="X58">INDEX(INC_INCVALUES,$V58,$K$1)</f>
        <v>0.5</v>
      </c>
    </row>
    <row r="59" ht="15.75" customHeight="1">
      <c r="A59" s="435" t="s">
        <v>265</v>
      </c>
      <c r="B59" s="436">
        <v>18.94</v>
      </c>
      <c r="C59" s="95" t="str">
        <f t="array" ref="C59">IF(I59&gt;0,INDEX(DB,I59,8),"")</f>
        <v>Alexis Seymour</v>
      </c>
      <c r="D59" s="437">
        <f t="shared" si="1"/>
        <v>37</v>
      </c>
      <c r="F59" s="438">
        <f t="shared" si="2"/>
        <v>1</v>
      </c>
      <c r="G59" t="str">
        <f t="shared" si="3"/>
        <v/>
      </c>
      <c r="H59" t="b">
        <f t="shared" si="4"/>
        <v>1</v>
      </c>
      <c r="I59" s="439">
        <f>IF(OR(ISBLANK(A59),ISNA(MATCH(A59&amp;"",AthleteNumbers,0))),0,MATCH(A59&amp;"",AthleteNumbers,0))</f>
        <v>63</v>
      </c>
      <c r="J59" s="209" t="str">
        <f t="array" ref="J59">IF(I59&gt;0,INDEX(DB,$I59,6),0)</f>
        <v/>
      </c>
      <c r="K59" s="446">
        <f t="shared" si="5"/>
        <v>18.94</v>
      </c>
      <c r="L59" s="446">
        <f t="shared" si="6"/>
        <v>18.94</v>
      </c>
      <c r="M59" s="441">
        <f>IF(L59&lt;O59,MinPoints,IF(AND(L59&gt;N59,O59&gt;0),100,+INT(($L59-O59)/P59)+MinPoints))</f>
        <v>37</v>
      </c>
      <c r="N59" s="440">
        <f t="shared" si="7"/>
        <v>50</v>
      </c>
      <c r="O59" s="440">
        <f t="shared" si="8"/>
        <v>5</v>
      </c>
      <c r="P59" s="440">
        <f t="shared" si="9"/>
        <v>0.5</v>
      </c>
      <c r="Q59">
        <f t="array" ref="Q59">IF(I59&gt;0,INDEX(DB,I59,9),EventIndex)</f>
        <v>6</v>
      </c>
      <c r="S59" s="442">
        <f t="array" ref="S59">INDEX(MINVALUES,$Q59,$K$1)</f>
        <v>5</v>
      </c>
      <c r="T59">
        <f t="array" ref="T59">INDEX(INCVALUES,$Q59,$K$1)</f>
        <v>0.5</v>
      </c>
      <c r="V59">
        <f t="array" ref="V59">+J59+(4*(INDEX(MatchScoreTable,$Q59,20)-1))</f>
        <v>4</v>
      </c>
      <c r="W59" s="442">
        <f t="array" ref="W59">INDEX(INC_MINVALUES,$V59,$K$1)</f>
        <v>2.5</v>
      </c>
      <c r="X59" s="212">
        <f t="array" ref="X59">INDEX(INC_INCVALUES,$V59,$K$1)</f>
        <v>0.5</v>
      </c>
    </row>
    <row r="60" ht="15.75" customHeight="1">
      <c r="A60" s="435" t="s">
        <v>268</v>
      </c>
      <c r="B60" s="436">
        <v>17.3</v>
      </c>
      <c r="C60" s="95" t="str">
        <f t="array" ref="C60">IF(I60&gt;0,INDEX(DB,I60,8),"")</f>
        <v>Clover Smith</v>
      </c>
      <c r="D60" s="437">
        <f t="shared" si="1"/>
        <v>34</v>
      </c>
      <c r="F60" s="438">
        <f t="shared" si="2"/>
        <v>1</v>
      </c>
      <c r="G60" t="str">
        <f t="shared" si="3"/>
        <v/>
      </c>
      <c r="H60" t="b">
        <f t="shared" si="4"/>
        <v>1</v>
      </c>
      <c r="I60" s="439">
        <f>IF(OR(ISBLANK(A60),ISNA(MATCH(A60&amp;"",AthleteNumbers,0))),0,MATCH(A60&amp;"",AthleteNumbers,0))</f>
        <v>64</v>
      </c>
      <c r="J60" s="209" t="str">
        <f t="array" ref="J60">IF(I60&gt;0,INDEX(DB,$I60,6),0)</f>
        <v/>
      </c>
      <c r="K60" s="446">
        <f t="shared" si="5"/>
        <v>17.3</v>
      </c>
      <c r="L60" s="446">
        <f t="shared" si="6"/>
        <v>17.3</v>
      </c>
      <c r="M60" s="441">
        <f>IF(L60&lt;O60,MinPoints,IF(AND(L60&gt;N60,O60&gt;0),100,+INT(($L60-O60)/P60)+MinPoints))</f>
        <v>34</v>
      </c>
      <c r="N60" s="440">
        <f t="shared" si="7"/>
        <v>50</v>
      </c>
      <c r="O60" s="440">
        <f t="shared" si="8"/>
        <v>5</v>
      </c>
      <c r="P60" s="440">
        <f t="shared" si="9"/>
        <v>0.5</v>
      </c>
      <c r="Q60">
        <f t="array" ref="Q60">IF(I60&gt;0,INDEX(DB,I60,9),EventIndex)</f>
        <v>6</v>
      </c>
      <c r="S60" s="442">
        <f t="array" ref="S60">INDEX(MINVALUES,$Q60,$K$1)</f>
        <v>5</v>
      </c>
      <c r="T60">
        <f t="array" ref="T60">INDEX(INCVALUES,$Q60,$K$1)</f>
        <v>0.5</v>
      </c>
      <c r="V60">
        <f t="array" ref="V60">+J60+(4*(INDEX(MatchScoreTable,$Q60,20)-1))</f>
        <v>4</v>
      </c>
      <c r="W60" s="442">
        <f t="array" ref="W60">INDEX(INC_MINVALUES,$V60,$K$1)</f>
        <v>2.5</v>
      </c>
      <c r="X60" s="212">
        <f t="array" ref="X60">INDEX(INC_INCVALUES,$V60,$K$1)</f>
        <v>0.5</v>
      </c>
    </row>
    <row r="61" ht="15.75" customHeight="1">
      <c r="A61" s="435" t="s">
        <v>270</v>
      </c>
      <c r="B61" s="436">
        <v>10.65</v>
      </c>
      <c r="C61" s="95" t="str">
        <f t="array" ref="C61">IF(I61&gt;0,INDEX(DB,I61,8),"")</f>
        <v>Lucy Smith </v>
      </c>
      <c r="D61" s="437">
        <f t="shared" si="1"/>
        <v>21</v>
      </c>
      <c r="F61" s="438">
        <f t="shared" si="2"/>
        <v>1</v>
      </c>
      <c r="G61" t="str">
        <f t="shared" si="3"/>
        <v/>
      </c>
      <c r="H61" t="b">
        <f t="shared" si="4"/>
        <v>1</v>
      </c>
      <c r="I61" s="439">
        <f>IF(OR(ISBLANK(A61),ISNA(MATCH(A61&amp;"",AthleteNumbers,0))),0,MATCH(A61&amp;"",AthleteNumbers,0))</f>
        <v>65</v>
      </c>
      <c r="J61" s="209" t="str">
        <f t="array" ref="J61">IF(I61&gt;0,INDEX(DB,$I61,6),0)</f>
        <v/>
      </c>
      <c r="K61" s="446">
        <f t="shared" si="5"/>
        <v>10.65</v>
      </c>
      <c r="L61" s="446">
        <f t="shared" si="6"/>
        <v>10.65</v>
      </c>
      <c r="M61" s="441">
        <f>IF(L61&lt;O61,MinPoints,IF(AND(L61&gt;N61,O61&gt;0),100,+INT(($L61-O61)/P61)+MinPoints))</f>
        <v>21</v>
      </c>
      <c r="N61" s="440">
        <f t="shared" si="7"/>
        <v>50</v>
      </c>
      <c r="O61" s="440">
        <f t="shared" si="8"/>
        <v>5</v>
      </c>
      <c r="P61" s="440">
        <f t="shared" si="9"/>
        <v>0.5</v>
      </c>
      <c r="Q61">
        <f t="array" ref="Q61">IF(I61&gt;0,INDEX(DB,I61,9),EventIndex)</f>
        <v>6</v>
      </c>
      <c r="S61" s="442">
        <f t="array" ref="S61">INDEX(MINVALUES,$Q61,$K$1)</f>
        <v>5</v>
      </c>
      <c r="T61">
        <f t="array" ref="T61">INDEX(INCVALUES,$Q61,$K$1)</f>
        <v>0.5</v>
      </c>
      <c r="V61">
        <f t="array" ref="V61">+J61+(4*(INDEX(MatchScoreTable,$Q61,20)-1))</f>
        <v>4</v>
      </c>
      <c r="W61" s="442">
        <f t="array" ref="W61">INDEX(INC_MINVALUES,$V61,$K$1)</f>
        <v>2.5</v>
      </c>
      <c r="X61" s="212">
        <f t="array" ref="X61">INDEX(INC_INCVALUES,$V61,$K$1)</f>
        <v>0.5</v>
      </c>
    </row>
    <row r="62" ht="15.75" customHeight="1">
      <c r="A62" s="435" t="s">
        <v>273</v>
      </c>
      <c r="B62" s="436">
        <v>13.76</v>
      </c>
      <c r="C62" s="95" t="str">
        <f t="array" ref="C62">IF(I62&gt;0,INDEX(DB,I62,8),"")</f>
        <v>Bethany Smith</v>
      </c>
      <c r="D62" s="437">
        <f t="shared" si="1"/>
        <v>27</v>
      </c>
      <c r="F62" s="438">
        <f t="shared" si="2"/>
        <v>1</v>
      </c>
      <c r="G62" t="str">
        <f t="shared" si="3"/>
        <v/>
      </c>
      <c r="H62" t="b">
        <f t="shared" si="4"/>
        <v>1</v>
      </c>
      <c r="I62" s="439">
        <f>IF(OR(ISBLANK(A62),ISNA(MATCH(A62&amp;"",AthleteNumbers,0))),0,MATCH(A62&amp;"",AthleteNumbers,0))</f>
        <v>66</v>
      </c>
      <c r="J62" s="209" t="str">
        <f t="array" ref="J62">IF(I62&gt;0,INDEX(DB,$I62,6),0)</f>
        <v/>
      </c>
      <c r="K62" s="446">
        <f t="shared" si="5"/>
        <v>13.76</v>
      </c>
      <c r="L62" s="446">
        <f t="shared" si="6"/>
        <v>13.76</v>
      </c>
      <c r="M62" s="441">
        <f>IF(L62&lt;O62,MinPoints,IF(AND(L62&gt;N62,O62&gt;0),100,+INT(($L62-O62)/P62)+MinPoints))</f>
        <v>27</v>
      </c>
      <c r="N62" s="440">
        <f t="shared" si="7"/>
        <v>50</v>
      </c>
      <c r="O62" s="440">
        <f t="shared" si="8"/>
        <v>5</v>
      </c>
      <c r="P62" s="440">
        <f t="shared" si="9"/>
        <v>0.5</v>
      </c>
      <c r="Q62">
        <f t="array" ref="Q62">IF(I62&gt;0,INDEX(DB,I62,9),EventIndex)</f>
        <v>6</v>
      </c>
      <c r="S62" s="442">
        <f t="array" ref="S62">INDEX(MINVALUES,$Q62,$K$1)</f>
        <v>5</v>
      </c>
      <c r="T62">
        <f t="array" ref="T62">INDEX(INCVALUES,$Q62,$K$1)</f>
        <v>0.5</v>
      </c>
      <c r="V62">
        <f t="array" ref="V62">+J62+(4*(INDEX(MatchScoreTable,$Q62,20)-1))</f>
        <v>4</v>
      </c>
      <c r="W62" s="442">
        <f t="array" ref="W62">INDEX(INC_MINVALUES,$V62,$K$1)</f>
        <v>2.5</v>
      </c>
      <c r="X62" s="212">
        <f t="array" ref="X62">INDEX(INC_INCVALUES,$V62,$K$1)</f>
        <v>0.5</v>
      </c>
    </row>
    <row r="63" ht="15.75" customHeight="1">
      <c r="A63" s="435" t="s">
        <v>279</v>
      </c>
      <c r="B63" s="436">
        <v>23.53</v>
      </c>
      <c r="C63" s="95" t="str">
        <f t="array" ref="C63">IF(I63&gt;0,INDEX(DB,I63,8),"")</f>
        <v>Poppy Taylor</v>
      </c>
      <c r="D63" s="437">
        <f t="shared" si="1"/>
        <v>47</v>
      </c>
      <c r="F63" s="438">
        <f t="shared" si="2"/>
        <v>1</v>
      </c>
      <c r="G63" t="str">
        <f t="shared" si="3"/>
        <v/>
      </c>
      <c r="H63" t="b">
        <f t="shared" si="4"/>
        <v>1</v>
      </c>
      <c r="I63" s="439">
        <f>IF(OR(ISBLANK(A63),ISNA(MATCH(A63&amp;"",AthleteNumbers,0))),0,MATCH(A63&amp;"",AthleteNumbers,0))</f>
        <v>68</v>
      </c>
      <c r="J63" s="209" t="str">
        <f t="array" ref="J63">IF(I63&gt;0,INDEX(DB,$I63,6),0)</f>
        <v/>
      </c>
      <c r="K63" s="446">
        <f t="shared" si="5"/>
        <v>23.53</v>
      </c>
      <c r="L63" s="446">
        <f t="shared" si="6"/>
        <v>23.53</v>
      </c>
      <c r="M63" s="441">
        <f>IF(L63&lt;O63,MinPoints,IF(AND(L63&gt;N63,O63&gt;0),100,+INT(($L63-O63)/P63)+MinPoints))</f>
        <v>47</v>
      </c>
      <c r="N63" s="440">
        <f t="shared" si="7"/>
        <v>50</v>
      </c>
      <c r="O63" s="440">
        <f t="shared" si="8"/>
        <v>5</v>
      </c>
      <c r="P63" s="440">
        <f t="shared" si="9"/>
        <v>0.5</v>
      </c>
      <c r="Q63">
        <f t="array" ref="Q63">IF(I63&gt;0,INDEX(DB,I63,9),EventIndex)</f>
        <v>6</v>
      </c>
      <c r="S63" s="442">
        <f t="array" ref="S63">INDEX(MINVALUES,$Q63,$K$1)</f>
        <v>5</v>
      </c>
      <c r="T63">
        <f t="array" ref="T63">INDEX(INCVALUES,$Q63,$K$1)</f>
        <v>0.5</v>
      </c>
      <c r="V63">
        <f t="array" ref="V63">+J63+(4*(INDEX(MatchScoreTable,$Q63,20)-1))</f>
        <v>4</v>
      </c>
      <c r="W63" s="442">
        <f t="array" ref="W63">INDEX(INC_MINVALUES,$V63,$K$1)</f>
        <v>2.5</v>
      </c>
      <c r="X63" s="212">
        <f t="array" ref="X63">INDEX(INC_INCVALUES,$V63,$K$1)</f>
        <v>0.5</v>
      </c>
    </row>
    <row r="64" ht="15.75" customHeight="1">
      <c r="A64" s="435" t="s">
        <v>281</v>
      </c>
      <c r="B64" s="436">
        <v>13.49</v>
      </c>
      <c r="C64" s="95" t="str">
        <f t="array" ref="C64">IF(I64&gt;0,INDEX(DB,I64,8),"")</f>
        <v>Chrissie Thomson</v>
      </c>
      <c r="D64" s="437">
        <f t="shared" si="1"/>
        <v>26</v>
      </c>
      <c r="F64" s="438">
        <f t="shared" si="2"/>
        <v>1</v>
      </c>
      <c r="G64" t="str">
        <f t="shared" si="3"/>
        <v/>
      </c>
      <c r="H64" t="b">
        <f t="shared" si="4"/>
        <v>1</v>
      </c>
      <c r="I64" s="439">
        <f>IF(OR(ISBLANK(A64),ISNA(MATCH(A64&amp;"",AthleteNumbers,0))),0,MATCH(A64&amp;"",AthleteNumbers,0))</f>
        <v>69</v>
      </c>
      <c r="J64" s="209" t="str">
        <f t="array" ref="J64">IF(I64&gt;0,INDEX(DB,$I64,6),0)</f>
        <v/>
      </c>
      <c r="K64" s="446">
        <f t="shared" si="5"/>
        <v>13.49</v>
      </c>
      <c r="L64" s="446">
        <f t="shared" si="6"/>
        <v>13.49</v>
      </c>
      <c r="M64" s="441">
        <f>IF(L64&lt;O64,MinPoints,IF(AND(L64&gt;N64,O64&gt;0),100,+INT(($L64-O64)/P64)+MinPoints))</f>
        <v>26</v>
      </c>
      <c r="N64" s="440">
        <f t="shared" si="7"/>
        <v>50</v>
      </c>
      <c r="O64" s="440">
        <f t="shared" si="8"/>
        <v>5</v>
      </c>
      <c r="P64" s="440">
        <f t="shared" si="9"/>
        <v>0.5</v>
      </c>
      <c r="Q64">
        <f t="array" ref="Q64">IF(I64&gt;0,INDEX(DB,I64,9),EventIndex)</f>
        <v>6</v>
      </c>
      <c r="S64" s="442">
        <f t="array" ref="S64">INDEX(MINVALUES,$Q64,$K$1)</f>
        <v>5</v>
      </c>
      <c r="T64">
        <f t="array" ref="T64">INDEX(INCVALUES,$Q64,$K$1)</f>
        <v>0.5</v>
      </c>
      <c r="V64">
        <f t="array" ref="V64">+J64+(4*(INDEX(MatchScoreTable,$Q64,20)-1))</f>
        <v>4</v>
      </c>
      <c r="W64" s="442">
        <f t="array" ref="W64">INDEX(INC_MINVALUES,$V64,$K$1)</f>
        <v>2.5</v>
      </c>
      <c r="X64" s="212">
        <f t="array" ref="X64">INDEX(INC_INCVALUES,$V64,$K$1)</f>
        <v>0.5</v>
      </c>
    </row>
    <row r="65" ht="15.75" customHeight="1">
      <c r="A65" s="435" t="s">
        <v>283</v>
      </c>
      <c r="B65" s="436">
        <v>10.74</v>
      </c>
      <c r="C65" s="95" t="str">
        <f t="array" ref="C65">IF(I65&gt;0,INDEX(DB,I65,8),"")</f>
        <v>Darcey Thorne Henderson</v>
      </c>
      <c r="D65" s="437">
        <f t="shared" si="1"/>
        <v>21</v>
      </c>
      <c r="F65" s="438">
        <f t="shared" si="2"/>
        <v>1</v>
      </c>
      <c r="G65" t="str">
        <f t="shared" si="3"/>
        <v/>
      </c>
      <c r="H65" t="b">
        <f t="shared" si="4"/>
        <v>1</v>
      </c>
      <c r="I65" s="439">
        <f>IF(OR(ISBLANK(A65),ISNA(MATCH(A65&amp;"",AthleteNumbers,0))),0,MATCH(A65&amp;"",AthleteNumbers,0))</f>
        <v>70</v>
      </c>
      <c r="J65" s="209" t="str">
        <f t="array" ref="J65">IF(I65&gt;0,INDEX(DB,$I65,6),0)</f>
        <v/>
      </c>
      <c r="K65" s="446">
        <f t="shared" si="5"/>
        <v>10.74</v>
      </c>
      <c r="L65" s="446">
        <f t="shared" si="6"/>
        <v>10.74</v>
      </c>
      <c r="M65" s="441">
        <f>IF(L65&lt;O65,MinPoints,IF(AND(L65&gt;N65,O65&gt;0),100,+INT(($L65-O65)/P65)+MinPoints))</f>
        <v>21</v>
      </c>
      <c r="N65" s="440">
        <f t="shared" si="7"/>
        <v>50</v>
      </c>
      <c r="O65" s="440">
        <f t="shared" si="8"/>
        <v>5</v>
      </c>
      <c r="P65" s="440">
        <f t="shared" si="9"/>
        <v>0.5</v>
      </c>
      <c r="Q65">
        <f t="array" ref="Q65">IF(I65&gt;0,INDEX(DB,I65,9),EventIndex)</f>
        <v>6</v>
      </c>
      <c r="S65" s="442">
        <f t="array" ref="S65">INDEX(MINVALUES,$Q65,$K$1)</f>
        <v>5</v>
      </c>
      <c r="T65">
        <f t="array" ref="T65">INDEX(INCVALUES,$Q65,$K$1)</f>
        <v>0.5</v>
      </c>
      <c r="V65">
        <f t="array" ref="V65">+J65+(4*(INDEX(MatchScoreTable,$Q65,20)-1))</f>
        <v>4</v>
      </c>
      <c r="W65" s="442">
        <f t="array" ref="W65">INDEX(INC_MINVALUES,$V65,$K$1)</f>
        <v>2.5</v>
      </c>
      <c r="X65" s="212">
        <f t="array" ref="X65">INDEX(INC_INCVALUES,$V65,$K$1)</f>
        <v>0.5</v>
      </c>
    </row>
    <row r="66" ht="15.75" customHeight="1">
      <c r="A66" s="435" t="s">
        <v>286</v>
      </c>
      <c r="B66" s="436">
        <v>21.62</v>
      </c>
      <c r="C66" s="95" t="str">
        <f t="array" ref="C66">IF(I66&gt;0,INDEX(DB,I66,8),"")</f>
        <v>Julieana Walsh</v>
      </c>
      <c r="D66" s="437">
        <f t="shared" si="1"/>
        <v>43</v>
      </c>
      <c r="F66" s="438">
        <f t="shared" si="2"/>
        <v>1</v>
      </c>
      <c r="G66" t="str">
        <f t="shared" si="3"/>
        <v/>
      </c>
      <c r="H66" t="b">
        <f t="shared" si="4"/>
        <v>1</v>
      </c>
      <c r="I66" s="439">
        <f>IF(OR(ISBLANK(A66),ISNA(MATCH(A66&amp;"",AthleteNumbers,0))),0,MATCH(A66&amp;"",AthleteNumbers,0))</f>
        <v>71</v>
      </c>
      <c r="J66" s="209" t="str">
        <f t="array" ref="J66">IF(I66&gt;0,INDEX(DB,$I66,6),0)</f>
        <v/>
      </c>
      <c r="K66" s="446">
        <f t="shared" si="5"/>
        <v>21.62</v>
      </c>
      <c r="L66" s="446">
        <f t="shared" si="6"/>
        <v>21.62</v>
      </c>
      <c r="M66" s="441">
        <f>IF(L66&lt;O66,MinPoints,IF(AND(L66&gt;N66,O66&gt;0),100,+INT(($L66-O66)/P66)+MinPoints))</f>
        <v>43</v>
      </c>
      <c r="N66" s="440">
        <f t="shared" si="7"/>
        <v>50</v>
      </c>
      <c r="O66" s="440">
        <f t="shared" si="8"/>
        <v>5</v>
      </c>
      <c r="P66" s="440">
        <f t="shared" si="9"/>
        <v>0.5</v>
      </c>
      <c r="Q66">
        <f t="array" ref="Q66">IF(I66&gt;0,INDEX(DB,I66,9),EventIndex)</f>
        <v>6</v>
      </c>
      <c r="S66" s="442">
        <f t="array" ref="S66">INDEX(MINVALUES,$Q66,$K$1)</f>
        <v>5</v>
      </c>
      <c r="T66">
        <f t="array" ref="T66">INDEX(INCVALUES,$Q66,$K$1)</f>
        <v>0.5</v>
      </c>
      <c r="V66">
        <f t="array" ref="V66">+J66+(4*(INDEX(MatchScoreTable,$Q66,20)-1))</f>
        <v>4</v>
      </c>
      <c r="W66" s="442">
        <f t="array" ref="W66">INDEX(INC_MINVALUES,$V66,$K$1)</f>
        <v>2.5</v>
      </c>
      <c r="X66" s="212">
        <f t="array" ref="X66">INDEX(INC_INCVALUES,$V66,$K$1)</f>
        <v>0.5</v>
      </c>
    </row>
    <row r="67" ht="15.75" customHeight="1">
      <c r="A67" s="435" t="s">
        <v>290</v>
      </c>
      <c r="B67" s="436">
        <v>9.49</v>
      </c>
      <c r="C67" s="95" t="str">
        <f t="array" ref="C67">IF(I67&gt;0,INDEX(DB,I67,8),"")</f>
        <v>Lavender West</v>
      </c>
      <c r="D67" s="437">
        <f t="shared" si="1"/>
        <v>18</v>
      </c>
      <c r="F67" s="438">
        <f t="shared" si="2"/>
        <v>1</v>
      </c>
      <c r="G67" t="str">
        <f t="shared" si="3"/>
        <v/>
      </c>
      <c r="H67" t="b">
        <f t="shared" si="4"/>
        <v>1</v>
      </c>
      <c r="I67" s="439">
        <f>IF(OR(ISBLANK(A67),ISNA(MATCH(A67&amp;"",AthleteNumbers,0))),0,MATCH(A67&amp;"",AthleteNumbers,0))</f>
        <v>73</v>
      </c>
      <c r="J67" s="209" t="str">
        <f t="array" ref="J67">IF(I67&gt;0,INDEX(DB,$I67,6),0)</f>
        <v/>
      </c>
      <c r="K67" s="446">
        <f t="shared" si="5"/>
        <v>9.49</v>
      </c>
      <c r="L67" s="446">
        <f t="shared" si="6"/>
        <v>9.49</v>
      </c>
      <c r="M67" s="441">
        <f>IF(L67&lt;O67,MinPoints,IF(AND(L67&gt;N67,O67&gt;0),100,+INT(($L67-O67)/P67)+MinPoints))</f>
        <v>18</v>
      </c>
      <c r="N67" s="440">
        <f t="shared" si="7"/>
        <v>50</v>
      </c>
      <c r="O67" s="440">
        <f t="shared" si="8"/>
        <v>5</v>
      </c>
      <c r="P67" s="440">
        <f t="shared" si="9"/>
        <v>0.5</v>
      </c>
      <c r="Q67">
        <f t="array" ref="Q67">IF(I67&gt;0,INDEX(DB,I67,9),EventIndex)</f>
        <v>6</v>
      </c>
      <c r="S67" s="442">
        <f t="array" ref="S67">INDEX(MINVALUES,$Q67,$K$1)</f>
        <v>5</v>
      </c>
      <c r="T67">
        <f t="array" ref="T67">INDEX(INCVALUES,$Q67,$K$1)</f>
        <v>0.5</v>
      </c>
      <c r="V67">
        <f t="array" ref="V67">+J67+(4*(INDEX(MatchScoreTable,$Q67,20)-1))</f>
        <v>4</v>
      </c>
      <c r="W67" s="442">
        <f t="array" ref="W67">INDEX(INC_MINVALUES,$V67,$K$1)</f>
        <v>2.5</v>
      </c>
      <c r="X67" s="212">
        <f t="array" ref="X67">INDEX(INC_INCVALUES,$V67,$K$1)</f>
        <v>0.5</v>
      </c>
    </row>
    <row r="68" ht="15.75" customHeight="1">
      <c r="A68" s="435" t="s">
        <v>295</v>
      </c>
      <c r="B68" s="436">
        <v>16.39</v>
      </c>
      <c r="C68" s="95" t="str">
        <f t="array" ref="C68">IF(I68&gt;0,INDEX(DB,I68,8),"")</f>
        <v>Shenique Xavier</v>
      </c>
      <c r="D68" s="437">
        <f t="shared" si="1"/>
        <v>32</v>
      </c>
      <c r="F68" s="438">
        <f t="shared" si="2"/>
        <v>1</v>
      </c>
      <c r="G68" t="str">
        <f t="shared" si="3"/>
        <v/>
      </c>
      <c r="H68" t="b">
        <f t="shared" si="4"/>
        <v>1</v>
      </c>
      <c r="I68" s="439">
        <f>IF(OR(ISBLANK(A68),ISNA(MATCH(A68&amp;"",AthleteNumbers,0))),0,MATCH(A68&amp;"",AthleteNumbers,0))</f>
        <v>75</v>
      </c>
      <c r="J68" s="209" t="str">
        <f t="array" ref="J68">IF(I68&gt;0,INDEX(DB,$I68,6),0)</f>
        <v/>
      </c>
      <c r="K68" s="446">
        <f t="shared" si="5"/>
        <v>16.39</v>
      </c>
      <c r="L68" s="446">
        <f t="shared" si="6"/>
        <v>16.39</v>
      </c>
      <c r="M68" s="441">
        <f>IF(L68&lt;O68,MinPoints,IF(AND(L68&gt;N68,O68&gt;0),100,+INT(($L68-O68)/P68)+MinPoints))</f>
        <v>32</v>
      </c>
      <c r="N68" s="440">
        <f t="shared" si="7"/>
        <v>50</v>
      </c>
      <c r="O68" s="440">
        <f t="shared" si="8"/>
        <v>5</v>
      </c>
      <c r="P68" s="440">
        <f t="shared" si="9"/>
        <v>0.5</v>
      </c>
      <c r="Q68">
        <f t="array" ref="Q68">IF(I68&gt;0,INDEX(DB,I68,9),EventIndex)</f>
        <v>6</v>
      </c>
      <c r="S68" s="442">
        <f t="array" ref="S68">INDEX(MINVALUES,$Q68,$K$1)</f>
        <v>5</v>
      </c>
      <c r="T68">
        <f t="array" ref="T68">INDEX(INCVALUES,$Q68,$K$1)</f>
        <v>0.5</v>
      </c>
      <c r="V68">
        <f t="array" ref="V68">+J68+(4*(INDEX(MatchScoreTable,$Q68,20)-1))</f>
        <v>4</v>
      </c>
      <c r="W68" s="442">
        <f t="array" ref="W68">INDEX(INC_MINVALUES,$V68,$K$1)</f>
        <v>2.5</v>
      </c>
      <c r="X68" s="212">
        <f t="array" ref="X68">INDEX(INC_INCVALUES,$V68,$K$1)</f>
        <v>0.5</v>
      </c>
    </row>
    <row r="69" ht="15.75" customHeight="1">
      <c r="A69" s="435" t="s">
        <v>298</v>
      </c>
      <c r="B69" s="436">
        <v>9.82</v>
      </c>
      <c r="C69" s="95" t="str">
        <f t="array" ref="C69">IF(I69&gt;0,INDEX(DB,I69,8),"")</f>
        <v>Amelie Singletary</v>
      </c>
      <c r="D69" s="437">
        <f t="shared" si="1"/>
        <v>19</v>
      </c>
      <c r="F69" s="438">
        <f t="shared" si="2"/>
        <v>1</v>
      </c>
      <c r="G69" t="str">
        <f t="shared" si="3"/>
        <v/>
      </c>
      <c r="H69" t="b">
        <f t="shared" si="4"/>
        <v>1</v>
      </c>
      <c r="I69" s="439">
        <f>IF(OR(ISBLANK(A69),ISNA(MATCH(A69&amp;"",AthleteNumbers,0))),0,MATCH(A69&amp;"",AthleteNumbers,0))</f>
        <v>76</v>
      </c>
      <c r="J69" s="209" t="str">
        <f t="array" ref="J69">IF(I69&gt;0,INDEX(DB,$I69,6),0)</f>
        <v/>
      </c>
      <c r="K69" s="446">
        <f t="shared" si="5"/>
        <v>9.82</v>
      </c>
      <c r="L69" s="446">
        <f t="shared" si="6"/>
        <v>9.82</v>
      </c>
      <c r="M69" s="441">
        <f>IF(L69&lt;O69,MinPoints,IF(AND(L69&gt;N69,O69&gt;0),100,+INT(($L69-O69)/P69)+MinPoints))</f>
        <v>19</v>
      </c>
      <c r="N69" s="440">
        <f t="shared" si="7"/>
        <v>50</v>
      </c>
      <c r="O69" s="440">
        <f t="shared" si="8"/>
        <v>5</v>
      </c>
      <c r="P69" s="440">
        <f t="shared" si="9"/>
        <v>0.5</v>
      </c>
      <c r="Q69">
        <f t="array" ref="Q69">IF(I69&gt;0,INDEX(DB,I69,9),EventIndex)</f>
        <v>6</v>
      </c>
      <c r="S69" s="442">
        <f t="array" ref="S69">INDEX(MINVALUES,$Q69,$K$1)</f>
        <v>5</v>
      </c>
      <c r="T69">
        <f t="array" ref="T69">INDEX(INCVALUES,$Q69,$K$1)</f>
        <v>0.5</v>
      </c>
      <c r="V69">
        <f t="array" ref="V69">+J69+(4*(INDEX(MatchScoreTable,$Q69,20)-1))</f>
        <v>4</v>
      </c>
      <c r="W69" s="442">
        <f t="array" ref="W69">INDEX(INC_MINVALUES,$V69,$K$1)</f>
        <v>2.5</v>
      </c>
      <c r="X69" s="212">
        <f t="array" ref="X69">INDEX(INC_INCVALUES,$V69,$K$1)</f>
        <v>0.5</v>
      </c>
    </row>
    <row r="70" ht="15.75" customHeight="1">
      <c r="A70" s="435" t="s">
        <v>301</v>
      </c>
      <c r="B70" s="436">
        <v>19.56</v>
      </c>
      <c r="C70" s="95" t="str">
        <f t="array" ref="C70">IF(I70&gt;0,INDEX(DB,I70,8),"")</f>
        <v>Lilia Flux</v>
      </c>
      <c r="D70" s="437">
        <f t="shared" si="1"/>
        <v>39</v>
      </c>
      <c r="F70" s="438">
        <f t="shared" si="2"/>
        <v>1</v>
      </c>
      <c r="G70" t="str">
        <f t="shared" si="3"/>
        <v/>
      </c>
      <c r="H70" t="b">
        <f t="shared" si="4"/>
        <v>1</v>
      </c>
      <c r="I70" s="439">
        <f>IF(OR(ISBLANK(A70),ISNA(MATCH(A70&amp;"",AthleteNumbers,0))),0,MATCH(A70&amp;"",AthleteNumbers,0))</f>
        <v>77</v>
      </c>
      <c r="J70" s="209" t="str">
        <f t="array" ref="J70">IF(I70&gt;0,INDEX(DB,$I70,6),0)</f>
        <v/>
      </c>
      <c r="K70" s="446">
        <f t="shared" si="5"/>
        <v>19.56</v>
      </c>
      <c r="L70" s="446">
        <f t="shared" si="6"/>
        <v>19.56</v>
      </c>
      <c r="M70" s="441">
        <f>IF(L70&lt;O70,MinPoints,IF(AND(L70&gt;N70,O70&gt;0),100,+INT(($L70-O70)/P70)+MinPoints))</f>
        <v>39</v>
      </c>
      <c r="N70" s="440">
        <f t="shared" si="7"/>
        <v>50</v>
      </c>
      <c r="O70" s="440">
        <f t="shared" si="8"/>
        <v>5</v>
      </c>
      <c r="P70" s="440">
        <f t="shared" si="9"/>
        <v>0.5</v>
      </c>
      <c r="Q70">
        <f t="array" ref="Q70">IF(I70&gt;0,INDEX(DB,I70,9),EventIndex)</f>
        <v>6</v>
      </c>
      <c r="S70" s="442">
        <f t="array" ref="S70">INDEX(MINVALUES,$Q70,$K$1)</f>
        <v>5</v>
      </c>
      <c r="T70">
        <f t="array" ref="T70">INDEX(INCVALUES,$Q70,$K$1)</f>
        <v>0.5</v>
      </c>
      <c r="V70">
        <f t="array" ref="V70">+J70+(4*(INDEX(MatchScoreTable,$Q70,20)-1))</f>
        <v>4</v>
      </c>
      <c r="W70" s="442">
        <f t="array" ref="W70">INDEX(INC_MINVALUES,$V70,$K$1)</f>
        <v>2.5</v>
      </c>
      <c r="X70" s="212">
        <f t="array" ref="X70">INDEX(INC_INCVALUES,$V70,$K$1)</f>
        <v>0.5</v>
      </c>
    </row>
    <row r="71" ht="15.75" customHeight="1">
      <c r="A71" s="435"/>
      <c r="B71" s="436"/>
      <c r="C71" s="95" t="str">
        <f t="array" ref="C71">IF(I71&gt;0,INDEX(DB,I71,8),"")</f>
        <v/>
      </c>
      <c r="D71" s="437">
        <f t="shared" si="1"/>
        <v>0</v>
      </c>
      <c r="F71" s="438">
        <f t="shared" si="2"/>
        <v>0</v>
      </c>
      <c r="G71" t="str">
        <f t="shared" si="3"/>
        <v/>
      </c>
      <c r="H71" t="b">
        <f t="shared" si="4"/>
        <v>0</v>
      </c>
      <c r="I71" s="439">
        <f>IF(OR(ISBLANK(A71),ISNA(MATCH(A71&amp;"",AthleteNumbers,0))),0,MATCH(A71&amp;"",AthleteNumbers,0))</f>
        <v>0</v>
      </c>
      <c r="J71" s="209">
        <f t="array" ref="J71">IF(I71&gt;0,INDEX(DB,$I71,6),0)</f>
        <v>0</v>
      </c>
      <c r="K71" s="446">
        <f t="shared" si="5"/>
        <v>0</v>
      </c>
      <c r="L71" s="446">
        <f t="shared" si="6"/>
        <v>0</v>
      </c>
      <c r="M71" s="441">
        <f>IF(L71&lt;O71,MinPoints,IF(AND(L71&gt;N71,O71&gt;0),100,+INT(($L71-O71)/P71)+MinPoints))</f>
        <v>10</v>
      </c>
      <c r="N71" s="440">
        <f t="shared" si="7"/>
        <v>50</v>
      </c>
      <c r="O71" s="440">
        <f t="shared" si="8"/>
        <v>5</v>
      </c>
      <c r="P71" s="440">
        <f t="shared" si="9"/>
        <v>0.5</v>
      </c>
      <c r="Q71">
        <f t="array" ref="Q71">IF(I71&gt;0,INDEX(DB,I71,9),EventIndex)</f>
        <v>6</v>
      </c>
      <c r="S71" s="442">
        <f t="array" ref="S71">INDEX(MINVALUES,$Q71,$K$1)</f>
        <v>5</v>
      </c>
      <c r="T71">
        <f t="array" ref="T71">INDEX(INCVALUES,$Q71,$K$1)</f>
        <v>0.5</v>
      </c>
      <c r="V71">
        <f t="array" ref="V71">+J71+(4*(INDEX(MatchScoreTable,$Q71,20)-1))</f>
        <v>4</v>
      </c>
      <c r="W71" s="442">
        <f t="array" ref="W71">INDEX(INC_MINVALUES,$V71,$K$1)</f>
        <v>2.5</v>
      </c>
      <c r="X71" s="212">
        <f t="array" ref="X71">INDEX(INC_INCVALUES,$V71,$K$1)</f>
        <v>0.5</v>
      </c>
    </row>
    <row r="72" ht="15.75" customHeight="1">
      <c r="A72" s="435"/>
      <c r="B72" s="436"/>
      <c r="C72" s="95" t="str">
        <f t="array" ref="C72">IF(I72&gt;0,INDEX(DB,I72,8),"")</f>
        <v/>
      </c>
      <c r="D72" s="437">
        <f t="shared" si="1"/>
        <v>0</v>
      </c>
      <c r="F72" s="438">
        <f t="shared" si="2"/>
        <v>0</v>
      </c>
      <c r="G72" t="str">
        <f t="shared" si="3"/>
        <v/>
      </c>
      <c r="H72" t="b">
        <f t="shared" si="4"/>
        <v>0</v>
      </c>
      <c r="I72" s="439">
        <f>IF(OR(ISBLANK(A72),ISNA(MATCH(A72&amp;"",AthleteNumbers,0))),0,MATCH(A72&amp;"",AthleteNumbers,0))</f>
        <v>0</v>
      </c>
      <c r="J72" s="209">
        <f t="array" ref="J72">IF(I72&gt;0,INDEX(DB,$I72,6),0)</f>
        <v>0</v>
      </c>
      <c r="K72" s="446">
        <f t="shared" si="5"/>
        <v>0</v>
      </c>
      <c r="L72" s="446">
        <f t="shared" si="6"/>
        <v>0</v>
      </c>
      <c r="M72" s="441">
        <f>IF(L72&lt;O72,MinPoints,IF(AND(L72&gt;N72,O72&gt;0),100,+INT(($L72-O72)/P72)+MinPoints))</f>
        <v>10</v>
      </c>
      <c r="N72" s="440">
        <f t="shared" si="7"/>
        <v>50</v>
      </c>
      <c r="O72" s="440">
        <f t="shared" si="8"/>
        <v>5</v>
      </c>
      <c r="P72" s="440">
        <f t="shared" si="9"/>
        <v>0.5</v>
      </c>
      <c r="Q72">
        <f t="array" ref="Q72">IF(I72&gt;0,INDEX(DB,I72,9),EventIndex)</f>
        <v>6</v>
      </c>
      <c r="S72" s="442">
        <f t="array" ref="S72">INDEX(MINVALUES,$Q72,$K$1)</f>
        <v>5</v>
      </c>
      <c r="T72">
        <f t="array" ref="T72">INDEX(INCVALUES,$Q72,$K$1)</f>
        <v>0.5</v>
      </c>
      <c r="V72">
        <f t="array" ref="V72">+J72+(4*(INDEX(MatchScoreTable,$Q72,20)-1))</f>
        <v>4</v>
      </c>
      <c r="W72" s="442">
        <f t="array" ref="W72">INDEX(INC_MINVALUES,$V72,$K$1)</f>
        <v>2.5</v>
      </c>
      <c r="X72" s="212">
        <f t="array" ref="X72">INDEX(INC_INCVALUES,$V72,$K$1)</f>
        <v>0.5</v>
      </c>
    </row>
    <row r="73" ht="15.75" customHeight="1">
      <c r="A73" s="435"/>
      <c r="B73" s="436"/>
      <c r="C73" s="95" t="str">
        <f t="array" ref="C73">IF(I73&gt;0,INDEX(DB,I73,8),"")</f>
        <v/>
      </c>
      <c r="D73" s="437">
        <f t="shared" si="1"/>
        <v>0</v>
      </c>
      <c r="F73" s="438">
        <f t="shared" si="2"/>
        <v>0</v>
      </c>
      <c r="G73" t="str">
        <f t="shared" si="3"/>
        <v/>
      </c>
      <c r="H73" t="b">
        <f t="shared" si="4"/>
        <v>0</v>
      </c>
      <c r="I73" s="439">
        <f>IF(OR(ISBLANK(A73),ISNA(MATCH(A73&amp;"",AthleteNumbers,0))),0,MATCH(A73&amp;"",AthleteNumbers,0))</f>
        <v>0</v>
      </c>
      <c r="J73" s="209">
        <f t="array" ref="J73">IF(I73&gt;0,INDEX(DB,$I73,6),0)</f>
        <v>0</v>
      </c>
      <c r="K73" s="446">
        <f t="shared" si="5"/>
        <v>0</v>
      </c>
      <c r="L73" s="446">
        <f t="shared" si="6"/>
        <v>0</v>
      </c>
      <c r="M73" s="441">
        <f>IF(L73&lt;O73,MinPoints,IF(AND(L73&gt;N73,O73&gt;0),100,+INT(($L73-O73)/P73)+MinPoints))</f>
        <v>10</v>
      </c>
      <c r="N73" s="440">
        <f t="shared" si="7"/>
        <v>50</v>
      </c>
      <c r="O73" s="440">
        <f t="shared" si="8"/>
        <v>5</v>
      </c>
      <c r="P73" s="440">
        <f t="shared" si="9"/>
        <v>0.5</v>
      </c>
      <c r="Q73">
        <f t="array" ref="Q73">IF(I73&gt;0,INDEX(DB,I73,9),EventIndex)</f>
        <v>6</v>
      </c>
      <c r="S73" s="442">
        <f t="array" ref="S73">INDEX(MINVALUES,$Q73,$K$1)</f>
        <v>5</v>
      </c>
      <c r="T73">
        <f t="array" ref="T73">INDEX(INCVALUES,$Q73,$K$1)</f>
        <v>0.5</v>
      </c>
      <c r="V73">
        <f t="array" ref="V73">+J73+(4*(INDEX(MatchScoreTable,$Q73,20)-1))</f>
        <v>4</v>
      </c>
      <c r="W73" s="442">
        <f t="array" ref="W73">INDEX(INC_MINVALUES,$V73,$K$1)</f>
        <v>2.5</v>
      </c>
      <c r="X73" s="212">
        <f t="array" ref="X73">INDEX(INC_INCVALUES,$V73,$K$1)</f>
        <v>0.5</v>
      </c>
    </row>
    <row r="74" ht="15.75" customHeight="1">
      <c r="A74" s="435"/>
      <c r="B74" s="436"/>
      <c r="C74" s="95" t="str">
        <f t="array" ref="C74">IF(I74&gt;0,INDEX(DB,I74,8),"")</f>
        <v/>
      </c>
      <c r="D74" s="437">
        <f t="shared" si="1"/>
        <v>0</v>
      </c>
      <c r="F74" s="438">
        <f t="shared" si="2"/>
        <v>0</v>
      </c>
      <c r="G74" t="str">
        <f t="shared" si="3"/>
        <v/>
      </c>
      <c r="H74" t="b">
        <f t="shared" si="4"/>
        <v>0</v>
      </c>
      <c r="I74" s="439">
        <f>IF(OR(ISBLANK(A74),ISNA(MATCH(A74&amp;"",AthleteNumbers,0))),0,MATCH(A74&amp;"",AthleteNumbers,0))</f>
        <v>0</v>
      </c>
      <c r="J74" s="209">
        <f t="array" ref="J74">IF(I74&gt;0,INDEX(DB,$I74,6),0)</f>
        <v>0</v>
      </c>
      <c r="K74" s="446">
        <f t="shared" si="5"/>
        <v>0</v>
      </c>
      <c r="L74" s="446">
        <f t="shared" si="6"/>
        <v>0</v>
      </c>
      <c r="M74" s="441">
        <f>IF(L74&lt;O74,MinPoints,IF(AND(L74&gt;N74,O74&gt;0),100,+INT(($L74-O74)/P74)+MinPoints))</f>
        <v>10</v>
      </c>
      <c r="N74" s="440">
        <f t="shared" si="7"/>
        <v>50</v>
      </c>
      <c r="O74" s="440">
        <f t="shared" si="8"/>
        <v>5</v>
      </c>
      <c r="P74" s="440">
        <f t="shared" si="9"/>
        <v>0.5</v>
      </c>
      <c r="Q74">
        <f t="array" ref="Q74">IF(I74&gt;0,INDEX(DB,I74,9),EventIndex)</f>
        <v>6</v>
      </c>
      <c r="S74" s="442">
        <f t="array" ref="S74">INDEX(MINVALUES,$Q74,$K$1)</f>
        <v>5</v>
      </c>
      <c r="T74">
        <f t="array" ref="T74">INDEX(INCVALUES,$Q74,$K$1)</f>
        <v>0.5</v>
      </c>
      <c r="V74">
        <f t="array" ref="V74">+J74+(4*(INDEX(MatchScoreTable,$Q74,20)-1))</f>
        <v>4</v>
      </c>
      <c r="W74" s="442">
        <f t="array" ref="W74">INDEX(INC_MINVALUES,$V74,$K$1)</f>
        <v>2.5</v>
      </c>
      <c r="X74" s="212">
        <f t="array" ref="X74">INDEX(INC_INCVALUES,$V74,$K$1)</f>
        <v>0.5</v>
      </c>
    </row>
    <row r="75" ht="15.75" customHeight="1">
      <c r="A75" s="435"/>
      <c r="B75" s="436"/>
      <c r="C75" s="95" t="str">
        <f t="array" ref="C75">IF(I75&gt;0,INDEX(DB,I75,8),"")</f>
        <v/>
      </c>
      <c r="D75" s="437">
        <f t="shared" si="1"/>
        <v>0</v>
      </c>
      <c r="F75" s="438">
        <f t="shared" si="2"/>
        <v>0</v>
      </c>
      <c r="G75" t="str">
        <f t="shared" si="3"/>
        <v/>
      </c>
      <c r="H75" t="b">
        <f t="shared" si="4"/>
        <v>0</v>
      </c>
      <c r="I75" s="439">
        <f>IF(OR(ISBLANK(A75),ISNA(MATCH(A75&amp;"",AthleteNumbers,0))),0,MATCH(A75&amp;"",AthleteNumbers,0))</f>
        <v>0</v>
      </c>
      <c r="J75" s="209">
        <f t="array" ref="J75">IF(I75&gt;0,INDEX(DB,$I75,6),0)</f>
        <v>0</v>
      </c>
      <c r="K75" s="446">
        <f t="shared" si="5"/>
        <v>0</v>
      </c>
      <c r="L75" s="446">
        <f t="shared" si="6"/>
        <v>0</v>
      </c>
      <c r="M75" s="441">
        <f>IF(L75&lt;O75,MinPoints,IF(AND(L75&gt;N75,O75&gt;0),100,+INT(($L75-O75)/P75)+MinPoints))</f>
        <v>10</v>
      </c>
      <c r="N75" s="440">
        <f t="shared" si="7"/>
        <v>50</v>
      </c>
      <c r="O75" s="440">
        <f t="shared" si="8"/>
        <v>5</v>
      </c>
      <c r="P75" s="440">
        <f t="shared" si="9"/>
        <v>0.5</v>
      </c>
      <c r="Q75">
        <f t="array" ref="Q75">IF(I75&gt;0,INDEX(DB,I75,9),EventIndex)</f>
        <v>6</v>
      </c>
      <c r="S75" s="442">
        <f t="array" ref="S75">INDEX(MINVALUES,$Q75,$K$1)</f>
        <v>5</v>
      </c>
      <c r="T75">
        <f t="array" ref="T75">INDEX(INCVALUES,$Q75,$K$1)</f>
        <v>0.5</v>
      </c>
      <c r="V75">
        <f t="array" ref="V75">+J75+(4*(INDEX(MatchScoreTable,$Q75,20)-1))</f>
        <v>4</v>
      </c>
      <c r="W75" s="442">
        <f t="array" ref="W75">INDEX(INC_MINVALUES,$V75,$K$1)</f>
        <v>2.5</v>
      </c>
      <c r="X75" s="212">
        <f t="array" ref="X75">INDEX(INC_INCVALUES,$V75,$K$1)</f>
        <v>0.5</v>
      </c>
    </row>
    <row r="76" ht="15.75" customHeight="1">
      <c r="A76" s="435"/>
      <c r="B76" s="436"/>
      <c r="C76" s="95" t="str">
        <f t="array" ref="C76">IF(I76&gt;0,INDEX(DB,I76,8),"")</f>
        <v/>
      </c>
      <c r="D76" s="437">
        <f t="shared" si="1"/>
        <v>0</v>
      </c>
      <c r="F76" s="438">
        <f t="shared" si="2"/>
        <v>0</v>
      </c>
      <c r="G76" t="str">
        <f t="shared" si="3"/>
        <v/>
      </c>
      <c r="H76" t="b">
        <f t="shared" si="4"/>
        <v>0</v>
      </c>
      <c r="I76" s="439">
        <f>IF(OR(ISBLANK(A76),ISNA(MATCH(A76&amp;"",AthleteNumbers,0))),0,MATCH(A76&amp;"",AthleteNumbers,0))</f>
        <v>0</v>
      </c>
      <c r="J76" s="209">
        <f t="array" ref="J76">IF(I76&gt;0,INDEX(DB,$I76,6),0)</f>
        <v>0</v>
      </c>
      <c r="K76" s="446">
        <f t="shared" si="5"/>
        <v>0</v>
      </c>
      <c r="L76" s="446">
        <f t="shared" si="6"/>
        <v>0</v>
      </c>
      <c r="M76" s="441">
        <f>IF(L76&lt;O76,MinPoints,IF(AND(L76&gt;N76,O76&gt;0),100,+INT(($L76-O76)/P76)+MinPoints))</f>
        <v>10</v>
      </c>
      <c r="N76" s="440">
        <f t="shared" si="7"/>
        <v>50</v>
      </c>
      <c r="O76" s="440">
        <f t="shared" si="8"/>
        <v>5</v>
      </c>
      <c r="P76" s="440">
        <f t="shared" si="9"/>
        <v>0.5</v>
      </c>
      <c r="Q76">
        <f t="array" ref="Q76">IF(I76&gt;0,INDEX(DB,I76,9),EventIndex)</f>
        <v>6</v>
      </c>
      <c r="S76" s="442">
        <f t="array" ref="S76">INDEX(MINVALUES,$Q76,$K$1)</f>
        <v>5</v>
      </c>
      <c r="T76">
        <f t="array" ref="T76">INDEX(INCVALUES,$Q76,$K$1)</f>
        <v>0.5</v>
      </c>
      <c r="V76">
        <f t="array" ref="V76">+J76+(4*(INDEX(MatchScoreTable,$Q76,20)-1))</f>
        <v>4</v>
      </c>
      <c r="W76" s="442">
        <f t="array" ref="W76">INDEX(INC_MINVALUES,$V76,$K$1)</f>
        <v>2.5</v>
      </c>
      <c r="X76" s="212">
        <f t="array" ref="X76">INDEX(INC_INCVALUES,$V76,$K$1)</f>
        <v>0.5</v>
      </c>
    </row>
    <row r="77" ht="15.75" customHeight="1">
      <c r="A77" s="435"/>
      <c r="B77" s="436"/>
      <c r="C77" s="95" t="str">
        <f t="array" ref="C77">IF(I77&gt;0,INDEX(DB,I77,8),"")</f>
        <v/>
      </c>
      <c r="D77" s="437">
        <f t="shared" si="1"/>
        <v>0</v>
      </c>
      <c r="F77" s="438">
        <f t="shared" si="2"/>
        <v>0</v>
      </c>
      <c r="G77" t="str">
        <f t="shared" si="3"/>
        <v/>
      </c>
      <c r="H77" t="b">
        <f t="shared" si="4"/>
        <v>0</v>
      </c>
      <c r="I77" s="439">
        <f>IF(OR(ISBLANK(A77),ISNA(MATCH(A77&amp;"",AthleteNumbers,0))),0,MATCH(A77&amp;"",AthleteNumbers,0))</f>
        <v>0</v>
      </c>
      <c r="J77" s="209">
        <f t="array" ref="J77">IF(I77&gt;0,INDEX(DB,$I77,6),0)</f>
        <v>0</v>
      </c>
      <c r="K77" s="446">
        <f t="shared" si="5"/>
        <v>0</v>
      </c>
      <c r="L77" s="446">
        <f t="shared" si="6"/>
        <v>0</v>
      </c>
      <c r="M77" s="441">
        <f>IF(L77&lt;O77,MinPoints,IF(AND(L77&gt;N77,O77&gt;0),100,+INT(($L77-O77)/P77)+MinPoints))</f>
        <v>10</v>
      </c>
      <c r="N77" s="440">
        <f t="shared" si="7"/>
        <v>50</v>
      </c>
      <c r="O77" s="440">
        <f t="shared" si="8"/>
        <v>5</v>
      </c>
      <c r="P77" s="440">
        <f t="shared" si="9"/>
        <v>0.5</v>
      </c>
      <c r="Q77">
        <f t="array" ref="Q77">IF(I77&gt;0,INDEX(DB,I77,9),EventIndex)</f>
        <v>6</v>
      </c>
      <c r="S77" s="442">
        <f t="array" ref="S77">INDEX(MINVALUES,$Q77,$K$1)</f>
        <v>5</v>
      </c>
      <c r="T77">
        <f t="array" ref="T77">INDEX(INCVALUES,$Q77,$K$1)</f>
        <v>0.5</v>
      </c>
      <c r="V77">
        <f t="array" ref="V77">+J77+(4*(INDEX(MatchScoreTable,$Q77,20)-1))</f>
        <v>4</v>
      </c>
      <c r="W77" s="442">
        <f t="array" ref="W77">INDEX(INC_MINVALUES,$V77,$K$1)</f>
        <v>2.5</v>
      </c>
      <c r="X77" s="212">
        <f t="array" ref="X77">INDEX(INC_INCVALUES,$V77,$K$1)</f>
        <v>0.5</v>
      </c>
    </row>
    <row r="78" ht="15.75" customHeight="1">
      <c r="A78" s="435"/>
      <c r="B78" s="436"/>
      <c r="C78" s="95" t="str">
        <f t="array" ref="C78">IF(I78&gt;0,INDEX(DB,I78,8),"")</f>
        <v/>
      </c>
      <c r="D78" s="437">
        <f t="shared" si="1"/>
        <v>0</v>
      </c>
      <c r="F78" s="438">
        <f t="shared" si="2"/>
        <v>0</v>
      </c>
      <c r="G78" t="str">
        <f t="shared" si="3"/>
        <v/>
      </c>
      <c r="H78" t="b">
        <f t="shared" si="4"/>
        <v>0</v>
      </c>
      <c r="I78" s="439">
        <f>IF(OR(ISBLANK(A78),ISNA(MATCH(A78&amp;"",AthleteNumbers,0))),0,MATCH(A78&amp;"",AthleteNumbers,0))</f>
        <v>0</v>
      </c>
      <c r="J78" s="209">
        <f t="array" ref="J78">IF(I78&gt;0,INDEX(DB,$I78,6),0)</f>
        <v>0</v>
      </c>
      <c r="K78" s="446">
        <f t="shared" si="5"/>
        <v>0</v>
      </c>
      <c r="L78" s="446">
        <f t="shared" si="6"/>
        <v>0</v>
      </c>
      <c r="M78" s="441">
        <f>IF(L78&lt;O78,MinPoints,IF(AND(L78&gt;N78,O78&gt;0),100,+INT(($L78-O78)/P78)+MinPoints))</f>
        <v>10</v>
      </c>
      <c r="N78" s="440">
        <f t="shared" si="7"/>
        <v>50</v>
      </c>
      <c r="O78" s="440">
        <f t="shared" si="8"/>
        <v>5</v>
      </c>
      <c r="P78" s="440">
        <f t="shared" si="9"/>
        <v>0.5</v>
      </c>
      <c r="Q78">
        <f t="array" ref="Q78">IF(I78&gt;0,INDEX(DB,I78,9),EventIndex)</f>
        <v>6</v>
      </c>
      <c r="S78" s="442">
        <f t="array" ref="S78">INDEX(MINVALUES,$Q78,$K$1)</f>
        <v>5</v>
      </c>
      <c r="T78">
        <f t="array" ref="T78">INDEX(INCVALUES,$Q78,$K$1)</f>
        <v>0.5</v>
      </c>
      <c r="V78">
        <f t="array" ref="V78">+J78+(4*(INDEX(MatchScoreTable,$Q78,20)-1))</f>
        <v>4</v>
      </c>
      <c r="W78" s="442">
        <f t="array" ref="W78">INDEX(INC_MINVALUES,$V78,$K$1)</f>
        <v>2.5</v>
      </c>
      <c r="X78" s="212">
        <f t="array" ref="X78">INDEX(INC_INCVALUES,$V78,$K$1)</f>
        <v>0.5</v>
      </c>
    </row>
    <row r="79" ht="15.75" customHeight="1">
      <c r="A79" s="435"/>
      <c r="B79" s="436"/>
      <c r="C79" s="95" t="str">
        <f t="array" ref="C79">IF(I79&gt;0,INDEX(DB,I79,8),"")</f>
        <v/>
      </c>
      <c r="D79" s="437">
        <f t="shared" si="1"/>
        <v>0</v>
      </c>
      <c r="F79" s="438">
        <f t="shared" si="2"/>
        <v>0</v>
      </c>
      <c r="G79" t="str">
        <f t="shared" si="3"/>
        <v/>
      </c>
      <c r="H79" t="b">
        <f t="shared" si="4"/>
        <v>0</v>
      </c>
      <c r="I79" s="439">
        <f>IF(OR(ISBLANK(A79),ISNA(MATCH(A79&amp;"",AthleteNumbers,0))),0,MATCH(A79&amp;"",AthleteNumbers,0))</f>
        <v>0</v>
      </c>
      <c r="J79" s="209">
        <f t="array" ref="J79">IF(I79&gt;0,INDEX(DB,$I79,6),0)</f>
        <v>0</v>
      </c>
      <c r="K79" s="446">
        <f t="shared" si="5"/>
        <v>0</v>
      </c>
      <c r="L79" s="446">
        <f t="shared" si="6"/>
        <v>0</v>
      </c>
      <c r="M79" s="441">
        <f>IF(L79&lt;O79,MinPoints,IF(AND(L79&gt;N79,O79&gt;0),100,+INT(($L79-O79)/P79)+MinPoints))</f>
        <v>10</v>
      </c>
      <c r="N79" s="440">
        <f t="shared" si="7"/>
        <v>50</v>
      </c>
      <c r="O79" s="440">
        <f t="shared" si="8"/>
        <v>5</v>
      </c>
      <c r="P79" s="440">
        <f t="shared" si="9"/>
        <v>0.5</v>
      </c>
      <c r="Q79">
        <f t="array" ref="Q79">IF(I79&gt;0,INDEX(DB,I79,9),EventIndex)</f>
        <v>6</v>
      </c>
      <c r="S79" s="442">
        <f t="array" ref="S79">INDEX(MINVALUES,$Q79,$K$1)</f>
        <v>5</v>
      </c>
      <c r="T79">
        <f t="array" ref="T79">INDEX(INCVALUES,$Q79,$K$1)</f>
        <v>0.5</v>
      </c>
      <c r="V79">
        <f t="array" ref="V79">+J79+(4*(INDEX(MatchScoreTable,$Q79,20)-1))</f>
        <v>4</v>
      </c>
      <c r="W79" s="442">
        <f t="array" ref="W79">INDEX(INC_MINVALUES,$V79,$K$1)</f>
        <v>2.5</v>
      </c>
      <c r="X79" s="212">
        <f t="array" ref="X79">INDEX(INC_INCVALUES,$V79,$K$1)</f>
        <v>0.5</v>
      </c>
    </row>
    <row r="80" ht="15.75" customHeight="1">
      <c r="A80" s="435"/>
      <c r="B80" s="436"/>
      <c r="C80" s="95" t="str">
        <f t="array" ref="C80">IF(I80&gt;0,INDEX(DB,I80,8),"")</f>
        <v/>
      </c>
      <c r="D80" s="437">
        <f t="shared" si="1"/>
        <v>0</v>
      </c>
      <c r="F80" s="438">
        <f t="shared" si="2"/>
        <v>0</v>
      </c>
      <c r="G80" t="str">
        <f t="shared" si="3"/>
        <v/>
      </c>
      <c r="H80" t="b">
        <f t="shared" si="4"/>
        <v>0</v>
      </c>
      <c r="I80" s="439">
        <f>IF(OR(ISBLANK(A80),ISNA(MATCH(A80&amp;"",AthleteNumbers,0))),0,MATCH(A80&amp;"",AthleteNumbers,0))</f>
        <v>0</v>
      </c>
      <c r="J80" s="209">
        <f t="array" ref="J80">IF(I80&gt;0,INDEX(DB,$I80,6),0)</f>
        <v>0</v>
      </c>
      <c r="K80" s="446">
        <f t="shared" si="5"/>
        <v>0</v>
      </c>
      <c r="L80" s="446">
        <f t="shared" si="6"/>
        <v>0</v>
      </c>
      <c r="M80" s="441">
        <f>IF(L80&lt;O80,MinPoints,IF(AND(L80&gt;N80,O80&gt;0),100,+INT(($L80-O80)/P80)+MinPoints))</f>
        <v>10</v>
      </c>
      <c r="N80" s="440">
        <f t="shared" si="7"/>
        <v>50</v>
      </c>
      <c r="O80" s="440">
        <f t="shared" si="8"/>
        <v>5</v>
      </c>
      <c r="P80" s="440">
        <f t="shared" si="9"/>
        <v>0.5</v>
      </c>
      <c r="Q80">
        <f t="array" ref="Q80">IF(I80&gt;0,INDEX(DB,I80,9),EventIndex)</f>
        <v>6</v>
      </c>
      <c r="S80" s="442">
        <f t="array" ref="S80">INDEX(MINVALUES,$Q80,$K$1)</f>
        <v>5</v>
      </c>
      <c r="T80">
        <f t="array" ref="T80">INDEX(INCVALUES,$Q80,$K$1)</f>
        <v>0.5</v>
      </c>
      <c r="V80">
        <f t="array" ref="V80">+J80+(4*(INDEX(MatchScoreTable,$Q80,20)-1))</f>
        <v>4</v>
      </c>
      <c r="W80" s="442">
        <f t="array" ref="W80">INDEX(INC_MINVALUES,$V80,$K$1)</f>
        <v>2.5</v>
      </c>
      <c r="X80" s="212">
        <f t="array" ref="X80">INDEX(INC_INCVALUES,$V80,$K$1)</f>
        <v>0.5</v>
      </c>
    </row>
    <row r="81" ht="15.75" customHeight="1">
      <c r="A81" s="435"/>
      <c r="B81" s="436"/>
      <c r="C81" s="95" t="str">
        <f t="array" ref="C81">IF(I81&gt;0,INDEX(DB,I81,8),"")</f>
        <v/>
      </c>
      <c r="D81" s="437">
        <f t="shared" si="1"/>
        <v>0</v>
      </c>
      <c r="F81" s="438">
        <f t="shared" si="2"/>
        <v>0</v>
      </c>
      <c r="G81" t="str">
        <f t="shared" si="3"/>
        <v/>
      </c>
      <c r="H81" t="b">
        <f t="shared" si="4"/>
        <v>0</v>
      </c>
      <c r="I81" s="439">
        <f>IF(OR(ISBLANK(A81),ISNA(MATCH(A81&amp;"",AthleteNumbers,0))),0,MATCH(A81&amp;"",AthleteNumbers,0))</f>
        <v>0</v>
      </c>
      <c r="J81" s="209">
        <f t="array" ref="J81">IF(I81&gt;0,INDEX(DB,$I81,6),0)</f>
        <v>0</v>
      </c>
      <c r="K81" s="446">
        <f t="shared" si="5"/>
        <v>0</v>
      </c>
      <c r="L81" s="446">
        <f t="shared" si="6"/>
        <v>0</v>
      </c>
      <c r="M81" s="441">
        <f>IF(L81&lt;O81,MinPoints,IF(AND(L81&gt;N81,O81&gt;0),100,+INT(($L81-O81)/P81)+MinPoints))</f>
        <v>10</v>
      </c>
      <c r="N81" s="440">
        <f t="shared" si="7"/>
        <v>50</v>
      </c>
      <c r="O81" s="440">
        <f t="shared" si="8"/>
        <v>5</v>
      </c>
      <c r="P81" s="440">
        <f t="shared" si="9"/>
        <v>0.5</v>
      </c>
      <c r="Q81">
        <f t="array" ref="Q81">IF(I81&gt;0,INDEX(DB,I81,9),EventIndex)</f>
        <v>6</v>
      </c>
      <c r="S81" s="442">
        <f t="array" ref="S81">INDEX(MINVALUES,$Q81,$K$1)</f>
        <v>5</v>
      </c>
      <c r="T81">
        <f t="array" ref="T81">INDEX(INCVALUES,$Q81,$K$1)</f>
        <v>0.5</v>
      </c>
      <c r="V81">
        <f t="array" ref="V81">+J81+(4*(INDEX(MatchScoreTable,$Q81,20)-1))</f>
        <v>4</v>
      </c>
      <c r="W81" s="442">
        <f t="array" ref="W81">INDEX(INC_MINVALUES,$V81,$K$1)</f>
        <v>2.5</v>
      </c>
      <c r="X81" s="212">
        <f t="array" ref="X81">INDEX(INC_INCVALUES,$V81,$K$1)</f>
        <v>0.5</v>
      </c>
    </row>
    <row r="82" ht="15.75" customHeight="1">
      <c r="A82" s="435"/>
      <c r="B82" s="436"/>
      <c r="C82" s="95" t="str">
        <f t="array" ref="C82">IF(I82&gt;0,INDEX(DB,I82,8),"")</f>
        <v/>
      </c>
      <c r="D82" s="437">
        <f t="shared" si="1"/>
        <v>0</v>
      </c>
      <c r="F82" s="438">
        <f t="shared" si="2"/>
        <v>0</v>
      </c>
      <c r="G82" t="str">
        <f t="shared" si="3"/>
        <v/>
      </c>
      <c r="H82" t="b">
        <f t="shared" si="4"/>
        <v>0</v>
      </c>
      <c r="I82" s="439">
        <f>IF(OR(ISBLANK(A82),ISNA(MATCH(A82&amp;"",AthleteNumbers,0))),0,MATCH(A82&amp;"",AthleteNumbers,0))</f>
        <v>0</v>
      </c>
      <c r="J82" s="209">
        <f t="array" ref="J82">IF(I82&gt;0,INDEX(DB,$I82,6),0)</f>
        <v>0</v>
      </c>
      <c r="K82" s="446">
        <f t="shared" si="5"/>
        <v>0</v>
      </c>
      <c r="L82" s="446">
        <f t="shared" si="6"/>
        <v>0</v>
      </c>
      <c r="M82" s="441">
        <f>IF(L82&lt;O82,MinPoints,IF(AND(L82&gt;N82,O82&gt;0),100,+INT(($L82-O82)/P82)+MinPoints))</f>
        <v>10</v>
      </c>
      <c r="N82" s="440">
        <f t="shared" si="7"/>
        <v>50</v>
      </c>
      <c r="O82" s="440">
        <f t="shared" si="8"/>
        <v>5</v>
      </c>
      <c r="P82" s="440">
        <f t="shared" si="9"/>
        <v>0.5</v>
      </c>
      <c r="Q82">
        <f t="array" ref="Q82">IF(I82&gt;0,INDEX(DB,I82,9),EventIndex)</f>
        <v>6</v>
      </c>
      <c r="S82" s="442">
        <f t="array" ref="S82">INDEX(MINVALUES,$Q82,$K$1)</f>
        <v>5</v>
      </c>
      <c r="T82">
        <f t="array" ref="T82">INDEX(INCVALUES,$Q82,$K$1)</f>
        <v>0.5</v>
      </c>
      <c r="V82">
        <f t="array" ref="V82">+J82+(4*(INDEX(MatchScoreTable,$Q82,20)-1))</f>
        <v>4</v>
      </c>
      <c r="W82" s="442">
        <f t="array" ref="W82">INDEX(INC_MINVALUES,$V82,$K$1)</f>
        <v>2.5</v>
      </c>
      <c r="X82" s="212">
        <f t="array" ref="X82">INDEX(INC_INCVALUES,$V82,$K$1)</f>
        <v>0.5</v>
      </c>
    </row>
    <row r="83" ht="15.75" customHeight="1">
      <c r="A83" s="435"/>
      <c r="B83" s="436"/>
      <c r="C83" s="95" t="str">
        <f t="array" ref="C83">IF(I83&gt;0,INDEX(DB,I83,8),"")</f>
        <v/>
      </c>
      <c r="D83" s="437">
        <f t="shared" si="1"/>
        <v>0</v>
      </c>
      <c r="F83" s="438">
        <f t="shared" si="2"/>
        <v>0</v>
      </c>
      <c r="G83" t="str">
        <f t="shared" si="3"/>
        <v/>
      </c>
      <c r="H83" t="b">
        <f t="shared" si="4"/>
        <v>0</v>
      </c>
      <c r="I83" s="439">
        <f>IF(OR(ISBLANK(A83),ISNA(MATCH(A83&amp;"",AthleteNumbers,0))),0,MATCH(A83&amp;"",AthleteNumbers,0))</f>
        <v>0</v>
      </c>
      <c r="J83" s="209">
        <f t="array" ref="J83">IF(I83&gt;0,INDEX(DB,$I83,6),0)</f>
        <v>0</v>
      </c>
      <c r="K83" s="446">
        <f t="shared" si="5"/>
        <v>0</v>
      </c>
      <c r="L83" s="446">
        <f t="shared" si="6"/>
        <v>0</v>
      </c>
      <c r="M83" s="441">
        <f>IF(L83&lt;O83,MinPoints,IF(AND(L83&gt;N83,O83&gt;0),100,+INT(($L83-O83)/P83)+MinPoints))</f>
        <v>10</v>
      </c>
      <c r="N83" s="440">
        <f t="shared" si="7"/>
        <v>50</v>
      </c>
      <c r="O83" s="440">
        <f t="shared" si="8"/>
        <v>5</v>
      </c>
      <c r="P83" s="440">
        <f t="shared" si="9"/>
        <v>0.5</v>
      </c>
      <c r="Q83">
        <f t="array" ref="Q83">IF(I83&gt;0,INDEX(DB,I83,9),EventIndex)</f>
        <v>6</v>
      </c>
      <c r="S83" s="442">
        <f t="array" ref="S83">INDEX(MINVALUES,$Q83,$K$1)</f>
        <v>5</v>
      </c>
      <c r="T83">
        <f t="array" ref="T83">INDEX(INCVALUES,$Q83,$K$1)</f>
        <v>0.5</v>
      </c>
      <c r="V83">
        <f t="array" ref="V83">+J83+(4*(INDEX(MatchScoreTable,$Q83,20)-1))</f>
        <v>4</v>
      </c>
      <c r="W83" s="442">
        <f t="array" ref="W83">INDEX(INC_MINVALUES,$V83,$K$1)</f>
        <v>2.5</v>
      </c>
      <c r="X83" s="212">
        <f t="array" ref="X83">INDEX(INC_INCVALUES,$V83,$K$1)</f>
        <v>0.5</v>
      </c>
    </row>
    <row r="84" ht="15.75" customHeight="1">
      <c r="A84" s="435"/>
      <c r="B84" s="436"/>
      <c r="C84" s="95" t="str">
        <f t="array" ref="C84">IF(I84&gt;0,INDEX(DB,I84,8),"")</f>
        <v/>
      </c>
      <c r="D84" s="437">
        <f t="shared" si="1"/>
        <v>0</v>
      </c>
      <c r="F84" s="438">
        <f t="shared" si="2"/>
        <v>0</v>
      </c>
      <c r="G84" t="str">
        <f t="shared" si="3"/>
        <v/>
      </c>
      <c r="H84" t="b">
        <f t="shared" si="4"/>
        <v>0</v>
      </c>
      <c r="I84" s="439">
        <f>IF(OR(ISBLANK(A84),ISNA(MATCH(A84&amp;"",AthleteNumbers,0))),0,MATCH(A84&amp;"",AthleteNumbers,0))</f>
        <v>0</v>
      </c>
      <c r="J84" s="209">
        <f t="array" ref="J84">IF(I84&gt;0,INDEX(DB,$I84,6),0)</f>
        <v>0</v>
      </c>
      <c r="K84" s="446">
        <f t="shared" si="5"/>
        <v>0</v>
      </c>
      <c r="L84" s="446">
        <f t="shared" si="6"/>
        <v>0</v>
      </c>
      <c r="M84" s="441">
        <f>IF(L84&lt;O84,MinPoints,IF(AND(L84&gt;N84,O84&gt;0),100,+INT(($L84-O84)/P84)+MinPoints))</f>
        <v>10</v>
      </c>
      <c r="N84" s="440">
        <f t="shared" si="7"/>
        <v>50</v>
      </c>
      <c r="O84" s="440">
        <f t="shared" si="8"/>
        <v>5</v>
      </c>
      <c r="P84" s="440">
        <f t="shared" si="9"/>
        <v>0.5</v>
      </c>
      <c r="Q84">
        <f t="array" ref="Q84">IF(I84&gt;0,INDEX(DB,I84,9),EventIndex)</f>
        <v>6</v>
      </c>
      <c r="S84" s="442">
        <f t="array" ref="S84">INDEX(MINVALUES,$Q84,$K$1)</f>
        <v>5</v>
      </c>
      <c r="T84">
        <f t="array" ref="T84">INDEX(INCVALUES,$Q84,$K$1)</f>
        <v>0.5</v>
      </c>
      <c r="V84">
        <f t="array" ref="V84">+J84+(4*(INDEX(MatchScoreTable,$Q84,20)-1))</f>
        <v>4</v>
      </c>
      <c r="W84" s="442">
        <f t="array" ref="W84">INDEX(INC_MINVALUES,$V84,$K$1)</f>
        <v>2.5</v>
      </c>
      <c r="X84" s="212">
        <f t="array" ref="X84">INDEX(INC_INCVALUES,$V84,$K$1)</f>
        <v>0.5</v>
      </c>
    </row>
    <row r="85" ht="15.75" customHeight="1">
      <c r="A85" s="435"/>
      <c r="B85" s="436"/>
      <c r="C85" s="95" t="str">
        <f t="array" ref="C85">IF(I85&gt;0,INDEX(DB,I85,8),"")</f>
        <v/>
      </c>
      <c r="D85" s="437">
        <f t="shared" si="1"/>
        <v>0</v>
      </c>
      <c r="F85" s="438">
        <f t="shared" si="2"/>
        <v>0</v>
      </c>
      <c r="G85" t="str">
        <f t="shared" si="3"/>
        <v/>
      </c>
      <c r="H85" t="b">
        <f t="shared" si="4"/>
        <v>0</v>
      </c>
      <c r="I85" s="439">
        <f>IF(OR(ISBLANK(A85),ISNA(MATCH(A85&amp;"",AthleteNumbers,0))),0,MATCH(A85&amp;"",AthleteNumbers,0))</f>
        <v>0</v>
      </c>
      <c r="J85" s="209">
        <f t="array" ref="J85">IF(I85&gt;0,INDEX(DB,$I85,6),0)</f>
        <v>0</v>
      </c>
      <c r="K85" s="446">
        <f t="shared" si="5"/>
        <v>0</v>
      </c>
      <c r="L85" s="446">
        <f t="shared" si="6"/>
        <v>0</v>
      </c>
      <c r="M85" s="441">
        <f>IF(L85&lt;O85,MinPoints,IF(AND(L85&gt;N85,O85&gt;0),100,+INT(($L85-O85)/P85)+MinPoints))</f>
        <v>10</v>
      </c>
      <c r="N85" s="440">
        <f t="shared" si="7"/>
        <v>50</v>
      </c>
      <c r="O85" s="440">
        <f t="shared" si="8"/>
        <v>5</v>
      </c>
      <c r="P85" s="440">
        <f t="shared" si="9"/>
        <v>0.5</v>
      </c>
      <c r="Q85">
        <f t="array" ref="Q85">IF(I85&gt;0,INDEX(DB,I85,9),EventIndex)</f>
        <v>6</v>
      </c>
      <c r="S85" s="442">
        <f t="array" ref="S85">INDEX(MINVALUES,$Q85,$K$1)</f>
        <v>5</v>
      </c>
      <c r="T85">
        <f t="array" ref="T85">INDEX(INCVALUES,$Q85,$K$1)</f>
        <v>0.5</v>
      </c>
      <c r="V85">
        <f t="array" ref="V85">+J85+(4*(INDEX(MatchScoreTable,$Q85,20)-1))</f>
        <v>4</v>
      </c>
      <c r="W85" s="442">
        <f t="array" ref="W85">INDEX(INC_MINVALUES,$V85,$K$1)</f>
        <v>2.5</v>
      </c>
      <c r="X85" s="212">
        <f t="array" ref="X85">INDEX(INC_INCVALUES,$V85,$K$1)</f>
        <v>0.5</v>
      </c>
    </row>
    <row r="86" ht="15.75" customHeight="1">
      <c r="A86" s="435"/>
      <c r="B86" s="436"/>
      <c r="C86" s="95" t="str">
        <f t="array" ref="C86">IF(I86&gt;0,INDEX(DB,I86,8),"")</f>
        <v/>
      </c>
      <c r="D86" s="437">
        <f t="shared" si="1"/>
        <v>0</v>
      </c>
      <c r="F86" s="438">
        <f t="shared" si="2"/>
        <v>0</v>
      </c>
      <c r="G86" t="str">
        <f t="shared" si="3"/>
        <v/>
      </c>
      <c r="H86" t="b">
        <f t="shared" si="4"/>
        <v>0</v>
      </c>
      <c r="I86" s="439">
        <f>IF(OR(ISBLANK(A86),ISNA(MATCH(A86&amp;"",AthleteNumbers,0))),0,MATCH(A86&amp;"",AthleteNumbers,0))</f>
        <v>0</v>
      </c>
      <c r="J86" s="209">
        <f t="array" ref="J86">IF(I86&gt;0,INDEX(DB,$I86,6),0)</f>
        <v>0</v>
      </c>
      <c r="K86" s="446">
        <f t="shared" si="5"/>
        <v>0</v>
      </c>
      <c r="L86" s="446">
        <f t="shared" si="6"/>
        <v>0</v>
      </c>
      <c r="M86" s="441">
        <f>IF(L86&lt;O86,MinPoints,IF(AND(L86&gt;N86,O86&gt;0),100,+INT(($L86-O86)/P86)+MinPoints))</f>
        <v>10</v>
      </c>
      <c r="N86" s="440">
        <f t="shared" si="7"/>
        <v>50</v>
      </c>
      <c r="O86" s="440">
        <f t="shared" si="8"/>
        <v>5</v>
      </c>
      <c r="P86" s="440">
        <f t="shared" si="9"/>
        <v>0.5</v>
      </c>
      <c r="Q86">
        <f t="array" ref="Q86">IF(I86&gt;0,INDEX(DB,I86,9),EventIndex)</f>
        <v>6</v>
      </c>
      <c r="S86" s="442">
        <f t="array" ref="S86">INDEX(MINVALUES,$Q86,$K$1)</f>
        <v>5</v>
      </c>
      <c r="T86">
        <f t="array" ref="T86">INDEX(INCVALUES,$Q86,$K$1)</f>
        <v>0.5</v>
      </c>
      <c r="V86">
        <f t="array" ref="V86">+J86+(4*(INDEX(MatchScoreTable,$Q86,20)-1))</f>
        <v>4</v>
      </c>
      <c r="W86" s="442">
        <f t="array" ref="W86">INDEX(INC_MINVALUES,$V86,$K$1)</f>
        <v>2.5</v>
      </c>
      <c r="X86" s="212">
        <f t="array" ref="X86">INDEX(INC_INCVALUES,$V86,$K$1)</f>
        <v>0.5</v>
      </c>
    </row>
    <row r="87" ht="15.75" customHeight="1">
      <c r="A87" s="435"/>
      <c r="B87" s="436"/>
      <c r="C87" s="95" t="str">
        <f t="array" ref="C87">IF(I87&gt;0,INDEX(DB,I87,8),"")</f>
        <v/>
      </c>
      <c r="D87" s="437">
        <f t="shared" si="1"/>
        <v>0</v>
      </c>
      <c r="F87" s="438">
        <f t="shared" si="2"/>
        <v>0</v>
      </c>
      <c r="G87" t="str">
        <f t="shared" si="3"/>
        <v/>
      </c>
      <c r="H87" t="b">
        <f t="shared" si="4"/>
        <v>0</v>
      </c>
      <c r="I87" s="439">
        <f>IF(OR(ISBLANK(A87),ISNA(MATCH(A87&amp;"",AthleteNumbers,0))),0,MATCH(A87&amp;"",AthleteNumbers,0))</f>
        <v>0</v>
      </c>
      <c r="J87" s="209">
        <f t="array" ref="J87">IF(I87&gt;0,INDEX(DB,$I87,6),0)</f>
        <v>0</v>
      </c>
      <c r="K87" s="446">
        <f t="shared" si="5"/>
        <v>0</v>
      </c>
      <c r="L87" s="446">
        <f t="shared" si="6"/>
        <v>0</v>
      </c>
      <c r="M87" s="441">
        <f>IF(L87&lt;O87,MinPoints,IF(AND(L87&gt;N87,O87&gt;0),100,+INT(($L87-O87)/P87)+MinPoints))</f>
        <v>10</v>
      </c>
      <c r="N87" s="440">
        <f t="shared" si="7"/>
        <v>50</v>
      </c>
      <c r="O87" s="440">
        <f t="shared" si="8"/>
        <v>5</v>
      </c>
      <c r="P87" s="440">
        <f t="shared" si="9"/>
        <v>0.5</v>
      </c>
      <c r="Q87">
        <f t="array" ref="Q87">IF(I87&gt;0,INDEX(DB,I87,9),EventIndex)</f>
        <v>6</v>
      </c>
      <c r="S87" s="442">
        <f t="array" ref="S87">INDEX(MINVALUES,$Q87,$K$1)</f>
        <v>5</v>
      </c>
      <c r="T87">
        <f t="array" ref="T87">INDEX(INCVALUES,$Q87,$K$1)</f>
        <v>0.5</v>
      </c>
      <c r="V87">
        <f t="array" ref="V87">+J87+(4*(INDEX(MatchScoreTable,$Q87,20)-1))</f>
        <v>4</v>
      </c>
      <c r="W87" s="442">
        <f t="array" ref="W87">INDEX(INC_MINVALUES,$V87,$K$1)</f>
        <v>2.5</v>
      </c>
      <c r="X87" s="212">
        <f t="array" ref="X87">INDEX(INC_INCVALUES,$V87,$K$1)</f>
        <v>0.5</v>
      </c>
    </row>
    <row r="88" ht="15.75" customHeight="1">
      <c r="A88" s="435"/>
      <c r="B88" s="436"/>
      <c r="C88" s="95" t="str">
        <f t="array" ref="C88">IF(I88&gt;0,INDEX(DB,I88,8),"")</f>
        <v/>
      </c>
      <c r="D88" s="437">
        <f t="shared" si="1"/>
        <v>0</v>
      </c>
      <c r="F88" s="438">
        <f t="shared" si="2"/>
        <v>0</v>
      </c>
      <c r="G88" t="str">
        <f t="shared" si="3"/>
        <v/>
      </c>
      <c r="H88" t="b">
        <f t="shared" si="4"/>
        <v>0</v>
      </c>
      <c r="I88" s="439">
        <f>IF(OR(ISBLANK(A88),ISNA(MATCH(A88&amp;"",AthleteNumbers,0))),0,MATCH(A88&amp;"",AthleteNumbers,0))</f>
        <v>0</v>
      </c>
      <c r="J88" s="209">
        <f t="array" ref="J88">IF(I88&gt;0,INDEX(DB,$I88,6),0)</f>
        <v>0</v>
      </c>
      <c r="K88" s="446">
        <f t="shared" si="5"/>
        <v>0</v>
      </c>
      <c r="L88" s="446">
        <f t="shared" si="6"/>
        <v>0</v>
      </c>
      <c r="M88" s="441">
        <f>IF(L88&lt;O88,MinPoints,IF(AND(L88&gt;N88,O88&gt;0),100,+INT(($L88-O88)/P88)+MinPoints))</f>
        <v>10</v>
      </c>
      <c r="N88" s="440">
        <f t="shared" si="7"/>
        <v>50</v>
      </c>
      <c r="O88" s="440">
        <f t="shared" si="8"/>
        <v>5</v>
      </c>
      <c r="P88" s="440">
        <f t="shared" si="9"/>
        <v>0.5</v>
      </c>
      <c r="Q88">
        <f t="array" ref="Q88">IF(I88&gt;0,INDEX(DB,I88,9),EventIndex)</f>
        <v>6</v>
      </c>
      <c r="S88" s="442">
        <f t="array" ref="S88">INDEX(MINVALUES,$Q88,$K$1)</f>
        <v>5</v>
      </c>
      <c r="T88">
        <f t="array" ref="T88">INDEX(INCVALUES,$Q88,$K$1)</f>
        <v>0.5</v>
      </c>
      <c r="V88">
        <f t="array" ref="V88">+J88+(4*(INDEX(MatchScoreTable,$Q88,20)-1))</f>
        <v>4</v>
      </c>
      <c r="W88" s="442">
        <f t="array" ref="W88">INDEX(INC_MINVALUES,$V88,$K$1)</f>
        <v>2.5</v>
      </c>
      <c r="X88" s="212">
        <f t="array" ref="X88">INDEX(INC_INCVALUES,$V88,$K$1)</f>
        <v>0.5</v>
      </c>
    </row>
    <row r="89" ht="15.75" customHeight="1">
      <c r="A89" s="435"/>
      <c r="B89" s="436"/>
      <c r="C89" s="95" t="str">
        <f t="array" ref="C89">IF(I89&gt;0,INDEX(DB,I89,8),"")</f>
        <v/>
      </c>
      <c r="D89" s="437">
        <f t="shared" si="1"/>
        <v>0</v>
      </c>
      <c r="F89" s="438">
        <f t="shared" si="2"/>
        <v>0</v>
      </c>
      <c r="G89" t="str">
        <f t="shared" si="3"/>
        <v/>
      </c>
      <c r="H89" t="b">
        <f t="shared" si="4"/>
        <v>0</v>
      </c>
      <c r="I89" s="439">
        <f>IF(OR(ISBLANK(A89),ISNA(MATCH(A89&amp;"",AthleteNumbers,0))),0,MATCH(A89&amp;"",AthleteNumbers,0))</f>
        <v>0</v>
      </c>
      <c r="J89" s="209">
        <f t="array" ref="J89">IF(I89&gt;0,INDEX(DB,$I89,6),0)</f>
        <v>0</v>
      </c>
      <c r="K89" s="446">
        <f t="shared" si="5"/>
        <v>0</v>
      </c>
      <c r="L89" s="446">
        <f t="shared" si="6"/>
        <v>0</v>
      </c>
      <c r="M89" s="441">
        <f>IF(L89&lt;O89,MinPoints,IF(AND(L89&gt;N89,O89&gt;0),100,+INT(($L89-O89)/P89)+MinPoints))</f>
        <v>10</v>
      </c>
      <c r="N89" s="440">
        <f t="shared" si="7"/>
        <v>50</v>
      </c>
      <c r="O89" s="440">
        <f t="shared" si="8"/>
        <v>5</v>
      </c>
      <c r="P89" s="440">
        <f t="shared" si="9"/>
        <v>0.5</v>
      </c>
      <c r="Q89">
        <f t="array" ref="Q89">IF(I89&gt;0,INDEX(DB,I89,9),EventIndex)</f>
        <v>6</v>
      </c>
      <c r="S89" s="442">
        <f t="array" ref="S89">INDEX(MINVALUES,$Q89,$K$1)</f>
        <v>5</v>
      </c>
      <c r="T89">
        <f t="array" ref="T89">INDEX(INCVALUES,$Q89,$K$1)</f>
        <v>0.5</v>
      </c>
      <c r="V89">
        <f t="array" ref="V89">+J89+(4*(INDEX(MatchScoreTable,$Q89,20)-1))</f>
        <v>4</v>
      </c>
      <c r="W89" s="442">
        <f t="array" ref="W89">INDEX(INC_MINVALUES,$V89,$K$1)</f>
        <v>2.5</v>
      </c>
      <c r="X89" s="212">
        <f t="array" ref="X89">INDEX(INC_INCVALUES,$V89,$K$1)</f>
        <v>0.5</v>
      </c>
    </row>
    <row r="90" ht="15.75" customHeight="1">
      <c r="A90" s="435"/>
      <c r="B90" s="436"/>
      <c r="C90" s="95" t="str">
        <f t="array" ref="C90">IF(I90&gt;0,INDEX(DB,I90,8),"")</f>
        <v/>
      </c>
      <c r="D90" s="437">
        <f t="shared" si="1"/>
        <v>0</v>
      </c>
      <c r="F90" s="438">
        <f t="shared" si="2"/>
        <v>0</v>
      </c>
      <c r="G90" t="str">
        <f t="shared" si="3"/>
        <v/>
      </c>
      <c r="H90" t="b">
        <f t="shared" si="4"/>
        <v>0</v>
      </c>
      <c r="I90" s="439">
        <f>IF(OR(ISBLANK(A90),ISNA(MATCH(A90&amp;"",AthleteNumbers,0))),0,MATCH(A90&amp;"",AthleteNumbers,0))</f>
        <v>0</v>
      </c>
      <c r="J90" s="209">
        <f t="array" ref="J90">IF(I90&gt;0,INDEX(DB,$I90,6),0)</f>
        <v>0</v>
      </c>
      <c r="K90" s="446">
        <f t="shared" si="5"/>
        <v>0</v>
      </c>
      <c r="L90" s="446">
        <f t="shared" si="6"/>
        <v>0</v>
      </c>
      <c r="M90" s="441">
        <f>IF(L90&lt;O90,MinPoints,IF(AND(L90&gt;N90,O90&gt;0),100,+INT(($L90-O90)/P90)+MinPoints))</f>
        <v>10</v>
      </c>
      <c r="N90" s="440">
        <f t="shared" si="7"/>
        <v>50</v>
      </c>
      <c r="O90" s="440">
        <f t="shared" si="8"/>
        <v>5</v>
      </c>
      <c r="P90" s="440">
        <f t="shared" si="9"/>
        <v>0.5</v>
      </c>
      <c r="Q90">
        <f t="array" ref="Q90">IF(I90&gt;0,INDEX(DB,I90,9),EventIndex)</f>
        <v>6</v>
      </c>
      <c r="S90" s="442">
        <f t="array" ref="S90">INDEX(MINVALUES,$Q90,$K$1)</f>
        <v>5</v>
      </c>
      <c r="T90">
        <f t="array" ref="T90">INDEX(INCVALUES,$Q90,$K$1)</f>
        <v>0.5</v>
      </c>
      <c r="V90">
        <f t="array" ref="V90">+J90+(4*(INDEX(MatchScoreTable,$Q90,20)-1))</f>
        <v>4</v>
      </c>
      <c r="W90" s="442">
        <f t="array" ref="W90">INDEX(INC_MINVALUES,$V90,$K$1)</f>
        <v>2.5</v>
      </c>
      <c r="X90" s="212">
        <f t="array" ref="X90">INDEX(INC_INCVALUES,$V90,$K$1)</f>
        <v>0.5</v>
      </c>
    </row>
    <row r="91" ht="15.75" customHeight="1">
      <c r="A91" s="435"/>
      <c r="B91" s="436"/>
      <c r="C91" s="95" t="str">
        <f t="array" ref="C91">IF(I91&gt;0,INDEX(DB,I91,8),"")</f>
        <v/>
      </c>
      <c r="D91" s="437">
        <f t="shared" si="1"/>
        <v>0</v>
      </c>
      <c r="F91" s="438">
        <f t="shared" si="2"/>
        <v>0</v>
      </c>
      <c r="G91" t="str">
        <f t="shared" si="3"/>
        <v/>
      </c>
      <c r="H91" t="b">
        <f t="shared" si="4"/>
        <v>0</v>
      </c>
      <c r="I91" s="439">
        <f>IF(OR(ISBLANK(A91),ISNA(MATCH(A91&amp;"",AthleteNumbers,0))),0,MATCH(A91&amp;"",AthleteNumbers,0))</f>
        <v>0</v>
      </c>
      <c r="J91" s="209">
        <f t="array" ref="J91">IF(I91&gt;0,INDEX(DB,$I91,6),0)</f>
        <v>0</v>
      </c>
      <c r="K91" s="446">
        <f t="shared" si="5"/>
        <v>0</v>
      </c>
      <c r="L91" s="446">
        <f t="shared" si="6"/>
        <v>0</v>
      </c>
      <c r="M91" s="441">
        <f>IF(L91&lt;O91,MinPoints,IF(AND(L91&gt;N91,O91&gt;0),100,+INT(($L91-O91)/P91)+MinPoints))</f>
        <v>10</v>
      </c>
      <c r="N91" s="440">
        <f t="shared" si="7"/>
        <v>50</v>
      </c>
      <c r="O91" s="440">
        <f t="shared" si="8"/>
        <v>5</v>
      </c>
      <c r="P91" s="440">
        <f t="shared" si="9"/>
        <v>0.5</v>
      </c>
      <c r="Q91">
        <f t="array" ref="Q91">IF(I91&gt;0,INDEX(DB,I91,9),EventIndex)</f>
        <v>6</v>
      </c>
      <c r="S91" s="442">
        <f t="array" ref="S91">INDEX(MINVALUES,$Q91,$K$1)</f>
        <v>5</v>
      </c>
      <c r="T91">
        <f t="array" ref="T91">INDEX(INCVALUES,$Q91,$K$1)</f>
        <v>0.5</v>
      </c>
      <c r="V91">
        <f t="array" ref="V91">+J91+(4*(INDEX(MatchScoreTable,$Q91,20)-1))</f>
        <v>4</v>
      </c>
      <c r="W91" s="442">
        <f t="array" ref="W91">INDEX(INC_MINVALUES,$V91,$K$1)</f>
        <v>2.5</v>
      </c>
      <c r="X91" s="212">
        <f t="array" ref="X91">INDEX(INC_INCVALUES,$V91,$K$1)</f>
        <v>0.5</v>
      </c>
    </row>
    <row r="92" ht="15.75" customHeight="1">
      <c r="A92" s="435"/>
      <c r="B92" s="436"/>
      <c r="C92" s="95" t="str">
        <f t="array" ref="C92">IF(I92&gt;0,INDEX(DB,I92,8),"")</f>
        <v/>
      </c>
      <c r="D92" s="437">
        <f t="shared" si="1"/>
        <v>0</v>
      </c>
      <c r="F92" s="438">
        <f t="shared" si="2"/>
        <v>0</v>
      </c>
      <c r="G92" t="str">
        <f t="shared" si="3"/>
        <v/>
      </c>
      <c r="H92" t="b">
        <f t="shared" si="4"/>
        <v>0</v>
      </c>
      <c r="I92" s="439">
        <f>IF(OR(ISBLANK(A92),ISNA(MATCH(A92&amp;"",AthleteNumbers,0))),0,MATCH(A92&amp;"",AthleteNumbers,0))</f>
        <v>0</v>
      </c>
      <c r="J92" s="209">
        <f t="array" ref="J92">IF(I92&gt;0,INDEX(DB,$I92,6),0)</f>
        <v>0</v>
      </c>
      <c r="K92" s="446">
        <f t="shared" si="5"/>
        <v>0</v>
      </c>
      <c r="L92" s="446">
        <f t="shared" si="6"/>
        <v>0</v>
      </c>
      <c r="M92" s="441">
        <f>IF(L92&lt;O92,MinPoints,IF(AND(L92&gt;N92,O92&gt;0),100,+INT(($L92-O92)/P92)+MinPoints))</f>
        <v>10</v>
      </c>
      <c r="N92" s="440">
        <f t="shared" si="7"/>
        <v>50</v>
      </c>
      <c r="O92" s="440">
        <f t="shared" si="8"/>
        <v>5</v>
      </c>
      <c r="P92" s="440">
        <f t="shared" si="9"/>
        <v>0.5</v>
      </c>
      <c r="Q92">
        <f t="array" ref="Q92">IF(I92&gt;0,INDEX(DB,I92,9),EventIndex)</f>
        <v>6</v>
      </c>
      <c r="S92" s="442">
        <f t="array" ref="S92">INDEX(MINVALUES,$Q92,$K$1)</f>
        <v>5</v>
      </c>
      <c r="T92">
        <f t="array" ref="T92">INDEX(INCVALUES,$Q92,$K$1)</f>
        <v>0.5</v>
      </c>
      <c r="V92">
        <f t="array" ref="V92">+J92+(4*(INDEX(MatchScoreTable,$Q92,20)-1))</f>
        <v>4</v>
      </c>
      <c r="W92" s="442">
        <f t="array" ref="W92">INDEX(INC_MINVALUES,$V92,$K$1)</f>
        <v>2.5</v>
      </c>
      <c r="X92" s="212">
        <f t="array" ref="X92">INDEX(INC_INCVALUES,$V92,$K$1)</f>
        <v>0.5</v>
      </c>
    </row>
    <row r="93" ht="15.75" customHeight="1">
      <c r="A93" s="435"/>
      <c r="B93" s="436"/>
      <c r="C93" s="95" t="str">
        <f t="array" ref="C93">IF(I93&gt;0,INDEX(DB,I93,8),"")</f>
        <v/>
      </c>
      <c r="D93" s="437">
        <f t="shared" si="1"/>
        <v>0</v>
      </c>
      <c r="F93" s="438">
        <f t="shared" si="2"/>
        <v>0</v>
      </c>
      <c r="G93" t="str">
        <f t="shared" si="3"/>
        <v/>
      </c>
      <c r="H93" t="b">
        <f t="shared" si="4"/>
        <v>0</v>
      </c>
      <c r="I93" s="439">
        <f>IF(OR(ISBLANK(A93),ISNA(MATCH(A93&amp;"",AthleteNumbers,0))),0,MATCH(A93&amp;"",AthleteNumbers,0))</f>
        <v>0</v>
      </c>
      <c r="J93" s="209">
        <f t="array" ref="J93">IF(I93&gt;0,INDEX(DB,$I93,6),0)</f>
        <v>0</v>
      </c>
      <c r="K93" s="446">
        <f t="shared" si="5"/>
        <v>0</v>
      </c>
      <c r="L93" s="446">
        <f t="shared" si="6"/>
        <v>0</v>
      </c>
      <c r="M93" s="441">
        <f>IF(L93&lt;O93,MinPoints,IF(AND(L93&gt;N93,O93&gt;0),100,+INT(($L93-O93)/P93)+MinPoints))</f>
        <v>10</v>
      </c>
      <c r="N93" s="440">
        <f t="shared" si="7"/>
        <v>50</v>
      </c>
      <c r="O93" s="440">
        <f t="shared" si="8"/>
        <v>5</v>
      </c>
      <c r="P93" s="440">
        <f t="shared" si="9"/>
        <v>0.5</v>
      </c>
      <c r="Q93">
        <f t="array" ref="Q93">IF(I93&gt;0,INDEX(DB,I93,9),EventIndex)</f>
        <v>6</v>
      </c>
      <c r="S93" s="442">
        <f t="array" ref="S93">INDEX(MINVALUES,$Q93,$K$1)</f>
        <v>5</v>
      </c>
      <c r="T93">
        <f t="array" ref="T93">INDEX(INCVALUES,$Q93,$K$1)</f>
        <v>0.5</v>
      </c>
      <c r="V93">
        <f t="array" ref="V93">+J93+(4*(INDEX(MatchScoreTable,$Q93,20)-1))</f>
        <v>4</v>
      </c>
      <c r="W93" s="442">
        <f t="array" ref="W93">INDEX(INC_MINVALUES,$V93,$K$1)</f>
        <v>2.5</v>
      </c>
      <c r="X93" s="212">
        <f t="array" ref="X93">INDEX(INC_INCVALUES,$V93,$K$1)</f>
        <v>0.5</v>
      </c>
    </row>
    <row r="94" ht="15.75" customHeight="1">
      <c r="A94" s="435"/>
      <c r="B94" s="436"/>
      <c r="C94" s="95" t="str">
        <f t="array" ref="C94">IF(I94&gt;0,INDEX(DB,I94,8),"")</f>
        <v/>
      </c>
      <c r="D94" s="437">
        <f t="shared" si="1"/>
        <v>0</v>
      </c>
      <c r="F94" s="438">
        <f t="shared" si="2"/>
        <v>0</v>
      </c>
      <c r="G94" t="str">
        <f t="shared" si="3"/>
        <v/>
      </c>
      <c r="H94" t="b">
        <f t="shared" si="4"/>
        <v>0</v>
      </c>
      <c r="I94" s="439">
        <f>IF(OR(ISBLANK(A94),ISNA(MATCH(A94&amp;"",AthleteNumbers,0))),0,MATCH(A94&amp;"",AthleteNumbers,0))</f>
        <v>0</v>
      </c>
      <c r="J94" s="209">
        <f t="array" ref="J94">IF(I94&gt;0,INDEX(DB,$I94,6),0)</f>
        <v>0</v>
      </c>
      <c r="K94" s="446">
        <f t="shared" si="5"/>
        <v>0</v>
      </c>
      <c r="L94" s="446">
        <f t="shared" si="6"/>
        <v>0</v>
      </c>
      <c r="M94" s="441">
        <f>IF(L94&lt;O94,MinPoints,IF(AND(L94&gt;N94,O94&gt;0),100,+INT(($L94-O94)/P94)+MinPoints))</f>
        <v>10</v>
      </c>
      <c r="N94" s="440">
        <f t="shared" si="7"/>
        <v>50</v>
      </c>
      <c r="O94" s="440">
        <f t="shared" si="8"/>
        <v>5</v>
      </c>
      <c r="P94" s="440">
        <f t="shared" si="9"/>
        <v>0.5</v>
      </c>
      <c r="Q94">
        <f t="array" ref="Q94">IF(I94&gt;0,INDEX(DB,I94,9),EventIndex)</f>
        <v>6</v>
      </c>
      <c r="S94" s="442">
        <f t="array" ref="S94">INDEX(MINVALUES,$Q94,$K$1)</f>
        <v>5</v>
      </c>
      <c r="T94">
        <f t="array" ref="T94">INDEX(INCVALUES,$Q94,$K$1)</f>
        <v>0.5</v>
      </c>
      <c r="V94">
        <f t="array" ref="V94">+J94+(4*(INDEX(MatchScoreTable,$Q94,20)-1))</f>
        <v>4</v>
      </c>
      <c r="W94" s="442">
        <f t="array" ref="W94">INDEX(INC_MINVALUES,$V94,$K$1)</f>
        <v>2.5</v>
      </c>
      <c r="X94" s="212">
        <f t="array" ref="X94">INDEX(INC_INCVALUES,$V94,$K$1)</f>
        <v>0.5</v>
      </c>
    </row>
    <row r="95" ht="15.75" customHeight="1">
      <c r="A95" s="435"/>
      <c r="B95" s="436"/>
      <c r="C95" s="95" t="str">
        <f t="array" ref="C95">IF(I95&gt;0,INDEX(DB,I95,8),"")</f>
        <v/>
      </c>
      <c r="D95" s="437">
        <f t="shared" si="1"/>
        <v>0</v>
      </c>
      <c r="F95" s="438">
        <f t="shared" si="2"/>
        <v>0</v>
      </c>
      <c r="G95" t="str">
        <f t="shared" si="3"/>
        <v/>
      </c>
      <c r="H95" t="b">
        <f t="shared" si="4"/>
        <v>0</v>
      </c>
      <c r="I95" s="439">
        <f>IF(OR(ISBLANK(A95),ISNA(MATCH(A95&amp;"",AthleteNumbers,0))),0,MATCH(A95&amp;"",AthleteNumbers,0))</f>
        <v>0</v>
      </c>
      <c r="J95" s="209">
        <f t="array" ref="J95">IF(I95&gt;0,INDEX(DB,$I95,6),0)</f>
        <v>0</v>
      </c>
      <c r="K95" s="446">
        <f t="shared" si="5"/>
        <v>0</v>
      </c>
      <c r="L95" s="446">
        <f t="shared" si="6"/>
        <v>0</v>
      </c>
      <c r="M95" s="441">
        <f>IF(L95&lt;O95,MinPoints,IF(AND(L95&gt;N95,O95&gt;0),100,+INT(($L95-O95)/P95)+MinPoints))</f>
        <v>10</v>
      </c>
      <c r="N95" s="440">
        <f t="shared" si="7"/>
        <v>50</v>
      </c>
      <c r="O95" s="440">
        <f t="shared" si="8"/>
        <v>5</v>
      </c>
      <c r="P95" s="440">
        <f t="shared" si="9"/>
        <v>0.5</v>
      </c>
      <c r="Q95">
        <f t="array" ref="Q95">IF(I95&gt;0,INDEX(DB,I95,9),EventIndex)</f>
        <v>6</v>
      </c>
      <c r="S95" s="442">
        <f t="array" ref="S95">INDEX(MINVALUES,$Q95,$K$1)</f>
        <v>5</v>
      </c>
      <c r="T95">
        <f t="array" ref="T95">INDEX(INCVALUES,$Q95,$K$1)</f>
        <v>0.5</v>
      </c>
      <c r="V95">
        <f t="array" ref="V95">+J95+(4*(INDEX(MatchScoreTable,$Q95,20)-1))</f>
        <v>4</v>
      </c>
      <c r="W95" s="442">
        <f t="array" ref="W95">INDEX(INC_MINVALUES,$V95,$K$1)</f>
        <v>2.5</v>
      </c>
      <c r="X95" s="212">
        <f t="array" ref="X95">INDEX(INC_INCVALUES,$V95,$K$1)</f>
        <v>0.5</v>
      </c>
    </row>
    <row r="96" ht="15.75" customHeight="1">
      <c r="A96" s="435"/>
      <c r="B96" s="436"/>
      <c r="C96" s="95" t="str">
        <f t="array" ref="C96">IF(I96&gt;0,INDEX(DB,I96,8),"")</f>
        <v/>
      </c>
      <c r="D96" s="437">
        <f t="shared" si="1"/>
        <v>0</v>
      </c>
      <c r="F96" s="438">
        <f t="shared" si="2"/>
        <v>0</v>
      </c>
      <c r="G96" t="str">
        <f t="shared" si="3"/>
        <v/>
      </c>
      <c r="H96" t="b">
        <f t="shared" si="4"/>
        <v>0</v>
      </c>
      <c r="I96" s="439">
        <f>IF(OR(ISBLANK(A96),ISNA(MATCH(A96&amp;"",AthleteNumbers,0))),0,MATCH(A96&amp;"",AthleteNumbers,0))</f>
        <v>0</v>
      </c>
      <c r="J96" s="209">
        <f t="array" ref="J96">IF(I96&gt;0,INDEX(DB,$I96,6),0)</f>
        <v>0</v>
      </c>
      <c r="K96" s="446">
        <f t="shared" si="5"/>
        <v>0</v>
      </c>
      <c r="L96" s="446">
        <f t="shared" si="6"/>
        <v>0</v>
      </c>
      <c r="M96" s="441">
        <f>IF(L96&lt;O96,MinPoints,IF(AND(L96&gt;N96,O96&gt;0),100,+INT(($L96-O96)/P96)+MinPoints))</f>
        <v>10</v>
      </c>
      <c r="N96" s="440">
        <f t="shared" si="7"/>
        <v>50</v>
      </c>
      <c r="O96" s="440">
        <f t="shared" si="8"/>
        <v>5</v>
      </c>
      <c r="P96" s="440">
        <f t="shared" si="9"/>
        <v>0.5</v>
      </c>
      <c r="Q96">
        <f t="array" ref="Q96">IF(I96&gt;0,INDEX(DB,I96,9),EventIndex)</f>
        <v>6</v>
      </c>
      <c r="S96" s="442">
        <f t="array" ref="S96">INDEX(MINVALUES,$Q96,$K$1)</f>
        <v>5</v>
      </c>
      <c r="T96">
        <f t="array" ref="T96">INDEX(INCVALUES,$Q96,$K$1)</f>
        <v>0.5</v>
      </c>
      <c r="V96">
        <f t="array" ref="V96">+J96+(4*(INDEX(MatchScoreTable,$Q96,20)-1))</f>
        <v>4</v>
      </c>
      <c r="W96" s="442">
        <f t="array" ref="W96">INDEX(INC_MINVALUES,$V96,$K$1)</f>
        <v>2.5</v>
      </c>
      <c r="X96" s="212">
        <f t="array" ref="X96">INDEX(INC_INCVALUES,$V96,$K$1)</f>
        <v>0.5</v>
      </c>
    </row>
    <row r="97" ht="15.75" customHeight="1">
      <c r="A97" s="435"/>
      <c r="B97" s="436"/>
      <c r="C97" s="95" t="str">
        <f t="array" ref="C97">IF(I97&gt;0,INDEX(DB,I97,8),"")</f>
        <v/>
      </c>
      <c r="D97" s="437">
        <f t="shared" si="1"/>
        <v>0</v>
      </c>
      <c r="F97" s="438">
        <f t="shared" si="2"/>
        <v>0</v>
      </c>
      <c r="G97" t="str">
        <f t="shared" si="3"/>
        <v/>
      </c>
      <c r="H97" t="b">
        <f t="shared" si="4"/>
        <v>0</v>
      </c>
      <c r="I97" s="439">
        <f>IF(OR(ISBLANK(A97),ISNA(MATCH(A97&amp;"",AthleteNumbers,0))),0,MATCH(A97&amp;"",AthleteNumbers,0))</f>
        <v>0</v>
      </c>
      <c r="J97" s="209">
        <f t="array" ref="J97">IF(I97&gt;0,INDEX(DB,$I97,6),0)</f>
        <v>0</v>
      </c>
      <c r="K97" s="446">
        <f t="shared" si="5"/>
        <v>0</v>
      </c>
      <c r="L97" s="446">
        <f t="shared" si="6"/>
        <v>0</v>
      </c>
      <c r="M97" s="441">
        <f>IF(L97&lt;O97,MinPoints,IF(AND(L97&gt;N97,O97&gt;0),100,+INT(($L97-O97)/P97)+MinPoints))</f>
        <v>10</v>
      </c>
      <c r="N97" s="440">
        <f t="shared" si="7"/>
        <v>50</v>
      </c>
      <c r="O97" s="440">
        <f t="shared" si="8"/>
        <v>5</v>
      </c>
      <c r="P97" s="440">
        <f t="shared" si="9"/>
        <v>0.5</v>
      </c>
      <c r="Q97">
        <f t="array" ref="Q97">IF(I97&gt;0,INDEX(DB,I97,9),EventIndex)</f>
        <v>6</v>
      </c>
      <c r="S97" s="442">
        <f t="array" ref="S97">INDEX(MINVALUES,$Q97,$K$1)</f>
        <v>5</v>
      </c>
      <c r="T97">
        <f t="array" ref="T97">INDEX(INCVALUES,$Q97,$K$1)</f>
        <v>0.5</v>
      </c>
      <c r="V97">
        <f t="array" ref="V97">+J97+(4*(INDEX(MatchScoreTable,$Q97,20)-1))</f>
        <v>4</v>
      </c>
      <c r="W97" s="442">
        <f t="array" ref="W97">INDEX(INC_MINVALUES,$V97,$K$1)</f>
        <v>2.5</v>
      </c>
      <c r="X97" s="212">
        <f t="array" ref="X97">INDEX(INC_INCVALUES,$V97,$K$1)</f>
        <v>0.5</v>
      </c>
    </row>
    <row r="98" ht="15.75" customHeight="1">
      <c r="A98" s="435"/>
      <c r="B98" s="436"/>
      <c r="C98" s="95" t="str">
        <f t="array" ref="C98">IF(I98&gt;0,INDEX(DB,I98,8),"")</f>
        <v/>
      </c>
      <c r="D98" s="437">
        <f t="shared" si="1"/>
        <v>0</v>
      </c>
      <c r="F98" s="438">
        <f t="shared" si="2"/>
        <v>0</v>
      </c>
      <c r="G98" t="str">
        <f t="shared" si="3"/>
        <v/>
      </c>
      <c r="H98" t="b">
        <f t="shared" si="4"/>
        <v>0</v>
      </c>
      <c r="I98" s="439">
        <f>IF(OR(ISBLANK(A98),ISNA(MATCH(A98&amp;"",AthleteNumbers,0))),0,MATCH(A98&amp;"",AthleteNumbers,0))</f>
        <v>0</v>
      </c>
      <c r="J98" s="209">
        <f t="array" ref="J98">IF(I98&gt;0,INDEX(DB,$I98,6),0)</f>
        <v>0</v>
      </c>
      <c r="K98" s="446">
        <f t="shared" si="5"/>
        <v>0</v>
      </c>
      <c r="L98" s="446">
        <f t="shared" si="6"/>
        <v>0</v>
      </c>
      <c r="M98" s="441">
        <f>IF(L98&lt;O98,MinPoints,IF(AND(L98&gt;N98,O98&gt;0),100,+INT(($L98-O98)/P98)+MinPoints))</f>
        <v>10</v>
      </c>
      <c r="N98" s="440">
        <f t="shared" si="7"/>
        <v>50</v>
      </c>
      <c r="O98" s="440">
        <f t="shared" si="8"/>
        <v>5</v>
      </c>
      <c r="P98" s="440">
        <f t="shared" si="9"/>
        <v>0.5</v>
      </c>
      <c r="Q98">
        <f t="array" ref="Q98">IF(I98&gt;0,INDEX(DB,I98,9),EventIndex)</f>
        <v>6</v>
      </c>
      <c r="S98" s="442">
        <f t="array" ref="S98">INDEX(MINVALUES,$Q98,$K$1)</f>
        <v>5</v>
      </c>
      <c r="T98">
        <f t="array" ref="T98">INDEX(INCVALUES,$Q98,$K$1)</f>
        <v>0.5</v>
      </c>
      <c r="V98">
        <f t="array" ref="V98">+J98+(4*(INDEX(MatchScoreTable,$Q98,20)-1))</f>
        <v>4</v>
      </c>
      <c r="W98" s="442">
        <f t="array" ref="W98">INDEX(INC_MINVALUES,$V98,$K$1)</f>
        <v>2.5</v>
      </c>
      <c r="X98" s="212">
        <f t="array" ref="X98">INDEX(INC_INCVALUES,$V98,$K$1)</f>
        <v>0.5</v>
      </c>
    </row>
    <row r="99" ht="15.75" customHeight="1">
      <c r="A99" s="435"/>
      <c r="B99" s="436"/>
      <c r="C99" s="95" t="str">
        <f t="array" ref="C99">IF(I99&gt;0,INDEX(DB,I99,8),"")</f>
        <v/>
      </c>
      <c r="D99" s="437">
        <f t="shared" si="1"/>
        <v>0</v>
      </c>
      <c r="F99" s="438">
        <f t="shared" si="2"/>
        <v>0</v>
      </c>
      <c r="G99" t="str">
        <f t="shared" si="3"/>
        <v/>
      </c>
      <c r="H99" t="b">
        <f t="shared" si="4"/>
        <v>0</v>
      </c>
      <c r="I99" s="439">
        <f>IF(OR(ISBLANK(A99),ISNA(MATCH(A99&amp;"",AthleteNumbers,0))),0,MATCH(A99&amp;"",AthleteNumbers,0))</f>
        <v>0</v>
      </c>
      <c r="J99" s="209">
        <f t="array" ref="J99">IF(I99&gt;0,INDEX(DB,$I99,6),0)</f>
        <v>0</v>
      </c>
      <c r="K99" s="446">
        <f t="shared" si="5"/>
        <v>0</v>
      </c>
      <c r="L99" s="446">
        <f t="shared" si="6"/>
        <v>0</v>
      </c>
      <c r="M99" s="441">
        <f>IF(L99&lt;O99,MinPoints,IF(AND(L99&gt;N99,O99&gt;0),100,+INT(($L99-O99)/P99)+MinPoints))</f>
        <v>10</v>
      </c>
      <c r="N99" s="440">
        <f t="shared" si="7"/>
        <v>50</v>
      </c>
      <c r="O99" s="440">
        <f t="shared" si="8"/>
        <v>5</v>
      </c>
      <c r="P99" s="440">
        <f t="shared" si="9"/>
        <v>0.5</v>
      </c>
      <c r="Q99">
        <f t="array" ref="Q99">IF(I99&gt;0,INDEX(DB,I99,9),EventIndex)</f>
        <v>6</v>
      </c>
      <c r="S99" s="442">
        <f t="array" ref="S99">INDEX(MINVALUES,$Q99,$K$1)</f>
        <v>5</v>
      </c>
      <c r="T99">
        <f t="array" ref="T99">INDEX(INCVALUES,$Q99,$K$1)</f>
        <v>0.5</v>
      </c>
      <c r="V99">
        <f t="array" ref="V99">+J99+(4*(INDEX(MatchScoreTable,$Q99,20)-1))</f>
        <v>4</v>
      </c>
      <c r="W99" s="442">
        <f t="array" ref="W99">INDEX(INC_MINVALUES,$V99,$K$1)</f>
        <v>2.5</v>
      </c>
      <c r="X99" s="212">
        <f t="array" ref="X99">INDEX(INC_INCVALUES,$V99,$K$1)</f>
        <v>0.5</v>
      </c>
    </row>
    <row r="100" ht="15.75" customHeight="1">
      <c r="A100" s="435"/>
      <c r="B100" s="436"/>
      <c r="C100" s="95" t="str">
        <f t="array" ref="C100">IF(I100&gt;0,INDEX(DB,I100,8),"")</f>
        <v/>
      </c>
      <c r="D100" s="437">
        <f t="shared" si="1"/>
        <v>0</v>
      </c>
      <c r="F100" s="438">
        <f t="shared" si="2"/>
        <v>0</v>
      </c>
      <c r="G100" t="str">
        <f t="shared" si="3"/>
        <v/>
      </c>
      <c r="H100" t="b">
        <f t="shared" si="4"/>
        <v>0</v>
      </c>
      <c r="I100" s="439">
        <f>IF(OR(ISBLANK(A100),ISNA(MATCH(A100&amp;"",AthleteNumbers,0))),0,MATCH(A100&amp;"",AthleteNumbers,0))</f>
        <v>0</v>
      </c>
      <c r="J100" s="209">
        <f t="array" ref="J100">IF(I100&gt;0,INDEX(DB,$I100,6),0)</f>
        <v>0</v>
      </c>
      <c r="K100" s="446">
        <f t="shared" si="5"/>
        <v>0</v>
      </c>
      <c r="L100" s="446">
        <f t="shared" si="6"/>
        <v>0</v>
      </c>
      <c r="M100" s="441">
        <f>IF(L100&lt;O100,MinPoints,IF(AND(L100&gt;N100,O100&gt;0),100,+INT(($L100-O100)/P100)+MinPoints))</f>
        <v>10</v>
      </c>
      <c r="N100" s="440">
        <f t="shared" si="7"/>
        <v>50</v>
      </c>
      <c r="O100" s="440">
        <f t="shared" si="8"/>
        <v>5</v>
      </c>
      <c r="P100" s="440">
        <f t="shared" si="9"/>
        <v>0.5</v>
      </c>
      <c r="Q100">
        <f t="array" ref="Q100">IF(I100&gt;0,INDEX(DB,I100,9),EventIndex)</f>
        <v>6</v>
      </c>
      <c r="S100" s="442">
        <f t="array" ref="S100">INDEX(MINVALUES,$Q100,$K$1)</f>
        <v>5</v>
      </c>
      <c r="T100">
        <f t="array" ref="T100">INDEX(INCVALUES,$Q100,$K$1)</f>
        <v>0.5</v>
      </c>
      <c r="V100">
        <f t="array" ref="V100">+J100+(4*(INDEX(MatchScoreTable,$Q100,20)-1))</f>
        <v>4</v>
      </c>
      <c r="W100" s="442">
        <f t="array" ref="W100">INDEX(INC_MINVALUES,$V100,$K$1)</f>
        <v>2.5</v>
      </c>
      <c r="X100" s="212">
        <f t="array" ref="X100">INDEX(INC_INCVALUES,$V100,$K$1)</f>
        <v>0.5</v>
      </c>
    </row>
    <row r="101" ht="15.75" customHeight="1">
      <c r="A101" s="435"/>
      <c r="B101" s="436"/>
      <c r="C101" s="95" t="str">
        <f t="array" ref="C101">IF(I101&gt;0,INDEX(DB,I101,8),"")</f>
        <v/>
      </c>
      <c r="D101" s="437">
        <f t="shared" si="1"/>
        <v>0</v>
      </c>
      <c r="F101" s="438">
        <f t="shared" si="2"/>
        <v>0</v>
      </c>
      <c r="G101" t="str">
        <f t="shared" si="3"/>
        <v/>
      </c>
      <c r="H101" t="b">
        <f t="shared" si="4"/>
        <v>0</v>
      </c>
      <c r="I101" s="439">
        <f>IF(OR(ISBLANK(A101),ISNA(MATCH(A101&amp;"",AthleteNumbers,0))),0,MATCH(A101&amp;"",AthleteNumbers,0))</f>
        <v>0</v>
      </c>
      <c r="J101" s="209">
        <f t="array" ref="J101">IF(I101&gt;0,INDEX(DB,$I101,6),0)</f>
        <v>0</v>
      </c>
      <c r="K101" s="446">
        <f t="shared" si="5"/>
        <v>0</v>
      </c>
      <c r="L101" s="446">
        <f t="shared" si="6"/>
        <v>0</v>
      </c>
      <c r="M101" s="441">
        <f>IF(L101&lt;O101,MinPoints,IF(AND(L101&gt;N101,O101&gt;0),100,+INT(($L101-O101)/P101)+MinPoints))</f>
        <v>10</v>
      </c>
      <c r="N101" s="440">
        <f t="shared" si="7"/>
        <v>50</v>
      </c>
      <c r="O101" s="440">
        <f t="shared" si="8"/>
        <v>5</v>
      </c>
      <c r="P101" s="440">
        <f t="shared" si="9"/>
        <v>0.5</v>
      </c>
      <c r="Q101">
        <f t="array" ref="Q101">IF(I101&gt;0,INDEX(DB,I101,9),EventIndex)</f>
        <v>6</v>
      </c>
      <c r="S101" s="442">
        <f t="array" ref="S101">INDEX(MINVALUES,$Q101,$K$1)</f>
        <v>5</v>
      </c>
      <c r="T101">
        <f t="array" ref="T101">INDEX(INCVALUES,$Q101,$K$1)</f>
        <v>0.5</v>
      </c>
      <c r="V101">
        <f t="array" ref="V101">+J101+(4*(INDEX(MatchScoreTable,$Q101,20)-1))</f>
        <v>4</v>
      </c>
      <c r="W101" s="442">
        <f t="array" ref="W101">INDEX(INC_MINVALUES,$V101,$K$1)</f>
        <v>2.5</v>
      </c>
      <c r="X101" s="212">
        <f t="array" ref="X101">INDEX(INC_INCVALUES,$V101,$K$1)</f>
        <v>0.5</v>
      </c>
    </row>
    <row r="102" ht="15.75" customHeight="1">
      <c r="A102" s="435"/>
      <c r="B102" s="436"/>
      <c r="C102" s="95" t="str">
        <f t="array" ref="C102">IF(I102&gt;0,INDEX(DB,I102,8),"")</f>
        <v/>
      </c>
      <c r="D102" s="437">
        <f t="shared" si="1"/>
        <v>0</v>
      </c>
      <c r="F102" s="438">
        <f t="shared" si="2"/>
        <v>0</v>
      </c>
      <c r="G102" t="str">
        <f t="shared" si="3"/>
        <v/>
      </c>
      <c r="H102" t="b">
        <f t="shared" si="4"/>
        <v>0</v>
      </c>
      <c r="I102" s="439">
        <f>IF(OR(ISBLANK(A102),ISNA(MATCH(A102&amp;"",AthleteNumbers,0))),0,MATCH(A102&amp;"",AthleteNumbers,0))</f>
        <v>0</v>
      </c>
      <c r="J102" s="209">
        <f t="array" ref="J102">IF(I102&gt;0,INDEX(DB,$I102,6),0)</f>
        <v>0</v>
      </c>
      <c r="K102" s="446">
        <f t="shared" si="5"/>
        <v>0</v>
      </c>
      <c r="L102" s="446">
        <f t="shared" si="6"/>
        <v>0</v>
      </c>
      <c r="M102" s="441">
        <f>IF(L102&lt;O102,MinPoints,IF(AND(L102&gt;N102,O102&gt;0),100,+INT(($L102-O102)/P102)+MinPoints))</f>
        <v>10</v>
      </c>
      <c r="N102" s="440">
        <f t="shared" si="7"/>
        <v>50</v>
      </c>
      <c r="O102" s="440">
        <f t="shared" si="8"/>
        <v>5</v>
      </c>
      <c r="P102" s="440">
        <f t="shared" si="9"/>
        <v>0.5</v>
      </c>
      <c r="Q102">
        <f t="array" ref="Q102">IF(I102&gt;0,INDEX(DB,I102,9),EventIndex)</f>
        <v>6</v>
      </c>
      <c r="S102" s="442">
        <f t="array" ref="S102">INDEX(MINVALUES,$Q102,$K$1)</f>
        <v>5</v>
      </c>
      <c r="T102">
        <f t="array" ref="T102">INDEX(INCVALUES,$Q102,$K$1)</f>
        <v>0.5</v>
      </c>
      <c r="V102">
        <f t="array" ref="V102">+J102+(4*(INDEX(MatchScoreTable,$Q102,20)-1))</f>
        <v>4</v>
      </c>
      <c r="W102" s="442">
        <f t="array" ref="W102">INDEX(INC_MINVALUES,$V102,$K$1)</f>
        <v>2.5</v>
      </c>
      <c r="X102" s="212">
        <f t="array" ref="X102">INDEX(INC_INCVALUES,$V102,$K$1)</f>
        <v>0.5</v>
      </c>
    </row>
    <row r="103" ht="15.75" customHeight="1">
      <c r="A103" s="435"/>
      <c r="B103" s="436"/>
      <c r="C103" s="95" t="str">
        <f t="array" ref="C103">IF(I103&gt;0,INDEX(DB,I103,8),"")</f>
        <v/>
      </c>
      <c r="D103" s="437">
        <f t="shared" si="1"/>
        <v>0</v>
      </c>
      <c r="F103" s="438">
        <f t="shared" si="2"/>
        <v>0</v>
      </c>
      <c r="G103" t="str">
        <f t="shared" si="3"/>
        <v/>
      </c>
      <c r="H103" t="b">
        <f t="shared" si="4"/>
        <v>0</v>
      </c>
      <c r="I103" s="439">
        <f>IF(OR(ISBLANK(A103),ISNA(MATCH(A103&amp;"",AthleteNumbers,0))),0,MATCH(A103&amp;"",AthleteNumbers,0))</f>
        <v>0</v>
      </c>
      <c r="J103" s="209">
        <f t="array" ref="J103">IF(I103&gt;0,INDEX(DB,$I103,6),0)</f>
        <v>0</v>
      </c>
      <c r="K103" s="446">
        <f t="shared" si="5"/>
        <v>0</v>
      </c>
      <c r="L103" s="446">
        <f t="shared" si="6"/>
        <v>0</v>
      </c>
      <c r="M103" s="441">
        <f>IF(L103&lt;O103,MinPoints,IF(AND(L103&gt;N103,O103&gt;0),100,+INT(($L103-O103)/P103)+MinPoints))</f>
        <v>10</v>
      </c>
      <c r="N103" s="440">
        <f t="shared" si="7"/>
        <v>50</v>
      </c>
      <c r="O103" s="440">
        <f t="shared" si="8"/>
        <v>5</v>
      </c>
      <c r="P103" s="440">
        <f t="shared" si="9"/>
        <v>0.5</v>
      </c>
      <c r="Q103">
        <f t="array" ref="Q103">IF(I103&gt;0,INDEX(DB,I103,9),EventIndex)</f>
        <v>6</v>
      </c>
      <c r="S103" s="442">
        <f t="array" ref="S103">INDEX(MINVALUES,$Q103,$K$1)</f>
        <v>5</v>
      </c>
      <c r="T103">
        <f t="array" ref="T103">INDEX(INCVALUES,$Q103,$K$1)</f>
        <v>0.5</v>
      </c>
      <c r="V103">
        <f t="array" ref="V103">+J103+(4*(INDEX(MatchScoreTable,$Q103,20)-1))</f>
        <v>4</v>
      </c>
      <c r="W103" s="442">
        <f t="array" ref="W103">INDEX(INC_MINVALUES,$V103,$K$1)</f>
        <v>2.5</v>
      </c>
      <c r="X103" s="212">
        <f t="array" ref="X103">INDEX(INC_INCVALUES,$V103,$K$1)</f>
        <v>0.5</v>
      </c>
    </row>
    <row r="104" ht="15.75" customHeight="1">
      <c r="A104" s="435"/>
      <c r="B104" s="436"/>
      <c r="C104" s="95" t="str">
        <f t="array" ref="C104">IF(I104&gt;0,INDEX(DB,I104,8),"")</f>
        <v/>
      </c>
      <c r="D104" s="437">
        <f t="shared" si="1"/>
        <v>0</v>
      </c>
      <c r="F104" s="438">
        <f t="shared" si="2"/>
        <v>0</v>
      </c>
      <c r="G104" t="str">
        <f t="shared" si="3"/>
        <v/>
      </c>
      <c r="H104" t="b">
        <f t="shared" si="4"/>
        <v>0</v>
      </c>
      <c r="I104" s="439">
        <f>IF(OR(ISBLANK(A104),ISNA(MATCH(A104&amp;"",AthleteNumbers,0))),0,MATCH(A104&amp;"",AthleteNumbers,0))</f>
        <v>0</v>
      </c>
      <c r="J104" s="209">
        <f t="array" ref="J104">IF(I104&gt;0,INDEX(DB,$I104,6),0)</f>
        <v>0</v>
      </c>
      <c r="K104" s="446">
        <f t="shared" si="5"/>
        <v>0</v>
      </c>
      <c r="L104" s="446">
        <f t="shared" si="6"/>
        <v>0</v>
      </c>
      <c r="M104" s="441">
        <f>IF(L104&lt;O104,MinPoints,IF(AND(L104&gt;N104,O104&gt;0),100,+INT(($L104-O104)/P104)+MinPoints))</f>
        <v>10</v>
      </c>
      <c r="N104" s="440">
        <f t="shared" si="7"/>
        <v>50</v>
      </c>
      <c r="O104" s="440">
        <f t="shared" si="8"/>
        <v>5</v>
      </c>
      <c r="P104" s="440">
        <f t="shared" si="9"/>
        <v>0.5</v>
      </c>
      <c r="Q104">
        <f t="array" ref="Q104">IF(I104&gt;0,INDEX(DB,I104,9),EventIndex)</f>
        <v>6</v>
      </c>
      <c r="S104" s="442">
        <f t="array" ref="S104">INDEX(MINVALUES,$Q104,$K$1)</f>
        <v>5</v>
      </c>
      <c r="T104">
        <f t="array" ref="T104">INDEX(INCVALUES,$Q104,$K$1)</f>
        <v>0.5</v>
      </c>
      <c r="V104">
        <f t="array" ref="V104">+J104+(4*(INDEX(MatchScoreTable,$Q104,20)-1))</f>
        <v>4</v>
      </c>
      <c r="W104" s="442">
        <f t="array" ref="W104">INDEX(INC_MINVALUES,$V104,$K$1)</f>
        <v>2.5</v>
      </c>
      <c r="X104" s="212">
        <f t="array" ref="X104">INDEX(INC_INCVALUES,$V104,$K$1)</f>
        <v>0.5</v>
      </c>
    </row>
    <row r="105" ht="15.75" customHeight="1">
      <c r="A105" s="435"/>
      <c r="B105" s="436"/>
      <c r="C105" s="95" t="str">
        <f t="array" ref="C105">IF(I105&gt;0,INDEX(DB,I105,8),"")</f>
        <v/>
      </c>
      <c r="D105" s="437">
        <f t="shared" si="1"/>
        <v>0</v>
      </c>
      <c r="F105" s="438">
        <f t="shared" si="2"/>
        <v>0</v>
      </c>
      <c r="G105" t="str">
        <f t="shared" si="3"/>
        <v/>
      </c>
      <c r="H105" t="b">
        <f t="shared" si="4"/>
        <v>0</v>
      </c>
      <c r="I105" s="439">
        <f>IF(OR(ISBLANK(A105),ISNA(MATCH(A105&amp;"",AthleteNumbers,0))),0,MATCH(A105&amp;"",AthleteNumbers,0))</f>
        <v>0</v>
      </c>
      <c r="J105" s="209">
        <f t="array" ref="J105">IF(I105&gt;0,INDEX(DB,$I105,6),0)</f>
        <v>0</v>
      </c>
      <c r="K105" s="446">
        <f t="shared" si="5"/>
        <v>0</v>
      </c>
      <c r="L105" s="446">
        <f t="shared" si="6"/>
        <v>0</v>
      </c>
      <c r="M105" s="441">
        <f>IF(L105&lt;O105,MinPoints,IF(AND(L105&gt;N105,O105&gt;0),100,+INT(($L105-O105)/P105)+MinPoints))</f>
        <v>10</v>
      </c>
      <c r="N105" s="440">
        <f t="shared" si="7"/>
        <v>50</v>
      </c>
      <c r="O105" s="440">
        <f t="shared" si="8"/>
        <v>5</v>
      </c>
      <c r="P105" s="440">
        <f t="shared" si="9"/>
        <v>0.5</v>
      </c>
      <c r="Q105">
        <f t="array" ref="Q105">IF(I105&gt;0,INDEX(DB,I105,9),EventIndex)</f>
        <v>6</v>
      </c>
      <c r="S105" s="442">
        <f t="array" ref="S105">INDEX(MINVALUES,$Q105,$K$1)</f>
        <v>5</v>
      </c>
      <c r="T105">
        <f t="array" ref="T105">INDEX(INCVALUES,$Q105,$K$1)</f>
        <v>0.5</v>
      </c>
      <c r="V105">
        <f t="array" ref="V105">+J105+(4*(INDEX(MatchScoreTable,$Q105,20)-1))</f>
        <v>4</v>
      </c>
      <c r="W105" s="442">
        <f t="array" ref="W105">INDEX(INC_MINVALUES,$V105,$K$1)</f>
        <v>2.5</v>
      </c>
      <c r="X105" s="212">
        <f t="array" ref="X105">INDEX(INC_INCVALUES,$V105,$K$1)</f>
        <v>0.5</v>
      </c>
    </row>
    <row r="106" ht="15.75" customHeight="1">
      <c r="A106" s="435"/>
      <c r="B106" s="436"/>
      <c r="C106" s="95" t="str">
        <f t="array" ref="C106">IF(I106&gt;0,INDEX(DB,I106,8),"")</f>
        <v/>
      </c>
      <c r="D106" s="437">
        <f t="shared" si="1"/>
        <v>0</v>
      </c>
      <c r="F106" s="438">
        <f t="shared" si="2"/>
        <v>0</v>
      </c>
      <c r="G106" t="str">
        <f t="shared" si="3"/>
        <v/>
      </c>
      <c r="H106" t="b">
        <f t="shared" si="4"/>
        <v>0</v>
      </c>
      <c r="I106" s="439">
        <f>IF(OR(ISBLANK(A106),ISNA(MATCH(A106&amp;"",AthleteNumbers,0))),0,MATCH(A106&amp;"",AthleteNumbers,0))</f>
        <v>0</v>
      </c>
      <c r="J106" s="209">
        <f t="array" ref="J106">IF(I106&gt;0,INDEX(DB,$I106,6),0)</f>
        <v>0</v>
      </c>
      <c r="K106" s="446">
        <f t="shared" si="5"/>
        <v>0</v>
      </c>
      <c r="L106" s="446">
        <f t="shared" si="6"/>
        <v>0</v>
      </c>
      <c r="M106" s="441">
        <f>IF(L106&lt;O106,MinPoints,IF(AND(L106&gt;N106,O106&gt;0),100,+INT(($L106-O106)/P106)+MinPoints))</f>
        <v>10</v>
      </c>
      <c r="N106" s="440">
        <f t="shared" si="7"/>
        <v>50</v>
      </c>
      <c r="O106" s="440">
        <f t="shared" si="8"/>
        <v>5</v>
      </c>
      <c r="P106" s="440">
        <f t="shared" si="9"/>
        <v>0.5</v>
      </c>
      <c r="Q106">
        <f t="array" ref="Q106">IF(I106&gt;0,INDEX(DB,I106,9),EventIndex)</f>
        <v>6</v>
      </c>
      <c r="S106" s="442">
        <f t="array" ref="S106">INDEX(MINVALUES,$Q106,$K$1)</f>
        <v>5</v>
      </c>
      <c r="T106">
        <f t="array" ref="T106">INDEX(INCVALUES,$Q106,$K$1)</f>
        <v>0.5</v>
      </c>
      <c r="V106">
        <f t="array" ref="V106">+J106+(4*(INDEX(MatchScoreTable,$Q106,20)-1))</f>
        <v>4</v>
      </c>
      <c r="W106" s="442">
        <f t="array" ref="W106">INDEX(INC_MINVALUES,$V106,$K$1)</f>
        <v>2.5</v>
      </c>
      <c r="X106" s="212">
        <f t="array" ref="X106">INDEX(INC_INCVALUES,$V106,$K$1)</f>
        <v>0.5</v>
      </c>
    </row>
    <row r="107" ht="15.75" customHeight="1">
      <c r="A107" s="435"/>
      <c r="B107" s="436"/>
      <c r="C107" s="95" t="str">
        <f t="array" ref="C107">IF(I107&gt;0,INDEX(DB,I107,8),"")</f>
        <v/>
      </c>
      <c r="D107" s="437">
        <f t="shared" si="1"/>
        <v>0</v>
      </c>
      <c r="F107" s="438">
        <f t="shared" si="2"/>
        <v>0</v>
      </c>
      <c r="G107" t="str">
        <f t="shared" si="3"/>
        <v/>
      </c>
      <c r="H107" t="b">
        <f t="shared" si="4"/>
        <v>0</v>
      </c>
      <c r="I107" s="439">
        <f>IF(OR(ISBLANK(A107),ISNA(MATCH(A107&amp;"",AthleteNumbers,0))),0,MATCH(A107&amp;"",AthleteNumbers,0))</f>
        <v>0</v>
      </c>
      <c r="J107" s="209">
        <f t="array" ref="J107">IF(I107&gt;0,INDEX(DB,$I107,6),0)</f>
        <v>0</v>
      </c>
      <c r="K107" s="446">
        <f t="shared" si="5"/>
        <v>0</v>
      </c>
      <c r="L107" s="446">
        <f t="shared" si="6"/>
        <v>0</v>
      </c>
      <c r="M107" s="441">
        <f>IF(L107&lt;O107,MinPoints,IF(AND(L107&gt;N107,O107&gt;0),100,+INT(($L107-O107)/P107)+MinPoints))</f>
        <v>10</v>
      </c>
      <c r="N107" s="440">
        <f t="shared" si="7"/>
        <v>50</v>
      </c>
      <c r="O107" s="440">
        <f t="shared" si="8"/>
        <v>5</v>
      </c>
      <c r="P107" s="440">
        <f t="shared" si="9"/>
        <v>0.5</v>
      </c>
      <c r="Q107">
        <f t="array" ref="Q107">IF(I107&gt;0,INDEX(DB,I107,9),EventIndex)</f>
        <v>6</v>
      </c>
      <c r="S107" s="442">
        <f t="array" ref="S107">INDEX(MINVALUES,$Q107,$K$1)</f>
        <v>5</v>
      </c>
      <c r="T107">
        <f t="array" ref="T107">INDEX(INCVALUES,$Q107,$K$1)</f>
        <v>0.5</v>
      </c>
      <c r="V107">
        <f t="array" ref="V107">+J107+(4*(INDEX(MatchScoreTable,$Q107,20)-1))</f>
        <v>4</v>
      </c>
      <c r="W107" s="442">
        <f t="array" ref="W107">INDEX(INC_MINVALUES,$V107,$K$1)</f>
        <v>2.5</v>
      </c>
      <c r="X107" s="212">
        <f t="array" ref="X107">INDEX(INC_INCVALUES,$V107,$K$1)</f>
        <v>0.5</v>
      </c>
    </row>
    <row r="108" ht="15.75" customHeight="1">
      <c r="A108" s="435"/>
      <c r="B108" s="436"/>
      <c r="C108" s="95" t="str">
        <f t="array" ref="C108">IF(I108&gt;0,INDEX(DB,I108,8),"")</f>
        <v/>
      </c>
      <c r="D108" s="437">
        <f t="shared" si="1"/>
        <v>0</v>
      </c>
      <c r="F108" s="438">
        <f t="shared" si="2"/>
        <v>0</v>
      </c>
      <c r="G108" t="str">
        <f t="shared" si="3"/>
        <v/>
      </c>
      <c r="H108" t="b">
        <f t="shared" si="4"/>
        <v>0</v>
      </c>
      <c r="I108" s="439">
        <f>IF(OR(ISBLANK(A108),ISNA(MATCH(A108&amp;"",AthleteNumbers,0))),0,MATCH(A108&amp;"",AthleteNumbers,0))</f>
        <v>0</v>
      </c>
      <c r="J108" s="209">
        <f t="array" ref="J108">IF(I108&gt;0,INDEX(DB,$I108,6),0)</f>
        <v>0</v>
      </c>
      <c r="K108" s="446">
        <f t="shared" si="5"/>
        <v>0</v>
      </c>
      <c r="L108" s="446">
        <f t="shared" si="6"/>
        <v>0</v>
      </c>
      <c r="M108" s="441">
        <f>IF(L108&lt;O108,MinPoints,IF(AND(L108&gt;N108,O108&gt;0),100,+INT(($L108-O108)/P108)+MinPoints))</f>
        <v>10</v>
      </c>
      <c r="N108" s="440">
        <f t="shared" si="7"/>
        <v>50</v>
      </c>
      <c r="O108" s="440">
        <f t="shared" si="8"/>
        <v>5</v>
      </c>
      <c r="P108" s="440">
        <f t="shared" si="9"/>
        <v>0.5</v>
      </c>
      <c r="Q108">
        <f t="array" ref="Q108">IF(I108&gt;0,INDEX(DB,I108,9),EventIndex)</f>
        <v>6</v>
      </c>
      <c r="S108" s="442">
        <f t="array" ref="S108">INDEX(MINVALUES,$Q108,$K$1)</f>
        <v>5</v>
      </c>
      <c r="T108">
        <f t="array" ref="T108">INDEX(INCVALUES,$Q108,$K$1)</f>
        <v>0.5</v>
      </c>
      <c r="V108">
        <f t="array" ref="V108">+J108+(4*(INDEX(MatchScoreTable,$Q108,20)-1))</f>
        <v>4</v>
      </c>
      <c r="W108" s="442">
        <f t="array" ref="W108">INDEX(INC_MINVALUES,$V108,$K$1)</f>
        <v>2.5</v>
      </c>
      <c r="X108" s="212">
        <f t="array" ref="X108">INDEX(INC_INCVALUES,$V108,$K$1)</f>
        <v>0.5</v>
      </c>
    </row>
    <row r="109" ht="15.75" customHeight="1">
      <c r="A109" s="435"/>
      <c r="B109" s="436"/>
      <c r="C109" s="95" t="str">
        <f t="array" ref="C109">IF(I109&gt;0,INDEX(DB,I109,8),"")</f>
        <v/>
      </c>
      <c r="D109" s="437">
        <f t="shared" si="1"/>
        <v>0</v>
      </c>
      <c r="F109" s="438">
        <f t="shared" si="2"/>
        <v>0</v>
      </c>
      <c r="G109" t="str">
        <f t="shared" si="3"/>
        <v/>
      </c>
      <c r="H109" t="b">
        <f t="shared" si="4"/>
        <v>0</v>
      </c>
      <c r="I109" s="439">
        <f>IF(OR(ISBLANK(A109),ISNA(MATCH(A109&amp;"",AthleteNumbers,0))),0,MATCH(A109&amp;"",AthleteNumbers,0))</f>
        <v>0</v>
      </c>
      <c r="J109" s="209">
        <f t="array" ref="J109">IF(I109&gt;0,INDEX(DB,$I109,6),0)</f>
        <v>0</v>
      </c>
      <c r="K109" s="446">
        <f t="shared" si="5"/>
        <v>0</v>
      </c>
      <c r="L109" s="446">
        <f t="shared" si="6"/>
        <v>0</v>
      </c>
      <c r="M109" s="441">
        <f>IF(L109&lt;O109,MinPoints,IF(AND(L109&gt;N109,O109&gt;0),100,+INT(($L109-O109)/P109)+MinPoints))</f>
        <v>10</v>
      </c>
      <c r="N109" s="440">
        <f t="shared" si="7"/>
        <v>50</v>
      </c>
      <c r="O109" s="440">
        <f t="shared" si="8"/>
        <v>5</v>
      </c>
      <c r="P109" s="440">
        <f t="shared" si="9"/>
        <v>0.5</v>
      </c>
      <c r="Q109">
        <f t="array" ref="Q109">IF(I109&gt;0,INDEX(DB,I109,9),EventIndex)</f>
        <v>6</v>
      </c>
      <c r="S109" s="442">
        <f t="array" ref="S109">INDEX(MINVALUES,$Q109,$K$1)</f>
        <v>5</v>
      </c>
      <c r="T109">
        <f t="array" ref="T109">INDEX(INCVALUES,$Q109,$K$1)</f>
        <v>0.5</v>
      </c>
      <c r="V109">
        <f t="array" ref="V109">+J109+(4*(INDEX(MatchScoreTable,$Q109,20)-1))</f>
        <v>4</v>
      </c>
      <c r="W109" s="442">
        <f t="array" ref="W109">INDEX(INC_MINVALUES,$V109,$K$1)</f>
        <v>2.5</v>
      </c>
      <c r="X109" s="212">
        <f t="array" ref="X109">INDEX(INC_INCVALUES,$V109,$K$1)</f>
        <v>0.5</v>
      </c>
    </row>
    <row r="110" ht="15.75" customHeight="1">
      <c r="A110" s="435"/>
      <c r="B110" s="436"/>
      <c r="C110" s="95" t="str">
        <f t="array" ref="C110">IF(I110&gt;0,INDEX(DB,I110,8),"")</f>
        <v/>
      </c>
      <c r="D110" s="437">
        <f t="shared" si="1"/>
        <v>0</v>
      </c>
      <c r="F110" s="438">
        <f t="shared" si="2"/>
        <v>0</v>
      </c>
      <c r="G110" t="str">
        <f t="shared" si="3"/>
        <v/>
      </c>
      <c r="H110" t="b">
        <f t="shared" si="4"/>
        <v>0</v>
      </c>
      <c r="I110" s="439">
        <f>IF(OR(ISBLANK(A110),ISNA(MATCH(A110&amp;"",AthleteNumbers,0))),0,MATCH(A110&amp;"",AthleteNumbers,0))</f>
        <v>0</v>
      </c>
      <c r="J110" s="209">
        <f t="array" ref="J110">IF(I110&gt;0,INDEX(DB,$I110,6),0)</f>
        <v>0</v>
      </c>
      <c r="K110" s="446">
        <f t="shared" si="5"/>
        <v>0</v>
      </c>
      <c r="L110" s="446">
        <f t="shared" si="6"/>
        <v>0</v>
      </c>
      <c r="M110" s="441">
        <f>IF(L110&lt;O110,MinPoints,IF(AND(L110&gt;N110,O110&gt;0),100,+INT(($L110-O110)/P110)+MinPoints))</f>
        <v>10</v>
      </c>
      <c r="N110" s="440">
        <f t="shared" si="7"/>
        <v>50</v>
      </c>
      <c r="O110" s="440">
        <f t="shared" si="8"/>
        <v>5</v>
      </c>
      <c r="P110" s="440">
        <f t="shared" si="9"/>
        <v>0.5</v>
      </c>
      <c r="Q110">
        <f t="array" ref="Q110">IF(I110&gt;0,INDEX(DB,I110,9),EventIndex)</f>
        <v>6</v>
      </c>
      <c r="S110" s="442">
        <f t="array" ref="S110">INDEX(MINVALUES,$Q110,$K$1)</f>
        <v>5</v>
      </c>
      <c r="T110">
        <f t="array" ref="T110">INDEX(INCVALUES,$Q110,$K$1)</f>
        <v>0.5</v>
      </c>
      <c r="V110">
        <f t="array" ref="V110">+J110+(4*(INDEX(MatchScoreTable,$Q110,20)-1))</f>
        <v>4</v>
      </c>
      <c r="W110" s="442">
        <f t="array" ref="W110">INDEX(INC_MINVALUES,$V110,$K$1)</f>
        <v>2.5</v>
      </c>
      <c r="X110" s="212">
        <f t="array" ref="X110">INDEX(INC_INCVALUES,$V110,$K$1)</f>
        <v>0.5</v>
      </c>
    </row>
    <row r="111" ht="15.75" customHeight="1">
      <c r="A111" s="435"/>
      <c r="B111" s="436"/>
      <c r="C111" s="95" t="str">
        <f t="array" ref="C111">IF(I111&gt;0,INDEX(DB,I111,8),"")</f>
        <v/>
      </c>
      <c r="D111" s="437">
        <f t="shared" si="1"/>
        <v>0</v>
      </c>
      <c r="F111" s="438">
        <f t="shared" si="2"/>
        <v>0</v>
      </c>
      <c r="G111" t="str">
        <f t="shared" si="3"/>
        <v/>
      </c>
      <c r="H111" t="b">
        <f t="shared" si="4"/>
        <v>0</v>
      </c>
      <c r="I111" s="439">
        <f>IF(OR(ISBLANK(A111),ISNA(MATCH(A111&amp;"",AthleteNumbers,0))),0,MATCH(A111&amp;"",AthleteNumbers,0))</f>
        <v>0</v>
      </c>
      <c r="J111" s="209">
        <f t="array" ref="J111">IF(I111&gt;0,INDEX(DB,$I111,6),0)</f>
        <v>0</v>
      </c>
      <c r="K111" s="446">
        <f t="shared" si="5"/>
        <v>0</v>
      </c>
      <c r="L111" s="446">
        <f t="shared" si="6"/>
        <v>0</v>
      </c>
      <c r="M111" s="441">
        <f>IF(L111&lt;O111,MinPoints,IF(AND(L111&gt;N111,O111&gt;0),100,+INT(($L111-O111)/P111)+MinPoints))</f>
        <v>10</v>
      </c>
      <c r="N111" s="440">
        <f t="shared" si="7"/>
        <v>50</v>
      </c>
      <c r="O111" s="440">
        <f t="shared" si="8"/>
        <v>5</v>
      </c>
      <c r="P111" s="440">
        <f t="shared" si="9"/>
        <v>0.5</v>
      </c>
      <c r="Q111">
        <f t="array" ref="Q111">IF(I111&gt;0,INDEX(DB,I111,9),EventIndex)</f>
        <v>6</v>
      </c>
      <c r="S111" s="442">
        <f t="array" ref="S111">INDEX(MINVALUES,$Q111,$K$1)</f>
        <v>5</v>
      </c>
      <c r="T111">
        <f t="array" ref="T111">INDEX(INCVALUES,$Q111,$K$1)</f>
        <v>0.5</v>
      </c>
      <c r="V111">
        <f t="array" ref="V111">+J111+(4*(INDEX(MatchScoreTable,$Q111,20)-1))</f>
        <v>4</v>
      </c>
      <c r="W111" s="442">
        <f t="array" ref="W111">INDEX(INC_MINVALUES,$V111,$K$1)</f>
        <v>2.5</v>
      </c>
      <c r="X111" s="212">
        <f t="array" ref="X111">INDEX(INC_INCVALUES,$V111,$K$1)</f>
        <v>0.5</v>
      </c>
    </row>
    <row r="112" ht="15.75" customHeight="1">
      <c r="A112" s="435"/>
      <c r="B112" s="436"/>
      <c r="C112" s="95" t="str">
        <f t="array" ref="C112">IF(I112&gt;0,INDEX(DB,I112,8),"")</f>
        <v/>
      </c>
      <c r="D112" s="437">
        <f t="shared" si="1"/>
        <v>0</v>
      </c>
      <c r="F112" s="438">
        <f t="shared" si="2"/>
        <v>0</v>
      </c>
      <c r="G112" t="str">
        <f t="shared" si="3"/>
        <v/>
      </c>
      <c r="H112" t="b">
        <f t="shared" si="4"/>
        <v>0</v>
      </c>
      <c r="I112" s="439">
        <f>IF(OR(ISBLANK(A112),ISNA(MATCH(A112&amp;"",AthleteNumbers,0))),0,MATCH(A112&amp;"",AthleteNumbers,0))</f>
        <v>0</v>
      </c>
      <c r="J112" s="209">
        <f t="array" ref="J112">IF(I112&gt;0,INDEX(DB,$I112,6),0)</f>
        <v>0</v>
      </c>
      <c r="K112" s="446">
        <f t="shared" si="5"/>
        <v>0</v>
      </c>
      <c r="L112" s="446">
        <f t="shared" si="6"/>
        <v>0</v>
      </c>
      <c r="M112" s="441">
        <f>IF(L112&lt;O112,MinPoints,IF(AND(L112&gt;N112,O112&gt;0),100,+INT(($L112-O112)/P112)+MinPoints))</f>
        <v>10</v>
      </c>
      <c r="N112" s="440">
        <f t="shared" si="7"/>
        <v>50</v>
      </c>
      <c r="O112" s="440">
        <f t="shared" si="8"/>
        <v>5</v>
      </c>
      <c r="P112" s="440">
        <f t="shared" si="9"/>
        <v>0.5</v>
      </c>
      <c r="Q112">
        <f t="array" ref="Q112">IF(I112&gt;0,INDEX(DB,I112,9),EventIndex)</f>
        <v>6</v>
      </c>
      <c r="S112" s="442">
        <f t="array" ref="S112">INDEX(MINVALUES,$Q112,$K$1)</f>
        <v>5</v>
      </c>
      <c r="T112">
        <f t="array" ref="T112">INDEX(INCVALUES,$Q112,$K$1)</f>
        <v>0.5</v>
      </c>
      <c r="V112">
        <f t="array" ref="V112">+J112+(4*(INDEX(MatchScoreTable,$Q112,20)-1))</f>
        <v>4</v>
      </c>
      <c r="W112" s="442">
        <f t="array" ref="W112">INDEX(INC_MINVALUES,$V112,$K$1)</f>
        <v>2.5</v>
      </c>
      <c r="X112" s="212">
        <f t="array" ref="X112">INDEX(INC_INCVALUES,$V112,$K$1)</f>
        <v>0.5</v>
      </c>
    </row>
    <row r="113" ht="15.75" customHeight="1">
      <c r="A113" s="435"/>
      <c r="B113" s="436"/>
      <c r="C113" s="95" t="str">
        <f t="array" ref="C113">IF(I113&gt;0,INDEX(DB,I113,8),"")</f>
        <v/>
      </c>
      <c r="D113" s="437">
        <f t="shared" si="1"/>
        <v>0</v>
      </c>
      <c r="F113" s="438">
        <f t="shared" si="2"/>
        <v>0</v>
      </c>
      <c r="G113" t="str">
        <f t="shared" si="3"/>
        <v/>
      </c>
      <c r="H113" t="b">
        <f t="shared" si="4"/>
        <v>0</v>
      </c>
      <c r="I113" s="439">
        <f>IF(OR(ISBLANK(A113),ISNA(MATCH(A113&amp;"",AthleteNumbers,0))),0,MATCH(A113&amp;"",AthleteNumbers,0))</f>
        <v>0</v>
      </c>
      <c r="J113" s="209">
        <f t="array" ref="J113">IF(I113&gt;0,INDEX(DB,$I113,6),0)</f>
        <v>0</v>
      </c>
      <c r="K113" s="446">
        <f t="shared" si="5"/>
        <v>0</v>
      </c>
      <c r="L113" s="446">
        <f t="shared" si="6"/>
        <v>0</v>
      </c>
      <c r="M113" s="441">
        <f>IF(L113&lt;O113,MinPoints,IF(AND(L113&gt;N113,O113&gt;0),100,+INT(($L113-O113)/P113)+MinPoints))</f>
        <v>10</v>
      </c>
      <c r="N113" s="440">
        <f t="shared" si="7"/>
        <v>50</v>
      </c>
      <c r="O113" s="440">
        <f t="shared" si="8"/>
        <v>5</v>
      </c>
      <c r="P113" s="440">
        <f t="shared" si="9"/>
        <v>0.5</v>
      </c>
      <c r="Q113">
        <f t="array" ref="Q113">IF(I113&gt;0,INDEX(DB,I113,9),EventIndex)</f>
        <v>6</v>
      </c>
      <c r="S113" s="442">
        <f t="array" ref="S113">INDEX(MINVALUES,$Q113,$K$1)</f>
        <v>5</v>
      </c>
      <c r="T113">
        <f t="array" ref="T113">INDEX(INCVALUES,$Q113,$K$1)</f>
        <v>0.5</v>
      </c>
      <c r="V113">
        <f t="array" ref="V113">+J113+(4*(INDEX(MatchScoreTable,$Q113,20)-1))</f>
        <v>4</v>
      </c>
      <c r="W113" s="442">
        <f t="array" ref="W113">INDEX(INC_MINVALUES,$V113,$K$1)</f>
        <v>2.5</v>
      </c>
      <c r="X113" s="212">
        <f t="array" ref="X113">INDEX(INC_INCVALUES,$V113,$K$1)</f>
        <v>0.5</v>
      </c>
    </row>
    <row r="114" ht="15.75" customHeight="1">
      <c r="A114" s="435"/>
      <c r="B114" s="436"/>
      <c r="C114" s="95" t="str">
        <f t="array" ref="C114">IF(I114&gt;0,INDEX(DB,I114,8),"")</f>
        <v/>
      </c>
      <c r="D114" s="437">
        <f t="shared" si="1"/>
        <v>0</v>
      </c>
      <c r="F114" s="438">
        <f t="shared" si="2"/>
        <v>0</v>
      </c>
      <c r="G114" t="str">
        <f t="shared" si="3"/>
        <v/>
      </c>
      <c r="H114" t="b">
        <f t="shared" si="4"/>
        <v>0</v>
      </c>
      <c r="I114" s="439">
        <f>IF(OR(ISBLANK(A114),ISNA(MATCH(A114&amp;"",AthleteNumbers,0))),0,MATCH(A114&amp;"",AthleteNumbers,0))</f>
        <v>0</v>
      </c>
      <c r="J114" s="209">
        <f t="array" ref="J114">IF(I114&gt;0,INDEX(DB,$I114,6),0)</f>
        <v>0</v>
      </c>
      <c r="K114" s="446">
        <f t="shared" si="5"/>
        <v>0</v>
      </c>
      <c r="L114" s="446">
        <f t="shared" si="6"/>
        <v>0</v>
      </c>
      <c r="M114" s="441">
        <f>IF(L114&lt;O114,MinPoints,IF(AND(L114&gt;N114,O114&gt;0),100,+INT(($L114-O114)/P114)+MinPoints))</f>
        <v>10</v>
      </c>
      <c r="N114" s="440">
        <f t="shared" si="7"/>
        <v>50</v>
      </c>
      <c r="O114" s="440">
        <f t="shared" si="8"/>
        <v>5</v>
      </c>
      <c r="P114" s="440">
        <f t="shared" si="9"/>
        <v>0.5</v>
      </c>
      <c r="Q114">
        <f t="array" ref="Q114">IF(I114&gt;0,INDEX(DB,I114,9),EventIndex)</f>
        <v>6</v>
      </c>
      <c r="S114" s="442">
        <f t="array" ref="S114">INDEX(MINVALUES,$Q114,$K$1)</f>
        <v>5</v>
      </c>
      <c r="T114">
        <f t="array" ref="T114">INDEX(INCVALUES,$Q114,$K$1)</f>
        <v>0.5</v>
      </c>
      <c r="V114">
        <f t="array" ref="V114">+J114+(4*(INDEX(MatchScoreTable,$Q114,20)-1))</f>
        <v>4</v>
      </c>
      <c r="W114" s="442">
        <f t="array" ref="W114">INDEX(INC_MINVALUES,$V114,$K$1)</f>
        <v>2.5</v>
      </c>
      <c r="X114" s="212">
        <f t="array" ref="X114">INDEX(INC_INCVALUES,$V114,$K$1)</f>
        <v>0.5</v>
      </c>
    </row>
    <row r="115" ht="15.75" customHeight="1">
      <c r="A115" s="435"/>
      <c r="B115" s="436"/>
      <c r="C115" s="95" t="str">
        <f t="array" ref="C115">IF(I115&gt;0,INDEX(DB,I115,8),"")</f>
        <v/>
      </c>
      <c r="D115" s="437">
        <f t="shared" si="1"/>
        <v>0</v>
      </c>
      <c r="F115" s="438">
        <f t="shared" si="2"/>
        <v>0</v>
      </c>
      <c r="G115" t="str">
        <f t="shared" si="3"/>
        <v/>
      </c>
      <c r="H115" t="b">
        <f t="shared" si="4"/>
        <v>0</v>
      </c>
      <c r="I115" s="439">
        <f>IF(OR(ISBLANK(A115),ISNA(MATCH(A115&amp;"",AthleteNumbers,0))),0,MATCH(A115&amp;"",AthleteNumbers,0))</f>
        <v>0</v>
      </c>
      <c r="J115" s="209">
        <f t="array" ref="J115">IF(I115&gt;0,INDEX(DB,$I115,6),0)</f>
        <v>0</v>
      </c>
      <c r="K115" s="446">
        <f t="shared" si="5"/>
        <v>0</v>
      </c>
      <c r="L115" s="446">
        <f t="shared" si="6"/>
        <v>0</v>
      </c>
      <c r="M115" s="441">
        <f>IF(L115&lt;O115,MinPoints,IF(AND(L115&gt;N115,O115&gt;0),100,+INT(($L115-O115)/P115)+MinPoints))</f>
        <v>10</v>
      </c>
      <c r="N115" s="440">
        <f t="shared" si="7"/>
        <v>50</v>
      </c>
      <c r="O115" s="440">
        <f t="shared" si="8"/>
        <v>5</v>
      </c>
      <c r="P115" s="440">
        <f t="shared" si="9"/>
        <v>0.5</v>
      </c>
      <c r="Q115">
        <f t="array" ref="Q115">IF(I115&gt;0,INDEX(DB,I115,9),EventIndex)</f>
        <v>6</v>
      </c>
      <c r="S115" s="442">
        <f t="array" ref="S115">INDEX(MINVALUES,$Q115,$K$1)</f>
        <v>5</v>
      </c>
      <c r="T115">
        <f t="array" ref="T115">INDEX(INCVALUES,$Q115,$K$1)</f>
        <v>0.5</v>
      </c>
      <c r="V115">
        <f t="array" ref="V115">+J115+(4*(INDEX(MatchScoreTable,$Q115,20)-1))</f>
        <v>4</v>
      </c>
      <c r="W115" s="442">
        <f t="array" ref="W115">INDEX(INC_MINVALUES,$V115,$K$1)</f>
        <v>2.5</v>
      </c>
      <c r="X115" s="212">
        <f t="array" ref="X115">INDEX(INC_INCVALUES,$V115,$K$1)</f>
        <v>0.5</v>
      </c>
    </row>
    <row r="116" ht="15.75" customHeight="1">
      <c r="A116" s="435"/>
      <c r="B116" s="436"/>
      <c r="C116" s="95" t="str">
        <f t="array" ref="C116">IF(I116&gt;0,INDEX(DB,I116,8),"")</f>
        <v/>
      </c>
      <c r="D116" s="437">
        <f t="shared" si="1"/>
        <v>0</v>
      </c>
      <c r="F116" s="438">
        <f t="shared" si="2"/>
        <v>0</v>
      </c>
      <c r="G116" t="str">
        <f t="shared" si="3"/>
        <v/>
      </c>
      <c r="H116" t="b">
        <f t="shared" si="4"/>
        <v>0</v>
      </c>
      <c r="I116" s="439">
        <f>IF(OR(ISBLANK(A116),ISNA(MATCH(A116&amp;"",AthleteNumbers,0))),0,MATCH(A116&amp;"",AthleteNumbers,0))</f>
        <v>0</v>
      </c>
      <c r="J116" s="209">
        <f t="array" ref="J116">IF(I116&gt;0,INDEX(DB,$I116,6),0)</f>
        <v>0</v>
      </c>
      <c r="K116" s="446">
        <f t="shared" si="5"/>
        <v>0</v>
      </c>
      <c r="L116" s="446">
        <f t="shared" si="6"/>
        <v>0</v>
      </c>
      <c r="M116" s="441">
        <f>IF(L116&lt;O116,MinPoints,IF(AND(L116&gt;N116,O116&gt;0),100,+INT(($L116-O116)/P116)+MinPoints))</f>
        <v>10</v>
      </c>
      <c r="N116" s="440">
        <f t="shared" si="7"/>
        <v>50</v>
      </c>
      <c r="O116" s="440">
        <f t="shared" si="8"/>
        <v>5</v>
      </c>
      <c r="P116" s="440">
        <f t="shared" si="9"/>
        <v>0.5</v>
      </c>
      <c r="Q116">
        <f t="array" ref="Q116">IF(I116&gt;0,INDEX(DB,I116,9),EventIndex)</f>
        <v>6</v>
      </c>
      <c r="S116" s="442">
        <f t="array" ref="S116">INDEX(MINVALUES,$Q116,$K$1)</f>
        <v>5</v>
      </c>
      <c r="T116">
        <f t="array" ref="T116">INDEX(INCVALUES,$Q116,$K$1)</f>
        <v>0.5</v>
      </c>
      <c r="V116">
        <f t="array" ref="V116">+J116+(4*(INDEX(MatchScoreTable,$Q116,20)-1))</f>
        <v>4</v>
      </c>
      <c r="W116" s="442">
        <f t="array" ref="W116">INDEX(INC_MINVALUES,$V116,$K$1)</f>
        <v>2.5</v>
      </c>
      <c r="X116" s="212">
        <f t="array" ref="X116">INDEX(INC_INCVALUES,$V116,$K$1)</f>
        <v>0.5</v>
      </c>
    </row>
    <row r="117" ht="15.75" customHeight="1">
      <c r="A117" s="435"/>
      <c r="B117" s="436"/>
      <c r="C117" s="95" t="str">
        <f t="array" ref="C117">IF(I117&gt;0,INDEX(DB,I117,8),"")</f>
        <v/>
      </c>
      <c r="D117" s="437">
        <f t="shared" si="1"/>
        <v>0</v>
      </c>
      <c r="F117" s="438">
        <f t="shared" si="2"/>
        <v>0</v>
      </c>
      <c r="G117" t="str">
        <f t="shared" si="3"/>
        <v/>
      </c>
      <c r="H117" t="b">
        <f t="shared" si="4"/>
        <v>0</v>
      </c>
      <c r="I117" s="439">
        <f>IF(OR(ISBLANK(A117),ISNA(MATCH(A117&amp;"",AthleteNumbers,0))),0,MATCH(A117&amp;"",AthleteNumbers,0))</f>
        <v>0</v>
      </c>
      <c r="J117" s="209">
        <f t="array" ref="J117">IF(I117&gt;0,INDEX(DB,$I117,6),0)</f>
        <v>0</v>
      </c>
      <c r="K117" s="446">
        <f t="shared" si="5"/>
        <v>0</v>
      </c>
      <c r="L117" s="446">
        <f t="shared" si="6"/>
        <v>0</v>
      </c>
      <c r="M117" s="441">
        <f>IF(L117&lt;O117,MinPoints,IF(AND(L117&gt;N117,O117&gt;0),100,+INT(($L117-O117)/P117)+MinPoints))</f>
        <v>10</v>
      </c>
      <c r="N117" s="440">
        <f t="shared" si="7"/>
        <v>50</v>
      </c>
      <c r="O117" s="440">
        <f t="shared" si="8"/>
        <v>5</v>
      </c>
      <c r="P117" s="440">
        <f t="shared" si="9"/>
        <v>0.5</v>
      </c>
      <c r="Q117">
        <f t="array" ref="Q117">IF(I117&gt;0,INDEX(DB,I117,9),EventIndex)</f>
        <v>6</v>
      </c>
      <c r="S117" s="442">
        <f t="array" ref="S117">INDEX(MINVALUES,$Q117,$K$1)</f>
        <v>5</v>
      </c>
      <c r="T117">
        <f t="array" ref="T117">INDEX(INCVALUES,$Q117,$K$1)</f>
        <v>0.5</v>
      </c>
      <c r="V117">
        <f t="array" ref="V117">+J117+(4*(INDEX(MatchScoreTable,$Q117,20)-1))</f>
        <v>4</v>
      </c>
      <c r="W117" s="442">
        <f t="array" ref="W117">INDEX(INC_MINVALUES,$V117,$K$1)</f>
        <v>2.5</v>
      </c>
      <c r="X117" s="212">
        <f t="array" ref="X117">INDEX(INC_INCVALUES,$V117,$K$1)</f>
        <v>0.5</v>
      </c>
    </row>
    <row r="118" ht="15.75" customHeight="1">
      <c r="A118" s="435"/>
      <c r="B118" s="436"/>
      <c r="C118" s="95" t="str">
        <f t="array" ref="C118">IF(I118&gt;0,INDEX(DB,I118,8),"")</f>
        <v/>
      </c>
      <c r="D118" s="437">
        <f t="shared" si="1"/>
        <v>0</v>
      </c>
      <c r="F118" s="438">
        <f t="shared" si="2"/>
        <v>0</v>
      </c>
      <c r="G118" t="str">
        <f t="shared" si="3"/>
        <v/>
      </c>
      <c r="H118" t="b">
        <f t="shared" si="4"/>
        <v>0</v>
      </c>
      <c r="I118" s="439">
        <f>IF(OR(ISBLANK(A118),ISNA(MATCH(A118&amp;"",AthleteNumbers,0))),0,MATCH(A118&amp;"",AthleteNumbers,0))</f>
        <v>0</v>
      </c>
      <c r="J118" s="209">
        <f t="array" ref="J118">IF(I118&gt;0,INDEX(DB,$I118,6),0)</f>
        <v>0</v>
      </c>
      <c r="K118" s="446">
        <f t="shared" si="5"/>
        <v>0</v>
      </c>
      <c r="L118" s="446">
        <f t="shared" si="6"/>
        <v>0</v>
      </c>
      <c r="M118" s="441">
        <f>IF(L118&lt;O118,MinPoints,IF(AND(L118&gt;N118,O118&gt;0),100,+INT(($L118-O118)/P118)+MinPoints))</f>
        <v>10</v>
      </c>
      <c r="N118" s="440">
        <f t="shared" si="7"/>
        <v>50</v>
      </c>
      <c r="O118" s="440">
        <f t="shared" si="8"/>
        <v>5</v>
      </c>
      <c r="P118" s="440">
        <f t="shared" si="9"/>
        <v>0.5</v>
      </c>
      <c r="Q118">
        <f t="array" ref="Q118">IF(I118&gt;0,INDEX(DB,I118,9),EventIndex)</f>
        <v>6</v>
      </c>
      <c r="S118" s="442">
        <f t="array" ref="S118">INDEX(MINVALUES,$Q118,$K$1)</f>
        <v>5</v>
      </c>
      <c r="T118">
        <f t="array" ref="T118">INDEX(INCVALUES,$Q118,$K$1)</f>
        <v>0.5</v>
      </c>
      <c r="V118">
        <f t="array" ref="V118">+J118+(4*(INDEX(MatchScoreTable,$Q118,20)-1))</f>
        <v>4</v>
      </c>
      <c r="W118" s="442">
        <f t="array" ref="W118">INDEX(INC_MINVALUES,$V118,$K$1)</f>
        <v>2.5</v>
      </c>
      <c r="X118" s="212">
        <f t="array" ref="X118">INDEX(INC_INCVALUES,$V118,$K$1)</f>
        <v>0.5</v>
      </c>
    </row>
    <row r="119" ht="15.75" customHeight="1">
      <c r="A119" s="435"/>
      <c r="B119" s="436"/>
      <c r="C119" s="95" t="str">
        <f t="array" ref="C119">IF(I119&gt;0,INDEX(DB,I119,8),"")</f>
        <v/>
      </c>
      <c r="D119" s="437">
        <f t="shared" si="1"/>
        <v>0</v>
      </c>
      <c r="F119" s="438">
        <f t="shared" si="2"/>
        <v>0</v>
      </c>
      <c r="G119" t="str">
        <f t="shared" si="3"/>
        <v/>
      </c>
      <c r="H119" t="b">
        <f t="shared" si="4"/>
        <v>0</v>
      </c>
      <c r="I119" s="439">
        <f>IF(OR(ISBLANK(A119),ISNA(MATCH(A119&amp;"",AthleteNumbers,0))),0,MATCH(A119&amp;"",AthleteNumbers,0))</f>
        <v>0</v>
      </c>
      <c r="J119" s="209">
        <f t="array" ref="J119">IF(I119&gt;0,INDEX(DB,$I119,6),0)</f>
        <v>0</v>
      </c>
      <c r="K119" s="446">
        <f t="shared" si="5"/>
        <v>0</v>
      </c>
      <c r="L119" s="446">
        <f t="shared" si="6"/>
        <v>0</v>
      </c>
      <c r="M119" s="441">
        <f>IF(L119&lt;O119,MinPoints,IF(AND(L119&gt;N119,O119&gt;0),100,+INT(($L119-O119)/P119)+MinPoints))</f>
        <v>10</v>
      </c>
      <c r="N119" s="440">
        <f t="shared" si="7"/>
        <v>50</v>
      </c>
      <c r="O119" s="440">
        <f t="shared" si="8"/>
        <v>5</v>
      </c>
      <c r="P119" s="440">
        <f t="shared" si="9"/>
        <v>0.5</v>
      </c>
      <c r="Q119">
        <f t="array" ref="Q119">IF(I119&gt;0,INDEX(DB,I119,9),EventIndex)</f>
        <v>6</v>
      </c>
      <c r="S119" s="442">
        <f t="array" ref="S119">INDEX(MINVALUES,$Q119,$K$1)</f>
        <v>5</v>
      </c>
      <c r="T119">
        <f t="array" ref="T119">INDEX(INCVALUES,$Q119,$K$1)</f>
        <v>0.5</v>
      </c>
      <c r="V119">
        <f t="array" ref="V119">+J119+(4*(INDEX(MatchScoreTable,$Q119,20)-1))</f>
        <v>4</v>
      </c>
      <c r="W119" s="442">
        <f t="array" ref="W119">INDEX(INC_MINVALUES,$V119,$K$1)</f>
        <v>2.5</v>
      </c>
      <c r="X119" s="212">
        <f t="array" ref="X119">INDEX(INC_INCVALUES,$V119,$K$1)</f>
        <v>0.5</v>
      </c>
    </row>
    <row r="120" ht="15.75" customHeight="1">
      <c r="A120" s="435"/>
      <c r="B120" s="436"/>
      <c r="C120" s="95" t="str">
        <f t="array" ref="C120">IF(I120&gt;0,INDEX(DB,I120,8),"")</f>
        <v/>
      </c>
      <c r="D120" s="437">
        <f t="shared" si="1"/>
        <v>0</v>
      </c>
      <c r="F120" s="438">
        <f t="shared" si="2"/>
        <v>0</v>
      </c>
      <c r="G120" t="str">
        <f t="shared" si="3"/>
        <v/>
      </c>
      <c r="H120" t="b">
        <f t="shared" si="4"/>
        <v>0</v>
      </c>
      <c r="I120" s="439">
        <f>IF(OR(ISBLANK(A120),ISNA(MATCH(A120&amp;"",AthleteNumbers,0))),0,MATCH(A120&amp;"",AthleteNumbers,0))</f>
        <v>0</v>
      </c>
      <c r="J120" s="209">
        <f t="array" ref="J120">IF(I120&gt;0,INDEX(DB,$I120,6),0)</f>
        <v>0</v>
      </c>
      <c r="K120" s="446">
        <f t="shared" si="5"/>
        <v>0</v>
      </c>
      <c r="L120" s="446">
        <f t="shared" si="6"/>
        <v>0</v>
      </c>
      <c r="M120" s="441">
        <f>IF(L120&lt;O120,MinPoints,IF(AND(L120&gt;N120,O120&gt;0),100,+INT(($L120-O120)/P120)+MinPoints))</f>
        <v>10</v>
      </c>
      <c r="N120" s="440">
        <f t="shared" si="7"/>
        <v>50</v>
      </c>
      <c r="O120" s="440">
        <f t="shared" si="8"/>
        <v>5</v>
      </c>
      <c r="P120" s="440">
        <f t="shared" si="9"/>
        <v>0.5</v>
      </c>
      <c r="Q120">
        <f t="array" ref="Q120">IF(I120&gt;0,INDEX(DB,I120,9),EventIndex)</f>
        <v>6</v>
      </c>
      <c r="S120" s="442">
        <f t="array" ref="S120">INDEX(MINVALUES,$Q120,$K$1)</f>
        <v>5</v>
      </c>
      <c r="T120">
        <f t="array" ref="T120">INDEX(INCVALUES,$Q120,$K$1)</f>
        <v>0.5</v>
      </c>
      <c r="V120">
        <f t="array" ref="V120">+J120+(4*(INDEX(MatchScoreTable,$Q120,20)-1))</f>
        <v>4</v>
      </c>
      <c r="W120" s="442">
        <f t="array" ref="W120">INDEX(INC_MINVALUES,$V120,$K$1)</f>
        <v>2.5</v>
      </c>
      <c r="X120" s="212">
        <f t="array" ref="X120">INDEX(INC_INCVALUES,$V120,$K$1)</f>
        <v>0.5</v>
      </c>
    </row>
    <row r="121" ht="15.75" customHeight="1">
      <c r="A121" s="435"/>
      <c r="B121" s="436"/>
      <c r="C121" s="95" t="str">
        <f t="array" ref="C121">IF(I121&gt;0,INDEX(DB,I121,8),"")</f>
        <v/>
      </c>
      <c r="D121" s="437">
        <f t="shared" si="1"/>
        <v>0</v>
      </c>
      <c r="F121" s="438">
        <f t="shared" si="2"/>
        <v>0</v>
      </c>
      <c r="G121" t="str">
        <f t="shared" si="3"/>
        <v/>
      </c>
      <c r="H121" t="b">
        <f t="shared" si="4"/>
        <v>0</v>
      </c>
      <c r="I121" s="439">
        <f>IF(OR(ISBLANK(A121),ISNA(MATCH(A121&amp;"",AthleteNumbers,0))),0,MATCH(A121&amp;"",AthleteNumbers,0))</f>
        <v>0</v>
      </c>
      <c r="J121" s="209">
        <f t="array" ref="J121">IF(I121&gt;0,INDEX(DB,$I121,6),0)</f>
        <v>0</v>
      </c>
      <c r="K121" s="446">
        <f t="shared" si="5"/>
        <v>0</v>
      </c>
      <c r="L121" s="446">
        <f t="shared" si="6"/>
        <v>0</v>
      </c>
      <c r="M121" s="441">
        <f>IF(L121&lt;O121,MinPoints,IF(AND(L121&gt;N121,O121&gt;0),100,+INT(($L121-O121)/P121)+MinPoints))</f>
        <v>10</v>
      </c>
      <c r="N121" s="440">
        <f t="shared" si="7"/>
        <v>50</v>
      </c>
      <c r="O121" s="440">
        <f t="shared" si="8"/>
        <v>5</v>
      </c>
      <c r="P121" s="440">
        <f t="shared" si="9"/>
        <v>0.5</v>
      </c>
      <c r="Q121">
        <f t="array" ref="Q121">IF(I121&gt;0,INDEX(DB,I121,9),EventIndex)</f>
        <v>6</v>
      </c>
      <c r="S121" s="442">
        <f t="array" ref="S121">INDEX(MINVALUES,$Q121,$K$1)</f>
        <v>5</v>
      </c>
      <c r="T121">
        <f t="array" ref="T121">INDEX(INCVALUES,$Q121,$K$1)</f>
        <v>0.5</v>
      </c>
      <c r="V121">
        <f t="array" ref="V121">+J121+(4*(INDEX(MatchScoreTable,$Q121,20)-1))</f>
        <v>4</v>
      </c>
      <c r="W121" s="442">
        <f t="array" ref="W121">INDEX(INC_MINVALUES,$V121,$K$1)</f>
        <v>2.5</v>
      </c>
      <c r="X121" s="212">
        <f t="array" ref="X121">INDEX(INC_INCVALUES,$V121,$K$1)</f>
        <v>0.5</v>
      </c>
    </row>
    <row r="122" ht="15.75" customHeight="1">
      <c r="A122" s="435"/>
      <c r="B122" s="436"/>
      <c r="C122" s="95" t="str">
        <f t="array" ref="C122">IF(I122&gt;0,INDEX(DB,I122,8),"")</f>
        <v/>
      </c>
      <c r="D122" s="437">
        <f t="shared" si="1"/>
        <v>0</v>
      </c>
      <c r="F122" s="438">
        <f t="shared" si="2"/>
        <v>0</v>
      </c>
      <c r="G122" t="str">
        <f t="shared" si="3"/>
        <v/>
      </c>
      <c r="H122" t="b">
        <f t="shared" si="4"/>
        <v>0</v>
      </c>
      <c r="I122" s="439">
        <f>IF(OR(ISBLANK(A122),ISNA(MATCH(A122&amp;"",AthleteNumbers,0))),0,MATCH(A122&amp;"",AthleteNumbers,0))</f>
        <v>0</v>
      </c>
      <c r="J122" s="209">
        <f t="array" ref="J122">IF(I122&gt;0,INDEX(DB,$I122,6),0)</f>
        <v>0</v>
      </c>
      <c r="K122" s="446">
        <f t="shared" si="5"/>
        <v>0</v>
      </c>
      <c r="L122" s="446">
        <f t="shared" si="6"/>
        <v>0</v>
      </c>
      <c r="M122" s="441">
        <f>IF(L122&lt;O122,MinPoints,IF(AND(L122&gt;N122,O122&gt;0),100,+INT(($L122-O122)/P122)+MinPoints))</f>
        <v>10</v>
      </c>
      <c r="N122" s="440">
        <f t="shared" si="7"/>
        <v>50</v>
      </c>
      <c r="O122" s="440">
        <f t="shared" si="8"/>
        <v>5</v>
      </c>
      <c r="P122" s="440">
        <f t="shared" si="9"/>
        <v>0.5</v>
      </c>
      <c r="Q122">
        <f t="array" ref="Q122">IF(I122&gt;0,INDEX(DB,I122,9),EventIndex)</f>
        <v>6</v>
      </c>
      <c r="S122" s="442">
        <f t="array" ref="S122">INDEX(MINVALUES,$Q122,$K$1)</f>
        <v>5</v>
      </c>
      <c r="T122">
        <f t="array" ref="T122">INDEX(INCVALUES,$Q122,$K$1)</f>
        <v>0.5</v>
      </c>
      <c r="V122">
        <f t="array" ref="V122">+J122+(4*(INDEX(MatchScoreTable,$Q122,20)-1))</f>
        <v>4</v>
      </c>
      <c r="W122" s="442">
        <f t="array" ref="W122">INDEX(INC_MINVALUES,$V122,$K$1)</f>
        <v>2.5</v>
      </c>
      <c r="X122" s="212">
        <f t="array" ref="X122">INDEX(INC_INCVALUES,$V122,$K$1)</f>
        <v>0.5</v>
      </c>
    </row>
    <row r="123" ht="15.75" customHeight="1">
      <c r="A123" s="435"/>
      <c r="B123" s="436"/>
      <c r="C123" s="95" t="str">
        <f t="array" ref="C123">IF(I123&gt;0,INDEX(DB,I123,8),"")</f>
        <v/>
      </c>
      <c r="D123" s="437">
        <f t="shared" si="1"/>
        <v>0</v>
      </c>
      <c r="F123" s="438">
        <f t="shared" si="2"/>
        <v>0</v>
      </c>
      <c r="G123" t="str">
        <f t="shared" si="3"/>
        <v/>
      </c>
      <c r="H123" t="b">
        <f t="shared" si="4"/>
        <v>0</v>
      </c>
      <c r="I123" s="439">
        <f>IF(OR(ISBLANK(A123),ISNA(MATCH(A123&amp;"",AthleteNumbers,0))),0,MATCH(A123&amp;"",AthleteNumbers,0))</f>
        <v>0</v>
      </c>
      <c r="J123" s="209">
        <f t="array" ref="J123">IF(I123&gt;0,INDEX(DB,$I123,6),0)</f>
        <v>0</v>
      </c>
      <c r="K123" s="446">
        <f t="shared" si="5"/>
        <v>0</v>
      </c>
      <c r="L123" s="446">
        <f t="shared" si="6"/>
        <v>0</v>
      </c>
      <c r="M123" s="441">
        <f>IF(L123&lt;O123,MinPoints,IF(AND(L123&gt;N123,O123&gt;0),100,+INT(($L123-O123)/P123)+MinPoints))</f>
        <v>10</v>
      </c>
      <c r="N123" s="440">
        <f t="shared" si="7"/>
        <v>50</v>
      </c>
      <c r="O123" s="440">
        <f t="shared" si="8"/>
        <v>5</v>
      </c>
      <c r="P123" s="440">
        <f t="shared" si="9"/>
        <v>0.5</v>
      </c>
      <c r="Q123">
        <f t="array" ref="Q123">IF(I123&gt;0,INDEX(DB,I123,9),EventIndex)</f>
        <v>6</v>
      </c>
      <c r="S123" s="442">
        <f t="array" ref="S123">INDEX(MINVALUES,$Q123,$K$1)</f>
        <v>5</v>
      </c>
      <c r="T123">
        <f t="array" ref="T123">INDEX(INCVALUES,$Q123,$K$1)</f>
        <v>0.5</v>
      </c>
      <c r="V123">
        <f t="array" ref="V123">+J123+(4*(INDEX(MatchScoreTable,$Q123,20)-1))</f>
        <v>4</v>
      </c>
      <c r="W123" s="442">
        <f t="array" ref="W123">INDEX(INC_MINVALUES,$V123,$K$1)</f>
        <v>2.5</v>
      </c>
      <c r="X123" s="212">
        <f t="array" ref="X123">INDEX(INC_INCVALUES,$V123,$K$1)</f>
        <v>0.5</v>
      </c>
    </row>
    <row r="124" ht="15.75" customHeight="1">
      <c r="A124" s="435"/>
      <c r="B124" s="436"/>
      <c r="C124" s="95" t="str">
        <f t="array" ref="C124">IF(I124&gt;0,INDEX(DB,I124,8),"")</f>
        <v/>
      </c>
      <c r="D124" s="437">
        <f t="shared" si="1"/>
        <v>0</v>
      </c>
      <c r="F124" s="438">
        <f t="shared" si="2"/>
        <v>0</v>
      </c>
      <c r="G124" t="str">
        <f t="shared" si="3"/>
        <v/>
      </c>
      <c r="H124" t="b">
        <f t="shared" si="4"/>
        <v>0</v>
      </c>
      <c r="I124" s="439">
        <f>IF(OR(ISBLANK(A124),ISNA(MATCH(A124&amp;"",AthleteNumbers,0))),0,MATCH(A124&amp;"",AthleteNumbers,0))</f>
        <v>0</v>
      </c>
      <c r="J124" s="209">
        <f t="array" ref="J124">IF(I124&gt;0,INDEX(DB,$I124,6),0)</f>
        <v>0</v>
      </c>
      <c r="K124" s="446">
        <f t="shared" si="5"/>
        <v>0</v>
      </c>
      <c r="L124" s="446">
        <f t="shared" si="6"/>
        <v>0</v>
      </c>
      <c r="M124" s="441">
        <f>IF(L124&lt;O124,MinPoints,IF(AND(L124&gt;N124,O124&gt;0),100,+INT(($L124-O124)/P124)+MinPoints))</f>
        <v>10</v>
      </c>
      <c r="N124" s="440">
        <f t="shared" si="7"/>
        <v>50</v>
      </c>
      <c r="O124" s="440">
        <f t="shared" si="8"/>
        <v>5</v>
      </c>
      <c r="P124" s="440">
        <f t="shared" si="9"/>
        <v>0.5</v>
      </c>
      <c r="Q124">
        <f t="array" ref="Q124">IF(I124&gt;0,INDEX(DB,I124,9),EventIndex)</f>
        <v>6</v>
      </c>
      <c r="S124" s="442">
        <f t="array" ref="S124">INDEX(MINVALUES,$Q124,$K$1)</f>
        <v>5</v>
      </c>
      <c r="T124">
        <f t="array" ref="T124">INDEX(INCVALUES,$Q124,$K$1)</f>
        <v>0.5</v>
      </c>
      <c r="V124">
        <f t="array" ref="V124">+J124+(4*(INDEX(MatchScoreTable,$Q124,20)-1))</f>
        <v>4</v>
      </c>
      <c r="W124" s="442">
        <f t="array" ref="W124">INDEX(INC_MINVALUES,$V124,$K$1)</f>
        <v>2.5</v>
      </c>
      <c r="X124" s="212">
        <f t="array" ref="X124">INDEX(INC_INCVALUES,$V124,$K$1)</f>
        <v>0.5</v>
      </c>
    </row>
    <row r="125" ht="15.75" customHeight="1">
      <c r="A125" s="435"/>
      <c r="B125" s="436"/>
      <c r="C125" s="95" t="str">
        <f t="array" ref="C125">IF(I125&gt;0,INDEX(DB,I125,8),"")</f>
        <v/>
      </c>
      <c r="D125" s="437">
        <f t="shared" si="1"/>
        <v>0</v>
      </c>
      <c r="F125" s="438">
        <f t="shared" si="2"/>
        <v>0</v>
      </c>
      <c r="G125" t="str">
        <f t="shared" si="3"/>
        <v/>
      </c>
      <c r="H125" t="b">
        <f t="shared" si="4"/>
        <v>0</v>
      </c>
      <c r="I125" s="439">
        <f>IF(OR(ISBLANK(A125),ISNA(MATCH(A125&amp;"",AthleteNumbers,0))),0,MATCH(A125&amp;"",AthleteNumbers,0))</f>
        <v>0</v>
      </c>
      <c r="J125" s="209">
        <f t="array" ref="J125">IF(I125&gt;0,INDEX(DB,$I125,6),0)</f>
        <v>0</v>
      </c>
      <c r="K125" s="446">
        <f t="shared" si="5"/>
        <v>0</v>
      </c>
      <c r="L125" s="446">
        <f t="shared" si="6"/>
        <v>0</v>
      </c>
      <c r="M125" s="441">
        <f>IF(L125&lt;O125,MinPoints,IF(AND(L125&gt;N125,O125&gt;0),100,+INT(($L125-O125)/P125)+MinPoints))</f>
        <v>10</v>
      </c>
      <c r="N125" s="440">
        <f t="shared" si="7"/>
        <v>50</v>
      </c>
      <c r="O125" s="440">
        <f t="shared" si="8"/>
        <v>5</v>
      </c>
      <c r="P125" s="440">
        <f t="shared" si="9"/>
        <v>0.5</v>
      </c>
      <c r="Q125">
        <f t="array" ref="Q125">IF(I125&gt;0,INDEX(DB,I125,9),EventIndex)</f>
        <v>6</v>
      </c>
      <c r="S125" s="442">
        <f t="array" ref="S125">INDEX(MINVALUES,$Q125,$K$1)</f>
        <v>5</v>
      </c>
      <c r="T125">
        <f t="array" ref="T125">INDEX(INCVALUES,$Q125,$K$1)</f>
        <v>0.5</v>
      </c>
      <c r="V125">
        <f t="array" ref="V125">+J125+(4*(INDEX(MatchScoreTable,$Q125,20)-1))</f>
        <v>4</v>
      </c>
      <c r="W125" s="442">
        <f t="array" ref="W125">INDEX(INC_MINVALUES,$V125,$K$1)</f>
        <v>2.5</v>
      </c>
      <c r="X125" s="212">
        <f t="array" ref="X125">INDEX(INC_INCVALUES,$V125,$K$1)</f>
        <v>0.5</v>
      </c>
    </row>
    <row r="126" ht="15.75" customHeight="1">
      <c r="A126" s="435"/>
      <c r="B126" s="436"/>
      <c r="C126" s="95" t="str">
        <f t="array" ref="C126">IF(I126&gt;0,INDEX(DB,I126,8),"")</f>
        <v/>
      </c>
      <c r="D126" s="437">
        <f t="shared" si="1"/>
        <v>0</v>
      </c>
      <c r="F126" s="438">
        <f t="shared" si="2"/>
        <v>0</v>
      </c>
      <c r="G126" t="str">
        <f t="shared" si="3"/>
        <v/>
      </c>
      <c r="H126" t="b">
        <f t="shared" si="4"/>
        <v>0</v>
      </c>
      <c r="I126" s="439">
        <f>IF(OR(ISBLANK(A126),ISNA(MATCH(A126&amp;"",AthleteNumbers,0))),0,MATCH(A126&amp;"",AthleteNumbers,0))</f>
        <v>0</v>
      </c>
      <c r="J126" s="209">
        <f t="array" ref="J126">IF(I126&gt;0,INDEX(DB,$I126,6),0)</f>
        <v>0</v>
      </c>
      <c r="K126" s="446">
        <f t="shared" si="5"/>
        <v>0</v>
      </c>
      <c r="L126" s="446">
        <f t="shared" si="6"/>
        <v>0</v>
      </c>
      <c r="M126" s="441">
        <f>IF(L126&lt;O126,MinPoints,IF(AND(L126&gt;N126,O126&gt;0),100,+INT(($L126-O126)/P126)+MinPoints))</f>
        <v>10</v>
      </c>
      <c r="N126" s="440">
        <f t="shared" si="7"/>
        <v>50</v>
      </c>
      <c r="O126" s="440">
        <f t="shared" si="8"/>
        <v>5</v>
      </c>
      <c r="P126" s="440">
        <f t="shared" si="9"/>
        <v>0.5</v>
      </c>
      <c r="Q126">
        <f t="array" ref="Q126">IF(I126&gt;0,INDEX(DB,I126,9),EventIndex)</f>
        <v>6</v>
      </c>
      <c r="S126" s="442">
        <f t="array" ref="S126">INDEX(MINVALUES,$Q126,$K$1)</f>
        <v>5</v>
      </c>
      <c r="T126">
        <f t="array" ref="T126">INDEX(INCVALUES,$Q126,$K$1)</f>
        <v>0.5</v>
      </c>
      <c r="V126">
        <f t="array" ref="V126">+J126+(4*(INDEX(MatchScoreTable,$Q126,20)-1))</f>
        <v>4</v>
      </c>
      <c r="W126" s="442">
        <f t="array" ref="W126">INDEX(INC_MINVALUES,$V126,$K$1)</f>
        <v>2.5</v>
      </c>
      <c r="X126" s="212">
        <f t="array" ref="X126">INDEX(INC_INCVALUES,$V126,$K$1)</f>
        <v>0.5</v>
      </c>
    </row>
    <row r="127" ht="15.75" customHeight="1">
      <c r="A127" s="435"/>
      <c r="B127" s="436"/>
      <c r="C127" s="95" t="str">
        <f t="array" ref="C127">IF(I127&gt;0,INDEX(DB,I127,8),"")</f>
        <v/>
      </c>
      <c r="D127" s="437">
        <f t="shared" si="1"/>
        <v>0</v>
      </c>
      <c r="F127" s="438">
        <f t="shared" si="2"/>
        <v>0</v>
      </c>
      <c r="G127" t="str">
        <f t="shared" si="3"/>
        <v/>
      </c>
      <c r="H127" t="b">
        <f t="shared" si="4"/>
        <v>0</v>
      </c>
      <c r="I127" s="439">
        <f>IF(OR(ISBLANK(A127),ISNA(MATCH(A127&amp;"",AthleteNumbers,0))),0,MATCH(A127&amp;"",AthleteNumbers,0))</f>
        <v>0</v>
      </c>
      <c r="J127" s="209">
        <f t="array" ref="J127">IF(I127&gt;0,INDEX(DB,$I127,6),0)</f>
        <v>0</v>
      </c>
      <c r="K127" s="446">
        <f t="shared" si="5"/>
        <v>0</v>
      </c>
      <c r="L127" s="446">
        <f t="shared" si="6"/>
        <v>0</v>
      </c>
      <c r="M127" s="441">
        <f>IF(L127&lt;O127,MinPoints,IF(AND(L127&gt;N127,O127&gt;0),100,+INT(($L127-O127)/P127)+MinPoints))</f>
        <v>10</v>
      </c>
      <c r="N127" s="440">
        <f t="shared" si="7"/>
        <v>50</v>
      </c>
      <c r="O127" s="440">
        <f t="shared" si="8"/>
        <v>5</v>
      </c>
      <c r="P127" s="440">
        <f t="shared" si="9"/>
        <v>0.5</v>
      </c>
      <c r="Q127">
        <f t="array" ref="Q127">IF(I127&gt;0,INDEX(DB,I127,9),EventIndex)</f>
        <v>6</v>
      </c>
      <c r="S127" s="442">
        <f t="array" ref="S127">INDEX(MINVALUES,$Q127,$K$1)</f>
        <v>5</v>
      </c>
      <c r="T127">
        <f t="array" ref="T127">INDEX(INCVALUES,$Q127,$K$1)</f>
        <v>0.5</v>
      </c>
      <c r="V127">
        <f t="array" ref="V127">+J127+(4*(INDEX(MatchScoreTable,$Q127,20)-1))</f>
        <v>4</v>
      </c>
      <c r="W127" s="442">
        <f t="array" ref="W127">INDEX(INC_MINVALUES,$V127,$K$1)</f>
        <v>2.5</v>
      </c>
      <c r="X127" s="212">
        <f t="array" ref="X127">INDEX(INC_INCVALUES,$V127,$K$1)</f>
        <v>0.5</v>
      </c>
    </row>
    <row r="128" ht="15.75" customHeight="1">
      <c r="A128" s="435"/>
      <c r="B128" s="436"/>
      <c r="C128" s="95" t="str">
        <f t="array" ref="C128">IF(I128&gt;0,INDEX(DB,I128,8),"")</f>
        <v/>
      </c>
      <c r="D128" s="437">
        <f t="shared" si="1"/>
        <v>0</v>
      </c>
      <c r="F128" s="438">
        <f t="shared" si="2"/>
        <v>0</v>
      </c>
      <c r="G128" t="str">
        <f t="shared" si="3"/>
        <v/>
      </c>
      <c r="H128" t="b">
        <f t="shared" si="4"/>
        <v>0</v>
      </c>
      <c r="I128" s="439">
        <f>IF(OR(ISBLANK(A128),ISNA(MATCH(A128&amp;"",AthleteNumbers,0))),0,MATCH(A128&amp;"",AthleteNumbers,0))</f>
        <v>0</v>
      </c>
      <c r="J128" s="209">
        <f t="array" ref="J128">IF(I128&gt;0,INDEX(DB,$I128,6),0)</f>
        <v>0</v>
      </c>
      <c r="K128" s="446">
        <f t="shared" si="5"/>
        <v>0</v>
      </c>
      <c r="L128" s="446">
        <f t="shared" si="6"/>
        <v>0</v>
      </c>
      <c r="M128" s="441">
        <f>IF(L128&lt;O128,MinPoints,IF(AND(L128&gt;N128,O128&gt;0),100,+INT(($L128-O128)/P128)+MinPoints))</f>
        <v>10</v>
      </c>
      <c r="N128" s="440">
        <f t="shared" si="7"/>
        <v>50</v>
      </c>
      <c r="O128" s="440">
        <f t="shared" si="8"/>
        <v>5</v>
      </c>
      <c r="P128" s="440">
        <f t="shared" si="9"/>
        <v>0.5</v>
      </c>
      <c r="Q128">
        <f t="array" ref="Q128">IF(I128&gt;0,INDEX(DB,I128,9),EventIndex)</f>
        <v>6</v>
      </c>
      <c r="S128" s="442">
        <f t="array" ref="S128">INDEX(MINVALUES,$Q128,$K$1)</f>
        <v>5</v>
      </c>
      <c r="T128">
        <f t="array" ref="T128">INDEX(INCVALUES,$Q128,$K$1)</f>
        <v>0.5</v>
      </c>
      <c r="V128">
        <f t="array" ref="V128">+J128+(4*(INDEX(MatchScoreTable,$Q128,20)-1))</f>
        <v>4</v>
      </c>
      <c r="W128" s="442">
        <f t="array" ref="W128">INDEX(INC_MINVALUES,$V128,$K$1)</f>
        <v>2.5</v>
      </c>
      <c r="X128" s="212">
        <f t="array" ref="X128">INDEX(INC_INCVALUES,$V128,$K$1)</f>
        <v>0.5</v>
      </c>
    </row>
    <row r="129" ht="15.75" customHeight="1">
      <c r="A129" s="435"/>
      <c r="B129" s="436"/>
      <c r="C129" s="95" t="str">
        <f t="array" ref="C129">IF(I129&gt;0,INDEX(DB,I129,8),"")</f>
        <v/>
      </c>
      <c r="D129" s="437">
        <f t="shared" si="1"/>
        <v>0</v>
      </c>
      <c r="F129" s="438">
        <f t="shared" si="2"/>
        <v>0</v>
      </c>
      <c r="G129" t="str">
        <f t="shared" si="3"/>
        <v/>
      </c>
      <c r="H129" t="b">
        <f t="shared" si="4"/>
        <v>0</v>
      </c>
      <c r="I129" s="439">
        <f>IF(OR(ISBLANK(A129),ISNA(MATCH(A129&amp;"",AthleteNumbers,0))),0,MATCH(A129&amp;"",AthleteNumbers,0))</f>
        <v>0</v>
      </c>
      <c r="J129" s="209">
        <f t="array" ref="J129">IF(I129&gt;0,INDEX(DB,$I129,6),0)</f>
        <v>0</v>
      </c>
      <c r="K129" s="446">
        <f t="shared" si="5"/>
        <v>0</v>
      </c>
      <c r="L129" s="446">
        <f t="shared" si="6"/>
        <v>0</v>
      </c>
      <c r="M129" s="441">
        <f>IF(L129&lt;O129,MinPoints,IF(AND(L129&gt;N129,O129&gt;0),100,+INT(($L129-O129)/P129)+MinPoints))</f>
        <v>10</v>
      </c>
      <c r="N129" s="440">
        <f t="shared" si="7"/>
        <v>50</v>
      </c>
      <c r="O129" s="440">
        <f t="shared" si="8"/>
        <v>5</v>
      </c>
      <c r="P129" s="440">
        <f t="shared" si="9"/>
        <v>0.5</v>
      </c>
      <c r="Q129">
        <f t="array" ref="Q129">IF(I129&gt;0,INDEX(DB,I129,9),EventIndex)</f>
        <v>6</v>
      </c>
      <c r="S129" s="442">
        <f t="array" ref="S129">INDEX(MINVALUES,$Q129,$K$1)</f>
        <v>5</v>
      </c>
      <c r="T129">
        <f t="array" ref="T129">INDEX(INCVALUES,$Q129,$K$1)</f>
        <v>0.5</v>
      </c>
      <c r="V129">
        <f t="array" ref="V129">+J129+(4*(INDEX(MatchScoreTable,$Q129,20)-1))</f>
        <v>4</v>
      </c>
      <c r="W129" s="442">
        <f t="array" ref="W129">INDEX(INC_MINVALUES,$V129,$K$1)</f>
        <v>2.5</v>
      </c>
      <c r="X129" s="212">
        <f t="array" ref="X129">INDEX(INC_INCVALUES,$V129,$K$1)</f>
        <v>0.5</v>
      </c>
    </row>
    <row r="130" ht="15.75" customHeight="1">
      <c r="A130" s="435"/>
      <c r="B130" s="436"/>
      <c r="C130" s="95" t="str">
        <f t="array" ref="C130">IF(I130&gt;0,INDEX(DB,I130,8),"")</f>
        <v/>
      </c>
      <c r="D130" s="437">
        <f t="shared" si="1"/>
        <v>0</v>
      </c>
      <c r="F130" s="438">
        <f t="shared" si="2"/>
        <v>0</v>
      </c>
      <c r="G130" t="str">
        <f t="shared" si="3"/>
        <v/>
      </c>
      <c r="H130" t="b">
        <f t="shared" si="4"/>
        <v>0</v>
      </c>
      <c r="I130" s="439">
        <f>IF(OR(ISBLANK(A130),ISNA(MATCH(A130&amp;"",AthleteNumbers,0))),0,MATCH(A130&amp;"",AthleteNumbers,0))</f>
        <v>0</v>
      </c>
      <c r="J130" s="209">
        <f t="array" ref="J130">IF(I130&gt;0,INDEX(DB,$I130,6),0)</f>
        <v>0</v>
      </c>
      <c r="K130" s="446">
        <f t="shared" si="5"/>
        <v>0</v>
      </c>
      <c r="L130" s="446">
        <f t="shared" si="6"/>
        <v>0</v>
      </c>
      <c r="M130" s="441">
        <f>IF(L130&lt;O130,MinPoints,IF(AND(L130&gt;N130,O130&gt;0),100,+INT(($L130-O130)/P130)+MinPoints))</f>
        <v>10</v>
      </c>
      <c r="N130" s="440">
        <f t="shared" si="7"/>
        <v>50</v>
      </c>
      <c r="O130" s="440">
        <f t="shared" si="8"/>
        <v>5</v>
      </c>
      <c r="P130" s="440">
        <f t="shared" si="9"/>
        <v>0.5</v>
      </c>
      <c r="Q130">
        <f t="array" ref="Q130">IF(I130&gt;0,INDEX(DB,I130,9),EventIndex)</f>
        <v>6</v>
      </c>
      <c r="S130" s="442">
        <f t="array" ref="S130">INDEX(MINVALUES,$Q130,$K$1)</f>
        <v>5</v>
      </c>
      <c r="T130">
        <f t="array" ref="T130">INDEX(INCVALUES,$Q130,$K$1)</f>
        <v>0.5</v>
      </c>
      <c r="V130">
        <f t="array" ref="V130">+J130+(4*(INDEX(MatchScoreTable,$Q130,20)-1))</f>
        <v>4</v>
      </c>
      <c r="W130" s="442">
        <f t="array" ref="W130">INDEX(INC_MINVALUES,$V130,$K$1)</f>
        <v>2.5</v>
      </c>
      <c r="X130" s="212">
        <f t="array" ref="X130">INDEX(INC_INCVALUES,$V130,$K$1)</f>
        <v>0.5</v>
      </c>
    </row>
    <row r="131" ht="15.75" customHeight="1">
      <c r="A131" s="435"/>
      <c r="B131" s="436"/>
      <c r="C131" s="95" t="str">
        <f t="array" ref="C131">IF(I131&gt;0,INDEX(DB,I131,8),"")</f>
        <v/>
      </c>
      <c r="D131" s="437">
        <f t="shared" si="1"/>
        <v>0</v>
      </c>
      <c r="F131" s="438">
        <f t="shared" si="2"/>
        <v>0</v>
      </c>
      <c r="G131" t="str">
        <f t="shared" si="3"/>
        <v/>
      </c>
      <c r="H131" t="b">
        <f t="shared" si="4"/>
        <v>0</v>
      </c>
      <c r="I131" s="439">
        <f>IF(OR(ISBLANK(A131),ISNA(MATCH(A131&amp;"",AthleteNumbers,0))),0,MATCH(A131&amp;"",AthleteNumbers,0))</f>
        <v>0</v>
      </c>
      <c r="J131" s="209">
        <f t="array" ref="J131">IF(I131&gt;0,INDEX(DB,$I131,6),0)</f>
        <v>0</v>
      </c>
      <c r="K131" s="446">
        <f t="shared" si="5"/>
        <v>0</v>
      </c>
      <c r="L131" s="446">
        <f t="shared" si="6"/>
        <v>0</v>
      </c>
      <c r="M131" s="441">
        <f>IF(L131&lt;O131,MinPoints,IF(AND(L131&gt;N131,O131&gt;0),100,+INT(($L131-O131)/P131)+MinPoints))</f>
        <v>10</v>
      </c>
      <c r="N131" s="440">
        <f t="shared" si="7"/>
        <v>50</v>
      </c>
      <c r="O131" s="440">
        <f t="shared" si="8"/>
        <v>5</v>
      </c>
      <c r="P131" s="440">
        <f t="shared" si="9"/>
        <v>0.5</v>
      </c>
      <c r="Q131">
        <f t="array" ref="Q131">IF(I131&gt;0,INDEX(DB,I131,9),EventIndex)</f>
        <v>6</v>
      </c>
      <c r="S131" s="442">
        <f t="array" ref="S131">INDEX(MINVALUES,$Q131,$K$1)</f>
        <v>5</v>
      </c>
      <c r="T131">
        <f t="array" ref="T131">INDEX(INCVALUES,$Q131,$K$1)</f>
        <v>0.5</v>
      </c>
      <c r="V131">
        <f t="array" ref="V131">+J131+(4*(INDEX(MatchScoreTable,$Q131,20)-1))</f>
        <v>4</v>
      </c>
      <c r="W131" s="442">
        <f t="array" ref="W131">INDEX(INC_MINVALUES,$V131,$K$1)</f>
        <v>2.5</v>
      </c>
      <c r="X131" s="212">
        <f t="array" ref="X131">INDEX(INC_INCVALUES,$V131,$K$1)</f>
        <v>0.5</v>
      </c>
    </row>
    <row r="132" ht="15.75" customHeight="1">
      <c r="A132" s="435"/>
      <c r="B132" s="436"/>
      <c r="C132" s="95" t="str">
        <f t="array" ref="C132">IF(I132&gt;0,INDEX(DB,I132,8),"")</f>
        <v/>
      </c>
      <c r="D132" s="437">
        <f t="shared" si="1"/>
        <v>0</v>
      </c>
      <c r="F132" s="438">
        <f t="shared" si="2"/>
        <v>0</v>
      </c>
      <c r="G132" t="str">
        <f t="shared" si="3"/>
        <v/>
      </c>
      <c r="H132" t="b">
        <f t="shared" si="4"/>
        <v>0</v>
      </c>
      <c r="I132" s="439">
        <f>IF(OR(ISBLANK(A132),ISNA(MATCH(A132&amp;"",AthleteNumbers,0))),0,MATCH(A132&amp;"",AthleteNumbers,0))</f>
        <v>0</v>
      </c>
      <c r="J132" s="209">
        <f t="array" ref="J132">IF(I132&gt;0,INDEX(DB,$I132,6),0)</f>
        <v>0</v>
      </c>
      <c r="K132" s="446">
        <f t="shared" si="5"/>
        <v>0</v>
      </c>
      <c r="L132" s="446">
        <f t="shared" si="6"/>
        <v>0</v>
      </c>
      <c r="M132" s="441">
        <f>IF(L132&lt;O132,MinPoints,IF(AND(L132&gt;N132,O132&gt;0),100,+INT(($L132-O132)/P132)+MinPoints))</f>
        <v>10</v>
      </c>
      <c r="N132" s="440">
        <f t="shared" si="7"/>
        <v>50</v>
      </c>
      <c r="O132" s="440">
        <f t="shared" si="8"/>
        <v>5</v>
      </c>
      <c r="P132" s="440">
        <f t="shared" si="9"/>
        <v>0.5</v>
      </c>
      <c r="Q132">
        <f t="array" ref="Q132">IF(I132&gt;0,INDEX(DB,I132,9),EventIndex)</f>
        <v>6</v>
      </c>
      <c r="S132" s="442">
        <f t="array" ref="S132">INDEX(MINVALUES,$Q132,$K$1)</f>
        <v>5</v>
      </c>
      <c r="T132">
        <f t="array" ref="T132">INDEX(INCVALUES,$Q132,$K$1)</f>
        <v>0.5</v>
      </c>
      <c r="V132">
        <f t="array" ref="V132">+J132+(4*(INDEX(MatchScoreTable,$Q132,20)-1))</f>
        <v>4</v>
      </c>
      <c r="W132" s="442">
        <f t="array" ref="W132">INDEX(INC_MINVALUES,$V132,$K$1)</f>
        <v>2.5</v>
      </c>
      <c r="X132" s="212">
        <f t="array" ref="X132">INDEX(INC_INCVALUES,$V132,$K$1)</f>
        <v>0.5</v>
      </c>
    </row>
    <row r="133" ht="15.75" customHeight="1">
      <c r="A133" s="435"/>
      <c r="B133" s="436"/>
      <c r="C133" s="95" t="str">
        <f t="array" ref="C133">IF(I133&gt;0,INDEX(DB,I133,8),"")</f>
        <v/>
      </c>
      <c r="D133" s="437">
        <f t="shared" si="1"/>
        <v>0</v>
      </c>
      <c r="F133" s="438">
        <f t="shared" si="2"/>
        <v>0</v>
      </c>
      <c r="G133" t="str">
        <f t="shared" si="3"/>
        <v/>
      </c>
      <c r="H133" t="b">
        <f t="shared" si="4"/>
        <v>0</v>
      </c>
      <c r="I133" s="439">
        <f>IF(OR(ISBLANK(A133),ISNA(MATCH(A133&amp;"",AthleteNumbers,0))),0,MATCH(A133&amp;"",AthleteNumbers,0))</f>
        <v>0</v>
      </c>
      <c r="J133" s="209">
        <f t="array" ref="J133">IF(I133&gt;0,INDEX(DB,$I133,6),0)</f>
        <v>0</v>
      </c>
      <c r="K133" s="446">
        <f t="shared" si="5"/>
        <v>0</v>
      </c>
      <c r="L133" s="446">
        <f t="shared" si="6"/>
        <v>0</v>
      </c>
      <c r="M133" s="441">
        <f>IF(L133&lt;O133,MinPoints,IF(AND(L133&gt;N133,O133&gt;0),100,+INT(($L133-O133)/P133)+MinPoints))</f>
        <v>10</v>
      </c>
      <c r="N133" s="440">
        <f t="shared" si="7"/>
        <v>50</v>
      </c>
      <c r="O133" s="440">
        <f t="shared" si="8"/>
        <v>5</v>
      </c>
      <c r="P133" s="440">
        <f t="shared" si="9"/>
        <v>0.5</v>
      </c>
      <c r="Q133">
        <f t="array" ref="Q133">IF(I133&gt;0,INDEX(DB,I133,9),EventIndex)</f>
        <v>6</v>
      </c>
      <c r="S133" s="442">
        <f t="array" ref="S133">INDEX(MINVALUES,$Q133,$K$1)</f>
        <v>5</v>
      </c>
      <c r="T133">
        <f t="array" ref="T133">INDEX(INCVALUES,$Q133,$K$1)</f>
        <v>0.5</v>
      </c>
      <c r="V133">
        <f t="array" ref="V133">+J133+(4*(INDEX(MatchScoreTable,$Q133,20)-1))</f>
        <v>4</v>
      </c>
      <c r="W133" s="442">
        <f t="array" ref="W133">INDEX(INC_MINVALUES,$V133,$K$1)</f>
        <v>2.5</v>
      </c>
      <c r="X133" s="212">
        <f t="array" ref="X133">INDEX(INC_INCVALUES,$V133,$K$1)</f>
        <v>0.5</v>
      </c>
    </row>
    <row r="134" ht="15.75" customHeight="1">
      <c r="A134" s="435"/>
      <c r="B134" s="436"/>
      <c r="C134" s="95" t="str">
        <f t="array" ref="C134">IF(I134&gt;0,INDEX(DB,I134,8),"")</f>
        <v/>
      </c>
      <c r="D134" s="437">
        <f t="shared" si="1"/>
        <v>0</v>
      </c>
      <c r="F134" s="438">
        <f t="shared" si="2"/>
        <v>0</v>
      </c>
      <c r="G134" t="str">
        <f t="shared" si="3"/>
        <v/>
      </c>
      <c r="H134" t="b">
        <f t="shared" si="4"/>
        <v>0</v>
      </c>
      <c r="I134" s="439">
        <f>IF(OR(ISBLANK(A134),ISNA(MATCH(A134&amp;"",AthleteNumbers,0))),0,MATCH(A134&amp;"",AthleteNumbers,0))</f>
        <v>0</v>
      </c>
      <c r="J134" s="209">
        <f t="array" ref="J134">IF(I134&gt;0,INDEX(DB,$I134,6),0)</f>
        <v>0</v>
      </c>
      <c r="K134" s="446">
        <f t="shared" si="5"/>
        <v>0</v>
      </c>
      <c r="L134" s="446">
        <f t="shared" si="6"/>
        <v>0</v>
      </c>
      <c r="M134" s="441">
        <f>IF(L134&lt;O134,MinPoints,IF(AND(L134&gt;N134,O134&gt;0),100,+INT(($L134-O134)/P134)+MinPoints))</f>
        <v>10</v>
      </c>
      <c r="N134" s="440">
        <f t="shared" si="7"/>
        <v>50</v>
      </c>
      <c r="O134" s="440">
        <f t="shared" si="8"/>
        <v>5</v>
      </c>
      <c r="P134" s="440">
        <f t="shared" si="9"/>
        <v>0.5</v>
      </c>
      <c r="Q134">
        <f t="array" ref="Q134">IF(I134&gt;0,INDEX(DB,I134,9),EventIndex)</f>
        <v>6</v>
      </c>
      <c r="S134" s="442">
        <f t="array" ref="S134">INDEX(MINVALUES,$Q134,$K$1)</f>
        <v>5</v>
      </c>
      <c r="T134">
        <f t="array" ref="T134">INDEX(INCVALUES,$Q134,$K$1)</f>
        <v>0.5</v>
      </c>
      <c r="V134">
        <f t="array" ref="V134">+J134+(4*(INDEX(MatchScoreTable,$Q134,20)-1))</f>
        <v>4</v>
      </c>
      <c r="W134" s="442">
        <f t="array" ref="W134">INDEX(INC_MINVALUES,$V134,$K$1)</f>
        <v>2.5</v>
      </c>
      <c r="X134" s="212">
        <f t="array" ref="X134">INDEX(INC_INCVALUES,$V134,$K$1)</f>
        <v>0.5</v>
      </c>
    </row>
    <row r="135" ht="15.75" customHeight="1">
      <c r="A135" s="435"/>
      <c r="B135" s="436"/>
      <c r="C135" s="95" t="str">
        <f t="array" ref="C135">IF(I135&gt;0,INDEX(DB,I135,8),"")</f>
        <v/>
      </c>
      <c r="D135" s="437">
        <f t="shared" si="1"/>
        <v>0</v>
      </c>
      <c r="F135" s="438">
        <f t="shared" si="2"/>
        <v>0</v>
      </c>
      <c r="G135" t="str">
        <f t="shared" si="3"/>
        <v/>
      </c>
      <c r="H135" t="b">
        <f t="shared" si="4"/>
        <v>0</v>
      </c>
      <c r="I135" s="439">
        <f>IF(OR(ISBLANK(A135),ISNA(MATCH(A135&amp;"",AthleteNumbers,0))),0,MATCH(A135&amp;"",AthleteNumbers,0))</f>
        <v>0</v>
      </c>
      <c r="J135" s="209">
        <f t="array" ref="J135">IF(I135&gt;0,INDEX(DB,$I135,6),0)</f>
        <v>0</v>
      </c>
      <c r="K135" s="446">
        <f t="shared" si="5"/>
        <v>0</v>
      </c>
      <c r="L135" s="446">
        <f t="shared" si="6"/>
        <v>0</v>
      </c>
      <c r="M135" s="441">
        <f>IF(L135&lt;O135,MinPoints,IF(AND(L135&gt;N135,O135&gt;0),100,+INT(($L135-O135)/P135)+MinPoints))</f>
        <v>10</v>
      </c>
      <c r="N135" s="440">
        <f t="shared" si="7"/>
        <v>50</v>
      </c>
      <c r="O135" s="440">
        <f t="shared" si="8"/>
        <v>5</v>
      </c>
      <c r="P135" s="440">
        <f t="shared" si="9"/>
        <v>0.5</v>
      </c>
      <c r="Q135">
        <f t="array" ref="Q135">IF(I135&gt;0,INDEX(DB,I135,9),EventIndex)</f>
        <v>6</v>
      </c>
      <c r="S135" s="442">
        <f t="array" ref="S135">INDEX(MINVALUES,$Q135,$K$1)</f>
        <v>5</v>
      </c>
      <c r="T135">
        <f t="array" ref="T135">INDEX(INCVALUES,$Q135,$K$1)</f>
        <v>0.5</v>
      </c>
      <c r="V135">
        <f t="array" ref="V135">+J135+(4*(INDEX(MatchScoreTable,$Q135,20)-1))</f>
        <v>4</v>
      </c>
      <c r="W135" s="442">
        <f t="array" ref="W135">INDEX(INC_MINVALUES,$V135,$K$1)</f>
        <v>2.5</v>
      </c>
      <c r="X135" s="212">
        <f t="array" ref="X135">INDEX(INC_INCVALUES,$V135,$K$1)</f>
        <v>0.5</v>
      </c>
    </row>
    <row r="136" ht="15.75" customHeight="1">
      <c r="A136" s="435"/>
      <c r="B136" s="436"/>
      <c r="C136" s="95" t="str">
        <f t="array" ref="C136">IF(I136&gt;0,INDEX(DB,I136,8),"")</f>
        <v/>
      </c>
      <c r="D136" s="437">
        <f t="shared" si="1"/>
        <v>0</v>
      </c>
      <c r="F136" s="438">
        <f t="shared" si="2"/>
        <v>0</v>
      </c>
      <c r="G136" t="str">
        <f t="shared" si="3"/>
        <v/>
      </c>
      <c r="H136" t="b">
        <f t="shared" si="4"/>
        <v>0</v>
      </c>
      <c r="I136" s="439">
        <f>IF(OR(ISBLANK(A136),ISNA(MATCH(A136&amp;"",AthleteNumbers,0))),0,MATCH(A136&amp;"",AthleteNumbers,0))</f>
        <v>0</v>
      </c>
      <c r="J136" s="209">
        <f t="array" ref="J136">IF(I136&gt;0,INDEX(DB,$I136,6),0)</f>
        <v>0</v>
      </c>
      <c r="K136" s="446">
        <f t="shared" si="5"/>
        <v>0</v>
      </c>
      <c r="L136" s="446">
        <f t="shared" si="6"/>
        <v>0</v>
      </c>
      <c r="M136" s="441">
        <f>IF(L136&lt;O136,MinPoints,IF(AND(L136&gt;N136,O136&gt;0),100,+INT(($L136-O136)/P136)+MinPoints))</f>
        <v>10</v>
      </c>
      <c r="N136" s="440">
        <f t="shared" si="7"/>
        <v>50</v>
      </c>
      <c r="O136" s="440">
        <f t="shared" si="8"/>
        <v>5</v>
      </c>
      <c r="P136" s="440">
        <f t="shared" si="9"/>
        <v>0.5</v>
      </c>
      <c r="Q136">
        <f t="array" ref="Q136">IF(I136&gt;0,INDEX(DB,I136,9),EventIndex)</f>
        <v>6</v>
      </c>
      <c r="S136" s="442">
        <f t="array" ref="S136">INDEX(MINVALUES,$Q136,$K$1)</f>
        <v>5</v>
      </c>
      <c r="T136">
        <f t="array" ref="T136">INDEX(INCVALUES,$Q136,$K$1)</f>
        <v>0.5</v>
      </c>
      <c r="V136">
        <f t="array" ref="V136">+J136+(4*(INDEX(MatchScoreTable,$Q136,20)-1))</f>
        <v>4</v>
      </c>
      <c r="W136" s="442">
        <f t="array" ref="W136">INDEX(INC_MINVALUES,$V136,$K$1)</f>
        <v>2.5</v>
      </c>
      <c r="X136" s="212">
        <f t="array" ref="X136">INDEX(INC_INCVALUES,$V136,$K$1)</f>
        <v>0.5</v>
      </c>
    </row>
    <row r="137" ht="15.75" customHeight="1">
      <c r="A137" s="435"/>
      <c r="B137" s="436"/>
      <c r="C137" s="95" t="str">
        <f t="array" ref="C137">IF(I137&gt;0,INDEX(DB,I137,8),"")</f>
        <v/>
      </c>
      <c r="D137" s="437">
        <f t="shared" si="1"/>
        <v>0</v>
      </c>
      <c r="F137" s="438">
        <f t="shared" si="2"/>
        <v>0</v>
      </c>
      <c r="G137" t="str">
        <f t="shared" si="3"/>
        <v/>
      </c>
      <c r="H137" t="b">
        <f t="shared" si="4"/>
        <v>0</v>
      </c>
      <c r="I137" s="439">
        <f>IF(OR(ISBLANK(A137),ISNA(MATCH(A137&amp;"",AthleteNumbers,0))),0,MATCH(A137&amp;"",AthleteNumbers,0))</f>
        <v>0</v>
      </c>
      <c r="J137" s="209">
        <f t="array" ref="J137">IF(I137&gt;0,INDEX(DB,$I137,6),0)</f>
        <v>0</v>
      </c>
      <c r="K137" s="446">
        <f t="shared" si="5"/>
        <v>0</v>
      </c>
      <c r="L137" s="446">
        <f t="shared" si="6"/>
        <v>0</v>
      </c>
      <c r="M137" s="441">
        <f>IF(L137&lt;O137,MinPoints,IF(AND(L137&gt;N137,O137&gt;0),100,+INT(($L137-O137)/P137)+MinPoints))</f>
        <v>10</v>
      </c>
      <c r="N137" s="440">
        <f t="shared" si="7"/>
        <v>50</v>
      </c>
      <c r="O137" s="440">
        <f t="shared" si="8"/>
        <v>5</v>
      </c>
      <c r="P137" s="440">
        <f t="shared" si="9"/>
        <v>0.5</v>
      </c>
      <c r="Q137">
        <f t="array" ref="Q137">IF(I137&gt;0,INDEX(DB,I137,9),EventIndex)</f>
        <v>6</v>
      </c>
      <c r="S137" s="442">
        <f t="array" ref="S137">INDEX(MINVALUES,$Q137,$K$1)</f>
        <v>5</v>
      </c>
      <c r="T137">
        <f t="array" ref="T137">INDEX(INCVALUES,$Q137,$K$1)</f>
        <v>0.5</v>
      </c>
      <c r="V137">
        <f t="array" ref="V137">+J137+(4*(INDEX(MatchScoreTable,$Q137,20)-1))</f>
        <v>4</v>
      </c>
      <c r="W137" s="442">
        <f t="array" ref="W137">INDEX(INC_MINVALUES,$V137,$K$1)</f>
        <v>2.5</v>
      </c>
      <c r="X137" s="212">
        <f t="array" ref="X137">INDEX(INC_INCVALUES,$V137,$K$1)</f>
        <v>0.5</v>
      </c>
    </row>
    <row r="138" ht="15.75" customHeight="1">
      <c r="A138" s="435"/>
      <c r="B138" s="436"/>
      <c r="C138" s="95" t="str">
        <f t="array" ref="C138">IF(I138&gt;0,INDEX(DB,I138,8),"")</f>
        <v/>
      </c>
      <c r="D138" s="437">
        <f t="shared" si="1"/>
        <v>0</v>
      </c>
      <c r="F138" s="438">
        <f t="shared" si="2"/>
        <v>0</v>
      </c>
      <c r="G138" t="str">
        <f t="shared" si="3"/>
        <v/>
      </c>
      <c r="H138" t="b">
        <f t="shared" si="4"/>
        <v>0</v>
      </c>
      <c r="I138" s="439">
        <f>IF(OR(ISBLANK(A138),ISNA(MATCH(A138&amp;"",AthleteNumbers,0))),0,MATCH(A138&amp;"",AthleteNumbers,0))</f>
        <v>0</v>
      </c>
      <c r="J138" s="209">
        <f t="array" ref="J138">IF(I138&gt;0,INDEX(DB,$I138,6),0)</f>
        <v>0</v>
      </c>
      <c r="K138" s="446">
        <f t="shared" si="5"/>
        <v>0</v>
      </c>
      <c r="L138" s="446">
        <f t="shared" si="6"/>
        <v>0</v>
      </c>
      <c r="M138" s="441">
        <f>IF(L138&lt;O138,MinPoints,IF(AND(L138&gt;N138,O138&gt;0),100,+INT(($L138-O138)/P138)+MinPoints))</f>
        <v>10</v>
      </c>
      <c r="N138" s="440">
        <f t="shared" si="7"/>
        <v>50</v>
      </c>
      <c r="O138" s="440">
        <f t="shared" si="8"/>
        <v>5</v>
      </c>
      <c r="P138" s="440">
        <f t="shared" si="9"/>
        <v>0.5</v>
      </c>
      <c r="Q138">
        <f t="array" ref="Q138">IF(I138&gt;0,INDEX(DB,I138,9),EventIndex)</f>
        <v>6</v>
      </c>
      <c r="S138" s="442">
        <f t="array" ref="S138">INDEX(MINVALUES,$Q138,$K$1)</f>
        <v>5</v>
      </c>
      <c r="T138">
        <f t="array" ref="T138">INDEX(INCVALUES,$Q138,$K$1)</f>
        <v>0.5</v>
      </c>
      <c r="V138">
        <f t="array" ref="V138">+J138+(4*(INDEX(MatchScoreTable,$Q138,20)-1))</f>
        <v>4</v>
      </c>
      <c r="W138" s="442">
        <f t="array" ref="W138">INDEX(INC_MINVALUES,$V138,$K$1)</f>
        <v>2.5</v>
      </c>
      <c r="X138" s="212">
        <f t="array" ref="X138">INDEX(INC_INCVALUES,$V138,$K$1)</f>
        <v>0.5</v>
      </c>
    </row>
    <row r="139" ht="15.75" customHeight="1">
      <c r="A139" s="435"/>
      <c r="B139" s="436"/>
      <c r="C139" s="95" t="str">
        <f t="array" ref="C139">IF(I139&gt;0,INDEX(DB,I139,8),"")</f>
        <v/>
      </c>
      <c r="D139" s="437">
        <f t="shared" si="1"/>
        <v>0</v>
      </c>
      <c r="F139" s="438">
        <f t="shared" si="2"/>
        <v>0</v>
      </c>
      <c r="G139" t="str">
        <f t="shared" si="3"/>
        <v/>
      </c>
      <c r="H139" t="b">
        <f t="shared" si="4"/>
        <v>0</v>
      </c>
      <c r="I139" s="439">
        <f>IF(OR(ISBLANK(A139),ISNA(MATCH(A139&amp;"",AthleteNumbers,0))),0,MATCH(A139&amp;"",AthleteNumbers,0))</f>
        <v>0</v>
      </c>
      <c r="J139" s="209">
        <f t="array" ref="J139">IF(I139&gt;0,INDEX(DB,$I139,6),0)</f>
        <v>0</v>
      </c>
      <c r="K139" s="446">
        <f t="shared" si="5"/>
        <v>0</v>
      </c>
      <c r="L139" s="446">
        <f t="shared" si="6"/>
        <v>0</v>
      </c>
      <c r="M139" s="441">
        <f>IF(L139&lt;O139,MinPoints,IF(AND(L139&gt;N139,O139&gt;0),100,+INT(($L139-O139)/P139)+MinPoints))</f>
        <v>10</v>
      </c>
      <c r="N139" s="440">
        <f t="shared" si="7"/>
        <v>50</v>
      </c>
      <c r="O139" s="440">
        <f t="shared" si="8"/>
        <v>5</v>
      </c>
      <c r="P139" s="440">
        <f t="shared" si="9"/>
        <v>0.5</v>
      </c>
      <c r="Q139">
        <f t="array" ref="Q139">IF(I139&gt;0,INDEX(DB,I139,9),EventIndex)</f>
        <v>6</v>
      </c>
      <c r="S139" s="442">
        <f t="array" ref="S139">INDEX(MINVALUES,$Q139,$K$1)</f>
        <v>5</v>
      </c>
      <c r="T139">
        <f t="array" ref="T139">INDEX(INCVALUES,$Q139,$K$1)</f>
        <v>0.5</v>
      </c>
      <c r="V139">
        <f t="array" ref="V139">+J139+(4*(INDEX(MatchScoreTable,$Q139,20)-1))</f>
        <v>4</v>
      </c>
      <c r="W139" s="442">
        <f t="array" ref="W139">INDEX(INC_MINVALUES,$V139,$K$1)</f>
        <v>2.5</v>
      </c>
      <c r="X139" s="212">
        <f t="array" ref="X139">INDEX(INC_INCVALUES,$V139,$K$1)</f>
        <v>0.5</v>
      </c>
    </row>
    <row r="140" ht="15.75" customHeight="1">
      <c r="A140" s="435"/>
      <c r="B140" s="436"/>
      <c r="C140" s="95" t="str">
        <f t="array" ref="C140">IF(I140&gt;0,INDEX(DB,I140,8),"")</f>
        <v/>
      </c>
      <c r="D140" s="437">
        <f t="shared" si="1"/>
        <v>0</v>
      </c>
      <c r="F140" s="438">
        <f t="shared" si="2"/>
        <v>0</v>
      </c>
      <c r="G140" t="str">
        <f t="shared" si="3"/>
        <v/>
      </c>
      <c r="H140" t="b">
        <f t="shared" si="4"/>
        <v>0</v>
      </c>
      <c r="I140" s="439">
        <f>IF(OR(ISBLANK(A140),ISNA(MATCH(A140&amp;"",AthleteNumbers,0))),0,MATCH(A140&amp;"",AthleteNumbers,0))</f>
        <v>0</v>
      </c>
      <c r="J140" s="209">
        <f t="array" ref="J140">IF(I140&gt;0,INDEX(DB,$I140,6),0)</f>
        <v>0</v>
      </c>
      <c r="K140" s="446">
        <f t="shared" si="5"/>
        <v>0</v>
      </c>
      <c r="L140" s="446">
        <f t="shared" si="6"/>
        <v>0</v>
      </c>
      <c r="M140" s="441">
        <f>IF(L140&lt;O140,MinPoints,IF(AND(L140&gt;N140,O140&gt;0),100,+INT(($L140-O140)/P140)+MinPoints))</f>
        <v>10</v>
      </c>
      <c r="N140" s="440">
        <f t="shared" si="7"/>
        <v>50</v>
      </c>
      <c r="O140" s="440">
        <f t="shared" si="8"/>
        <v>5</v>
      </c>
      <c r="P140" s="440">
        <f t="shared" si="9"/>
        <v>0.5</v>
      </c>
      <c r="Q140">
        <f t="array" ref="Q140">IF(I140&gt;0,INDEX(DB,I140,9),EventIndex)</f>
        <v>6</v>
      </c>
      <c r="S140" s="442">
        <f t="array" ref="S140">INDEX(MINVALUES,$Q140,$K$1)</f>
        <v>5</v>
      </c>
      <c r="T140">
        <f t="array" ref="T140">INDEX(INCVALUES,$Q140,$K$1)</f>
        <v>0.5</v>
      </c>
      <c r="V140">
        <f t="array" ref="V140">+J140+(4*(INDEX(MatchScoreTable,$Q140,20)-1))</f>
        <v>4</v>
      </c>
      <c r="W140" s="442">
        <f t="array" ref="W140">INDEX(INC_MINVALUES,$V140,$K$1)</f>
        <v>2.5</v>
      </c>
      <c r="X140" s="212">
        <f t="array" ref="X140">INDEX(INC_INCVALUES,$V140,$K$1)</f>
        <v>0.5</v>
      </c>
    </row>
    <row r="141" ht="15.75" customHeight="1">
      <c r="A141" s="435"/>
      <c r="B141" s="436"/>
      <c r="C141" s="95" t="str">
        <f t="array" ref="C141">IF(I141&gt;0,INDEX(DB,I141,8),"")</f>
        <v/>
      </c>
      <c r="D141" s="437">
        <f t="shared" si="1"/>
        <v>0</v>
      </c>
      <c r="F141" s="438">
        <f t="shared" si="2"/>
        <v>0</v>
      </c>
      <c r="G141" t="str">
        <f t="shared" si="3"/>
        <v/>
      </c>
      <c r="H141" t="b">
        <f t="shared" si="4"/>
        <v>0</v>
      </c>
      <c r="I141" s="439">
        <f>IF(OR(ISBLANK(A141),ISNA(MATCH(A141&amp;"",AthleteNumbers,0))),0,MATCH(A141&amp;"",AthleteNumbers,0))</f>
        <v>0</v>
      </c>
      <c r="J141" s="209">
        <f t="array" ref="J141">IF(I141&gt;0,INDEX(DB,$I141,6),0)</f>
        <v>0</v>
      </c>
      <c r="K141" s="446">
        <f t="shared" si="5"/>
        <v>0</v>
      </c>
      <c r="L141" s="446">
        <f t="shared" si="6"/>
        <v>0</v>
      </c>
      <c r="M141" s="441">
        <f>IF(L141&lt;O141,MinPoints,IF(AND(L141&gt;N141,O141&gt;0),100,+INT(($L141-O141)/P141)+MinPoints))</f>
        <v>10</v>
      </c>
      <c r="N141" s="440">
        <f t="shared" si="7"/>
        <v>50</v>
      </c>
      <c r="O141" s="440">
        <f t="shared" si="8"/>
        <v>5</v>
      </c>
      <c r="P141" s="440">
        <f t="shared" si="9"/>
        <v>0.5</v>
      </c>
      <c r="Q141">
        <f t="array" ref="Q141">IF(I141&gt;0,INDEX(DB,I141,9),EventIndex)</f>
        <v>6</v>
      </c>
      <c r="S141" s="442">
        <f t="array" ref="S141">INDEX(MINVALUES,$Q141,$K$1)</f>
        <v>5</v>
      </c>
      <c r="T141">
        <f t="array" ref="T141">INDEX(INCVALUES,$Q141,$K$1)</f>
        <v>0.5</v>
      </c>
      <c r="V141">
        <f t="array" ref="V141">+J141+(4*(INDEX(MatchScoreTable,$Q141,20)-1))</f>
        <v>4</v>
      </c>
      <c r="W141" s="442">
        <f t="array" ref="W141">INDEX(INC_MINVALUES,$V141,$K$1)</f>
        <v>2.5</v>
      </c>
      <c r="X141" s="212">
        <f t="array" ref="X141">INDEX(INC_INCVALUES,$V141,$K$1)</f>
        <v>0.5</v>
      </c>
    </row>
    <row r="142" ht="15.75" customHeight="1">
      <c r="A142" s="435"/>
      <c r="B142" s="436"/>
      <c r="C142" s="95" t="str">
        <f t="array" ref="C142">IF(I142&gt;0,INDEX(DB,I142,8),"")</f>
        <v/>
      </c>
      <c r="D142" s="437">
        <f t="shared" si="1"/>
        <v>0</v>
      </c>
      <c r="F142" s="438">
        <f t="shared" si="2"/>
        <v>0</v>
      </c>
      <c r="G142" t="str">
        <f t="shared" si="3"/>
        <v/>
      </c>
      <c r="H142" t="b">
        <f t="shared" si="4"/>
        <v>0</v>
      </c>
      <c r="I142" s="439">
        <f>IF(OR(ISBLANK(A142),ISNA(MATCH(A142&amp;"",AthleteNumbers,0))),0,MATCH(A142&amp;"",AthleteNumbers,0))</f>
        <v>0</v>
      </c>
      <c r="J142" s="209">
        <f t="array" ref="J142">IF(I142&gt;0,INDEX(DB,$I142,6),0)</f>
        <v>0</v>
      </c>
      <c r="K142" s="446">
        <f t="shared" si="5"/>
        <v>0</v>
      </c>
      <c r="L142" s="446">
        <f t="shared" si="6"/>
        <v>0</v>
      </c>
      <c r="M142" s="441">
        <f>IF(L142&lt;O142,MinPoints,IF(AND(L142&gt;N142,O142&gt;0),100,+INT(($L142-O142)/P142)+MinPoints))</f>
        <v>10</v>
      </c>
      <c r="N142" s="440">
        <f t="shared" si="7"/>
        <v>50</v>
      </c>
      <c r="O142" s="440">
        <f t="shared" si="8"/>
        <v>5</v>
      </c>
      <c r="P142" s="440">
        <f t="shared" si="9"/>
        <v>0.5</v>
      </c>
      <c r="Q142">
        <f t="array" ref="Q142">IF(I142&gt;0,INDEX(DB,I142,9),EventIndex)</f>
        <v>6</v>
      </c>
      <c r="S142" s="442">
        <f t="array" ref="S142">INDEX(MINVALUES,$Q142,$K$1)</f>
        <v>5</v>
      </c>
      <c r="T142">
        <f t="array" ref="T142">INDEX(INCVALUES,$Q142,$K$1)</f>
        <v>0.5</v>
      </c>
      <c r="V142">
        <f t="array" ref="V142">+J142+(4*(INDEX(MatchScoreTable,$Q142,20)-1))</f>
        <v>4</v>
      </c>
      <c r="W142" s="442">
        <f t="array" ref="W142">INDEX(INC_MINVALUES,$V142,$K$1)</f>
        <v>2.5</v>
      </c>
      <c r="X142" s="212">
        <f t="array" ref="X142">INDEX(INC_INCVALUES,$V142,$K$1)</f>
        <v>0.5</v>
      </c>
    </row>
    <row r="143" ht="15.75" customHeight="1">
      <c r="A143" s="435"/>
      <c r="B143" s="436"/>
      <c r="C143" s="95" t="str">
        <f t="array" ref="C143">IF(I143&gt;0,INDEX(DB,I143,8),"")</f>
        <v/>
      </c>
      <c r="D143" s="437">
        <f t="shared" si="1"/>
        <v>0</v>
      </c>
      <c r="F143" s="438">
        <f t="shared" si="2"/>
        <v>0</v>
      </c>
      <c r="G143" t="str">
        <f t="shared" si="3"/>
        <v/>
      </c>
      <c r="H143" t="b">
        <f t="shared" si="4"/>
        <v>0</v>
      </c>
      <c r="I143" s="439">
        <f>IF(OR(ISBLANK(A143),ISNA(MATCH(A143&amp;"",AthleteNumbers,0))),0,MATCH(A143&amp;"",AthleteNumbers,0))</f>
        <v>0</v>
      </c>
      <c r="J143" s="209">
        <f t="array" ref="J143">IF(I143&gt;0,INDEX(DB,$I143,6),0)</f>
        <v>0</v>
      </c>
      <c r="K143" s="446">
        <f t="shared" si="5"/>
        <v>0</v>
      </c>
      <c r="L143" s="446">
        <f t="shared" si="6"/>
        <v>0</v>
      </c>
      <c r="M143" s="441">
        <f>IF(L143&lt;O143,MinPoints,IF(AND(L143&gt;N143,O143&gt;0),100,+INT(($L143-O143)/P143)+MinPoints))</f>
        <v>10</v>
      </c>
      <c r="N143" s="440">
        <f t="shared" si="7"/>
        <v>50</v>
      </c>
      <c r="O143" s="440">
        <f t="shared" si="8"/>
        <v>5</v>
      </c>
      <c r="P143" s="440">
        <f t="shared" si="9"/>
        <v>0.5</v>
      </c>
      <c r="Q143">
        <f t="array" ref="Q143">IF(I143&gt;0,INDEX(DB,I143,9),EventIndex)</f>
        <v>6</v>
      </c>
      <c r="S143" s="442">
        <f t="array" ref="S143">INDEX(MINVALUES,$Q143,$K$1)</f>
        <v>5</v>
      </c>
      <c r="T143">
        <f t="array" ref="T143">INDEX(INCVALUES,$Q143,$K$1)</f>
        <v>0.5</v>
      </c>
      <c r="V143">
        <f t="array" ref="V143">+J143+(4*(INDEX(MatchScoreTable,$Q143,20)-1))</f>
        <v>4</v>
      </c>
      <c r="W143" s="442">
        <f t="array" ref="W143">INDEX(INC_MINVALUES,$V143,$K$1)</f>
        <v>2.5</v>
      </c>
      <c r="X143" s="212">
        <f t="array" ref="X143">INDEX(INC_INCVALUES,$V143,$K$1)</f>
        <v>0.5</v>
      </c>
    </row>
    <row r="144" ht="15.75" customHeight="1">
      <c r="A144" s="435"/>
      <c r="B144" s="436"/>
      <c r="C144" s="95" t="str">
        <f t="array" ref="C144">IF(I144&gt;0,INDEX(DB,I144,8),"")</f>
        <v/>
      </c>
      <c r="D144" s="437">
        <f t="shared" si="1"/>
        <v>0</v>
      </c>
      <c r="F144" s="438">
        <f t="shared" si="2"/>
        <v>0</v>
      </c>
      <c r="G144" t="str">
        <f t="shared" si="3"/>
        <v/>
      </c>
      <c r="H144" t="b">
        <f t="shared" si="4"/>
        <v>0</v>
      </c>
      <c r="I144" s="439">
        <f>IF(OR(ISBLANK(A144),ISNA(MATCH(A144&amp;"",AthleteNumbers,0))),0,MATCH(A144&amp;"",AthleteNumbers,0))</f>
        <v>0</v>
      </c>
      <c r="J144" s="209">
        <f t="array" ref="J144">IF(I144&gt;0,INDEX(DB,$I144,6),0)</f>
        <v>0</v>
      </c>
      <c r="K144" s="446">
        <f t="shared" si="5"/>
        <v>0</v>
      </c>
      <c r="L144" s="446">
        <f t="shared" si="6"/>
        <v>0</v>
      </c>
      <c r="M144" s="441">
        <f>IF(L144&lt;O144,MinPoints,IF(AND(L144&gt;N144,O144&gt;0),100,+INT(($L144-O144)/P144)+MinPoints))</f>
        <v>10</v>
      </c>
      <c r="N144" s="440">
        <f t="shared" si="7"/>
        <v>50</v>
      </c>
      <c r="O144" s="440">
        <f t="shared" si="8"/>
        <v>5</v>
      </c>
      <c r="P144" s="440">
        <f t="shared" si="9"/>
        <v>0.5</v>
      </c>
      <c r="Q144">
        <f t="array" ref="Q144">IF(I144&gt;0,INDEX(DB,I144,9),EventIndex)</f>
        <v>6</v>
      </c>
      <c r="S144" s="442">
        <f t="array" ref="S144">INDEX(MINVALUES,$Q144,$K$1)</f>
        <v>5</v>
      </c>
      <c r="T144">
        <f t="array" ref="T144">INDEX(INCVALUES,$Q144,$K$1)</f>
        <v>0.5</v>
      </c>
      <c r="V144">
        <f t="array" ref="V144">+J144+(4*(INDEX(MatchScoreTable,$Q144,20)-1))</f>
        <v>4</v>
      </c>
      <c r="W144" s="442">
        <f t="array" ref="W144">INDEX(INC_MINVALUES,$V144,$K$1)</f>
        <v>2.5</v>
      </c>
      <c r="X144" s="212">
        <f t="array" ref="X144">INDEX(INC_INCVALUES,$V144,$K$1)</f>
        <v>0.5</v>
      </c>
    </row>
    <row r="145" ht="15.75" customHeight="1">
      <c r="A145" s="435"/>
      <c r="B145" s="436"/>
      <c r="C145" s="95" t="str">
        <f t="array" ref="C145">IF(I145&gt;0,INDEX(DB,I145,8),"")</f>
        <v/>
      </c>
      <c r="D145" s="437">
        <f t="shared" si="1"/>
        <v>0</v>
      </c>
      <c r="F145" s="438">
        <f t="shared" si="2"/>
        <v>0</v>
      </c>
      <c r="G145" t="str">
        <f t="shared" si="3"/>
        <v/>
      </c>
      <c r="H145" t="b">
        <f t="shared" si="4"/>
        <v>0</v>
      </c>
      <c r="I145" s="439">
        <f>IF(OR(ISBLANK(A145),ISNA(MATCH(A145&amp;"",AthleteNumbers,0))),0,MATCH(A145&amp;"",AthleteNumbers,0))</f>
        <v>0</v>
      </c>
      <c r="J145" s="209">
        <f t="array" ref="J145">IF(I145&gt;0,INDEX(DB,$I145,6),0)</f>
        <v>0</v>
      </c>
      <c r="K145" s="446">
        <f t="shared" si="5"/>
        <v>0</v>
      </c>
      <c r="L145" s="446">
        <f t="shared" si="6"/>
        <v>0</v>
      </c>
      <c r="M145" s="441">
        <f>IF(L145&lt;O145,MinPoints,IF(AND(L145&gt;N145,O145&gt;0),100,+INT(($L145-O145)/P145)+MinPoints))</f>
        <v>10</v>
      </c>
      <c r="N145" s="440">
        <f t="shared" si="7"/>
        <v>50</v>
      </c>
      <c r="O145" s="440">
        <f t="shared" si="8"/>
        <v>5</v>
      </c>
      <c r="P145" s="440">
        <f t="shared" si="9"/>
        <v>0.5</v>
      </c>
      <c r="Q145">
        <f t="array" ref="Q145">IF(I145&gt;0,INDEX(DB,I145,9),EventIndex)</f>
        <v>6</v>
      </c>
      <c r="S145" s="442">
        <f t="array" ref="S145">INDEX(MINVALUES,$Q145,$K$1)</f>
        <v>5</v>
      </c>
      <c r="T145">
        <f t="array" ref="T145">INDEX(INCVALUES,$Q145,$K$1)</f>
        <v>0.5</v>
      </c>
      <c r="V145">
        <f t="array" ref="V145">+J145+(4*(INDEX(MatchScoreTable,$Q145,20)-1))</f>
        <v>4</v>
      </c>
      <c r="W145" s="442">
        <f t="array" ref="W145">INDEX(INC_MINVALUES,$V145,$K$1)</f>
        <v>2.5</v>
      </c>
      <c r="X145" s="212">
        <f t="array" ref="X145">INDEX(INC_INCVALUES,$V145,$K$1)</f>
        <v>0.5</v>
      </c>
    </row>
    <row r="146" ht="15.75" customHeight="1">
      <c r="A146" s="435"/>
      <c r="B146" s="436"/>
      <c r="C146" s="95" t="str">
        <f t="array" ref="C146">IF(I146&gt;0,INDEX(DB,I146,8),"")</f>
        <v/>
      </c>
      <c r="D146" s="437">
        <f t="shared" si="1"/>
        <v>0</v>
      </c>
      <c r="F146" s="438">
        <f t="shared" si="2"/>
        <v>0</v>
      </c>
      <c r="G146" t="str">
        <f t="shared" si="3"/>
        <v/>
      </c>
      <c r="H146" t="b">
        <f t="shared" si="4"/>
        <v>0</v>
      </c>
      <c r="I146" s="439">
        <f>IF(OR(ISBLANK(A146),ISNA(MATCH(A146&amp;"",AthleteNumbers,0))),0,MATCH(A146&amp;"",AthleteNumbers,0))</f>
        <v>0</v>
      </c>
      <c r="J146" s="209">
        <f t="array" ref="J146">IF(I146&gt;0,INDEX(DB,$I146,6),0)</f>
        <v>0</v>
      </c>
      <c r="K146" s="446">
        <f t="shared" si="5"/>
        <v>0</v>
      </c>
      <c r="L146" s="446">
        <f t="shared" si="6"/>
        <v>0</v>
      </c>
      <c r="M146" s="441">
        <f>IF(L146&lt;O146,MinPoints,IF(AND(L146&gt;N146,O146&gt;0),100,+INT(($L146-O146)/P146)+MinPoints))</f>
        <v>10</v>
      </c>
      <c r="N146" s="440">
        <f t="shared" si="7"/>
        <v>50</v>
      </c>
      <c r="O146" s="440">
        <f t="shared" si="8"/>
        <v>5</v>
      </c>
      <c r="P146" s="440">
        <f t="shared" si="9"/>
        <v>0.5</v>
      </c>
      <c r="Q146">
        <f t="array" ref="Q146">IF(I146&gt;0,INDEX(DB,I146,9),EventIndex)</f>
        <v>6</v>
      </c>
      <c r="S146" s="442">
        <f t="array" ref="S146">INDEX(MINVALUES,$Q146,$K$1)</f>
        <v>5</v>
      </c>
      <c r="T146">
        <f t="array" ref="T146">INDEX(INCVALUES,$Q146,$K$1)</f>
        <v>0.5</v>
      </c>
      <c r="V146">
        <f t="array" ref="V146">+J146+(4*(INDEX(MatchScoreTable,$Q146,20)-1))</f>
        <v>4</v>
      </c>
      <c r="W146" s="442">
        <f t="array" ref="W146">INDEX(INC_MINVALUES,$V146,$K$1)</f>
        <v>2.5</v>
      </c>
      <c r="X146" s="212">
        <f t="array" ref="X146">INDEX(INC_INCVALUES,$V146,$K$1)</f>
        <v>0.5</v>
      </c>
    </row>
    <row r="147" ht="15.75" customHeight="1">
      <c r="A147" s="435"/>
      <c r="B147" s="436"/>
      <c r="C147" s="95" t="str">
        <f t="array" ref="C147">IF(I147&gt;0,INDEX(DB,I147,8),"")</f>
        <v/>
      </c>
      <c r="D147" s="437">
        <f t="shared" si="1"/>
        <v>0</v>
      </c>
      <c r="F147" s="438">
        <f t="shared" si="2"/>
        <v>0</v>
      </c>
      <c r="G147" t="str">
        <f t="shared" si="3"/>
        <v/>
      </c>
      <c r="H147" t="b">
        <f t="shared" si="4"/>
        <v>0</v>
      </c>
      <c r="I147" s="439">
        <f>IF(OR(ISBLANK(A147),ISNA(MATCH(A147&amp;"",AthleteNumbers,0))),0,MATCH(A147&amp;"",AthleteNumbers,0))</f>
        <v>0</v>
      </c>
      <c r="J147" s="209">
        <f t="array" ref="J147">IF(I147&gt;0,INDEX(DB,$I147,6),0)</f>
        <v>0</v>
      </c>
      <c r="K147" s="446">
        <f t="shared" si="5"/>
        <v>0</v>
      </c>
      <c r="L147" s="446">
        <f t="shared" si="6"/>
        <v>0</v>
      </c>
      <c r="M147" s="441">
        <f>IF(L147&lt;O147,MinPoints,IF(AND(L147&gt;N147,O147&gt;0),100,+INT(($L147-O147)/P147)+MinPoints))</f>
        <v>10</v>
      </c>
      <c r="N147" s="440">
        <f t="shared" si="7"/>
        <v>50</v>
      </c>
      <c r="O147" s="440">
        <f t="shared" si="8"/>
        <v>5</v>
      </c>
      <c r="P147" s="440">
        <f t="shared" si="9"/>
        <v>0.5</v>
      </c>
      <c r="Q147">
        <f t="array" ref="Q147">IF(I147&gt;0,INDEX(DB,I147,9),EventIndex)</f>
        <v>6</v>
      </c>
      <c r="S147" s="442">
        <f t="array" ref="S147">INDEX(MINVALUES,$Q147,$K$1)</f>
        <v>5</v>
      </c>
      <c r="T147">
        <f t="array" ref="T147">INDEX(INCVALUES,$Q147,$K$1)</f>
        <v>0.5</v>
      </c>
      <c r="V147">
        <f t="array" ref="V147">+J147+(4*(INDEX(MatchScoreTable,$Q147,20)-1))</f>
        <v>4</v>
      </c>
      <c r="W147" s="442">
        <f t="array" ref="W147">INDEX(INC_MINVALUES,$V147,$K$1)</f>
        <v>2.5</v>
      </c>
      <c r="X147" s="212">
        <f t="array" ref="X147">INDEX(INC_INCVALUES,$V147,$K$1)</f>
        <v>0.5</v>
      </c>
    </row>
    <row r="148" ht="15.75" customHeight="1">
      <c r="A148" s="435"/>
      <c r="B148" s="436"/>
      <c r="C148" s="95" t="str">
        <f t="array" ref="C148">IF(I148&gt;0,INDEX(DB,I148,8),"")</f>
        <v/>
      </c>
      <c r="D148" s="437">
        <f t="shared" si="1"/>
        <v>0</v>
      </c>
      <c r="F148" s="438">
        <f t="shared" si="2"/>
        <v>0</v>
      </c>
      <c r="G148" t="str">
        <f t="shared" si="3"/>
        <v/>
      </c>
      <c r="H148" t="b">
        <f t="shared" si="4"/>
        <v>0</v>
      </c>
      <c r="I148" s="439">
        <f>IF(OR(ISBLANK(A148),ISNA(MATCH(A148&amp;"",AthleteNumbers,0))),0,MATCH(A148&amp;"",AthleteNumbers,0))</f>
        <v>0</v>
      </c>
      <c r="J148" s="209">
        <f t="array" ref="J148">IF(I148&gt;0,INDEX(DB,$I148,6),0)</f>
        <v>0</v>
      </c>
      <c r="K148" s="446">
        <f t="shared" si="5"/>
        <v>0</v>
      </c>
      <c r="L148" s="446">
        <f t="shared" si="6"/>
        <v>0</v>
      </c>
      <c r="M148" s="441">
        <f>IF(L148&lt;O148,MinPoints,IF(AND(L148&gt;N148,O148&gt;0),100,+INT(($L148-O148)/P148)+MinPoints))</f>
        <v>10</v>
      </c>
      <c r="N148" s="440">
        <f t="shared" si="7"/>
        <v>50</v>
      </c>
      <c r="O148" s="440">
        <f t="shared" si="8"/>
        <v>5</v>
      </c>
      <c r="P148" s="440">
        <f t="shared" si="9"/>
        <v>0.5</v>
      </c>
      <c r="Q148">
        <f t="array" ref="Q148">IF(I148&gt;0,INDEX(DB,I148,9),EventIndex)</f>
        <v>6</v>
      </c>
      <c r="S148" s="442">
        <f t="array" ref="S148">INDEX(MINVALUES,$Q148,$K$1)</f>
        <v>5</v>
      </c>
      <c r="T148">
        <f t="array" ref="T148">INDEX(INCVALUES,$Q148,$K$1)</f>
        <v>0.5</v>
      </c>
      <c r="V148">
        <f t="array" ref="V148">+J148+(4*(INDEX(MatchScoreTable,$Q148,20)-1))</f>
        <v>4</v>
      </c>
      <c r="W148" s="442">
        <f t="array" ref="W148">INDEX(INC_MINVALUES,$V148,$K$1)</f>
        <v>2.5</v>
      </c>
      <c r="X148" s="212">
        <f t="array" ref="X148">INDEX(INC_INCVALUES,$V148,$K$1)</f>
        <v>0.5</v>
      </c>
    </row>
    <row r="149" ht="15.75" customHeight="1">
      <c r="A149" s="435"/>
      <c r="B149" s="436"/>
      <c r="C149" s="95" t="str">
        <f t="array" ref="C149">IF(I149&gt;0,INDEX(DB,I149,8),"")</f>
        <v/>
      </c>
      <c r="D149" s="437">
        <f t="shared" si="1"/>
        <v>0</v>
      </c>
      <c r="F149" s="438">
        <f t="shared" si="2"/>
        <v>0</v>
      </c>
      <c r="G149" t="str">
        <f t="shared" si="3"/>
        <v/>
      </c>
      <c r="H149" t="b">
        <f t="shared" si="4"/>
        <v>0</v>
      </c>
      <c r="I149" s="439">
        <f>IF(OR(ISBLANK(A149),ISNA(MATCH(A149&amp;"",AthleteNumbers,0))),0,MATCH(A149&amp;"",AthleteNumbers,0))</f>
        <v>0</v>
      </c>
      <c r="J149" s="209">
        <f t="array" ref="J149">IF(I149&gt;0,INDEX(DB,$I149,6),0)</f>
        <v>0</v>
      </c>
      <c r="K149" s="446">
        <f t="shared" si="5"/>
        <v>0</v>
      </c>
      <c r="L149" s="446">
        <f t="shared" si="6"/>
        <v>0</v>
      </c>
      <c r="M149" s="441">
        <f>IF(L149&lt;O149,MinPoints,IF(AND(L149&gt;N149,O149&gt;0),100,+INT(($L149-O149)/P149)+MinPoints))</f>
        <v>10</v>
      </c>
      <c r="N149" s="440">
        <f t="shared" si="7"/>
        <v>50</v>
      </c>
      <c r="O149" s="440">
        <f t="shared" si="8"/>
        <v>5</v>
      </c>
      <c r="P149" s="440">
        <f t="shared" si="9"/>
        <v>0.5</v>
      </c>
      <c r="Q149">
        <f t="array" ref="Q149">IF(I149&gt;0,INDEX(DB,I149,9),EventIndex)</f>
        <v>6</v>
      </c>
      <c r="S149" s="442">
        <f t="array" ref="S149">INDEX(MINVALUES,$Q149,$K$1)</f>
        <v>5</v>
      </c>
      <c r="T149">
        <f t="array" ref="T149">INDEX(INCVALUES,$Q149,$K$1)</f>
        <v>0.5</v>
      </c>
      <c r="V149">
        <f t="array" ref="V149">+J149+(4*(INDEX(MatchScoreTable,$Q149,20)-1))</f>
        <v>4</v>
      </c>
      <c r="W149" s="442">
        <f t="array" ref="W149">INDEX(INC_MINVALUES,$V149,$K$1)</f>
        <v>2.5</v>
      </c>
      <c r="X149" s="212">
        <f t="array" ref="X149">INDEX(INC_INCVALUES,$V149,$K$1)</f>
        <v>0.5</v>
      </c>
    </row>
    <row r="150" ht="15.75" customHeight="1">
      <c r="A150" s="435"/>
      <c r="B150" s="436"/>
      <c r="C150" s="95" t="str">
        <f t="array" ref="C150">IF(I150&gt;0,INDEX(DB,I150,8),"")</f>
        <v/>
      </c>
      <c r="D150" s="437">
        <f t="shared" si="1"/>
        <v>0</v>
      </c>
      <c r="F150" s="438">
        <f t="shared" si="2"/>
        <v>0</v>
      </c>
      <c r="G150" t="str">
        <f t="shared" si="3"/>
        <v/>
      </c>
      <c r="H150" t="b">
        <f t="shared" si="4"/>
        <v>0</v>
      </c>
      <c r="I150" s="439">
        <f>IF(OR(ISBLANK(A150),ISNA(MATCH(A150&amp;"",AthleteNumbers,0))),0,MATCH(A150&amp;"",AthleteNumbers,0))</f>
        <v>0</v>
      </c>
      <c r="J150" s="209">
        <f t="array" ref="J150">IF(I150&gt;0,INDEX(DB,$I150,6),0)</f>
        <v>0</v>
      </c>
      <c r="K150" s="446">
        <f t="shared" si="5"/>
        <v>0</v>
      </c>
      <c r="L150" s="446">
        <f t="shared" si="6"/>
        <v>0</v>
      </c>
      <c r="M150" s="441">
        <f>IF(L150&lt;O150,MinPoints,IF(AND(L150&gt;N150,O150&gt;0),100,+INT(($L150-O150)/P150)+MinPoints))</f>
        <v>10</v>
      </c>
      <c r="N150" s="440">
        <f t="shared" si="7"/>
        <v>50</v>
      </c>
      <c r="O150" s="440">
        <f t="shared" si="8"/>
        <v>5</v>
      </c>
      <c r="P150" s="440">
        <f t="shared" si="9"/>
        <v>0.5</v>
      </c>
      <c r="Q150">
        <f t="array" ref="Q150">IF(I150&gt;0,INDEX(DB,I150,9),EventIndex)</f>
        <v>6</v>
      </c>
      <c r="S150" s="442">
        <f t="array" ref="S150">INDEX(MINVALUES,$Q150,$K$1)</f>
        <v>5</v>
      </c>
      <c r="T150">
        <f t="array" ref="T150">INDEX(INCVALUES,$Q150,$K$1)</f>
        <v>0.5</v>
      </c>
      <c r="V150">
        <f t="array" ref="V150">+J150+(4*(INDEX(MatchScoreTable,$Q150,20)-1))</f>
        <v>4</v>
      </c>
      <c r="W150" s="442">
        <f t="array" ref="W150">INDEX(INC_MINVALUES,$V150,$K$1)</f>
        <v>2.5</v>
      </c>
      <c r="X150" s="212">
        <f t="array" ref="X150">INDEX(INC_INCVALUES,$V150,$K$1)</f>
        <v>0.5</v>
      </c>
    </row>
    <row r="151" ht="15.75" customHeight="1">
      <c r="A151" s="435"/>
      <c r="B151" s="436"/>
      <c r="C151" s="95" t="str">
        <f t="array" ref="C151">IF(I151&gt;0,INDEX(DB,I151,8),"")</f>
        <v/>
      </c>
      <c r="D151" s="437">
        <f t="shared" si="1"/>
        <v>0</v>
      </c>
      <c r="F151" s="438">
        <f t="shared" si="2"/>
        <v>0</v>
      </c>
      <c r="G151" t="str">
        <f t="shared" si="3"/>
        <v/>
      </c>
      <c r="H151" t="b">
        <f t="shared" si="4"/>
        <v>0</v>
      </c>
      <c r="I151" s="439">
        <f>IF(OR(ISBLANK(A151),ISNA(MATCH(A151&amp;"",AthleteNumbers,0))),0,MATCH(A151&amp;"",AthleteNumbers,0))</f>
        <v>0</v>
      </c>
      <c r="J151" s="209">
        <f t="array" ref="J151">IF(I151&gt;0,INDEX(DB,$I151,6),0)</f>
        <v>0</v>
      </c>
      <c r="K151" s="446">
        <f t="shared" si="5"/>
        <v>0</v>
      </c>
      <c r="L151" s="446">
        <f t="shared" si="6"/>
        <v>0</v>
      </c>
      <c r="M151" s="441">
        <f>IF(L151&lt;O151,MinPoints,IF(AND(L151&gt;N151,O151&gt;0),100,+INT(($L151-O151)/P151)+MinPoints))</f>
        <v>10</v>
      </c>
      <c r="N151" s="440">
        <f t="shared" si="7"/>
        <v>50</v>
      </c>
      <c r="O151" s="440">
        <f t="shared" si="8"/>
        <v>5</v>
      </c>
      <c r="P151" s="440">
        <f t="shared" si="9"/>
        <v>0.5</v>
      </c>
      <c r="Q151">
        <f t="array" ref="Q151">IF(I151&gt;0,INDEX(DB,I151,9),EventIndex)</f>
        <v>6</v>
      </c>
      <c r="S151" s="442">
        <f t="array" ref="S151">INDEX(MINVALUES,$Q151,$K$1)</f>
        <v>5</v>
      </c>
      <c r="T151">
        <f t="array" ref="T151">INDEX(INCVALUES,$Q151,$K$1)</f>
        <v>0.5</v>
      </c>
      <c r="V151">
        <f t="array" ref="V151">+J151+(4*(INDEX(MatchScoreTable,$Q151,20)-1))</f>
        <v>4</v>
      </c>
      <c r="W151" s="442">
        <f t="array" ref="W151">INDEX(INC_MINVALUES,$V151,$K$1)</f>
        <v>2.5</v>
      </c>
      <c r="X151" s="212">
        <f t="array" ref="X151">INDEX(INC_INCVALUES,$V151,$K$1)</f>
        <v>0.5</v>
      </c>
    </row>
    <row r="152" ht="15.75" customHeight="1">
      <c r="A152" s="435"/>
      <c r="B152" s="436"/>
      <c r="C152" s="95" t="str">
        <f t="array" ref="C152">IF(I152&gt;0,INDEX(DB,I152,8),"")</f>
        <v/>
      </c>
      <c r="D152" s="437">
        <f t="shared" si="1"/>
        <v>0</v>
      </c>
      <c r="F152" s="438">
        <f t="shared" si="2"/>
        <v>0</v>
      </c>
      <c r="G152" t="str">
        <f t="shared" si="3"/>
        <v/>
      </c>
      <c r="H152" t="b">
        <f t="shared" si="4"/>
        <v>0</v>
      </c>
      <c r="I152" s="439">
        <f>IF(OR(ISBLANK(A152),ISNA(MATCH(A152&amp;"",AthleteNumbers,0))),0,MATCH(A152&amp;"",AthleteNumbers,0))</f>
        <v>0</v>
      </c>
      <c r="J152" s="209">
        <f t="array" ref="J152">IF(I152&gt;0,INDEX(DB,$I152,6),0)</f>
        <v>0</v>
      </c>
      <c r="K152" s="446">
        <f t="shared" si="5"/>
        <v>0</v>
      </c>
      <c r="L152" s="446">
        <f t="shared" si="6"/>
        <v>0</v>
      </c>
      <c r="M152" s="441">
        <f>IF(L152&lt;O152,MinPoints,IF(AND(L152&gt;N152,O152&gt;0),100,+INT(($L152-O152)/P152)+MinPoints))</f>
        <v>10</v>
      </c>
      <c r="N152" s="440">
        <f t="shared" si="7"/>
        <v>50</v>
      </c>
      <c r="O152" s="440">
        <f t="shared" si="8"/>
        <v>5</v>
      </c>
      <c r="P152" s="440">
        <f t="shared" si="9"/>
        <v>0.5</v>
      </c>
      <c r="Q152">
        <f t="array" ref="Q152">IF(I152&gt;0,INDEX(DB,I152,9),EventIndex)</f>
        <v>6</v>
      </c>
      <c r="S152" s="442">
        <f t="array" ref="S152">INDEX(MINVALUES,$Q152,$K$1)</f>
        <v>5</v>
      </c>
      <c r="T152">
        <f t="array" ref="T152">INDEX(INCVALUES,$Q152,$K$1)</f>
        <v>0.5</v>
      </c>
      <c r="V152">
        <f t="array" ref="V152">+J152+(4*(INDEX(MatchScoreTable,$Q152,20)-1))</f>
        <v>4</v>
      </c>
      <c r="W152" s="442">
        <f t="array" ref="W152">INDEX(INC_MINVALUES,$V152,$K$1)</f>
        <v>2.5</v>
      </c>
      <c r="X152" s="212">
        <f t="array" ref="X152">INDEX(INC_INCVALUES,$V152,$K$1)</f>
        <v>0.5</v>
      </c>
    </row>
    <row r="153" ht="15.75" customHeight="1">
      <c r="A153" s="435"/>
      <c r="B153" s="436"/>
      <c r="C153" s="95" t="str">
        <f t="array" ref="C153">IF(I153&gt;0,INDEX(DB,I153,8),"")</f>
        <v/>
      </c>
      <c r="D153" s="437">
        <f t="shared" si="1"/>
        <v>0</v>
      </c>
      <c r="F153" s="438">
        <f t="shared" si="2"/>
        <v>0</v>
      </c>
      <c r="G153" t="str">
        <f t="shared" si="3"/>
        <v/>
      </c>
      <c r="H153" t="b">
        <f t="shared" si="4"/>
        <v>0</v>
      </c>
      <c r="I153" s="439">
        <f>IF(OR(ISBLANK(A153),ISNA(MATCH(A153&amp;"",AthleteNumbers,0))),0,MATCH(A153&amp;"",AthleteNumbers,0))</f>
        <v>0</v>
      </c>
      <c r="J153" s="209">
        <f t="array" ref="J153">IF(I153&gt;0,INDEX(DB,$I153,6),0)</f>
        <v>0</v>
      </c>
      <c r="K153" s="446">
        <f t="shared" si="5"/>
        <v>0</v>
      </c>
      <c r="L153" s="446">
        <f t="shared" si="6"/>
        <v>0</v>
      </c>
      <c r="M153" s="441">
        <f>IF(L153&lt;O153,MinPoints,IF(AND(L153&gt;N153,O153&gt;0),100,+INT(($L153-O153)/P153)+MinPoints))</f>
        <v>10</v>
      </c>
      <c r="N153" s="440">
        <f t="shared" si="7"/>
        <v>50</v>
      </c>
      <c r="O153" s="440">
        <f t="shared" si="8"/>
        <v>5</v>
      </c>
      <c r="P153" s="440">
        <f t="shared" si="9"/>
        <v>0.5</v>
      </c>
      <c r="Q153">
        <f t="array" ref="Q153">IF(I153&gt;0,INDEX(DB,I153,9),EventIndex)</f>
        <v>6</v>
      </c>
      <c r="S153" s="442">
        <f t="array" ref="S153">INDEX(MINVALUES,$Q153,$K$1)</f>
        <v>5</v>
      </c>
      <c r="T153">
        <f t="array" ref="T153">INDEX(INCVALUES,$Q153,$K$1)</f>
        <v>0.5</v>
      </c>
      <c r="V153">
        <f t="array" ref="V153">+J153+(4*(INDEX(MatchScoreTable,$Q153,20)-1))</f>
        <v>4</v>
      </c>
      <c r="W153" s="442">
        <f t="array" ref="W153">INDEX(INC_MINVALUES,$V153,$K$1)</f>
        <v>2.5</v>
      </c>
      <c r="X153" s="212">
        <f t="array" ref="X153">INDEX(INC_INCVALUES,$V153,$K$1)</f>
        <v>0.5</v>
      </c>
    </row>
    <row r="154" ht="15.75" customHeight="1">
      <c r="A154" s="435"/>
      <c r="B154" s="436"/>
      <c r="C154" s="95" t="str">
        <f t="array" ref="C154">IF(I154&gt;0,INDEX(DB,I154,8),"")</f>
        <v/>
      </c>
      <c r="D154" s="437">
        <f t="shared" si="1"/>
        <v>0</v>
      </c>
      <c r="F154" s="438">
        <f t="shared" si="2"/>
        <v>0</v>
      </c>
      <c r="G154" t="str">
        <f t="shared" si="3"/>
        <v/>
      </c>
      <c r="H154" t="b">
        <f t="shared" si="4"/>
        <v>0</v>
      </c>
      <c r="I154" s="439">
        <f>IF(OR(ISBLANK(A154),ISNA(MATCH(A154&amp;"",AthleteNumbers,0))),0,MATCH(A154&amp;"",AthleteNumbers,0))</f>
        <v>0</v>
      </c>
      <c r="J154" s="209">
        <f t="array" ref="J154">IF(I154&gt;0,INDEX(DB,$I154,6),0)</f>
        <v>0</v>
      </c>
      <c r="K154" s="446">
        <f t="shared" si="5"/>
        <v>0</v>
      </c>
      <c r="L154" s="446">
        <f t="shared" si="6"/>
        <v>0</v>
      </c>
      <c r="M154" s="441">
        <f>IF(L154&lt;O154,MinPoints,IF(AND(L154&gt;N154,O154&gt;0),100,+INT(($L154-O154)/P154)+MinPoints))</f>
        <v>10</v>
      </c>
      <c r="N154" s="440">
        <f t="shared" si="7"/>
        <v>50</v>
      </c>
      <c r="O154" s="440">
        <f t="shared" si="8"/>
        <v>5</v>
      </c>
      <c r="P154" s="440">
        <f t="shared" si="9"/>
        <v>0.5</v>
      </c>
      <c r="Q154">
        <f t="array" ref="Q154">IF(I154&gt;0,INDEX(DB,I154,9),EventIndex)</f>
        <v>6</v>
      </c>
      <c r="S154" s="442">
        <f t="array" ref="S154">INDEX(MINVALUES,$Q154,$K$1)</f>
        <v>5</v>
      </c>
      <c r="T154">
        <f t="array" ref="T154">INDEX(INCVALUES,$Q154,$K$1)</f>
        <v>0.5</v>
      </c>
      <c r="V154">
        <f t="array" ref="V154">+J154+(4*(INDEX(MatchScoreTable,$Q154,20)-1))</f>
        <v>4</v>
      </c>
      <c r="W154" s="442">
        <f t="array" ref="W154">INDEX(INC_MINVALUES,$V154,$K$1)</f>
        <v>2.5</v>
      </c>
      <c r="X154" s="212">
        <f t="array" ref="X154">INDEX(INC_INCVALUES,$V154,$K$1)</f>
        <v>0.5</v>
      </c>
    </row>
    <row r="155" ht="15.75" customHeight="1">
      <c r="A155" s="435"/>
      <c r="B155" s="436"/>
      <c r="C155" s="95" t="str">
        <f t="array" ref="C155">IF(I155&gt;0,INDEX(DB,I155,8),"")</f>
        <v/>
      </c>
      <c r="D155" s="437">
        <f t="shared" si="1"/>
        <v>0</v>
      </c>
      <c r="F155" s="438">
        <f t="shared" si="2"/>
        <v>0</v>
      </c>
      <c r="G155" t="str">
        <f t="shared" si="3"/>
        <v/>
      </c>
      <c r="H155" t="b">
        <f t="shared" si="4"/>
        <v>0</v>
      </c>
      <c r="I155" s="439">
        <f>IF(OR(ISBLANK(A155),ISNA(MATCH(A155&amp;"",AthleteNumbers,0))),0,MATCH(A155&amp;"",AthleteNumbers,0))</f>
        <v>0</v>
      </c>
      <c r="J155" s="209">
        <f t="array" ref="J155">IF(I155&gt;0,INDEX(DB,$I155,6),0)</f>
        <v>0</v>
      </c>
      <c r="K155" s="446">
        <f t="shared" si="5"/>
        <v>0</v>
      </c>
      <c r="L155" s="446">
        <f t="shared" si="6"/>
        <v>0</v>
      </c>
      <c r="M155" s="441">
        <f>IF(L155&lt;O155,MinPoints,IF(AND(L155&gt;N155,O155&gt;0),100,+INT(($L155-O155)/P155)+MinPoints))</f>
        <v>10</v>
      </c>
      <c r="N155" s="440">
        <f t="shared" si="7"/>
        <v>50</v>
      </c>
      <c r="O155" s="440">
        <f t="shared" si="8"/>
        <v>5</v>
      </c>
      <c r="P155" s="440">
        <f t="shared" si="9"/>
        <v>0.5</v>
      </c>
      <c r="Q155">
        <f t="array" ref="Q155">IF(I155&gt;0,INDEX(DB,I155,9),EventIndex)</f>
        <v>6</v>
      </c>
      <c r="S155" s="442">
        <f t="array" ref="S155">INDEX(MINVALUES,$Q155,$K$1)</f>
        <v>5</v>
      </c>
      <c r="T155">
        <f t="array" ref="T155">INDEX(INCVALUES,$Q155,$K$1)</f>
        <v>0.5</v>
      </c>
      <c r="V155">
        <f t="array" ref="V155">+J155+(4*(INDEX(MatchScoreTable,$Q155,20)-1))</f>
        <v>4</v>
      </c>
      <c r="W155" s="442">
        <f t="array" ref="W155">INDEX(INC_MINVALUES,$V155,$K$1)</f>
        <v>2.5</v>
      </c>
      <c r="X155" s="212">
        <f t="array" ref="X155">INDEX(INC_INCVALUES,$V155,$K$1)</f>
        <v>0.5</v>
      </c>
    </row>
    <row r="156" ht="15.75" customHeight="1">
      <c r="A156" s="435"/>
      <c r="B156" s="436"/>
      <c r="C156" s="95" t="str">
        <f t="array" ref="C156">IF(I156&gt;0,INDEX(DB,I156,8),"")</f>
        <v/>
      </c>
      <c r="D156" s="437">
        <f t="shared" si="1"/>
        <v>0</v>
      </c>
      <c r="F156" s="438">
        <f t="shared" si="2"/>
        <v>0</v>
      </c>
      <c r="G156" t="str">
        <f t="shared" si="3"/>
        <v/>
      </c>
      <c r="H156" t="b">
        <f t="shared" si="4"/>
        <v>0</v>
      </c>
      <c r="I156" s="439">
        <f>IF(OR(ISBLANK(A156),ISNA(MATCH(A156&amp;"",AthleteNumbers,0))),0,MATCH(A156&amp;"",AthleteNumbers,0))</f>
        <v>0</v>
      </c>
      <c r="J156" s="209">
        <f t="array" ref="J156">IF(I156&gt;0,INDEX(DB,$I156,6),0)</f>
        <v>0</v>
      </c>
      <c r="K156" s="446">
        <f t="shared" si="5"/>
        <v>0</v>
      </c>
      <c r="L156" s="446">
        <f t="shared" si="6"/>
        <v>0</v>
      </c>
      <c r="M156" s="441">
        <f>IF(L156&lt;O156,MinPoints,IF(AND(L156&gt;N156,O156&gt;0),100,+INT(($L156-O156)/P156)+MinPoints))</f>
        <v>10</v>
      </c>
      <c r="N156" s="440">
        <f t="shared" si="7"/>
        <v>50</v>
      </c>
      <c r="O156" s="440">
        <f t="shared" si="8"/>
        <v>5</v>
      </c>
      <c r="P156" s="440">
        <f t="shared" si="9"/>
        <v>0.5</v>
      </c>
      <c r="Q156">
        <f t="array" ref="Q156">IF(I156&gt;0,INDEX(DB,I156,9),EventIndex)</f>
        <v>6</v>
      </c>
      <c r="S156" s="442">
        <f t="array" ref="S156">INDEX(MINVALUES,$Q156,$K$1)</f>
        <v>5</v>
      </c>
      <c r="T156">
        <f t="array" ref="T156">INDEX(INCVALUES,$Q156,$K$1)</f>
        <v>0.5</v>
      </c>
      <c r="V156">
        <f t="array" ref="V156">+J156+(4*(INDEX(MatchScoreTable,$Q156,20)-1))</f>
        <v>4</v>
      </c>
      <c r="W156" s="442">
        <f t="array" ref="W156">INDEX(INC_MINVALUES,$V156,$K$1)</f>
        <v>2.5</v>
      </c>
      <c r="X156" s="212">
        <f t="array" ref="X156">INDEX(INC_INCVALUES,$V156,$K$1)</f>
        <v>0.5</v>
      </c>
    </row>
    <row r="157" ht="15.75" customHeight="1">
      <c r="A157" s="435"/>
      <c r="B157" s="436"/>
      <c r="C157" s="95" t="str">
        <f t="array" ref="C157">IF(I157&gt;0,INDEX(DB,I157,8),"")</f>
        <v/>
      </c>
      <c r="D157" s="437">
        <f t="shared" si="1"/>
        <v>0</v>
      </c>
      <c r="F157" s="438">
        <f t="shared" si="2"/>
        <v>0</v>
      </c>
      <c r="G157" t="str">
        <f t="shared" si="3"/>
        <v/>
      </c>
      <c r="H157" t="b">
        <f t="shared" si="4"/>
        <v>0</v>
      </c>
      <c r="I157" s="439">
        <f>IF(OR(ISBLANK(A157),ISNA(MATCH(A157&amp;"",AthleteNumbers,0))),0,MATCH(A157&amp;"",AthleteNumbers,0))</f>
        <v>0</v>
      </c>
      <c r="J157" s="209">
        <f t="array" ref="J157">IF(I157&gt;0,INDEX(DB,$I157,6),0)</f>
        <v>0</v>
      </c>
      <c r="K157" s="446">
        <f t="shared" si="5"/>
        <v>0</v>
      </c>
      <c r="L157" s="446">
        <f t="shared" si="6"/>
        <v>0</v>
      </c>
      <c r="M157" s="441">
        <f>IF(L157&lt;O157,MinPoints,IF(AND(L157&gt;N157,O157&gt;0),100,+INT(($L157-O157)/P157)+MinPoints))</f>
        <v>10</v>
      </c>
      <c r="N157" s="440">
        <f t="shared" si="7"/>
        <v>50</v>
      </c>
      <c r="O157" s="440">
        <f t="shared" si="8"/>
        <v>5</v>
      </c>
      <c r="P157" s="440">
        <f t="shared" si="9"/>
        <v>0.5</v>
      </c>
      <c r="Q157">
        <f t="array" ref="Q157">IF(I157&gt;0,INDEX(DB,I157,9),EventIndex)</f>
        <v>6</v>
      </c>
      <c r="S157" s="442">
        <f t="array" ref="S157">INDEX(MINVALUES,$Q157,$K$1)</f>
        <v>5</v>
      </c>
      <c r="T157">
        <f t="array" ref="T157">INDEX(INCVALUES,$Q157,$K$1)</f>
        <v>0.5</v>
      </c>
      <c r="V157">
        <f t="array" ref="V157">+J157+(4*(INDEX(MatchScoreTable,$Q157,20)-1))</f>
        <v>4</v>
      </c>
      <c r="W157" s="442">
        <f t="array" ref="W157">INDEX(INC_MINVALUES,$V157,$K$1)</f>
        <v>2.5</v>
      </c>
      <c r="X157" s="212">
        <f t="array" ref="X157">INDEX(INC_INCVALUES,$V157,$K$1)</f>
        <v>0.5</v>
      </c>
    </row>
    <row r="158" ht="15.75" customHeight="1">
      <c r="A158" s="435"/>
      <c r="B158" s="436"/>
      <c r="C158" s="95" t="str">
        <f t="array" ref="C158">IF(I158&gt;0,INDEX(DB,I158,8),"")</f>
        <v/>
      </c>
      <c r="D158" s="437">
        <f t="shared" si="1"/>
        <v>0</v>
      </c>
      <c r="F158" s="438">
        <f t="shared" si="2"/>
        <v>0</v>
      </c>
      <c r="G158" t="str">
        <f t="shared" si="3"/>
        <v/>
      </c>
      <c r="H158" t="b">
        <f t="shared" si="4"/>
        <v>0</v>
      </c>
      <c r="I158" s="439">
        <f>IF(OR(ISBLANK(A158),ISNA(MATCH(A158&amp;"",AthleteNumbers,0))),0,MATCH(A158&amp;"",AthleteNumbers,0))</f>
        <v>0</v>
      </c>
      <c r="J158" s="209">
        <f t="array" ref="J158">IF(I158&gt;0,INDEX(DB,$I158,6),0)</f>
        <v>0</v>
      </c>
      <c r="K158" s="446">
        <f t="shared" si="5"/>
        <v>0</v>
      </c>
      <c r="L158" s="446">
        <f t="shared" si="6"/>
        <v>0</v>
      </c>
      <c r="M158" s="441">
        <f>IF(L158&lt;O158,MinPoints,IF(AND(L158&gt;N158,O158&gt;0),100,+INT(($L158-O158)/P158)+MinPoints))</f>
        <v>10</v>
      </c>
      <c r="N158" s="440">
        <f t="shared" si="7"/>
        <v>50</v>
      </c>
      <c r="O158" s="440">
        <f t="shared" si="8"/>
        <v>5</v>
      </c>
      <c r="P158" s="440">
        <f t="shared" si="9"/>
        <v>0.5</v>
      </c>
      <c r="Q158">
        <f t="array" ref="Q158">IF(I158&gt;0,INDEX(DB,I158,9),EventIndex)</f>
        <v>6</v>
      </c>
      <c r="S158" s="442">
        <f t="array" ref="S158">INDEX(MINVALUES,$Q158,$K$1)</f>
        <v>5</v>
      </c>
      <c r="T158">
        <f t="array" ref="T158">INDEX(INCVALUES,$Q158,$K$1)</f>
        <v>0.5</v>
      </c>
      <c r="V158">
        <f t="array" ref="V158">+J158+(4*(INDEX(MatchScoreTable,$Q158,20)-1))</f>
        <v>4</v>
      </c>
      <c r="W158" s="442">
        <f t="array" ref="W158">INDEX(INC_MINVALUES,$V158,$K$1)</f>
        <v>2.5</v>
      </c>
      <c r="X158" s="212">
        <f t="array" ref="X158">INDEX(INC_INCVALUES,$V158,$K$1)</f>
        <v>0.5</v>
      </c>
    </row>
    <row r="159" ht="15.75" customHeight="1">
      <c r="A159" s="435"/>
      <c r="B159" s="436"/>
      <c r="C159" s="95" t="str">
        <f t="array" ref="C159">IF(I159&gt;0,INDEX(DB,I159,8),"")</f>
        <v/>
      </c>
      <c r="D159" s="437">
        <f t="shared" si="1"/>
        <v>0</v>
      </c>
      <c r="F159" s="438">
        <f t="shared" si="2"/>
        <v>0</v>
      </c>
      <c r="G159" t="str">
        <f t="shared" si="3"/>
        <v/>
      </c>
      <c r="H159" t="b">
        <f t="shared" si="4"/>
        <v>0</v>
      </c>
      <c r="I159" s="439">
        <f>IF(OR(ISBLANK(A159),ISNA(MATCH(A159&amp;"",AthleteNumbers,0))),0,MATCH(A159&amp;"",AthleteNumbers,0))</f>
        <v>0</v>
      </c>
      <c r="J159" s="209">
        <f t="array" ref="J159">IF(I159&gt;0,INDEX(DB,$I159,6),0)</f>
        <v>0</v>
      </c>
      <c r="K159" s="446">
        <f t="shared" si="5"/>
        <v>0</v>
      </c>
      <c r="L159" s="446">
        <f t="shared" si="6"/>
        <v>0</v>
      </c>
      <c r="M159" s="441">
        <f>IF(L159&lt;O159,MinPoints,IF(AND(L159&gt;N159,O159&gt;0),100,+INT(($L159-O159)/P159)+MinPoints))</f>
        <v>10</v>
      </c>
      <c r="N159" s="440">
        <f t="shared" si="7"/>
        <v>50</v>
      </c>
      <c r="O159" s="440">
        <f t="shared" si="8"/>
        <v>5</v>
      </c>
      <c r="P159" s="440">
        <f t="shared" si="9"/>
        <v>0.5</v>
      </c>
      <c r="Q159">
        <f t="array" ref="Q159">IF(I159&gt;0,INDEX(DB,I159,9),EventIndex)</f>
        <v>6</v>
      </c>
      <c r="S159" s="442">
        <f t="array" ref="S159">INDEX(MINVALUES,$Q159,$K$1)</f>
        <v>5</v>
      </c>
      <c r="T159">
        <f t="array" ref="T159">INDEX(INCVALUES,$Q159,$K$1)</f>
        <v>0.5</v>
      </c>
      <c r="V159">
        <f t="array" ref="V159">+J159+(4*(INDEX(MatchScoreTable,$Q159,20)-1))</f>
        <v>4</v>
      </c>
      <c r="W159" s="442">
        <f t="array" ref="W159">INDEX(INC_MINVALUES,$V159,$K$1)</f>
        <v>2.5</v>
      </c>
      <c r="X159" s="212">
        <f t="array" ref="X159">INDEX(INC_INCVALUES,$V159,$K$1)</f>
        <v>0.5</v>
      </c>
    </row>
    <row r="160" ht="15.75" customHeight="1">
      <c r="A160" s="435"/>
      <c r="B160" s="436"/>
      <c r="C160" s="95" t="str">
        <f t="array" ref="C160">IF(I160&gt;0,INDEX(DB,I160,8),"")</f>
        <v/>
      </c>
      <c r="D160" s="437">
        <f t="shared" si="1"/>
        <v>0</v>
      </c>
      <c r="F160" s="438">
        <f t="shared" si="2"/>
        <v>0</v>
      </c>
      <c r="G160" t="str">
        <f t="shared" si="3"/>
        <v/>
      </c>
      <c r="H160" t="b">
        <f t="shared" si="4"/>
        <v>0</v>
      </c>
      <c r="I160" s="439">
        <f>IF(OR(ISBLANK(A160),ISNA(MATCH(A160&amp;"",AthleteNumbers,0))),0,MATCH(A160&amp;"",AthleteNumbers,0))</f>
        <v>0</v>
      </c>
      <c r="J160" s="209">
        <f t="array" ref="J160">IF(I160&gt;0,INDEX(DB,$I160,6),0)</f>
        <v>0</v>
      </c>
      <c r="K160" s="446">
        <f t="shared" si="5"/>
        <v>0</v>
      </c>
      <c r="L160" s="446">
        <f t="shared" si="6"/>
        <v>0</v>
      </c>
      <c r="M160" s="441">
        <f>IF(L160&lt;O160,MinPoints,IF(AND(L160&gt;N160,O160&gt;0),100,+INT(($L160-O160)/P160)+MinPoints))</f>
        <v>10</v>
      </c>
      <c r="N160" s="440">
        <f t="shared" si="7"/>
        <v>50</v>
      </c>
      <c r="O160" s="440">
        <f t="shared" si="8"/>
        <v>5</v>
      </c>
      <c r="P160" s="440">
        <f t="shared" si="9"/>
        <v>0.5</v>
      </c>
      <c r="Q160">
        <f t="array" ref="Q160">IF(I160&gt;0,INDEX(DB,I160,9),EventIndex)</f>
        <v>6</v>
      </c>
      <c r="S160" s="442">
        <f t="array" ref="S160">INDEX(MINVALUES,$Q160,$K$1)</f>
        <v>5</v>
      </c>
      <c r="T160">
        <f t="array" ref="T160">INDEX(INCVALUES,$Q160,$K$1)</f>
        <v>0.5</v>
      </c>
      <c r="V160">
        <f t="array" ref="V160">+J160+(4*(INDEX(MatchScoreTable,$Q160,20)-1))</f>
        <v>4</v>
      </c>
      <c r="W160" s="442">
        <f t="array" ref="W160">INDEX(INC_MINVALUES,$V160,$K$1)</f>
        <v>2.5</v>
      </c>
      <c r="X160" s="212">
        <f t="array" ref="X160">INDEX(INC_INCVALUES,$V160,$K$1)</f>
        <v>0.5</v>
      </c>
    </row>
    <row r="161" ht="15.75" customHeight="1">
      <c r="A161" s="435"/>
      <c r="B161" s="436"/>
      <c r="C161" s="95" t="str">
        <f t="array" ref="C161">IF(I161&gt;0,INDEX(DB,I161,8),"")</f>
        <v/>
      </c>
      <c r="D161" s="437">
        <f t="shared" si="1"/>
        <v>0</v>
      </c>
      <c r="F161" s="438">
        <f t="shared" si="2"/>
        <v>0</v>
      </c>
      <c r="G161" t="str">
        <f t="shared" si="3"/>
        <v/>
      </c>
      <c r="H161" t="b">
        <f t="shared" si="4"/>
        <v>0</v>
      </c>
      <c r="I161" s="439">
        <f>IF(OR(ISBLANK(A161),ISNA(MATCH(A161&amp;"",AthleteNumbers,0))),0,MATCH(A161&amp;"",AthleteNumbers,0))</f>
        <v>0</v>
      </c>
      <c r="J161" s="209">
        <f t="array" ref="J161">IF(I161&gt;0,INDEX(DB,$I161,6),0)</f>
        <v>0</v>
      </c>
      <c r="K161" s="446">
        <f t="shared" si="5"/>
        <v>0</v>
      </c>
      <c r="L161" s="446">
        <f t="shared" si="6"/>
        <v>0</v>
      </c>
      <c r="M161" s="441">
        <f>IF(L161&lt;O161,MinPoints,IF(AND(L161&gt;N161,O161&gt;0),100,+INT(($L161-O161)/P161)+MinPoints))</f>
        <v>10</v>
      </c>
      <c r="N161" s="440">
        <f t="shared" si="7"/>
        <v>50</v>
      </c>
      <c r="O161" s="440">
        <f t="shared" si="8"/>
        <v>5</v>
      </c>
      <c r="P161" s="440">
        <f t="shared" si="9"/>
        <v>0.5</v>
      </c>
      <c r="Q161">
        <f t="array" ref="Q161">IF(I161&gt;0,INDEX(DB,I161,9),EventIndex)</f>
        <v>6</v>
      </c>
      <c r="S161" s="442">
        <f t="array" ref="S161">INDEX(MINVALUES,$Q161,$K$1)</f>
        <v>5</v>
      </c>
      <c r="T161">
        <f t="array" ref="T161">INDEX(INCVALUES,$Q161,$K$1)</f>
        <v>0.5</v>
      </c>
      <c r="V161">
        <f t="array" ref="V161">+J161+(4*(INDEX(MatchScoreTable,$Q161,20)-1))</f>
        <v>4</v>
      </c>
      <c r="W161" s="442">
        <f t="array" ref="W161">INDEX(INC_MINVALUES,$V161,$K$1)</f>
        <v>2.5</v>
      </c>
      <c r="X161" s="212">
        <f t="array" ref="X161">INDEX(INC_INCVALUES,$V161,$K$1)</f>
        <v>0.5</v>
      </c>
    </row>
    <row r="162" ht="15.75" customHeight="1">
      <c r="A162" s="435"/>
      <c r="B162" s="436"/>
      <c r="C162" s="95" t="str">
        <f t="array" ref="C162">IF(I162&gt;0,INDEX(DB,I162,8),"")</f>
        <v/>
      </c>
      <c r="D162" s="437">
        <f t="shared" si="1"/>
        <v>0</v>
      </c>
      <c r="F162" s="438">
        <f t="shared" si="2"/>
        <v>0</v>
      </c>
      <c r="G162" t="str">
        <f t="shared" si="3"/>
        <v/>
      </c>
      <c r="H162" t="b">
        <f t="shared" si="4"/>
        <v>0</v>
      </c>
      <c r="I162" s="439">
        <f>IF(OR(ISBLANK(A162),ISNA(MATCH(A162&amp;"",AthleteNumbers,0))),0,MATCH(A162&amp;"",AthleteNumbers,0))</f>
        <v>0</v>
      </c>
      <c r="J162" s="209">
        <f t="array" ref="J162">IF(I162&gt;0,INDEX(DB,$I162,6),0)</f>
        <v>0</v>
      </c>
      <c r="K162" s="446">
        <f t="shared" si="5"/>
        <v>0</v>
      </c>
      <c r="L162" s="446">
        <f t="shared" si="6"/>
        <v>0</v>
      </c>
      <c r="M162" s="441">
        <f>IF(L162&lt;O162,MinPoints,IF(AND(L162&gt;N162,O162&gt;0),100,+INT(($L162-O162)/P162)+MinPoints))</f>
        <v>10</v>
      </c>
      <c r="N162" s="440">
        <f t="shared" si="7"/>
        <v>50</v>
      </c>
      <c r="O162" s="440">
        <f t="shared" si="8"/>
        <v>5</v>
      </c>
      <c r="P162" s="440">
        <f t="shared" si="9"/>
        <v>0.5</v>
      </c>
      <c r="Q162">
        <f t="array" ref="Q162">IF(I162&gt;0,INDEX(DB,I162,9),EventIndex)</f>
        <v>6</v>
      </c>
      <c r="S162" s="442">
        <f t="array" ref="S162">INDEX(MINVALUES,$Q162,$K$1)</f>
        <v>5</v>
      </c>
      <c r="T162">
        <f t="array" ref="T162">INDEX(INCVALUES,$Q162,$K$1)</f>
        <v>0.5</v>
      </c>
      <c r="V162">
        <f t="array" ref="V162">+J162+(4*(INDEX(MatchScoreTable,$Q162,20)-1))</f>
        <v>4</v>
      </c>
      <c r="W162" s="442">
        <f t="array" ref="W162">INDEX(INC_MINVALUES,$V162,$K$1)</f>
        <v>2.5</v>
      </c>
      <c r="X162" s="212">
        <f t="array" ref="X162">INDEX(INC_INCVALUES,$V162,$K$1)</f>
        <v>0.5</v>
      </c>
    </row>
    <row r="163" ht="15.75" customHeight="1">
      <c r="A163" s="435"/>
      <c r="B163" s="436"/>
      <c r="C163" s="95" t="str">
        <f t="array" ref="C163">IF(I163&gt;0,INDEX(DB,I163,8),"")</f>
        <v/>
      </c>
      <c r="D163" s="437">
        <f t="shared" si="1"/>
        <v>0</v>
      </c>
      <c r="F163" s="438">
        <f t="shared" si="2"/>
        <v>0</v>
      </c>
      <c r="G163" t="str">
        <f t="shared" si="3"/>
        <v/>
      </c>
      <c r="H163" t="b">
        <f t="shared" si="4"/>
        <v>0</v>
      </c>
      <c r="I163" s="439">
        <f>IF(OR(ISBLANK(A163),ISNA(MATCH(A163&amp;"",AthleteNumbers,0))),0,MATCH(A163&amp;"",AthleteNumbers,0))</f>
        <v>0</v>
      </c>
      <c r="J163" s="209">
        <f t="array" ref="J163">IF(I163&gt;0,INDEX(DB,$I163,6),0)</f>
        <v>0</v>
      </c>
      <c r="K163" s="446">
        <f t="shared" si="5"/>
        <v>0</v>
      </c>
      <c r="L163" s="446">
        <f t="shared" si="6"/>
        <v>0</v>
      </c>
      <c r="M163" s="441">
        <f>IF(L163&lt;O163,MinPoints,IF(AND(L163&gt;N163,O163&gt;0),100,+INT(($L163-O163)/P163)+MinPoints))</f>
        <v>10</v>
      </c>
      <c r="N163" s="440">
        <f t="shared" si="7"/>
        <v>50</v>
      </c>
      <c r="O163" s="440">
        <f t="shared" si="8"/>
        <v>5</v>
      </c>
      <c r="P163" s="440">
        <f t="shared" si="9"/>
        <v>0.5</v>
      </c>
      <c r="Q163">
        <f t="array" ref="Q163">IF(I163&gt;0,INDEX(DB,I163,9),EventIndex)</f>
        <v>6</v>
      </c>
      <c r="S163" s="442">
        <f t="array" ref="S163">INDEX(MINVALUES,$Q163,$K$1)</f>
        <v>5</v>
      </c>
      <c r="T163">
        <f t="array" ref="T163">INDEX(INCVALUES,$Q163,$K$1)</f>
        <v>0.5</v>
      </c>
      <c r="V163">
        <f t="array" ref="V163">+J163+(4*(INDEX(MatchScoreTable,$Q163,20)-1))</f>
        <v>4</v>
      </c>
      <c r="W163" s="442">
        <f t="array" ref="W163">INDEX(INC_MINVALUES,$V163,$K$1)</f>
        <v>2.5</v>
      </c>
      <c r="X163" s="212">
        <f t="array" ref="X163">INDEX(INC_INCVALUES,$V163,$K$1)</f>
        <v>0.5</v>
      </c>
    </row>
    <row r="164" ht="15.75" customHeight="1">
      <c r="A164" s="435"/>
      <c r="B164" s="436"/>
      <c r="C164" s="95" t="str">
        <f t="array" ref="C164">IF(I164&gt;0,INDEX(DB,I164,8),"")</f>
        <v/>
      </c>
      <c r="D164" s="437">
        <f t="shared" si="1"/>
        <v>0</v>
      </c>
      <c r="F164" s="438">
        <f t="shared" si="2"/>
        <v>0</v>
      </c>
      <c r="G164" t="str">
        <f t="shared" si="3"/>
        <v/>
      </c>
      <c r="H164" t="b">
        <f t="shared" si="4"/>
        <v>0</v>
      </c>
      <c r="I164" s="439">
        <f>IF(OR(ISBLANK(A164),ISNA(MATCH(A164&amp;"",AthleteNumbers,0))),0,MATCH(A164&amp;"",AthleteNumbers,0))</f>
        <v>0</v>
      </c>
      <c r="J164" s="209">
        <f t="array" ref="J164">IF(I164&gt;0,INDEX(DB,$I164,6),0)</f>
        <v>0</v>
      </c>
      <c r="K164" s="446">
        <f t="shared" si="5"/>
        <v>0</v>
      </c>
      <c r="L164" s="446">
        <f t="shared" si="6"/>
        <v>0</v>
      </c>
      <c r="M164" s="441">
        <f>IF(L164&lt;O164,MinPoints,IF(AND(L164&gt;N164,O164&gt;0),100,+INT(($L164-O164)/P164)+MinPoints))</f>
        <v>10</v>
      </c>
      <c r="N164" s="440">
        <f t="shared" si="7"/>
        <v>50</v>
      </c>
      <c r="O164" s="440">
        <f t="shared" si="8"/>
        <v>5</v>
      </c>
      <c r="P164" s="440">
        <f t="shared" si="9"/>
        <v>0.5</v>
      </c>
      <c r="Q164">
        <f t="array" ref="Q164">IF(I164&gt;0,INDEX(DB,I164,9),EventIndex)</f>
        <v>6</v>
      </c>
      <c r="S164" s="442">
        <f t="array" ref="S164">INDEX(MINVALUES,$Q164,$K$1)</f>
        <v>5</v>
      </c>
      <c r="T164">
        <f t="array" ref="T164">INDEX(INCVALUES,$Q164,$K$1)</f>
        <v>0.5</v>
      </c>
      <c r="V164">
        <f t="array" ref="V164">+J164+(4*(INDEX(MatchScoreTable,$Q164,20)-1))</f>
        <v>4</v>
      </c>
      <c r="W164" s="442">
        <f t="array" ref="W164">INDEX(INC_MINVALUES,$V164,$K$1)</f>
        <v>2.5</v>
      </c>
      <c r="X164" s="212">
        <f t="array" ref="X164">INDEX(INC_INCVALUES,$V164,$K$1)</f>
        <v>0.5</v>
      </c>
    </row>
    <row r="165" ht="15.75" customHeight="1">
      <c r="A165" s="435"/>
      <c r="B165" s="436"/>
      <c r="C165" s="95" t="str">
        <f t="array" ref="C165">IF(I165&gt;0,INDEX(DB,I165,8),"")</f>
        <v/>
      </c>
      <c r="D165" s="437">
        <f t="shared" si="1"/>
        <v>0</v>
      </c>
      <c r="F165" s="438">
        <f t="shared" si="2"/>
        <v>0</v>
      </c>
      <c r="G165" t="str">
        <f t="shared" si="3"/>
        <v/>
      </c>
      <c r="H165" t="b">
        <f t="shared" si="4"/>
        <v>0</v>
      </c>
      <c r="I165" s="439">
        <f>IF(OR(ISBLANK(A165),ISNA(MATCH(A165&amp;"",AthleteNumbers,0))),0,MATCH(A165&amp;"",AthleteNumbers,0))</f>
        <v>0</v>
      </c>
      <c r="J165" s="209">
        <f t="array" ref="J165">IF(I165&gt;0,INDEX(DB,$I165,6),0)</f>
        <v>0</v>
      </c>
      <c r="K165" s="446">
        <f t="shared" si="5"/>
        <v>0</v>
      </c>
      <c r="L165" s="446">
        <f t="shared" si="6"/>
        <v>0</v>
      </c>
      <c r="M165" s="441">
        <f>IF(L165&lt;O165,MinPoints,IF(AND(L165&gt;N165,O165&gt;0),100,+INT(($L165-O165)/P165)+MinPoints))</f>
        <v>10</v>
      </c>
      <c r="N165" s="440">
        <f t="shared" si="7"/>
        <v>50</v>
      </c>
      <c r="O165" s="440">
        <f t="shared" si="8"/>
        <v>5</v>
      </c>
      <c r="P165" s="440">
        <f t="shared" si="9"/>
        <v>0.5</v>
      </c>
      <c r="Q165">
        <f t="array" ref="Q165">IF(I165&gt;0,INDEX(DB,I165,9),EventIndex)</f>
        <v>6</v>
      </c>
      <c r="S165" s="442">
        <f t="array" ref="S165">INDEX(MINVALUES,$Q165,$K$1)</f>
        <v>5</v>
      </c>
      <c r="T165">
        <f t="array" ref="T165">INDEX(INCVALUES,$Q165,$K$1)</f>
        <v>0.5</v>
      </c>
      <c r="V165">
        <f t="array" ref="V165">+J165+(4*(INDEX(MatchScoreTable,$Q165,20)-1))</f>
        <v>4</v>
      </c>
      <c r="W165" s="442">
        <f t="array" ref="W165">INDEX(INC_MINVALUES,$V165,$K$1)</f>
        <v>2.5</v>
      </c>
      <c r="X165" s="212">
        <f t="array" ref="X165">INDEX(INC_INCVALUES,$V165,$K$1)</f>
        <v>0.5</v>
      </c>
    </row>
    <row r="166" ht="15.75" customHeight="1">
      <c r="A166" s="435"/>
      <c r="B166" s="436"/>
      <c r="C166" s="95" t="str">
        <f t="array" ref="C166">IF(I166&gt;0,INDEX(DB,I166,8),"")</f>
        <v/>
      </c>
      <c r="D166" s="437">
        <f t="shared" si="1"/>
        <v>0</v>
      </c>
      <c r="F166" s="438">
        <f t="shared" si="2"/>
        <v>0</v>
      </c>
      <c r="G166" t="str">
        <f t="shared" si="3"/>
        <v/>
      </c>
      <c r="H166" t="b">
        <f t="shared" si="4"/>
        <v>0</v>
      </c>
      <c r="I166" s="439">
        <f>IF(OR(ISBLANK(A166),ISNA(MATCH(A166&amp;"",AthleteNumbers,0))),0,MATCH(A166&amp;"",AthleteNumbers,0))</f>
        <v>0</v>
      </c>
      <c r="J166" s="209">
        <f t="array" ref="J166">IF(I166&gt;0,INDEX(DB,$I166,6),0)</f>
        <v>0</v>
      </c>
      <c r="K166" s="446">
        <f t="shared" si="5"/>
        <v>0</v>
      </c>
      <c r="L166" s="446">
        <f t="shared" si="6"/>
        <v>0</v>
      </c>
      <c r="M166" s="441">
        <f>IF(L166&lt;O166,MinPoints,IF(AND(L166&gt;N166,O166&gt;0),100,+INT(($L166-O166)/P166)+MinPoints))</f>
        <v>10</v>
      </c>
      <c r="N166" s="440">
        <f t="shared" si="7"/>
        <v>50</v>
      </c>
      <c r="O166" s="440">
        <f t="shared" si="8"/>
        <v>5</v>
      </c>
      <c r="P166" s="440">
        <f t="shared" si="9"/>
        <v>0.5</v>
      </c>
      <c r="Q166">
        <f t="array" ref="Q166">IF(I166&gt;0,INDEX(DB,I166,9),EventIndex)</f>
        <v>6</v>
      </c>
      <c r="S166" s="442">
        <f t="array" ref="S166">INDEX(MINVALUES,$Q166,$K$1)</f>
        <v>5</v>
      </c>
      <c r="T166">
        <f t="array" ref="T166">INDEX(INCVALUES,$Q166,$K$1)</f>
        <v>0.5</v>
      </c>
      <c r="V166">
        <f t="array" ref="V166">+J166+(4*(INDEX(MatchScoreTable,$Q166,20)-1))</f>
        <v>4</v>
      </c>
      <c r="W166" s="442">
        <f t="array" ref="W166">INDEX(INC_MINVALUES,$V166,$K$1)</f>
        <v>2.5</v>
      </c>
      <c r="X166" s="212">
        <f t="array" ref="X166">INDEX(INC_INCVALUES,$V166,$K$1)</f>
        <v>0.5</v>
      </c>
    </row>
    <row r="167" ht="15.75" customHeight="1">
      <c r="A167" s="435"/>
      <c r="B167" s="436"/>
      <c r="C167" s="95" t="str">
        <f t="array" ref="C167">IF(I167&gt;0,INDEX(DB,I167,8),"")</f>
        <v/>
      </c>
      <c r="D167" s="437">
        <f t="shared" si="1"/>
        <v>0</v>
      </c>
      <c r="F167" s="438">
        <f t="shared" si="2"/>
        <v>0</v>
      </c>
      <c r="G167" t="str">
        <f t="shared" si="3"/>
        <v/>
      </c>
      <c r="H167" t="b">
        <f t="shared" si="4"/>
        <v>0</v>
      </c>
      <c r="I167" s="439">
        <f>IF(OR(ISBLANK(A167),ISNA(MATCH(A167&amp;"",AthleteNumbers,0))),0,MATCH(A167&amp;"",AthleteNumbers,0))</f>
        <v>0</v>
      </c>
      <c r="J167" s="209">
        <f t="array" ref="J167">IF(I167&gt;0,INDEX(DB,$I167,6),0)</f>
        <v>0</v>
      </c>
      <c r="K167" s="446">
        <f t="shared" si="5"/>
        <v>0</v>
      </c>
      <c r="L167" s="446">
        <f t="shared" si="6"/>
        <v>0</v>
      </c>
      <c r="M167" s="441">
        <f>IF(L167&lt;O167,MinPoints,IF(AND(L167&gt;N167,O167&gt;0),100,+INT(($L167-O167)/P167)+MinPoints))</f>
        <v>10</v>
      </c>
      <c r="N167" s="440">
        <f t="shared" si="7"/>
        <v>50</v>
      </c>
      <c r="O167" s="440">
        <f t="shared" si="8"/>
        <v>5</v>
      </c>
      <c r="P167" s="440">
        <f t="shared" si="9"/>
        <v>0.5</v>
      </c>
      <c r="Q167">
        <f t="array" ref="Q167">IF(I167&gt;0,INDEX(DB,I167,9),EventIndex)</f>
        <v>6</v>
      </c>
      <c r="S167" s="442">
        <f t="array" ref="S167">INDEX(MINVALUES,$Q167,$K$1)</f>
        <v>5</v>
      </c>
      <c r="T167">
        <f t="array" ref="T167">INDEX(INCVALUES,$Q167,$K$1)</f>
        <v>0.5</v>
      </c>
      <c r="V167">
        <f t="array" ref="V167">+J167+(4*(INDEX(MatchScoreTable,$Q167,20)-1))</f>
        <v>4</v>
      </c>
      <c r="W167" s="442">
        <f t="array" ref="W167">INDEX(INC_MINVALUES,$V167,$K$1)</f>
        <v>2.5</v>
      </c>
      <c r="X167" s="212">
        <f t="array" ref="X167">INDEX(INC_INCVALUES,$V167,$K$1)</f>
        <v>0.5</v>
      </c>
    </row>
    <row r="168" ht="15.75" customHeight="1">
      <c r="A168" s="435"/>
      <c r="B168" s="436"/>
      <c r="C168" s="95" t="str">
        <f t="array" ref="C168">IF(I168&gt;0,INDEX(DB,I168,8),"")</f>
        <v/>
      </c>
      <c r="D168" s="437">
        <f t="shared" si="1"/>
        <v>0</v>
      </c>
      <c r="F168" s="438">
        <f t="shared" si="2"/>
        <v>0</v>
      </c>
      <c r="G168" t="str">
        <f t="shared" si="3"/>
        <v/>
      </c>
      <c r="H168" t="b">
        <f t="shared" si="4"/>
        <v>0</v>
      </c>
      <c r="I168" s="439">
        <f>IF(OR(ISBLANK(A168),ISNA(MATCH(A168&amp;"",AthleteNumbers,0))),0,MATCH(A168&amp;"",AthleteNumbers,0))</f>
        <v>0</v>
      </c>
      <c r="J168" s="209">
        <f t="array" ref="J168">IF(I168&gt;0,INDEX(DB,$I168,6),0)</f>
        <v>0</v>
      </c>
      <c r="K168" s="446">
        <f t="shared" si="5"/>
        <v>0</v>
      </c>
      <c r="L168" s="446">
        <f t="shared" si="6"/>
        <v>0</v>
      </c>
      <c r="M168" s="441">
        <f>IF(L168&lt;O168,MinPoints,IF(AND(L168&gt;N168,O168&gt;0),100,+INT(($L168-O168)/P168)+MinPoints))</f>
        <v>10</v>
      </c>
      <c r="N168" s="440">
        <f t="shared" si="7"/>
        <v>50</v>
      </c>
      <c r="O168" s="440">
        <f t="shared" si="8"/>
        <v>5</v>
      </c>
      <c r="P168" s="440">
        <f t="shared" si="9"/>
        <v>0.5</v>
      </c>
      <c r="Q168">
        <f t="array" ref="Q168">IF(I168&gt;0,INDEX(DB,I168,9),EventIndex)</f>
        <v>6</v>
      </c>
      <c r="S168" s="442">
        <f t="array" ref="S168">INDEX(MINVALUES,$Q168,$K$1)</f>
        <v>5</v>
      </c>
      <c r="T168">
        <f t="array" ref="T168">INDEX(INCVALUES,$Q168,$K$1)</f>
        <v>0.5</v>
      </c>
      <c r="V168">
        <f t="array" ref="V168">+J168+(4*(INDEX(MatchScoreTable,$Q168,20)-1))</f>
        <v>4</v>
      </c>
      <c r="W168" s="442">
        <f t="array" ref="W168">INDEX(INC_MINVALUES,$V168,$K$1)</f>
        <v>2.5</v>
      </c>
      <c r="X168" s="212">
        <f t="array" ref="X168">INDEX(INC_INCVALUES,$V168,$K$1)</f>
        <v>0.5</v>
      </c>
    </row>
    <row r="169" ht="15.75" customHeight="1">
      <c r="A169" s="435"/>
      <c r="B169" s="436"/>
      <c r="C169" s="95" t="str">
        <f t="array" ref="C169">IF(I169&gt;0,INDEX(DB,I169,8),"")</f>
        <v/>
      </c>
      <c r="D169" s="437">
        <f t="shared" si="1"/>
        <v>0</v>
      </c>
      <c r="F169" s="438">
        <f t="shared" si="2"/>
        <v>0</v>
      </c>
      <c r="G169" t="str">
        <f t="shared" si="3"/>
        <v/>
      </c>
      <c r="H169" t="b">
        <f t="shared" si="4"/>
        <v>0</v>
      </c>
      <c r="I169" s="439">
        <f>IF(OR(ISBLANK(A169),ISNA(MATCH(A169&amp;"",AthleteNumbers,0))),0,MATCH(A169&amp;"",AthleteNumbers,0))</f>
        <v>0</v>
      </c>
      <c r="J169" s="209">
        <f t="array" ref="J169">IF(I169&gt;0,INDEX(DB,$I169,6),0)</f>
        <v>0</v>
      </c>
      <c r="K169" s="446">
        <f t="shared" si="5"/>
        <v>0</v>
      </c>
      <c r="L169" s="446">
        <f t="shared" si="6"/>
        <v>0</v>
      </c>
      <c r="M169" s="441">
        <f>IF(L169&lt;O169,MinPoints,IF(AND(L169&gt;N169,O169&gt;0),100,+INT(($L169-O169)/P169)+MinPoints))</f>
        <v>10</v>
      </c>
      <c r="N169" s="440">
        <f t="shared" si="7"/>
        <v>50</v>
      </c>
      <c r="O169" s="440">
        <f t="shared" si="8"/>
        <v>5</v>
      </c>
      <c r="P169" s="440">
        <f t="shared" si="9"/>
        <v>0.5</v>
      </c>
      <c r="Q169">
        <f t="array" ref="Q169">IF(I169&gt;0,INDEX(DB,I169,9),EventIndex)</f>
        <v>6</v>
      </c>
      <c r="S169" s="442">
        <f t="array" ref="S169">INDEX(MINVALUES,$Q169,$K$1)</f>
        <v>5</v>
      </c>
      <c r="T169">
        <f t="array" ref="T169">INDEX(INCVALUES,$Q169,$K$1)</f>
        <v>0.5</v>
      </c>
      <c r="V169">
        <f t="array" ref="V169">+J169+(4*(INDEX(MatchScoreTable,$Q169,20)-1))</f>
        <v>4</v>
      </c>
      <c r="W169" s="442">
        <f t="array" ref="W169">INDEX(INC_MINVALUES,$V169,$K$1)</f>
        <v>2.5</v>
      </c>
      <c r="X169" s="212">
        <f t="array" ref="X169">INDEX(INC_INCVALUES,$V169,$K$1)</f>
        <v>0.5</v>
      </c>
    </row>
    <row r="170" ht="15.75" customHeight="1">
      <c r="A170" s="435"/>
      <c r="B170" s="436"/>
      <c r="C170" s="95" t="str">
        <f t="array" ref="C170">IF(I170&gt;0,INDEX(DB,I170,8),"")</f>
        <v/>
      </c>
      <c r="D170" s="437">
        <f t="shared" si="1"/>
        <v>0</v>
      </c>
      <c r="F170" s="438">
        <f t="shared" si="2"/>
        <v>0</v>
      </c>
      <c r="G170" t="str">
        <f t="shared" si="3"/>
        <v/>
      </c>
      <c r="H170" t="b">
        <f t="shared" si="4"/>
        <v>0</v>
      </c>
      <c r="I170" s="439">
        <f>IF(OR(ISBLANK(A170),ISNA(MATCH(A170&amp;"",AthleteNumbers,0))),0,MATCH(A170&amp;"",AthleteNumbers,0))</f>
        <v>0</v>
      </c>
      <c r="J170" s="209">
        <f t="array" ref="J170">IF(I170&gt;0,INDEX(DB,$I170,6),0)</f>
        <v>0</v>
      </c>
      <c r="K170" s="446">
        <f t="shared" si="5"/>
        <v>0</v>
      </c>
      <c r="L170" s="446">
        <f t="shared" si="6"/>
        <v>0</v>
      </c>
      <c r="M170" s="441">
        <f>IF(L170&lt;O170,MinPoints,IF(AND(L170&gt;N170,O170&gt;0),100,+INT(($L170-O170)/P170)+MinPoints))</f>
        <v>10</v>
      </c>
      <c r="N170" s="440">
        <f t="shared" si="7"/>
        <v>50</v>
      </c>
      <c r="O170" s="440">
        <f t="shared" si="8"/>
        <v>5</v>
      </c>
      <c r="P170" s="440">
        <f t="shared" si="9"/>
        <v>0.5</v>
      </c>
      <c r="Q170">
        <f t="array" ref="Q170">IF(I170&gt;0,INDEX(DB,I170,9),EventIndex)</f>
        <v>6</v>
      </c>
      <c r="S170" s="442">
        <f t="array" ref="S170">INDEX(MINVALUES,$Q170,$K$1)</f>
        <v>5</v>
      </c>
      <c r="T170">
        <f t="array" ref="T170">INDEX(INCVALUES,$Q170,$K$1)</f>
        <v>0.5</v>
      </c>
      <c r="V170">
        <f t="array" ref="V170">+J170+(4*(INDEX(MatchScoreTable,$Q170,20)-1))</f>
        <v>4</v>
      </c>
      <c r="W170" s="442">
        <f t="array" ref="W170">INDEX(INC_MINVALUES,$V170,$K$1)</f>
        <v>2.5</v>
      </c>
      <c r="X170" s="212">
        <f t="array" ref="X170">INDEX(INC_INCVALUES,$V170,$K$1)</f>
        <v>0.5</v>
      </c>
    </row>
    <row r="171" ht="15.75" customHeight="1">
      <c r="A171" s="435"/>
      <c r="B171" s="436"/>
      <c r="C171" s="95" t="str">
        <f t="array" ref="C171">IF(I171&gt;0,INDEX(DB,I171,8),"")</f>
        <v/>
      </c>
      <c r="D171" s="437">
        <f t="shared" si="1"/>
        <v>0</v>
      </c>
      <c r="F171" s="438">
        <f t="shared" si="2"/>
        <v>0</v>
      </c>
      <c r="G171" t="str">
        <f t="shared" si="3"/>
        <v/>
      </c>
      <c r="H171" t="b">
        <f t="shared" si="4"/>
        <v>0</v>
      </c>
      <c r="I171" s="439">
        <f>IF(OR(ISBLANK(A171),ISNA(MATCH(A171&amp;"",AthleteNumbers,0))),0,MATCH(A171&amp;"",AthleteNumbers,0))</f>
        <v>0</v>
      </c>
      <c r="J171" s="209">
        <f t="array" ref="J171">IF(I171&gt;0,INDEX(DB,$I171,6),0)</f>
        <v>0</v>
      </c>
      <c r="K171" s="446">
        <f t="shared" si="5"/>
        <v>0</v>
      </c>
      <c r="L171" s="446">
        <f t="shared" si="6"/>
        <v>0</v>
      </c>
      <c r="M171" s="441">
        <f>IF(L171&lt;O171,MinPoints,IF(AND(L171&gt;N171,O171&gt;0),100,+INT(($L171-O171)/P171)+MinPoints))</f>
        <v>10</v>
      </c>
      <c r="N171" s="440">
        <f t="shared" si="7"/>
        <v>50</v>
      </c>
      <c r="O171" s="440">
        <f t="shared" si="8"/>
        <v>5</v>
      </c>
      <c r="P171" s="440">
        <f t="shared" si="9"/>
        <v>0.5</v>
      </c>
      <c r="Q171">
        <f t="array" ref="Q171">IF(I171&gt;0,INDEX(DB,I171,9),EventIndex)</f>
        <v>6</v>
      </c>
      <c r="S171" s="442">
        <f t="array" ref="S171">INDEX(MINVALUES,$Q171,$K$1)</f>
        <v>5</v>
      </c>
      <c r="T171">
        <f t="array" ref="T171">INDEX(INCVALUES,$Q171,$K$1)</f>
        <v>0.5</v>
      </c>
      <c r="V171">
        <f t="array" ref="V171">+J171+(4*(INDEX(MatchScoreTable,$Q171,20)-1))</f>
        <v>4</v>
      </c>
      <c r="W171" s="442">
        <f t="array" ref="W171">INDEX(INC_MINVALUES,$V171,$K$1)</f>
        <v>2.5</v>
      </c>
      <c r="X171" s="212">
        <f t="array" ref="X171">INDEX(INC_INCVALUES,$V171,$K$1)</f>
        <v>0.5</v>
      </c>
    </row>
    <row r="172" ht="15.75" customHeight="1">
      <c r="A172" s="435"/>
      <c r="B172" s="436"/>
      <c r="C172" s="95" t="str">
        <f t="array" ref="C172">IF(I172&gt;0,INDEX(DB,I172,8),"")</f>
        <v/>
      </c>
      <c r="D172" s="437">
        <f t="shared" si="1"/>
        <v>0</v>
      </c>
      <c r="F172" s="438">
        <f t="shared" si="2"/>
        <v>0</v>
      </c>
      <c r="G172" t="str">
        <f t="shared" si="3"/>
        <v/>
      </c>
      <c r="H172" t="b">
        <f t="shared" si="4"/>
        <v>0</v>
      </c>
      <c r="I172" s="439">
        <f>IF(OR(ISBLANK(A172),ISNA(MATCH(A172&amp;"",AthleteNumbers,0))),0,MATCH(A172&amp;"",AthleteNumbers,0))</f>
        <v>0</v>
      </c>
      <c r="J172" s="209">
        <f t="array" ref="J172">IF(I172&gt;0,INDEX(DB,$I172,6),0)</f>
        <v>0</v>
      </c>
      <c r="K172" s="446">
        <f t="shared" si="5"/>
        <v>0</v>
      </c>
      <c r="L172" s="446">
        <f t="shared" si="6"/>
        <v>0</v>
      </c>
      <c r="M172" s="441">
        <f>IF(L172&lt;O172,MinPoints,IF(AND(L172&gt;N172,O172&gt;0),100,+INT(($L172-O172)/P172)+MinPoints))</f>
        <v>10</v>
      </c>
      <c r="N172" s="440">
        <f t="shared" si="7"/>
        <v>50</v>
      </c>
      <c r="O172" s="440">
        <f t="shared" si="8"/>
        <v>5</v>
      </c>
      <c r="P172" s="440">
        <f t="shared" si="9"/>
        <v>0.5</v>
      </c>
      <c r="Q172">
        <f t="array" ref="Q172">IF(I172&gt;0,INDEX(DB,I172,9),EventIndex)</f>
        <v>6</v>
      </c>
      <c r="S172" s="442">
        <f t="array" ref="S172">INDEX(MINVALUES,$Q172,$K$1)</f>
        <v>5</v>
      </c>
      <c r="T172">
        <f t="array" ref="T172">INDEX(INCVALUES,$Q172,$K$1)</f>
        <v>0.5</v>
      </c>
      <c r="V172">
        <f t="array" ref="V172">+J172+(4*(INDEX(MatchScoreTable,$Q172,20)-1))</f>
        <v>4</v>
      </c>
      <c r="W172" s="442">
        <f t="array" ref="W172">INDEX(INC_MINVALUES,$V172,$K$1)</f>
        <v>2.5</v>
      </c>
      <c r="X172" s="212">
        <f t="array" ref="X172">INDEX(INC_INCVALUES,$V172,$K$1)</f>
        <v>0.5</v>
      </c>
    </row>
    <row r="173" ht="15.75" customHeight="1">
      <c r="A173" s="435"/>
      <c r="B173" s="436"/>
      <c r="C173" s="95" t="str">
        <f t="array" ref="C173">IF(I173&gt;0,INDEX(DB,I173,8),"")</f>
        <v/>
      </c>
      <c r="D173" s="437">
        <f t="shared" si="1"/>
        <v>0</v>
      </c>
      <c r="F173" s="438">
        <f t="shared" si="2"/>
        <v>0</v>
      </c>
      <c r="G173" t="str">
        <f t="shared" si="3"/>
        <v/>
      </c>
      <c r="H173" t="b">
        <f t="shared" si="4"/>
        <v>0</v>
      </c>
      <c r="I173" s="439">
        <f>IF(OR(ISBLANK(A173),ISNA(MATCH(A173&amp;"",AthleteNumbers,0))),0,MATCH(A173&amp;"",AthleteNumbers,0))</f>
        <v>0</v>
      </c>
      <c r="J173" s="209">
        <f t="array" ref="J173">IF(I173&gt;0,INDEX(DB,$I173,6),0)</f>
        <v>0</v>
      </c>
      <c r="K173" s="446">
        <f t="shared" si="5"/>
        <v>0</v>
      </c>
      <c r="L173" s="446">
        <f t="shared" si="6"/>
        <v>0</v>
      </c>
      <c r="M173" s="441">
        <f>IF(L173&lt;O173,MinPoints,IF(AND(L173&gt;N173,O173&gt;0),100,+INT(($L173-O173)/P173)+MinPoints))</f>
        <v>10</v>
      </c>
      <c r="N173" s="440">
        <f t="shared" si="7"/>
        <v>50</v>
      </c>
      <c r="O173" s="440">
        <f t="shared" si="8"/>
        <v>5</v>
      </c>
      <c r="P173" s="440">
        <f t="shared" si="9"/>
        <v>0.5</v>
      </c>
      <c r="Q173">
        <f t="array" ref="Q173">IF(I173&gt;0,INDEX(DB,I173,9),EventIndex)</f>
        <v>6</v>
      </c>
      <c r="S173" s="442">
        <f t="array" ref="S173">INDEX(MINVALUES,$Q173,$K$1)</f>
        <v>5</v>
      </c>
      <c r="T173">
        <f t="array" ref="T173">INDEX(INCVALUES,$Q173,$K$1)</f>
        <v>0.5</v>
      </c>
      <c r="V173">
        <f t="array" ref="V173">+J173+(4*(INDEX(MatchScoreTable,$Q173,20)-1))</f>
        <v>4</v>
      </c>
      <c r="W173" s="442">
        <f t="array" ref="W173">INDEX(INC_MINVALUES,$V173,$K$1)</f>
        <v>2.5</v>
      </c>
      <c r="X173" s="212">
        <f t="array" ref="X173">INDEX(INC_INCVALUES,$V173,$K$1)</f>
        <v>0.5</v>
      </c>
    </row>
    <row r="174" ht="15.75" customHeight="1">
      <c r="A174" s="435"/>
      <c r="B174" s="436"/>
      <c r="C174" s="95" t="str">
        <f t="array" ref="C174">IF(I174&gt;0,INDEX(DB,I174,8),"")</f>
        <v/>
      </c>
      <c r="D174" s="437">
        <f t="shared" si="1"/>
        <v>0</v>
      </c>
      <c r="F174" s="438">
        <f t="shared" si="2"/>
        <v>0</v>
      </c>
      <c r="G174" t="str">
        <f t="shared" si="3"/>
        <v/>
      </c>
      <c r="H174" t="b">
        <f t="shared" si="4"/>
        <v>0</v>
      </c>
      <c r="I174" s="439">
        <f>IF(OR(ISBLANK(A174),ISNA(MATCH(A174&amp;"",AthleteNumbers,0))),0,MATCH(A174&amp;"",AthleteNumbers,0))</f>
        <v>0</v>
      </c>
      <c r="J174" s="209">
        <f t="array" ref="J174">IF(I174&gt;0,INDEX(DB,$I174,6),0)</f>
        <v>0</v>
      </c>
      <c r="K174" s="446">
        <f t="shared" si="5"/>
        <v>0</v>
      </c>
      <c r="L174" s="446">
        <f t="shared" si="6"/>
        <v>0</v>
      </c>
      <c r="M174" s="441">
        <f>IF(L174&lt;O174,MinPoints,IF(AND(L174&gt;N174,O174&gt;0),100,+INT(($L174-O174)/P174)+MinPoints))</f>
        <v>10</v>
      </c>
      <c r="N174" s="440">
        <f t="shared" si="7"/>
        <v>50</v>
      </c>
      <c r="O174" s="440">
        <f t="shared" si="8"/>
        <v>5</v>
      </c>
      <c r="P174" s="440">
        <f t="shared" si="9"/>
        <v>0.5</v>
      </c>
      <c r="Q174">
        <f t="array" ref="Q174">IF(I174&gt;0,INDEX(DB,I174,9),EventIndex)</f>
        <v>6</v>
      </c>
      <c r="S174" s="442">
        <f t="array" ref="S174">INDEX(MINVALUES,$Q174,$K$1)</f>
        <v>5</v>
      </c>
      <c r="T174">
        <f t="array" ref="T174">INDEX(INCVALUES,$Q174,$K$1)</f>
        <v>0.5</v>
      </c>
      <c r="V174">
        <f t="array" ref="V174">+J174+(4*(INDEX(MatchScoreTable,$Q174,20)-1))</f>
        <v>4</v>
      </c>
      <c r="W174" s="442">
        <f t="array" ref="W174">INDEX(INC_MINVALUES,$V174,$K$1)</f>
        <v>2.5</v>
      </c>
      <c r="X174" s="212">
        <f t="array" ref="X174">INDEX(INC_INCVALUES,$V174,$K$1)</f>
        <v>0.5</v>
      </c>
    </row>
    <row r="175" ht="15.75" customHeight="1">
      <c r="A175" s="435"/>
      <c r="B175" s="436"/>
      <c r="C175" s="95" t="str">
        <f t="array" ref="C175">IF(I175&gt;0,INDEX(DB,I175,8),"")</f>
        <v/>
      </c>
      <c r="D175" s="437">
        <f t="shared" si="1"/>
        <v>0</v>
      </c>
      <c r="F175" s="438">
        <f t="shared" si="2"/>
        <v>0</v>
      </c>
      <c r="G175" t="str">
        <f t="shared" si="3"/>
        <v/>
      </c>
      <c r="H175" t="b">
        <f t="shared" si="4"/>
        <v>0</v>
      </c>
      <c r="I175" s="439">
        <f>IF(OR(ISBLANK(A175),ISNA(MATCH(A175&amp;"",AthleteNumbers,0))),0,MATCH(A175&amp;"",AthleteNumbers,0))</f>
        <v>0</v>
      </c>
      <c r="J175" s="209">
        <f t="array" ref="J175">IF(I175&gt;0,INDEX(DB,$I175,6),0)</f>
        <v>0</v>
      </c>
      <c r="K175" s="446">
        <f t="shared" si="5"/>
        <v>0</v>
      </c>
      <c r="L175" s="446">
        <f t="shared" si="6"/>
        <v>0</v>
      </c>
      <c r="M175" s="441">
        <f>IF(L175&lt;O175,MinPoints,IF(AND(L175&gt;N175,O175&gt;0),100,+INT(($L175-O175)/P175)+MinPoints))</f>
        <v>10</v>
      </c>
      <c r="N175" s="440">
        <f t="shared" si="7"/>
        <v>50</v>
      </c>
      <c r="O175" s="440">
        <f t="shared" si="8"/>
        <v>5</v>
      </c>
      <c r="P175" s="440">
        <f t="shared" si="9"/>
        <v>0.5</v>
      </c>
      <c r="Q175">
        <f t="array" ref="Q175">IF(I175&gt;0,INDEX(DB,I175,9),EventIndex)</f>
        <v>6</v>
      </c>
      <c r="S175" s="442">
        <f t="array" ref="S175">INDEX(MINVALUES,$Q175,$K$1)</f>
        <v>5</v>
      </c>
      <c r="T175">
        <f t="array" ref="T175">INDEX(INCVALUES,$Q175,$K$1)</f>
        <v>0.5</v>
      </c>
      <c r="V175">
        <f t="array" ref="V175">+J175+(4*(INDEX(MatchScoreTable,$Q175,20)-1))</f>
        <v>4</v>
      </c>
      <c r="W175" s="442">
        <f t="array" ref="W175">INDEX(INC_MINVALUES,$V175,$K$1)</f>
        <v>2.5</v>
      </c>
      <c r="X175" s="212">
        <f t="array" ref="X175">INDEX(INC_INCVALUES,$V175,$K$1)</f>
        <v>0.5</v>
      </c>
    </row>
    <row r="176" ht="15.75" customHeight="1">
      <c r="A176" s="435"/>
      <c r="B176" s="436"/>
      <c r="C176" s="95" t="str">
        <f t="array" ref="C176">IF(I176&gt;0,INDEX(DB,I176,8),"")</f>
        <v/>
      </c>
      <c r="D176" s="437">
        <f t="shared" si="1"/>
        <v>0</v>
      </c>
      <c r="F176" s="438">
        <f t="shared" si="2"/>
        <v>0</v>
      </c>
      <c r="G176" t="str">
        <f t="shared" si="3"/>
        <v/>
      </c>
      <c r="H176" t="b">
        <f t="shared" si="4"/>
        <v>0</v>
      </c>
      <c r="I176" s="439">
        <f>IF(OR(ISBLANK(A176),ISNA(MATCH(A176&amp;"",AthleteNumbers,0))),0,MATCH(A176&amp;"",AthleteNumbers,0))</f>
        <v>0</v>
      </c>
      <c r="J176" s="209">
        <f t="array" ref="J176">IF(I176&gt;0,INDEX(DB,$I176,6),0)</f>
        <v>0</v>
      </c>
      <c r="K176" s="446">
        <f t="shared" si="5"/>
        <v>0</v>
      </c>
      <c r="L176" s="446">
        <f t="shared" si="6"/>
        <v>0</v>
      </c>
      <c r="M176" s="441">
        <f>IF(L176&lt;O176,MinPoints,IF(AND(L176&gt;N176,O176&gt;0),100,+INT(($L176-O176)/P176)+MinPoints))</f>
        <v>10</v>
      </c>
      <c r="N176" s="440">
        <f t="shared" si="7"/>
        <v>50</v>
      </c>
      <c r="O176" s="440">
        <f t="shared" si="8"/>
        <v>5</v>
      </c>
      <c r="P176" s="440">
        <f t="shared" si="9"/>
        <v>0.5</v>
      </c>
      <c r="Q176">
        <f t="array" ref="Q176">IF(I176&gt;0,INDEX(DB,I176,9),EventIndex)</f>
        <v>6</v>
      </c>
      <c r="S176" s="442">
        <f t="array" ref="S176">INDEX(MINVALUES,$Q176,$K$1)</f>
        <v>5</v>
      </c>
      <c r="T176">
        <f t="array" ref="T176">INDEX(INCVALUES,$Q176,$K$1)</f>
        <v>0.5</v>
      </c>
      <c r="V176">
        <f t="array" ref="V176">+J176+(4*(INDEX(MatchScoreTable,$Q176,20)-1))</f>
        <v>4</v>
      </c>
      <c r="W176" s="442">
        <f t="array" ref="W176">INDEX(INC_MINVALUES,$V176,$K$1)</f>
        <v>2.5</v>
      </c>
      <c r="X176" s="212">
        <f t="array" ref="X176">INDEX(INC_INCVALUES,$V176,$K$1)</f>
        <v>0.5</v>
      </c>
    </row>
    <row r="177" ht="15.75" customHeight="1">
      <c r="A177" s="435"/>
      <c r="B177" s="436"/>
      <c r="C177" s="95" t="str">
        <f t="array" ref="C177">IF(I177&gt;0,INDEX(DB,I177,8),"")</f>
        <v/>
      </c>
      <c r="D177" s="437">
        <f t="shared" si="1"/>
        <v>0</v>
      </c>
      <c r="F177" s="438">
        <f t="shared" si="2"/>
        <v>0</v>
      </c>
      <c r="G177" t="str">
        <f t="shared" si="3"/>
        <v/>
      </c>
      <c r="H177" t="b">
        <f t="shared" si="4"/>
        <v>0</v>
      </c>
      <c r="I177" s="439">
        <f>IF(OR(ISBLANK(A177),ISNA(MATCH(A177&amp;"",AthleteNumbers,0))),0,MATCH(A177&amp;"",AthleteNumbers,0))</f>
        <v>0</v>
      </c>
      <c r="J177" s="209">
        <f t="array" ref="J177">IF(I177&gt;0,INDEX(DB,$I177,6),0)</f>
        <v>0</v>
      </c>
      <c r="K177" s="446">
        <f t="shared" si="5"/>
        <v>0</v>
      </c>
      <c r="L177" s="446">
        <f t="shared" si="6"/>
        <v>0</v>
      </c>
      <c r="M177" s="441">
        <f>IF(L177&lt;O177,MinPoints,IF(AND(L177&gt;N177,O177&gt;0),100,+INT(($L177-O177)/P177)+MinPoints))</f>
        <v>10</v>
      </c>
      <c r="N177" s="440">
        <f t="shared" si="7"/>
        <v>50</v>
      </c>
      <c r="O177" s="440">
        <f t="shared" si="8"/>
        <v>5</v>
      </c>
      <c r="P177" s="440">
        <f t="shared" si="9"/>
        <v>0.5</v>
      </c>
      <c r="Q177">
        <f t="array" ref="Q177">IF(I177&gt;0,INDEX(DB,I177,9),EventIndex)</f>
        <v>6</v>
      </c>
      <c r="S177" s="442">
        <f t="array" ref="S177">INDEX(MINVALUES,$Q177,$K$1)</f>
        <v>5</v>
      </c>
      <c r="T177">
        <f t="array" ref="T177">INDEX(INCVALUES,$Q177,$K$1)</f>
        <v>0.5</v>
      </c>
      <c r="V177">
        <f t="array" ref="V177">+J177+(4*(INDEX(MatchScoreTable,$Q177,20)-1))</f>
        <v>4</v>
      </c>
      <c r="W177" s="442">
        <f t="array" ref="W177">INDEX(INC_MINVALUES,$V177,$K$1)</f>
        <v>2.5</v>
      </c>
      <c r="X177" s="212">
        <f t="array" ref="X177">INDEX(INC_INCVALUES,$V177,$K$1)</f>
        <v>0.5</v>
      </c>
    </row>
    <row r="178" ht="15.75" customHeight="1">
      <c r="A178" s="435"/>
      <c r="B178" s="436"/>
      <c r="C178" s="95" t="str">
        <f t="array" ref="C178">IF(I178&gt;0,INDEX(DB,I178,8),"")</f>
        <v/>
      </c>
      <c r="D178" s="437">
        <f t="shared" si="1"/>
        <v>0</v>
      </c>
      <c r="F178" s="438">
        <f t="shared" si="2"/>
        <v>0</v>
      </c>
      <c r="G178" t="str">
        <f t="shared" si="3"/>
        <v/>
      </c>
      <c r="H178" t="b">
        <f t="shared" si="4"/>
        <v>0</v>
      </c>
      <c r="I178" s="439">
        <f>IF(OR(ISBLANK(A178),ISNA(MATCH(A178&amp;"",AthleteNumbers,0))),0,MATCH(A178&amp;"",AthleteNumbers,0))</f>
        <v>0</v>
      </c>
      <c r="J178" s="209">
        <f t="array" ref="J178">IF(I178&gt;0,INDEX(DB,$I178,6),0)</f>
        <v>0</v>
      </c>
      <c r="K178" s="446">
        <f t="shared" si="5"/>
        <v>0</v>
      </c>
      <c r="L178" s="446">
        <f t="shared" si="6"/>
        <v>0</v>
      </c>
      <c r="M178" s="441">
        <f>IF(L178&lt;O178,MinPoints,IF(AND(L178&gt;N178,O178&gt;0),100,+INT(($L178-O178)/P178)+MinPoints))</f>
        <v>10</v>
      </c>
      <c r="N178" s="440">
        <f t="shared" si="7"/>
        <v>50</v>
      </c>
      <c r="O178" s="440">
        <f t="shared" si="8"/>
        <v>5</v>
      </c>
      <c r="P178" s="440">
        <f t="shared" si="9"/>
        <v>0.5</v>
      </c>
      <c r="Q178">
        <f t="array" ref="Q178">IF(I178&gt;0,INDEX(DB,I178,9),EventIndex)</f>
        <v>6</v>
      </c>
      <c r="S178" s="442">
        <f t="array" ref="S178">INDEX(MINVALUES,$Q178,$K$1)</f>
        <v>5</v>
      </c>
      <c r="T178">
        <f t="array" ref="T178">INDEX(INCVALUES,$Q178,$K$1)</f>
        <v>0.5</v>
      </c>
      <c r="V178">
        <f t="array" ref="V178">+J178+(4*(INDEX(MatchScoreTable,$Q178,20)-1))</f>
        <v>4</v>
      </c>
      <c r="W178" s="442">
        <f t="array" ref="W178">INDEX(INC_MINVALUES,$V178,$K$1)</f>
        <v>2.5</v>
      </c>
      <c r="X178" s="212">
        <f t="array" ref="X178">INDEX(INC_INCVALUES,$V178,$K$1)</f>
        <v>0.5</v>
      </c>
    </row>
    <row r="179" ht="15.75" customHeight="1">
      <c r="A179" s="435"/>
      <c r="B179" s="436"/>
      <c r="C179" s="95" t="str">
        <f t="array" ref="C179">IF(I179&gt;0,INDEX(DB,I179,8),"")</f>
        <v/>
      </c>
      <c r="D179" s="437">
        <f t="shared" si="1"/>
        <v>0</v>
      </c>
      <c r="F179" s="438">
        <f t="shared" si="2"/>
        <v>0</v>
      </c>
      <c r="G179" t="str">
        <f t="shared" si="3"/>
        <v/>
      </c>
      <c r="H179" t="b">
        <f t="shared" si="4"/>
        <v>0</v>
      </c>
      <c r="I179" s="439">
        <f>IF(OR(ISBLANK(A179),ISNA(MATCH(A179&amp;"",AthleteNumbers,0))),0,MATCH(A179&amp;"",AthleteNumbers,0))</f>
        <v>0</v>
      </c>
      <c r="J179" s="209">
        <f t="array" ref="J179">IF(I179&gt;0,INDEX(DB,$I179,6),0)</f>
        <v>0</v>
      </c>
      <c r="K179" s="446">
        <f t="shared" si="5"/>
        <v>0</v>
      </c>
      <c r="L179" s="446">
        <f t="shared" si="6"/>
        <v>0</v>
      </c>
      <c r="M179" s="441">
        <f>IF(L179&lt;O179,MinPoints,IF(AND(L179&gt;N179,O179&gt;0),100,+INT(($L179-O179)/P179)+MinPoints))</f>
        <v>10</v>
      </c>
      <c r="N179" s="440">
        <f t="shared" si="7"/>
        <v>50</v>
      </c>
      <c r="O179" s="440">
        <f t="shared" si="8"/>
        <v>5</v>
      </c>
      <c r="P179" s="440">
        <f t="shared" si="9"/>
        <v>0.5</v>
      </c>
      <c r="Q179">
        <f t="array" ref="Q179">IF(I179&gt;0,INDEX(DB,I179,9),EventIndex)</f>
        <v>6</v>
      </c>
      <c r="S179" s="442">
        <f t="array" ref="S179">INDEX(MINVALUES,$Q179,$K$1)</f>
        <v>5</v>
      </c>
      <c r="T179">
        <f t="array" ref="T179">INDEX(INCVALUES,$Q179,$K$1)</f>
        <v>0.5</v>
      </c>
      <c r="V179">
        <f t="array" ref="V179">+J179+(4*(INDEX(MatchScoreTable,$Q179,20)-1))</f>
        <v>4</v>
      </c>
      <c r="W179" s="442">
        <f t="array" ref="W179">INDEX(INC_MINVALUES,$V179,$K$1)</f>
        <v>2.5</v>
      </c>
      <c r="X179" s="212">
        <f t="array" ref="X179">INDEX(INC_INCVALUES,$V179,$K$1)</f>
        <v>0.5</v>
      </c>
    </row>
    <row r="180" ht="15.75" customHeight="1">
      <c r="A180" s="435"/>
      <c r="B180" s="436"/>
      <c r="C180" s="95" t="str">
        <f t="array" ref="C180">IF(I180&gt;0,INDEX(DB,I180,8),"")</f>
        <v/>
      </c>
      <c r="D180" s="437">
        <f t="shared" si="1"/>
        <v>0</v>
      </c>
      <c r="F180" s="438">
        <f t="shared" si="2"/>
        <v>0</v>
      </c>
      <c r="G180" t="str">
        <f t="shared" si="3"/>
        <v/>
      </c>
      <c r="H180" t="b">
        <f t="shared" si="4"/>
        <v>0</v>
      </c>
      <c r="I180" s="439">
        <f>IF(OR(ISBLANK(A180),ISNA(MATCH(A180&amp;"",AthleteNumbers,0))),0,MATCH(A180&amp;"",AthleteNumbers,0))</f>
        <v>0</v>
      </c>
      <c r="J180" s="209">
        <f t="array" ref="J180">IF(I180&gt;0,INDEX(DB,$I180,6),0)</f>
        <v>0</v>
      </c>
      <c r="K180" s="446">
        <f t="shared" si="5"/>
        <v>0</v>
      </c>
      <c r="L180" s="446">
        <f t="shared" si="6"/>
        <v>0</v>
      </c>
      <c r="M180" s="441">
        <f>IF(L180&lt;O180,MinPoints,IF(AND(L180&gt;N180,O180&gt;0),100,+INT(($L180-O180)/P180)+MinPoints))</f>
        <v>10</v>
      </c>
      <c r="N180" s="440">
        <f t="shared" si="7"/>
        <v>50</v>
      </c>
      <c r="O180" s="440">
        <f t="shared" si="8"/>
        <v>5</v>
      </c>
      <c r="P180" s="440">
        <f t="shared" si="9"/>
        <v>0.5</v>
      </c>
      <c r="Q180">
        <f t="array" ref="Q180">IF(I180&gt;0,INDEX(DB,I180,9),EventIndex)</f>
        <v>6</v>
      </c>
      <c r="S180" s="442">
        <f t="array" ref="S180">INDEX(MINVALUES,$Q180,$K$1)</f>
        <v>5</v>
      </c>
      <c r="T180">
        <f t="array" ref="T180">INDEX(INCVALUES,$Q180,$K$1)</f>
        <v>0.5</v>
      </c>
      <c r="V180">
        <f t="array" ref="V180">+J180+(4*(INDEX(MatchScoreTable,$Q180,20)-1))</f>
        <v>4</v>
      </c>
      <c r="W180" s="442">
        <f t="array" ref="W180">INDEX(INC_MINVALUES,$V180,$K$1)</f>
        <v>2.5</v>
      </c>
      <c r="X180" s="212">
        <f t="array" ref="X180">INDEX(INC_INCVALUES,$V180,$K$1)</f>
        <v>0.5</v>
      </c>
    </row>
    <row r="181" ht="15.75" customHeight="1">
      <c r="A181" s="435"/>
      <c r="B181" s="436"/>
      <c r="C181" s="95" t="str">
        <f t="array" ref="C181">IF(I181&gt;0,INDEX(DB,I181,8),"")</f>
        <v/>
      </c>
      <c r="D181" s="437">
        <f t="shared" si="1"/>
        <v>0</v>
      </c>
      <c r="F181" s="438">
        <f t="shared" si="2"/>
        <v>0</v>
      </c>
      <c r="G181" t="str">
        <f t="shared" si="3"/>
        <v/>
      </c>
      <c r="H181" t="b">
        <f t="shared" si="4"/>
        <v>0</v>
      </c>
      <c r="I181" s="439">
        <f>IF(OR(ISBLANK(A181),ISNA(MATCH(A181&amp;"",AthleteNumbers,0))),0,MATCH(A181&amp;"",AthleteNumbers,0))</f>
        <v>0</v>
      </c>
      <c r="J181" s="209">
        <f t="array" ref="J181">IF(I181&gt;0,INDEX(DB,$I181,6),0)</f>
        <v>0</v>
      </c>
      <c r="K181" s="446">
        <f t="shared" si="5"/>
        <v>0</v>
      </c>
      <c r="L181" s="446">
        <f t="shared" si="6"/>
        <v>0</v>
      </c>
      <c r="M181" s="441">
        <f>IF(L181&lt;O181,MinPoints,IF(AND(L181&gt;N181,O181&gt;0),100,+INT(($L181-O181)/P181)+MinPoints))</f>
        <v>10</v>
      </c>
      <c r="N181" s="440">
        <f t="shared" si="7"/>
        <v>50</v>
      </c>
      <c r="O181" s="440">
        <f t="shared" si="8"/>
        <v>5</v>
      </c>
      <c r="P181" s="440">
        <f t="shared" si="9"/>
        <v>0.5</v>
      </c>
      <c r="Q181">
        <f t="array" ref="Q181">IF(I181&gt;0,INDEX(DB,I181,9),EventIndex)</f>
        <v>6</v>
      </c>
      <c r="S181" s="442">
        <f t="array" ref="S181">INDEX(MINVALUES,$Q181,$K$1)</f>
        <v>5</v>
      </c>
      <c r="T181">
        <f t="array" ref="T181">INDEX(INCVALUES,$Q181,$K$1)</f>
        <v>0.5</v>
      </c>
      <c r="V181">
        <f t="array" ref="V181">+J181+(4*(INDEX(MatchScoreTable,$Q181,20)-1))</f>
        <v>4</v>
      </c>
      <c r="W181" s="442">
        <f t="array" ref="W181">INDEX(INC_MINVALUES,$V181,$K$1)</f>
        <v>2.5</v>
      </c>
      <c r="X181" s="212">
        <f t="array" ref="X181">INDEX(INC_INCVALUES,$V181,$K$1)</f>
        <v>0.5</v>
      </c>
    </row>
    <row r="182" ht="15.75" customHeight="1">
      <c r="A182" s="435"/>
      <c r="B182" s="436"/>
      <c r="C182" s="95" t="str">
        <f t="array" ref="C182">IF(I182&gt;0,INDEX(DB,I182,8),"")</f>
        <v/>
      </c>
      <c r="D182" s="437">
        <f t="shared" si="1"/>
        <v>0</v>
      </c>
      <c r="F182" s="438">
        <f t="shared" si="2"/>
        <v>0</v>
      </c>
      <c r="G182" t="str">
        <f t="shared" si="3"/>
        <v/>
      </c>
      <c r="H182" t="b">
        <f t="shared" si="4"/>
        <v>0</v>
      </c>
      <c r="I182" s="439">
        <f>IF(OR(ISBLANK(A182),ISNA(MATCH(A182&amp;"",AthleteNumbers,0))),0,MATCH(A182&amp;"",AthleteNumbers,0))</f>
        <v>0</v>
      </c>
      <c r="J182" s="209">
        <f t="array" ref="J182">IF(I182&gt;0,INDEX(DB,$I182,6),0)</f>
        <v>0</v>
      </c>
      <c r="K182" s="446">
        <f t="shared" si="5"/>
        <v>0</v>
      </c>
      <c r="L182" s="446">
        <f t="shared" si="6"/>
        <v>0</v>
      </c>
      <c r="M182" s="441">
        <f>IF(L182&lt;O182,MinPoints,IF(AND(L182&gt;N182,O182&gt;0),100,+INT(($L182-O182)/P182)+MinPoints))</f>
        <v>10</v>
      </c>
      <c r="N182" s="440">
        <f t="shared" si="7"/>
        <v>50</v>
      </c>
      <c r="O182" s="440">
        <f t="shared" si="8"/>
        <v>5</v>
      </c>
      <c r="P182" s="440">
        <f t="shared" si="9"/>
        <v>0.5</v>
      </c>
      <c r="Q182">
        <f t="array" ref="Q182">IF(I182&gt;0,INDEX(DB,I182,9),EventIndex)</f>
        <v>6</v>
      </c>
      <c r="S182" s="442">
        <f t="array" ref="S182">INDEX(MINVALUES,$Q182,$K$1)</f>
        <v>5</v>
      </c>
      <c r="T182">
        <f t="array" ref="T182">INDEX(INCVALUES,$Q182,$K$1)</f>
        <v>0.5</v>
      </c>
      <c r="V182">
        <f t="array" ref="V182">+J182+(4*(INDEX(MatchScoreTable,$Q182,20)-1))</f>
        <v>4</v>
      </c>
      <c r="W182" s="442">
        <f t="array" ref="W182">INDEX(INC_MINVALUES,$V182,$K$1)</f>
        <v>2.5</v>
      </c>
      <c r="X182" s="212">
        <f t="array" ref="X182">INDEX(INC_INCVALUES,$V182,$K$1)</f>
        <v>0.5</v>
      </c>
    </row>
    <row r="183" ht="15.75" customHeight="1">
      <c r="A183" s="435"/>
      <c r="B183" s="436"/>
      <c r="C183" s="95" t="str">
        <f t="array" ref="C183">IF(I183&gt;0,INDEX(DB,I183,8),"")</f>
        <v/>
      </c>
      <c r="D183" s="437">
        <f t="shared" si="1"/>
        <v>0</v>
      </c>
      <c r="F183" s="438">
        <f t="shared" si="2"/>
        <v>0</v>
      </c>
      <c r="G183" t="str">
        <f t="shared" si="3"/>
        <v/>
      </c>
      <c r="H183" t="b">
        <f t="shared" si="4"/>
        <v>0</v>
      </c>
      <c r="I183" s="439">
        <f>IF(OR(ISBLANK(A183),ISNA(MATCH(A183&amp;"",AthleteNumbers,0))),0,MATCH(A183&amp;"",AthleteNumbers,0))</f>
        <v>0</v>
      </c>
      <c r="J183" s="209">
        <f t="array" ref="J183">IF(I183&gt;0,INDEX(DB,$I183,6),0)</f>
        <v>0</v>
      </c>
      <c r="K183" s="446">
        <f t="shared" si="5"/>
        <v>0</v>
      </c>
      <c r="L183" s="446">
        <f t="shared" si="6"/>
        <v>0</v>
      </c>
      <c r="M183" s="441">
        <f>IF(L183&lt;O183,MinPoints,IF(AND(L183&gt;N183,O183&gt;0),100,+INT(($L183-O183)/P183)+MinPoints))</f>
        <v>10</v>
      </c>
      <c r="N183" s="440">
        <f t="shared" si="7"/>
        <v>50</v>
      </c>
      <c r="O183" s="440">
        <f t="shared" si="8"/>
        <v>5</v>
      </c>
      <c r="P183" s="440">
        <f t="shared" si="9"/>
        <v>0.5</v>
      </c>
      <c r="Q183">
        <f t="array" ref="Q183">IF(I183&gt;0,INDEX(DB,I183,9),EventIndex)</f>
        <v>6</v>
      </c>
      <c r="S183" s="442">
        <f t="array" ref="S183">INDEX(MINVALUES,$Q183,$K$1)</f>
        <v>5</v>
      </c>
      <c r="T183">
        <f t="array" ref="T183">INDEX(INCVALUES,$Q183,$K$1)</f>
        <v>0.5</v>
      </c>
      <c r="V183">
        <f t="array" ref="V183">+J183+(4*(INDEX(MatchScoreTable,$Q183,20)-1))</f>
        <v>4</v>
      </c>
      <c r="W183" s="442">
        <f t="array" ref="W183">INDEX(INC_MINVALUES,$V183,$K$1)</f>
        <v>2.5</v>
      </c>
      <c r="X183" s="212">
        <f t="array" ref="X183">INDEX(INC_INCVALUES,$V183,$K$1)</f>
        <v>0.5</v>
      </c>
    </row>
    <row r="184" ht="15.75" customHeight="1">
      <c r="A184" s="435"/>
      <c r="B184" s="436"/>
      <c r="C184" s="95" t="str">
        <f t="array" ref="C184">IF(I184&gt;0,INDEX(DB,I184,8),"")</f>
        <v/>
      </c>
      <c r="D184" s="437">
        <f t="shared" si="1"/>
        <v>0</v>
      </c>
      <c r="F184" s="438">
        <f t="shared" si="2"/>
        <v>0</v>
      </c>
      <c r="G184" t="str">
        <f t="shared" si="3"/>
        <v/>
      </c>
      <c r="H184" t="b">
        <f t="shared" si="4"/>
        <v>0</v>
      </c>
      <c r="I184" s="439">
        <f>IF(OR(ISBLANK(A184),ISNA(MATCH(A184&amp;"",AthleteNumbers,0))),0,MATCH(A184&amp;"",AthleteNumbers,0))</f>
        <v>0</v>
      </c>
      <c r="J184" s="209">
        <f t="array" ref="J184">IF(I184&gt;0,INDEX(DB,$I184,6),0)</f>
        <v>0</v>
      </c>
      <c r="K184" s="446">
        <f t="shared" si="5"/>
        <v>0</v>
      </c>
      <c r="L184" s="446">
        <f t="shared" si="6"/>
        <v>0</v>
      </c>
      <c r="M184" s="441">
        <f>IF(L184&lt;O184,MinPoints,IF(AND(L184&gt;N184,O184&gt;0),100,+INT(($L184-O184)/P184)+MinPoints))</f>
        <v>10</v>
      </c>
      <c r="N184" s="440">
        <f t="shared" si="7"/>
        <v>50</v>
      </c>
      <c r="O184" s="440">
        <f t="shared" si="8"/>
        <v>5</v>
      </c>
      <c r="P184" s="440">
        <f t="shared" si="9"/>
        <v>0.5</v>
      </c>
      <c r="Q184">
        <f t="array" ref="Q184">IF(I184&gt;0,INDEX(DB,I184,9),EventIndex)</f>
        <v>6</v>
      </c>
      <c r="S184" s="442">
        <f t="array" ref="S184">INDEX(MINVALUES,$Q184,$K$1)</f>
        <v>5</v>
      </c>
      <c r="T184">
        <f t="array" ref="T184">INDEX(INCVALUES,$Q184,$K$1)</f>
        <v>0.5</v>
      </c>
      <c r="V184">
        <f t="array" ref="V184">+J184+(4*(INDEX(MatchScoreTable,$Q184,20)-1))</f>
        <v>4</v>
      </c>
      <c r="W184" s="442">
        <f t="array" ref="W184">INDEX(INC_MINVALUES,$V184,$K$1)</f>
        <v>2.5</v>
      </c>
      <c r="X184" s="212">
        <f t="array" ref="X184">INDEX(INC_INCVALUES,$V184,$K$1)</f>
        <v>0.5</v>
      </c>
    </row>
    <row r="185" ht="15.75" customHeight="1">
      <c r="A185" s="435"/>
      <c r="B185" s="436"/>
      <c r="C185" s="95" t="str">
        <f t="array" ref="C185">IF(I185&gt;0,INDEX(DB,I185,8),"")</f>
        <v/>
      </c>
      <c r="D185" s="437">
        <f t="shared" si="1"/>
        <v>0</v>
      </c>
      <c r="F185" s="438">
        <f t="shared" si="2"/>
        <v>0</v>
      </c>
      <c r="G185" t="str">
        <f t="shared" si="3"/>
        <v/>
      </c>
      <c r="H185" t="b">
        <f t="shared" si="4"/>
        <v>0</v>
      </c>
      <c r="I185" s="439">
        <f>IF(OR(ISBLANK(A185),ISNA(MATCH(A185&amp;"",AthleteNumbers,0))),0,MATCH(A185&amp;"",AthleteNumbers,0))</f>
        <v>0</v>
      </c>
      <c r="J185" s="209">
        <f t="array" ref="J185">IF(I185&gt;0,INDEX(DB,$I185,6),0)</f>
        <v>0</v>
      </c>
      <c r="K185" s="446">
        <f t="shared" si="5"/>
        <v>0</v>
      </c>
      <c r="L185" s="446">
        <f t="shared" si="6"/>
        <v>0</v>
      </c>
      <c r="M185" s="441">
        <f>IF(L185&lt;O185,MinPoints,IF(AND(L185&gt;N185,O185&gt;0),100,+INT(($L185-O185)/P185)+MinPoints))</f>
        <v>10</v>
      </c>
      <c r="N185" s="440">
        <f t="shared" si="7"/>
        <v>50</v>
      </c>
      <c r="O185" s="440">
        <f t="shared" si="8"/>
        <v>5</v>
      </c>
      <c r="P185" s="440">
        <f t="shared" si="9"/>
        <v>0.5</v>
      </c>
      <c r="Q185">
        <f t="array" ref="Q185">IF(I185&gt;0,INDEX(DB,I185,9),EventIndex)</f>
        <v>6</v>
      </c>
      <c r="S185" s="442">
        <f t="array" ref="S185">INDEX(MINVALUES,$Q185,$K$1)</f>
        <v>5</v>
      </c>
      <c r="T185">
        <f t="array" ref="T185">INDEX(INCVALUES,$Q185,$K$1)</f>
        <v>0.5</v>
      </c>
      <c r="V185">
        <f t="array" ref="V185">+J185+(4*(INDEX(MatchScoreTable,$Q185,20)-1))</f>
        <v>4</v>
      </c>
      <c r="W185" s="442">
        <f t="array" ref="W185">INDEX(INC_MINVALUES,$V185,$K$1)</f>
        <v>2.5</v>
      </c>
      <c r="X185" s="212">
        <f t="array" ref="X185">INDEX(INC_INCVALUES,$V185,$K$1)</f>
        <v>0.5</v>
      </c>
    </row>
    <row r="186" ht="15.75" customHeight="1">
      <c r="A186" s="435"/>
      <c r="B186" s="436"/>
      <c r="C186" s="95" t="str">
        <f t="array" ref="C186">IF(I186&gt;0,INDEX(DB,I186,8),"")</f>
        <v/>
      </c>
      <c r="D186" s="437">
        <f t="shared" si="1"/>
        <v>0</v>
      </c>
      <c r="F186" s="438">
        <f t="shared" si="2"/>
        <v>0</v>
      </c>
      <c r="G186" t="str">
        <f t="shared" si="3"/>
        <v/>
      </c>
      <c r="H186" t="b">
        <f t="shared" si="4"/>
        <v>0</v>
      </c>
      <c r="I186" s="439">
        <f>IF(OR(ISBLANK(A186),ISNA(MATCH(A186&amp;"",AthleteNumbers,0))),0,MATCH(A186&amp;"",AthleteNumbers,0))</f>
        <v>0</v>
      </c>
      <c r="J186" s="209">
        <f t="array" ref="J186">IF(I186&gt;0,INDEX(DB,$I186,6),0)</f>
        <v>0</v>
      </c>
      <c r="K186" s="446">
        <f t="shared" si="5"/>
        <v>0</v>
      </c>
      <c r="L186" s="446">
        <f t="shared" si="6"/>
        <v>0</v>
      </c>
      <c r="M186" s="441">
        <f>IF(L186&lt;O186,MinPoints,IF(AND(L186&gt;N186,O186&gt;0),100,+INT(($L186-O186)/P186)+MinPoints))</f>
        <v>10</v>
      </c>
      <c r="N186" s="440">
        <f t="shared" si="7"/>
        <v>50</v>
      </c>
      <c r="O186" s="440">
        <f t="shared" si="8"/>
        <v>5</v>
      </c>
      <c r="P186" s="440">
        <f t="shared" si="9"/>
        <v>0.5</v>
      </c>
      <c r="Q186">
        <f t="array" ref="Q186">IF(I186&gt;0,INDEX(DB,I186,9),EventIndex)</f>
        <v>6</v>
      </c>
      <c r="S186" s="442">
        <f t="array" ref="S186">INDEX(MINVALUES,$Q186,$K$1)</f>
        <v>5</v>
      </c>
      <c r="T186">
        <f t="array" ref="T186">INDEX(INCVALUES,$Q186,$K$1)</f>
        <v>0.5</v>
      </c>
      <c r="V186">
        <f t="array" ref="V186">+J186+(4*(INDEX(MatchScoreTable,$Q186,20)-1))</f>
        <v>4</v>
      </c>
      <c r="W186" s="442">
        <f t="array" ref="W186">INDEX(INC_MINVALUES,$V186,$K$1)</f>
        <v>2.5</v>
      </c>
      <c r="X186" s="212">
        <f t="array" ref="X186">INDEX(INC_INCVALUES,$V186,$K$1)</f>
        <v>0.5</v>
      </c>
    </row>
    <row r="187" ht="15.75" customHeight="1">
      <c r="A187" s="435"/>
      <c r="B187" s="436"/>
      <c r="C187" s="95" t="str">
        <f t="array" ref="C187">IF(I187&gt;0,INDEX(DB,I187,8),"")</f>
        <v/>
      </c>
      <c r="D187" s="437">
        <f t="shared" si="1"/>
        <v>0</v>
      </c>
      <c r="F187" s="438">
        <f t="shared" si="2"/>
        <v>0</v>
      </c>
      <c r="G187" t="str">
        <f t="shared" si="3"/>
        <v/>
      </c>
      <c r="H187" t="b">
        <f t="shared" si="4"/>
        <v>0</v>
      </c>
      <c r="I187" s="439">
        <f>IF(OR(ISBLANK(A187),ISNA(MATCH(A187&amp;"",AthleteNumbers,0))),0,MATCH(A187&amp;"",AthleteNumbers,0))</f>
        <v>0</v>
      </c>
      <c r="J187" s="209">
        <f t="array" ref="J187">IF(I187&gt;0,INDEX(DB,$I187,6),0)</f>
        <v>0</v>
      </c>
      <c r="K187" s="446">
        <f t="shared" si="5"/>
        <v>0</v>
      </c>
      <c r="L187" s="446">
        <f t="shared" si="6"/>
        <v>0</v>
      </c>
      <c r="M187" s="441">
        <f>IF(L187&lt;O187,MinPoints,IF(AND(L187&gt;N187,O187&gt;0),100,+INT(($L187-O187)/P187)+MinPoints))</f>
        <v>10</v>
      </c>
      <c r="N187" s="440">
        <f t="shared" si="7"/>
        <v>50</v>
      </c>
      <c r="O187" s="440">
        <f t="shared" si="8"/>
        <v>5</v>
      </c>
      <c r="P187" s="440">
        <f t="shared" si="9"/>
        <v>0.5</v>
      </c>
      <c r="Q187">
        <f t="array" ref="Q187">IF(I187&gt;0,INDEX(DB,I187,9),EventIndex)</f>
        <v>6</v>
      </c>
      <c r="S187" s="442">
        <f t="array" ref="S187">INDEX(MINVALUES,$Q187,$K$1)</f>
        <v>5</v>
      </c>
      <c r="T187">
        <f t="array" ref="T187">INDEX(INCVALUES,$Q187,$K$1)</f>
        <v>0.5</v>
      </c>
      <c r="V187">
        <f t="array" ref="V187">+J187+(4*(INDEX(MatchScoreTable,$Q187,20)-1))</f>
        <v>4</v>
      </c>
      <c r="W187" s="442">
        <f t="array" ref="W187">INDEX(INC_MINVALUES,$V187,$K$1)</f>
        <v>2.5</v>
      </c>
      <c r="X187" s="212">
        <f t="array" ref="X187">INDEX(INC_INCVALUES,$V187,$K$1)</f>
        <v>0.5</v>
      </c>
    </row>
    <row r="188" ht="15.75" customHeight="1">
      <c r="A188" s="435"/>
      <c r="B188" s="436"/>
      <c r="C188" s="95" t="str">
        <f t="array" ref="C188">IF(I188&gt;0,INDEX(DB,I188,8),"")</f>
        <v/>
      </c>
      <c r="D188" s="437">
        <f t="shared" si="1"/>
        <v>0</v>
      </c>
      <c r="F188" s="438">
        <f t="shared" si="2"/>
        <v>0</v>
      </c>
      <c r="G188" t="str">
        <f t="shared" si="3"/>
        <v/>
      </c>
      <c r="H188" t="b">
        <f t="shared" si="4"/>
        <v>0</v>
      </c>
      <c r="I188" s="439">
        <f>IF(OR(ISBLANK(A188),ISNA(MATCH(A188&amp;"",AthleteNumbers,0))),0,MATCH(A188&amp;"",AthleteNumbers,0))</f>
        <v>0</v>
      </c>
      <c r="J188" s="209">
        <f t="array" ref="J188">IF(I188&gt;0,INDEX(DB,$I188,6),0)</f>
        <v>0</v>
      </c>
      <c r="K188" s="446">
        <f t="shared" si="5"/>
        <v>0</v>
      </c>
      <c r="L188" s="446">
        <f t="shared" si="6"/>
        <v>0</v>
      </c>
      <c r="M188" s="441">
        <f>IF(L188&lt;O188,MinPoints,IF(AND(L188&gt;N188,O188&gt;0),100,+INT(($L188-O188)/P188)+MinPoints))</f>
        <v>10</v>
      </c>
      <c r="N188" s="440">
        <f t="shared" si="7"/>
        <v>50</v>
      </c>
      <c r="O188" s="440">
        <f t="shared" si="8"/>
        <v>5</v>
      </c>
      <c r="P188" s="440">
        <f t="shared" si="9"/>
        <v>0.5</v>
      </c>
      <c r="Q188">
        <f t="array" ref="Q188">IF(I188&gt;0,INDEX(DB,I188,9),EventIndex)</f>
        <v>6</v>
      </c>
      <c r="S188" s="442">
        <f t="array" ref="S188">INDEX(MINVALUES,$Q188,$K$1)</f>
        <v>5</v>
      </c>
      <c r="T188">
        <f t="array" ref="T188">INDEX(INCVALUES,$Q188,$K$1)</f>
        <v>0.5</v>
      </c>
      <c r="V188">
        <f t="array" ref="V188">+J188+(4*(INDEX(MatchScoreTable,$Q188,20)-1))</f>
        <v>4</v>
      </c>
      <c r="W188" s="442">
        <f t="array" ref="W188">INDEX(INC_MINVALUES,$V188,$K$1)</f>
        <v>2.5</v>
      </c>
      <c r="X188" s="212">
        <f t="array" ref="X188">INDEX(INC_INCVALUES,$V188,$K$1)</f>
        <v>0.5</v>
      </c>
    </row>
    <row r="189" ht="15.75" customHeight="1">
      <c r="A189" s="435"/>
      <c r="B189" s="436"/>
      <c r="C189" s="95" t="str">
        <f t="array" ref="C189">IF(I189&gt;0,INDEX(DB,I189,8),"")</f>
        <v/>
      </c>
      <c r="D189" s="437">
        <f t="shared" si="1"/>
        <v>0</v>
      </c>
      <c r="F189" s="438">
        <f t="shared" si="2"/>
        <v>0</v>
      </c>
      <c r="G189" t="str">
        <f t="shared" si="3"/>
        <v/>
      </c>
      <c r="H189" t="b">
        <f t="shared" si="4"/>
        <v>0</v>
      </c>
      <c r="I189" s="439">
        <f>IF(OR(ISBLANK(A189),ISNA(MATCH(A189&amp;"",AthleteNumbers,0))),0,MATCH(A189&amp;"",AthleteNumbers,0))</f>
        <v>0</v>
      </c>
      <c r="J189" s="209">
        <f t="array" ref="J189">IF(I189&gt;0,INDEX(DB,$I189,6),0)</f>
        <v>0</v>
      </c>
      <c r="K189" s="446">
        <f t="shared" si="5"/>
        <v>0</v>
      </c>
      <c r="L189" s="446">
        <f t="shared" si="6"/>
        <v>0</v>
      </c>
      <c r="M189" s="441">
        <f>IF(L189&lt;O189,MinPoints,IF(AND(L189&gt;N189,O189&gt;0),100,+INT(($L189-O189)/P189)+MinPoints))</f>
        <v>10</v>
      </c>
      <c r="N189" s="440">
        <f t="shared" si="7"/>
        <v>50</v>
      </c>
      <c r="O189" s="440">
        <f t="shared" si="8"/>
        <v>5</v>
      </c>
      <c r="P189" s="440">
        <f t="shared" si="9"/>
        <v>0.5</v>
      </c>
      <c r="Q189">
        <f t="array" ref="Q189">IF(I189&gt;0,INDEX(DB,I189,9),EventIndex)</f>
        <v>6</v>
      </c>
      <c r="S189" s="442">
        <f t="array" ref="S189">INDEX(MINVALUES,$Q189,$K$1)</f>
        <v>5</v>
      </c>
      <c r="T189">
        <f t="array" ref="T189">INDEX(INCVALUES,$Q189,$K$1)</f>
        <v>0.5</v>
      </c>
      <c r="V189">
        <f t="array" ref="V189">+J189+(4*(INDEX(MatchScoreTable,$Q189,20)-1))</f>
        <v>4</v>
      </c>
      <c r="W189" s="442">
        <f t="array" ref="W189">INDEX(INC_MINVALUES,$V189,$K$1)</f>
        <v>2.5</v>
      </c>
      <c r="X189" s="212">
        <f t="array" ref="X189">INDEX(INC_INCVALUES,$V189,$K$1)</f>
        <v>0.5</v>
      </c>
    </row>
    <row r="190" ht="15.75" customHeight="1">
      <c r="A190" s="435"/>
      <c r="B190" s="436"/>
      <c r="C190" s="95" t="str">
        <f t="array" ref="C190">IF(I190&gt;0,INDEX(DB,I190,8),"")</f>
        <v/>
      </c>
      <c r="D190" s="437">
        <f t="shared" si="1"/>
        <v>0</v>
      </c>
      <c r="F190" s="438">
        <f t="shared" si="2"/>
        <v>0</v>
      </c>
      <c r="G190" t="str">
        <f t="shared" si="3"/>
        <v/>
      </c>
      <c r="H190" t="b">
        <f t="shared" si="4"/>
        <v>0</v>
      </c>
      <c r="I190" s="439">
        <f>IF(OR(ISBLANK(A190),ISNA(MATCH(A190&amp;"",AthleteNumbers,0))),0,MATCH(A190&amp;"",AthleteNumbers,0))</f>
        <v>0</v>
      </c>
      <c r="J190" s="209">
        <f t="array" ref="J190">IF(I190&gt;0,INDEX(DB,$I190,6),0)</f>
        <v>0</v>
      </c>
      <c r="K190" s="446">
        <f t="shared" si="5"/>
        <v>0</v>
      </c>
      <c r="L190" s="446">
        <f t="shared" si="6"/>
        <v>0</v>
      </c>
      <c r="M190" s="441">
        <f>IF(L190&lt;O190,MinPoints,IF(AND(L190&gt;N190,O190&gt;0),100,+INT(($L190-O190)/P190)+MinPoints))</f>
        <v>10</v>
      </c>
      <c r="N190" s="440">
        <f t="shared" si="7"/>
        <v>50</v>
      </c>
      <c r="O190" s="440">
        <f t="shared" si="8"/>
        <v>5</v>
      </c>
      <c r="P190" s="440">
        <f t="shared" si="9"/>
        <v>0.5</v>
      </c>
      <c r="Q190">
        <f t="array" ref="Q190">IF(I190&gt;0,INDEX(DB,I190,9),EventIndex)</f>
        <v>6</v>
      </c>
      <c r="S190" s="442">
        <f t="array" ref="S190">INDEX(MINVALUES,$Q190,$K$1)</f>
        <v>5</v>
      </c>
      <c r="T190">
        <f t="array" ref="T190">INDEX(INCVALUES,$Q190,$K$1)</f>
        <v>0.5</v>
      </c>
      <c r="V190">
        <f t="array" ref="V190">+J190+(4*(INDEX(MatchScoreTable,$Q190,20)-1))</f>
        <v>4</v>
      </c>
      <c r="W190" s="442">
        <f t="array" ref="W190">INDEX(INC_MINVALUES,$V190,$K$1)</f>
        <v>2.5</v>
      </c>
      <c r="X190" s="212">
        <f t="array" ref="X190">INDEX(INC_INCVALUES,$V190,$K$1)</f>
        <v>0.5</v>
      </c>
    </row>
    <row r="191" ht="15.75" customHeight="1">
      <c r="A191" s="435"/>
      <c r="B191" s="436"/>
      <c r="C191" s="95" t="str">
        <f t="array" ref="C191">IF(I191&gt;0,INDEX(DB,I191,8),"")</f>
        <v/>
      </c>
      <c r="D191" s="437">
        <f t="shared" si="1"/>
        <v>0</v>
      </c>
      <c r="F191" s="438">
        <f t="shared" si="2"/>
        <v>0</v>
      </c>
      <c r="G191" t="str">
        <f t="shared" si="3"/>
        <v/>
      </c>
      <c r="H191" t="b">
        <f t="shared" si="4"/>
        <v>0</v>
      </c>
      <c r="I191" s="439">
        <f>IF(OR(ISBLANK(A191),ISNA(MATCH(A191&amp;"",AthleteNumbers,0))),0,MATCH(A191&amp;"",AthleteNumbers,0))</f>
        <v>0</v>
      </c>
      <c r="J191" s="209">
        <f t="array" ref="J191">IF(I191&gt;0,INDEX(DB,$I191,6),0)</f>
        <v>0</v>
      </c>
      <c r="K191" s="446">
        <f t="shared" si="5"/>
        <v>0</v>
      </c>
      <c r="L191" s="446">
        <f t="shared" si="6"/>
        <v>0</v>
      </c>
      <c r="M191" s="441">
        <f>IF(L191&lt;O191,MinPoints,IF(AND(L191&gt;N191,O191&gt;0),100,+INT(($L191-O191)/P191)+MinPoints))</f>
        <v>10</v>
      </c>
      <c r="N191" s="440">
        <f t="shared" si="7"/>
        <v>50</v>
      </c>
      <c r="O191" s="440">
        <f t="shared" si="8"/>
        <v>5</v>
      </c>
      <c r="P191" s="440">
        <f t="shared" si="9"/>
        <v>0.5</v>
      </c>
      <c r="Q191">
        <f t="array" ref="Q191">IF(I191&gt;0,INDEX(DB,I191,9),EventIndex)</f>
        <v>6</v>
      </c>
      <c r="S191" s="442">
        <f t="array" ref="S191">INDEX(MINVALUES,$Q191,$K$1)</f>
        <v>5</v>
      </c>
      <c r="T191">
        <f t="array" ref="T191">INDEX(INCVALUES,$Q191,$K$1)</f>
        <v>0.5</v>
      </c>
      <c r="V191">
        <f t="array" ref="V191">+J191+(4*(INDEX(MatchScoreTable,$Q191,20)-1))</f>
        <v>4</v>
      </c>
      <c r="W191" s="442">
        <f t="array" ref="W191">INDEX(INC_MINVALUES,$V191,$K$1)</f>
        <v>2.5</v>
      </c>
      <c r="X191" s="212">
        <f t="array" ref="X191">INDEX(INC_INCVALUES,$V191,$K$1)</f>
        <v>0.5</v>
      </c>
    </row>
    <row r="192" ht="15.75" customHeight="1">
      <c r="A192" s="435"/>
      <c r="B192" s="436"/>
      <c r="C192" s="95" t="str">
        <f t="array" ref="C192">IF(I192&gt;0,INDEX(DB,I192,8),"")</f>
        <v/>
      </c>
      <c r="D192" s="437">
        <f t="shared" si="1"/>
        <v>0</v>
      </c>
      <c r="F192" s="438">
        <f t="shared" si="2"/>
        <v>0</v>
      </c>
      <c r="G192" t="str">
        <f t="shared" si="3"/>
        <v/>
      </c>
      <c r="H192" t="b">
        <f t="shared" si="4"/>
        <v>0</v>
      </c>
      <c r="I192" s="439">
        <f>IF(OR(ISBLANK(A192),ISNA(MATCH(A192&amp;"",AthleteNumbers,0))),0,MATCH(A192&amp;"",AthleteNumbers,0))</f>
        <v>0</v>
      </c>
      <c r="J192" s="209">
        <f t="array" ref="J192">IF(I192&gt;0,INDEX(DB,$I192,6),0)</f>
        <v>0</v>
      </c>
      <c r="K192" s="446">
        <f t="shared" si="5"/>
        <v>0</v>
      </c>
      <c r="L192" s="446">
        <f t="shared" si="6"/>
        <v>0</v>
      </c>
      <c r="M192" s="441">
        <f>IF(L192&lt;O192,MinPoints,IF(AND(L192&gt;N192,O192&gt;0),100,+INT(($L192-O192)/P192)+MinPoints))</f>
        <v>10</v>
      </c>
      <c r="N192" s="440">
        <f t="shared" si="7"/>
        <v>50</v>
      </c>
      <c r="O192" s="440">
        <f t="shared" si="8"/>
        <v>5</v>
      </c>
      <c r="P192" s="440">
        <f t="shared" si="9"/>
        <v>0.5</v>
      </c>
      <c r="Q192">
        <f t="array" ref="Q192">IF(I192&gt;0,INDEX(DB,I192,9),EventIndex)</f>
        <v>6</v>
      </c>
      <c r="S192" s="442">
        <f t="array" ref="S192">INDEX(MINVALUES,$Q192,$K$1)</f>
        <v>5</v>
      </c>
      <c r="T192">
        <f t="array" ref="T192">INDEX(INCVALUES,$Q192,$K$1)</f>
        <v>0.5</v>
      </c>
      <c r="V192">
        <f t="array" ref="V192">+J192+(4*(INDEX(MatchScoreTable,$Q192,20)-1))</f>
        <v>4</v>
      </c>
      <c r="W192" s="442">
        <f t="array" ref="W192">INDEX(INC_MINVALUES,$V192,$K$1)</f>
        <v>2.5</v>
      </c>
      <c r="X192" s="212">
        <f t="array" ref="X192">INDEX(INC_INCVALUES,$V192,$K$1)</f>
        <v>0.5</v>
      </c>
    </row>
    <row r="193" ht="15.75" customHeight="1">
      <c r="A193" s="435"/>
      <c r="B193" s="436"/>
      <c r="C193" s="95" t="str">
        <f t="array" ref="C193">IF(I193&gt;0,INDEX(DB,I193,8),"")</f>
        <v/>
      </c>
      <c r="D193" s="437">
        <f t="shared" si="1"/>
        <v>0</v>
      </c>
      <c r="F193" s="438">
        <f t="shared" si="2"/>
        <v>0</v>
      </c>
      <c r="G193" t="str">
        <f t="shared" si="3"/>
        <v/>
      </c>
      <c r="H193" t="b">
        <f t="shared" si="4"/>
        <v>0</v>
      </c>
      <c r="I193" s="439">
        <f>IF(OR(ISBLANK(A193),ISNA(MATCH(A193&amp;"",AthleteNumbers,0))),0,MATCH(A193&amp;"",AthleteNumbers,0))</f>
        <v>0</v>
      </c>
      <c r="J193" s="209">
        <f t="array" ref="J193">IF(I193&gt;0,INDEX(DB,$I193,6),0)</f>
        <v>0</v>
      </c>
      <c r="K193" s="446">
        <f t="shared" si="5"/>
        <v>0</v>
      </c>
      <c r="L193" s="446">
        <f t="shared" si="6"/>
        <v>0</v>
      </c>
      <c r="M193" s="441">
        <f>IF(L193&lt;O193,MinPoints,IF(AND(L193&gt;N193,O193&gt;0),100,+INT(($L193-O193)/P193)+MinPoints))</f>
        <v>10</v>
      </c>
      <c r="N193" s="440">
        <f t="shared" si="7"/>
        <v>50</v>
      </c>
      <c r="O193" s="440">
        <f t="shared" si="8"/>
        <v>5</v>
      </c>
      <c r="P193" s="440">
        <f t="shared" si="9"/>
        <v>0.5</v>
      </c>
      <c r="Q193">
        <f t="array" ref="Q193">IF(I193&gt;0,INDEX(DB,I193,9),EventIndex)</f>
        <v>6</v>
      </c>
      <c r="S193" s="442">
        <f t="array" ref="S193">INDEX(MINVALUES,$Q193,$K$1)</f>
        <v>5</v>
      </c>
      <c r="T193">
        <f t="array" ref="T193">INDEX(INCVALUES,$Q193,$K$1)</f>
        <v>0.5</v>
      </c>
      <c r="V193">
        <f t="array" ref="V193">+J193+(4*(INDEX(MatchScoreTable,$Q193,20)-1))</f>
        <v>4</v>
      </c>
      <c r="W193" s="442">
        <f t="array" ref="W193">INDEX(INC_MINVALUES,$V193,$K$1)</f>
        <v>2.5</v>
      </c>
      <c r="X193" s="212">
        <f t="array" ref="X193">INDEX(INC_INCVALUES,$V193,$K$1)</f>
        <v>0.5</v>
      </c>
    </row>
    <row r="194" ht="15.75" customHeight="1">
      <c r="A194" s="435"/>
      <c r="B194" s="436"/>
      <c r="C194" s="95" t="str">
        <f t="array" ref="C194">IF(I194&gt;0,INDEX(DB,I194,8),"")</f>
        <v/>
      </c>
      <c r="D194" s="437">
        <f t="shared" si="1"/>
        <v>0</v>
      </c>
      <c r="F194" s="438">
        <f t="shared" si="2"/>
        <v>0</v>
      </c>
      <c r="G194" t="str">
        <f t="shared" si="3"/>
        <v/>
      </c>
      <c r="H194" t="b">
        <f t="shared" si="4"/>
        <v>0</v>
      </c>
      <c r="I194" s="439">
        <f>IF(OR(ISBLANK(A194),ISNA(MATCH(A194&amp;"",AthleteNumbers,0))),0,MATCH(A194&amp;"",AthleteNumbers,0))</f>
        <v>0</v>
      </c>
      <c r="J194" s="209">
        <f t="array" ref="J194">IF(I194&gt;0,INDEX(DB,$I194,6),0)</f>
        <v>0</v>
      </c>
      <c r="K194" s="446">
        <f t="shared" si="5"/>
        <v>0</v>
      </c>
      <c r="L194" s="446">
        <f t="shared" si="6"/>
        <v>0</v>
      </c>
      <c r="M194" s="441">
        <f>IF(L194&lt;O194,MinPoints,IF(AND(L194&gt;N194,O194&gt;0),100,+INT(($L194-O194)/P194)+MinPoints))</f>
        <v>10</v>
      </c>
      <c r="N194" s="440">
        <f t="shared" si="7"/>
        <v>50</v>
      </c>
      <c r="O194" s="440">
        <f t="shared" si="8"/>
        <v>5</v>
      </c>
      <c r="P194" s="440">
        <f t="shared" si="9"/>
        <v>0.5</v>
      </c>
      <c r="Q194">
        <f t="array" ref="Q194">IF(I194&gt;0,INDEX(DB,I194,9),EventIndex)</f>
        <v>6</v>
      </c>
      <c r="S194" s="442">
        <f t="array" ref="S194">INDEX(MINVALUES,$Q194,$K$1)</f>
        <v>5</v>
      </c>
      <c r="T194">
        <f t="array" ref="T194">INDEX(INCVALUES,$Q194,$K$1)</f>
        <v>0.5</v>
      </c>
      <c r="V194">
        <f t="array" ref="V194">+J194+(4*(INDEX(MatchScoreTable,$Q194,20)-1))</f>
        <v>4</v>
      </c>
      <c r="W194" s="442">
        <f t="array" ref="W194">INDEX(INC_MINVALUES,$V194,$K$1)</f>
        <v>2.5</v>
      </c>
      <c r="X194" s="212">
        <f t="array" ref="X194">INDEX(INC_INCVALUES,$V194,$K$1)</f>
        <v>0.5</v>
      </c>
    </row>
    <row r="195" ht="15.75" customHeight="1">
      <c r="A195" s="435"/>
      <c r="B195" s="436"/>
      <c r="C195" s="95" t="str">
        <f t="array" ref="C195">IF(I195&gt;0,INDEX(DB,I195,8),"")</f>
        <v/>
      </c>
      <c r="D195" s="437">
        <f t="shared" si="1"/>
        <v>0</v>
      </c>
      <c r="F195" s="438">
        <f t="shared" si="2"/>
        <v>0</v>
      </c>
      <c r="G195" t="str">
        <f t="shared" si="3"/>
        <v/>
      </c>
      <c r="H195" t="b">
        <f t="shared" si="4"/>
        <v>0</v>
      </c>
      <c r="I195" s="439">
        <f>IF(OR(ISBLANK(A195),ISNA(MATCH(A195&amp;"",AthleteNumbers,0))),0,MATCH(A195&amp;"",AthleteNumbers,0))</f>
        <v>0</v>
      </c>
      <c r="J195" s="209">
        <f t="array" ref="J195">IF(I195&gt;0,INDEX(DB,$I195,6),0)</f>
        <v>0</v>
      </c>
      <c r="K195" s="446">
        <f t="shared" si="5"/>
        <v>0</v>
      </c>
      <c r="L195" s="446">
        <f t="shared" si="6"/>
        <v>0</v>
      </c>
      <c r="M195" s="441">
        <f>IF(L195&lt;O195,MinPoints,IF(AND(L195&gt;N195,O195&gt;0),100,+INT(($L195-O195)/P195)+MinPoints))</f>
        <v>10</v>
      </c>
      <c r="N195" s="440">
        <f t="shared" si="7"/>
        <v>50</v>
      </c>
      <c r="O195" s="440">
        <f t="shared" si="8"/>
        <v>5</v>
      </c>
      <c r="P195" s="440">
        <f t="shared" si="9"/>
        <v>0.5</v>
      </c>
      <c r="Q195">
        <f t="array" ref="Q195">IF(I195&gt;0,INDEX(DB,I195,9),EventIndex)</f>
        <v>6</v>
      </c>
      <c r="S195" s="442">
        <f t="array" ref="S195">INDEX(MINVALUES,$Q195,$K$1)</f>
        <v>5</v>
      </c>
      <c r="T195">
        <f t="array" ref="T195">INDEX(INCVALUES,$Q195,$K$1)</f>
        <v>0.5</v>
      </c>
      <c r="V195">
        <f t="array" ref="V195">+J195+(4*(INDEX(MatchScoreTable,$Q195,20)-1))</f>
        <v>4</v>
      </c>
      <c r="W195" s="442">
        <f t="array" ref="W195">INDEX(INC_MINVALUES,$V195,$K$1)</f>
        <v>2.5</v>
      </c>
      <c r="X195" s="212">
        <f t="array" ref="X195">INDEX(INC_INCVALUES,$V195,$K$1)</f>
        <v>0.5</v>
      </c>
    </row>
    <row r="196" ht="15.75" customHeight="1">
      <c r="A196" s="435"/>
      <c r="B196" s="436"/>
      <c r="C196" s="95" t="str">
        <f t="array" ref="C196">IF(I196&gt;0,INDEX(DB,I196,8),"")</f>
        <v/>
      </c>
      <c r="D196" s="437">
        <f t="shared" si="1"/>
        <v>0</v>
      </c>
      <c r="F196" s="438">
        <f t="shared" si="2"/>
        <v>0</v>
      </c>
      <c r="G196" t="str">
        <f t="shared" si="3"/>
        <v/>
      </c>
      <c r="H196" t="b">
        <f t="shared" si="4"/>
        <v>0</v>
      </c>
      <c r="I196" s="439">
        <f>IF(OR(ISBLANK(A196),ISNA(MATCH(A196&amp;"",AthleteNumbers,0))),0,MATCH(A196&amp;"",AthleteNumbers,0))</f>
        <v>0</v>
      </c>
      <c r="J196" s="209">
        <f t="array" ref="J196">IF(I196&gt;0,INDEX(DB,$I196,6),0)</f>
        <v>0</v>
      </c>
      <c r="K196" s="446">
        <f t="shared" si="5"/>
        <v>0</v>
      </c>
      <c r="L196" s="446">
        <f t="shared" si="6"/>
        <v>0</v>
      </c>
      <c r="M196" s="441">
        <f>IF(L196&lt;O196,MinPoints,IF(AND(L196&gt;N196,O196&gt;0),100,+INT(($L196-O196)/P196)+MinPoints))</f>
        <v>10</v>
      </c>
      <c r="N196" s="440">
        <f t="shared" si="7"/>
        <v>50</v>
      </c>
      <c r="O196" s="440">
        <f t="shared" si="8"/>
        <v>5</v>
      </c>
      <c r="P196" s="440">
        <f t="shared" si="9"/>
        <v>0.5</v>
      </c>
      <c r="Q196">
        <f t="array" ref="Q196">IF(I196&gt;0,INDEX(DB,I196,9),EventIndex)</f>
        <v>6</v>
      </c>
      <c r="S196" s="442">
        <f t="array" ref="S196">INDEX(MINVALUES,$Q196,$K$1)</f>
        <v>5</v>
      </c>
      <c r="T196">
        <f t="array" ref="T196">INDEX(INCVALUES,$Q196,$K$1)</f>
        <v>0.5</v>
      </c>
      <c r="V196">
        <f t="array" ref="V196">+J196+(4*(INDEX(MatchScoreTable,$Q196,20)-1))</f>
        <v>4</v>
      </c>
      <c r="W196" s="442">
        <f t="array" ref="W196">INDEX(INC_MINVALUES,$V196,$K$1)</f>
        <v>2.5</v>
      </c>
      <c r="X196" s="212">
        <f t="array" ref="X196">INDEX(INC_INCVALUES,$V196,$K$1)</f>
        <v>0.5</v>
      </c>
    </row>
    <row r="197" ht="15.75" customHeight="1">
      <c r="A197" s="435"/>
      <c r="B197" s="436"/>
      <c r="C197" s="95" t="str">
        <f t="array" ref="C197">IF(I197&gt;0,INDEX(DB,I197,8),"")</f>
        <v/>
      </c>
      <c r="D197" s="437">
        <f t="shared" si="1"/>
        <v>0</v>
      </c>
      <c r="F197" s="438">
        <f t="shared" si="2"/>
        <v>0</v>
      </c>
      <c r="G197" t="str">
        <f t="shared" si="3"/>
        <v/>
      </c>
      <c r="H197" t="b">
        <f t="shared" si="4"/>
        <v>0</v>
      </c>
      <c r="I197" s="439">
        <f>IF(OR(ISBLANK(A197),ISNA(MATCH(A197&amp;"",AthleteNumbers,0))),0,MATCH(A197&amp;"",AthleteNumbers,0))</f>
        <v>0</v>
      </c>
      <c r="J197" s="209">
        <f t="array" ref="J197">IF(I197&gt;0,INDEX(DB,$I197,6),0)</f>
        <v>0</v>
      </c>
      <c r="K197" s="446">
        <f t="shared" si="5"/>
        <v>0</v>
      </c>
      <c r="L197" s="446">
        <f t="shared" si="6"/>
        <v>0</v>
      </c>
      <c r="M197" s="441">
        <f>IF(L197&lt;O197,MinPoints,IF(AND(L197&gt;N197,O197&gt;0),100,+INT(($L197-O197)/P197)+MinPoints))</f>
        <v>10</v>
      </c>
      <c r="N197" s="440">
        <f t="shared" si="7"/>
        <v>50</v>
      </c>
      <c r="O197" s="440">
        <f t="shared" si="8"/>
        <v>5</v>
      </c>
      <c r="P197" s="440">
        <f t="shared" si="9"/>
        <v>0.5</v>
      </c>
      <c r="Q197">
        <f t="array" ref="Q197">IF(I197&gt;0,INDEX(DB,I197,9),EventIndex)</f>
        <v>6</v>
      </c>
      <c r="S197" s="442">
        <f t="array" ref="S197">INDEX(MINVALUES,$Q197,$K$1)</f>
        <v>5</v>
      </c>
      <c r="T197">
        <f t="array" ref="T197">INDEX(INCVALUES,$Q197,$K$1)</f>
        <v>0.5</v>
      </c>
      <c r="V197">
        <f t="array" ref="V197">+J197+(4*(INDEX(MatchScoreTable,$Q197,20)-1))</f>
        <v>4</v>
      </c>
      <c r="W197" s="442">
        <f t="array" ref="W197">INDEX(INC_MINVALUES,$V197,$K$1)</f>
        <v>2.5</v>
      </c>
      <c r="X197" s="212">
        <f t="array" ref="X197">INDEX(INC_INCVALUES,$V197,$K$1)</f>
        <v>0.5</v>
      </c>
    </row>
    <row r="198" ht="15.75" customHeight="1">
      <c r="A198" s="435"/>
      <c r="B198" s="436"/>
      <c r="C198" s="95" t="str">
        <f t="array" ref="C198">IF(I198&gt;0,INDEX(DB,I198,8),"")</f>
        <v/>
      </c>
      <c r="D198" s="437">
        <f t="shared" si="1"/>
        <v>0</v>
      </c>
      <c r="F198" s="438">
        <f t="shared" si="2"/>
        <v>0</v>
      </c>
      <c r="G198" t="str">
        <f t="shared" si="3"/>
        <v/>
      </c>
      <c r="H198" t="b">
        <f t="shared" si="4"/>
        <v>0</v>
      </c>
      <c r="I198" s="439">
        <f>IF(OR(ISBLANK(A198),ISNA(MATCH(A198&amp;"",AthleteNumbers,0))),0,MATCH(A198&amp;"",AthleteNumbers,0))</f>
        <v>0</v>
      </c>
      <c r="J198" s="209">
        <f t="array" ref="J198">IF(I198&gt;0,INDEX(DB,$I198,6),0)</f>
        <v>0</v>
      </c>
      <c r="K198" s="446">
        <f t="shared" si="5"/>
        <v>0</v>
      </c>
      <c r="L198" s="446">
        <f t="shared" si="6"/>
        <v>0</v>
      </c>
      <c r="M198" s="441">
        <f>IF(L198&lt;O198,MinPoints,IF(AND(L198&gt;N198,O198&gt;0),100,+INT(($L198-O198)/P198)+MinPoints))</f>
        <v>10</v>
      </c>
      <c r="N198" s="440">
        <f t="shared" si="7"/>
        <v>50</v>
      </c>
      <c r="O198" s="440">
        <f t="shared" si="8"/>
        <v>5</v>
      </c>
      <c r="P198" s="440">
        <f t="shared" si="9"/>
        <v>0.5</v>
      </c>
      <c r="Q198">
        <f t="array" ref="Q198">IF(I198&gt;0,INDEX(DB,I198,9),EventIndex)</f>
        <v>6</v>
      </c>
      <c r="S198" s="442">
        <f t="array" ref="S198">INDEX(MINVALUES,$Q198,$K$1)</f>
        <v>5</v>
      </c>
      <c r="T198">
        <f t="array" ref="T198">INDEX(INCVALUES,$Q198,$K$1)</f>
        <v>0.5</v>
      </c>
      <c r="V198">
        <f t="array" ref="V198">+J198+(4*(INDEX(MatchScoreTable,$Q198,20)-1))</f>
        <v>4</v>
      </c>
      <c r="W198" s="442">
        <f t="array" ref="W198">INDEX(INC_MINVALUES,$V198,$K$1)</f>
        <v>2.5</v>
      </c>
      <c r="X198" s="212">
        <f t="array" ref="X198">INDEX(INC_INCVALUES,$V198,$K$1)</f>
        <v>0.5</v>
      </c>
    </row>
    <row r="199" ht="15.75" customHeight="1">
      <c r="A199" s="435"/>
      <c r="B199" s="436"/>
      <c r="C199" s="95" t="str">
        <f t="array" ref="C199">IF(I199&gt;0,INDEX(DB,I199,8),"")</f>
        <v/>
      </c>
      <c r="D199" s="437">
        <f t="shared" si="1"/>
        <v>0</v>
      </c>
      <c r="F199" s="438">
        <f t="shared" si="2"/>
        <v>0</v>
      </c>
      <c r="G199" t="str">
        <f t="shared" si="3"/>
        <v/>
      </c>
      <c r="H199" t="b">
        <f t="shared" si="4"/>
        <v>0</v>
      </c>
      <c r="I199" s="439">
        <f>IF(OR(ISBLANK(A199),ISNA(MATCH(A199&amp;"",AthleteNumbers,0))),0,MATCH(A199&amp;"",AthleteNumbers,0))</f>
        <v>0</v>
      </c>
      <c r="J199" s="209">
        <f t="array" ref="J199">IF(I199&gt;0,INDEX(DB,$I199,6),0)</f>
        <v>0</v>
      </c>
      <c r="K199" s="446">
        <f t="shared" si="5"/>
        <v>0</v>
      </c>
      <c r="L199" s="446">
        <f t="shared" si="6"/>
        <v>0</v>
      </c>
      <c r="M199" s="441">
        <f>IF(L199&lt;O199,MinPoints,IF(AND(L199&gt;N199,O199&gt;0),100,+INT(($L199-O199)/P199)+MinPoints))</f>
        <v>10</v>
      </c>
      <c r="N199" s="440">
        <f t="shared" si="7"/>
        <v>50</v>
      </c>
      <c r="O199" s="440">
        <f t="shared" si="8"/>
        <v>5</v>
      </c>
      <c r="P199" s="440">
        <f t="shared" si="9"/>
        <v>0.5</v>
      </c>
      <c r="Q199">
        <f t="array" ref="Q199">IF(I199&gt;0,INDEX(DB,I199,9),EventIndex)</f>
        <v>6</v>
      </c>
      <c r="S199" s="442">
        <f t="array" ref="S199">INDEX(MINVALUES,$Q199,$K$1)</f>
        <v>5</v>
      </c>
      <c r="T199">
        <f t="array" ref="T199">INDEX(INCVALUES,$Q199,$K$1)</f>
        <v>0.5</v>
      </c>
      <c r="V199">
        <f t="array" ref="V199">+J199+(4*(INDEX(MatchScoreTable,$Q199,20)-1))</f>
        <v>4</v>
      </c>
      <c r="W199" s="442">
        <f t="array" ref="W199">INDEX(INC_MINVALUES,$V199,$K$1)</f>
        <v>2.5</v>
      </c>
      <c r="X199" s="212">
        <f t="array" ref="X199">INDEX(INC_INCVALUES,$V199,$K$1)</f>
        <v>0.5</v>
      </c>
    </row>
    <row r="200" ht="15.75" customHeight="1">
      <c r="A200" s="435"/>
      <c r="B200" s="436"/>
      <c r="C200" s="95" t="str">
        <f t="array" ref="C200">IF(I200&gt;0,INDEX(DB,I200,8),"")</f>
        <v/>
      </c>
      <c r="D200" s="437">
        <f t="shared" si="1"/>
        <v>0</v>
      </c>
      <c r="F200" s="438">
        <f t="shared" si="2"/>
        <v>0</v>
      </c>
      <c r="G200" t="str">
        <f t="shared" si="3"/>
        <v/>
      </c>
      <c r="H200" t="b">
        <f t="shared" si="4"/>
        <v>0</v>
      </c>
      <c r="I200" s="439">
        <f>IF(OR(ISBLANK(A200),ISNA(MATCH(A200&amp;"",AthleteNumbers,0))),0,MATCH(A200&amp;"",AthleteNumbers,0))</f>
        <v>0</v>
      </c>
      <c r="J200" s="209">
        <f t="array" ref="J200">IF(I200&gt;0,INDEX(DB,$I200,6),0)</f>
        <v>0</v>
      </c>
      <c r="K200" s="446">
        <f t="shared" si="5"/>
        <v>0</v>
      </c>
      <c r="L200" s="446">
        <f t="shared" si="6"/>
        <v>0</v>
      </c>
      <c r="M200" s="441">
        <f>IF(L200&lt;O200,MinPoints,IF(AND(L200&gt;N200,O200&gt;0),100,+INT(($L200-O200)/P200)+MinPoints))</f>
        <v>10</v>
      </c>
      <c r="N200" s="440">
        <f t="shared" si="7"/>
        <v>50</v>
      </c>
      <c r="O200" s="440">
        <f t="shared" si="8"/>
        <v>5</v>
      </c>
      <c r="P200" s="440">
        <f t="shared" si="9"/>
        <v>0.5</v>
      </c>
      <c r="Q200">
        <f t="array" ref="Q200">IF(I200&gt;0,INDEX(DB,I200,9),EventIndex)</f>
        <v>6</v>
      </c>
      <c r="S200" s="442">
        <f t="array" ref="S200">INDEX(MINVALUES,$Q200,$K$1)</f>
        <v>5</v>
      </c>
      <c r="T200">
        <f t="array" ref="T200">INDEX(INCVALUES,$Q200,$K$1)</f>
        <v>0.5</v>
      </c>
      <c r="V200">
        <f t="array" ref="V200">+J200+(4*(INDEX(MatchScoreTable,$Q200,20)-1))</f>
        <v>4</v>
      </c>
      <c r="W200" s="442">
        <f t="array" ref="W200">INDEX(INC_MINVALUES,$V200,$K$1)</f>
        <v>2.5</v>
      </c>
      <c r="X200" s="212">
        <f t="array" ref="X200">INDEX(INC_INCVALUES,$V200,$K$1)</f>
        <v>0.5</v>
      </c>
    </row>
    <row r="201" ht="15.75" customHeight="1">
      <c r="A201" s="435"/>
      <c r="B201" s="436"/>
      <c r="C201" s="95" t="str">
        <f t="array" ref="C201">IF(I201&gt;0,INDEX(DB,I201,8),"")</f>
        <v/>
      </c>
      <c r="D201" s="437">
        <f t="shared" si="1"/>
        <v>0</v>
      </c>
      <c r="F201" s="438">
        <f t="shared" si="2"/>
        <v>0</v>
      </c>
      <c r="G201" t="str">
        <f t="shared" si="3"/>
        <v/>
      </c>
      <c r="H201" t="b">
        <f t="shared" si="4"/>
        <v>0</v>
      </c>
      <c r="I201" s="439">
        <f>IF(OR(ISBLANK(A201),ISNA(MATCH(A201&amp;"",AthleteNumbers,0))),0,MATCH(A201&amp;"",AthleteNumbers,0))</f>
        <v>0</v>
      </c>
      <c r="J201" s="209">
        <f t="array" ref="J201">IF(I201&gt;0,INDEX(DB,$I201,6),0)</f>
        <v>0</v>
      </c>
      <c r="K201" s="446">
        <f t="shared" si="5"/>
        <v>0</v>
      </c>
      <c r="L201" s="446">
        <f t="shared" si="6"/>
        <v>0</v>
      </c>
      <c r="M201" s="441">
        <f>IF(L201&lt;O201,MinPoints,IF(AND(L201&gt;N201,O201&gt;0),100,+INT(($L201-O201)/P201)+MinPoints))</f>
        <v>10</v>
      </c>
      <c r="N201" s="440">
        <f t="shared" si="7"/>
        <v>50</v>
      </c>
      <c r="O201" s="440">
        <f t="shared" si="8"/>
        <v>5</v>
      </c>
      <c r="P201" s="440">
        <f t="shared" si="9"/>
        <v>0.5</v>
      </c>
      <c r="Q201">
        <f t="array" ref="Q201">IF(I201&gt;0,INDEX(DB,I201,9),EventIndex)</f>
        <v>6</v>
      </c>
      <c r="S201" s="442">
        <f t="array" ref="S201">INDEX(MINVALUES,$Q201,$K$1)</f>
        <v>5</v>
      </c>
      <c r="T201">
        <f t="array" ref="T201">INDEX(INCVALUES,$Q201,$K$1)</f>
        <v>0.5</v>
      </c>
      <c r="V201">
        <f t="array" ref="V201">+J201+(4*(INDEX(MatchScoreTable,$Q201,20)-1))</f>
        <v>4</v>
      </c>
      <c r="W201" s="442">
        <f t="array" ref="W201">INDEX(INC_MINVALUES,$V201,$K$1)</f>
        <v>2.5</v>
      </c>
      <c r="X201" s="212">
        <f t="array" ref="X201">INDEX(INC_INCVALUES,$V201,$K$1)</f>
        <v>0.5</v>
      </c>
    </row>
    <row r="202" ht="15.75" customHeight="1">
      <c r="A202" s="435"/>
      <c r="B202" s="436"/>
      <c r="C202" s="95" t="str">
        <f t="array" ref="C202">IF(I202&gt;0,INDEX(DB,I202,8),"")</f>
        <v/>
      </c>
      <c r="D202" s="437">
        <f t="shared" si="1"/>
        <v>0</v>
      </c>
      <c r="F202" s="438">
        <f t="shared" si="2"/>
        <v>0</v>
      </c>
      <c r="G202" t="str">
        <f t="shared" si="3"/>
        <v/>
      </c>
      <c r="H202" t="b">
        <f t="shared" si="4"/>
        <v>0</v>
      </c>
      <c r="I202" s="439">
        <f>IF(OR(ISBLANK(A202),ISNA(MATCH(A202&amp;"",AthleteNumbers,0))),0,MATCH(A202&amp;"",AthleteNumbers,0))</f>
        <v>0</v>
      </c>
      <c r="J202" s="209">
        <f t="array" ref="J202">IF(I202&gt;0,INDEX(DB,$I202,6),0)</f>
        <v>0</v>
      </c>
      <c r="K202" s="446">
        <f t="shared" si="5"/>
        <v>0</v>
      </c>
      <c r="L202" s="446">
        <f t="shared" si="6"/>
        <v>0</v>
      </c>
      <c r="M202" s="441">
        <f>IF(L202&lt;O202,MinPoints,IF(AND(L202&gt;N202,O202&gt;0),100,+INT(($L202-O202)/P202)+MinPoints))</f>
        <v>10</v>
      </c>
      <c r="N202" s="440">
        <f t="shared" si="7"/>
        <v>50</v>
      </c>
      <c r="O202" s="440">
        <f t="shared" si="8"/>
        <v>5</v>
      </c>
      <c r="P202" s="440">
        <f t="shared" si="9"/>
        <v>0.5</v>
      </c>
      <c r="Q202">
        <f t="array" ref="Q202">IF(I202&gt;0,INDEX(DB,I202,9),EventIndex)</f>
        <v>6</v>
      </c>
      <c r="S202" s="442">
        <f t="array" ref="S202">INDEX(MINVALUES,$Q202,$K$1)</f>
        <v>5</v>
      </c>
      <c r="T202">
        <f t="array" ref="T202">INDEX(INCVALUES,$Q202,$K$1)</f>
        <v>0.5</v>
      </c>
      <c r="V202">
        <f t="array" ref="V202">+J202+(4*(INDEX(MatchScoreTable,$Q202,20)-1))</f>
        <v>4</v>
      </c>
      <c r="W202" s="442">
        <f t="array" ref="W202">INDEX(INC_MINVALUES,$V202,$K$1)</f>
        <v>2.5</v>
      </c>
      <c r="X202" s="212">
        <f t="array" ref="X202">INDEX(INC_INCVALUES,$V202,$K$1)</f>
        <v>0.5</v>
      </c>
    </row>
    <row r="203" ht="15.75" customHeight="1">
      <c r="A203" s="435"/>
      <c r="B203" s="436"/>
      <c r="C203" s="95" t="str">
        <f t="array" ref="C203">IF(I203&gt;0,INDEX(DB,I203,8),"")</f>
        <v/>
      </c>
      <c r="D203" s="437">
        <f t="shared" si="1"/>
        <v>0</v>
      </c>
      <c r="F203" s="438">
        <f t="shared" si="2"/>
        <v>0</v>
      </c>
      <c r="G203" t="str">
        <f t="shared" si="3"/>
        <v/>
      </c>
      <c r="H203" t="b">
        <f t="shared" si="4"/>
        <v>0</v>
      </c>
      <c r="I203" s="439">
        <f>IF(OR(ISBLANK(A203),ISNA(MATCH(A203&amp;"",AthleteNumbers,0))),0,MATCH(A203&amp;"",AthleteNumbers,0))</f>
        <v>0</v>
      </c>
      <c r="J203" s="209">
        <f t="array" ref="J203">IF(I203&gt;0,INDEX(DB,$I203,6),0)</f>
        <v>0</v>
      </c>
      <c r="K203" s="446">
        <f t="shared" si="5"/>
        <v>0</v>
      </c>
      <c r="L203" s="446">
        <f t="shared" si="6"/>
        <v>0</v>
      </c>
      <c r="M203" s="441">
        <f>IF(L203&lt;O203,MinPoints,IF(AND(L203&gt;N203,O203&gt;0),100,+INT(($L203-O203)/P203)+MinPoints))</f>
        <v>10</v>
      </c>
      <c r="N203" s="440">
        <f t="shared" si="7"/>
        <v>50</v>
      </c>
      <c r="O203" s="440">
        <f t="shared" si="8"/>
        <v>5</v>
      </c>
      <c r="P203" s="440">
        <f t="shared" si="9"/>
        <v>0.5</v>
      </c>
      <c r="Q203">
        <f t="array" ref="Q203">IF(I203&gt;0,INDEX(DB,I203,9),EventIndex)</f>
        <v>6</v>
      </c>
      <c r="S203" s="442">
        <f t="array" ref="S203">INDEX(MINVALUES,$Q203,$K$1)</f>
        <v>5</v>
      </c>
      <c r="T203">
        <f t="array" ref="T203">INDEX(INCVALUES,$Q203,$K$1)</f>
        <v>0.5</v>
      </c>
      <c r="V203">
        <f t="array" ref="V203">+J203+(4*(INDEX(MatchScoreTable,$Q203,20)-1))</f>
        <v>4</v>
      </c>
      <c r="W203" s="442">
        <f t="array" ref="W203">INDEX(INC_MINVALUES,$V203,$K$1)</f>
        <v>2.5</v>
      </c>
      <c r="X203" s="212">
        <f t="array" ref="X203">INDEX(INC_INCVALUES,$V203,$K$1)</f>
        <v>0.5</v>
      </c>
    </row>
    <row r="204" ht="15.75" customHeight="1">
      <c r="A204" s="435"/>
      <c r="B204" s="436"/>
      <c r="C204" s="95" t="str">
        <f t="array" ref="C204">IF(I204&gt;0,INDEX(DB,I204,8),"")</f>
        <v/>
      </c>
      <c r="D204" s="437">
        <f t="shared" si="1"/>
        <v>0</v>
      </c>
      <c r="F204" s="438">
        <f t="shared" si="2"/>
        <v>0</v>
      </c>
      <c r="G204" t="str">
        <f t="shared" si="3"/>
        <v/>
      </c>
      <c r="H204" t="b">
        <f t="shared" si="4"/>
        <v>0</v>
      </c>
      <c r="I204" s="439">
        <f>IF(OR(ISBLANK(A204),ISNA(MATCH(A204&amp;"",AthleteNumbers,0))),0,MATCH(A204&amp;"",AthleteNumbers,0))</f>
        <v>0</v>
      </c>
      <c r="J204" s="209">
        <f t="array" ref="J204">IF(I204&gt;0,INDEX(DB,$I204,6),0)</f>
        <v>0</v>
      </c>
      <c r="K204" s="446">
        <f t="shared" si="5"/>
        <v>0</v>
      </c>
      <c r="L204" s="446">
        <f t="shared" si="6"/>
        <v>0</v>
      </c>
      <c r="M204" s="441">
        <f>IF(L204&lt;O204,MinPoints,IF(AND(L204&gt;N204,O204&gt;0),100,+INT(($L204-O204)/P204)+MinPoints))</f>
        <v>10</v>
      </c>
      <c r="N204" s="440">
        <f t="shared" si="7"/>
        <v>50</v>
      </c>
      <c r="O204" s="440">
        <f t="shared" si="8"/>
        <v>5</v>
      </c>
      <c r="P204" s="440">
        <f t="shared" si="9"/>
        <v>0.5</v>
      </c>
      <c r="Q204">
        <f t="array" ref="Q204">IF(I204&gt;0,INDEX(DB,I204,9),EventIndex)</f>
        <v>6</v>
      </c>
      <c r="S204" s="442">
        <f t="array" ref="S204">INDEX(MINVALUES,$Q204,$K$1)</f>
        <v>5</v>
      </c>
      <c r="T204">
        <f t="array" ref="T204">INDEX(INCVALUES,$Q204,$K$1)</f>
        <v>0.5</v>
      </c>
      <c r="V204">
        <f t="array" ref="V204">+J204+(4*(INDEX(MatchScoreTable,$Q204,20)-1))</f>
        <v>4</v>
      </c>
      <c r="W204" s="442">
        <f t="array" ref="W204">INDEX(INC_MINVALUES,$V204,$K$1)</f>
        <v>2.5</v>
      </c>
      <c r="X204" s="212">
        <f t="array" ref="X204">INDEX(INC_INCVALUES,$V204,$K$1)</f>
        <v>0.5</v>
      </c>
    </row>
    <row r="205" ht="15.75" customHeight="1">
      <c r="A205" s="435"/>
      <c r="B205" s="436"/>
      <c r="C205" s="95" t="str">
        <f t="array" ref="C205">IF(I205&gt;0,INDEX(DB,I205,8),"")</f>
        <v/>
      </c>
      <c r="D205" s="437">
        <f t="shared" si="1"/>
        <v>0</v>
      </c>
      <c r="F205" s="438">
        <f t="shared" si="2"/>
        <v>0</v>
      </c>
      <c r="G205" t="str">
        <f t="shared" si="3"/>
        <v/>
      </c>
      <c r="H205" t="b">
        <f t="shared" si="4"/>
        <v>0</v>
      </c>
      <c r="I205" s="439">
        <f>IF(OR(ISBLANK(A205),ISNA(MATCH(A205&amp;"",AthleteNumbers,0))),0,MATCH(A205&amp;"",AthleteNumbers,0))</f>
        <v>0</v>
      </c>
      <c r="J205" s="209">
        <f t="array" ref="J205">IF(I205&gt;0,INDEX(DB,$I205,6),0)</f>
        <v>0</v>
      </c>
      <c r="K205" s="446">
        <f t="shared" si="5"/>
        <v>0</v>
      </c>
      <c r="L205" s="446">
        <f t="shared" si="6"/>
        <v>0</v>
      </c>
      <c r="M205" s="441">
        <f>IF(L205&lt;O205,MinPoints,IF(AND(L205&gt;N205,O205&gt;0),100,+INT(($L205-O205)/P205)+MinPoints))</f>
        <v>10</v>
      </c>
      <c r="N205" s="440">
        <f t="shared" si="7"/>
        <v>50</v>
      </c>
      <c r="O205" s="440">
        <f t="shared" si="8"/>
        <v>5</v>
      </c>
      <c r="P205" s="440">
        <f t="shared" si="9"/>
        <v>0.5</v>
      </c>
      <c r="Q205">
        <f t="array" ref="Q205">IF(I205&gt;0,INDEX(DB,I205,9),EventIndex)</f>
        <v>6</v>
      </c>
      <c r="S205" s="442">
        <f t="array" ref="S205">INDEX(MINVALUES,$Q205,$K$1)</f>
        <v>5</v>
      </c>
      <c r="T205">
        <f t="array" ref="T205">INDEX(INCVALUES,$Q205,$K$1)</f>
        <v>0.5</v>
      </c>
      <c r="V205">
        <f t="array" ref="V205">+J205+(4*(INDEX(MatchScoreTable,$Q205,20)-1))</f>
        <v>4</v>
      </c>
      <c r="W205" s="442">
        <f t="array" ref="W205">INDEX(INC_MINVALUES,$V205,$K$1)</f>
        <v>2.5</v>
      </c>
      <c r="X205" s="212">
        <f t="array" ref="X205">INDEX(INC_INCVALUES,$V205,$K$1)</f>
        <v>0.5</v>
      </c>
    </row>
    <row r="206" ht="15.75" customHeight="1">
      <c r="A206" s="435"/>
      <c r="B206" s="436"/>
      <c r="C206" s="95" t="str">
        <f t="array" ref="C206">IF(I206&gt;0,INDEX(DB,I206,8),"")</f>
        <v/>
      </c>
      <c r="D206" s="437">
        <f t="shared" si="1"/>
        <v>0</v>
      </c>
      <c r="F206" s="438">
        <f t="shared" si="2"/>
        <v>0</v>
      </c>
      <c r="G206" t="str">
        <f t="shared" si="3"/>
        <v/>
      </c>
      <c r="H206" t="b">
        <f t="shared" si="4"/>
        <v>0</v>
      </c>
      <c r="I206" s="439">
        <f>IF(OR(ISBLANK(A206),ISNA(MATCH(A206&amp;"",AthleteNumbers,0))),0,MATCH(A206&amp;"",AthleteNumbers,0))</f>
        <v>0</v>
      </c>
      <c r="J206" s="209">
        <f t="array" ref="J206">IF(I206&gt;0,INDEX(DB,$I206,6),0)</f>
        <v>0</v>
      </c>
      <c r="K206" s="446">
        <f t="shared" si="5"/>
        <v>0</v>
      </c>
      <c r="L206" s="446">
        <f t="shared" si="6"/>
        <v>0</v>
      </c>
      <c r="M206" s="441">
        <f>IF(L206&lt;O206,MinPoints,IF(AND(L206&gt;N206,O206&gt;0),100,+INT(($L206-O206)/P206)+MinPoints))</f>
        <v>10</v>
      </c>
      <c r="N206" s="440">
        <f t="shared" si="7"/>
        <v>50</v>
      </c>
      <c r="O206" s="440">
        <f t="shared" si="8"/>
        <v>5</v>
      </c>
      <c r="P206" s="440">
        <f t="shared" si="9"/>
        <v>0.5</v>
      </c>
      <c r="Q206">
        <f t="array" ref="Q206">IF(I206&gt;0,INDEX(DB,I206,9),EventIndex)</f>
        <v>6</v>
      </c>
      <c r="S206" s="442">
        <f t="array" ref="S206">INDEX(MINVALUES,$Q206,$K$1)</f>
        <v>5</v>
      </c>
      <c r="T206">
        <f t="array" ref="T206">INDEX(INCVALUES,$Q206,$K$1)</f>
        <v>0.5</v>
      </c>
      <c r="V206">
        <f t="array" ref="V206">+J206+(4*(INDEX(MatchScoreTable,$Q206,20)-1))</f>
        <v>4</v>
      </c>
      <c r="W206" s="442">
        <f t="array" ref="W206">INDEX(INC_MINVALUES,$V206,$K$1)</f>
        <v>2.5</v>
      </c>
      <c r="X206" s="212">
        <f t="array" ref="X206">INDEX(INC_INCVALUES,$V206,$K$1)</f>
        <v>0.5</v>
      </c>
    </row>
    <row r="207" ht="15.75" customHeight="1">
      <c r="A207" s="435"/>
      <c r="B207" s="436"/>
      <c r="C207" s="95" t="str">
        <f t="array" ref="C207">IF(I207&gt;0,INDEX(DB,I207,8),"")</f>
        <v/>
      </c>
      <c r="D207" s="437">
        <f t="shared" si="1"/>
        <v>0</v>
      </c>
      <c r="F207" s="438">
        <f t="shared" si="2"/>
        <v>0</v>
      </c>
      <c r="G207" t="str">
        <f t="shared" si="3"/>
        <v/>
      </c>
      <c r="H207" t="b">
        <f t="shared" si="4"/>
        <v>0</v>
      </c>
      <c r="I207" s="439">
        <f>IF(OR(ISBLANK(A207),ISNA(MATCH(A207&amp;"",AthleteNumbers,0))),0,MATCH(A207&amp;"",AthleteNumbers,0))</f>
        <v>0</v>
      </c>
      <c r="J207" s="209">
        <f t="array" ref="J207">IF(I207&gt;0,INDEX(DB,$I207,6),0)</f>
        <v>0</v>
      </c>
      <c r="K207" s="446">
        <f t="shared" si="5"/>
        <v>0</v>
      </c>
      <c r="L207" s="446">
        <f t="shared" si="6"/>
        <v>0</v>
      </c>
      <c r="M207" s="441">
        <f>IF(L207&lt;O207,MinPoints,IF(AND(L207&gt;N207,O207&gt;0),100,+INT(($L207-O207)/P207)+MinPoints))</f>
        <v>10</v>
      </c>
      <c r="N207" s="440">
        <f t="shared" si="7"/>
        <v>50</v>
      </c>
      <c r="O207" s="440">
        <f t="shared" si="8"/>
        <v>5</v>
      </c>
      <c r="P207" s="440">
        <f t="shared" si="9"/>
        <v>0.5</v>
      </c>
      <c r="Q207">
        <f t="array" ref="Q207">IF(I207&gt;0,INDEX(DB,I207,9),EventIndex)</f>
        <v>6</v>
      </c>
      <c r="S207" s="442">
        <f t="array" ref="S207">INDEX(MINVALUES,$Q207,$K$1)</f>
        <v>5</v>
      </c>
      <c r="T207">
        <f t="array" ref="T207">INDEX(INCVALUES,$Q207,$K$1)</f>
        <v>0.5</v>
      </c>
      <c r="V207">
        <f t="array" ref="V207">+J207+(4*(INDEX(MatchScoreTable,$Q207,20)-1))</f>
        <v>4</v>
      </c>
      <c r="W207" s="442">
        <f t="array" ref="W207">INDEX(INC_MINVALUES,$V207,$K$1)</f>
        <v>2.5</v>
      </c>
      <c r="X207" s="212">
        <f t="array" ref="X207">INDEX(INC_INCVALUES,$V207,$K$1)</f>
        <v>0.5</v>
      </c>
    </row>
    <row r="208" ht="15.75" customHeight="1">
      <c r="A208" s="435"/>
      <c r="B208" s="436"/>
      <c r="C208" s="95" t="str">
        <f t="array" ref="C208">IF(I208&gt;0,INDEX(DB,I208,8),"")</f>
        <v/>
      </c>
      <c r="D208" s="437">
        <f t="shared" si="1"/>
        <v>0</v>
      </c>
      <c r="F208" s="438">
        <f t="shared" si="2"/>
        <v>0</v>
      </c>
      <c r="G208" t="str">
        <f t="shared" si="3"/>
        <v/>
      </c>
      <c r="H208" t="b">
        <f t="shared" si="4"/>
        <v>0</v>
      </c>
      <c r="I208" s="439">
        <f>IF(OR(ISBLANK(A208),ISNA(MATCH(A208&amp;"",AthleteNumbers,0))),0,MATCH(A208&amp;"",AthleteNumbers,0))</f>
        <v>0</v>
      </c>
      <c r="J208" s="209">
        <f t="array" ref="J208">IF(I208&gt;0,INDEX(DB,$I208,6),0)</f>
        <v>0</v>
      </c>
      <c r="K208" s="446">
        <f t="shared" si="5"/>
        <v>0</v>
      </c>
      <c r="L208" s="446">
        <f t="shared" si="6"/>
        <v>0</v>
      </c>
      <c r="M208" s="441">
        <f>IF(L208&lt;O208,MinPoints,IF(AND(L208&gt;N208,O208&gt;0),100,+INT(($L208-O208)/P208)+MinPoints))</f>
        <v>10</v>
      </c>
      <c r="N208" s="440">
        <f t="shared" si="7"/>
        <v>50</v>
      </c>
      <c r="O208" s="440">
        <f t="shared" si="8"/>
        <v>5</v>
      </c>
      <c r="P208" s="440">
        <f t="shared" si="9"/>
        <v>0.5</v>
      </c>
      <c r="Q208">
        <f t="array" ref="Q208">IF(I208&gt;0,INDEX(DB,I208,9),EventIndex)</f>
        <v>6</v>
      </c>
      <c r="S208" s="442">
        <f t="array" ref="S208">INDEX(MINVALUES,$Q208,$K$1)</f>
        <v>5</v>
      </c>
      <c r="T208">
        <f t="array" ref="T208">INDEX(INCVALUES,$Q208,$K$1)</f>
        <v>0.5</v>
      </c>
      <c r="V208">
        <f t="array" ref="V208">+J208+(4*(INDEX(MatchScoreTable,$Q208,20)-1))</f>
        <v>4</v>
      </c>
      <c r="W208" s="442">
        <f t="array" ref="W208">INDEX(INC_MINVALUES,$V208,$K$1)</f>
        <v>2.5</v>
      </c>
      <c r="X208" s="212">
        <f t="array" ref="X208">INDEX(INC_INCVALUES,$V208,$K$1)</f>
        <v>0.5</v>
      </c>
    </row>
    <row r="209" ht="15.75" customHeight="1">
      <c r="A209" s="435"/>
      <c r="B209" s="436"/>
      <c r="C209" s="95" t="str">
        <f t="array" ref="C209">IF(I209&gt;0,INDEX(DB,I209,8),"")</f>
        <v/>
      </c>
      <c r="D209" s="437">
        <f t="shared" si="1"/>
        <v>0</v>
      </c>
      <c r="F209" s="438">
        <f t="shared" si="2"/>
        <v>0</v>
      </c>
      <c r="G209" t="str">
        <f t="shared" si="3"/>
        <v/>
      </c>
      <c r="H209" t="b">
        <f t="shared" si="4"/>
        <v>0</v>
      </c>
      <c r="I209" s="439">
        <f>IF(OR(ISBLANK(A209),ISNA(MATCH(A209&amp;"",AthleteNumbers,0))),0,MATCH(A209&amp;"",AthleteNumbers,0))</f>
        <v>0</v>
      </c>
      <c r="J209" s="209">
        <f t="array" ref="J209">IF(I209&gt;0,INDEX(DB,$I209,6),0)</f>
        <v>0</v>
      </c>
      <c r="K209" s="446">
        <f t="shared" si="5"/>
        <v>0</v>
      </c>
      <c r="L209" s="446">
        <f t="shared" si="6"/>
        <v>0</v>
      </c>
      <c r="M209" s="441">
        <f>IF(L209&lt;O209,MinPoints,IF(AND(L209&gt;N209,O209&gt;0),100,+INT(($L209-O209)/P209)+MinPoints))</f>
        <v>10</v>
      </c>
      <c r="N209" s="440">
        <f t="shared" si="7"/>
        <v>50</v>
      </c>
      <c r="O209" s="440">
        <f t="shared" si="8"/>
        <v>5</v>
      </c>
      <c r="P209" s="440">
        <f t="shared" si="9"/>
        <v>0.5</v>
      </c>
      <c r="Q209">
        <f t="array" ref="Q209">IF(I209&gt;0,INDEX(DB,I209,9),EventIndex)</f>
        <v>6</v>
      </c>
      <c r="S209" s="442">
        <f t="array" ref="S209">INDEX(MINVALUES,$Q209,$K$1)</f>
        <v>5</v>
      </c>
      <c r="T209">
        <f t="array" ref="T209">INDEX(INCVALUES,$Q209,$K$1)</f>
        <v>0.5</v>
      </c>
      <c r="V209">
        <f t="array" ref="V209">+J209+(4*(INDEX(MatchScoreTable,$Q209,20)-1))</f>
        <v>4</v>
      </c>
      <c r="W209" s="442">
        <f t="array" ref="W209">INDEX(INC_MINVALUES,$V209,$K$1)</f>
        <v>2.5</v>
      </c>
      <c r="X209" s="212">
        <f t="array" ref="X209">INDEX(INC_INCVALUES,$V209,$K$1)</f>
        <v>0.5</v>
      </c>
    </row>
    <row r="210" ht="15.75" customHeight="1">
      <c r="A210" s="435"/>
      <c r="B210" s="436"/>
      <c r="C210" s="95" t="str">
        <f t="array" ref="C210">IF(I210&gt;0,INDEX(DB,I210,8),"")</f>
        <v/>
      </c>
      <c r="D210" s="437">
        <f t="shared" si="1"/>
        <v>0</v>
      </c>
      <c r="F210" s="438">
        <f t="shared" si="2"/>
        <v>0</v>
      </c>
      <c r="G210" t="str">
        <f t="shared" si="3"/>
        <v/>
      </c>
      <c r="H210" t="b">
        <f t="shared" si="4"/>
        <v>0</v>
      </c>
      <c r="I210" s="439">
        <f>IF(OR(ISBLANK(A210),ISNA(MATCH(A210&amp;"",AthleteNumbers,0))),0,MATCH(A210&amp;"",AthleteNumbers,0))</f>
        <v>0</v>
      </c>
      <c r="J210" s="209">
        <f t="array" ref="J210">IF(I210&gt;0,INDEX(DB,$I210,6),0)</f>
        <v>0</v>
      </c>
      <c r="K210" s="446">
        <f t="shared" si="5"/>
        <v>0</v>
      </c>
      <c r="L210" s="446">
        <f t="shared" si="6"/>
        <v>0</v>
      </c>
      <c r="M210" s="441">
        <f>IF(L210&lt;O210,MinPoints,IF(AND(L210&gt;N210,O210&gt;0),100,+INT(($L210-O210)/P210)+MinPoints))</f>
        <v>10</v>
      </c>
      <c r="N210" s="440">
        <f t="shared" si="7"/>
        <v>50</v>
      </c>
      <c r="O210" s="440">
        <f t="shared" si="8"/>
        <v>5</v>
      </c>
      <c r="P210" s="440">
        <f t="shared" si="9"/>
        <v>0.5</v>
      </c>
      <c r="Q210">
        <f t="array" ref="Q210">IF(I210&gt;0,INDEX(DB,I210,9),EventIndex)</f>
        <v>6</v>
      </c>
      <c r="S210" s="442">
        <f t="array" ref="S210">INDEX(MINVALUES,$Q210,$K$1)</f>
        <v>5</v>
      </c>
      <c r="T210">
        <f t="array" ref="T210">INDEX(INCVALUES,$Q210,$K$1)</f>
        <v>0.5</v>
      </c>
      <c r="V210">
        <f t="array" ref="V210">+J210+(4*(INDEX(MatchScoreTable,$Q210,20)-1))</f>
        <v>4</v>
      </c>
      <c r="W210" s="442">
        <f t="array" ref="W210">INDEX(INC_MINVALUES,$V210,$K$1)</f>
        <v>2.5</v>
      </c>
      <c r="X210" s="212">
        <f t="array" ref="X210">INDEX(INC_INCVALUES,$V210,$K$1)</f>
        <v>0.5</v>
      </c>
    </row>
    <row r="211" ht="15.75" customHeight="1">
      <c r="A211" s="435"/>
      <c r="B211" s="436"/>
      <c r="C211" s="95" t="str">
        <f t="array" ref="C211">IF(I211&gt;0,INDEX(DB,I211,8),"")</f>
        <v/>
      </c>
      <c r="D211" s="437">
        <f t="shared" si="1"/>
        <v>0</v>
      </c>
      <c r="F211" s="438">
        <f t="shared" si="2"/>
        <v>0</v>
      </c>
      <c r="G211" t="str">
        <f t="shared" si="3"/>
        <v/>
      </c>
      <c r="H211" t="b">
        <f t="shared" si="4"/>
        <v>0</v>
      </c>
      <c r="I211" s="439">
        <f>IF(OR(ISBLANK(A211),ISNA(MATCH(A211&amp;"",AthleteNumbers,0))),0,MATCH(A211&amp;"",AthleteNumbers,0))</f>
        <v>0</v>
      </c>
      <c r="J211" s="209">
        <f t="array" ref="J211">IF(I211&gt;0,INDEX(DB,$I211,6),0)</f>
        <v>0</v>
      </c>
      <c r="K211" s="446">
        <f t="shared" si="5"/>
        <v>0</v>
      </c>
      <c r="L211" s="446">
        <f t="shared" si="6"/>
        <v>0</v>
      </c>
      <c r="M211" s="441">
        <f>IF(L211&lt;O211,MinPoints,IF(AND(L211&gt;N211,O211&gt;0),100,+INT(($L211-O211)/P211)+MinPoints))</f>
        <v>10</v>
      </c>
      <c r="N211" s="440">
        <f t="shared" si="7"/>
        <v>50</v>
      </c>
      <c r="O211" s="440">
        <f t="shared" si="8"/>
        <v>5</v>
      </c>
      <c r="P211" s="440">
        <f t="shared" si="9"/>
        <v>0.5</v>
      </c>
      <c r="Q211">
        <f t="array" ref="Q211">IF(I211&gt;0,INDEX(DB,I211,9),EventIndex)</f>
        <v>6</v>
      </c>
      <c r="S211" s="442">
        <f t="array" ref="S211">INDEX(MINVALUES,$Q211,$K$1)</f>
        <v>5</v>
      </c>
      <c r="T211">
        <f t="array" ref="T211">INDEX(INCVALUES,$Q211,$K$1)</f>
        <v>0.5</v>
      </c>
      <c r="V211">
        <f t="array" ref="V211">+J211+(4*(INDEX(MatchScoreTable,$Q211,20)-1))</f>
        <v>4</v>
      </c>
      <c r="W211" s="442">
        <f t="array" ref="W211">INDEX(INC_MINVALUES,$V211,$K$1)</f>
        <v>2.5</v>
      </c>
      <c r="X211" s="212">
        <f t="array" ref="X211">INDEX(INC_INCVALUES,$V211,$K$1)</f>
        <v>0.5</v>
      </c>
    </row>
    <row r="212" ht="15.75" customHeight="1">
      <c r="A212" s="435"/>
      <c r="B212" s="436"/>
      <c r="C212" s="95" t="str">
        <f t="array" ref="C212">IF(I212&gt;0,INDEX(DB,I212,8),"")</f>
        <v/>
      </c>
      <c r="D212" s="437">
        <f t="shared" si="1"/>
        <v>0</v>
      </c>
      <c r="F212" s="438">
        <f t="shared" si="2"/>
        <v>0</v>
      </c>
      <c r="G212" t="str">
        <f t="shared" si="3"/>
        <v/>
      </c>
      <c r="H212" t="b">
        <f t="shared" si="4"/>
        <v>0</v>
      </c>
      <c r="I212" s="439">
        <f>IF(OR(ISBLANK(A212),ISNA(MATCH(A212&amp;"",AthleteNumbers,0))),0,MATCH(A212&amp;"",AthleteNumbers,0))</f>
        <v>0</v>
      </c>
      <c r="J212" s="209">
        <f t="array" ref="J212">IF(I212&gt;0,INDEX(DB,$I212,6),0)</f>
        <v>0</v>
      </c>
      <c r="K212" s="446">
        <f t="shared" si="5"/>
        <v>0</v>
      </c>
      <c r="L212" s="446">
        <f t="shared" si="6"/>
        <v>0</v>
      </c>
      <c r="M212" s="441">
        <f>IF(L212&lt;O212,MinPoints,IF(AND(L212&gt;N212,O212&gt;0),100,+INT(($L212-O212)/P212)+MinPoints))</f>
        <v>10</v>
      </c>
      <c r="N212" s="440">
        <f t="shared" si="7"/>
        <v>50</v>
      </c>
      <c r="O212" s="440">
        <f t="shared" si="8"/>
        <v>5</v>
      </c>
      <c r="P212" s="440">
        <f t="shared" si="9"/>
        <v>0.5</v>
      </c>
      <c r="Q212">
        <f t="array" ref="Q212">IF(I212&gt;0,INDEX(DB,I212,9),EventIndex)</f>
        <v>6</v>
      </c>
      <c r="S212" s="442">
        <f t="array" ref="S212">INDEX(MINVALUES,$Q212,$K$1)</f>
        <v>5</v>
      </c>
      <c r="T212">
        <f t="array" ref="T212">INDEX(INCVALUES,$Q212,$K$1)</f>
        <v>0.5</v>
      </c>
      <c r="V212">
        <f t="array" ref="V212">+J212+(4*(INDEX(MatchScoreTable,$Q212,20)-1))</f>
        <v>4</v>
      </c>
      <c r="W212" s="442">
        <f t="array" ref="W212">INDEX(INC_MINVALUES,$V212,$K$1)</f>
        <v>2.5</v>
      </c>
      <c r="X212" s="212">
        <f t="array" ref="X212">INDEX(INC_INCVALUES,$V212,$K$1)</f>
        <v>0.5</v>
      </c>
    </row>
    <row r="213" ht="15.75" customHeight="1">
      <c r="A213" s="435"/>
      <c r="B213" s="436"/>
      <c r="C213" s="95" t="str">
        <f t="array" ref="C213">IF(I213&gt;0,INDEX(DB,I213,8),"")</f>
        <v/>
      </c>
      <c r="D213" s="437">
        <f t="shared" si="1"/>
        <v>0</v>
      </c>
      <c r="F213" s="438">
        <f t="shared" si="2"/>
        <v>0</v>
      </c>
      <c r="G213" t="str">
        <f t="shared" si="3"/>
        <v/>
      </c>
      <c r="H213" t="b">
        <f t="shared" si="4"/>
        <v>0</v>
      </c>
      <c r="I213" s="439">
        <f>IF(OR(ISBLANK(A213),ISNA(MATCH(A213&amp;"",AthleteNumbers,0))),0,MATCH(A213&amp;"",AthleteNumbers,0))</f>
        <v>0</v>
      </c>
      <c r="J213" s="209">
        <f t="array" ref="J213">IF(I213&gt;0,INDEX(DB,$I213,6),0)</f>
        <v>0</v>
      </c>
      <c r="K213" s="446">
        <f t="shared" si="5"/>
        <v>0</v>
      </c>
      <c r="L213" s="446">
        <f t="shared" si="6"/>
        <v>0</v>
      </c>
      <c r="M213" s="441">
        <f>IF(L213&lt;O213,MinPoints,IF(AND(L213&gt;N213,O213&gt;0),100,+INT(($L213-O213)/P213)+MinPoints))</f>
        <v>10</v>
      </c>
      <c r="N213" s="440">
        <f t="shared" si="7"/>
        <v>50</v>
      </c>
      <c r="O213" s="440">
        <f t="shared" si="8"/>
        <v>5</v>
      </c>
      <c r="P213" s="440">
        <f t="shared" si="9"/>
        <v>0.5</v>
      </c>
      <c r="Q213">
        <f t="array" ref="Q213">IF(I213&gt;0,INDEX(DB,I213,9),EventIndex)</f>
        <v>6</v>
      </c>
      <c r="S213" s="442">
        <f t="array" ref="S213">INDEX(MINVALUES,$Q213,$K$1)</f>
        <v>5</v>
      </c>
      <c r="T213">
        <f t="array" ref="T213">INDEX(INCVALUES,$Q213,$K$1)</f>
        <v>0.5</v>
      </c>
      <c r="V213">
        <f t="array" ref="V213">+J213+(4*(INDEX(MatchScoreTable,$Q213,20)-1))</f>
        <v>4</v>
      </c>
      <c r="W213" s="442">
        <f t="array" ref="W213">INDEX(INC_MINVALUES,$V213,$K$1)</f>
        <v>2.5</v>
      </c>
      <c r="X213" s="212">
        <f t="array" ref="X213">INDEX(INC_INCVALUES,$V213,$K$1)</f>
        <v>0.5</v>
      </c>
    </row>
    <row r="214" ht="15.75" customHeight="1">
      <c r="A214" s="435"/>
      <c r="B214" s="436"/>
      <c r="C214" s="95" t="str">
        <f t="array" ref="C214">IF(I214&gt;0,INDEX(DB,I214,8),"")</f>
        <v/>
      </c>
      <c r="D214" s="437">
        <f t="shared" si="1"/>
        <v>0</v>
      </c>
      <c r="F214" s="438">
        <f t="shared" si="2"/>
        <v>0</v>
      </c>
      <c r="G214" t="str">
        <f t="shared" si="3"/>
        <v/>
      </c>
      <c r="H214" t="b">
        <f t="shared" si="4"/>
        <v>0</v>
      </c>
      <c r="I214" s="439">
        <f>IF(OR(ISBLANK(A214),ISNA(MATCH(A214&amp;"",AthleteNumbers,0))),0,MATCH(A214&amp;"",AthleteNumbers,0))</f>
        <v>0</v>
      </c>
      <c r="J214" s="209">
        <f t="array" ref="J214">IF(I214&gt;0,INDEX(DB,$I214,6),0)</f>
        <v>0</v>
      </c>
      <c r="K214" s="446">
        <f t="shared" si="5"/>
        <v>0</v>
      </c>
      <c r="L214" s="446">
        <f t="shared" si="6"/>
        <v>0</v>
      </c>
      <c r="M214" s="441">
        <f>IF(L214&lt;O214,MinPoints,IF(AND(L214&gt;N214,O214&gt;0),100,+INT(($L214-O214)/P214)+MinPoints))</f>
        <v>10</v>
      </c>
      <c r="N214" s="440">
        <f t="shared" si="7"/>
        <v>50</v>
      </c>
      <c r="O214" s="440">
        <f t="shared" si="8"/>
        <v>5</v>
      </c>
      <c r="P214" s="440">
        <f t="shared" si="9"/>
        <v>0.5</v>
      </c>
      <c r="Q214">
        <f t="array" ref="Q214">IF(I214&gt;0,INDEX(DB,I214,9),EventIndex)</f>
        <v>6</v>
      </c>
      <c r="S214" s="442">
        <f t="array" ref="S214">INDEX(MINVALUES,$Q214,$K$1)</f>
        <v>5</v>
      </c>
      <c r="T214">
        <f t="array" ref="T214">INDEX(INCVALUES,$Q214,$K$1)</f>
        <v>0.5</v>
      </c>
      <c r="V214">
        <f t="array" ref="V214">+J214+(4*(INDEX(MatchScoreTable,$Q214,20)-1))</f>
        <v>4</v>
      </c>
      <c r="W214" s="442">
        <f t="array" ref="W214">INDEX(INC_MINVALUES,$V214,$K$1)</f>
        <v>2.5</v>
      </c>
      <c r="X214" s="212">
        <f t="array" ref="X214">INDEX(INC_INCVALUES,$V214,$K$1)</f>
        <v>0.5</v>
      </c>
    </row>
    <row r="215" ht="15.75" customHeight="1">
      <c r="A215" s="435"/>
      <c r="B215" s="436"/>
      <c r="C215" s="95" t="str">
        <f t="array" ref="C215">IF(I215&gt;0,INDEX(DB,I215,8),"")</f>
        <v/>
      </c>
      <c r="D215" s="437">
        <f t="shared" si="1"/>
        <v>0</v>
      </c>
      <c r="F215" s="438">
        <f t="shared" si="2"/>
        <v>0</v>
      </c>
      <c r="G215" t="str">
        <f t="shared" si="3"/>
        <v/>
      </c>
      <c r="H215" t="b">
        <f t="shared" si="4"/>
        <v>0</v>
      </c>
      <c r="I215" s="439">
        <f>IF(OR(ISBLANK(A215),ISNA(MATCH(A215&amp;"",AthleteNumbers,0))),0,MATCH(A215&amp;"",AthleteNumbers,0))</f>
        <v>0</v>
      </c>
      <c r="J215" s="209">
        <f t="array" ref="J215">IF(I215&gt;0,INDEX(DB,$I215,6),0)</f>
        <v>0</v>
      </c>
      <c r="K215" s="446">
        <f t="shared" si="5"/>
        <v>0</v>
      </c>
      <c r="L215" s="446">
        <f t="shared" si="6"/>
        <v>0</v>
      </c>
      <c r="M215" s="441">
        <f>IF(L215&lt;O215,MinPoints,IF(AND(L215&gt;N215,O215&gt;0),100,+INT(($L215-O215)/P215)+MinPoints))</f>
        <v>10</v>
      </c>
      <c r="N215" s="440">
        <f t="shared" si="7"/>
        <v>50</v>
      </c>
      <c r="O215" s="440">
        <f t="shared" si="8"/>
        <v>5</v>
      </c>
      <c r="P215" s="440">
        <f t="shared" si="9"/>
        <v>0.5</v>
      </c>
      <c r="Q215">
        <f t="array" ref="Q215">IF(I215&gt;0,INDEX(DB,I215,9),EventIndex)</f>
        <v>6</v>
      </c>
      <c r="S215" s="442">
        <f t="array" ref="S215">INDEX(MINVALUES,$Q215,$K$1)</f>
        <v>5</v>
      </c>
      <c r="T215">
        <f t="array" ref="T215">INDEX(INCVALUES,$Q215,$K$1)</f>
        <v>0.5</v>
      </c>
      <c r="V215">
        <f t="array" ref="V215">+J215+(4*(INDEX(MatchScoreTable,$Q215,20)-1))</f>
        <v>4</v>
      </c>
      <c r="W215" s="442">
        <f t="array" ref="W215">INDEX(INC_MINVALUES,$V215,$K$1)</f>
        <v>2.5</v>
      </c>
      <c r="X215" s="212">
        <f t="array" ref="X215">INDEX(INC_INCVALUES,$V215,$K$1)</f>
        <v>0.5</v>
      </c>
    </row>
    <row r="216" ht="15.75" customHeight="1">
      <c r="A216" s="435"/>
      <c r="B216" s="436"/>
      <c r="C216" s="95" t="str">
        <f t="array" ref="C216">IF(I216&gt;0,INDEX(DB,I216,8),"")</f>
        <v/>
      </c>
      <c r="D216" s="437">
        <f t="shared" si="1"/>
        <v>0</v>
      </c>
      <c r="F216" s="438">
        <f t="shared" si="2"/>
        <v>0</v>
      </c>
      <c r="G216" t="str">
        <f t="shared" si="3"/>
        <v/>
      </c>
      <c r="H216" t="b">
        <f t="shared" si="4"/>
        <v>0</v>
      </c>
      <c r="I216" s="439">
        <f>IF(OR(ISBLANK(A216),ISNA(MATCH(A216&amp;"",AthleteNumbers,0))),0,MATCH(A216&amp;"",AthleteNumbers,0))</f>
        <v>0</v>
      </c>
      <c r="J216" s="209">
        <f t="array" ref="J216">IF(I216&gt;0,INDEX(DB,$I216,6),0)</f>
        <v>0</v>
      </c>
      <c r="K216" s="446">
        <f t="shared" si="5"/>
        <v>0</v>
      </c>
      <c r="L216" s="446">
        <f t="shared" si="6"/>
        <v>0</v>
      </c>
      <c r="M216" s="441">
        <f>IF(L216&lt;O216,MinPoints,IF(AND(L216&gt;N216,O216&gt;0),100,+INT(($L216-O216)/P216)+MinPoints))</f>
        <v>10</v>
      </c>
      <c r="N216" s="440">
        <f t="shared" si="7"/>
        <v>50</v>
      </c>
      <c r="O216" s="440">
        <f t="shared" si="8"/>
        <v>5</v>
      </c>
      <c r="P216" s="440">
        <f t="shared" si="9"/>
        <v>0.5</v>
      </c>
      <c r="Q216">
        <f t="array" ref="Q216">IF(I216&gt;0,INDEX(DB,I216,9),EventIndex)</f>
        <v>6</v>
      </c>
      <c r="S216" s="442">
        <f t="array" ref="S216">INDEX(MINVALUES,$Q216,$K$1)</f>
        <v>5</v>
      </c>
      <c r="T216">
        <f t="array" ref="T216">INDEX(INCVALUES,$Q216,$K$1)</f>
        <v>0.5</v>
      </c>
      <c r="V216">
        <f t="array" ref="V216">+J216+(4*(INDEX(MatchScoreTable,$Q216,20)-1))</f>
        <v>4</v>
      </c>
      <c r="W216" s="442">
        <f t="array" ref="W216">INDEX(INC_MINVALUES,$V216,$K$1)</f>
        <v>2.5</v>
      </c>
      <c r="X216" s="212">
        <f t="array" ref="X216">INDEX(INC_INCVALUES,$V216,$K$1)</f>
        <v>0.5</v>
      </c>
    </row>
    <row r="217" ht="15.75" customHeight="1">
      <c r="A217" s="435"/>
      <c r="B217" s="436"/>
      <c r="C217" s="95" t="str">
        <f t="array" ref="C217">IF(I217&gt;0,INDEX(DB,I217,8),"")</f>
        <v/>
      </c>
      <c r="D217" s="437">
        <f t="shared" si="1"/>
        <v>0</v>
      </c>
      <c r="F217" s="438">
        <f t="shared" si="2"/>
        <v>0</v>
      </c>
      <c r="G217" t="str">
        <f t="shared" si="3"/>
        <v/>
      </c>
      <c r="H217" t="b">
        <f t="shared" si="4"/>
        <v>0</v>
      </c>
      <c r="I217" s="439">
        <f>IF(OR(ISBLANK(A217),ISNA(MATCH(A217&amp;"",AthleteNumbers,0))),0,MATCH(A217&amp;"",AthleteNumbers,0))</f>
        <v>0</v>
      </c>
      <c r="J217" s="209">
        <f t="array" ref="J217">IF(I217&gt;0,INDEX(DB,$I217,6),0)</f>
        <v>0</v>
      </c>
      <c r="K217" s="446">
        <f t="shared" si="5"/>
        <v>0</v>
      </c>
      <c r="L217" s="446">
        <f t="shared" si="6"/>
        <v>0</v>
      </c>
      <c r="M217" s="441">
        <f>IF(L217&lt;O217,MinPoints,IF(AND(L217&gt;N217,O217&gt;0),100,+INT(($L217-O217)/P217)+MinPoints))</f>
        <v>10</v>
      </c>
      <c r="N217" s="440">
        <f t="shared" si="7"/>
        <v>50</v>
      </c>
      <c r="O217" s="440">
        <f t="shared" si="8"/>
        <v>5</v>
      </c>
      <c r="P217" s="440">
        <f t="shared" si="9"/>
        <v>0.5</v>
      </c>
      <c r="Q217">
        <f t="array" ref="Q217">IF(I217&gt;0,INDEX(DB,I217,9),EventIndex)</f>
        <v>6</v>
      </c>
      <c r="S217" s="442">
        <f t="array" ref="S217">INDEX(MINVALUES,$Q217,$K$1)</f>
        <v>5</v>
      </c>
      <c r="T217">
        <f t="array" ref="T217">INDEX(INCVALUES,$Q217,$K$1)</f>
        <v>0.5</v>
      </c>
      <c r="V217">
        <f t="array" ref="V217">+J217+(4*(INDEX(MatchScoreTable,$Q217,20)-1))</f>
        <v>4</v>
      </c>
      <c r="W217" s="442">
        <f t="array" ref="W217">INDEX(INC_MINVALUES,$V217,$K$1)</f>
        <v>2.5</v>
      </c>
      <c r="X217" s="212">
        <f t="array" ref="X217">INDEX(INC_INCVALUES,$V217,$K$1)</f>
        <v>0.5</v>
      </c>
    </row>
    <row r="218" ht="15.75" customHeight="1">
      <c r="A218" s="435"/>
      <c r="B218" s="436"/>
      <c r="C218" s="95" t="str">
        <f t="array" ref="C218">IF(I218&gt;0,INDEX(DB,I218,8),"")</f>
        <v/>
      </c>
      <c r="D218" s="437">
        <f t="shared" si="1"/>
        <v>0</v>
      </c>
      <c r="F218" s="438">
        <f t="shared" si="2"/>
        <v>0</v>
      </c>
      <c r="G218" t="str">
        <f t="shared" si="3"/>
        <v/>
      </c>
      <c r="H218" t="b">
        <f t="shared" si="4"/>
        <v>0</v>
      </c>
      <c r="I218" s="439">
        <f>IF(OR(ISBLANK(A218),ISNA(MATCH(A218&amp;"",AthleteNumbers,0))),0,MATCH(A218&amp;"",AthleteNumbers,0))</f>
        <v>0</v>
      </c>
      <c r="J218" s="209">
        <f t="array" ref="J218">IF(I218&gt;0,INDEX(DB,$I218,6),0)</f>
        <v>0</v>
      </c>
      <c r="K218" s="446">
        <f t="shared" si="5"/>
        <v>0</v>
      </c>
      <c r="L218" s="446">
        <f t="shared" si="6"/>
        <v>0</v>
      </c>
      <c r="M218" s="441">
        <f>IF(L218&lt;O218,MinPoints,IF(AND(L218&gt;N218,O218&gt;0),100,+INT(($L218-O218)/P218)+MinPoints))</f>
        <v>10</v>
      </c>
      <c r="N218" s="440">
        <f t="shared" si="7"/>
        <v>50</v>
      </c>
      <c r="O218" s="440">
        <f t="shared" si="8"/>
        <v>5</v>
      </c>
      <c r="P218" s="440">
        <f t="shared" si="9"/>
        <v>0.5</v>
      </c>
      <c r="Q218">
        <f t="array" ref="Q218">IF(I218&gt;0,INDEX(DB,I218,9),EventIndex)</f>
        <v>6</v>
      </c>
      <c r="S218" s="442">
        <f t="array" ref="S218">INDEX(MINVALUES,$Q218,$K$1)</f>
        <v>5</v>
      </c>
      <c r="T218">
        <f t="array" ref="T218">INDEX(INCVALUES,$Q218,$K$1)</f>
        <v>0.5</v>
      </c>
      <c r="V218">
        <f t="array" ref="V218">+J218+(4*(INDEX(MatchScoreTable,$Q218,20)-1))</f>
        <v>4</v>
      </c>
      <c r="W218" s="442">
        <f t="array" ref="W218">INDEX(INC_MINVALUES,$V218,$K$1)</f>
        <v>2.5</v>
      </c>
      <c r="X218" s="212">
        <f t="array" ref="X218">INDEX(INC_INCVALUES,$V218,$K$1)</f>
        <v>0.5</v>
      </c>
    </row>
    <row r="219" ht="15.75" customHeight="1">
      <c r="A219" s="435"/>
      <c r="B219" s="436"/>
      <c r="C219" s="95" t="str">
        <f t="array" ref="C219">IF(I219&gt;0,INDEX(DB,I219,8),"")</f>
        <v/>
      </c>
      <c r="D219" s="437">
        <f t="shared" si="1"/>
        <v>0</v>
      </c>
      <c r="F219" s="438">
        <f t="shared" si="2"/>
        <v>0</v>
      </c>
      <c r="G219" t="str">
        <f t="shared" si="3"/>
        <v/>
      </c>
      <c r="H219" t="b">
        <f t="shared" si="4"/>
        <v>0</v>
      </c>
      <c r="I219" s="439">
        <f>IF(OR(ISBLANK(A219),ISNA(MATCH(A219&amp;"",AthleteNumbers,0))),0,MATCH(A219&amp;"",AthleteNumbers,0))</f>
        <v>0</v>
      </c>
      <c r="J219" s="209">
        <f t="array" ref="J219">IF(I219&gt;0,INDEX(DB,$I219,6),0)</f>
        <v>0</v>
      </c>
      <c r="K219" s="446">
        <f t="shared" si="5"/>
        <v>0</v>
      </c>
      <c r="L219" s="446">
        <f t="shared" si="6"/>
        <v>0</v>
      </c>
      <c r="M219" s="441">
        <f>IF(L219&lt;O219,MinPoints,IF(AND(L219&gt;N219,O219&gt;0),100,+INT(($L219-O219)/P219)+MinPoints))</f>
        <v>10</v>
      </c>
      <c r="N219" s="440">
        <f t="shared" si="7"/>
        <v>50</v>
      </c>
      <c r="O219" s="440">
        <f t="shared" si="8"/>
        <v>5</v>
      </c>
      <c r="P219" s="440">
        <f t="shared" si="9"/>
        <v>0.5</v>
      </c>
      <c r="Q219">
        <f t="array" ref="Q219">IF(I219&gt;0,INDEX(DB,I219,9),EventIndex)</f>
        <v>6</v>
      </c>
      <c r="S219" s="442">
        <f t="array" ref="S219">INDEX(MINVALUES,$Q219,$K$1)</f>
        <v>5</v>
      </c>
      <c r="T219">
        <f t="array" ref="T219">INDEX(INCVALUES,$Q219,$K$1)</f>
        <v>0.5</v>
      </c>
      <c r="V219">
        <f t="array" ref="V219">+J219+(4*(INDEX(MatchScoreTable,$Q219,20)-1))</f>
        <v>4</v>
      </c>
      <c r="W219" s="442">
        <f t="array" ref="W219">INDEX(INC_MINVALUES,$V219,$K$1)</f>
        <v>2.5</v>
      </c>
      <c r="X219" s="212">
        <f t="array" ref="X219">INDEX(INC_INCVALUES,$V219,$K$1)</f>
        <v>0.5</v>
      </c>
    </row>
    <row r="220" ht="15.75" customHeight="1">
      <c r="A220" s="435"/>
      <c r="B220" s="436"/>
      <c r="C220" s="95" t="str">
        <f t="array" ref="C220">IF(I220&gt;0,INDEX(DB,I220,8),"")</f>
        <v/>
      </c>
      <c r="D220" s="437">
        <f t="shared" si="1"/>
        <v>0</v>
      </c>
      <c r="F220" s="438">
        <f t="shared" si="2"/>
        <v>0</v>
      </c>
      <c r="G220" t="str">
        <f t="shared" si="3"/>
        <v/>
      </c>
      <c r="H220" t="b">
        <f t="shared" si="4"/>
        <v>0</v>
      </c>
      <c r="I220" s="439">
        <f>IF(OR(ISBLANK(A220),ISNA(MATCH(A220&amp;"",AthleteNumbers,0))),0,MATCH(A220&amp;"",AthleteNumbers,0))</f>
        <v>0</v>
      </c>
      <c r="J220" s="209">
        <f t="array" ref="J220">IF(I220&gt;0,INDEX(DB,$I220,6),0)</f>
        <v>0</v>
      </c>
      <c r="K220" s="446">
        <f t="shared" si="5"/>
        <v>0</v>
      </c>
      <c r="L220" s="446">
        <f t="shared" si="6"/>
        <v>0</v>
      </c>
      <c r="M220" s="441">
        <f>IF(L220&lt;O220,MinPoints,IF(AND(L220&gt;N220,O220&gt;0),100,+INT(($L220-O220)/P220)+MinPoints))</f>
        <v>10</v>
      </c>
      <c r="N220" s="440">
        <f t="shared" si="7"/>
        <v>50</v>
      </c>
      <c r="O220" s="440">
        <f t="shared" si="8"/>
        <v>5</v>
      </c>
      <c r="P220" s="440">
        <f t="shared" si="9"/>
        <v>0.5</v>
      </c>
      <c r="Q220">
        <f t="array" ref="Q220">IF(I220&gt;0,INDEX(DB,I220,9),EventIndex)</f>
        <v>6</v>
      </c>
      <c r="S220" s="442">
        <f t="array" ref="S220">INDEX(MINVALUES,$Q220,$K$1)</f>
        <v>5</v>
      </c>
      <c r="T220">
        <f t="array" ref="T220">INDEX(INCVALUES,$Q220,$K$1)</f>
        <v>0.5</v>
      </c>
      <c r="V220">
        <f t="array" ref="V220">+J220+(4*(INDEX(MatchScoreTable,$Q220,20)-1))</f>
        <v>4</v>
      </c>
      <c r="W220" s="442">
        <f t="array" ref="W220">INDEX(INC_MINVALUES,$V220,$K$1)</f>
        <v>2.5</v>
      </c>
      <c r="X220" s="212">
        <f t="array" ref="X220">INDEX(INC_INCVALUES,$V220,$K$1)</f>
        <v>0.5</v>
      </c>
    </row>
    <row r="221" ht="15.75" customHeight="1">
      <c r="A221" s="435"/>
      <c r="B221" s="436"/>
      <c r="C221" s="95" t="str">
        <f t="array" ref="C221">IF(I221&gt;0,INDEX(DB,I221,8),"")</f>
        <v/>
      </c>
      <c r="D221" s="437">
        <f t="shared" si="1"/>
        <v>0</v>
      </c>
      <c r="F221" s="438">
        <f t="shared" si="2"/>
        <v>0</v>
      </c>
      <c r="G221" t="str">
        <f t="shared" si="3"/>
        <v/>
      </c>
      <c r="H221" t="b">
        <f t="shared" si="4"/>
        <v>0</v>
      </c>
      <c r="I221" s="439">
        <f>IF(OR(ISBLANK(A221),ISNA(MATCH(A221&amp;"",AthleteNumbers,0))),0,MATCH(A221&amp;"",AthleteNumbers,0))</f>
        <v>0</v>
      </c>
      <c r="J221" s="209">
        <f t="array" ref="J221">IF(I221&gt;0,INDEX(DB,$I221,6),0)</f>
        <v>0</v>
      </c>
      <c r="K221" s="446">
        <f t="shared" si="5"/>
        <v>0</v>
      </c>
      <c r="L221" s="446">
        <f t="shared" si="6"/>
        <v>0</v>
      </c>
      <c r="M221" s="441">
        <f>IF(L221&lt;O221,MinPoints,IF(AND(L221&gt;N221,O221&gt;0),100,+INT(($L221-O221)/P221)+MinPoints))</f>
        <v>10</v>
      </c>
      <c r="N221" s="440">
        <f t="shared" si="7"/>
        <v>50</v>
      </c>
      <c r="O221" s="440">
        <f t="shared" si="8"/>
        <v>5</v>
      </c>
      <c r="P221" s="440">
        <f t="shared" si="9"/>
        <v>0.5</v>
      </c>
      <c r="Q221">
        <f t="array" ref="Q221">IF(I221&gt;0,INDEX(DB,I221,9),EventIndex)</f>
        <v>6</v>
      </c>
      <c r="S221" s="442">
        <f t="array" ref="S221">INDEX(MINVALUES,$Q221,$K$1)</f>
        <v>5</v>
      </c>
      <c r="T221">
        <f t="array" ref="T221">INDEX(INCVALUES,$Q221,$K$1)</f>
        <v>0.5</v>
      </c>
      <c r="V221">
        <f t="array" ref="V221">+J221+(4*(INDEX(MatchScoreTable,$Q221,20)-1))</f>
        <v>4</v>
      </c>
      <c r="W221" s="442">
        <f t="array" ref="W221">INDEX(INC_MINVALUES,$V221,$K$1)</f>
        <v>2.5</v>
      </c>
      <c r="X221" s="212">
        <f t="array" ref="X221">INDEX(INC_INCVALUES,$V221,$K$1)</f>
        <v>0.5</v>
      </c>
    </row>
    <row r="222" ht="15.75" customHeight="1">
      <c r="A222" s="435"/>
      <c r="B222" s="436"/>
      <c r="C222" s="95" t="str">
        <f t="array" ref="C222">IF(I222&gt;0,INDEX(DB,I222,8),"")</f>
        <v/>
      </c>
      <c r="D222" s="437">
        <f t="shared" si="1"/>
        <v>0</v>
      </c>
      <c r="F222" s="438">
        <f t="shared" si="2"/>
        <v>0</v>
      </c>
      <c r="G222" t="str">
        <f t="shared" si="3"/>
        <v/>
      </c>
      <c r="H222" t="b">
        <f t="shared" si="4"/>
        <v>0</v>
      </c>
      <c r="I222" s="439">
        <f>IF(OR(ISBLANK(A222),ISNA(MATCH(A222&amp;"",AthleteNumbers,0))),0,MATCH(A222&amp;"",AthleteNumbers,0))</f>
        <v>0</v>
      </c>
      <c r="J222" s="209">
        <f t="array" ref="J222">IF(I222&gt;0,INDEX(DB,$I222,6),0)</f>
        <v>0</v>
      </c>
      <c r="K222" s="446">
        <f t="shared" si="5"/>
        <v>0</v>
      </c>
      <c r="L222" s="446">
        <f t="shared" si="6"/>
        <v>0</v>
      </c>
      <c r="M222" s="441">
        <f>IF(L222&lt;O222,MinPoints,IF(AND(L222&gt;N222,O222&gt;0),100,+INT(($L222-O222)/P222)+MinPoints))</f>
        <v>10</v>
      </c>
      <c r="N222" s="440">
        <f t="shared" si="7"/>
        <v>50</v>
      </c>
      <c r="O222" s="440">
        <f t="shared" si="8"/>
        <v>5</v>
      </c>
      <c r="P222" s="440">
        <f t="shared" si="9"/>
        <v>0.5</v>
      </c>
      <c r="Q222">
        <f t="array" ref="Q222">IF(I222&gt;0,INDEX(DB,I222,9),EventIndex)</f>
        <v>6</v>
      </c>
      <c r="S222" s="442">
        <f t="array" ref="S222">INDEX(MINVALUES,$Q222,$K$1)</f>
        <v>5</v>
      </c>
      <c r="T222">
        <f t="array" ref="T222">INDEX(INCVALUES,$Q222,$K$1)</f>
        <v>0.5</v>
      </c>
      <c r="V222">
        <f t="array" ref="V222">+J222+(4*(INDEX(MatchScoreTable,$Q222,20)-1))</f>
        <v>4</v>
      </c>
      <c r="W222" s="442">
        <f t="array" ref="W222">INDEX(INC_MINVALUES,$V222,$K$1)</f>
        <v>2.5</v>
      </c>
      <c r="X222" s="212">
        <f t="array" ref="X222">INDEX(INC_INCVALUES,$V222,$K$1)</f>
        <v>0.5</v>
      </c>
    </row>
    <row r="223" ht="15.75" customHeight="1">
      <c r="A223" s="435"/>
      <c r="B223" s="436"/>
      <c r="C223" s="95" t="str">
        <f t="array" ref="C223">IF(I223&gt;0,INDEX(DB,I223,8),"")</f>
        <v/>
      </c>
      <c r="D223" s="437">
        <f t="shared" si="1"/>
        <v>0</v>
      </c>
      <c r="F223" s="438">
        <f t="shared" si="2"/>
        <v>0</v>
      </c>
      <c r="G223" t="str">
        <f t="shared" si="3"/>
        <v/>
      </c>
      <c r="H223" t="b">
        <f t="shared" si="4"/>
        <v>0</v>
      </c>
      <c r="I223" s="439">
        <f>IF(OR(ISBLANK(A223),ISNA(MATCH(A223&amp;"",AthleteNumbers,0))),0,MATCH(A223&amp;"",AthleteNumbers,0))</f>
        <v>0</v>
      </c>
      <c r="J223" s="209">
        <f t="array" ref="J223">IF(I223&gt;0,INDEX(DB,$I223,6),0)</f>
        <v>0</v>
      </c>
      <c r="K223" s="446">
        <f t="shared" si="5"/>
        <v>0</v>
      </c>
      <c r="L223" s="446">
        <f t="shared" si="6"/>
        <v>0</v>
      </c>
      <c r="M223" s="441">
        <f>IF(L223&lt;O223,MinPoints,IF(AND(L223&gt;N223,O223&gt;0),100,+INT(($L223-O223)/P223)+MinPoints))</f>
        <v>10</v>
      </c>
      <c r="N223" s="440">
        <f t="shared" si="7"/>
        <v>50</v>
      </c>
      <c r="O223" s="440">
        <f t="shared" si="8"/>
        <v>5</v>
      </c>
      <c r="P223" s="440">
        <f t="shared" si="9"/>
        <v>0.5</v>
      </c>
      <c r="Q223">
        <f t="array" ref="Q223">IF(I223&gt;0,INDEX(DB,I223,9),EventIndex)</f>
        <v>6</v>
      </c>
      <c r="S223" s="442">
        <f t="array" ref="S223">INDEX(MINVALUES,$Q223,$K$1)</f>
        <v>5</v>
      </c>
      <c r="T223">
        <f t="array" ref="T223">INDEX(INCVALUES,$Q223,$K$1)</f>
        <v>0.5</v>
      </c>
      <c r="V223">
        <f t="array" ref="V223">+J223+(4*(INDEX(MatchScoreTable,$Q223,20)-1))</f>
        <v>4</v>
      </c>
      <c r="W223" s="442">
        <f t="array" ref="W223">INDEX(INC_MINVALUES,$V223,$K$1)</f>
        <v>2.5</v>
      </c>
      <c r="X223" s="212">
        <f t="array" ref="X223">INDEX(INC_INCVALUES,$V223,$K$1)</f>
        <v>0.5</v>
      </c>
    </row>
    <row r="224" ht="15.75" customHeight="1">
      <c r="A224" s="435"/>
      <c r="B224" s="436"/>
      <c r="C224" s="95" t="str">
        <f t="array" ref="C224">IF(I224&gt;0,INDEX(DB,I224,8),"")</f>
        <v/>
      </c>
      <c r="D224" s="437">
        <f t="shared" si="1"/>
        <v>0</v>
      </c>
      <c r="F224" s="438">
        <f t="shared" si="2"/>
        <v>0</v>
      </c>
      <c r="G224" t="str">
        <f t="shared" si="3"/>
        <v/>
      </c>
      <c r="H224" t="b">
        <f t="shared" si="4"/>
        <v>0</v>
      </c>
      <c r="I224" s="439">
        <f>IF(OR(ISBLANK(A224),ISNA(MATCH(A224&amp;"",AthleteNumbers,0))),0,MATCH(A224&amp;"",AthleteNumbers,0))</f>
        <v>0</v>
      </c>
      <c r="J224" s="209">
        <f t="array" ref="J224">IF(I224&gt;0,INDEX(DB,$I224,6),0)</f>
        <v>0</v>
      </c>
      <c r="K224" s="446">
        <f t="shared" si="5"/>
        <v>0</v>
      </c>
      <c r="L224" s="446">
        <f t="shared" si="6"/>
        <v>0</v>
      </c>
      <c r="M224" s="441">
        <f>IF(L224&lt;O224,MinPoints,IF(AND(L224&gt;N224,O224&gt;0),100,+INT(($L224-O224)/P224)+MinPoints))</f>
        <v>10</v>
      </c>
      <c r="N224" s="440">
        <f t="shared" si="7"/>
        <v>50</v>
      </c>
      <c r="O224" s="440">
        <f t="shared" si="8"/>
        <v>5</v>
      </c>
      <c r="P224" s="440">
        <f t="shared" si="9"/>
        <v>0.5</v>
      </c>
      <c r="Q224">
        <f t="array" ref="Q224">IF(I224&gt;0,INDEX(DB,I224,9),EventIndex)</f>
        <v>6</v>
      </c>
      <c r="S224" s="442">
        <f t="array" ref="S224">INDEX(MINVALUES,$Q224,$K$1)</f>
        <v>5</v>
      </c>
      <c r="T224">
        <f t="array" ref="T224">INDEX(INCVALUES,$Q224,$K$1)</f>
        <v>0.5</v>
      </c>
      <c r="V224">
        <f t="array" ref="V224">+J224+(4*(INDEX(MatchScoreTable,$Q224,20)-1))</f>
        <v>4</v>
      </c>
      <c r="W224" s="442">
        <f t="array" ref="W224">INDEX(INC_MINVALUES,$V224,$K$1)</f>
        <v>2.5</v>
      </c>
      <c r="X224" s="212">
        <f t="array" ref="X224">INDEX(INC_INCVALUES,$V224,$K$1)</f>
        <v>0.5</v>
      </c>
    </row>
    <row r="225" ht="15.75" customHeight="1">
      <c r="A225" s="435"/>
      <c r="B225" s="436"/>
      <c r="C225" s="95" t="str">
        <f t="array" ref="C225">IF(I225&gt;0,INDEX(DB,I225,8),"")</f>
        <v/>
      </c>
      <c r="D225" s="437">
        <f t="shared" si="1"/>
        <v>0</v>
      </c>
      <c r="F225" s="438">
        <f t="shared" si="2"/>
        <v>0</v>
      </c>
      <c r="G225" t="str">
        <f t="shared" si="3"/>
        <v/>
      </c>
      <c r="H225" t="b">
        <f t="shared" si="4"/>
        <v>0</v>
      </c>
      <c r="I225" s="439">
        <f>IF(OR(ISBLANK(A225),ISNA(MATCH(A225&amp;"",AthleteNumbers,0))),0,MATCH(A225&amp;"",AthleteNumbers,0))</f>
        <v>0</v>
      </c>
      <c r="J225" s="209">
        <f t="array" ref="J225">IF(I225&gt;0,INDEX(DB,$I225,6),0)</f>
        <v>0</v>
      </c>
      <c r="K225" s="446">
        <f t="shared" si="5"/>
        <v>0</v>
      </c>
      <c r="L225" s="446">
        <f t="shared" si="6"/>
        <v>0</v>
      </c>
      <c r="M225" s="441">
        <f>IF(L225&lt;O225,MinPoints,IF(AND(L225&gt;N225,O225&gt;0),100,+INT(($L225-O225)/P225)+MinPoints))</f>
        <v>10</v>
      </c>
      <c r="N225" s="440">
        <f t="shared" si="7"/>
        <v>50</v>
      </c>
      <c r="O225" s="440">
        <f t="shared" si="8"/>
        <v>5</v>
      </c>
      <c r="P225" s="440">
        <f t="shared" si="9"/>
        <v>0.5</v>
      </c>
      <c r="Q225">
        <f t="array" ref="Q225">IF(I225&gt;0,INDEX(DB,I225,9),EventIndex)</f>
        <v>6</v>
      </c>
      <c r="S225" s="442">
        <f t="array" ref="S225">INDEX(MINVALUES,$Q225,$K$1)</f>
        <v>5</v>
      </c>
      <c r="T225">
        <f t="array" ref="T225">INDEX(INCVALUES,$Q225,$K$1)</f>
        <v>0.5</v>
      </c>
      <c r="V225">
        <f t="array" ref="V225">+J225+(4*(INDEX(MatchScoreTable,$Q225,20)-1))</f>
        <v>4</v>
      </c>
      <c r="W225" s="442">
        <f t="array" ref="W225">INDEX(INC_MINVALUES,$V225,$K$1)</f>
        <v>2.5</v>
      </c>
      <c r="X225" s="212">
        <f t="array" ref="X225">INDEX(INC_INCVALUES,$V225,$K$1)</f>
        <v>0.5</v>
      </c>
    </row>
    <row r="226" ht="15.75" customHeight="1">
      <c r="A226" s="435"/>
      <c r="B226" s="436"/>
      <c r="C226" s="95" t="str">
        <f t="array" ref="C226">IF(I226&gt;0,INDEX(DB,I226,8),"")</f>
        <v/>
      </c>
      <c r="D226" s="437">
        <f t="shared" si="1"/>
        <v>0</v>
      </c>
      <c r="F226" s="438">
        <f t="shared" si="2"/>
        <v>0</v>
      </c>
      <c r="G226" t="str">
        <f t="shared" si="3"/>
        <v/>
      </c>
      <c r="H226" t="b">
        <f t="shared" si="4"/>
        <v>0</v>
      </c>
      <c r="I226" s="439">
        <f>IF(OR(ISBLANK(A226),ISNA(MATCH(A226&amp;"",AthleteNumbers,0))),0,MATCH(A226&amp;"",AthleteNumbers,0))</f>
        <v>0</v>
      </c>
      <c r="J226" s="209">
        <f t="array" ref="J226">IF(I226&gt;0,INDEX(DB,$I226,6),0)</f>
        <v>0</v>
      </c>
      <c r="K226" s="446">
        <f t="shared" si="5"/>
        <v>0</v>
      </c>
      <c r="L226" s="446">
        <f t="shared" si="6"/>
        <v>0</v>
      </c>
      <c r="M226" s="441">
        <f>IF(L226&lt;O226,MinPoints,IF(AND(L226&gt;N226,O226&gt;0),100,+INT(($L226-O226)/P226)+MinPoints))</f>
        <v>10</v>
      </c>
      <c r="N226" s="440">
        <f t="shared" si="7"/>
        <v>50</v>
      </c>
      <c r="O226" s="440">
        <f t="shared" si="8"/>
        <v>5</v>
      </c>
      <c r="P226" s="440">
        <f t="shared" si="9"/>
        <v>0.5</v>
      </c>
      <c r="Q226">
        <f t="array" ref="Q226">IF(I226&gt;0,INDEX(DB,I226,9),EventIndex)</f>
        <v>6</v>
      </c>
      <c r="S226" s="442">
        <f t="array" ref="S226">INDEX(MINVALUES,$Q226,$K$1)</f>
        <v>5</v>
      </c>
      <c r="T226">
        <f t="array" ref="T226">INDEX(INCVALUES,$Q226,$K$1)</f>
        <v>0.5</v>
      </c>
      <c r="V226">
        <f t="array" ref="V226">+J226+(4*(INDEX(MatchScoreTable,$Q226,20)-1))</f>
        <v>4</v>
      </c>
      <c r="W226" s="442">
        <f t="array" ref="W226">INDEX(INC_MINVALUES,$V226,$K$1)</f>
        <v>2.5</v>
      </c>
      <c r="X226" s="212">
        <f t="array" ref="X226">INDEX(INC_INCVALUES,$V226,$K$1)</f>
        <v>0.5</v>
      </c>
    </row>
    <row r="227" ht="15.75" customHeight="1">
      <c r="A227" s="435"/>
      <c r="B227" s="436"/>
      <c r="C227" s="95" t="str">
        <f t="array" ref="C227">IF(I227&gt;0,INDEX(DB,I227,8),"")</f>
        <v/>
      </c>
      <c r="D227" s="437">
        <f t="shared" si="1"/>
        <v>0</v>
      </c>
      <c r="F227" s="438">
        <f t="shared" si="2"/>
        <v>0</v>
      </c>
      <c r="G227" t="str">
        <f t="shared" si="3"/>
        <v/>
      </c>
      <c r="H227" t="b">
        <f t="shared" si="4"/>
        <v>0</v>
      </c>
      <c r="I227" s="439">
        <f>IF(OR(ISBLANK(A227),ISNA(MATCH(A227&amp;"",AthleteNumbers,0))),0,MATCH(A227&amp;"",AthleteNumbers,0))</f>
        <v>0</v>
      </c>
      <c r="J227" s="209">
        <f t="array" ref="J227">IF(I227&gt;0,INDEX(DB,$I227,6),0)</f>
        <v>0</v>
      </c>
      <c r="K227" s="446">
        <f t="shared" si="5"/>
        <v>0</v>
      </c>
      <c r="L227" s="446">
        <f t="shared" si="6"/>
        <v>0</v>
      </c>
      <c r="M227" s="441">
        <f>IF(L227&lt;O227,MinPoints,IF(AND(L227&gt;N227,O227&gt;0),100,+INT(($L227-O227)/P227)+MinPoints))</f>
        <v>10</v>
      </c>
      <c r="N227" s="440">
        <f t="shared" si="7"/>
        <v>50</v>
      </c>
      <c r="O227" s="440">
        <f t="shared" si="8"/>
        <v>5</v>
      </c>
      <c r="P227" s="440">
        <f t="shared" si="9"/>
        <v>0.5</v>
      </c>
      <c r="Q227">
        <f t="array" ref="Q227">IF(I227&gt;0,INDEX(DB,I227,9),EventIndex)</f>
        <v>6</v>
      </c>
      <c r="S227" s="442">
        <f t="array" ref="S227">INDEX(MINVALUES,$Q227,$K$1)</f>
        <v>5</v>
      </c>
      <c r="T227">
        <f t="array" ref="T227">INDEX(INCVALUES,$Q227,$K$1)</f>
        <v>0.5</v>
      </c>
      <c r="V227">
        <f t="array" ref="V227">+J227+(4*(INDEX(MatchScoreTable,$Q227,20)-1))</f>
        <v>4</v>
      </c>
      <c r="W227" s="442">
        <f t="array" ref="W227">INDEX(INC_MINVALUES,$V227,$K$1)</f>
        <v>2.5</v>
      </c>
      <c r="X227" s="212">
        <f t="array" ref="X227">INDEX(INC_INCVALUES,$V227,$K$1)</f>
        <v>0.5</v>
      </c>
    </row>
    <row r="228" ht="15.75" customHeight="1">
      <c r="A228" s="435"/>
      <c r="B228" s="436"/>
      <c r="C228" s="95" t="str">
        <f t="array" ref="C228">IF(I228&gt;0,INDEX(DB,I228,8),"")</f>
        <v/>
      </c>
      <c r="D228" s="437">
        <f t="shared" si="1"/>
        <v>0</v>
      </c>
      <c r="F228" s="438">
        <f t="shared" si="2"/>
        <v>0</v>
      </c>
      <c r="G228" t="str">
        <f t="shared" si="3"/>
        <v/>
      </c>
      <c r="H228" t="b">
        <f t="shared" si="4"/>
        <v>0</v>
      </c>
      <c r="I228" s="439">
        <f>IF(OR(ISBLANK(A228),ISNA(MATCH(A228&amp;"",AthleteNumbers,0))),0,MATCH(A228&amp;"",AthleteNumbers,0))</f>
        <v>0</v>
      </c>
      <c r="J228" s="209">
        <f t="array" ref="J228">IF(I228&gt;0,INDEX(DB,$I228,6),0)</f>
        <v>0</v>
      </c>
      <c r="K228" s="446">
        <f t="shared" si="5"/>
        <v>0</v>
      </c>
      <c r="L228" s="446">
        <f t="shared" si="6"/>
        <v>0</v>
      </c>
      <c r="M228" s="441">
        <f>IF(L228&lt;O228,MinPoints,IF(AND(L228&gt;N228,O228&gt;0),100,+INT(($L228-O228)/P228)+MinPoints))</f>
        <v>10</v>
      </c>
      <c r="N228" s="440">
        <f t="shared" si="7"/>
        <v>50</v>
      </c>
      <c r="O228" s="440">
        <f t="shared" si="8"/>
        <v>5</v>
      </c>
      <c r="P228" s="440">
        <f t="shared" si="9"/>
        <v>0.5</v>
      </c>
      <c r="Q228">
        <f t="array" ref="Q228">IF(I228&gt;0,INDEX(DB,I228,9),EventIndex)</f>
        <v>6</v>
      </c>
      <c r="S228" s="442">
        <f t="array" ref="S228">INDEX(MINVALUES,$Q228,$K$1)</f>
        <v>5</v>
      </c>
      <c r="T228">
        <f t="array" ref="T228">INDEX(INCVALUES,$Q228,$K$1)</f>
        <v>0.5</v>
      </c>
      <c r="V228">
        <f t="array" ref="V228">+J228+(4*(INDEX(MatchScoreTable,$Q228,20)-1))</f>
        <v>4</v>
      </c>
      <c r="W228" s="442">
        <f t="array" ref="W228">INDEX(INC_MINVALUES,$V228,$K$1)</f>
        <v>2.5</v>
      </c>
      <c r="X228" s="212">
        <f t="array" ref="X228">INDEX(INC_INCVALUES,$V228,$K$1)</f>
        <v>0.5</v>
      </c>
    </row>
    <row r="229" ht="15.75" customHeight="1">
      <c r="A229" s="435"/>
      <c r="B229" s="436"/>
      <c r="C229" s="95" t="str">
        <f t="array" ref="C229">IF(I229&gt;0,INDEX(DB,I229,8),"")</f>
        <v/>
      </c>
      <c r="D229" s="437">
        <f t="shared" si="1"/>
        <v>0</v>
      </c>
      <c r="F229" s="438">
        <f t="shared" si="2"/>
        <v>0</v>
      </c>
      <c r="G229" t="str">
        <f t="shared" si="3"/>
        <v/>
      </c>
      <c r="H229" t="b">
        <f t="shared" si="4"/>
        <v>0</v>
      </c>
      <c r="I229" s="439">
        <f>IF(OR(ISBLANK(A229),ISNA(MATCH(A229&amp;"",AthleteNumbers,0))),0,MATCH(A229&amp;"",AthleteNumbers,0))</f>
        <v>0</v>
      </c>
      <c r="J229" s="209">
        <f t="array" ref="J229">IF(I229&gt;0,INDEX(DB,$I229,6),0)</f>
        <v>0</v>
      </c>
      <c r="K229" s="446">
        <f t="shared" si="5"/>
        <v>0</v>
      </c>
      <c r="L229" s="446">
        <f t="shared" si="6"/>
        <v>0</v>
      </c>
      <c r="M229" s="441">
        <f>IF(L229&lt;O229,MinPoints,IF(AND(L229&gt;N229,O229&gt;0),100,+INT(($L229-O229)/P229)+MinPoints))</f>
        <v>10</v>
      </c>
      <c r="N229" s="440">
        <f t="shared" si="7"/>
        <v>50</v>
      </c>
      <c r="O229" s="440">
        <f t="shared" si="8"/>
        <v>5</v>
      </c>
      <c r="P229" s="440">
        <f t="shared" si="9"/>
        <v>0.5</v>
      </c>
      <c r="Q229">
        <f t="array" ref="Q229">IF(I229&gt;0,INDEX(DB,I229,9),EventIndex)</f>
        <v>6</v>
      </c>
      <c r="S229" s="442">
        <f t="array" ref="S229">INDEX(MINVALUES,$Q229,$K$1)</f>
        <v>5</v>
      </c>
      <c r="T229">
        <f t="array" ref="T229">INDEX(INCVALUES,$Q229,$K$1)</f>
        <v>0.5</v>
      </c>
      <c r="V229">
        <f t="array" ref="V229">+J229+(4*(INDEX(MatchScoreTable,$Q229,20)-1))</f>
        <v>4</v>
      </c>
      <c r="W229" s="442">
        <f t="array" ref="W229">INDEX(INC_MINVALUES,$V229,$K$1)</f>
        <v>2.5</v>
      </c>
      <c r="X229" s="212">
        <f t="array" ref="X229">INDEX(INC_INCVALUES,$V229,$K$1)</f>
        <v>0.5</v>
      </c>
    </row>
    <row r="230" ht="15.75" customHeight="1">
      <c r="A230" s="435"/>
      <c r="B230" s="436"/>
      <c r="C230" s="95" t="str">
        <f t="array" ref="C230">IF(I230&gt;0,INDEX(DB,I230,8),"")</f>
        <v/>
      </c>
      <c r="D230" s="437">
        <f t="shared" si="1"/>
        <v>0</v>
      </c>
      <c r="F230" s="438">
        <f t="shared" si="2"/>
        <v>0</v>
      </c>
      <c r="G230" t="str">
        <f t="shared" si="3"/>
        <v/>
      </c>
      <c r="H230" t="b">
        <f t="shared" si="4"/>
        <v>0</v>
      </c>
      <c r="I230" s="439">
        <f>IF(OR(ISBLANK(A230),ISNA(MATCH(A230&amp;"",AthleteNumbers,0))),0,MATCH(A230&amp;"",AthleteNumbers,0))</f>
        <v>0</v>
      </c>
      <c r="J230" s="209">
        <f t="array" ref="J230">IF(I230&gt;0,INDEX(DB,$I230,6),0)</f>
        <v>0</v>
      </c>
      <c r="K230" s="446">
        <f t="shared" si="5"/>
        <v>0</v>
      </c>
      <c r="L230" s="446">
        <f t="shared" si="6"/>
        <v>0</v>
      </c>
      <c r="M230" s="441">
        <f>IF(L230&lt;O230,MinPoints,IF(AND(L230&gt;N230,O230&gt;0),100,+INT(($L230-O230)/P230)+MinPoints))</f>
        <v>10</v>
      </c>
      <c r="N230" s="440">
        <f t="shared" si="7"/>
        <v>50</v>
      </c>
      <c r="O230" s="440">
        <f t="shared" si="8"/>
        <v>5</v>
      </c>
      <c r="P230" s="440">
        <f t="shared" si="9"/>
        <v>0.5</v>
      </c>
      <c r="Q230">
        <f t="array" ref="Q230">IF(I230&gt;0,INDEX(DB,I230,9),EventIndex)</f>
        <v>6</v>
      </c>
      <c r="S230" s="442">
        <f t="array" ref="S230">INDEX(MINVALUES,$Q230,$K$1)</f>
        <v>5</v>
      </c>
      <c r="T230">
        <f t="array" ref="T230">INDEX(INCVALUES,$Q230,$K$1)</f>
        <v>0.5</v>
      </c>
      <c r="V230">
        <f t="array" ref="V230">+J230+(4*(INDEX(MatchScoreTable,$Q230,20)-1))</f>
        <v>4</v>
      </c>
      <c r="W230" s="442">
        <f t="array" ref="W230">INDEX(INC_MINVALUES,$V230,$K$1)</f>
        <v>2.5</v>
      </c>
      <c r="X230" s="212">
        <f t="array" ref="X230">INDEX(INC_INCVALUES,$V230,$K$1)</f>
        <v>0.5</v>
      </c>
    </row>
    <row r="231" ht="15.75" customHeight="1">
      <c r="A231" s="435"/>
      <c r="B231" s="436"/>
      <c r="C231" s="95" t="str">
        <f t="array" ref="C231">IF(I231&gt;0,INDEX(DB,I231,8),"")</f>
        <v/>
      </c>
      <c r="D231" s="437">
        <f t="shared" si="1"/>
        <v>0</v>
      </c>
      <c r="F231" s="438">
        <f t="shared" si="2"/>
        <v>0</v>
      </c>
      <c r="G231" t="str">
        <f t="shared" si="3"/>
        <v/>
      </c>
      <c r="H231" t="b">
        <f t="shared" si="4"/>
        <v>0</v>
      </c>
      <c r="I231" s="439">
        <f>IF(OR(ISBLANK(A231),ISNA(MATCH(A231&amp;"",AthleteNumbers,0))),0,MATCH(A231&amp;"",AthleteNumbers,0))</f>
        <v>0</v>
      </c>
      <c r="J231" s="209">
        <f t="array" ref="J231">IF(I231&gt;0,INDEX(DB,$I231,6),0)</f>
        <v>0</v>
      </c>
      <c r="K231" s="446">
        <f t="shared" si="5"/>
        <v>0</v>
      </c>
      <c r="L231" s="446">
        <f t="shared" si="6"/>
        <v>0</v>
      </c>
      <c r="M231" s="441">
        <f>IF(L231&lt;O231,MinPoints,IF(AND(L231&gt;N231,O231&gt;0),100,+INT(($L231-O231)/P231)+MinPoints))</f>
        <v>10</v>
      </c>
      <c r="N231" s="440">
        <f t="shared" si="7"/>
        <v>50</v>
      </c>
      <c r="O231" s="440">
        <f t="shared" si="8"/>
        <v>5</v>
      </c>
      <c r="P231" s="440">
        <f t="shared" si="9"/>
        <v>0.5</v>
      </c>
      <c r="Q231">
        <f t="array" ref="Q231">IF(I231&gt;0,INDEX(DB,I231,9),EventIndex)</f>
        <v>6</v>
      </c>
      <c r="S231" s="442">
        <f t="array" ref="S231">INDEX(MINVALUES,$Q231,$K$1)</f>
        <v>5</v>
      </c>
      <c r="T231">
        <f t="array" ref="T231">INDEX(INCVALUES,$Q231,$K$1)</f>
        <v>0.5</v>
      </c>
      <c r="V231">
        <f t="array" ref="V231">+J231+(4*(INDEX(MatchScoreTable,$Q231,20)-1))</f>
        <v>4</v>
      </c>
      <c r="W231" s="442">
        <f t="array" ref="W231">INDEX(INC_MINVALUES,$V231,$K$1)</f>
        <v>2.5</v>
      </c>
      <c r="X231" s="212">
        <f t="array" ref="X231">INDEX(INC_INCVALUES,$V231,$K$1)</f>
        <v>0.5</v>
      </c>
    </row>
    <row r="232" ht="15.75" customHeight="1">
      <c r="A232" s="435"/>
      <c r="B232" s="436"/>
      <c r="C232" s="95" t="str">
        <f t="array" ref="C232">IF(I232&gt;0,INDEX(DB,I232,8),"")</f>
        <v/>
      </c>
      <c r="D232" s="437">
        <f t="shared" si="1"/>
        <v>0</v>
      </c>
      <c r="F232" s="438">
        <f t="shared" si="2"/>
        <v>0</v>
      </c>
      <c r="G232" t="str">
        <f t="shared" si="3"/>
        <v/>
      </c>
      <c r="H232" t="b">
        <f t="shared" si="4"/>
        <v>0</v>
      </c>
      <c r="I232" s="439">
        <f>IF(OR(ISBLANK(A232),ISNA(MATCH(A232&amp;"",AthleteNumbers,0))),0,MATCH(A232&amp;"",AthleteNumbers,0))</f>
        <v>0</v>
      </c>
      <c r="J232" s="209">
        <f t="array" ref="J232">IF(I232&gt;0,INDEX(DB,$I232,6),0)</f>
        <v>0</v>
      </c>
      <c r="K232" s="446">
        <f t="shared" si="5"/>
        <v>0</v>
      </c>
      <c r="L232" s="446">
        <f t="shared" si="6"/>
        <v>0</v>
      </c>
      <c r="M232" s="441">
        <f>IF(L232&lt;O232,MinPoints,IF(AND(L232&gt;N232,O232&gt;0),100,+INT(($L232-O232)/P232)+MinPoints))</f>
        <v>10</v>
      </c>
      <c r="N232" s="440">
        <f t="shared" si="7"/>
        <v>50</v>
      </c>
      <c r="O232" s="440">
        <f t="shared" si="8"/>
        <v>5</v>
      </c>
      <c r="P232" s="440">
        <f t="shared" si="9"/>
        <v>0.5</v>
      </c>
      <c r="Q232">
        <f t="array" ref="Q232">IF(I232&gt;0,INDEX(DB,I232,9),EventIndex)</f>
        <v>6</v>
      </c>
      <c r="S232" s="442">
        <f t="array" ref="S232">INDEX(MINVALUES,$Q232,$K$1)</f>
        <v>5</v>
      </c>
      <c r="T232">
        <f t="array" ref="T232">INDEX(INCVALUES,$Q232,$K$1)</f>
        <v>0.5</v>
      </c>
      <c r="V232">
        <f t="array" ref="V232">+J232+(4*(INDEX(MatchScoreTable,$Q232,20)-1))</f>
        <v>4</v>
      </c>
      <c r="W232" s="442">
        <f t="array" ref="W232">INDEX(INC_MINVALUES,$V232,$K$1)</f>
        <v>2.5</v>
      </c>
      <c r="X232" s="212">
        <f t="array" ref="X232">INDEX(INC_INCVALUES,$V232,$K$1)</f>
        <v>0.5</v>
      </c>
    </row>
    <row r="233" ht="15.75" customHeight="1">
      <c r="A233" s="435"/>
      <c r="B233" s="436"/>
      <c r="C233" s="95" t="str">
        <f t="array" ref="C233">IF(I233&gt;0,INDEX(DB,I233,8),"")</f>
        <v/>
      </c>
      <c r="D233" s="437">
        <f t="shared" si="1"/>
        <v>0</v>
      </c>
      <c r="F233" s="438">
        <f t="shared" si="2"/>
        <v>0</v>
      </c>
      <c r="G233" t="str">
        <f t="shared" si="3"/>
        <v/>
      </c>
      <c r="H233" t="b">
        <f t="shared" si="4"/>
        <v>0</v>
      </c>
      <c r="I233" s="439">
        <f>IF(OR(ISBLANK(A233),ISNA(MATCH(A233&amp;"",AthleteNumbers,0))),0,MATCH(A233&amp;"",AthleteNumbers,0))</f>
        <v>0</v>
      </c>
      <c r="J233" s="209">
        <f t="array" ref="J233">IF(I233&gt;0,INDEX(DB,$I233,6),0)</f>
        <v>0</v>
      </c>
      <c r="K233" s="446">
        <f t="shared" si="5"/>
        <v>0</v>
      </c>
      <c r="L233" s="446">
        <f t="shared" si="6"/>
        <v>0</v>
      </c>
      <c r="M233" s="441">
        <f>IF(L233&lt;O233,MinPoints,IF(AND(L233&gt;N233,O233&gt;0),100,+INT(($L233-O233)/P233)+MinPoints))</f>
        <v>10</v>
      </c>
      <c r="N233" s="440">
        <f t="shared" si="7"/>
        <v>50</v>
      </c>
      <c r="O233" s="440">
        <f t="shared" si="8"/>
        <v>5</v>
      </c>
      <c r="P233" s="440">
        <f t="shared" si="9"/>
        <v>0.5</v>
      </c>
      <c r="Q233">
        <f t="array" ref="Q233">IF(I233&gt;0,INDEX(DB,I233,9),EventIndex)</f>
        <v>6</v>
      </c>
      <c r="S233" s="442">
        <f t="array" ref="S233">INDEX(MINVALUES,$Q233,$K$1)</f>
        <v>5</v>
      </c>
      <c r="T233">
        <f t="array" ref="T233">INDEX(INCVALUES,$Q233,$K$1)</f>
        <v>0.5</v>
      </c>
      <c r="V233">
        <f t="array" ref="V233">+J233+(4*(INDEX(MatchScoreTable,$Q233,20)-1))</f>
        <v>4</v>
      </c>
      <c r="W233" s="442">
        <f t="array" ref="W233">INDEX(INC_MINVALUES,$V233,$K$1)</f>
        <v>2.5</v>
      </c>
      <c r="X233" s="212">
        <f t="array" ref="X233">INDEX(INC_INCVALUES,$V233,$K$1)</f>
        <v>0.5</v>
      </c>
    </row>
    <row r="234" ht="15.75" customHeight="1">
      <c r="A234" s="435"/>
      <c r="B234" s="436"/>
      <c r="C234" s="95" t="str">
        <f t="array" ref="C234">IF(I234&gt;0,INDEX(DB,I234,8),"")</f>
        <v/>
      </c>
      <c r="D234" s="437">
        <f t="shared" si="1"/>
        <v>0</v>
      </c>
      <c r="F234" s="438">
        <f t="shared" si="2"/>
        <v>0</v>
      </c>
      <c r="G234" t="str">
        <f t="shared" si="3"/>
        <v/>
      </c>
      <c r="H234" t="b">
        <f t="shared" si="4"/>
        <v>0</v>
      </c>
      <c r="I234" s="439">
        <f>IF(OR(ISBLANK(A234),ISNA(MATCH(A234&amp;"",AthleteNumbers,0))),0,MATCH(A234&amp;"",AthleteNumbers,0))</f>
        <v>0</v>
      </c>
      <c r="J234" s="209">
        <f t="array" ref="J234">IF(I234&gt;0,INDEX(DB,$I234,6),0)</f>
        <v>0</v>
      </c>
      <c r="K234" s="446">
        <f t="shared" si="5"/>
        <v>0</v>
      </c>
      <c r="L234" s="446">
        <f t="shared" si="6"/>
        <v>0</v>
      </c>
      <c r="M234" s="441">
        <f>IF(L234&lt;O234,MinPoints,IF(AND(L234&gt;N234,O234&gt;0),100,+INT(($L234-O234)/P234)+MinPoints))</f>
        <v>10</v>
      </c>
      <c r="N234" s="440">
        <f t="shared" si="7"/>
        <v>50</v>
      </c>
      <c r="O234" s="440">
        <f t="shared" si="8"/>
        <v>5</v>
      </c>
      <c r="P234" s="440">
        <f t="shared" si="9"/>
        <v>0.5</v>
      </c>
      <c r="Q234">
        <f t="array" ref="Q234">IF(I234&gt;0,INDEX(DB,I234,9),EventIndex)</f>
        <v>6</v>
      </c>
      <c r="S234" s="442">
        <f t="array" ref="S234">INDEX(MINVALUES,$Q234,$K$1)</f>
        <v>5</v>
      </c>
      <c r="T234">
        <f t="array" ref="T234">INDEX(INCVALUES,$Q234,$K$1)</f>
        <v>0.5</v>
      </c>
      <c r="V234">
        <f t="array" ref="V234">+J234+(4*(INDEX(MatchScoreTable,$Q234,20)-1))</f>
        <v>4</v>
      </c>
      <c r="W234" s="442">
        <f t="array" ref="W234">INDEX(INC_MINVALUES,$V234,$K$1)</f>
        <v>2.5</v>
      </c>
      <c r="X234" s="212">
        <f t="array" ref="X234">INDEX(INC_INCVALUES,$V234,$K$1)</f>
        <v>0.5</v>
      </c>
    </row>
    <row r="235" ht="15.75" customHeight="1">
      <c r="A235" s="435"/>
      <c r="B235" s="436"/>
      <c r="C235" s="95" t="str">
        <f t="array" ref="C235">IF(I235&gt;0,INDEX(DB,I235,8),"")</f>
        <v/>
      </c>
      <c r="D235" s="437">
        <f t="shared" si="1"/>
        <v>0</v>
      </c>
      <c r="F235" s="438">
        <f t="shared" si="2"/>
        <v>0</v>
      </c>
      <c r="G235" t="str">
        <f t="shared" si="3"/>
        <v/>
      </c>
      <c r="H235" t="b">
        <f t="shared" si="4"/>
        <v>0</v>
      </c>
      <c r="I235" s="439">
        <f>IF(OR(ISBLANK(A235),ISNA(MATCH(A235&amp;"",AthleteNumbers,0))),0,MATCH(A235&amp;"",AthleteNumbers,0))</f>
        <v>0</v>
      </c>
      <c r="J235" s="209">
        <f t="array" ref="J235">IF(I235&gt;0,INDEX(DB,$I235,6),0)</f>
        <v>0</v>
      </c>
      <c r="K235" s="446">
        <f t="shared" si="5"/>
        <v>0</v>
      </c>
      <c r="L235" s="446">
        <f t="shared" si="6"/>
        <v>0</v>
      </c>
      <c r="M235" s="441">
        <f>IF(L235&lt;O235,MinPoints,IF(AND(L235&gt;N235,O235&gt;0),100,+INT(($L235-O235)/P235)+MinPoints))</f>
        <v>10</v>
      </c>
      <c r="N235" s="440">
        <f t="shared" si="7"/>
        <v>50</v>
      </c>
      <c r="O235" s="440">
        <f t="shared" si="8"/>
        <v>5</v>
      </c>
      <c r="P235" s="440">
        <f t="shared" si="9"/>
        <v>0.5</v>
      </c>
      <c r="Q235">
        <f t="array" ref="Q235">IF(I235&gt;0,INDEX(DB,I235,9),EventIndex)</f>
        <v>6</v>
      </c>
      <c r="S235" s="442">
        <f t="array" ref="S235">INDEX(MINVALUES,$Q235,$K$1)</f>
        <v>5</v>
      </c>
      <c r="T235">
        <f t="array" ref="T235">INDEX(INCVALUES,$Q235,$K$1)</f>
        <v>0.5</v>
      </c>
      <c r="V235">
        <f t="array" ref="V235">+J235+(4*(INDEX(MatchScoreTable,$Q235,20)-1))</f>
        <v>4</v>
      </c>
      <c r="W235" s="442">
        <f t="array" ref="W235">INDEX(INC_MINVALUES,$V235,$K$1)</f>
        <v>2.5</v>
      </c>
      <c r="X235" s="212">
        <f t="array" ref="X235">INDEX(INC_INCVALUES,$V235,$K$1)</f>
        <v>0.5</v>
      </c>
    </row>
    <row r="236" ht="15.75" customHeight="1">
      <c r="A236" s="435"/>
      <c r="B236" s="436"/>
      <c r="C236" s="95" t="str">
        <f t="array" ref="C236">IF(I236&gt;0,INDEX(DB,I236,8),"")</f>
        <v/>
      </c>
      <c r="D236" s="437">
        <f t="shared" si="1"/>
        <v>0</v>
      </c>
      <c r="F236" s="438">
        <f t="shared" si="2"/>
        <v>0</v>
      </c>
      <c r="G236" t="str">
        <f t="shared" si="3"/>
        <v/>
      </c>
      <c r="H236" t="b">
        <f t="shared" si="4"/>
        <v>0</v>
      </c>
      <c r="I236" s="439">
        <f>IF(OR(ISBLANK(A236),ISNA(MATCH(A236&amp;"",AthleteNumbers,0))),0,MATCH(A236&amp;"",AthleteNumbers,0))</f>
        <v>0</v>
      </c>
      <c r="J236" s="209">
        <f t="array" ref="J236">IF(I236&gt;0,INDEX(DB,$I236,6),0)</f>
        <v>0</v>
      </c>
      <c r="K236" s="446">
        <f t="shared" si="5"/>
        <v>0</v>
      </c>
      <c r="L236" s="446">
        <f t="shared" si="6"/>
        <v>0</v>
      </c>
      <c r="M236" s="441">
        <f>IF(L236&lt;O236,MinPoints,IF(AND(L236&gt;N236,O236&gt;0),100,+INT(($L236-O236)/P236)+MinPoints))</f>
        <v>10</v>
      </c>
      <c r="N236" s="440">
        <f t="shared" si="7"/>
        <v>50</v>
      </c>
      <c r="O236" s="440">
        <f t="shared" si="8"/>
        <v>5</v>
      </c>
      <c r="P236" s="440">
        <f t="shared" si="9"/>
        <v>0.5</v>
      </c>
      <c r="Q236">
        <f t="array" ref="Q236">IF(I236&gt;0,INDEX(DB,I236,9),EventIndex)</f>
        <v>6</v>
      </c>
      <c r="S236" s="442">
        <f t="array" ref="S236">INDEX(MINVALUES,$Q236,$K$1)</f>
        <v>5</v>
      </c>
      <c r="T236">
        <f t="array" ref="T236">INDEX(INCVALUES,$Q236,$K$1)</f>
        <v>0.5</v>
      </c>
      <c r="V236">
        <f t="array" ref="V236">+J236+(4*(INDEX(MatchScoreTable,$Q236,20)-1))</f>
        <v>4</v>
      </c>
      <c r="W236" s="442">
        <f t="array" ref="W236">INDEX(INC_MINVALUES,$V236,$K$1)</f>
        <v>2.5</v>
      </c>
      <c r="X236" s="212">
        <f t="array" ref="X236">INDEX(INC_INCVALUES,$V236,$K$1)</f>
        <v>0.5</v>
      </c>
    </row>
    <row r="237" ht="15.75" customHeight="1">
      <c r="A237" s="435"/>
      <c r="B237" s="436"/>
      <c r="C237" s="95" t="str">
        <f t="array" ref="C237">IF(I237&gt;0,INDEX(DB,I237,8),"")</f>
        <v/>
      </c>
      <c r="D237" s="437">
        <f t="shared" si="1"/>
        <v>0</v>
      </c>
      <c r="F237" s="438">
        <f t="shared" si="2"/>
        <v>0</v>
      </c>
      <c r="G237" t="str">
        <f t="shared" si="3"/>
        <v/>
      </c>
      <c r="H237" t="b">
        <f t="shared" si="4"/>
        <v>0</v>
      </c>
      <c r="I237" s="439">
        <f>IF(OR(ISBLANK(A237),ISNA(MATCH(A237&amp;"",AthleteNumbers,0))),0,MATCH(A237&amp;"",AthleteNumbers,0))</f>
        <v>0</v>
      </c>
      <c r="J237" s="209">
        <f t="array" ref="J237">IF(I237&gt;0,INDEX(DB,$I237,6),0)</f>
        <v>0</v>
      </c>
      <c r="K237" s="446">
        <f t="shared" si="5"/>
        <v>0</v>
      </c>
      <c r="L237" s="446">
        <f t="shared" si="6"/>
        <v>0</v>
      </c>
      <c r="M237" s="441">
        <f>IF(L237&lt;O237,MinPoints,IF(AND(L237&gt;N237,O237&gt;0),100,+INT(($L237-O237)/P237)+MinPoints))</f>
        <v>10</v>
      </c>
      <c r="N237" s="440">
        <f t="shared" si="7"/>
        <v>50</v>
      </c>
      <c r="O237" s="440">
        <f t="shared" si="8"/>
        <v>5</v>
      </c>
      <c r="P237" s="440">
        <f t="shared" si="9"/>
        <v>0.5</v>
      </c>
      <c r="Q237">
        <f t="array" ref="Q237">IF(I237&gt;0,INDEX(DB,I237,9),EventIndex)</f>
        <v>6</v>
      </c>
      <c r="S237" s="442">
        <f t="array" ref="S237">INDEX(MINVALUES,$Q237,$K$1)</f>
        <v>5</v>
      </c>
      <c r="T237">
        <f t="array" ref="T237">INDEX(INCVALUES,$Q237,$K$1)</f>
        <v>0.5</v>
      </c>
      <c r="V237">
        <f t="array" ref="V237">+J237+(4*(INDEX(MatchScoreTable,$Q237,20)-1))</f>
        <v>4</v>
      </c>
      <c r="W237" s="442">
        <f t="array" ref="W237">INDEX(INC_MINVALUES,$V237,$K$1)</f>
        <v>2.5</v>
      </c>
      <c r="X237" s="212">
        <f t="array" ref="X237">INDEX(INC_INCVALUES,$V237,$K$1)</f>
        <v>0.5</v>
      </c>
    </row>
    <row r="238" ht="15.75" customHeight="1">
      <c r="A238" s="435"/>
      <c r="B238" s="436"/>
      <c r="C238" s="95" t="str">
        <f t="array" ref="C238">IF(I238&gt;0,INDEX(DB,I238,8),"")</f>
        <v/>
      </c>
      <c r="D238" s="437">
        <f t="shared" si="1"/>
        <v>0</v>
      </c>
      <c r="F238" s="438">
        <f t="shared" si="2"/>
        <v>0</v>
      </c>
      <c r="G238" t="str">
        <f t="shared" si="3"/>
        <v/>
      </c>
      <c r="H238" t="b">
        <f t="shared" si="4"/>
        <v>0</v>
      </c>
      <c r="I238" s="439">
        <f>IF(OR(ISBLANK(A238),ISNA(MATCH(A238&amp;"",AthleteNumbers,0))),0,MATCH(A238&amp;"",AthleteNumbers,0))</f>
        <v>0</v>
      </c>
      <c r="J238" s="209">
        <f t="array" ref="J238">IF(I238&gt;0,INDEX(DB,$I238,6),0)</f>
        <v>0</v>
      </c>
      <c r="K238" s="446">
        <f t="shared" si="5"/>
        <v>0</v>
      </c>
      <c r="L238" s="446">
        <f t="shared" si="6"/>
        <v>0</v>
      </c>
      <c r="M238" s="441">
        <f>IF(L238&lt;O238,MinPoints,IF(AND(L238&gt;N238,O238&gt;0),100,+INT(($L238-O238)/P238)+MinPoints))</f>
        <v>10</v>
      </c>
      <c r="N238" s="440">
        <f t="shared" si="7"/>
        <v>50</v>
      </c>
      <c r="O238" s="440">
        <f t="shared" si="8"/>
        <v>5</v>
      </c>
      <c r="P238" s="440">
        <f t="shared" si="9"/>
        <v>0.5</v>
      </c>
      <c r="Q238">
        <f t="array" ref="Q238">IF(I238&gt;0,INDEX(DB,I238,9),EventIndex)</f>
        <v>6</v>
      </c>
      <c r="S238" s="442">
        <f t="array" ref="S238">INDEX(MINVALUES,$Q238,$K$1)</f>
        <v>5</v>
      </c>
      <c r="T238">
        <f t="array" ref="T238">INDEX(INCVALUES,$Q238,$K$1)</f>
        <v>0.5</v>
      </c>
      <c r="V238">
        <f t="array" ref="V238">+J238+(4*(INDEX(MatchScoreTable,$Q238,20)-1))</f>
        <v>4</v>
      </c>
      <c r="W238" s="442">
        <f t="array" ref="W238">INDEX(INC_MINVALUES,$V238,$K$1)</f>
        <v>2.5</v>
      </c>
      <c r="X238" s="212">
        <f t="array" ref="X238">INDEX(INC_INCVALUES,$V238,$K$1)</f>
        <v>0.5</v>
      </c>
    </row>
    <row r="239" ht="15.75" customHeight="1">
      <c r="A239" s="435"/>
      <c r="B239" s="436"/>
      <c r="C239" s="95" t="str">
        <f t="array" ref="C239">IF(I239&gt;0,INDEX(DB,I239,8),"")</f>
        <v/>
      </c>
      <c r="D239" s="437">
        <f t="shared" si="1"/>
        <v>0</v>
      </c>
      <c r="F239" s="438">
        <f t="shared" si="2"/>
        <v>0</v>
      </c>
      <c r="G239" t="str">
        <f t="shared" si="3"/>
        <v/>
      </c>
      <c r="H239" t="b">
        <f t="shared" si="4"/>
        <v>0</v>
      </c>
      <c r="I239" s="439">
        <f>IF(OR(ISBLANK(A239),ISNA(MATCH(A239&amp;"",AthleteNumbers,0))),0,MATCH(A239&amp;"",AthleteNumbers,0))</f>
        <v>0</v>
      </c>
      <c r="J239" s="209">
        <f t="array" ref="J239">IF(I239&gt;0,INDEX(DB,$I239,6),0)</f>
        <v>0</v>
      </c>
      <c r="K239" s="446">
        <f t="shared" si="5"/>
        <v>0</v>
      </c>
      <c r="L239" s="446">
        <f t="shared" si="6"/>
        <v>0</v>
      </c>
      <c r="M239" s="441">
        <f>IF(L239&lt;O239,MinPoints,IF(AND(L239&gt;N239,O239&gt;0),100,+INT(($L239-O239)/P239)+MinPoints))</f>
        <v>10</v>
      </c>
      <c r="N239" s="440">
        <f t="shared" si="7"/>
        <v>50</v>
      </c>
      <c r="O239" s="440">
        <f t="shared" si="8"/>
        <v>5</v>
      </c>
      <c r="P239" s="440">
        <f t="shared" si="9"/>
        <v>0.5</v>
      </c>
      <c r="Q239">
        <f t="array" ref="Q239">IF(I239&gt;0,INDEX(DB,I239,9),EventIndex)</f>
        <v>6</v>
      </c>
      <c r="S239" s="442">
        <f t="array" ref="S239">INDEX(MINVALUES,$Q239,$K$1)</f>
        <v>5</v>
      </c>
      <c r="T239">
        <f t="array" ref="T239">INDEX(INCVALUES,$Q239,$K$1)</f>
        <v>0.5</v>
      </c>
      <c r="V239">
        <f t="array" ref="V239">+J239+(4*(INDEX(MatchScoreTable,$Q239,20)-1))</f>
        <v>4</v>
      </c>
      <c r="W239" s="442">
        <f t="array" ref="W239">INDEX(INC_MINVALUES,$V239,$K$1)</f>
        <v>2.5</v>
      </c>
      <c r="X239" s="212">
        <f t="array" ref="X239">INDEX(INC_INCVALUES,$V239,$K$1)</f>
        <v>0.5</v>
      </c>
    </row>
    <row r="240" ht="15.75" customHeight="1">
      <c r="A240" s="435"/>
      <c r="B240" s="436"/>
      <c r="C240" s="95" t="str">
        <f t="array" ref="C240">IF(I240&gt;0,INDEX(DB,I240,8),"")</f>
        <v/>
      </c>
      <c r="D240" s="437">
        <f t="shared" si="1"/>
        <v>0</v>
      </c>
      <c r="F240" s="438">
        <f t="shared" si="2"/>
        <v>0</v>
      </c>
      <c r="G240" t="str">
        <f t="shared" si="3"/>
        <v/>
      </c>
      <c r="H240" t="b">
        <f t="shared" si="4"/>
        <v>0</v>
      </c>
      <c r="I240" s="439">
        <f>IF(OR(ISBLANK(A240),ISNA(MATCH(A240&amp;"",AthleteNumbers,0))),0,MATCH(A240&amp;"",AthleteNumbers,0))</f>
        <v>0</v>
      </c>
      <c r="J240" s="209">
        <f t="array" ref="J240">IF(I240&gt;0,INDEX(DB,$I240,6),0)</f>
        <v>0</v>
      </c>
      <c r="K240" s="446">
        <f t="shared" si="5"/>
        <v>0</v>
      </c>
      <c r="L240" s="446">
        <f t="shared" si="6"/>
        <v>0</v>
      </c>
      <c r="M240" s="441">
        <f>IF(L240&lt;O240,MinPoints,IF(AND(L240&gt;N240,O240&gt;0),100,+INT(($L240-O240)/P240)+MinPoints))</f>
        <v>10</v>
      </c>
      <c r="N240" s="440">
        <f t="shared" si="7"/>
        <v>50</v>
      </c>
      <c r="O240" s="440">
        <f t="shared" si="8"/>
        <v>5</v>
      </c>
      <c r="P240" s="440">
        <f t="shared" si="9"/>
        <v>0.5</v>
      </c>
      <c r="Q240">
        <f t="array" ref="Q240">IF(I240&gt;0,INDEX(DB,I240,9),EventIndex)</f>
        <v>6</v>
      </c>
      <c r="S240" s="442">
        <f t="array" ref="S240">INDEX(MINVALUES,$Q240,$K$1)</f>
        <v>5</v>
      </c>
      <c r="T240">
        <f t="array" ref="T240">INDEX(INCVALUES,$Q240,$K$1)</f>
        <v>0.5</v>
      </c>
      <c r="V240">
        <f t="array" ref="V240">+J240+(4*(INDEX(MatchScoreTable,$Q240,20)-1))</f>
        <v>4</v>
      </c>
      <c r="W240" s="442">
        <f t="array" ref="W240">INDEX(INC_MINVALUES,$V240,$K$1)</f>
        <v>2.5</v>
      </c>
      <c r="X240" s="212">
        <f t="array" ref="X240">INDEX(INC_INCVALUES,$V240,$K$1)</f>
        <v>0.5</v>
      </c>
    </row>
    <row r="241" ht="15.75" customHeight="1">
      <c r="A241" s="435"/>
      <c r="B241" s="436"/>
      <c r="C241" s="95" t="str">
        <f t="array" ref="C241">IF(I241&gt;0,INDEX(DB,I241,8),"")</f>
        <v/>
      </c>
      <c r="D241" s="437">
        <f t="shared" si="1"/>
        <v>0</v>
      </c>
      <c r="F241" s="438">
        <f t="shared" si="2"/>
        <v>0</v>
      </c>
      <c r="G241" t="str">
        <f t="shared" si="3"/>
        <v/>
      </c>
      <c r="H241" t="b">
        <f t="shared" si="4"/>
        <v>0</v>
      </c>
      <c r="I241" s="439">
        <f>IF(OR(ISBLANK(A241),ISNA(MATCH(A241&amp;"",AthleteNumbers,0))),0,MATCH(A241&amp;"",AthleteNumbers,0))</f>
        <v>0</v>
      </c>
      <c r="J241" s="209">
        <f t="array" ref="J241">IF(I241&gt;0,INDEX(DB,$I241,6),0)</f>
        <v>0</v>
      </c>
      <c r="K241" s="446">
        <f t="shared" si="5"/>
        <v>0</v>
      </c>
      <c r="L241" s="446">
        <f t="shared" si="6"/>
        <v>0</v>
      </c>
      <c r="M241" s="441">
        <f>IF(L241&lt;O241,MinPoints,IF(AND(L241&gt;N241,O241&gt;0),100,+INT(($L241-O241)/P241)+MinPoints))</f>
        <v>10</v>
      </c>
      <c r="N241" s="440">
        <f t="shared" si="7"/>
        <v>50</v>
      </c>
      <c r="O241" s="440">
        <f t="shared" si="8"/>
        <v>5</v>
      </c>
      <c r="P241" s="440">
        <f t="shared" si="9"/>
        <v>0.5</v>
      </c>
      <c r="Q241">
        <f t="array" ref="Q241">IF(I241&gt;0,INDEX(DB,I241,9),EventIndex)</f>
        <v>6</v>
      </c>
      <c r="S241" s="442">
        <f t="array" ref="S241">INDEX(MINVALUES,$Q241,$K$1)</f>
        <v>5</v>
      </c>
      <c r="T241">
        <f t="array" ref="T241">INDEX(INCVALUES,$Q241,$K$1)</f>
        <v>0.5</v>
      </c>
      <c r="V241">
        <f t="array" ref="V241">+J241+(4*(INDEX(MatchScoreTable,$Q241,20)-1))</f>
        <v>4</v>
      </c>
      <c r="W241" s="442">
        <f t="array" ref="W241">INDEX(INC_MINVALUES,$V241,$K$1)</f>
        <v>2.5</v>
      </c>
      <c r="X241" s="212">
        <f t="array" ref="X241">INDEX(INC_INCVALUES,$V241,$K$1)</f>
        <v>0.5</v>
      </c>
    </row>
    <row r="242" ht="15.75" customHeight="1">
      <c r="A242" s="435"/>
      <c r="B242" s="436"/>
      <c r="C242" s="95" t="str">
        <f t="array" ref="C242">IF(I242&gt;0,INDEX(DB,I242,8),"")</f>
        <v/>
      </c>
      <c r="D242" s="437">
        <f t="shared" si="1"/>
        <v>0</v>
      </c>
      <c r="F242" s="438">
        <f t="shared" si="2"/>
        <v>0</v>
      </c>
      <c r="G242" t="str">
        <f t="shared" si="3"/>
        <v/>
      </c>
      <c r="H242" t="b">
        <f t="shared" si="4"/>
        <v>0</v>
      </c>
      <c r="I242" s="439">
        <f>IF(OR(ISBLANK(A242),ISNA(MATCH(A242&amp;"",AthleteNumbers,0))),0,MATCH(A242&amp;"",AthleteNumbers,0))</f>
        <v>0</v>
      </c>
      <c r="J242" s="209">
        <f t="array" ref="J242">IF(I242&gt;0,INDEX(DB,$I242,6),0)</f>
        <v>0</v>
      </c>
      <c r="K242" s="446">
        <f t="shared" si="5"/>
        <v>0</v>
      </c>
      <c r="L242" s="446">
        <f t="shared" si="6"/>
        <v>0</v>
      </c>
      <c r="M242" s="441">
        <f>IF(L242&lt;O242,MinPoints,IF(AND(L242&gt;N242,O242&gt;0),100,+INT(($L242-O242)/P242)+MinPoints))</f>
        <v>10</v>
      </c>
      <c r="N242" s="440">
        <f t="shared" si="7"/>
        <v>50</v>
      </c>
      <c r="O242" s="440">
        <f t="shared" si="8"/>
        <v>5</v>
      </c>
      <c r="P242" s="440">
        <f t="shared" si="9"/>
        <v>0.5</v>
      </c>
      <c r="Q242">
        <f t="array" ref="Q242">IF(I242&gt;0,INDEX(DB,I242,9),EventIndex)</f>
        <v>6</v>
      </c>
      <c r="S242" s="442">
        <f t="array" ref="S242">INDEX(MINVALUES,$Q242,$K$1)</f>
        <v>5</v>
      </c>
      <c r="T242">
        <f t="array" ref="T242">INDEX(INCVALUES,$Q242,$K$1)</f>
        <v>0.5</v>
      </c>
      <c r="V242">
        <f t="array" ref="V242">+J242+(4*(INDEX(MatchScoreTable,$Q242,20)-1))</f>
        <v>4</v>
      </c>
      <c r="W242" s="442">
        <f t="array" ref="W242">INDEX(INC_MINVALUES,$V242,$K$1)</f>
        <v>2.5</v>
      </c>
      <c r="X242" s="212">
        <f t="array" ref="X242">INDEX(INC_INCVALUES,$V242,$K$1)</f>
        <v>0.5</v>
      </c>
    </row>
    <row r="243" ht="15.75" customHeight="1">
      <c r="A243" s="435"/>
      <c r="B243" s="436"/>
      <c r="C243" s="95" t="str">
        <f t="array" ref="C243">IF(I243&gt;0,INDEX(DB,I243,8),"")</f>
        <v/>
      </c>
      <c r="D243" s="437">
        <f t="shared" si="1"/>
        <v>0</v>
      </c>
      <c r="F243" s="438">
        <f t="shared" si="2"/>
        <v>0</v>
      </c>
      <c r="G243" t="str">
        <f t="shared" si="3"/>
        <v/>
      </c>
      <c r="H243" t="b">
        <f t="shared" si="4"/>
        <v>0</v>
      </c>
      <c r="I243" s="439">
        <f>IF(OR(ISBLANK(A243),ISNA(MATCH(A243&amp;"",AthleteNumbers,0))),0,MATCH(A243&amp;"",AthleteNumbers,0))</f>
        <v>0</v>
      </c>
      <c r="J243" s="209">
        <f t="array" ref="J243">IF(I243&gt;0,INDEX(DB,$I243,6),0)</f>
        <v>0</v>
      </c>
      <c r="K243" s="446">
        <f t="shared" si="5"/>
        <v>0</v>
      </c>
      <c r="L243" s="446">
        <f t="shared" si="6"/>
        <v>0</v>
      </c>
      <c r="M243" s="441">
        <f>IF(L243&lt;O243,MinPoints,IF(AND(L243&gt;N243,O243&gt;0),100,+INT(($L243-O243)/P243)+MinPoints))</f>
        <v>10</v>
      </c>
      <c r="N243" s="440">
        <f t="shared" si="7"/>
        <v>50</v>
      </c>
      <c r="O243" s="440">
        <f t="shared" si="8"/>
        <v>5</v>
      </c>
      <c r="P243" s="440">
        <f t="shared" si="9"/>
        <v>0.5</v>
      </c>
      <c r="Q243">
        <f t="array" ref="Q243">IF(I243&gt;0,INDEX(DB,I243,9),EventIndex)</f>
        <v>6</v>
      </c>
      <c r="S243" s="442">
        <f t="array" ref="S243">INDEX(MINVALUES,$Q243,$K$1)</f>
        <v>5</v>
      </c>
      <c r="T243">
        <f t="array" ref="T243">INDEX(INCVALUES,$Q243,$K$1)</f>
        <v>0.5</v>
      </c>
      <c r="V243">
        <f t="array" ref="V243">+J243+(4*(INDEX(MatchScoreTable,$Q243,20)-1))</f>
        <v>4</v>
      </c>
      <c r="W243" s="442">
        <f t="array" ref="W243">INDEX(INC_MINVALUES,$V243,$K$1)</f>
        <v>2.5</v>
      </c>
      <c r="X243" s="212">
        <f t="array" ref="X243">INDEX(INC_INCVALUES,$V243,$K$1)</f>
        <v>0.5</v>
      </c>
    </row>
    <row r="244" ht="15.75" customHeight="1">
      <c r="A244" s="435"/>
      <c r="B244" s="436"/>
      <c r="C244" s="95" t="str">
        <f t="array" ref="C244">IF(I244&gt;0,INDEX(DB,I244,8),"")</f>
        <v/>
      </c>
      <c r="D244" s="437">
        <f t="shared" si="1"/>
        <v>0</v>
      </c>
      <c r="F244" s="438">
        <f t="shared" si="2"/>
        <v>0</v>
      </c>
      <c r="G244" t="str">
        <f t="shared" si="3"/>
        <v/>
      </c>
      <c r="H244" t="b">
        <f t="shared" si="4"/>
        <v>0</v>
      </c>
      <c r="I244" s="439">
        <f>IF(OR(ISBLANK(A244),ISNA(MATCH(A244&amp;"",AthleteNumbers,0))),0,MATCH(A244&amp;"",AthleteNumbers,0))</f>
        <v>0</v>
      </c>
      <c r="J244" s="209">
        <f t="array" ref="J244">IF(I244&gt;0,INDEX(DB,$I244,6),0)</f>
        <v>0</v>
      </c>
      <c r="K244" s="446">
        <f t="shared" si="5"/>
        <v>0</v>
      </c>
      <c r="L244" s="446">
        <f t="shared" si="6"/>
        <v>0</v>
      </c>
      <c r="M244" s="441">
        <f>IF(L244&lt;O244,MinPoints,IF(AND(L244&gt;N244,O244&gt;0),100,+INT(($L244-O244)/P244)+MinPoints))</f>
        <v>10</v>
      </c>
      <c r="N244" s="440">
        <f t="shared" si="7"/>
        <v>50</v>
      </c>
      <c r="O244" s="440">
        <f t="shared" si="8"/>
        <v>5</v>
      </c>
      <c r="P244" s="440">
        <f t="shared" si="9"/>
        <v>0.5</v>
      </c>
      <c r="Q244">
        <f t="array" ref="Q244">IF(I244&gt;0,INDEX(DB,I244,9),EventIndex)</f>
        <v>6</v>
      </c>
      <c r="S244" s="442">
        <f t="array" ref="S244">INDEX(MINVALUES,$Q244,$K$1)</f>
        <v>5</v>
      </c>
      <c r="T244">
        <f t="array" ref="T244">INDEX(INCVALUES,$Q244,$K$1)</f>
        <v>0.5</v>
      </c>
      <c r="V244">
        <f t="array" ref="V244">+J244+(4*(INDEX(MatchScoreTable,$Q244,20)-1))</f>
        <v>4</v>
      </c>
      <c r="W244" s="442">
        <f t="array" ref="W244">INDEX(INC_MINVALUES,$V244,$K$1)</f>
        <v>2.5</v>
      </c>
      <c r="X244" s="212">
        <f t="array" ref="X244">INDEX(INC_INCVALUES,$V244,$K$1)</f>
        <v>0.5</v>
      </c>
    </row>
    <row r="245" ht="15.75" customHeight="1">
      <c r="A245" s="435"/>
      <c r="B245" s="436"/>
      <c r="C245" s="95" t="str">
        <f t="array" ref="C245">IF(I245&gt;0,INDEX(DB,I245,8),"")</f>
        <v/>
      </c>
      <c r="D245" s="437">
        <f t="shared" si="1"/>
        <v>0</v>
      </c>
      <c r="F245" s="438">
        <f t="shared" si="2"/>
        <v>0</v>
      </c>
      <c r="G245" t="str">
        <f t="shared" si="3"/>
        <v/>
      </c>
      <c r="H245" t="b">
        <f t="shared" si="4"/>
        <v>0</v>
      </c>
      <c r="I245" s="439">
        <f>IF(OR(ISBLANK(A245),ISNA(MATCH(A245&amp;"",AthleteNumbers,0))),0,MATCH(A245&amp;"",AthleteNumbers,0))</f>
        <v>0</v>
      </c>
      <c r="J245" s="209">
        <f t="array" ref="J245">IF(I245&gt;0,INDEX(DB,$I245,6),0)</f>
        <v>0</v>
      </c>
      <c r="K245" s="446">
        <f t="shared" si="5"/>
        <v>0</v>
      </c>
      <c r="L245" s="446">
        <f t="shared" si="6"/>
        <v>0</v>
      </c>
      <c r="M245" s="441">
        <f>IF(L245&lt;O245,MinPoints,IF(AND(L245&gt;N245,O245&gt;0),100,+INT(($L245-O245)/P245)+MinPoints))</f>
        <v>10</v>
      </c>
      <c r="N245" s="440">
        <f t="shared" si="7"/>
        <v>50</v>
      </c>
      <c r="O245" s="440">
        <f t="shared" si="8"/>
        <v>5</v>
      </c>
      <c r="P245" s="440">
        <f t="shared" si="9"/>
        <v>0.5</v>
      </c>
      <c r="Q245">
        <f t="array" ref="Q245">IF(I245&gt;0,INDEX(DB,I245,9),EventIndex)</f>
        <v>6</v>
      </c>
      <c r="S245" s="442">
        <f t="array" ref="S245">INDEX(MINVALUES,$Q245,$K$1)</f>
        <v>5</v>
      </c>
      <c r="T245">
        <f t="array" ref="T245">INDEX(INCVALUES,$Q245,$K$1)</f>
        <v>0.5</v>
      </c>
      <c r="V245">
        <f t="array" ref="V245">+J245+(4*(INDEX(MatchScoreTable,$Q245,20)-1))</f>
        <v>4</v>
      </c>
      <c r="W245" s="442">
        <f t="array" ref="W245">INDEX(INC_MINVALUES,$V245,$K$1)</f>
        <v>2.5</v>
      </c>
      <c r="X245" s="212">
        <f t="array" ref="X245">INDEX(INC_INCVALUES,$V245,$K$1)</f>
        <v>0.5</v>
      </c>
    </row>
    <row r="246" ht="15.75" customHeight="1">
      <c r="A246" s="435"/>
      <c r="B246" s="436"/>
      <c r="C246" s="95" t="str">
        <f t="array" ref="C246">IF(I246&gt;0,INDEX(DB,I246,8),"")</f>
        <v/>
      </c>
      <c r="D246" s="437">
        <f t="shared" si="1"/>
        <v>0</v>
      </c>
      <c r="F246" s="438">
        <f t="shared" si="2"/>
        <v>0</v>
      </c>
      <c r="G246" t="str">
        <f t="shared" si="3"/>
        <v/>
      </c>
      <c r="H246" t="b">
        <f t="shared" si="4"/>
        <v>0</v>
      </c>
      <c r="I246" s="439">
        <f>IF(OR(ISBLANK(A246),ISNA(MATCH(A246&amp;"",AthleteNumbers,0))),0,MATCH(A246&amp;"",AthleteNumbers,0))</f>
        <v>0</v>
      </c>
      <c r="J246" s="209">
        <f t="array" ref="J246">IF(I246&gt;0,INDEX(DB,$I246,6),0)</f>
        <v>0</v>
      </c>
      <c r="K246" s="446">
        <f t="shared" si="5"/>
        <v>0</v>
      </c>
      <c r="L246" s="446">
        <f t="shared" si="6"/>
        <v>0</v>
      </c>
      <c r="M246" s="441">
        <f>IF(L246&lt;O246,MinPoints,IF(AND(L246&gt;N246,O246&gt;0),100,+INT(($L246-O246)/P246)+MinPoints))</f>
        <v>10</v>
      </c>
      <c r="N246" s="440">
        <f t="shared" si="7"/>
        <v>50</v>
      </c>
      <c r="O246" s="440">
        <f t="shared" si="8"/>
        <v>5</v>
      </c>
      <c r="P246" s="440">
        <f t="shared" si="9"/>
        <v>0.5</v>
      </c>
      <c r="Q246">
        <f t="array" ref="Q246">IF(I246&gt;0,INDEX(DB,I246,9),EventIndex)</f>
        <v>6</v>
      </c>
      <c r="S246" s="442">
        <f t="array" ref="S246">INDEX(MINVALUES,$Q246,$K$1)</f>
        <v>5</v>
      </c>
      <c r="T246">
        <f t="array" ref="T246">INDEX(INCVALUES,$Q246,$K$1)</f>
        <v>0.5</v>
      </c>
      <c r="V246">
        <f t="array" ref="V246">+J246+(4*(INDEX(MatchScoreTable,$Q246,20)-1))</f>
        <v>4</v>
      </c>
      <c r="W246" s="442">
        <f t="array" ref="W246">INDEX(INC_MINVALUES,$V246,$K$1)</f>
        <v>2.5</v>
      </c>
      <c r="X246" s="212">
        <f t="array" ref="X246">INDEX(INC_INCVALUES,$V246,$K$1)</f>
        <v>0.5</v>
      </c>
    </row>
    <row r="247" ht="15.75" customHeight="1">
      <c r="A247" s="435"/>
      <c r="B247" s="436"/>
      <c r="C247" s="95" t="str">
        <f t="array" ref="C247">IF(I247&gt;0,INDEX(DB,I247,8),"")</f>
        <v/>
      </c>
      <c r="D247" s="437">
        <f t="shared" si="1"/>
        <v>0</v>
      </c>
      <c r="F247" s="438">
        <f t="shared" si="2"/>
        <v>0</v>
      </c>
      <c r="G247" t="str">
        <f t="shared" si="3"/>
        <v/>
      </c>
      <c r="H247" t="b">
        <f t="shared" si="4"/>
        <v>0</v>
      </c>
      <c r="I247" s="439">
        <f>IF(OR(ISBLANK(A247),ISNA(MATCH(A247&amp;"",AthleteNumbers,0))),0,MATCH(A247&amp;"",AthleteNumbers,0))</f>
        <v>0</v>
      </c>
      <c r="J247" s="209">
        <f t="array" ref="J247">IF(I247&gt;0,INDEX(DB,$I247,6),0)</f>
        <v>0</v>
      </c>
      <c r="K247" s="446">
        <f t="shared" si="5"/>
        <v>0</v>
      </c>
      <c r="L247" s="446">
        <f t="shared" si="6"/>
        <v>0</v>
      </c>
      <c r="M247" s="441">
        <f>IF(L247&lt;O247,MinPoints,IF(AND(L247&gt;N247,O247&gt;0),100,+INT(($L247-O247)/P247)+MinPoints))</f>
        <v>10</v>
      </c>
      <c r="N247" s="440">
        <f t="shared" si="7"/>
        <v>50</v>
      </c>
      <c r="O247" s="440">
        <f t="shared" si="8"/>
        <v>5</v>
      </c>
      <c r="P247" s="440">
        <f t="shared" si="9"/>
        <v>0.5</v>
      </c>
      <c r="Q247">
        <f t="array" ref="Q247">IF(I247&gt;0,INDEX(DB,I247,9),EventIndex)</f>
        <v>6</v>
      </c>
      <c r="S247" s="442">
        <f t="array" ref="S247">INDEX(MINVALUES,$Q247,$K$1)</f>
        <v>5</v>
      </c>
      <c r="T247">
        <f t="array" ref="T247">INDEX(INCVALUES,$Q247,$K$1)</f>
        <v>0.5</v>
      </c>
      <c r="V247">
        <f t="array" ref="V247">+J247+(4*(INDEX(MatchScoreTable,$Q247,20)-1))</f>
        <v>4</v>
      </c>
      <c r="W247" s="442">
        <f t="array" ref="W247">INDEX(INC_MINVALUES,$V247,$K$1)</f>
        <v>2.5</v>
      </c>
      <c r="X247" s="212">
        <f t="array" ref="X247">INDEX(INC_INCVALUES,$V247,$K$1)</f>
        <v>0.5</v>
      </c>
    </row>
    <row r="248" ht="15.75" customHeight="1">
      <c r="A248" s="435"/>
      <c r="B248" s="436"/>
      <c r="C248" s="95" t="str">
        <f t="array" ref="C248">IF(I248&gt;0,INDEX(DB,I248,8),"")</f>
        <v/>
      </c>
      <c r="D248" s="437">
        <f t="shared" si="1"/>
        <v>0</v>
      </c>
      <c r="F248" s="438">
        <f t="shared" si="2"/>
        <v>0</v>
      </c>
      <c r="G248" t="str">
        <f t="shared" si="3"/>
        <v/>
      </c>
      <c r="H248" t="b">
        <f t="shared" si="4"/>
        <v>0</v>
      </c>
      <c r="I248" s="439">
        <f>IF(OR(ISBLANK(A248),ISNA(MATCH(A248&amp;"",AthleteNumbers,0))),0,MATCH(A248&amp;"",AthleteNumbers,0))</f>
        <v>0</v>
      </c>
      <c r="J248" s="209">
        <f t="array" ref="J248">IF(I248&gt;0,INDEX(DB,$I248,6),0)</f>
        <v>0</v>
      </c>
      <c r="K248" s="446">
        <f t="shared" si="5"/>
        <v>0</v>
      </c>
      <c r="L248" s="446">
        <f t="shared" si="6"/>
        <v>0</v>
      </c>
      <c r="M248" s="441">
        <f>IF(L248&lt;O248,MinPoints,IF(AND(L248&gt;N248,O248&gt;0),100,+INT(($L248-O248)/P248)+MinPoints))</f>
        <v>10</v>
      </c>
      <c r="N248" s="440">
        <f t="shared" si="7"/>
        <v>50</v>
      </c>
      <c r="O248" s="440">
        <f t="shared" si="8"/>
        <v>5</v>
      </c>
      <c r="P248" s="440">
        <f t="shared" si="9"/>
        <v>0.5</v>
      </c>
      <c r="Q248">
        <f t="array" ref="Q248">IF(I248&gt;0,INDEX(DB,I248,9),EventIndex)</f>
        <v>6</v>
      </c>
      <c r="S248" s="442">
        <f t="array" ref="S248">INDEX(MINVALUES,$Q248,$K$1)</f>
        <v>5</v>
      </c>
      <c r="T248">
        <f t="array" ref="T248">INDEX(INCVALUES,$Q248,$K$1)</f>
        <v>0.5</v>
      </c>
      <c r="V248">
        <f t="array" ref="V248">+J248+(4*(INDEX(MatchScoreTable,$Q248,20)-1))</f>
        <v>4</v>
      </c>
      <c r="W248" s="442">
        <f t="array" ref="W248">INDEX(INC_MINVALUES,$V248,$K$1)</f>
        <v>2.5</v>
      </c>
      <c r="X248" s="212">
        <f t="array" ref="X248">INDEX(INC_INCVALUES,$V248,$K$1)</f>
        <v>0.5</v>
      </c>
    </row>
    <row r="249" ht="15.75" customHeight="1">
      <c r="A249" s="435"/>
      <c r="B249" s="436"/>
      <c r="C249" s="95" t="str">
        <f t="array" ref="C249">IF(I249&gt;0,INDEX(DB,I249,8),"")</f>
        <v/>
      </c>
      <c r="D249" s="437">
        <f t="shared" si="1"/>
        <v>0</v>
      </c>
      <c r="F249" s="438">
        <f t="shared" si="2"/>
        <v>0</v>
      </c>
      <c r="G249" t="str">
        <f t="shared" si="3"/>
        <v/>
      </c>
      <c r="H249" t="b">
        <f t="shared" si="4"/>
        <v>0</v>
      </c>
      <c r="I249" s="439">
        <f>IF(OR(ISBLANK(A249),ISNA(MATCH(A249&amp;"",AthleteNumbers,0))),0,MATCH(A249&amp;"",AthleteNumbers,0))</f>
        <v>0</v>
      </c>
      <c r="J249" s="209">
        <f t="array" ref="J249">IF(I249&gt;0,INDEX(DB,$I249,6),0)</f>
        <v>0</v>
      </c>
      <c r="K249" s="446">
        <f t="shared" si="5"/>
        <v>0</v>
      </c>
      <c r="L249" s="446">
        <f t="shared" si="6"/>
        <v>0</v>
      </c>
      <c r="M249" s="441">
        <f>IF(L249&lt;O249,MinPoints,IF(AND(L249&gt;N249,O249&gt;0),100,+INT(($L249-O249)/P249)+MinPoints))</f>
        <v>10</v>
      </c>
      <c r="N249" s="440">
        <f t="shared" si="7"/>
        <v>50</v>
      </c>
      <c r="O249" s="440">
        <f t="shared" si="8"/>
        <v>5</v>
      </c>
      <c r="P249" s="440">
        <f t="shared" si="9"/>
        <v>0.5</v>
      </c>
      <c r="Q249">
        <f t="array" ref="Q249">IF(I249&gt;0,INDEX(DB,I249,9),EventIndex)</f>
        <v>6</v>
      </c>
      <c r="S249" s="442">
        <f t="array" ref="S249">INDEX(MINVALUES,$Q249,$K$1)</f>
        <v>5</v>
      </c>
      <c r="T249">
        <f t="array" ref="T249">INDEX(INCVALUES,$Q249,$K$1)</f>
        <v>0.5</v>
      </c>
      <c r="V249">
        <f t="array" ref="V249">+J249+(4*(INDEX(MatchScoreTable,$Q249,20)-1))</f>
        <v>4</v>
      </c>
      <c r="W249" s="442">
        <f t="array" ref="W249">INDEX(INC_MINVALUES,$V249,$K$1)</f>
        <v>2.5</v>
      </c>
      <c r="X249" s="212">
        <f t="array" ref="X249">INDEX(INC_INCVALUES,$V249,$K$1)</f>
        <v>0.5</v>
      </c>
    </row>
    <row r="250" ht="15.75" customHeight="1">
      <c r="A250" s="435"/>
      <c r="B250" s="436"/>
      <c r="C250" s="95" t="str">
        <f t="array" ref="C250">IF(I250&gt;0,INDEX(DB,I250,8),"")</f>
        <v/>
      </c>
      <c r="D250" s="437">
        <f t="shared" si="1"/>
        <v>0</v>
      </c>
      <c r="F250" s="438">
        <f t="shared" si="2"/>
        <v>0</v>
      </c>
      <c r="G250" t="str">
        <f t="shared" si="3"/>
        <v/>
      </c>
      <c r="H250" t="b">
        <f t="shared" si="4"/>
        <v>0</v>
      </c>
      <c r="I250" s="439">
        <f>IF(OR(ISBLANK(A250),ISNA(MATCH(A250&amp;"",AthleteNumbers,0))),0,MATCH(A250&amp;"",AthleteNumbers,0))</f>
        <v>0</v>
      </c>
      <c r="J250" s="209">
        <f t="array" ref="J250">IF(I250&gt;0,INDEX(DB,$I250,6),0)</f>
        <v>0</v>
      </c>
      <c r="K250" s="446">
        <f t="shared" si="5"/>
        <v>0</v>
      </c>
      <c r="L250" s="446">
        <f t="shared" si="6"/>
        <v>0</v>
      </c>
      <c r="M250" s="441">
        <f>IF(L250&lt;O250,MinPoints,IF(AND(L250&gt;N250,O250&gt;0),100,+INT(($L250-O250)/P250)+MinPoints))</f>
        <v>10</v>
      </c>
      <c r="N250" s="440">
        <f t="shared" si="7"/>
        <v>50</v>
      </c>
      <c r="O250" s="440">
        <f t="shared" si="8"/>
        <v>5</v>
      </c>
      <c r="P250" s="440">
        <f t="shared" si="9"/>
        <v>0.5</v>
      </c>
      <c r="Q250">
        <f t="array" ref="Q250">IF(I250&gt;0,INDEX(DB,I250,9),EventIndex)</f>
        <v>6</v>
      </c>
      <c r="S250" s="442">
        <f t="array" ref="S250">INDEX(MINVALUES,$Q250,$K$1)</f>
        <v>5</v>
      </c>
      <c r="T250">
        <f t="array" ref="T250">INDEX(INCVALUES,$Q250,$K$1)</f>
        <v>0.5</v>
      </c>
      <c r="V250">
        <f t="array" ref="V250">+J250+(4*(INDEX(MatchScoreTable,$Q250,20)-1))</f>
        <v>4</v>
      </c>
      <c r="W250" s="442">
        <f t="array" ref="W250">INDEX(INC_MINVALUES,$V250,$K$1)</f>
        <v>2.5</v>
      </c>
      <c r="X250" s="212">
        <f t="array" ref="X250">INDEX(INC_INCVALUES,$V250,$K$1)</f>
        <v>0.5</v>
      </c>
    </row>
    <row r="251" ht="15.75" customHeight="1">
      <c r="A251" s="435"/>
      <c r="B251" s="436"/>
      <c r="C251" s="95" t="str">
        <f t="array" ref="C251">IF(I251&gt;0,INDEX(DB,I251,8),"")</f>
        <v/>
      </c>
      <c r="D251" s="437">
        <f t="shared" si="1"/>
        <v>0</v>
      </c>
      <c r="F251" s="438">
        <f t="shared" si="2"/>
        <v>0</v>
      </c>
      <c r="G251" t="str">
        <f t="shared" si="3"/>
        <v/>
      </c>
      <c r="H251" t="b">
        <f t="shared" si="4"/>
        <v>0</v>
      </c>
      <c r="I251" s="439">
        <f>IF(OR(ISBLANK(A251),ISNA(MATCH(A251&amp;"",AthleteNumbers,0))),0,MATCH(A251&amp;"",AthleteNumbers,0))</f>
        <v>0</v>
      </c>
      <c r="J251" s="209">
        <f t="array" ref="J251">IF(I251&gt;0,INDEX(DB,$I251,6),0)</f>
        <v>0</v>
      </c>
      <c r="K251" s="446">
        <f t="shared" si="5"/>
        <v>0</v>
      </c>
      <c r="L251" s="446">
        <f t="shared" si="6"/>
        <v>0</v>
      </c>
      <c r="M251" s="441">
        <f>IF(L251&lt;O251,MinPoints,IF(AND(L251&gt;N251,O251&gt;0),100,+INT(($L251-O251)/P251)+MinPoints))</f>
        <v>10</v>
      </c>
      <c r="N251" s="440">
        <f t="shared" si="7"/>
        <v>50</v>
      </c>
      <c r="O251" s="440">
        <f t="shared" si="8"/>
        <v>5</v>
      </c>
      <c r="P251" s="440">
        <f t="shared" si="9"/>
        <v>0.5</v>
      </c>
      <c r="Q251">
        <f t="array" ref="Q251">IF(I251&gt;0,INDEX(DB,I251,9),EventIndex)</f>
        <v>6</v>
      </c>
      <c r="S251" s="442">
        <f t="array" ref="S251">INDEX(MINVALUES,$Q251,$K$1)</f>
        <v>5</v>
      </c>
      <c r="T251">
        <f t="array" ref="T251">INDEX(INCVALUES,$Q251,$K$1)</f>
        <v>0.5</v>
      </c>
      <c r="V251">
        <f t="array" ref="V251">+J251+(4*(INDEX(MatchScoreTable,$Q251,20)-1))</f>
        <v>4</v>
      </c>
      <c r="W251" s="442">
        <f t="array" ref="W251">INDEX(INC_MINVALUES,$V251,$K$1)</f>
        <v>2.5</v>
      </c>
      <c r="X251" s="212">
        <f t="array" ref="X251">INDEX(INC_INCVALUES,$V251,$K$1)</f>
        <v>0.5</v>
      </c>
    </row>
    <row r="252" ht="15.75" customHeight="1">
      <c r="A252" s="435"/>
      <c r="B252" s="436"/>
      <c r="C252" s="95" t="str">
        <f t="array" ref="C252">IF(I252&gt;0,INDEX(DB,I252,8),"")</f>
        <v/>
      </c>
      <c r="D252" s="437">
        <f t="shared" si="1"/>
        <v>0</v>
      </c>
      <c r="F252" s="438">
        <f t="shared" si="2"/>
        <v>0</v>
      </c>
      <c r="G252" t="str">
        <f t="shared" si="3"/>
        <v/>
      </c>
      <c r="H252" t="b">
        <f t="shared" si="4"/>
        <v>0</v>
      </c>
      <c r="I252" s="439">
        <f>IF(OR(ISBLANK(A252),ISNA(MATCH(A252&amp;"",AthleteNumbers,0))),0,MATCH(A252&amp;"",AthleteNumbers,0))</f>
        <v>0</v>
      </c>
      <c r="J252" s="209">
        <f t="array" ref="J252">IF(I252&gt;0,INDEX(DB,$I252,6),0)</f>
        <v>0</v>
      </c>
      <c r="K252" s="446">
        <f t="shared" si="5"/>
        <v>0</v>
      </c>
      <c r="L252" s="446">
        <f t="shared" si="6"/>
        <v>0</v>
      </c>
      <c r="M252" s="441">
        <f>IF(L252&lt;O252,MinPoints,IF(AND(L252&gt;N252,O252&gt;0),100,+INT(($L252-O252)/P252)+MinPoints))</f>
        <v>10</v>
      </c>
      <c r="N252" s="440">
        <f t="shared" si="7"/>
        <v>50</v>
      </c>
      <c r="O252" s="440">
        <f t="shared" si="8"/>
        <v>5</v>
      </c>
      <c r="P252" s="440">
        <f t="shared" si="9"/>
        <v>0.5</v>
      </c>
      <c r="Q252">
        <f t="array" ref="Q252">IF(I252&gt;0,INDEX(DB,I252,9),EventIndex)</f>
        <v>6</v>
      </c>
      <c r="S252" s="442">
        <f t="array" ref="S252">INDEX(MINVALUES,$Q252,$K$1)</f>
        <v>5</v>
      </c>
      <c r="T252">
        <f t="array" ref="T252">INDEX(INCVALUES,$Q252,$K$1)</f>
        <v>0.5</v>
      </c>
      <c r="V252">
        <f t="array" ref="V252">+J252+(4*(INDEX(MatchScoreTable,$Q252,20)-1))</f>
        <v>4</v>
      </c>
      <c r="W252" s="442">
        <f t="array" ref="W252">INDEX(INC_MINVALUES,$V252,$K$1)</f>
        <v>2.5</v>
      </c>
      <c r="X252" s="212">
        <f t="array" ref="X252">INDEX(INC_INCVALUES,$V252,$K$1)</f>
        <v>0.5</v>
      </c>
    </row>
    <row r="253" ht="15.75" customHeight="1">
      <c r="A253" s="435"/>
      <c r="B253" s="436"/>
      <c r="C253" s="95" t="str">
        <f t="array" ref="C253">IF(I253&gt;0,INDEX(DB,I253,8),"")</f>
        <v/>
      </c>
      <c r="D253" s="437">
        <f t="shared" si="1"/>
        <v>0</v>
      </c>
      <c r="F253" s="438">
        <f t="shared" si="2"/>
        <v>0</v>
      </c>
      <c r="G253" t="str">
        <f t="shared" si="3"/>
        <v/>
      </c>
      <c r="H253" t="b">
        <f t="shared" si="4"/>
        <v>0</v>
      </c>
      <c r="I253" s="439">
        <f>IF(OR(ISBLANK(A253),ISNA(MATCH(A253&amp;"",AthleteNumbers,0))),0,MATCH(A253&amp;"",AthleteNumbers,0))</f>
        <v>0</v>
      </c>
      <c r="J253" s="209">
        <f t="array" ref="J253">IF(I253&gt;0,INDEX(DB,$I253,6),0)</f>
        <v>0</v>
      </c>
      <c r="K253" s="446">
        <f t="shared" si="5"/>
        <v>0</v>
      </c>
      <c r="L253" s="446">
        <f t="shared" si="6"/>
        <v>0</v>
      </c>
      <c r="M253" s="441">
        <f>IF(L253&lt;O253,MinPoints,IF(AND(L253&gt;N253,O253&gt;0),100,+INT(($L253-O253)/P253)+MinPoints))</f>
        <v>10</v>
      </c>
      <c r="N253" s="440">
        <f t="shared" si="7"/>
        <v>50</v>
      </c>
      <c r="O253" s="440">
        <f t="shared" si="8"/>
        <v>5</v>
      </c>
      <c r="P253" s="440">
        <f t="shared" si="9"/>
        <v>0.5</v>
      </c>
      <c r="Q253">
        <f t="array" ref="Q253">IF(I253&gt;0,INDEX(DB,I253,9),EventIndex)</f>
        <v>6</v>
      </c>
      <c r="S253" s="442">
        <f t="array" ref="S253">INDEX(MINVALUES,$Q253,$K$1)</f>
        <v>5</v>
      </c>
      <c r="T253">
        <f t="array" ref="T253">INDEX(INCVALUES,$Q253,$K$1)</f>
        <v>0.5</v>
      </c>
      <c r="V253">
        <f t="array" ref="V253">+J253+(4*(INDEX(MatchScoreTable,$Q253,20)-1))</f>
        <v>4</v>
      </c>
      <c r="W253" s="442">
        <f t="array" ref="W253">INDEX(INC_MINVALUES,$V253,$K$1)</f>
        <v>2.5</v>
      </c>
      <c r="X253" s="212">
        <f t="array" ref="X253">INDEX(INC_INCVALUES,$V253,$K$1)</f>
        <v>0.5</v>
      </c>
    </row>
    <row r="254" ht="15.75" customHeight="1">
      <c r="A254" s="435"/>
      <c r="B254" s="436"/>
      <c r="C254" s="95" t="str">
        <f t="array" ref="C254">IF(I254&gt;0,INDEX(DB,I254,8),"")</f>
        <v/>
      </c>
      <c r="D254" s="437">
        <f t="shared" si="1"/>
        <v>0</v>
      </c>
      <c r="F254" s="438">
        <f t="shared" si="2"/>
        <v>0</v>
      </c>
      <c r="G254" t="str">
        <f t="shared" si="3"/>
        <v/>
      </c>
      <c r="H254" t="b">
        <f t="shared" si="4"/>
        <v>0</v>
      </c>
      <c r="I254" s="439">
        <f>IF(OR(ISBLANK(A254),ISNA(MATCH(A254&amp;"",AthleteNumbers,0))),0,MATCH(A254&amp;"",AthleteNumbers,0))</f>
        <v>0</v>
      </c>
      <c r="J254" s="209">
        <f t="array" ref="J254">IF(I254&gt;0,INDEX(DB,$I254,6),0)</f>
        <v>0</v>
      </c>
      <c r="K254" s="446">
        <f t="shared" si="5"/>
        <v>0</v>
      </c>
      <c r="L254" s="446">
        <f t="shared" si="6"/>
        <v>0</v>
      </c>
      <c r="M254" s="441">
        <f>IF(L254&lt;O254,MinPoints,IF(AND(L254&gt;N254,O254&gt;0),100,+INT(($L254-O254)/P254)+MinPoints))</f>
        <v>10</v>
      </c>
      <c r="N254" s="440">
        <f t="shared" si="7"/>
        <v>50</v>
      </c>
      <c r="O254" s="440">
        <f t="shared" si="8"/>
        <v>5</v>
      </c>
      <c r="P254" s="440">
        <f t="shared" si="9"/>
        <v>0.5</v>
      </c>
      <c r="Q254">
        <f t="array" ref="Q254">IF(I254&gt;0,INDEX(DB,I254,9),EventIndex)</f>
        <v>6</v>
      </c>
      <c r="S254" s="442">
        <f t="array" ref="S254">INDEX(MINVALUES,$Q254,$K$1)</f>
        <v>5</v>
      </c>
      <c r="T254">
        <f t="array" ref="T254">INDEX(INCVALUES,$Q254,$K$1)</f>
        <v>0.5</v>
      </c>
      <c r="V254">
        <f t="array" ref="V254">+J254+(4*(INDEX(MatchScoreTable,$Q254,20)-1))</f>
        <v>4</v>
      </c>
      <c r="W254" s="442">
        <f t="array" ref="W254">INDEX(INC_MINVALUES,$V254,$K$1)</f>
        <v>2.5</v>
      </c>
      <c r="X254" s="212">
        <f t="array" ref="X254">INDEX(INC_INCVALUES,$V254,$K$1)</f>
        <v>0.5</v>
      </c>
    </row>
    <row r="255" ht="15.75" customHeight="1">
      <c r="A255" s="435"/>
      <c r="B255" s="436"/>
      <c r="C255" s="95" t="str">
        <f t="array" ref="C255">IF(I255&gt;0,INDEX(DB,I255,8),"")</f>
        <v/>
      </c>
      <c r="D255" s="437">
        <f t="shared" si="1"/>
        <v>0</v>
      </c>
      <c r="F255" s="438">
        <f t="shared" si="2"/>
        <v>0</v>
      </c>
      <c r="G255" t="str">
        <f t="shared" si="3"/>
        <v/>
      </c>
      <c r="H255" t="b">
        <f t="shared" si="4"/>
        <v>0</v>
      </c>
      <c r="I255" s="439">
        <f>IF(OR(ISBLANK(A255),ISNA(MATCH(A255&amp;"",AthleteNumbers,0))),0,MATCH(A255&amp;"",AthleteNumbers,0))</f>
        <v>0</v>
      </c>
      <c r="J255" s="209">
        <f t="array" ref="J255">IF(I255&gt;0,INDEX(DB,$I255,6),0)</f>
        <v>0</v>
      </c>
      <c r="K255" s="446">
        <f t="shared" si="5"/>
        <v>0</v>
      </c>
      <c r="L255" s="446">
        <f t="shared" si="6"/>
        <v>0</v>
      </c>
      <c r="M255" s="441">
        <f>IF(L255&lt;O255,MinPoints,IF(AND(L255&gt;N255,O255&gt;0),100,+INT(($L255-O255)/P255)+MinPoints))</f>
        <v>10</v>
      </c>
      <c r="N255" s="440">
        <f t="shared" si="7"/>
        <v>50</v>
      </c>
      <c r="O255" s="440">
        <f t="shared" si="8"/>
        <v>5</v>
      </c>
      <c r="P255" s="440">
        <f t="shared" si="9"/>
        <v>0.5</v>
      </c>
      <c r="Q255">
        <f t="array" ref="Q255">IF(I255&gt;0,INDEX(DB,I255,9),EventIndex)</f>
        <v>6</v>
      </c>
      <c r="S255" s="442">
        <f t="array" ref="S255">INDEX(MINVALUES,$Q255,$K$1)</f>
        <v>5</v>
      </c>
      <c r="T255">
        <f t="array" ref="T255">INDEX(INCVALUES,$Q255,$K$1)</f>
        <v>0.5</v>
      </c>
      <c r="V255">
        <f t="array" ref="V255">+J255+(4*(INDEX(MatchScoreTable,$Q255,20)-1))</f>
        <v>4</v>
      </c>
      <c r="W255" s="442">
        <f t="array" ref="W255">INDEX(INC_MINVALUES,$V255,$K$1)</f>
        <v>2.5</v>
      </c>
      <c r="X255" s="212">
        <f t="array" ref="X255">INDEX(INC_INCVALUES,$V255,$K$1)</f>
        <v>0.5</v>
      </c>
    </row>
    <row r="256" ht="15.75" customHeight="1">
      <c r="A256" s="435"/>
      <c r="B256" s="436"/>
      <c r="C256" s="95" t="str">
        <f t="array" ref="C256">IF(I256&gt;0,INDEX(DB,I256,8),"")</f>
        <v/>
      </c>
      <c r="D256" s="437">
        <f t="shared" si="1"/>
        <v>0</v>
      </c>
      <c r="F256" s="438">
        <f t="shared" si="2"/>
        <v>0</v>
      </c>
      <c r="G256" t="str">
        <f t="shared" si="3"/>
        <v/>
      </c>
      <c r="H256" t="b">
        <f t="shared" si="4"/>
        <v>0</v>
      </c>
      <c r="I256" s="439">
        <f>IF(OR(ISBLANK(A256),ISNA(MATCH(A256&amp;"",AthleteNumbers,0))),0,MATCH(A256&amp;"",AthleteNumbers,0))</f>
        <v>0</v>
      </c>
      <c r="J256" s="209">
        <f t="array" ref="J256">IF(I256&gt;0,INDEX(DB,$I256,6),0)</f>
        <v>0</v>
      </c>
      <c r="K256" s="446">
        <f t="shared" si="5"/>
        <v>0</v>
      </c>
      <c r="L256" s="446">
        <f t="shared" si="6"/>
        <v>0</v>
      </c>
      <c r="M256" s="441">
        <f>IF(L256&lt;O256,MinPoints,IF(AND(L256&gt;N256,O256&gt;0),100,+INT(($L256-O256)/P256)+MinPoints))</f>
        <v>10</v>
      </c>
      <c r="N256" s="440">
        <f t="shared" si="7"/>
        <v>50</v>
      </c>
      <c r="O256" s="440">
        <f t="shared" si="8"/>
        <v>5</v>
      </c>
      <c r="P256" s="440">
        <f t="shared" si="9"/>
        <v>0.5</v>
      </c>
      <c r="Q256">
        <f t="array" ref="Q256">IF(I256&gt;0,INDEX(DB,I256,9),EventIndex)</f>
        <v>6</v>
      </c>
      <c r="S256" s="442">
        <f t="array" ref="S256">INDEX(MINVALUES,$Q256,$K$1)</f>
        <v>5</v>
      </c>
      <c r="T256">
        <f t="array" ref="T256">INDEX(INCVALUES,$Q256,$K$1)</f>
        <v>0.5</v>
      </c>
      <c r="V256">
        <f t="array" ref="V256">+J256+(4*(INDEX(MatchScoreTable,$Q256,20)-1))</f>
        <v>4</v>
      </c>
      <c r="W256" s="442">
        <f t="array" ref="W256">INDEX(INC_MINVALUES,$V256,$K$1)</f>
        <v>2.5</v>
      </c>
      <c r="X256" s="212">
        <f t="array" ref="X256">INDEX(INC_INCVALUES,$V256,$K$1)</f>
        <v>0.5</v>
      </c>
    </row>
    <row r="257" ht="15.75" customHeight="1">
      <c r="A257" s="435"/>
      <c r="B257" s="436"/>
      <c r="C257" s="95" t="str">
        <f t="array" ref="C257">IF(I257&gt;0,INDEX(DB,I257,8),"")</f>
        <v/>
      </c>
      <c r="D257" s="437">
        <f t="shared" si="1"/>
        <v>0</v>
      </c>
      <c r="F257" s="438">
        <f t="shared" si="2"/>
        <v>0</v>
      </c>
      <c r="G257" t="str">
        <f t="shared" si="3"/>
        <v/>
      </c>
      <c r="H257" t="b">
        <f t="shared" si="4"/>
        <v>0</v>
      </c>
      <c r="I257" s="439">
        <f>IF(OR(ISBLANK(A257),ISNA(MATCH(A257&amp;"",AthleteNumbers,0))),0,MATCH(A257&amp;"",AthleteNumbers,0))</f>
        <v>0</v>
      </c>
      <c r="J257" s="209">
        <f t="array" ref="J257">IF(I257&gt;0,INDEX(DB,$I257,6),0)</f>
        <v>0</v>
      </c>
      <c r="K257" s="446">
        <f t="shared" si="5"/>
        <v>0</v>
      </c>
      <c r="L257" s="446">
        <f t="shared" si="6"/>
        <v>0</v>
      </c>
      <c r="M257" s="441">
        <f>IF(L257&lt;O257,MinPoints,IF(AND(L257&gt;N257,O257&gt;0),100,+INT(($L257-O257)/P257)+MinPoints))</f>
        <v>10</v>
      </c>
      <c r="N257" s="440">
        <f t="shared" si="7"/>
        <v>50</v>
      </c>
      <c r="O257" s="440">
        <f t="shared" si="8"/>
        <v>5</v>
      </c>
      <c r="P257" s="440">
        <f t="shared" si="9"/>
        <v>0.5</v>
      </c>
      <c r="Q257">
        <f t="array" ref="Q257">IF(I257&gt;0,INDEX(DB,I257,9),EventIndex)</f>
        <v>6</v>
      </c>
      <c r="S257" s="442">
        <f t="array" ref="S257">INDEX(MINVALUES,$Q257,$K$1)</f>
        <v>5</v>
      </c>
      <c r="T257">
        <f t="array" ref="T257">INDEX(INCVALUES,$Q257,$K$1)</f>
        <v>0.5</v>
      </c>
      <c r="V257">
        <f t="array" ref="V257">+J257+(4*(INDEX(MatchScoreTable,$Q257,20)-1))</f>
        <v>4</v>
      </c>
      <c r="W257" s="442">
        <f t="array" ref="W257">INDEX(INC_MINVALUES,$V257,$K$1)</f>
        <v>2.5</v>
      </c>
      <c r="X257" s="212">
        <f t="array" ref="X257">INDEX(INC_INCVALUES,$V257,$K$1)</f>
        <v>0.5</v>
      </c>
    </row>
    <row r="258" ht="15.75" customHeight="1">
      <c r="A258" s="435"/>
      <c r="B258" s="436"/>
      <c r="C258" s="95" t="str">
        <f t="array" ref="C258">IF(I258&gt;0,INDEX(DB,I258,8),"")</f>
        <v/>
      </c>
      <c r="D258" s="437">
        <f t="shared" si="1"/>
        <v>0</v>
      </c>
      <c r="F258" s="438">
        <f t="shared" si="2"/>
        <v>0</v>
      </c>
      <c r="G258" t="str">
        <f t="shared" si="3"/>
        <v/>
      </c>
      <c r="H258" t="b">
        <f t="shared" si="4"/>
        <v>0</v>
      </c>
      <c r="I258" s="439">
        <f>IF(OR(ISBLANK(A258),ISNA(MATCH(A258&amp;"",AthleteNumbers,0))),0,MATCH(A258&amp;"",AthleteNumbers,0))</f>
        <v>0</v>
      </c>
      <c r="J258" s="209">
        <f t="array" ref="J258">IF(I258&gt;0,INDEX(DB,$I258,6),0)</f>
        <v>0</v>
      </c>
      <c r="K258" s="446">
        <f t="shared" si="5"/>
        <v>0</v>
      </c>
      <c r="L258" s="446">
        <f t="shared" si="6"/>
        <v>0</v>
      </c>
      <c r="M258" s="441">
        <f>IF(L258&lt;O258,MinPoints,IF(AND(L258&gt;N258,O258&gt;0),100,+INT(($L258-O258)/P258)+MinPoints))</f>
        <v>10</v>
      </c>
      <c r="N258" s="440">
        <f t="shared" si="7"/>
        <v>50</v>
      </c>
      <c r="O258" s="440">
        <f t="shared" si="8"/>
        <v>5</v>
      </c>
      <c r="P258" s="440">
        <f t="shared" si="9"/>
        <v>0.5</v>
      </c>
      <c r="Q258">
        <f t="array" ref="Q258">IF(I258&gt;0,INDEX(DB,I258,9),EventIndex)</f>
        <v>6</v>
      </c>
      <c r="S258" s="442">
        <f t="array" ref="S258">INDEX(MINVALUES,$Q258,$K$1)</f>
        <v>5</v>
      </c>
      <c r="T258">
        <f t="array" ref="T258">INDEX(INCVALUES,$Q258,$K$1)</f>
        <v>0.5</v>
      </c>
      <c r="V258">
        <f t="array" ref="V258">+J258+(4*(INDEX(MatchScoreTable,$Q258,20)-1))</f>
        <v>4</v>
      </c>
      <c r="W258" s="442">
        <f t="array" ref="W258">INDEX(INC_MINVALUES,$V258,$K$1)</f>
        <v>2.5</v>
      </c>
      <c r="X258" s="212">
        <f t="array" ref="X258">INDEX(INC_INCVALUES,$V258,$K$1)</f>
        <v>0.5</v>
      </c>
    </row>
    <row r="259" ht="15.75" customHeight="1">
      <c r="A259" s="435"/>
      <c r="B259" s="436"/>
      <c r="C259" s="95" t="str">
        <f t="array" ref="C259">IF(I259&gt;0,INDEX(DB,I259,8),"")</f>
        <v/>
      </c>
      <c r="D259" s="437">
        <f t="shared" si="1"/>
        <v>0</v>
      </c>
      <c r="F259" s="438">
        <f t="shared" si="2"/>
        <v>0</v>
      </c>
      <c r="G259" t="str">
        <f t="shared" si="3"/>
        <v/>
      </c>
      <c r="H259" t="b">
        <f t="shared" si="4"/>
        <v>0</v>
      </c>
      <c r="I259" s="439">
        <f>IF(OR(ISBLANK(A259),ISNA(MATCH(A259&amp;"",AthleteNumbers,0))),0,MATCH(A259&amp;"",AthleteNumbers,0))</f>
        <v>0</v>
      </c>
      <c r="J259" s="209">
        <f t="array" ref="J259">IF(I259&gt;0,INDEX(DB,$I259,6),0)</f>
        <v>0</v>
      </c>
      <c r="K259" s="446">
        <f t="shared" si="5"/>
        <v>0</v>
      </c>
      <c r="L259" s="446">
        <f t="shared" si="6"/>
        <v>0</v>
      </c>
      <c r="M259" s="441">
        <f>IF(L259&lt;O259,MinPoints,IF(AND(L259&gt;N259,O259&gt;0),100,+INT(($L259-O259)/P259)+MinPoints))</f>
        <v>10</v>
      </c>
      <c r="N259" s="440">
        <f t="shared" si="7"/>
        <v>50</v>
      </c>
      <c r="O259" s="440">
        <f t="shared" si="8"/>
        <v>5</v>
      </c>
      <c r="P259" s="440">
        <f t="shared" si="9"/>
        <v>0.5</v>
      </c>
      <c r="Q259">
        <f t="array" ref="Q259">IF(I259&gt;0,INDEX(DB,I259,9),EventIndex)</f>
        <v>6</v>
      </c>
      <c r="S259" s="442">
        <f t="array" ref="S259">INDEX(MINVALUES,$Q259,$K$1)</f>
        <v>5</v>
      </c>
      <c r="T259">
        <f t="array" ref="T259">INDEX(INCVALUES,$Q259,$K$1)</f>
        <v>0.5</v>
      </c>
      <c r="V259">
        <f t="array" ref="V259">+J259+(4*(INDEX(MatchScoreTable,$Q259,20)-1))</f>
        <v>4</v>
      </c>
      <c r="W259" s="442">
        <f t="array" ref="W259">INDEX(INC_MINVALUES,$V259,$K$1)</f>
        <v>2.5</v>
      </c>
      <c r="X259" s="212">
        <f t="array" ref="X259">INDEX(INC_INCVALUES,$V259,$K$1)</f>
        <v>0.5</v>
      </c>
    </row>
    <row r="260" ht="15.75" customHeight="1">
      <c r="A260" s="435"/>
      <c r="B260" s="436"/>
      <c r="C260" s="95" t="str">
        <f t="array" ref="C260">IF(I260&gt;0,INDEX(DB,I260,8),"")</f>
        <v/>
      </c>
      <c r="D260" s="437">
        <f t="shared" si="1"/>
        <v>0</v>
      </c>
      <c r="F260" s="438">
        <f t="shared" si="2"/>
        <v>0</v>
      </c>
      <c r="G260" t="str">
        <f t="shared" si="3"/>
        <v/>
      </c>
      <c r="H260" t="b">
        <f t="shared" si="4"/>
        <v>0</v>
      </c>
      <c r="I260" s="439">
        <f>IF(OR(ISBLANK(A260),ISNA(MATCH(A260&amp;"",AthleteNumbers,0))),0,MATCH(A260&amp;"",AthleteNumbers,0))</f>
        <v>0</v>
      </c>
      <c r="J260" s="209">
        <f t="array" ref="J260">IF(I260&gt;0,INDEX(DB,$I260,6),0)</f>
        <v>0</v>
      </c>
      <c r="K260" s="446">
        <f t="shared" si="5"/>
        <v>0</v>
      </c>
      <c r="L260" s="446">
        <f t="shared" si="6"/>
        <v>0</v>
      </c>
      <c r="M260" s="441">
        <f>IF(L260&lt;O260,MinPoints,IF(AND(L260&gt;N260,O260&gt;0),100,+INT(($L260-O260)/P260)+MinPoints))</f>
        <v>10</v>
      </c>
      <c r="N260" s="440">
        <f t="shared" si="7"/>
        <v>50</v>
      </c>
      <c r="O260" s="440">
        <f t="shared" si="8"/>
        <v>5</v>
      </c>
      <c r="P260" s="440">
        <f t="shared" si="9"/>
        <v>0.5</v>
      </c>
      <c r="Q260">
        <f t="array" ref="Q260">IF(I260&gt;0,INDEX(DB,I260,9),EventIndex)</f>
        <v>6</v>
      </c>
      <c r="S260" s="442">
        <f t="array" ref="S260">INDEX(MINVALUES,$Q260,$K$1)</f>
        <v>5</v>
      </c>
      <c r="T260">
        <f t="array" ref="T260">INDEX(INCVALUES,$Q260,$K$1)</f>
        <v>0.5</v>
      </c>
      <c r="V260">
        <f t="array" ref="V260">+J260+(4*(INDEX(MatchScoreTable,$Q260,20)-1))</f>
        <v>4</v>
      </c>
      <c r="W260" s="442">
        <f t="array" ref="W260">INDEX(INC_MINVALUES,$V260,$K$1)</f>
        <v>2.5</v>
      </c>
      <c r="X260" s="212">
        <f t="array" ref="X260">INDEX(INC_INCVALUES,$V260,$K$1)</f>
        <v>0.5</v>
      </c>
    </row>
    <row r="261" ht="15.75" customHeight="1">
      <c r="A261" s="435"/>
      <c r="B261" s="436"/>
      <c r="C261" s="95" t="str">
        <f t="array" ref="C261">IF(I261&gt;0,INDEX(DB,I261,8),"")</f>
        <v/>
      </c>
      <c r="D261" s="437">
        <f t="shared" si="1"/>
        <v>0</v>
      </c>
      <c r="F261" s="438">
        <f t="shared" si="2"/>
        <v>0</v>
      </c>
      <c r="G261" t="str">
        <f t="shared" si="3"/>
        <v/>
      </c>
      <c r="H261" t="b">
        <f t="shared" si="4"/>
        <v>0</v>
      </c>
      <c r="I261" s="439">
        <f>IF(OR(ISBLANK(A261),ISNA(MATCH(A261&amp;"",AthleteNumbers,0))),0,MATCH(A261&amp;"",AthleteNumbers,0))</f>
        <v>0</v>
      </c>
      <c r="J261" s="209">
        <f t="array" ref="J261">IF(I261&gt;0,INDEX(DB,$I261,6),0)</f>
        <v>0</v>
      </c>
      <c r="K261" s="446">
        <f t="shared" si="5"/>
        <v>0</v>
      </c>
      <c r="L261" s="446">
        <f t="shared" si="6"/>
        <v>0</v>
      </c>
      <c r="M261" s="441">
        <f>IF(L261&lt;O261,MinPoints,IF(AND(L261&gt;N261,O261&gt;0),100,+INT(($L261-O261)/P261)+MinPoints))</f>
        <v>10</v>
      </c>
      <c r="N261" s="440">
        <f t="shared" si="7"/>
        <v>50</v>
      </c>
      <c r="O261" s="440">
        <f t="shared" si="8"/>
        <v>5</v>
      </c>
      <c r="P261" s="440">
        <f t="shared" si="9"/>
        <v>0.5</v>
      </c>
      <c r="Q261">
        <f t="array" ref="Q261">IF(I261&gt;0,INDEX(DB,I261,9),EventIndex)</f>
        <v>6</v>
      </c>
      <c r="S261" s="442">
        <f t="array" ref="S261">INDEX(MINVALUES,$Q261,$K$1)</f>
        <v>5</v>
      </c>
      <c r="T261">
        <f t="array" ref="T261">INDEX(INCVALUES,$Q261,$K$1)</f>
        <v>0.5</v>
      </c>
      <c r="V261">
        <f t="array" ref="V261">+J261+(4*(INDEX(MatchScoreTable,$Q261,20)-1))</f>
        <v>4</v>
      </c>
      <c r="W261" s="442">
        <f t="array" ref="W261">INDEX(INC_MINVALUES,$V261,$K$1)</f>
        <v>2.5</v>
      </c>
      <c r="X261" s="212">
        <f t="array" ref="X261">INDEX(INC_INCVALUES,$V261,$K$1)</f>
        <v>0.5</v>
      </c>
    </row>
    <row r="262" ht="15.75" customHeight="1">
      <c r="A262" s="435"/>
      <c r="B262" s="436"/>
      <c r="C262" s="95" t="str">
        <f t="array" ref="C262">IF(I262&gt;0,INDEX(DB,I262,8),"")</f>
        <v/>
      </c>
      <c r="D262" s="437">
        <f t="shared" si="1"/>
        <v>0</v>
      </c>
      <c r="F262" s="438">
        <f t="shared" si="2"/>
        <v>0</v>
      </c>
      <c r="G262" t="str">
        <f t="shared" si="3"/>
        <v/>
      </c>
      <c r="H262" t="b">
        <f t="shared" si="4"/>
        <v>0</v>
      </c>
      <c r="I262" s="439">
        <f>IF(OR(ISBLANK(A262),ISNA(MATCH(A262&amp;"",AthleteNumbers,0))),0,MATCH(A262&amp;"",AthleteNumbers,0))</f>
        <v>0</v>
      </c>
      <c r="J262" s="209">
        <f t="array" ref="J262">IF(I262&gt;0,INDEX(DB,$I262,6),0)</f>
        <v>0</v>
      </c>
      <c r="K262" s="446">
        <f t="shared" si="5"/>
        <v>0</v>
      </c>
      <c r="L262" s="446">
        <f t="shared" si="6"/>
        <v>0</v>
      </c>
      <c r="M262" s="441">
        <f>IF(L262&lt;O262,MinPoints,IF(AND(L262&gt;N262,O262&gt;0),100,+INT(($L262-O262)/P262)+MinPoints))</f>
        <v>10</v>
      </c>
      <c r="N262" s="440">
        <f t="shared" si="7"/>
        <v>50</v>
      </c>
      <c r="O262" s="440">
        <f t="shared" si="8"/>
        <v>5</v>
      </c>
      <c r="P262" s="440">
        <f t="shared" si="9"/>
        <v>0.5</v>
      </c>
      <c r="Q262">
        <f t="array" ref="Q262">IF(I262&gt;0,INDEX(DB,I262,9),EventIndex)</f>
        <v>6</v>
      </c>
      <c r="S262" s="442">
        <f t="array" ref="S262">INDEX(MINVALUES,$Q262,$K$1)</f>
        <v>5</v>
      </c>
      <c r="T262">
        <f t="array" ref="T262">INDEX(INCVALUES,$Q262,$K$1)</f>
        <v>0.5</v>
      </c>
      <c r="V262">
        <f t="array" ref="V262">+J262+(4*(INDEX(MatchScoreTable,$Q262,20)-1))</f>
        <v>4</v>
      </c>
      <c r="W262" s="442">
        <f t="array" ref="W262">INDEX(INC_MINVALUES,$V262,$K$1)</f>
        <v>2.5</v>
      </c>
      <c r="X262" s="212">
        <f t="array" ref="X262">INDEX(INC_INCVALUES,$V262,$K$1)</f>
        <v>0.5</v>
      </c>
    </row>
    <row r="263" ht="15.75" customHeight="1">
      <c r="A263" s="435"/>
      <c r="B263" s="436"/>
      <c r="C263" s="95" t="str">
        <f t="array" ref="C263">IF(I263&gt;0,INDEX(DB,I263,8),"")</f>
        <v/>
      </c>
      <c r="D263" s="437">
        <f t="shared" si="1"/>
        <v>0</v>
      </c>
      <c r="F263" s="438">
        <f t="shared" si="2"/>
        <v>0</v>
      </c>
      <c r="G263" t="str">
        <f t="shared" si="3"/>
        <v/>
      </c>
      <c r="H263" t="b">
        <f t="shared" si="4"/>
        <v>0</v>
      </c>
      <c r="I263" s="439">
        <f>IF(OR(ISBLANK(A263),ISNA(MATCH(A263&amp;"",AthleteNumbers,0))),0,MATCH(A263&amp;"",AthleteNumbers,0))</f>
        <v>0</v>
      </c>
      <c r="J263" s="209">
        <f t="array" ref="J263">IF(I263&gt;0,INDEX(DB,$I263,6),0)</f>
        <v>0</v>
      </c>
      <c r="K263" s="446">
        <f t="shared" si="5"/>
        <v>0</v>
      </c>
      <c r="L263" s="446">
        <f t="shared" si="6"/>
        <v>0</v>
      </c>
      <c r="M263" s="441">
        <f>IF(L263&lt;O263,MinPoints,IF(AND(L263&gt;N263,O263&gt;0),100,+INT(($L263-O263)/P263)+MinPoints))</f>
        <v>10</v>
      </c>
      <c r="N263" s="440">
        <f t="shared" si="7"/>
        <v>50</v>
      </c>
      <c r="O263" s="440">
        <f t="shared" si="8"/>
        <v>5</v>
      </c>
      <c r="P263" s="440">
        <f t="shared" si="9"/>
        <v>0.5</v>
      </c>
      <c r="Q263">
        <f t="array" ref="Q263">IF(I263&gt;0,INDEX(DB,I263,9),EventIndex)</f>
        <v>6</v>
      </c>
      <c r="S263" s="442">
        <f t="array" ref="S263">INDEX(MINVALUES,$Q263,$K$1)</f>
        <v>5</v>
      </c>
      <c r="T263">
        <f t="array" ref="T263">INDEX(INCVALUES,$Q263,$K$1)</f>
        <v>0.5</v>
      </c>
      <c r="V263">
        <f t="array" ref="V263">+J263+(4*(INDEX(MatchScoreTable,$Q263,20)-1))</f>
        <v>4</v>
      </c>
      <c r="W263" s="442">
        <f t="array" ref="W263">INDEX(INC_MINVALUES,$V263,$K$1)</f>
        <v>2.5</v>
      </c>
      <c r="X263" s="212">
        <f t="array" ref="X263">INDEX(INC_INCVALUES,$V263,$K$1)</f>
        <v>0.5</v>
      </c>
    </row>
    <row r="264" ht="15.75" customHeight="1">
      <c r="A264" s="435"/>
      <c r="B264" s="436"/>
      <c r="C264" s="95" t="str">
        <f t="array" ref="C264">IF(I264&gt;0,INDEX(DB,I264,8),"")</f>
        <v/>
      </c>
      <c r="D264" s="437">
        <f t="shared" si="1"/>
        <v>0</v>
      </c>
      <c r="F264" s="438">
        <f t="shared" si="2"/>
        <v>0</v>
      </c>
      <c r="G264" t="str">
        <f t="shared" si="3"/>
        <v/>
      </c>
      <c r="H264" t="b">
        <f t="shared" si="4"/>
        <v>0</v>
      </c>
      <c r="I264" s="439">
        <f>IF(OR(ISBLANK(A264),ISNA(MATCH(A264&amp;"",AthleteNumbers,0))),0,MATCH(A264&amp;"",AthleteNumbers,0))</f>
        <v>0</v>
      </c>
      <c r="J264" s="209">
        <f t="array" ref="J264">IF(I264&gt;0,INDEX(DB,$I264,6),0)</f>
        <v>0</v>
      </c>
      <c r="K264" s="446">
        <f t="shared" si="5"/>
        <v>0</v>
      </c>
      <c r="L264" s="446">
        <f t="shared" si="6"/>
        <v>0</v>
      </c>
      <c r="M264" s="441">
        <f>IF(L264&lt;O264,MinPoints,IF(AND(L264&gt;N264,O264&gt;0),100,+INT(($L264-O264)/P264)+MinPoints))</f>
        <v>10</v>
      </c>
      <c r="N264" s="440">
        <f t="shared" si="7"/>
        <v>50</v>
      </c>
      <c r="O264" s="440">
        <f t="shared" si="8"/>
        <v>5</v>
      </c>
      <c r="P264" s="440">
        <f t="shared" si="9"/>
        <v>0.5</v>
      </c>
      <c r="Q264">
        <f t="array" ref="Q264">IF(I264&gt;0,INDEX(DB,I264,9),EventIndex)</f>
        <v>6</v>
      </c>
      <c r="S264" s="442">
        <f t="array" ref="S264">INDEX(MINVALUES,$Q264,$K$1)</f>
        <v>5</v>
      </c>
      <c r="T264">
        <f t="array" ref="T264">INDEX(INCVALUES,$Q264,$K$1)</f>
        <v>0.5</v>
      </c>
      <c r="V264">
        <f t="array" ref="V264">+J264+(4*(INDEX(MatchScoreTable,$Q264,20)-1))</f>
        <v>4</v>
      </c>
      <c r="W264" s="442">
        <f t="array" ref="W264">INDEX(INC_MINVALUES,$V264,$K$1)</f>
        <v>2.5</v>
      </c>
      <c r="X264" s="212">
        <f t="array" ref="X264">INDEX(INC_INCVALUES,$V264,$K$1)</f>
        <v>0.5</v>
      </c>
    </row>
    <row r="265" ht="15.75" customHeight="1">
      <c r="A265" s="435"/>
      <c r="B265" s="436"/>
      <c r="C265" s="95" t="str">
        <f t="array" ref="C265">IF(I265&gt;0,INDEX(DB,I265,8),"")</f>
        <v/>
      </c>
      <c r="D265" s="437">
        <f t="shared" si="1"/>
        <v>0</v>
      </c>
      <c r="F265" s="438">
        <f t="shared" si="2"/>
        <v>0</v>
      </c>
      <c r="G265" t="str">
        <f t="shared" si="3"/>
        <v/>
      </c>
      <c r="H265" t="b">
        <f t="shared" si="4"/>
        <v>0</v>
      </c>
      <c r="I265" s="439">
        <f>IF(OR(ISBLANK(A265),ISNA(MATCH(A265&amp;"",AthleteNumbers,0))),0,MATCH(A265&amp;"",AthleteNumbers,0))</f>
        <v>0</v>
      </c>
      <c r="J265" s="209">
        <f t="array" ref="J265">IF(I265&gt;0,INDEX(DB,$I265,6),0)</f>
        <v>0</v>
      </c>
      <c r="K265" s="446">
        <f t="shared" si="5"/>
        <v>0</v>
      </c>
      <c r="L265" s="446">
        <f t="shared" si="6"/>
        <v>0</v>
      </c>
      <c r="M265" s="441">
        <f>IF(L265&lt;O265,MinPoints,IF(AND(L265&gt;N265,O265&gt;0),100,+INT(($L265-O265)/P265)+MinPoints))</f>
        <v>10</v>
      </c>
      <c r="N265" s="440">
        <f t="shared" si="7"/>
        <v>50</v>
      </c>
      <c r="O265" s="440">
        <f t="shared" si="8"/>
        <v>5</v>
      </c>
      <c r="P265" s="440">
        <f t="shared" si="9"/>
        <v>0.5</v>
      </c>
      <c r="Q265">
        <f t="array" ref="Q265">IF(I265&gt;0,INDEX(DB,I265,9),EventIndex)</f>
        <v>6</v>
      </c>
      <c r="S265" s="442">
        <f t="array" ref="S265">INDEX(MINVALUES,$Q265,$K$1)</f>
        <v>5</v>
      </c>
      <c r="T265">
        <f t="array" ref="T265">INDEX(INCVALUES,$Q265,$K$1)</f>
        <v>0.5</v>
      </c>
      <c r="V265">
        <f t="array" ref="V265">+J265+(4*(INDEX(MatchScoreTable,$Q265,20)-1))</f>
        <v>4</v>
      </c>
      <c r="W265" s="442">
        <f t="array" ref="W265">INDEX(INC_MINVALUES,$V265,$K$1)</f>
        <v>2.5</v>
      </c>
      <c r="X265" s="212">
        <f t="array" ref="X265">INDEX(INC_INCVALUES,$V265,$K$1)</f>
        <v>0.5</v>
      </c>
    </row>
    <row r="266" ht="15.75" customHeight="1">
      <c r="A266" s="435"/>
      <c r="B266" s="436"/>
      <c r="C266" s="95" t="str">
        <f t="array" ref="C266">IF(I266&gt;0,INDEX(DB,I266,8),"")</f>
        <v/>
      </c>
      <c r="D266" s="437">
        <f t="shared" si="1"/>
        <v>0</v>
      </c>
      <c r="F266" s="438">
        <f t="shared" si="2"/>
        <v>0</v>
      </c>
      <c r="G266" t="str">
        <f t="shared" si="3"/>
        <v/>
      </c>
      <c r="H266" t="b">
        <f t="shared" si="4"/>
        <v>0</v>
      </c>
      <c r="I266" s="439">
        <f>IF(OR(ISBLANK(A266),ISNA(MATCH(A266&amp;"",AthleteNumbers,0))),0,MATCH(A266&amp;"",AthleteNumbers,0))</f>
        <v>0</v>
      </c>
      <c r="J266" s="209">
        <f t="array" ref="J266">IF(I266&gt;0,INDEX(DB,$I266,6),0)</f>
        <v>0</v>
      </c>
      <c r="K266" s="446">
        <f t="shared" si="5"/>
        <v>0</v>
      </c>
      <c r="L266" s="446">
        <f t="shared" si="6"/>
        <v>0</v>
      </c>
      <c r="M266" s="441">
        <f>IF(L266&lt;O266,MinPoints,IF(AND(L266&gt;N266,O266&gt;0),100,+INT(($L266-O266)/P266)+MinPoints))</f>
        <v>10</v>
      </c>
      <c r="N266" s="440">
        <f t="shared" si="7"/>
        <v>50</v>
      </c>
      <c r="O266" s="440">
        <f t="shared" si="8"/>
        <v>5</v>
      </c>
      <c r="P266" s="440">
        <f t="shared" si="9"/>
        <v>0.5</v>
      </c>
      <c r="Q266">
        <f t="array" ref="Q266">IF(I266&gt;0,INDEX(DB,I266,9),EventIndex)</f>
        <v>6</v>
      </c>
      <c r="S266" s="442">
        <f t="array" ref="S266">INDEX(MINVALUES,$Q266,$K$1)</f>
        <v>5</v>
      </c>
      <c r="T266">
        <f t="array" ref="T266">INDEX(INCVALUES,$Q266,$K$1)</f>
        <v>0.5</v>
      </c>
      <c r="V266">
        <f t="array" ref="V266">+J266+(4*(INDEX(MatchScoreTable,$Q266,20)-1))</f>
        <v>4</v>
      </c>
      <c r="W266" s="442">
        <f t="array" ref="W266">INDEX(INC_MINVALUES,$V266,$K$1)</f>
        <v>2.5</v>
      </c>
      <c r="X266" s="212">
        <f t="array" ref="X266">INDEX(INC_INCVALUES,$V266,$K$1)</f>
        <v>0.5</v>
      </c>
    </row>
    <row r="267" ht="15.75" customHeight="1">
      <c r="A267" s="435"/>
      <c r="B267" s="436"/>
      <c r="C267" s="95" t="str">
        <f t="array" ref="C267">IF(I267&gt;0,INDEX(DB,I267,8),"")</f>
        <v/>
      </c>
      <c r="D267" s="437">
        <f t="shared" si="1"/>
        <v>0</v>
      </c>
      <c r="F267" s="438">
        <f t="shared" si="2"/>
        <v>0</v>
      </c>
      <c r="G267" t="str">
        <f t="shared" si="3"/>
        <v/>
      </c>
      <c r="H267" t="b">
        <f t="shared" si="4"/>
        <v>0</v>
      </c>
      <c r="I267" s="439">
        <f>IF(OR(ISBLANK(A267),ISNA(MATCH(A267&amp;"",AthleteNumbers,0))),0,MATCH(A267&amp;"",AthleteNumbers,0))</f>
        <v>0</v>
      </c>
      <c r="J267" s="209">
        <f t="array" ref="J267">IF(I267&gt;0,INDEX(DB,$I267,6),0)</f>
        <v>0</v>
      </c>
      <c r="K267" s="446">
        <f t="shared" si="5"/>
        <v>0</v>
      </c>
      <c r="L267" s="446">
        <f t="shared" si="6"/>
        <v>0</v>
      </c>
      <c r="M267" s="441">
        <f>IF(L267&lt;O267,MinPoints,IF(AND(L267&gt;N267,O267&gt;0),100,+INT(($L267-O267)/P267)+MinPoints))</f>
        <v>10</v>
      </c>
      <c r="N267" s="440">
        <f t="shared" si="7"/>
        <v>50</v>
      </c>
      <c r="O267" s="440">
        <f t="shared" si="8"/>
        <v>5</v>
      </c>
      <c r="P267" s="440">
        <f t="shared" si="9"/>
        <v>0.5</v>
      </c>
      <c r="Q267">
        <f t="array" ref="Q267">IF(I267&gt;0,INDEX(DB,I267,9),EventIndex)</f>
        <v>6</v>
      </c>
      <c r="S267" s="442">
        <f t="array" ref="S267">INDEX(MINVALUES,$Q267,$K$1)</f>
        <v>5</v>
      </c>
      <c r="T267">
        <f t="array" ref="T267">INDEX(INCVALUES,$Q267,$K$1)</f>
        <v>0.5</v>
      </c>
      <c r="V267">
        <f t="array" ref="V267">+J267+(4*(INDEX(MatchScoreTable,$Q267,20)-1))</f>
        <v>4</v>
      </c>
      <c r="W267" s="442">
        <f t="array" ref="W267">INDEX(INC_MINVALUES,$V267,$K$1)</f>
        <v>2.5</v>
      </c>
      <c r="X267" s="212">
        <f t="array" ref="X267">INDEX(INC_INCVALUES,$V267,$K$1)</f>
        <v>0.5</v>
      </c>
    </row>
    <row r="268" ht="15.75" customHeight="1">
      <c r="A268" s="435"/>
      <c r="B268" s="436"/>
      <c r="C268" s="95" t="str">
        <f t="array" ref="C268">IF(I268&gt;0,INDEX(DB,I268,8),"")</f>
        <v/>
      </c>
      <c r="D268" s="437">
        <f t="shared" si="1"/>
        <v>0</v>
      </c>
      <c r="F268" s="438">
        <f t="shared" si="2"/>
        <v>0</v>
      </c>
      <c r="G268" t="str">
        <f t="shared" si="3"/>
        <v/>
      </c>
      <c r="H268" t="b">
        <f t="shared" si="4"/>
        <v>0</v>
      </c>
      <c r="I268" s="439">
        <f>IF(OR(ISBLANK(A268),ISNA(MATCH(A268&amp;"",AthleteNumbers,0))),0,MATCH(A268&amp;"",AthleteNumbers,0))</f>
        <v>0</v>
      </c>
      <c r="J268" s="209">
        <f t="array" ref="J268">IF(I268&gt;0,INDEX(DB,$I268,6),0)</f>
        <v>0</v>
      </c>
      <c r="K268" s="446">
        <f t="shared" si="5"/>
        <v>0</v>
      </c>
      <c r="L268" s="446">
        <f t="shared" si="6"/>
        <v>0</v>
      </c>
      <c r="M268" s="441">
        <f>IF(L268&lt;O268,MinPoints,IF(AND(L268&gt;N268,O268&gt;0),100,+INT(($L268-O268)/P268)+MinPoints))</f>
        <v>10</v>
      </c>
      <c r="N268" s="440">
        <f t="shared" si="7"/>
        <v>50</v>
      </c>
      <c r="O268" s="440">
        <f t="shared" si="8"/>
        <v>5</v>
      </c>
      <c r="P268" s="440">
        <f t="shared" si="9"/>
        <v>0.5</v>
      </c>
      <c r="Q268">
        <f t="array" ref="Q268">IF(I268&gt;0,INDEX(DB,I268,9),EventIndex)</f>
        <v>6</v>
      </c>
      <c r="S268" s="442">
        <f t="array" ref="S268">INDEX(MINVALUES,$Q268,$K$1)</f>
        <v>5</v>
      </c>
      <c r="T268">
        <f t="array" ref="T268">INDEX(INCVALUES,$Q268,$K$1)</f>
        <v>0.5</v>
      </c>
      <c r="V268">
        <f t="array" ref="V268">+J268+(4*(INDEX(MatchScoreTable,$Q268,20)-1))</f>
        <v>4</v>
      </c>
      <c r="W268" s="442">
        <f t="array" ref="W268">INDEX(INC_MINVALUES,$V268,$K$1)</f>
        <v>2.5</v>
      </c>
      <c r="X268" s="212">
        <f t="array" ref="X268">INDEX(INC_INCVALUES,$V268,$K$1)</f>
        <v>0.5</v>
      </c>
    </row>
    <row r="269" ht="15.75" customHeight="1">
      <c r="A269" s="435"/>
      <c r="B269" s="436"/>
      <c r="C269" s="95" t="str">
        <f t="array" ref="C269">IF(I269&gt;0,INDEX(DB,I269,8),"")</f>
        <v/>
      </c>
      <c r="D269" s="437">
        <f t="shared" si="1"/>
        <v>0</v>
      </c>
      <c r="F269" s="438">
        <f t="shared" si="2"/>
        <v>0</v>
      </c>
      <c r="G269" t="str">
        <f t="shared" si="3"/>
        <v/>
      </c>
      <c r="H269" t="b">
        <f t="shared" si="4"/>
        <v>0</v>
      </c>
      <c r="I269" s="439">
        <f>IF(OR(ISBLANK(A269),ISNA(MATCH(A269&amp;"",AthleteNumbers,0))),0,MATCH(A269&amp;"",AthleteNumbers,0))</f>
        <v>0</v>
      </c>
      <c r="J269" s="209">
        <f t="array" ref="J269">IF(I269&gt;0,INDEX(DB,$I269,6),0)</f>
        <v>0</v>
      </c>
      <c r="K269" s="446">
        <f t="shared" si="5"/>
        <v>0</v>
      </c>
      <c r="L269" s="446">
        <f t="shared" si="6"/>
        <v>0</v>
      </c>
      <c r="M269" s="441">
        <f>IF(L269&lt;O269,MinPoints,IF(AND(L269&gt;N269,O269&gt;0),100,+INT(($L269-O269)/P269)+MinPoints))</f>
        <v>10</v>
      </c>
      <c r="N269" s="440">
        <f t="shared" si="7"/>
        <v>50</v>
      </c>
      <c r="O269" s="440">
        <f t="shared" si="8"/>
        <v>5</v>
      </c>
      <c r="P269" s="440">
        <f t="shared" si="9"/>
        <v>0.5</v>
      </c>
      <c r="Q269">
        <f t="array" ref="Q269">IF(I269&gt;0,INDEX(DB,I269,9),EventIndex)</f>
        <v>6</v>
      </c>
      <c r="S269" s="442">
        <f t="array" ref="S269">INDEX(MINVALUES,$Q269,$K$1)</f>
        <v>5</v>
      </c>
      <c r="T269">
        <f t="array" ref="T269">INDEX(INCVALUES,$Q269,$K$1)</f>
        <v>0.5</v>
      </c>
      <c r="V269">
        <f t="array" ref="V269">+J269+(4*(INDEX(MatchScoreTable,$Q269,20)-1))</f>
        <v>4</v>
      </c>
      <c r="W269" s="442">
        <f t="array" ref="W269">INDEX(INC_MINVALUES,$V269,$K$1)</f>
        <v>2.5</v>
      </c>
      <c r="X269" s="212">
        <f t="array" ref="X269">INDEX(INC_INCVALUES,$V269,$K$1)</f>
        <v>0.5</v>
      </c>
    </row>
    <row r="270" ht="15.75" customHeight="1">
      <c r="A270" s="435"/>
      <c r="B270" s="436"/>
      <c r="C270" s="95" t="str">
        <f t="array" ref="C270">IF(I270&gt;0,INDEX(DB,I270,8),"")</f>
        <v/>
      </c>
      <c r="D270" s="437">
        <f t="shared" si="1"/>
        <v>0</v>
      </c>
      <c r="F270" s="438">
        <f t="shared" si="2"/>
        <v>0</v>
      </c>
      <c r="G270" t="str">
        <f t="shared" si="3"/>
        <v/>
      </c>
      <c r="H270" t="b">
        <f t="shared" si="4"/>
        <v>0</v>
      </c>
      <c r="I270" s="439">
        <f>IF(OR(ISBLANK(A270),ISNA(MATCH(A270&amp;"",AthleteNumbers,0))),0,MATCH(A270&amp;"",AthleteNumbers,0))</f>
        <v>0</v>
      </c>
      <c r="J270" s="209">
        <f t="array" ref="J270">IF(I270&gt;0,INDEX(DB,$I270,6),0)</f>
        <v>0</v>
      </c>
      <c r="K270" s="446">
        <f t="shared" si="5"/>
        <v>0</v>
      </c>
      <c r="L270" s="446">
        <f t="shared" si="6"/>
        <v>0</v>
      </c>
      <c r="M270" s="441">
        <f>IF(L270&lt;O270,MinPoints,IF(AND(L270&gt;N270,O270&gt;0),100,+INT(($L270-O270)/P270)+MinPoints))</f>
        <v>10</v>
      </c>
      <c r="N270" s="440">
        <f t="shared" si="7"/>
        <v>50</v>
      </c>
      <c r="O270" s="440">
        <f t="shared" si="8"/>
        <v>5</v>
      </c>
      <c r="P270" s="440">
        <f t="shared" si="9"/>
        <v>0.5</v>
      </c>
      <c r="Q270">
        <f t="array" ref="Q270">IF(I270&gt;0,INDEX(DB,I270,9),EventIndex)</f>
        <v>6</v>
      </c>
      <c r="S270" s="442">
        <f t="array" ref="S270">INDEX(MINVALUES,$Q270,$K$1)</f>
        <v>5</v>
      </c>
      <c r="T270">
        <f t="array" ref="T270">INDEX(INCVALUES,$Q270,$K$1)</f>
        <v>0.5</v>
      </c>
      <c r="V270">
        <f t="array" ref="V270">+J270+(4*(INDEX(MatchScoreTable,$Q270,20)-1))</f>
        <v>4</v>
      </c>
      <c r="W270" s="442">
        <f t="array" ref="W270">INDEX(INC_MINVALUES,$V270,$K$1)</f>
        <v>2.5</v>
      </c>
      <c r="X270" s="212">
        <f t="array" ref="X270">INDEX(INC_INCVALUES,$V270,$K$1)</f>
        <v>0.5</v>
      </c>
    </row>
    <row r="271" ht="15.75" customHeight="1">
      <c r="A271" s="435"/>
      <c r="B271" s="436"/>
      <c r="C271" s="95" t="str">
        <f t="array" ref="C271">IF(I271&gt;0,INDEX(DB,I271,8),"")</f>
        <v/>
      </c>
      <c r="D271" s="437">
        <f t="shared" si="1"/>
        <v>0</v>
      </c>
      <c r="F271" s="438">
        <f t="shared" si="2"/>
        <v>0</v>
      </c>
      <c r="G271" t="str">
        <f t="shared" si="3"/>
        <v/>
      </c>
      <c r="H271" t="b">
        <f t="shared" si="4"/>
        <v>0</v>
      </c>
      <c r="I271" s="439">
        <f>IF(OR(ISBLANK(A271),ISNA(MATCH(A271&amp;"",AthleteNumbers,0))),0,MATCH(A271&amp;"",AthleteNumbers,0))</f>
        <v>0</v>
      </c>
      <c r="J271" s="209">
        <f t="array" ref="J271">IF(I271&gt;0,INDEX(DB,$I271,6),0)</f>
        <v>0</v>
      </c>
      <c r="K271" s="446">
        <f t="shared" si="5"/>
        <v>0</v>
      </c>
      <c r="L271" s="446">
        <f t="shared" si="6"/>
        <v>0</v>
      </c>
      <c r="M271" s="441">
        <f>IF(L271&lt;O271,MinPoints,IF(AND(L271&gt;N271,O271&gt;0),100,+INT(($L271-O271)/P271)+MinPoints))</f>
        <v>10</v>
      </c>
      <c r="N271" s="440">
        <f t="shared" si="7"/>
        <v>50</v>
      </c>
      <c r="O271" s="440">
        <f t="shared" si="8"/>
        <v>5</v>
      </c>
      <c r="P271" s="440">
        <f t="shared" si="9"/>
        <v>0.5</v>
      </c>
      <c r="Q271">
        <f t="array" ref="Q271">IF(I271&gt;0,INDEX(DB,I271,9),EventIndex)</f>
        <v>6</v>
      </c>
      <c r="S271" s="442">
        <f t="array" ref="S271">INDEX(MINVALUES,$Q271,$K$1)</f>
        <v>5</v>
      </c>
      <c r="T271">
        <f t="array" ref="T271">INDEX(INCVALUES,$Q271,$K$1)</f>
        <v>0.5</v>
      </c>
      <c r="V271">
        <f t="array" ref="V271">+J271+(4*(INDEX(MatchScoreTable,$Q271,20)-1))</f>
        <v>4</v>
      </c>
      <c r="W271" s="442">
        <f t="array" ref="W271">INDEX(INC_MINVALUES,$V271,$K$1)</f>
        <v>2.5</v>
      </c>
      <c r="X271" s="212">
        <f t="array" ref="X271">INDEX(INC_INCVALUES,$V271,$K$1)</f>
        <v>0.5</v>
      </c>
    </row>
    <row r="272" ht="15.75" customHeight="1">
      <c r="A272" s="435"/>
      <c r="B272" s="436"/>
      <c r="C272" s="95" t="str">
        <f t="array" ref="C272">IF(I272&gt;0,INDEX(DB,I272,8),"")</f>
        <v/>
      </c>
      <c r="D272" s="437">
        <f t="shared" si="1"/>
        <v>0</v>
      </c>
      <c r="F272" s="438">
        <f t="shared" si="2"/>
        <v>0</v>
      </c>
      <c r="G272" t="str">
        <f t="shared" si="3"/>
        <v/>
      </c>
      <c r="H272" t="b">
        <f t="shared" si="4"/>
        <v>0</v>
      </c>
      <c r="I272" s="439">
        <f>IF(OR(ISBLANK(A272),ISNA(MATCH(A272&amp;"",AthleteNumbers,0))),0,MATCH(A272&amp;"",AthleteNumbers,0))</f>
        <v>0</v>
      </c>
      <c r="J272" s="209">
        <f t="array" ref="J272">IF(I272&gt;0,INDEX(DB,$I272,6),0)</f>
        <v>0</v>
      </c>
      <c r="K272" s="446">
        <f t="shared" si="5"/>
        <v>0</v>
      </c>
      <c r="L272" s="446">
        <f t="shared" si="6"/>
        <v>0</v>
      </c>
      <c r="M272" s="441">
        <f>IF(L272&lt;O272,MinPoints,IF(AND(L272&gt;N272,O272&gt;0),100,+INT(($L272-O272)/P272)+MinPoints))</f>
        <v>10</v>
      </c>
      <c r="N272" s="440">
        <f t="shared" si="7"/>
        <v>50</v>
      </c>
      <c r="O272" s="440">
        <f t="shared" si="8"/>
        <v>5</v>
      </c>
      <c r="P272" s="440">
        <f t="shared" si="9"/>
        <v>0.5</v>
      </c>
      <c r="Q272">
        <f t="array" ref="Q272">IF(I272&gt;0,INDEX(DB,I272,9),EventIndex)</f>
        <v>6</v>
      </c>
      <c r="S272" s="442">
        <f t="array" ref="S272">INDEX(MINVALUES,$Q272,$K$1)</f>
        <v>5</v>
      </c>
      <c r="T272">
        <f t="array" ref="T272">INDEX(INCVALUES,$Q272,$K$1)</f>
        <v>0.5</v>
      </c>
      <c r="V272">
        <f t="array" ref="V272">+J272+(4*(INDEX(MatchScoreTable,$Q272,20)-1))</f>
        <v>4</v>
      </c>
      <c r="W272" s="442">
        <f t="array" ref="W272">INDEX(INC_MINVALUES,$V272,$K$1)</f>
        <v>2.5</v>
      </c>
      <c r="X272" s="212">
        <f t="array" ref="X272">INDEX(INC_INCVALUES,$V272,$K$1)</f>
        <v>0.5</v>
      </c>
    </row>
    <row r="273" ht="15.75" customHeight="1">
      <c r="A273" s="435"/>
      <c r="B273" s="436"/>
      <c r="C273" s="95" t="str">
        <f t="array" ref="C273">IF(I273&gt;0,INDEX(DB,I273,8),"")</f>
        <v/>
      </c>
      <c r="D273" s="437">
        <f t="shared" si="1"/>
        <v>0</v>
      </c>
      <c r="F273" s="438">
        <f t="shared" si="2"/>
        <v>0</v>
      </c>
      <c r="G273" t="str">
        <f t="shared" si="3"/>
        <v/>
      </c>
      <c r="H273" t="b">
        <f t="shared" si="4"/>
        <v>0</v>
      </c>
      <c r="I273" s="439">
        <f>IF(OR(ISBLANK(A273),ISNA(MATCH(A273&amp;"",AthleteNumbers,0))),0,MATCH(A273&amp;"",AthleteNumbers,0))</f>
        <v>0</v>
      </c>
      <c r="J273" s="209">
        <f t="array" ref="J273">IF(I273&gt;0,INDEX(DB,$I273,6),0)</f>
        <v>0</v>
      </c>
      <c r="K273" s="446">
        <f t="shared" si="5"/>
        <v>0</v>
      </c>
      <c r="L273" s="446">
        <f t="shared" si="6"/>
        <v>0</v>
      </c>
      <c r="M273" s="441">
        <f>IF(L273&lt;O273,MinPoints,IF(AND(L273&gt;N273,O273&gt;0),100,+INT(($L273-O273)/P273)+MinPoints))</f>
        <v>10</v>
      </c>
      <c r="N273" s="440">
        <f t="shared" si="7"/>
        <v>50</v>
      </c>
      <c r="O273" s="440">
        <f t="shared" si="8"/>
        <v>5</v>
      </c>
      <c r="P273" s="440">
        <f t="shared" si="9"/>
        <v>0.5</v>
      </c>
      <c r="Q273">
        <f t="array" ref="Q273">IF(I273&gt;0,INDEX(DB,I273,9),EventIndex)</f>
        <v>6</v>
      </c>
      <c r="S273" s="442">
        <f t="array" ref="S273">INDEX(MINVALUES,$Q273,$K$1)</f>
        <v>5</v>
      </c>
      <c r="T273">
        <f t="array" ref="T273">INDEX(INCVALUES,$Q273,$K$1)</f>
        <v>0.5</v>
      </c>
      <c r="V273">
        <f t="array" ref="V273">+J273+(4*(INDEX(MatchScoreTable,$Q273,20)-1))</f>
        <v>4</v>
      </c>
      <c r="W273" s="442">
        <f t="array" ref="W273">INDEX(INC_MINVALUES,$V273,$K$1)</f>
        <v>2.5</v>
      </c>
      <c r="X273" s="212">
        <f t="array" ref="X273">INDEX(INC_INCVALUES,$V273,$K$1)</f>
        <v>0.5</v>
      </c>
    </row>
    <row r="274" ht="15.75" customHeight="1">
      <c r="A274" s="435"/>
      <c r="B274" s="436"/>
      <c r="C274" s="95" t="str">
        <f t="array" ref="C274">IF(I274&gt;0,INDEX(DB,I274,8),"")</f>
        <v/>
      </c>
      <c r="D274" s="437">
        <f t="shared" si="1"/>
        <v>0</v>
      </c>
      <c r="F274" s="438">
        <f t="shared" si="2"/>
        <v>0</v>
      </c>
      <c r="G274" t="str">
        <f t="shared" si="3"/>
        <v/>
      </c>
      <c r="H274" t="b">
        <f t="shared" si="4"/>
        <v>0</v>
      </c>
      <c r="I274" s="439">
        <f>IF(OR(ISBLANK(A274),ISNA(MATCH(A274&amp;"",AthleteNumbers,0))),0,MATCH(A274&amp;"",AthleteNumbers,0))</f>
        <v>0</v>
      </c>
      <c r="J274" s="209">
        <f t="array" ref="J274">IF(I274&gt;0,INDEX(DB,$I274,6),0)</f>
        <v>0</v>
      </c>
      <c r="K274" s="446">
        <f t="shared" si="5"/>
        <v>0</v>
      </c>
      <c r="L274" s="446">
        <f t="shared" si="6"/>
        <v>0</v>
      </c>
      <c r="M274" s="441">
        <f>IF(L274&lt;O274,MinPoints,IF(AND(L274&gt;N274,O274&gt;0),100,+INT(($L274-O274)/P274)+MinPoints))</f>
        <v>10</v>
      </c>
      <c r="N274" s="440">
        <f t="shared" si="7"/>
        <v>50</v>
      </c>
      <c r="O274" s="440">
        <f t="shared" si="8"/>
        <v>5</v>
      </c>
      <c r="P274" s="440">
        <f t="shared" si="9"/>
        <v>0.5</v>
      </c>
      <c r="Q274">
        <f t="array" ref="Q274">IF(I274&gt;0,INDEX(DB,I274,9),EventIndex)</f>
        <v>6</v>
      </c>
      <c r="S274" s="442">
        <f t="array" ref="S274">INDEX(MINVALUES,$Q274,$K$1)</f>
        <v>5</v>
      </c>
      <c r="T274">
        <f t="array" ref="T274">INDEX(INCVALUES,$Q274,$K$1)</f>
        <v>0.5</v>
      </c>
      <c r="V274">
        <f t="array" ref="V274">+J274+(4*(INDEX(MatchScoreTable,$Q274,20)-1))</f>
        <v>4</v>
      </c>
      <c r="W274" s="442">
        <f t="array" ref="W274">INDEX(INC_MINVALUES,$V274,$K$1)</f>
        <v>2.5</v>
      </c>
      <c r="X274" s="212">
        <f t="array" ref="X274">INDEX(INC_INCVALUES,$V274,$K$1)</f>
        <v>0.5</v>
      </c>
    </row>
    <row r="275" ht="15.75" customHeight="1">
      <c r="A275" s="435"/>
      <c r="B275" s="436"/>
      <c r="C275" s="95" t="str">
        <f t="array" ref="C275">IF(I275&gt;0,INDEX(DB,I275,8),"")</f>
        <v/>
      </c>
      <c r="D275" s="437">
        <f t="shared" si="1"/>
        <v>0</v>
      </c>
      <c r="F275" s="438">
        <f t="shared" si="2"/>
        <v>0</v>
      </c>
      <c r="G275" t="str">
        <f t="shared" si="3"/>
        <v/>
      </c>
      <c r="H275" t="b">
        <f t="shared" si="4"/>
        <v>0</v>
      </c>
      <c r="I275" s="439">
        <f>IF(OR(ISBLANK(A275),ISNA(MATCH(A275&amp;"",AthleteNumbers,0))),0,MATCH(A275&amp;"",AthleteNumbers,0))</f>
        <v>0</v>
      </c>
      <c r="J275" s="209">
        <f t="array" ref="J275">IF(I275&gt;0,INDEX(DB,$I275,6),0)</f>
        <v>0</v>
      </c>
      <c r="K275" s="446">
        <f t="shared" si="5"/>
        <v>0</v>
      </c>
      <c r="L275" s="446">
        <f t="shared" si="6"/>
        <v>0</v>
      </c>
      <c r="M275" s="441">
        <f>IF(L275&lt;O275,MinPoints,IF(AND(L275&gt;N275,O275&gt;0),100,+INT(($L275-O275)/P275)+MinPoints))</f>
        <v>10</v>
      </c>
      <c r="N275" s="440">
        <f t="shared" si="7"/>
        <v>50</v>
      </c>
      <c r="O275" s="440">
        <f t="shared" si="8"/>
        <v>5</v>
      </c>
      <c r="P275" s="440">
        <f t="shared" si="9"/>
        <v>0.5</v>
      </c>
      <c r="Q275">
        <f t="array" ref="Q275">IF(I275&gt;0,INDEX(DB,I275,9),EventIndex)</f>
        <v>6</v>
      </c>
      <c r="S275" s="442">
        <f t="array" ref="S275">INDEX(MINVALUES,$Q275,$K$1)</f>
        <v>5</v>
      </c>
      <c r="T275">
        <f t="array" ref="T275">INDEX(INCVALUES,$Q275,$K$1)</f>
        <v>0.5</v>
      </c>
      <c r="V275">
        <f t="array" ref="V275">+J275+(4*(INDEX(MatchScoreTable,$Q275,20)-1))</f>
        <v>4</v>
      </c>
      <c r="W275" s="442">
        <f t="array" ref="W275">INDEX(INC_MINVALUES,$V275,$K$1)</f>
        <v>2.5</v>
      </c>
      <c r="X275" s="212">
        <f t="array" ref="X275">INDEX(INC_INCVALUES,$V275,$K$1)</f>
        <v>0.5</v>
      </c>
    </row>
    <row r="276" ht="15.75" customHeight="1">
      <c r="A276" s="435"/>
      <c r="B276" s="436"/>
      <c r="C276" s="95" t="str">
        <f t="array" ref="C276">IF(I276&gt;0,INDEX(DB,I276,8),"")</f>
        <v/>
      </c>
      <c r="D276" s="437">
        <f t="shared" si="1"/>
        <v>0</v>
      </c>
      <c r="F276" s="438">
        <f t="shared" si="2"/>
        <v>0</v>
      </c>
      <c r="G276" t="str">
        <f t="shared" si="3"/>
        <v/>
      </c>
      <c r="H276" t="b">
        <f t="shared" si="4"/>
        <v>0</v>
      </c>
      <c r="I276" s="439">
        <f>IF(OR(ISBLANK(A276),ISNA(MATCH(A276&amp;"",AthleteNumbers,0))),0,MATCH(A276&amp;"",AthleteNumbers,0))</f>
        <v>0</v>
      </c>
      <c r="J276" s="209">
        <f t="array" ref="J276">IF(I276&gt;0,INDEX(DB,$I276,6),0)</f>
        <v>0</v>
      </c>
      <c r="K276" s="446">
        <f t="shared" si="5"/>
        <v>0</v>
      </c>
      <c r="L276" s="446">
        <f t="shared" si="6"/>
        <v>0</v>
      </c>
      <c r="M276" s="441">
        <f>IF(L276&lt;O276,MinPoints,IF(AND(L276&gt;N276,O276&gt;0),100,+INT(($L276-O276)/P276)+MinPoints))</f>
        <v>10</v>
      </c>
      <c r="N276" s="440">
        <f t="shared" si="7"/>
        <v>50</v>
      </c>
      <c r="O276" s="440">
        <f t="shared" si="8"/>
        <v>5</v>
      </c>
      <c r="P276" s="440">
        <f t="shared" si="9"/>
        <v>0.5</v>
      </c>
      <c r="Q276">
        <f t="array" ref="Q276">IF(I276&gt;0,INDEX(DB,I276,9),EventIndex)</f>
        <v>6</v>
      </c>
      <c r="S276" s="442">
        <f t="array" ref="S276">INDEX(MINVALUES,$Q276,$K$1)</f>
        <v>5</v>
      </c>
      <c r="T276">
        <f t="array" ref="T276">INDEX(INCVALUES,$Q276,$K$1)</f>
        <v>0.5</v>
      </c>
      <c r="V276">
        <f t="array" ref="V276">+J276+(4*(INDEX(MatchScoreTable,$Q276,20)-1))</f>
        <v>4</v>
      </c>
      <c r="W276" s="442">
        <f t="array" ref="W276">INDEX(INC_MINVALUES,$V276,$K$1)</f>
        <v>2.5</v>
      </c>
      <c r="X276" s="212">
        <f t="array" ref="X276">INDEX(INC_INCVALUES,$V276,$K$1)</f>
        <v>0.5</v>
      </c>
    </row>
    <row r="277" ht="15.75" customHeight="1">
      <c r="A277" s="435"/>
      <c r="B277" s="436"/>
      <c r="C277" s="95" t="str">
        <f t="array" ref="C277">IF(I277&gt;0,INDEX(DB,I277,8),"")</f>
        <v/>
      </c>
      <c r="D277" s="437">
        <f t="shared" si="1"/>
        <v>0</v>
      </c>
      <c r="F277" s="438">
        <f t="shared" si="2"/>
        <v>0</v>
      </c>
      <c r="G277" t="str">
        <f t="shared" si="3"/>
        <v/>
      </c>
      <c r="H277" t="b">
        <f t="shared" si="4"/>
        <v>0</v>
      </c>
      <c r="I277" s="439">
        <f>IF(OR(ISBLANK(A277),ISNA(MATCH(A277&amp;"",AthleteNumbers,0))),0,MATCH(A277&amp;"",AthleteNumbers,0))</f>
        <v>0</v>
      </c>
      <c r="J277" s="209">
        <f t="array" ref="J277">IF(I277&gt;0,INDEX(DB,$I277,6),0)</f>
        <v>0</v>
      </c>
      <c r="K277" s="446">
        <f t="shared" si="5"/>
        <v>0</v>
      </c>
      <c r="L277" s="446">
        <f t="shared" si="6"/>
        <v>0</v>
      </c>
      <c r="M277" s="441">
        <f>IF(L277&lt;O277,MinPoints,IF(AND(L277&gt;N277,O277&gt;0),100,+INT(($L277-O277)/P277)+MinPoints))</f>
        <v>10</v>
      </c>
      <c r="N277" s="440">
        <f t="shared" si="7"/>
        <v>50</v>
      </c>
      <c r="O277" s="440">
        <f t="shared" si="8"/>
        <v>5</v>
      </c>
      <c r="P277" s="440">
        <f t="shared" si="9"/>
        <v>0.5</v>
      </c>
      <c r="Q277">
        <f t="array" ref="Q277">IF(I277&gt;0,INDEX(DB,I277,9),EventIndex)</f>
        <v>6</v>
      </c>
      <c r="S277" s="442">
        <f t="array" ref="S277">INDEX(MINVALUES,$Q277,$K$1)</f>
        <v>5</v>
      </c>
      <c r="T277">
        <f t="array" ref="T277">INDEX(INCVALUES,$Q277,$K$1)</f>
        <v>0.5</v>
      </c>
      <c r="V277">
        <f t="array" ref="V277">+J277+(4*(INDEX(MatchScoreTable,$Q277,20)-1))</f>
        <v>4</v>
      </c>
      <c r="W277" s="442">
        <f t="array" ref="W277">INDEX(INC_MINVALUES,$V277,$K$1)</f>
        <v>2.5</v>
      </c>
      <c r="X277" s="212">
        <f t="array" ref="X277">INDEX(INC_INCVALUES,$V277,$K$1)</f>
        <v>0.5</v>
      </c>
    </row>
    <row r="278" ht="15.75" customHeight="1">
      <c r="A278" s="435"/>
      <c r="B278" s="436"/>
      <c r="C278" s="95" t="str">
        <f t="array" ref="C278">IF(I278&gt;0,INDEX(DB,I278,8),"")</f>
        <v/>
      </c>
      <c r="D278" s="437">
        <f t="shared" si="1"/>
        <v>0</v>
      </c>
      <c r="F278" s="438">
        <f t="shared" si="2"/>
        <v>0</v>
      </c>
      <c r="G278" t="str">
        <f t="shared" si="3"/>
        <v/>
      </c>
      <c r="H278" t="b">
        <f t="shared" si="4"/>
        <v>0</v>
      </c>
      <c r="I278" s="439">
        <f>IF(OR(ISBLANK(A278),ISNA(MATCH(A278&amp;"",AthleteNumbers,0))),0,MATCH(A278&amp;"",AthleteNumbers,0))</f>
        <v>0</v>
      </c>
      <c r="J278" s="209">
        <f t="array" ref="J278">IF(I278&gt;0,INDEX(DB,$I278,6),0)</f>
        <v>0</v>
      </c>
      <c r="K278" s="446">
        <f t="shared" si="5"/>
        <v>0</v>
      </c>
      <c r="L278" s="446">
        <f t="shared" si="6"/>
        <v>0</v>
      </c>
      <c r="M278" s="441">
        <f>IF(L278&lt;O278,MinPoints,IF(AND(L278&gt;N278,O278&gt;0),100,+INT(($L278-O278)/P278)+MinPoints))</f>
        <v>10</v>
      </c>
      <c r="N278" s="440">
        <f t="shared" si="7"/>
        <v>50</v>
      </c>
      <c r="O278" s="440">
        <f t="shared" si="8"/>
        <v>5</v>
      </c>
      <c r="P278" s="440">
        <f t="shared" si="9"/>
        <v>0.5</v>
      </c>
      <c r="Q278">
        <f t="array" ref="Q278">IF(I278&gt;0,INDEX(DB,I278,9),EventIndex)</f>
        <v>6</v>
      </c>
      <c r="S278" s="442">
        <f t="array" ref="S278">INDEX(MINVALUES,$Q278,$K$1)</f>
        <v>5</v>
      </c>
      <c r="T278">
        <f t="array" ref="T278">INDEX(INCVALUES,$Q278,$K$1)</f>
        <v>0.5</v>
      </c>
      <c r="V278">
        <f t="array" ref="V278">+J278+(4*(INDEX(MatchScoreTable,$Q278,20)-1))</f>
        <v>4</v>
      </c>
      <c r="W278" s="442">
        <f t="array" ref="W278">INDEX(INC_MINVALUES,$V278,$K$1)</f>
        <v>2.5</v>
      </c>
      <c r="X278" s="212">
        <f t="array" ref="X278">INDEX(INC_INCVALUES,$V278,$K$1)</f>
        <v>0.5</v>
      </c>
    </row>
    <row r="279" ht="15.75" customHeight="1">
      <c r="A279" s="435"/>
      <c r="B279" s="436"/>
      <c r="C279" s="95" t="str">
        <f t="array" ref="C279">IF(I279&gt;0,INDEX(DB,I279,8),"")</f>
        <v/>
      </c>
      <c r="D279" s="437">
        <f t="shared" si="1"/>
        <v>0</v>
      </c>
      <c r="F279" s="438">
        <f t="shared" si="2"/>
        <v>0</v>
      </c>
      <c r="G279" t="str">
        <f t="shared" si="3"/>
        <v/>
      </c>
      <c r="H279" t="b">
        <f t="shared" si="4"/>
        <v>0</v>
      </c>
      <c r="I279" s="439">
        <f>IF(OR(ISBLANK(A279),ISNA(MATCH(A279&amp;"",AthleteNumbers,0))),0,MATCH(A279&amp;"",AthleteNumbers,0))</f>
        <v>0</v>
      </c>
      <c r="J279" s="209">
        <f t="array" ref="J279">IF(I279&gt;0,INDEX(DB,$I279,6),0)</f>
        <v>0</v>
      </c>
      <c r="K279" s="446">
        <f t="shared" si="5"/>
        <v>0</v>
      </c>
      <c r="L279" s="446">
        <f t="shared" si="6"/>
        <v>0</v>
      </c>
      <c r="M279" s="441">
        <f>IF(L279&lt;O279,MinPoints,IF(AND(L279&gt;N279,O279&gt;0),100,+INT(($L279-O279)/P279)+MinPoints))</f>
        <v>10</v>
      </c>
      <c r="N279" s="440">
        <f t="shared" si="7"/>
        <v>50</v>
      </c>
      <c r="O279" s="440">
        <f t="shared" si="8"/>
        <v>5</v>
      </c>
      <c r="P279" s="440">
        <f t="shared" si="9"/>
        <v>0.5</v>
      </c>
      <c r="Q279">
        <f t="array" ref="Q279">IF(I279&gt;0,INDEX(DB,I279,9),EventIndex)</f>
        <v>6</v>
      </c>
      <c r="S279" s="442">
        <f t="array" ref="S279">INDEX(MINVALUES,$Q279,$K$1)</f>
        <v>5</v>
      </c>
      <c r="T279">
        <f t="array" ref="T279">INDEX(INCVALUES,$Q279,$K$1)</f>
        <v>0.5</v>
      </c>
      <c r="V279">
        <f t="array" ref="V279">+J279+(4*(INDEX(MatchScoreTable,$Q279,20)-1))</f>
        <v>4</v>
      </c>
      <c r="W279" s="442">
        <f t="array" ref="W279">INDEX(INC_MINVALUES,$V279,$K$1)</f>
        <v>2.5</v>
      </c>
      <c r="X279" s="212">
        <f t="array" ref="X279">INDEX(INC_INCVALUES,$V279,$K$1)</f>
        <v>0.5</v>
      </c>
    </row>
    <row r="280" ht="15.75" customHeight="1">
      <c r="A280" s="435"/>
      <c r="B280" s="436"/>
      <c r="C280" s="95" t="str">
        <f t="array" ref="C280">IF(I280&gt;0,INDEX(DB,I280,8),"")</f>
        <v/>
      </c>
      <c r="D280" s="437">
        <f t="shared" si="1"/>
        <v>0</v>
      </c>
      <c r="F280" s="438">
        <f t="shared" si="2"/>
        <v>0</v>
      </c>
      <c r="G280" t="str">
        <f t="shared" si="3"/>
        <v/>
      </c>
      <c r="H280" t="b">
        <f t="shared" si="4"/>
        <v>0</v>
      </c>
      <c r="I280" s="439">
        <f>IF(OR(ISBLANK(A280),ISNA(MATCH(A280&amp;"",AthleteNumbers,0))),0,MATCH(A280&amp;"",AthleteNumbers,0))</f>
        <v>0</v>
      </c>
      <c r="J280" s="209">
        <f t="array" ref="J280">IF(I280&gt;0,INDEX(DB,$I280,6),0)</f>
        <v>0</v>
      </c>
      <c r="K280" s="446">
        <f t="shared" si="5"/>
        <v>0</v>
      </c>
      <c r="L280" s="446">
        <f t="shared" si="6"/>
        <v>0</v>
      </c>
      <c r="M280" s="441">
        <f>IF(L280&lt;O280,MinPoints,IF(AND(L280&gt;N280,O280&gt;0),100,+INT(($L280-O280)/P280)+MinPoints))</f>
        <v>10</v>
      </c>
      <c r="N280" s="440">
        <f t="shared" si="7"/>
        <v>50</v>
      </c>
      <c r="O280" s="440">
        <f t="shared" si="8"/>
        <v>5</v>
      </c>
      <c r="P280" s="440">
        <f t="shared" si="9"/>
        <v>0.5</v>
      </c>
      <c r="Q280">
        <f t="array" ref="Q280">IF(I280&gt;0,INDEX(DB,I280,9),EventIndex)</f>
        <v>6</v>
      </c>
      <c r="S280" s="442">
        <f t="array" ref="S280">INDEX(MINVALUES,$Q280,$K$1)</f>
        <v>5</v>
      </c>
      <c r="T280">
        <f t="array" ref="T280">INDEX(INCVALUES,$Q280,$K$1)</f>
        <v>0.5</v>
      </c>
      <c r="V280">
        <f t="array" ref="V280">+J280+(4*(INDEX(MatchScoreTable,$Q280,20)-1))</f>
        <v>4</v>
      </c>
      <c r="W280" s="442">
        <f t="array" ref="W280">INDEX(INC_MINVALUES,$V280,$K$1)</f>
        <v>2.5</v>
      </c>
      <c r="X280" s="212">
        <f t="array" ref="X280">INDEX(INC_INCVALUES,$V280,$K$1)</f>
        <v>0.5</v>
      </c>
    </row>
    <row r="281" ht="15.75" customHeight="1">
      <c r="A281" s="435"/>
      <c r="B281" s="436"/>
      <c r="C281" s="95" t="str">
        <f t="array" ref="C281">IF(I281&gt;0,INDEX(DB,I281,8),"")</f>
        <v/>
      </c>
      <c r="D281" s="437">
        <f t="shared" si="1"/>
        <v>0</v>
      </c>
      <c r="F281" s="438">
        <f t="shared" si="2"/>
        <v>0</v>
      </c>
      <c r="G281" t="str">
        <f t="shared" si="3"/>
        <v/>
      </c>
      <c r="H281" t="b">
        <f t="shared" si="4"/>
        <v>0</v>
      </c>
      <c r="I281" s="439">
        <f>IF(OR(ISBLANK(A281),ISNA(MATCH(A281&amp;"",AthleteNumbers,0))),0,MATCH(A281&amp;"",AthleteNumbers,0))</f>
        <v>0</v>
      </c>
      <c r="J281" s="209">
        <f t="array" ref="J281">IF(I281&gt;0,INDEX(DB,$I281,6),0)</f>
        <v>0</v>
      </c>
      <c r="K281" s="446">
        <f t="shared" si="5"/>
        <v>0</v>
      </c>
      <c r="L281" s="446">
        <f t="shared" si="6"/>
        <v>0</v>
      </c>
      <c r="M281" s="441">
        <f>IF(L281&lt;O281,MinPoints,IF(AND(L281&gt;N281,O281&gt;0),100,+INT(($L281-O281)/P281)+MinPoints))</f>
        <v>10</v>
      </c>
      <c r="N281" s="440">
        <f t="shared" si="7"/>
        <v>50</v>
      </c>
      <c r="O281" s="440">
        <f t="shared" si="8"/>
        <v>5</v>
      </c>
      <c r="P281" s="440">
        <f t="shared" si="9"/>
        <v>0.5</v>
      </c>
      <c r="Q281">
        <f t="array" ref="Q281">IF(I281&gt;0,INDEX(DB,I281,9),EventIndex)</f>
        <v>6</v>
      </c>
      <c r="S281" s="442">
        <f t="array" ref="S281">INDEX(MINVALUES,$Q281,$K$1)</f>
        <v>5</v>
      </c>
      <c r="T281">
        <f t="array" ref="T281">INDEX(INCVALUES,$Q281,$K$1)</f>
        <v>0.5</v>
      </c>
      <c r="V281">
        <f t="array" ref="V281">+J281+(4*(INDEX(MatchScoreTable,$Q281,20)-1))</f>
        <v>4</v>
      </c>
      <c r="W281" s="442">
        <f t="array" ref="W281">INDEX(INC_MINVALUES,$V281,$K$1)</f>
        <v>2.5</v>
      </c>
      <c r="X281" s="212">
        <f t="array" ref="X281">INDEX(INC_INCVALUES,$V281,$K$1)</f>
        <v>0.5</v>
      </c>
    </row>
    <row r="282" ht="15.75" customHeight="1">
      <c r="A282" s="435"/>
      <c r="B282" s="436"/>
      <c r="C282" s="95" t="str">
        <f t="array" ref="C282">IF(I282&gt;0,INDEX(DB,I282,8),"")</f>
        <v/>
      </c>
      <c r="D282" s="437">
        <f t="shared" si="1"/>
        <v>0</v>
      </c>
      <c r="F282" s="438">
        <f t="shared" si="2"/>
        <v>0</v>
      </c>
      <c r="G282" t="str">
        <f t="shared" si="3"/>
        <v/>
      </c>
      <c r="H282" t="b">
        <f t="shared" si="4"/>
        <v>0</v>
      </c>
      <c r="I282" s="439">
        <f>IF(OR(ISBLANK(A282),ISNA(MATCH(A282&amp;"",AthleteNumbers,0))),0,MATCH(A282&amp;"",AthleteNumbers,0))</f>
        <v>0</v>
      </c>
      <c r="J282" s="209">
        <f t="array" ref="J282">IF(I282&gt;0,INDEX(DB,$I282,6),0)</f>
        <v>0</v>
      </c>
      <c r="K282" s="446">
        <f t="shared" si="5"/>
        <v>0</v>
      </c>
      <c r="L282" s="446">
        <f t="shared" si="6"/>
        <v>0</v>
      </c>
      <c r="M282" s="441">
        <f>IF(L282&lt;O282,MinPoints,IF(AND(L282&gt;N282,O282&gt;0),100,+INT(($L282-O282)/P282)+MinPoints))</f>
        <v>10</v>
      </c>
      <c r="N282" s="440">
        <f t="shared" si="7"/>
        <v>50</v>
      </c>
      <c r="O282" s="440">
        <f t="shared" si="8"/>
        <v>5</v>
      </c>
      <c r="P282" s="440">
        <f t="shared" si="9"/>
        <v>0.5</v>
      </c>
      <c r="Q282">
        <f t="array" ref="Q282">IF(I282&gt;0,INDEX(DB,I282,9),EventIndex)</f>
        <v>6</v>
      </c>
      <c r="S282" s="442">
        <f t="array" ref="S282">INDEX(MINVALUES,$Q282,$K$1)</f>
        <v>5</v>
      </c>
      <c r="T282">
        <f t="array" ref="T282">INDEX(INCVALUES,$Q282,$K$1)</f>
        <v>0.5</v>
      </c>
      <c r="V282">
        <f t="array" ref="V282">+J282+(4*(INDEX(MatchScoreTable,$Q282,20)-1))</f>
        <v>4</v>
      </c>
      <c r="W282" s="442">
        <f t="array" ref="W282">INDEX(INC_MINVALUES,$V282,$K$1)</f>
        <v>2.5</v>
      </c>
      <c r="X282" s="212">
        <f t="array" ref="X282">INDEX(INC_INCVALUES,$V282,$K$1)</f>
        <v>0.5</v>
      </c>
    </row>
    <row r="283" ht="15.75" customHeight="1">
      <c r="A283" s="435"/>
      <c r="B283" s="436"/>
      <c r="C283" s="95" t="str">
        <f t="array" ref="C283">IF(I283&gt;0,INDEX(DB,I283,8),"")</f>
        <v/>
      </c>
      <c r="D283" s="437">
        <f t="shared" si="1"/>
        <v>0</v>
      </c>
      <c r="F283" s="438">
        <f t="shared" si="2"/>
        <v>0</v>
      </c>
      <c r="G283" t="str">
        <f t="shared" si="3"/>
        <v/>
      </c>
      <c r="H283" t="b">
        <f t="shared" si="4"/>
        <v>0</v>
      </c>
      <c r="I283" s="439">
        <f>IF(OR(ISBLANK(A283),ISNA(MATCH(A283&amp;"",AthleteNumbers,0))),0,MATCH(A283&amp;"",AthleteNumbers,0))</f>
        <v>0</v>
      </c>
      <c r="J283" s="209">
        <f t="array" ref="J283">IF(I283&gt;0,INDEX(DB,$I283,6),0)</f>
        <v>0</v>
      </c>
      <c r="K283" s="446">
        <f t="shared" si="5"/>
        <v>0</v>
      </c>
      <c r="L283" s="446">
        <f t="shared" si="6"/>
        <v>0</v>
      </c>
      <c r="M283" s="441">
        <f>IF(L283&lt;O283,MinPoints,IF(AND(L283&gt;N283,O283&gt;0),100,+INT(($L283-O283)/P283)+MinPoints))</f>
        <v>10</v>
      </c>
      <c r="N283" s="440">
        <f t="shared" si="7"/>
        <v>50</v>
      </c>
      <c r="O283" s="440">
        <f t="shared" si="8"/>
        <v>5</v>
      </c>
      <c r="P283" s="440">
        <f t="shared" si="9"/>
        <v>0.5</v>
      </c>
      <c r="Q283">
        <f t="array" ref="Q283">IF(I283&gt;0,INDEX(DB,I283,9),EventIndex)</f>
        <v>6</v>
      </c>
      <c r="S283" s="442">
        <f t="array" ref="S283">INDEX(MINVALUES,$Q283,$K$1)</f>
        <v>5</v>
      </c>
      <c r="T283">
        <f t="array" ref="T283">INDEX(INCVALUES,$Q283,$K$1)</f>
        <v>0.5</v>
      </c>
      <c r="V283">
        <f t="array" ref="V283">+J283+(4*(INDEX(MatchScoreTable,$Q283,20)-1))</f>
        <v>4</v>
      </c>
      <c r="W283" s="442">
        <f t="array" ref="W283">INDEX(INC_MINVALUES,$V283,$K$1)</f>
        <v>2.5</v>
      </c>
      <c r="X283" s="212">
        <f t="array" ref="X283">INDEX(INC_INCVALUES,$V283,$K$1)</f>
        <v>0.5</v>
      </c>
    </row>
    <row r="284" ht="15.75" customHeight="1">
      <c r="A284" s="435"/>
      <c r="B284" s="436"/>
      <c r="C284" s="95" t="str">
        <f t="array" ref="C284">IF(I284&gt;0,INDEX(DB,I284,8),"")</f>
        <v/>
      </c>
      <c r="D284" s="437">
        <f t="shared" si="1"/>
        <v>0</v>
      </c>
      <c r="F284" s="438">
        <f t="shared" si="2"/>
        <v>0</v>
      </c>
      <c r="G284" t="str">
        <f t="shared" si="3"/>
        <v/>
      </c>
      <c r="H284" t="b">
        <f t="shared" si="4"/>
        <v>0</v>
      </c>
      <c r="I284" s="439">
        <f>IF(OR(ISBLANK(A284),ISNA(MATCH(A284&amp;"",AthleteNumbers,0))),0,MATCH(A284&amp;"",AthleteNumbers,0))</f>
        <v>0</v>
      </c>
      <c r="J284" s="209">
        <f t="array" ref="J284">IF(I284&gt;0,INDEX(DB,$I284,6),0)</f>
        <v>0</v>
      </c>
      <c r="K284" s="446">
        <f t="shared" si="5"/>
        <v>0</v>
      </c>
      <c r="L284" s="446">
        <f t="shared" si="6"/>
        <v>0</v>
      </c>
      <c r="M284" s="441">
        <f>IF(L284&lt;O284,MinPoints,IF(AND(L284&gt;N284,O284&gt;0),100,+INT(($L284-O284)/P284)+MinPoints))</f>
        <v>10</v>
      </c>
      <c r="N284" s="440">
        <f t="shared" si="7"/>
        <v>50</v>
      </c>
      <c r="O284" s="440">
        <f t="shared" si="8"/>
        <v>5</v>
      </c>
      <c r="P284" s="440">
        <f t="shared" si="9"/>
        <v>0.5</v>
      </c>
      <c r="Q284">
        <f t="array" ref="Q284">IF(I284&gt;0,INDEX(DB,I284,9),EventIndex)</f>
        <v>6</v>
      </c>
      <c r="S284" s="442">
        <f t="array" ref="S284">INDEX(MINVALUES,$Q284,$K$1)</f>
        <v>5</v>
      </c>
      <c r="T284">
        <f t="array" ref="T284">INDEX(INCVALUES,$Q284,$K$1)</f>
        <v>0.5</v>
      </c>
      <c r="V284">
        <f t="array" ref="V284">+J284+(4*(INDEX(MatchScoreTable,$Q284,20)-1))</f>
        <v>4</v>
      </c>
      <c r="W284" s="442">
        <f t="array" ref="W284">INDEX(INC_MINVALUES,$V284,$K$1)</f>
        <v>2.5</v>
      </c>
      <c r="X284" s="212">
        <f t="array" ref="X284">INDEX(INC_INCVALUES,$V284,$K$1)</f>
        <v>0.5</v>
      </c>
    </row>
    <row r="285" ht="15.75" customHeight="1">
      <c r="A285" s="435"/>
      <c r="B285" s="436"/>
      <c r="C285" s="95" t="str">
        <f t="array" ref="C285">IF(I285&gt;0,INDEX(DB,I285,8),"")</f>
        <v/>
      </c>
      <c r="D285" s="437">
        <f t="shared" si="1"/>
        <v>0</v>
      </c>
      <c r="F285" s="438">
        <f t="shared" si="2"/>
        <v>0</v>
      </c>
      <c r="G285" t="str">
        <f t="shared" si="3"/>
        <v/>
      </c>
      <c r="H285" t="b">
        <f t="shared" si="4"/>
        <v>0</v>
      </c>
      <c r="I285" s="439">
        <f>IF(OR(ISBLANK(A285),ISNA(MATCH(A285&amp;"",AthleteNumbers,0))),0,MATCH(A285&amp;"",AthleteNumbers,0))</f>
        <v>0</v>
      </c>
      <c r="J285" s="209">
        <f t="array" ref="J285">IF(I285&gt;0,INDEX(DB,$I285,6),0)</f>
        <v>0</v>
      </c>
      <c r="K285" s="446">
        <f t="shared" si="5"/>
        <v>0</v>
      </c>
      <c r="L285" s="446">
        <f t="shared" si="6"/>
        <v>0</v>
      </c>
      <c r="M285" s="441">
        <f>IF(L285&lt;O285,MinPoints,IF(AND(L285&gt;N285,O285&gt;0),100,+INT(($L285-O285)/P285)+MinPoints))</f>
        <v>10</v>
      </c>
      <c r="N285" s="440">
        <f t="shared" si="7"/>
        <v>50</v>
      </c>
      <c r="O285" s="440">
        <f t="shared" si="8"/>
        <v>5</v>
      </c>
      <c r="P285" s="440">
        <f t="shared" si="9"/>
        <v>0.5</v>
      </c>
      <c r="Q285">
        <f t="array" ref="Q285">IF(I285&gt;0,INDEX(DB,I285,9),EventIndex)</f>
        <v>6</v>
      </c>
      <c r="S285" s="442">
        <f t="array" ref="S285">INDEX(MINVALUES,$Q285,$K$1)</f>
        <v>5</v>
      </c>
      <c r="T285">
        <f t="array" ref="T285">INDEX(INCVALUES,$Q285,$K$1)</f>
        <v>0.5</v>
      </c>
      <c r="V285">
        <f t="array" ref="V285">+J285+(4*(INDEX(MatchScoreTable,$Q285,20)-1))</f>
        <v>4</v>
      </c>
      <c r="W285" s="442">
        <f t="array" ref="W285">INDEX(INC_MINVALUES,$V285,$K$1)</f>
        <v>2.5</v>
      </c>
      <c r="X285" s="212">
        <f t="array" ref="X285">INDEX(INC_INCVALUES,$V285,$K$1)</f>
        <v>0.5</v>
      </c>
    </row>
    <row r="286" ht="15.75" customHeight="1">
      <c r="A286" s="435"/>
      <c r="B286" s="436"/>
      <c r="C286" s="95" t="str">
        <f t="array" ref="C286">IF(I286&gt;0,INDEX(DB,I286,8),"")</f>
        <v/>
      </c>
      <c r="D286" s="437">
        <f t="shared" si="1"/>
        <v>0</v>
      </c>
      <c r="F286" s="438">
        <f t="shared" si="2"/>
        <v>0</v>
      </c>
      <c r="G286" t="str">
        <f t="shared" si="3"/>
        <v/>
      </c>
      <c r="H286" t="b">
        <f t="shared" si="4"/>
        <v>0</v>
      </c>
      <c r="I286" s="439">
        <f>IF(OR(ISBLANK(A286),ISNA(MATCH(A286&amp;"",AthleteNumbers,0))),0,MATCH(A286&amp;"",AthleteNumbers,0))</f>
        <v>0</v>
      </c>
      <c r="J286" s="209">
        <f t="array" ref="J286">IF(I286&gt;0,INDEX(DB,$I286,6),0)</f>
        <v>0</v>
      </c>
      <c r="K286" s="446">
        <f t="shared" si="5"/>
        <v>0</v>
      </c>
      <c r="L286" s="446">
        <f t="shared" si="6"/>
        <v>0</v>
      </c>
      <c r="M286" s="441">
        <f>IF(L286&lt;O286,MinPoints,IF(AND(L286&gt;N286,O286&gt;0),100,+INT(($L286-O286)/P286)+MinPoints))</f>
        <v>10</v>
      </c>
      <c r="N286" s="440">
        <f t="shared" si="7"/>
        <v>50</v>
      </c>
      <c r="O286" s="440">
        <f t="shared" si="8"/>
        <v>5</v>
      </c>
      <c r="P286" s="440">
        <f t="shared" si="9"/>
        <v>0.5</v>
      </c>
      <c r="Q286">
        <f t="array" ref="Q286">IF(I286&gt;0,INDEX(DB,I286,9),EventIndex)</f>
        <v>6</v>
      </c>
      <c r="S286" s="442">
        <f t="array" ref="S286">INDEX(MINVALUES,$Q286,$K$1)</f>
        <v>5</v>
      </c>
      <c r="T286">
        <f t="array" ref="T286">INDEX(INCVALUES,$Q286,$K$1)</f>
        <v>0.5</v>
      </c>
      <c r="V286">
        <f t="array" ref="V286">+J286+(4*(INDEX(MatchScoreTable,$Q286,20)-1))</f>
        <v>4</v>
      </c>
      <c r="W286" s="442">
        <f t="array" ref="W286">INDEX(INC_MINVALUES,$V286,$K$1)</f>
        <v>2.5</v>
      </c>
      <c r="X286" s="212">
        <f t="array" ref="X286">INDEX(INC_INCVALUES,$V286,$K$1)</f>
        <v>0.5</v>
      </c>
    </row>
    <row r="287" ht="15.75" customHeight="1">
      <c r="A287" s="435"/>
      <c r="B287" s="436"/>
      <c r="C287" s="95" t="str">
        <f t="array" ref="C287">IF(I287&gt;0,INDEX(DB,I287,8),"")</f>
        <v/>
      </c>
      <c r="D287" s="437">
        <f t="shared" si="1"/>
        <v>0</v>
      </c>
      <c r="F287" s="438">
        <f t="shared" si="2"/>
        <v>0</v>
      </c>
      <c r="G287" t="str">
        <f t="shared" si="3"/>
        <v/>
      </c>
      <c r="H287" t="b">
        <f t="shared" si="4"/>
        <v>0</v>
      </c>
      <c r="I287" s="439">
        <f>IF(OR(ISBLANK(A287),ISNA(MATCH(A287&amp;"",AthleteNumbers,0))),0,MATCH(A287&amp;"",AthleteNumbers,0))</f>
        <v>0</v>
      </c>
      <c r="J287" s="209">
        <f t="array" ref="J287">IF(I287&gt;0,INDEX(DB,$I287,6),0)</f>
        <v>0</v>
      </c>
      <c r="K287" s="446">
        <f t="shared" si="5"/>
        <v>0</v>
      </c>
      <c r="L287" s="446">
        <f t="shared" si="6"/>
        <v>0</v>
      </c>
      <c r="M287" s="441">
        <f>IF(L287&lt;O287,MinPoints,IF(AND(L287&gt;N287,O287&gt;0),100,+INT(($L287-O287)/P287)+MinPoints))</f>
        <v>10</v>
      </c>
      <c r="N287" s="440">
        <f t="shared" si="7"/>
        <v>50</v>
      </c>
      <c r="O287" s="440">
        <f t="shared" si="8"/>
        <v>5</v>
      </c>
      <c r="P287" s="440">
        <f t="shared" si="9"/>
        <v>0.5</v>
      </c>
      <c r="Q287">
        <f t="array" ref="Q287">IF(I287&gt;0,INDEX(DB,I287,9),EventIndex)</f>
        <v>6</v>
      </c>
      <c r="S287" s="442">
        <f t="array" ref="S287">INDEX(MINVALUES,$Q287,$K$1)</f>
        <v>5</v>
      </c>
      <c r="T287">
        <f t="array" ref="T287">INDEX(INCVALUES,$Q287,$K$1)</f>
        <v>0.5</v>
      </c>
      <c r="V287">
        <f t="array" ref="V287">+J287+(4*(INDEX(MatchScoreTable,$Q287,20)-1))</f>
        <v>4</v>
      </c>
      <c r="W287" s="442">
        <f t="array" ref="W287">INDEX(INC_MINVALUES,$V287,$K$1)</f>
        <v>2.5</v>
      </c>
      <c r="X287" s="212">
        <f t="array" ref="X287">INDEX(INC_INCVALUES,$V287,$K$1)</f>
        <v>0.5</v>
      </c>
    </row>
    <row r="288" ht="15.75" customHeight="1">
      <c r="A288" s="435"/>
      <c r="B288" s="436"/>
      <c r="C288" s="95" t="str">
        <f t="array" ref="C288">IF(I288&gt;0,INDEX(DB,I288,8),"")</f>
        <v/>
      </c>
      <c r="D288" s="437">
        <f t="shared" si="1"/>
        <v>0</v>
      </c>
      <c r="F288" s="438">
        <f t="shared" si="2"/>
        <v>0</v>
      </c>
      <c r="G288" t="str">
        <f t="shared" si="3"/>
        <v/>
      </c>
      <c r="H288" t="b">
        <f t="shared" si="4"/>
        <v>0</v>
      </c>
      <c r="I288" s="439">
        <f>IF(OR(ISBLANK(A288),ISNA(MATCH(A288&amp;"",AthleteNumbers,0))),0,MATCH(A288&amp;"",AthleteNumbers,0))</f>
        <v>0</v>
      </c>
      <c r="J288" s="209">
        <f t="array" ref="J288">IF(I288&gt;0,INDEX(DB,$I288,6),0)</f>
        <v>0</v>
      </c>
      <c r="K288" s="446">
        <f t="shared" si="5"/>
        <v>0</v>
      </c>
      <c r="L288" s="446">
        <f t="shared" si="6"/>
        <v>0</v>
      </c>
      <c r="M288" s="441">
        <f>IF(L288&lt;O288,MinPoints,IF(AND(L288&gt;N288,O288&gt;0),100,+INT(($L288-O288)/P288)+MinPoints))</f>
        <v>10</v>
      </c>
      <c r="N288" s="440">
        <f t="shared" si="7"/>
        <v>50</v>
      </c>
      <c r="O288" s="440">
        <f t="shared" si="8"/>
        <v>5</v>
      </c>
      <c r="P288" s="440">
        <f t="shared" si="9"/>
        <v>0.5</v>
      </c>
      <c r="Q288">
        <f t="array" ref="Q288">IF(I288&gt;0,INDEX(DB,I288,9),EventIndex)</f>
        <v>6</v>
      </c>
      <c r="S288" s="442">
        <f t="array" ref="S288">INDEX(MINVALUES,$Q288,$K$1)</f>
        <v>5</v>
      </c>
      <c r="T288">
        <f t="array" ref="T288">INDEX(INCVALUES,$Q288,$K$1)</f>
        <v>0.5</v>
      </c>
      <c r="V288">
        <f t="array" ref="V288">+J288+(4*(INDEX(MatchScoreTable,$Q288,20)-1))</f>
        <v>4</v>
      </c>
      <c r="W288" s="442">
        <f t="array" ref="W288">INDEX(INC_MINVALUES,$V288,$K$1)</f>
        <v>2.5</v>
      </c>
      <c r="X288" s="212">
        <f t="array" ref="X288">INDEX(INC_INCVALUES,$V288,$K$1)</f>
        <v>0.5</v>
      </c>
    </row>
    <row r="289" ht="15.75" customHeight="1">
      <c r="A289" s="435"/>
      <c r="B289" s="436"/>
      <c r="C289" s="95" t="str">
        <f t="array" ref="C289">IF(I289&gt;0,INDEX(DB,I289,8),"")</f>
        <v/>
      </c>
      <c r="D289" s="437">
        <f t="shared" si="1"/>
        <v>0</v>
      </c>
      <c r="F289" s="438">
        <f t="shared" si="2"/>
        <v>0</v>
      </c>
      <c r="G289" t="str">
        <f t="shared" si="3"/>
        <v/>
      </c>
      <c r="H289" t="b">
        <f t="shared" si="4"/>
        <v>0</v>
      </c>
      <c r="I289" s="439">
        <f>IF(OR(ISBLANK(A289),ISNA(MATCH(A289&amp;"",AthleteNumbers,0))),0,MATCH(A289&amp;"",AthleteNumbers,0))</f>
        <v>0</v>
      </c>
      <c r="J289" s="209">
        <f t="array" ref="J289">IF(I289&gt;0,INDEX(DB,$I289,6),0)</f>
        <v>0</v>
      </c>
      <c r="K289" s="446">
        <f t="shared" si="5"/>
        <v>0</v>
      </c>
      <c r="L289" s="446">
        <f t="shared" si="6"/>
        <v>0</v>
      </c>
      <c r="M289" s="441">
        <f>IF(L289&lt;O289,MinPoints,IF(AND(L289&gt;N289,O289&gt;0),100,+INT(($L289-O289)/P289)+MinPoints))</f>
        <v>10</v>
      </c>
      <c r="N289" s="440">
        <f t="shared" si="7"/>
        <v>50</v>
      </c>
      <c r="O289" s="440">
        <f t="shared" si="8"/>
        <v>5</v>
      </c>
      <c r="P289" s="440">
        <f t="shared" si="9"/>
        <v>0.5</v>
      </c>
      <c r="Q289">
        <f t="array" ref="Q289">IF(I289&gt;0,INDEX(DB,I289,9),EventIndex)</f>
        <v>6</v>
      </c>
      <c r="S289" s="442">
        <f t="array" ref="S289">INDEX(MINVALUES,$Q289,$K$1)</f>
        <v>5</v>
      </c>
      <c r="T289">
        <f t="array" ref="T289">INDEX(INCVALUES,$Q289,$K$1)</f>
        <v>0.5</v>
      </c>
      <c r="V289">
        <f t="array" ref="V289">+J289+(4*(INDEX(MatchScoreTable,$Q289,20)-1))</f>
        <v>4</v>
      </c>
      <c r="W289" s="442">
        <f t="array" ref="W289">INDEX(INC_MINVALUES,$V289,$K$1)</f>
        <v>2.5</v>
      </c>
      <c r="X289" s="212">
        <f t="array" ref="X289">INDEX(INC_INCVALUES,$V289,$K$1)</f>
        <v>0.5</v>
      </c>
    </row>
    <row r="290" ht="15.75" customHeight="1">
      <c r="A290" s="435"/>
      <c r="B290" s="436"/>
      <c r="C290" s="95" t="str">
        <f t="array" ref="C290">IF(I290&gt;0,INDEX(DB,I290,8),"")</f>
        <v/>
      </c>
      <c r="D290" s="437">
        <f t="shared" si="1"/>
        <v>0</v>
      </c>
      <c r="F290" s="438">
        <f t="shared" si="2"/>
        <v>0</v>
      </c>
      <c r="G290" t="str">
        <f t="shared" si="3"/>
        <v/>
      </c>
      <c r="H290" t="b">
        <f t="shared" si="4"/>
        <v>0</v>
      </c>
      <c r="I290" s="439">
        <f>IF(OR(ISBLANK(A290),ISNA(MATCH(A290&amp;"",AthleteNumbers,0))),0,MATCH(A290&amp;"",AthleteNumbers,0))</f>
        <v>0</v>
      </c>
      <c r="J290" s="209">
        <f t="array" ref="J290">IF(I290&gt;0,INDEX(DB,$I290,6),0)</f>
        <v>0</v>
      </c>
      <c r="K290" s="446">
        <f t="shared" si="5"/>
        <v>0</v>
      </c>
      <c r="L290" s="446">
        <f t="shared" si="6"/>
        <v>0</v>
      </c>
      <c r="M290" s="441">
        <f>IF(L290&lt;O290,MinPoints,IF(AND(L290&gt;N290,O290&gt;0),100,+INT(($L290-O290)/P290)+MinPoints))</f>
        <v>10</v>
      </c>
      <c r="N290" s="440">
        <f t="shared" si="7"/>
        <v>50</v>
      </c>
      <c r="O290" s="440">
        <f t="shared" si="8"/>
        <v>5</v>
      </c>
      <c r="P290" s="440">
        <f t="shared" si="9"/>
        <v>0.5</v>
      </c>
      <c r="Q290">
        <f t="array" ref="Q290">IF(I290&gt;0,INDEX(DB,I290,9),EventIndex)</f>
        <v>6</v>
      </c>
      <c r="S290" s="442">
        <f t="array" ref="S290">INDEX(MINVALUES,$Q290,$K$1)</f>
        <v>5</v>
      </c>
      <c r="T290">
        <f t="array" ref="T290">INDEX(INCVALUES,$Q290,$K$1)</f>
        <v>0.5</v>
      </c>
      <c r="V290">
        <f t="array" ref="V290">+J290+(4*(INDEX(MatchScoreTable,$Q290,20)-1))</f>
        <v>4</v>
      </c>
      <c r="W290" s="442">
        <f t="array" ref="W290">INDEX(INC_MINVALUES,$V290,$K$1)</f>
        <v>2.5</v>
      </c>
      <c r="X290" s="212">
        <f t="array" ref="X290">INDEX(INC_INCVALUES,$V290,$K$1)</f>
        <v>0.5</v>
      </c>
    </row>
    <row r="291" ht="15.75" customHeight="1">
      <c r="A291" s="435"/>
      <c r="B291" s="436"/>
      <c r="C291" s="95" t="str">
        <f t="array" ref="C291">IF(I291&gt;0,INDEX(DB,I291,8),"")</f>
        <v/>
      </c>
      <c r="D291" s="437">
        <f t="shared" si="1"/>
        <v>0</v>
      </c>
      <c r="F291" s="438">
        <f t="shared" si="2"/>
        <v>0</v>
      </c>
      <c r="G291" t="str">
        <f t="shared" si="3"/>
        <v/>
      </c>
      <c r="H291" t="b">
        <f t="shared" si="4"/>
        <v>0</v>
      </c>
      <c r="I291" s="439">
        <f>IF(OR(ISBLANK(A291),ISNA(MATCH(A291&amp;"",AthleteNumbers,0))),0,MATCH(A291&amp;"",AthleteNumbers,0))</f>
        <v>0</v>
      </c>
      <c r="J291" s="209">
        <f t="array" ref="J291">IF(I291&gt;0,INDEX(DB,$I291,6),0)</f>
        <v>0</v>
      </c>
      <c r="K291" s="446">
        <f t="shared" si="5"/>
        <v>0</v>
      </c>
      <c r="L291" s="446">
        <f t="shared" si="6"/>
        <v>0</v>
      </c>
      <c r="M291" s="441">
        <f>IF(L291&lt;O291,MinPoints,IF(AND(L291&gt;N291,O291&gt;0),100,+INT(($L291-O291)/P291)+MinPoints))</f>
        <v>10</v>
      </c>
      <c r="N291" s="440">
        <f t="shared" si="7"/>
        <v>50</v>
      </c>
      <c r="O291" s="440">
        <f t="shared" si="8"/>
        <v>5</v>
      </c>
      <c r="P291" s="440">
        <f t="shared" si="9"/>
        <v>0.5</v>
      </c>
      <c r="Q291">
        <f t="array" ref="Q291">IF(I291&gt;0,INDEX(DB,I291,9),EventIndex)</f>
        <v>6</v>
      </c>
      <c r="S291" s="442">
        <f t="array" ref="S291">INDEX(MINVALUES,$Q291,$K$1)</f>
        <v>5</v>
      </c>
      <c r="T291">
        <f t="array" ref="T291">INDEX(INCVALUES,$Q291,$K$1)</f>
        <v>0.5</v>
      </c>
      <c r="V291">
        <f t="array" ref="V291">+J291+(4*(INDEX(MatchScoreTable,$Q291,20)-1))</f>
        <v>4</v>
      </c>
      <c r="W291" s="442">
        <f t="array" ref="W291">INDEX(INC_MINVALUES,$V291,$K$1)</f>
        <v>2.5</v>
      </c>
      <c r="X291" s="212">
        <f t="array" ref="X291">INDEX(INC_INCVALUES,$V291,$K$1)</f>
        <v>0.5</v>
      </c>
    </row>
    <row r="292" ht="15.75" customHeight="1">
      <c r="A292" s="435"/>
      <c r="B292" s="436"/>
      <c r="C292" s="95" t="str">
        <f t="array" ref="C292">IF(I292&gt;0,INDEX(DB,I292,8),"")</f>
        <v/>
      </c>
      <c r="D292" s="437">
        <f t="shared" si="1"/>
        <v>0</v>
      </c>
      <c r="F292" s="438">
        <f t="shared" si="2"/>
        <v>0</v>
      </c>
      <c r="G292" t="str">
        <f t="shared" si="3"/>
        <v/>
      </c>
      <c r="H292" t="b">
        <f t="shared" si="4"/>
        <v>0</v>
      </c>
      <c r="I292" s="439">
        <f>IF(OR(ISBLANK(A292),ISNA(MATCH(A292&amp;"",AthleteNumbers,0))),0,MATCH(A292&amp;"",AthleteNumbers,0))</f>
        <v>0</v>
      </c>
      <c r="J292" s="209">
        <f t="array" ref="J292">IF(I292&gt;0,INDEX(DB,$I292,6),0)</f>
        <v>0</v>
      </c>
      <c r="K292" s="446">
        <f t="shared" si="5"/>
        <v>0</v>
      </c>
      <c r="L292" s="446">
        <f t="shared" si="6"/>
        <v>0</v>
      </c>
      <c r="M292" s="441">
        <f>IF(L292&lt;O292,MinPoints,IF(AND(L292&gt;N292,O292&gt;0),100,+INT(($L292-O292)/P292)+MinPoints))</f>
        <v>10</v>
      </c>
      <c r="N292" s="440">
        <f t="shared" si="7"/>
        <v>50</v>
      </c>
      <c r="O292" s="440">
        <f t="shared" si="8"/>
        <v>5</v>
      </c>
      <c r="P292" s="440">
        <f t="shared" si="9"/>
        <v>0.5</v>
      </c>
      <c r="Q292">
        <f t="array" ref="Q292">IF(I292&gt;0,INDEX(DB,I292,9),EventIndex)</f>
        <v>6</v>
      </c>
      <c r="S292" s="442">
        <f t="array" ref="S292">INDEX(MINVALUES,$Q292,$K$1)</f>
        <v>5</v>
      </c>
      <c r="T292">
        <f t="array" ref="T292">INDEX(INCVALUES,$Q292,$K$1)</f>
        <v>0.5</v>
      </c>
      <c r="V292">
        <f t="array" ref="V292">+J292+(4*(INDEX(MatchScoreTable,$Q292,20)-1))</f>
        <v>4</v>
      </c>
      <c r="W292" s="442">
        <f t="array" ref="W292">INDEX(INC_MINVALUES,$V292,$K$1)</f>
        <v>2.5</v>
      </c>
      <c r="X292" s="212">
        <f t="array" ref="X292">INDEX(INC_INCVALUES,$V292,$K$1)</f>
        <v>0.5</v>
      </c>
    </row>
    <row r="293" ht="15.75" customHeight="1">
      <c r="A293" s="435"/>
      <c r="B293" s="436"/>
      <c r="C293" s="95" t="str">
        <f t="array" ref="C293">IF(I293&gt;0,INDEX(DB,I293,8),"")</f>
        <v/>
      </c>
      <c r="D293" s="437">
        <f t="shared" si="1"/>
        <v>0</v>
      </c>
      <c r="F293" s="438">
        <f t="shared" si="2"/>
        <v>0</v>
      </c>
      <c r="G293" t="str">
        <f t="shared" si="3"/>
        <v/>
      </c>
      <c r="H293" t="b">
        <f t="shared" si="4"/>
        <v>0</v>
      </c>
      <c r="I293" s="439">
        <f>IF(OR(ISBLANK(A293),ISNA(MATCH(A293&amp;"",AthleteNumbers,0))),0,MATCH(A293&amp;"",AthleteNumbers,0))</f>
        <v>0</v>
      </c>
      <c r="J293" s="209">
        <f t="array" ref="J293">IF(I293&gt;0,INDEX(DB,$I293,6),0)</f>
        <v>0</v>
      </c>
      <c r="K293" s="446">
        <f t="shared" si="5"/>
        <v>0</v>
      </c>
      <c r="L293" s="446">
        <f t="shared" si="6"/>
        <v>0</v>
      </c>
      <c r="M293" s="441">
        <f>IF(L293&lt;O293,MinPoints,IF(AND(L293&gt;N293,O293&gt;0),100,+INT(($L293-O293)/P293)+MinPoints))</f>
        <v>10</v>
      </c>
      <c r="N293" s="440">
        <f t="shared" si="7"/>
        <v>50</v>
      </c>
      <c r="O293" s="440">
        <f t="shared" si="8"/>
        <v>5</v>
      </c>
      <c r="P293" s="440">
        <f t="shared" si="9"/>
        <v>0.5</v>
      </c>
      <c r="Q293">
        <f t="array" ref="Q293">IF(I293&gt;0,INDEX(DB,I293,9),EventIndex)</f>
        <v>6</v>
      </c>
      <c r="S293" s="442">
        <f t="array" ref="S293">INDEX(MINVALUES,$Q293,$K$1)</f>
        <v>5</v>
      </c>
      <c r="T293">
        <f t="array" ref="T293">INDEX(INCVALUES,$Q293,$K$1)</f>
        <v>0.5</v>
      </c>
      <c r="V293">
        <f t="array" ref="V293">+J293+(4*(INDEX(MatchScoreTable,$Q293,20)-1))</f>
        <v>4</v>
      </c>
      <c r="W293" s="442">
        <f t="array" ref="W293">INDEX(INC_MINVALUES,$V293,$K$1)</f>
        <v>2.5</v>
      </c>
      <c r="X293" s="212">
        <f t="array" ref="X293">INDEX(INC_INCVALUES,$V293,$K$1)</f>
        <v>0.5</v>
      </c>
    </row>
    <row r="294" ht="15.75" customHeight="1">
      <c r="A294" s="435"/>
      <c r="B294" s="436"/>
      <c r="C294" s="95" t="str">
        <f t="array" ref="C294">IF(I294&gt;0,INDEX(DB,I294,8),"")</f>
        <v/>
      </c>
      <c r="D294" s="437">
        <f t="shared" si="1"/>
        <v>0</v>
      </c>
      <c r="F294" s="438">
        <f t="shared" si="2"/>
        <v>0</v>
      </c>
      <c r="G294" t="str">
        <f t="shared" si="3"/>
        <v/>
      </c>
      <c r="H294" t="b">
        <f t="shared" si="4"/>
        <v>0</v>
      </c>
      <c r="I294" s="439">
        <f>IF(OR(ISBLANK(A294),ISNA(MATCH(A294&amp;"",AthleteNumbers,0))),0,MATCH(A294&amp;"",AthleteNumbers,0))</f>
        <v>0</v>
      </c>
      <c r="J294" s="209">
        <f t="array" ref="J294">IF(I294&gt;0,INDEX(DB,$I294,6),0)</f>
        <v>0</v>
      </c>
      <c r="K294" s="446">
        <f t="shared" si="5"/>
        <v>0</v>
      </c>
      <c r="L294" s="446">
        <f t="shared" si="6"/>
        <v>0</v>
      </c>
      <c r="M294" s="441">
        <f>IF(L294&lt;O294,MinPoints,IF(AND(L294&gt;N294,O294&gt;0),100,+INT(($L294-O294)/P294)+MinPoints))</f>
        <v>10</v>
      </c>
      <c r="N294" s="440">
        <f t="shared" si="7"/>
        <v>50</v>
      </c>
      <c r="O294" s="440">
        <f t="shared" si="8"/>
        <v>5</v>
      </c>
      <c r="P294" s="440">
        <f t="shared" si="9"/>
        <v>0.5</v>
      </c>
      <c r="Q294">
        <f t="array" ref="Q294">IF(I294&gt;0,INDEX(DB,I294,9),EventIndex)</f>
        <v>6</v>
      </c>
      <c r="S294" s="442">
        <f t="array" ref="S294">INDEX(MINVALUES,$Q294,$K$1)</f>
        <v>5</v>
      </c>
      <c r="T294">
        <f t="array" ref="T294">INDEX(INCVALUES,$Q294,$K$1)</f>
        <v>0.5</v>
      </c>
      <c r="V294">
        <f t="array" ref="V294">+J294+(4*(INDEX(MatchScoreTable,$Q294,20)-1))</f>
        <v>4</v>
      </c>
      <c r="W294" s="442">
        <f t="array" ref="W294">INDEX(INC_MINVALUES,$V294,$K$1)</f>
        <v>2.5</v>
      </c>
      <c r="X294" s="212">
        <f t="array" ref="X294">INDEX(INC_INCVALUES,$V294,$K$1)</f>
        <v>0.5</v>
      </c>
    </row>
    <row r="295" ht="15.75" customHeight="1">
      <c r="A295" s="435"/>
      <c r="B295" s="436"/>
      <c r="C295" s="95" t="str">
        <f t="array" ref="C295">IF(I295&gt;0,INDEX(DB,I295,8),"")</f>
        <v/>
      </c>
      <c r="D295" s="437">
        <f t="shared" si="1"/>
        <v>0</v>
      </c>
      <c r="F295" s="438">
        <f t="shared" si="2"/>
        <v>0</v>
      </c>
      <c r="G295" t="str">
        <f t="shared" si="3"/>
        <v/>
      </c>
      <c r="H295" t="b">
        <f t="shared" si="4"/>
        <v>0</v>
      </c>
      <c r="I295" s="439">
        <f>IF(OR(ISBLANK(A295),ISNA(MATCH(A295&amp;"",AthleteNumbers,0))),0,MATCH(A295&amp;"",AthleteNumbers,0))</f>
        <v>0</v>
      </c>
      <c r="J295" s="209">
        <f t="array" ref="J295">IF(I295&gt;0,INDEX(DB,$I295,6),0)</f>
        <v>0</v>
      </c>
      <c r="K295" s="446">
        <f t="shared" si="5"/>
        <v>0</v>
      </c>
      <c r="L295" s="446">
        <f t="shared" si="6"/>
        <v>0</v>
      </c>
      <c r="M295" s="441">
        <f>IF(L295&lt;O295,MinPoints,IF(AND(L295&gt;N295,O295&gt;0),100,+INT(($L295-O295)/P295)+MinPoints))</f>
        <v>10</v>
      </c>
      <c r="N295" s="440">
        <f t="shared" si="7"/>
        <v>50</v>
      </c>
      <c r="O295" s="440">
        <f t="shared" si="8"/>
        <v>5</v>
      </c>
      <c r="P295" s="440">
        <f t="shared" si="9"/>
        <v>0.5</v>
      </c>
      <c r="Q295">
        <f t="array" ref="Q295">IF(I295&gt;0,INDEX(DB,I295,9),EventIndex)</f>
        <v>6</v>
      </c>
      <c r="S295" s="442">
        <f t="array" ref="S295">INDEX(MINVALUES,$Q295,$K$1)</f>
        <v>5</v>
      </c>
      <c r="T295">
        <f t="array" ref="T295">INDEX(INCVALUES,$Q295,$K$1)</f>
        <v>0.5</v>
      </c>
      <c r="V295">
        <f t="array" ref="V295">+J295+(4*(INDEX(MatchScoreTable,$Q295,20)-1))</f>
        <v>4</v>
      </c>
      <c r="W295" s="442">
        <f t="array" ref="W295">INDEX(INC_MINVALUES,$V295,$K$1)</f>
        <v>2.5</v>
      </c>
      <c r="X295" s="212">
        <f t="array" ref="X295">INDEX(INC_INCVALUES,$V295,$K$1)</f>
        <v>0.5</v>
      </c>
    </row>
    <row r="296" ht="15.75" customHeight="1">
      <c r="A296" s="435"/>
      <c r="B296" s="436"/>
      <c r="C296" s="95" t="str">
        <f t="array" ref="C296">IF(I296&gt;0,INDEX(DB,I296,8),"")</f>
        <v/>
      </c>
      <c r="D296" s="437">
        <f t="shared" si="1"/>
        <v>0</v>
      </c>
      <c r="F296" s="438">
        <f t="shared" si="2"/>
        <v>0</v>
      </c>
      <c r="G296" t="str">
        <f t="shared" si="3"/>
        <v/>
      </c>
      <c r="H296" t="b">
        <f t="shared" si="4"/>
        <v>0</v>
      </c>
      <c r="I296" s="439">
        <f>IF(OR(ISBLANK(A296),ISNA(MATCH(A296&amp;"",AthleteNumbers,0))),0,MATCH(A296&amp;"",AthleteNumbers,0))</f>
        <v>0</v>
      </c>
      <c r="J296" s="209">
        <f t="array" ref="J296">IF(I296&gt;0,INDEX(DB,$I296,6),0)</f>
        <v>0</v>
      </c>
      <c r="K296" s="446">
        <f t="shared" si="5"/>
        <v>0</v>
      </c>
      <c r="L296" s="446">
        <f t="shared" si="6"/>
        <v>0</v>
      </c>
      <c r="M296" s="441">
        <f>IF(L296&lt;O296,MinPoints,IF(AND(L296&gt;N296,O296&gt;0),100,+INT(($L296-O296)/P296)+MinPoints))</f>
        <v>10</v>
      </c>
      <c r="N296" s="440">
        <f t="shared" si="7"/>
        <v>50</v>
      </c>
      <c r="O296" s="440">
        <f t="shared" si="8"/>
        <v>5</v>
      </c>
      <c r="P296" s="440">
        <f t="shared" si="9"/>
        <v>0.5</v>
      </c>
      <c r="Q296">
        <f t="array" ref="Q296">IF(I296&gt;0,INDEX(DB,I296,9),EventIndex)</f>
        <v>6</v>
      </c>
      <c r="S296" s="442">
        <f t="array" ref="S296">INDEX(MINVALUES,$Q296,$K$1)</f>
        <v>5</v>
      </c>
      <c r="T296">
        <f t="array" ref="T296">INDEX(INCVALUES,$Q296,$K$1)</f>
        <v>0.5</v>
      </c>
      <c r="V296">
        <f t="array" ref="V296">+J296+(4*(INDEX(MatchScoreTable,$Q296,20)-1))</f>
        <v>4</v>
      </c>
      <c r="W296" s="442">
        <f t="array" ref="W296">INDEX(INC_MINVALUES,$V296,$K$1)</f>
        <v>2.5</v>
      </c>
      <c r="X296" s="212">
        <f t="array" ref="X296">INDEX(INC_INCVALUES,$V296,$K$1)</f>
        <v>0.5</v>
      </c>
    </row>
    <row r="297" ht="15.75" customHeight="1">
      <c r="A297" s="435"/>
      <c r="B297" s="436"/>
      <c r="C297" s="95" t="str">
        <f t="array" ref="C297">IF(I297&gt;0,INDEX(DB,I297,8),"")</f>
        <v/>
      </c>
      <c r="D297" s="437">
        <f t="shared" si="1"/>
        <v>0</v>
      </c>
      <c r="F297" s="438">
        <f t="shared" si="2"/>
        <v>0</v>
      </c>
      <c r="G297" t="str">
        <f t="shared" si="3"/>
        <v/>
      </c>
      <c r="H297" t="b">
        <f t="shared" si="4"/>
        <v>0</v>
      </c>
      <c r="I297" s="439">
        <f>IF(OR(ISBLANK(A297),ISNA(MATCH(A297&amp;"",AthleteNumbers,0))),0,MATCH(A297&amp;"",AthleteNumbers,0))</f>
        <v>0</v>
      </c>
      <c r="J297" s="209">
        <f t="array" ref="J297">IF(I297&gt;0,INDEX(DB,$I297,6),0)</f>
        <v>0</v>
      </c>
      <c r="K297" s="446">
        <f t="shared" si="5"/>
        <v>0</v>
      </c>
      <c r="L297" s="446">
        <f t="shared" si="6"/>
        <v>0</v>
      </c>
      <c r="M297" s="441">
        <f>IF(L297&lt;O297,MinPoints,IF(AND(L297&gt;N297,O297&gt;0),100,+INT(($L297-O297)/P297)+MinPoints))</f>
        <v>10</v>
      </c>
      <c r="N297" s="440">
        <f t="shared" si="7"/>
        <v>50</v>
      </c>
      <c r="O297" s="440">
        <f t="shared" si="8"/>
        <v>5</v>
      </c>
      <c r="P297" s="440">
        <f t="shared" si="9"/>
        <v>0.5</v>
      </c>
      <c r="Q297">
        <f t="array" ref="Q297">IF(I297&gt;0,INDEX(DB,I297,9),EventIndex)</f>
        <v>6</v>
      </c>
      <c r="S297" s="442">
        <f t="array" ref="S297">INDEX(MINVALUES,$Q297,$K$1)</f>
        <v>5</v>
      </c>
      <c r="T297">
        <f t="array" ref="T297">INDEX(INCVALUES,$Q297,$K$1)</f>
        <v>0.5</v>
      </c>
      <c r="V297">
        <f t="array" ref="V297">+J297+(4*(INDEX(MatchScoreTable,$Q297,20)-1))</f>
        <v>4</v>
      </c>
      <c r="W297" s="442">
        <f t="array" ref="W297">INDEX(INC_MINVALUES,$V297,$K$1)</f>
        <v>2.5</v>
      </c>
      <c r="X297" s="212">
        <f t="array" ref="X297">INDEX(INC_INCVALUES,$V297,$K$1)</f>
        <v>0.5</v>
      </c>
    </row>
    <row r="298" ht="15.75" customHeight="1">
      <c r="A298" s="435"/>
      <c r="B298" s="436"/>
      <c r="C298" s="95" t="str">
        <f t="array" ref="C298">IF(I298&gt;0,INDEX(DB,I298,8),"")</f>
        <v/>
      </c>
      <c r="D298" s="437">
        <f t="shared" si="1"/>
        <v>0</v>
      </c>
      <c r="F298" s="438">
        <f t="shared" si="2"/>
        <v>0</v>
      </c>
      <c r="G298" t="str">
        <f t="shared" si="3"/>
        <v/>
      </c>
      <c r="H298" t="b">
        <f t="shared" si="4"/>
        <v>0</v>
      </c>
      <c r="I298" s="439">
        <f>IF(OR(ISBLANK(A298),ISNA(MATCH(A298&amp;"",AthleteNumbers,0))),0,MATCH(A298&amp;"",AthleteNumbers,0))</f>
        <v>0</v>
      </c>
      <c r="J298" s="209">
        <f t="array" ref="J298">IF(I298&gt;0,INDEX(DB,$I298,6),0)</f>
        <v>0</v>
      </c>
      <c r="K298" s="446">
        <f t="shared" si="5"/>
        <v>0</v>
      </c>
      <c r="L298" s="446">
        <f t="shared" si="6"/>
        <v>0</v>
      </c>
      <c r="M298" s="441">
        <f>IF(L298&lt;O298,MinPoints,IF(AND(L298&gt;N298,O298&gt;0),100,+INT(($L298-O298)/P298)+MinPoints))</f>
        <v>10</v>
      </c>
      <c r="N298" s="440">
        <f t="shared" si="7"/>
        <v>50</v>
      </c>
      <c r="O298" s="440">
        <f t="shared" si="8"/>
        <v>5</v>
      </c>
      <c r="P298" s="440">
        <f t="shared" si="9"/>
        <v>0.5</v>
      </c>
      <c r="Q298">
        <f t="array" ref="Q298">IF(I298&gt;0,INDEX(DB,I298,9),EventIndex)</f>
        <v>6</v>
      </c>
      <c r="S298" s="442">
        <f t="array" ref="S298">INDEX(MINVALUES,$Q298,$K$1)</f>
        <v>5</v>
      </c>
      <c r="T298">
        <f t="array" ref="T298">INDEX(INCVALUES,$Q298,$K$1)</f>
        <v>0.5</v>
      </c>
      <c r="V298">
        <f t="array" ref="V298">+J298+(4*(INDEX(MatchScoreTable,$Q298,20)-1))</f>
        <v>4</v>
      </c>
      <c r="W298" s="442">
        <f t="array" ref="W298">INDEX(INC_MINVALUES,$V298,$K$1)</f>
        <v>2.5</v>
      </c>
      <c r="X298" s="212">
        <f t="array" ref="X298">INDEX(INC_INCVALUES,$V298,$K$1)</f>
        <v>0.5</v>
      </c>
    </row>
    <row r="299" ht="15.75" customHeight="1">
      <c r="A299" s="435"/>
      <c r="B299" s="436"/>
      <c r="C299" s="95" t="str">
        <f t="array" ref="C299">IF(I299&gt;0,INDEX(DB,I299,8),"")</f>
        <v/>
      </c>
      <c r="D299" s="437">
        <f t="shared" si="1"/>
        <v>0</v>
      </c>
      <c r="F299" s="438">
        <f t="shared" si="2"/>
        <v>0</v>
      </c>
      <c r="G299" t="str">
        <f t="shared" si="3"/>
        <v/>
      </c>
      <c r="H299" t="b">
        <f t="shared" si="4"/>
        <v>0</v>
      </c>
      <c r="I299" s="439">
        <f>IF(OR(ISBLANK(A299),ISNA(MATCH(A299&amp;"",AthleteNumbers,0))),0,MATCH(A299&amp;"",AthleteNumbers,0))</f>
        <v>0</v>
      </c>
      <c r="J299" s="209">
        <f t="array" ref="J299">IF(I299&gt;0,INDEX(DB,$I299,6),0)</f>
        <v>0</v>
      </c>
      <c r="K299" s="446">
        <f t="shared" si="5"/>
        <v>0</v>
      </c>
      <c r="L299" s="446">
        <f t="shared" si="6"/>
        <v>0</v>
      </c>
      <c r="M299" s="441">
        <f>IF(L299&lt;O299,MinPoints,IF(AND(L299&gt;N299,O299&gt;0),100,+INT(($L299-O299)/P299)+MinPoints))</f>
        <v>10</v>
      </c>
      <c r="N299" s="440">
        <f t="shared" si="7"/>
        <v>50</v>
      </c>
      <c r="O299" s="440">
        <f t="shared" si="8"/>
        <v>5</v>
      </c>
      <c r="P299" s="440">
        <f t="shared" si="9"/>
        <v>0.5</v>
      </c>
      <c r="Q299">
        <f t="array" ref="Q299">IF(I299&gt;0,INDEX(DB,I299,9),EventIndex)</f>
        <v>6</v>
      </c>
      <c r="S299" s="442">
        <f t="array" ref="S299">INDEX(MINVALUES,$Q299,$K$1)</f>
        <v>5</v>
      </c>
      <c r="T299">
        <f t="array" ref="T299">INDEX(INCVALUES,$Q299,$K$1)</f>
        <v>0.5</v>
      </c>
      <c r="V299">
        <f t="array" ref="V299">+J299+(4*(INDEX(MatchScoreTable,$Q299,20)-1))</f>
        <v>4</v>
      </c>
      <c r="W299" s="442">
        <f t="array" ref="W299">INDEX(INC_MINVALUES,$V299,$K$1)</f>
        <v>2.5</v>
      </c>
      <c r="X299" s="212">
        <f t="array" ref="X299">INDEX(INC_INCVALUES,$V299,$K$1)</f>
        <v>0.5</v>
      </c>
    </row>
    <row r="300" ht="15.75" customHeight="1">
      <c r="A300" s="435"/>
      <c r="B300" s="436"/>
      <c r="C300" s="95" t="str">
        <f t="array" ref="C300">IF(I300&gt;0,INDEX(DB,I300,8),"")</f>
        <v/>
      </c>
      <c r="D300" s="437">
        <f t="shared" si="1"/>
        <v>0</v>
      </c>
      <c r="F300" s="438">
        <f t="shared" si="2"/>
        <v>0</v>
      </c>
      <c r="G300" t="str">
        <f t="shared" si="3"/>
        <v/>
      </c>
      <c r="H300" t="b">
        <f t="shared" si="4"/>
        <v>0</v>
      </c>
      <c r="I300" s="439">
        <f>IF(OR(ISBLANK(A300),ISNA(MATCH(A300&amp;"",AthleteNumbers,0))),0,MATCH(A300&amp;"",AthleteNumbers,0))</f>
        <v>0</v>
      </c>
      <c r="J300" s="209">
        <f t="array" ref="J300">IF(I300&gt;0,INDEX(DB,$I300,6),0)</f>
        <v>0</v>
      </c>
      <c r="K300" s="446">
        <f t="shared" si="5"/>
        <v>0</v>
      </c>
      <c r="L300" s="446">
        <f t="shared" si="6"/>
        <v>0</v>
      </c>
      <c r="M300" s="441">
        <f>IF(L300&lt;O300,MinPoints,IF(AND(L300&gt;N300,O300&gt;0),100,+INT(($L300-O300)/P300)+MinPoints))</f>
        <v>10</v>
      </c>
      <c r="N300" s="440">
        <f t="shared" si="7"/>
        <v>50</v>
      </c>
      <c r="O300" s="440">
        <f t="shared" si="8"/>
        <v>5</v>
      </c>
      <c r="P300" s="440">
        <f t="shared" si="9"/>
        <v>0.5</v>
      </c>
      <c r="Q300">
        <f t="array" ref="Q300">IF(I300&gt;0,INDEX(DB,I300,9),EventIndex)</f>
        <v>6</v>
      </c>
      <c r="S300" s="442">
        <f t="array" ref="S300">INDEX(MINVALUES,$Q300,$K$1)</f>
        <v>5</v>
      </c>
      <c r="T300">
        <f t="array" ref="T300">INDEX(INCVALUES,$Q300,$K$1)</f>
        <v>0.5</v>
      </c>
      <c r="V300">
        <f t="array" ref="V300">+J300+(4*(INDEX(MatchScoreTable,$Q300,20)-1))</f>
        <v>4</v>
      </c>
      <c r="W300" s="442">
        <f t="array" ref="W300">INDEX(INC_MINVALUES,$V300,$K$1)</f>
        <v>2.5</v>
      </c>
      <c r="X300" s="212">
        <f t="array" ref="X300">INDEX(INC_INCVALUES,$V300,$K$1)</f>
        <v>0.5</v>
      </c>
    </row>
    <row r="301" ht="15.75" customHeight="1">
      <c r="A301" s="435"/>
      <c r="B301" s="436"/>
      <c r="C301" s="95" t="str">
        <f t="array" ref="C301">IF(I301&gt;0,INDEX(DB,I301,8),"")</f>
        <v/>
      </c>
      <c r="D301" s="437">
        <f t="shared" si="1"/>
        <v>0</v>
      </c>
      <c r="F301" s="438">
        <f t="shared" si="2"/>
        <v>0</v>
      </c>
      <c r="G301" t="str">
        <f t="shared" si="3"/>
        <v/>
      </c>
      <c r="H301" t="b">
        <f t="shared" si="4"/>
        <v>0</v>
      </c>
      <c r="I301" s="439">
        <f>IF(OR(ISBLANK(A301),ISNA(MATCH(A301&amp;"",AthleteNumbers,0))),0,MATCH(A301&amp;"",AthleteNumbers,0))</f>
        <v>0</v>
      </c>
      <c r="J301" s="209">
        <f t="array" ref="J301">IF(I301&gt;0,INDEX(DB,$I301,6),0)</f>
        <v>0</v>
      </c>
      <c r="K301" s="446">
        <f t="shared" si="5"/>
        <v>0</v>
      </c>
      <c r="L301" s="446">
        <f t="shared" si="6"/>
        <v>0</v>
      </c>
      <c r="M301" s="441">
        <f>IF(L301&lt;O301,MinPoints,IF(AND(L301&gt;N301,O301&gt;0),100,+INT(($L301-O301)/P301)+MinPoints))</f>
        <v>10</v>
      </c>
      <c r="N301" s="440">
        <f t="shared" si="7"/>
        <v>50</v>
      </c>
      <c r="O301" s="440">
        <f t="shared" si="8"/>
        <v>5</v>
      </c>
      <c r="P301" s="440">
        <f t="shared" si="9"/>
        <v>0.5</v>
      </c>
      <c r="Q301">
        <f t="array" ref="Q301">IF(I301&gt;0,INDEX(DB,I301,9),EventIndex)</f>
        <v>6</v>
      </c>
      <c r="S301" s="442">
        <f t="array" ref="S301">INDEX(MINVALUES,$Q301,$K$1)</f>
        <v>5</v>
      </c>
      <c r="T301">
        <f t="array" ref="T301">INDEX(INCVALUES,$Q301,$K$1)</f>
        <v>0.5</v>
      </c>
      <c r="V301">
        <f t="array" ref="V301">+J301+(4*(INDEX(MatchScoreTable,$Q301,20)-1))</f>
        <v>4</v>
      </c>
      <c r="W301" s="442">
        <f t="array" ref="W301">INDEX(INC_MINVALUES,$V301,$K$1)</f>
        <v>2.5</v>
      </c>
      <c r="X301" s="212">
        <f t="array" ref="X301">INDEX(INC_INCVALUES,$V301,$K$1)</f>
        <v>0.5</v>
      </c>
    </row>
    <row r="302" ht="15.75" customHeight="1">
      <c r="A302" s="435"/>
      <c r="B302" s="436"/>
      <c r="C302" s="95" t="str">
        <f t="array" ref="C302">IF(I302&gt;0,INDEX(DB,I302,8),"")</f>
        <v/>
      </c>
      <c r="D302" s="437">
        <f t="shared" si="1"/>
        <v>0</v>
      </c>
      <c r="F302" s="438">
        <f t="shared" si="2"/>
        <v>0</v>
      </c>
      <c r="G302" t="str">
        <f t="shared" si="3"/>
        <v/>
      </c>
      <c r="H302" t="b">
        <f t="shared" si="4"/>
        <v>0</v>
      </c>
      <c r="I302" s="439">
        <f>IF(OR(ISBLANK(A302),ISNA(MATCH(A302&amp;"",AthleteNumbers,0))),0,MATCH(A302&amp;"",AthleteNumbers,0))</f>
        <v>0</v>
      </c>
      <c r="J302" s="209">
        <f t="array" ref="J302">IF(I302&gt;0,INDEX(DB,$I302,6),0)</f>
        <v>0</v>
      </c>
      <c r="K302" s="446">
        <f t="shared" si="5"/>
        <v>0</v>
      </c>
      <c r="L302" s="446">
        <f t="shared" si="6"/>
        <v>0</v>
      </c>
      <c r="M302" s="441">
        <f>IF(L302&lt;O302,MinPoints,IF(AND(L302&gt;N302,O302&gt;0),100,+INT(($L302-O302)/P302)+MinPoints))</f>
        <v>10</v>
      </c>
      <c r="N302" s="440">
        <f t="shared" si="7"/>
        <v>50</v>
      </c>
      <c r="O302" s="440">
        <f t="shared" si="8"/>
        <v>5</v>
      </c>
      <c r="P302" s="440">
        <f t="shared" si="9"/>
        <v>0.5</v>
      </c>
      <c r="Q302">
        <f t="array" ref="Q302">IF(I302&gt;0,INDEX(DB,I302,9),EventIndex)</f>
        <v>6</v>
      </c>
      <c r="S302" s="442">
        <f t="array" ref="S302">INDEX(MINVALUES,$Q302,$K$1)</f>
        <v>5</v>
      </c>
      <c r="T302">
        <f t="array" ref="T302">INDEX(INCVALUES,$Q302,$K$1)</f>
        <v>0.5</v>
      </c>
      <c r="V302">
        <f t="array" ref="V302">+J302+(4*(INDEX(MatchScoreTable,$Q302,20)-1))</f>
        <v>4</v>
      </c>
      <c r="W302" s="442">
        <f t="array" ref="W302">INDEX(INC_MINVALUES,$V302,$K$1)</f>
        <v>2.5</v>
      </c>
      <c r="X302" s="212">
        <f t="array" ref="X302">INDEX(INC_INCVALUES,$V302,$K$1)</f>
        <v>0.5</v>
      </c>
    </row>
    <row r="303" ht="15.75" customHeight="1">
      <c r="A303" s="435"/>
      <c r="B303" s="436"/>
      <c r="C303" s="95" t="str">
        <f t="array" ref="C303">IF(I303&gt;0,INDEX(DB,I303,8),"")</f>
        <v/>
      </c>
      <c r="D303" s="437">
        <f t="shared" si="1"/>
        <v>0</v>
      </c>
      <c r="F303" s="438">
        <f t="shared" si="2"/>
        <v>0</v>
      </c>
      <c r="G303" t="str">
        <f t="shared" si="3"/>
        <v/>
      </c>
      <c r="H303" t="b">
        <f t="shared" si="4"/>
        <v>0</v>
      </c>
      <c r="I303" s="439">
        <f>IF(OR(ISBLANK(A303),ISNA(MATCH(A303&amp;"",AthleteNumbers,0))),0,MATCH(A303&amp;"",AthleteNumbers,0))</f>
        <v>0</v>
      </c>
      <c r="J303" s="209">
        <f t="array" ref="J303">IF(I303&gt;0,INDEX(DB,$I303,6),0)</f>
        <v>0</v>
      </c>
      <c r="K303" s="446">
        <f t="shared" si="5"/>
        <v>0</v>
      </c>
      <c r="L303" s="446">
        <f t="shared" si="6"/>
        <v>0</v>
      </c>
      <c r="M303" s="441">
        <f>IF(L303&lt;O303,MinPoints,IF(AND(L303&gt;N303,O303&gt;0),100,+INT(($L303-O303)/P303)+MinPoints))</f>
        <v>10</v>
      </c>
      <c r="N303" s="440">
        <f t="shared" si="7"/>
        <v>50</v>
      </c>
      <c r="O303" s="440">
        <f t="shared" si="8"/>
        <v>5</v>
      </c>
      <c r="P303" s="440">
        <f t="shared" si="9"/>
        <v>0.5</v>
      </c>
      <c r="Q303">
        <f t="array" ref="Q303">IF(I303&gt;0,INDEX(DB,I303,9),EventIndex)</f>
        <v>6</v>
      </c>
      <c r="S303" s="442">
        <f t="array" ref="S303">INDEX(MINVALUES,$Q303,$K$1)</f>
        <v>5</v>
      </c>
      <c r="T303">
        <f t="array" ref="T303">INDEX(INCVALUES,$Q303,$K$1)</f>
        <v>0.5</v>
      </c>
      <c r="V303">
        <f t="array" ref="V303">+J303+(4*(INDEX(MatchScoreTable,$Q303,20)-1))</f>
        <v>4</v>
      </c>
      <c r="W303" s="442">
        <f t="array" ref="W303">INDEX(INC_MINVALUES,$V303,$K$1)</f>
        <v>2.5</v>
      </c>
      <c r="X303" s="212">
        <f t="array" ref="X303">INDEX(INC_INCVALUES,$V303,$K$1)</f>
        <v>0.5</v>
      </c>
    </row>
    <row r="304" ht="15.75" customHeight="1">
      <c r="A304" s="435"/>
      <c r="B304" s="436"/>
      <c r="C304" s="95" t="str">
        <f t="array" ref="C304">IF(I304&gt;0,INDEX(DB,I304,8),"")</f>
        <v/>
      </c>
      <c r="D304" s="437">
        <f t="shared" si="1"/>
        <v>0</v>
      </c>
      <c r="F304" s="438">
        <f t="shared" si="2"/>
        <v>0</v>
      </c>
      <c r="G304" t="str">
        <f t="shared" si="3"/>
        <v/>
      </c>
      <c r="H304" t="b">
        <f t="shared" si="4"/>
        <v>0</v>
      </c>
      <c r="I304" s="439">
        <f>IF(OR(ISBLANK(A304),ISNA(MATCH(A304&amp;"",AthleteNumbers,0))),0,MATCH(A304&amp;"",AthleteNumbers,0))</f>
        <v>0</v>
      </c>
      <c r="J304" s="209">
        <f t="array" ref="J304">IF(I304&gt;0,INDEX(DB,$I304,6),0)</f>
        <v>0</v>
      </c>
      <c r="K304" s="446">
        <f t="shared" si="5"/>
        <v>0</v>
      </c>
      <c r="L304" s="446">
        <f t="shared" si="6"/>
        <v>0</v>
      </c>
      <c r="M304" s="441">
        <f>IF(L304&lt;O304,MinPoints,IF(AND(L304&gt;N304,O304&gt;0),100,+INT(($L304-O304)/P304)+MinPoints))</f>
        <v>10</v>
      </c>
      <c r="N304" s="440">
        <f t="shared" si="7"/>
        <v>50</v>
      </c>
      <c r="O304" s="440">
        <f t="shared" si="8"/>
        <v>5</v>
      </c>
      <c r="P304" s="440">
        <f t="shared" si="9"/>
        <v>0.5</v>
      </c>
      <c r="Q304">
        <f t="array" ref="Q304">IF(I304&gt;0,INDEX(DB,I304,9),EventIndex)</f>
        <v>6</v>
      </c>
      <c r="S304" s="442">
        <f t="array" ref="S304">INDEX(MINVALUES,$Q304,$K$1)</f>
        <v>5</v>
      </c>
      <c r="T304">
        <f t="array" ref="T304">INDEX(INCVALUES,$Q304,$K$1)</f>
        <v>0.5</v>
      </c>
      <c r="V304">
        <f t="array" ref="V304">+J304+(4*(INDEX(MatchScoreTable,$Q304,20)-1))</f>
        <v>4</v>
      </c>
      <c r="W304" s="442">
        <f t="array" ref="W304">INDEX(INC_MINVALUES,$V304,$K$1)</f>
        <v>2.5</v>
      </c>
      <c r="X304" s="212">
        <f t="array" ref="X304">INDEX(INC_INCVALUES,$V304,$K$1)</f>
        <v>0.5</v>
      </c>
    </row>
    <row r="305" ht="15.75" customHeight="1">
      <c r="A305" s="435"/>
      <c r="B305" s="436"/>
      <c r="C305" s="95" t="str">
        <f t="array" ref="C305">IF(I305&gt;0,INDEX(DB,I305,8),"")</f>
        <v/>
      </c>
      <c r="D305" s="437">
        <f t="shared" si="1"/>
        <v>0</v>
      </c>
      <c r="F305" s="438">
        <f t="shared" si="2"/>
        <v>0</v>
      </c>
      <c r="G305" t="str">
        <f t="shared" si="3"/>
        <v/>
      </c>
      <c r="H305" t="b">
        <f t="shared" si="4"/>
        <v>0</v>
      </c>
      <c r="I305" s="439">
        <f>IF(OR(ISBLANK(A305),ISNA(MATCH(A305&amp;"",AthleteNumbers,0))),0,MATCH(A305&amp;"",AthleteNumbers,0))</f>
        <v>0</v>
      </c>
      <c r="J305" s="209">
        <f t="array" ref="J305">IF(I305&gt;0,INDEX(DB,$I305,6),0)</f>
        <v>0</v>
      </c>
      <c r="K305" s="446">
        <f t="shared" si="5"/>
        <v>0</v>
      </c>
      <c r="L305" s="446">
        <f t="shared" si="6"/>
        <v>0</v>
      </c>
      <c r="M305" s="441">
        <f>IF(L305&lt;O305,MinPoints,IF(AND(L305&gt;N305,O305&gt;0),100,+INT(($L305-O305)/P305)+MinPoints))</f>
        <v>10</v>
      </c>
      <c r="N305" s="440">
        <f t="shared" si="7"/>
        <v>50</v>
      </c>
      <c r="O305" s="440">
        <f t="shared" si="8"/>
        <v>5</v>
      </c>
      <c r="P305" s="440">
        <f t="shared" si="9"/>
        <v>0.5</v>
      </c>
      <c r="Q305">
        <f t="array" ref="Q305">IF(I305&gt;0,INDEX(DB,I305,9),EventIndex)</f>
        <v>6</v>
      </c>
      <c r="S305" s="442">
        <f t="array" ref="S305">INDEX(MINVALUES,$Q305,$K$1)</f>
        <v>5</v>
      </c>
      <c r="T305">
        <f t="array" ref="T305">INDEX(INCVALUES,$Q305,$K$1)</f>
        <v>0.5</v>
      </c>
      <c r="V305">
        <f t="array" ref="V305">+J305+(4*(INDEX(MatchScoreTable,$Q305,20)-1))</f>
        <v>4</v>
      </c>
      <c r="W305" s="442">
        <f t="array" ref="W305">INDEX(INC_MINVALUES,$V305,$K$1)</f>
        <v>2.5</v>
      </c>
      <c r="X305" s="212">
        <f t="array" ref="X305">INDEX(INC_INCVALUES,$V305,$K$1)</f>
        <v>0.5</v>
      </c>
    </row>
    <row r="306" ht="15.75" customHeight="1">
      <c r="A306" s="435"/>
      <c r="B306" s="436"/>
      <c r="C306" s="95" t="str">
        <f t="array" ref="C306">IF(I306&gt;0,INDEX(DB,I306,8),"")</f>
        <v/>
      </c>
      <c r="D306" s="437">
        <f t="shared" si="1"/>
        <v>0</v>
      </c>
      <c r="F306" s="438">
        <f t="shared" si="2"/>
        <v>0</v>
      </c>
      <c r="G306" t="str">
        <f t="shared" si="3"/>
        <v/>
      </c>
      <c r="H306" t="b">
        <f t="shared" si="4"/>
        <v>0</v>
      </c>
      <c r="I306" s="439">
        <f>IF(OR(ISBLANK(A306),ISNA(MATCH(A306&amp;"",AthleteNumbers,0))),0,MATCH(A306&amp;"",AthleteNumbers,0))</f>
        <v>0</v>
      </c>
      <c r="J306" s="209">
        <f t="array" ref="J306">IF(I306&gt;0,INDEX(DB,$I306,6),0)</f>
        <v>0</v>
      </c>
      <c r="K306" s="446">
        <f t="shared" si="5"/>
        <v>0</v>
      </c>
      <c r="L306" s="446">
        <f t="shared" si="6"/>
        <v>0</v>
      </c>
      <c r="M306" s="441">
        <f>IF(L306&lt;O306,MinPoints,IF(AND(L306&gt;N306,O306&gt;0),100,+INT(($L306-O306)/P306)+MinPoints))</f>
        <v>10</v>
      </c>
      <c r="N306" s="440">
        <f t="shared" si="7"/>
        <v>50</v>
      </c>
      <c r="O306" s="440">
        <f t="shared" si="8"/>
        <v>5</v>
      </c>
      <c r="P306" s="440">
        <f t="shared" si="9"/>
        <v>0.5</v>
      </c>
      <c r="Q306">
        <f t="array" ref="Q306">IF(I306&gt;0,INDEX(DB,I306,9),EventIndex)</f>
        <v>6</v>
      </c>
      <c r="S306" s="442">
        <f t="array" ref="S306">INDEX(MINVALUES,$Q306,$K$1)</f>
        <v>5</v>
      </c>
      <c r="T306">
        <f t="array" ref="T306">INDEX(INCVALUES,$Q306,$K$1)</f>
        <v>0.5</v>
      </c>
      <c r="V306">
        <f t="array" ref="V306">+J306+(4*(INDEX(MatchScoreTable,$Q306,20)-1))</f>
        <v>4</v>
      </c>
      <c r="W306" s="442">
        <f t="array" ref="W306">INDEX(INC_MINVALUES,$V306,$K$1)</f>
        <v>2.5</v>
      </c>
      <c r="X306" s="212">
        <f t="array" ref="X306">INDEX(INC_INCVALUES,$V306,$K$1)</f>
        <v>0.5</v>
      </c>
    </row>
    <row r="307" ht="15.75" customHeight="1">
      <c r="A307" s="435"/>
      <c r="B307" s="436"/>
      <c r="C307" s="95" t="str">
        <f t="array" ref="C307">IF(I307&gt;0,INDEX(DB,I307,8),"")</f>
        <v/>
      </c>
      <c r="D307" s="437">
        <f t="shared" si="1"/>
        <v>0</v>
      </c>
      <c r="F307" s="438">
        <f t="shared" si="2"/>
        <v>0</v>
      </c>
      <c r="G307" t="str">
        <f t="shared" si="3"/>
        <v/>
      </c>
      <c r="H307" t="b">
        <f t="shared" si="4"/>
        <v>0</v>
      </c>
      <c r="I307" s="439">
        <f>IF(OR(ISBLANK(A307),ISNA(MATCH(A307&amp;"",AthleteNumbers,0))),0,MATCH(A307&amp;"",AthleteNumbers,0))</f>
        <v>0</v>
      </c>
      <c r="J307" s="209">
        <f t="array" ref="J307">IF(I307&gt;0,INDEX(DB,$I307,6),0)</f>
        <v>0</v>
      </c>
      <c r="K307" s="446">
        <f t="shared" si="5"/>
        <v>0</v>
      </c>
      <c r="L307" s="446">
        <f t="shared" si="6"/>
        <v>0</v>
      </c>
      <c r="M307" s="441">
        <f>IF(L307&lt;O307,MinPoints,IF(AND(L307&gt;N307,O307&gt;0),100,+INT(($L307-O307)/P307)+MinPoints))</f>
        <v>10</v>
      </c>
      <c r="N307" s="440">
        <f t="shared" si="7"/>
        <v>50</v>
      </c>
      <c r="O307" s="440">
        <f t="shared" si="8"/>
        <v>5</v>
      </c>
      <c r="P307" s="440">
        <f t="shared" si="9"/>
        <v>0.5</v>
      </c>
      <c r="Q307">
        <f t="array" ref="Q307">IF(I307&gt;0,INDEX(DB,I307,9),EventIndex)</f>
        <v>6</v>
      </c>
      <c r="S307" s="442">
        <f t="array" ref="S307">INDEX(MINVALUES,$Q307,$K$1)</f>
        <v>5</v>
      </c>
      <c r="T307">
        <f t="array" ref="T307">INDEX(INCVALUES,$Q307,$K$1)</f>
        <v>0.5</v>
      </c>
      <c r="V307">
        <f t="array" ref="V307">+J307+(4*(INDEX(MatchScoreTable,$Q307,20)-1))</f>
        <v>4</v>
      </c>
      <c r="W307" s="442">
        <f t="array" ref="W307">INDEX(INC_MINVALUES,$V307,$K$1)</f>
        <v>2.5</v>
      </c>
      <c r="X307" s="212">
        <f t="array" ref="X307">INDEX(INC_INCVALUES,$V307,$K$1)</f>
        <v>0.5</v>
      </c>
    </row>
    <row r="308" ht="15.75" customHeight="1">
      <c r="A308" s="435"/>
      <c r="B308" s="436"/>
      <c r="C308" s="95" t="str">
        <f t="array" ref="C308">IF(I308&gt;0,INDEX(DB,I308,8),"")</f>
        <v/>
      </c>
      <c r="D308" s="437">
        <f t="shared" si="1"/>
        <v>0</v>
      </c>
      <c r="F308" s="438">
        <f t="shared" si="2"/>
        <v>0</v>
      </c>
      <c r="G308" t="str">
        <f t="shared" si="3"/>
        <v/>
      </c>
      <c r="H308" t="b">
        <f t="shared" si="4"/>
        <v>0</v>
      </c>
      <c r="I308" s="439">
        <f>IF(OR(ISBLANK(A308),ISNA(MATCH(A308&amp;"",AthleteNumbers,0))),0,MATCH(A308&amp;"",AthleteNumbers,0))</f>
        <v>0</v>
      </c>
      <c r="J308" s="209">
        <f t="array" ref="J308">IF(I308&gt;0,INDEX(DB,$I308,6),0)</f>
        <v>0</v>
      </c>
      <c r="K308" s="446">
        <f t="shared" si="5"/>
        <v>0</v>
      </c>
      <c r="L308" s="446">
        <f t="shared" si="6"/>
        <v>0</v>
      </c>
      <c r="M308" s="441">
        <f>IF(L308&lt;O308,MinPoints,IF(AND(L308&gt;N308,O308&gt;0),100,+INT(($L308-O308)/P308)+MinPoints))</f>
        <v>10</v>
      </c>
      <c r="N308" s="440">
        <f t="shared" si="7"/>
        <v>50</v>
      </c>
      <c r="O308" s="440">
        <f t="shared" si="8"/>
        <v>5</v>
      </c>
      <c r="P308" s="440">
        <f t="shared" si="9"/>
        <v>0.5</v>
      </c>
      <c r="Q308">
        <f t="array" ref="Q308">IF(I308&gt;0,INDEX(DB,I308,9),EventIndex)</f>
        <v>6</v>
      </c>
      <c r="S308" s="442">
        <f t="array" ref="S308">INDEX(MINVALUES,$Q308,$K$1)</f>
        <v>5</v>
      </c>
      <c r="T308">
        <f t="array" ref="T308">INDEX(INCVALUES,$Q308,$K$1)</f>
        <v>0.5</v>
      </c>
      <c r="V308">
        <f t="array" ref="V308">+J308+(4*(INDEX(MatchScoreTable,$Q308,20)-1))</f>
        <v>4</v>
      </c>
      <c r="W308" s="442">
        <f t="array" ref="W308">INDEX(INC_MINVALUES,$V308,$K$1)</f>
        <v>2.5</v>
      </c>
      <c r="X308" s="212">
        <f t="array" ref="X308">INDEX(INC_INCVALUES,$V308,$K$1)</f>
        <v>0.5</v>
      </c>
    </row>
    <row r="309" ht="15.75" customHeight="1">
      <c r="A309" s="435"/>
      <c r="B309" s="436"/>
      <c r="C309" s="95" t="str">
        <f t="array" ref="C309">IF(I309&gt;0,INDEX(DB,I309,8),"")</f>
        <v/>
      </c>
      <c r="D309" s="437">
        <f t="shared" si="1"/>
        <v>0</v>
      </c>
      <c r="F309" s="438">
        <f t="shared" si="2"/>
        <v>0</v>
      </c>
      <c r="G309" t="str">
        <f t="shared" si="3"/>
        <v/>
      </c>
      <c r="H309" t="b">
        <f t="shared" si="4"/>
        <v>0</v>
      </c>
      <c r="I309" s="439">
        <f>IF(OR(ISBLANK(A309),ISNA(MATCH(A309&amp;"",AthleteNumbers,0))),0,MATCH(A309&amp;"",AthleteNumbers,0))</f>
        <v>0</v>
      </c>
      <c r="J309" s="209">
        <f t="array" ref="J309">IF(I309&gt;0,INDEX(DB,$I309,6),0)</f>
        <v>0</v>
      </c>
      <c r="K309" s="446">
        <f t="shared" si="5"/>
        <v>0</v>
      </c>
      <c r="L309" s="446">
        <f t="shared" si="6"/>
        <v>0</v>
      </c>
      <c r="M309" s="441">
        <f>IF(L309&lt;O309,MinPoints,IF(AND(L309&gt;N309,O309&gt;0),100,+INT(($L309-O309)/P309)+MinPoints))</f>
        <v>10</v>
      </c>
      <c r="N309" s="440">
        <f t="shared" si="7"/>
        <v>50</v>
      </c>
      <c r="O309" s="440">
        <f t="shared" si="8"/>
        <v>5</v>
      </c>
      <c r="P309" s="440">
        <f t="shared" si="9"/>
        <v>0.5</v>
      </c>
      <c r="Q309">
        <f t="array" ref="Q309">IF(I309&gt;0,INDEX(DB,I309,9),EventIndex)</f>
        <v>6</v>
      </c>
      <c r="S309" s="442">
        <f t="array" ref="S309">INDEX(MINVALUES,$Q309,$K$1)</f>
        <v>5</v>
      </c>
      <c r="T309">
        <f t="array" ref="T309">INDEX(INCVALUES,$Q309,$K$1)</f>
        <v>0.5</v>
      </c>
      <c r="V309">
        <f t="array" ref="V309">+J309+(4*(INDEX(MatchScoreTable,$Q309,20)-1))</f>
        <v>4</v>
      </c>
      <c r="W309" s="442">
        <f t="array" ref="W309">INDEX(INC_MINVALUES,$V309,$K$1)</f>
        <v>2.5</v>
      </c>
      <c r="X309" s="212">
        <f t="array" ref="X309">INDEX(INC_INCVALUES,$V309,$K$1)</f>
        <v>0.5</v>
      </c>
    </row>
    <row r="310" ht="15.75" customHeight="1">
      <c r="A310" s="435"/>
      <c r="B310" s="436"/>
      <c r="C310" s="95" t="str">
        <f t="array" ref="C310">IF(I310&gt;0,INDEX(DB,I310,8),"")</f>
        <v/>
      </c>
      <c r="D310" s="437">
        <f t="shared" si="1"/>
        <v>0</v>
      </c>
      <c r="F310" s="438">
        <f t="shared" si="2"/>
        <v>0</v>
      </c>
      <c r="G310" t="str">
        <f t="shared" si="3"/>
        <v/>
      </c>
      <c r="H310" t="b">
        <f t="shared" si="4"/>
        <v>0</v>
      </c>
      <c r="I310" s="439">
        <f>IF(OR(ISBLANK(A310),ISNA(MATCH(A310&amp;"",AthleteNumbers,0))),0,MATCH(A310&amp;"",AthleteNumbers,0))</f>
        <v>0</v>
      </c>
      <c r="J310" s="209">
        <f t="array" ref="J310">IF(I310&gt;0,INDEX(DB,$I310,6),0)</f>
        <v>0</v>
      </c>
      <c r="K310" s="446">
        <f t="shared" si="5"/>
        <v>0</v>
      </c>
      <c r="L310" s="446">
        <f t="shared" si="6"/>
        <v>0</v>
      </c>
      <c r="M310" s="441">
        <f>IF(L310&lt;O310,MinPoints,IF(AND(L310&gt;N310,O310&gt;0),100,+INT(($L310-O310)/P310)+MinPoints))</f>
        <v>10</v>
      </c>
      <c r="N310" s="440">
        <f t="shared" si="7"/>
        <v>50</v>
      </c>
      <c r="O310" s="440">
        <f t="shared" si="8"/>
        <v>5</v>
      </c>
      <c r="P310" s="440">
        <f t="shared" si="9"/>
        <v>0.5</v>
      </c>
      <c r="Q310">
        <f t="array" ref="Q310">IF(I310&gt;0,INDEX(DB,I310,9),EventIndex)</f>
        <v>6</v>
      </c>
      <c r="S310" s="442">
        <f t="array" ref="S310">INDEX(MINVALUES,$Q310,$K$1)</f>
        <v>5</v>
      </c>
      <c r="T310">
        <f t="array" ref="T310">INDEX(INCVALUES,$Q310,$K$1)</f>
        <v>0.5</v>
      </c>
      <c r="V310">
        <f t="array" ref="V310">+J310+(4*(INDEX(MatchScoreTable,$Q310,20)-1))</f>
        <v>4</v>
      </c>
      <c r="W310" s="442">
        <f t="array" ref="W310">INDEX(INC_MINVALUES,$V310,$K$1)</f>
        <v>2.5</v>
      </c>
      <c r="X310" s="212">
        <f t="array" ref="X310">INDEX(INC_INCVALUES,$V310,$K$1)</f>
        <v>0.5</v>
      </c>
    </row>
    <row r="311" ht="15.75" customHeight="1">
      <c r="A311" s="435"/>
      <c r="B311" s="436"/>
      <c r="C311" s="95" t="str">
        <f t="array" ref="C311">IF(I311&gt;0,INDEX(DB,I311,8),"")</f>
        <v/>
      </c>
      <c r="D311" s="437">
        <f t="shared" si="1"/>
        <v>0</v>
      </c>
      <c r="F311" s="438">
        <f t="shared" si="2"/>
        <v>0</v>
      </c>
      <c r="G311" t="str">
        <f t="shared" si="3"/>
        <v/>
      </c>
      <c r="H311" t="b">
        <f t="shared" si="4"/>
        <v>0</v>
      </c>
      <c r="I311" s="439">
        <f>IF(OR(ISBLANK(A311),ISNA(MATCH(A311&amp;"",AthleteNumbers,0))),0,MATCH(A311&amp;"",AthleteNumbers,0))</f>
        <v>0</v>
      </c>
      <c r="J311" s="209">
        <f t="array" ref="J311">IF(I311&gt;0,INDEX(DB,$I311,6),0)</f>
        <v>0</v>
      </c>
      <c r="K311" s="446">
        <f t="shared" si="5"/>
        <v>0</v>
      </c>
      <c r="L311" s="446">
        <f t="shared" si="6"/>
        <v>0</v>
      </c>
      <c r="M311" s="441">
        <f>IF(L311&lt;O311,MinPoints,IF(AND(L311&gt;N311,O311&gt;0),100,+INT(($L311-O311)/P311)+MinPoints))</f>
        <v>10</v>
      </c>
      <c r="N311" s="440">
        <f t="shared" si="7"/>
        <v>50</v>
      </c>
      <c r="O311" s="440">
        <f t="shared" si="8"/>
        <v>5</v>
      </c>
      <c r="P311" s="440">
        <f t="shared" si="9"/>
        <v>0.5</v>
      </c>
      <c r="Q311">
        <f t="array" ref="Q311">IF(I311&gt;0,INDEX(DB,I311,9),EventIndex)</f>
        <v>6</v>
      </c>
      <c r="S311" s="442">
        <f t="array" ref="S311">INDEX(MINVALUES,$Q311,$K$1)</f>
        <v>5</v>
      </c>
      <c r="T311">
        <f t="array" ref="T311">INDEX(INCVALUES,$Q311,$K$1)</f>
        <v>0.5</v>
      </c>
      <c r="V311">
        <f t="array" ref="V311">+J311+(4*(INDEX(MatchScoreTable,$Q311,20)-1))</f>
        <v>4</v>
      </c>
      <c r="W311" s="442">
        <f t="array" ref="W311">INDEX(INC_MINVALUES,$V311,$K$1)</f>
        <v>2.5</v>
      </c>
      <c r="X311" s="212">
        <f t="array" ref="X311">INDEX(INC_INCVALUES,$V311,$K$1)</f>
        <v>0.5</v>
      </c>
    </row>
    <row r="312" ht="15.75" customHeight="1">
      <c r="A312" s="435"/>
      <c r="B312" s="436"/>
      <c r="C312" s="95" t="str">
        <f t="array" ref="C312">IF(I312&gt;0,INDEX(DB,I312,8),"")</f>
        <v/>
      </c>
      <c r="D312" s="437">
        <f t="shared" si="1"/>
        <v>0</v>
      </c>
      <c r="F312" s="438">
        <f t="shared" si="2"/>
        <v>0</v>
      </c>
      <c r="G312" t="str">
        <f t="shared" si="3"/>
        <v/>
      </c>
      <c r="H312" t="b">
        <f t="shared" si="4"/>
        <v>0</v>
      </c>
      <c r="I312" s="439">
        <f>IF(OR(ISBLANK(A312),ISNA(MATCH(A312&amp;"",AthleteNumbers,0))),0,MATCH(A312&amp;"",AthleteNumbers,0))</f>
        <v>0</v>
      </c>
      <c r="J312" s="209">
        <f t="array" ref="J312">IF(I312&gt;0,INDEX(DB,$I312,6),0)</f>
        <v>0</v>
      </c>
      <c r="K312" s="446">
        <f t="shared" si="5"/>
        <v>0</v>
      </c>
      <c r="L312" s="446">
        <f t="shared" si="6"/>
        <v>0</v>
      </c>
      <c r="M312" s="441">
        <f>IF(L312&lt;O312,MinPoints,IF(AND(L312&gt;N312,O312&gt;0),100,+INT(($L312-O312)/P312)+MinPoints))</f>
        <v>10</v>
      </c>
      <c r="N312" s="440">
        <f t="shared" si="7"/>
        <v>50</v>
      </c>
      <c r="O312" s="440">
        <f t="shared" si="8"/>
        <v>5</v>
      </c>
      <c r="P312" s="440">
        <f t="shared" si="9"/>
        <v>0.5</v>
      </c>
      <c r="Q312">
        <f t="array" ref="Q312">IF(I312&gt;0,INDEX(DB,I312,9),EventIndex)</f>
        <v>6</v>
      </c>
      <c r="S312" s="442">
        <f t="array" ref="S312">INDEX(MINVALUES,$Q312,$K$1)</f>
        <v>5</v>
      </c>
      <c r="T312">
        <f t="array" ref="T312">INDEX(INCVALUES,$Q312,$K$1)</f>
        <v>0.5</v>
      </c>
      <c r="V312">
        <f t="array" ref="V312">+J312+(4*(INDEX(MatchScoreTable,$Q312,20)-1))</f>
        <v>4</v>
      </c>
      <c r="W312" s="442">
        <f t="array" ref="W312">INDEX(INC_MINVALUES,$V312,$K$1)</f>
        <v>2.5</v>
      </c>
      <c r="X312" s="212">
        <f t="array" ref="X312">INDEX(INC_INCVALUES,$V312,$K$1)</f>
        <v>0.5</v>
      </c>
    </row>
    <row r="313" ht="15.75" customHeight="1">
      <c r="A313" s="435"/>
      <c r="B313" s="436"/>
      <c r="C313" s="95" t="str">
        <f t="array" ref="C313">IF(I313&gt;0,INDEX(DB,I313,8),"")</f>
        <v/>
      </c>
      <c r="D313" s="437">
        <f t="shared" si="1"/>
        <v>0</v>
      </c>
      <c r="F313" s="438">
        <f t="shared" si="2"/>
        <v>0</v>
      </c>
      <c r="G313" t="str">
        <f t="shared" si="3"/>
        <v/>
      </c>
      <c r="H313" t="b">
        <f t="shared" si="4"/>
        <v>0</v>
      </c>
      <c r="I313" s="439">
        <f>IF(OR(ISBLANK(A313),ISNA(MATCH(A313&amp;"",AthleteNumbers,0))),0,MATCH(A313&amp;"",AthleteNumbers,0))</f>
        <v>0</v>
      </c>
      <c r="J313" s="209">
        <f t="array" ref="J313">IF(I313&gt;0,INDEX(DB,$I313,6),0)</f>
        <v>0</v>
      </c>
      <c r="K313" s="446">
        <f t="shared" si="5"/>
        <v>0</v>
      </c>
      <c r="L313" s="446">
        <f t="shared" si="6"/>
        <v>0</v>
      </c>
      <c r="M313" s="441">
        <f>IF(L313&lt;O313,MinPoints,IF(AND(L313&gt;N313,O313&gt;0),100,+INT(($L313-O313)/P313)+MinPoints))</f>
        <v>10</v>
      </c>
      <c r="N313" s="440">
        <f t="shared" si="7"/>
        <v>50</v>
      </c>
      <c r="O313" s="440">
        <f t="shared" si="8"/>
        <v>5</v>
      </c>
      <c r="P313" s="440">
        <f t="shared" si="9"/>
        <v>0.5</v>
      </c>
      <c r="Q313">
        <f t="array" ref="Q313">IF(I313&gt;0,INDEX(DB,I313,9),EventIndex)</f>
        <v>6</v>
      </c>
      <c r="S313" s="442">
        <f t="array" ref="S313">INDEX(MINVALUES,$Q313,$K$1)</f>
        <v>5</v>
      </c>
      <c r="T313">
        <f t="array" ref="T313">INDEX(INCVALUES,$Q313,$K$1)</f>
        <v>0.5</v>
      </c>
      <c r="V313">
        <f t="array" ref="V313">+J313+(4*(INDEX(MatchScoreTable,$Q313,20)-1))</f>
        <v>4</v>
      </c>
      <c r="W313" s="442">
        <f t="array" ref="W313">INDEX(INC_MINVALUES,$V313,$K$1)</f>
        <v>2.5</v>
      </c>
      <c r="X313" s="212">
        <f t="array" ref="X313">INDEX(INC_INCVALUES,$V313,$K$1)</f>
        <v>0.5</v>
      </c>
    </row>
    <row r="314" ht="15.75" customHeight="1">
      <c r="A314" s="435"/>
      <c r="B314" s="436"/>
      <c r="C314" s="95" t="str">
        <f t="array" ref="C314">IF(I314&gt;0,INDEX(DB,I314,8),"")</f>
        <v/>
      </c>
      <c r="D314" s="437">
        <f t="shared" si="1"/>
        <v>0</v>
      </c>
      <c r="F314" s="438">
        <f t="shared" si="2"/>
        <v>0</v>
      </c>
      <c r="G314" t="str">
        <f t="shared" si="3"/>
        <v/>
      </c>
      <c r="H314" t="b">
        <f t="shared" si="4"/>
        <v>0</v>
      </c>
      <c r="I314" s="439">
        <f>IF(OR(ISBLANK(A314),ISNA(MATCH(A314&amp;"",AthleteNumbers,0))),0,MATCH(A314&amp;"",AthleteNumbers,0))</f>
        <v>0</v>
      </c>
      <c r="J314" s="209">
        <f t="array" ref="J314">IF(I314&gt;0,INDEX(DB,$I314,6),0)</f>
        <v>0</v>
      </c>
      <c r="K314" s="446">
        <f t="shared" si="5"/>
        <v>0</v>
      </c>
      <c r="L314" s="446">
        <f t="shared" si="6"/>
        <v>0</v>
      </c>
      <c r="M314" s="441">
        <f>IF(L314&lt;O314,MinPoints,IF(AND(L314&gt;N314,O314&gt;0),100,+INT(($L314-O314)/P314)+MinPoints))</f>
        <v>10</v>
      </c>
      <c r="N314" s="440">
        <f t="shared" si="7"/>
        <v>50</v>
      </c>
      <c r="O314" s="440">
        <f t="shared" si="8"/>
        <v>5</v>
      </c>
      <c r="P314" s="440">
        <f t="shared" si="9"/>
        <v>0.5</v>
      </c>
      <c r="Q314">
        <f t="array" ref="Q314">IF(I314&gt;0,INDEX(DB,I314,9),EventIndex)</f>
        <v>6</v>
      </c>
      <c r="S314" s="442">
        <f t="array" ref="S314">INDEX(MINVALUES,$Q314,$K$1)</f>
        <v>5</v>
      </c>
      <c r="T314">
        <f t="array" ref="T314">INDEX(INCVALUES,$Q314,$K$1)</f>
        <v>0.5</v>
      </c>
      <c r="V314">
        <f t="array" ref="V314">+J314+(4*(INDEX(MatchScoreTable,$Q314,20)-1))</f>
        <v>4</v>
      </c>
      <c r="W314" s="442">
        <f t="array" ref="W314">INDEX(INC_MINVALUES,$V314,$K$1)</f>
        <v>2.5</v>
      </c>
      <c r="X314" s="212">
        <f t="array" ref="X314">INDEX(INC_INCVALUES,$V314,$K$1)</f>
        <v>0.5</v>
      </c>
    </row>
    <row r="315" ht="15.75" customHeight="1">
      <c r="A315" s="435"/>
      <c r="B315" s="436"/>
      <c r="C315" s="95" t="str">
        <f t="array" ref="C315">IF(I315&gt;0,INDEX(DB,I315,8),"")</f>
        <v/>
      </c>
      <c r="D315" s="437">
        <f t="shared" si="1"/>
        <v>0</v>
      </c>
      <c r="F315" s="438">
        <f t="shared" si="2"/>
        <v>0</v>
      </c>
      <c r="G315" t="str">
        <f t="shared" si="3"/>
        <v/>
      </c>
      <c r="H315" t="b">
        <f t="shared" si="4"/>
        <v>0</v>
      </c>
      <c r="I315" s="439">
        <f>IF(OR(ISBLANK(A315),ISNA(MATCH(A315&amp;"",AthleteNumbers,0))),0,MATCH(A315&amp;"",AthleteNumbers,0))</f>
        <v>0</v>
      </c>
      <c r="J315" s="209">
        <f t="array" ref="J315">IF(I315&gt;0,INDEX(DB,$I315,6),0)</f>
        <v>0</v>
      </c>
      <c r="K315" s="446">
        <f t="shared" si="5"/>
        <v>0</v>
      </c>
      <c r="L315" s="446">
        <f t="shared" si="6"/>
        <v>0</v>
      </c>
      <c r="M315" s="441">
        <f>IF(L315&lt;O315,MinPoints,IF(AND(L315&gt;N315,O315&gt;0),100,+INT(($L315-O315)/P315)+MinPoints))</f>
        <v>10</v>
      </c>
      <c r="N315" s="440">
        <f t="shared" si="7"/>
        <v>50</v>
      </c>
      <c r="O315" s="440">
        <f t="shared" si="8"/>
        <v>5</v>
      </c>
      <c r="P315" s="440">
        <f t="shared" si="9"/>
        <v>0.5</v>
      </c>
      <c r="Q315">
        <f t="array" ref="Q315">IF(I315&gt;0,INDEX(DB,I315,9),EventIndex)</f>
        <v>6</v>
      </c>
      <c r="S315" s="442">
        <f t="array" ref="S315">INDEX(MINVALUES,$Q315,$K$1)</f>
        <v>5</v>
      </c>
      <c r="T315">
        <f t="array" ref="T315">INDEX(INCVALUES,$Q315,$K$1)</f>
        <v>0.5</v>
      </c>
      <c r="V315">
        <f t="array" ref="V315">+J315+(4*(INDEX(MatchScoreTable,$Q315,20)-1))</f>
        <v>4</v>
      </c>
      <c r="W315" s="442">
        <f t="array" ref="W315">INDEX(INC_MINVALUES,$V315,$K$1)</f>
        <v>2.5</v>
      </c>
      <c r="X315" s="212">
        <f t="array" ref="X315">INDEX(INC_INCVALUES,$V315,$K$1)</f>
        <v>0.5</v>
      </c>
    </row>
    <row r="316" ht="15.75" customHeight="1">
      <c r="A316" s="435"/>
      <c r="B316" s="436"/>
      <c r="C316" s="95" t="str">
        <f t="array" ref="C316">IF(I316&gt;0,INDEX(DB,I316,8),"")</f>
        <v/>
      </c>
      <c r="D316" s="437">
        <f t="shared" si="1"/>
        <v>0</v>
      </c>
      <c r="F316" s="438">
        <f t="shared" si="2"/>
        <v>0</v>
      </c>
      <c r="G316" t="str">
        <f t="shared" si="3"/>
        <v/>
      </c>
      <c r="H316" t="b">
        <f t="shared" si="4"/>
        <v>0</v>
      </c>
      <c r="I316" s="439">
        <f>IF(OR(ISBLANK(A316),ISNA(MATCH(A316&amp;"",AthleteNumbers,0))),0,MATCH(A316&amp;"",AthleteNumbers,0))</f>
        <v>0</v>
      </c>
      <c r="J316" s="209">
        <f t="array" ref="J316">IF(I316&gt;0,INDEX(DB,$I316,6),0)</f>
        <v>0</v>
      </c>
      <c r="K316" s="446">
        <f t="shared" si="5"/>
        <v>0</v>
      </c>
      <c r="L316" s="446">
        <f t="shared" si="6"/>
        <v>0</v>
      </c>
      <c r="M316" s="441">
        <f>IF(L316&lt;O316,MinPoints,IF(AND(L316&gt;N316,O316&gt;0),100,+INT(($L316-O316)/P316)+MinPoints))</f>
        <v>10</v>
      </c>
      <c r="N316" s="440">
        <f t="shared" si="7"/>
        <v>50</v>
      </c>
      <c r="O316" s="440">
        <f t="shared" si="8"/>
        <v>5</v>
      </c>
      <c r="P316" s="440">
        <f t="shared" si="9"/>
        <v>0.5</v>
      </c>
      <c r="Q316">
        <f t="array" ref="Q316">IF(I316&gt;0,INDEX(DB,I316,9),EventIndex)</f>
        <v>6</v>
      </c>
      <c r="S316" s="442">
        <f t="array" ref="S316">INDEX(MINVALUES,$Q316,$K$1)</f>
        <v>5</v>
      </c>
      <c r="T316">
        <f t="array" ref="T316">INDEX(INCVALUES,$Q316,$K$1)</f>
        <v>0.5</v>
      </c>
      <c r="V316">
        <f t="array" ref="V316">+J316+(4*(INDEX(MatchScoreTable,$Q316,20)-1))</f>
        <v>4</v>
      </c>
      <c r="W316" s="442">
        <f t="array" ref="W316">INDEX(INC_MINVALUES,$V316,$K$1)</f>
        <v>2.5</v>
      </c>
      <c r="X316" s="212">
        <f t="array" ref="X316">INDEX(INC_INCVALUES,$V316,$K$1)</f>
        <v>0.5</v>
      </c>
    </row>
    <row r="317" ht="15.75" customHeight="1">
      <c r="A317" s="435"/>
      <c r="B317" s="436"/>
      <c r="C317" s="95" t="str">
        <f t="array" ref="C317">IF(I317&gt;0,INDEX(DB,I317,8),"")</f>
        <v/>
      </c>
      <c r="D317" s="437">
        <f t="shared" si="1"/>
        <v>0</v>
      </c>
      <c r="F317" s="438">
        <f t="shared" si="2"/>
        <v>0</v>
      </c>
      <c r="G317" t="str">
        <f t="shared" si="3"/>
        <v/>
      </c>
      <c r="H317" t="b">
        <f t="shared" si="4"/>
        <v>0</v>
      </c>
      <c r="I317" s="439">
        <f>IF(OR(ISBLANK(A317),ISNA(MATCH(A317&amp;"",AthleteNumbers,0))),0,MATCH(A317&amp;"",AthleteNumbers,0))</f>
        <v>0</v>
      </c>
      <c r="J317" s="209">
        <f t="array" ref="J317">IF(I317&gt;0,INDEX(DB,$I317,6),0)</f>
        <v>0</v>
      </c>
      <c r="K317" s="446">
        <f t="shared" si="5"/>
        <v>0</v>
      </c>
      <c r="L317" s="446">
        <f t="shared" si="6"/>
        <v>0</v>
      </c>
      <c r="M317" s="441">
        <f>IF(L317&lt;O317,MinPoints,IF(AND(L317&gt;N317,O317&gt;0),100,+INT(($L317-O317)/P317)+MinPoints))</f>
        <v>10</v>
      </c>
      <c r="N317" s="440">
        <f t="shared" si="7"/>
        <v>50</v>
      </c>
      <c r="O317" s="440">
        <f t="shared" si="8"/>
        <v>5</v>
      </c>
      <c r="P317" s="440">
        <f t="shared" si="9"/>
        <v>0.5</v>
      </c>
      <c r="Q317">
        <f t="array" ref="Q317">IF(I317&gt;0,INDEX(DB,I317,9),EventIndex)</f>
        <v>6</v>
      </c>
      <c r="S317" s="442">
        <f t="array" ref="S317">INDEX(MINVALUES,$Q317,$K$1)</f>
        <v>5</v>
      </c>
      <c r="T317">
        <f t="array" ref="T317">INDEX(INCVALUES,$Q317,$K$1)</f>
        <v>0.5</v>
      </c>
      <c r="V317">
        <f t="array" ref="V317">+J317+(4*(INDEX(MatchScoreTable,$Q317,20)-1))</f>
        <v>4</v>
      </c>
      <c r="W317" s="442">
        <f t="array" ref="W317">INDEX(INC_MINVALUES,$V317,$K$1)</f>
        <v>2.5</v>
      </c>
      <c r="X317" s="212">
        <f t="array" ref="X317">INDEX(INC_INCVALUES,$V317,$K$1)</f>
        <v>0.5</v>
      </c>
    </row>
    <row r="318" ht="15.75" customHeight="1">
      <c r="A318" s="435"/>
      <c r="B318" s="436"/>
      <c r="C318" s="95" t="str">
        <f t="array" ref="C318">IF(I318&gt;0,INDEX(DB,I318,8),"")</f>
        <v/>
      </c>
      <c r="D318" s="437">
        <f t="shared" si="1"/>
        <v>0</v>
      </c>
      <c r="F318" s="438">
        <f t="shared" si="2"/>
        <v>0</v>
      </c>
      <c r="G318" t="str">
        <f t="shared" si="3"/>
        <v/>
      </c>
      <c r="H318" t="b">
        <f t="shared" si="4"/>
        <v>0</v>
      </c>
      <c r="I318" s="439">
        <f>IF(OR(ISBLANK(A318),ISNA(MATCH(A318&amp;"",AthleteNumbers,0))),0,MATCH(A318&amp;"",AthleteNumbers,0))</f>
        <v>0</v>
      </c>
      <c r="J318" s="209">
        <f t="array" ref="J318">IF(I318&gt;0,INDEX(DB,$I318,6),0)</f>
        <v>0</v>
      </c>
      <c r="K318" s="446">
        <f t="shared" si="5"/>
        <v>0</v>
      </c>
      <c r="L318" s="446">
        <f t="shared" si="6"/>
        <v>0</v>
      </c>
      <c r="M318" s="441">
        <f>IF(L318&lt;O318,MinPoints,IF(AND(L318&gt;N318,O318&gt;0),100,+INT(($L318-O318)/P318)+MinPoints))</f>
        <v>10</v>
      </c>
      <c r="N318" s="440">
        <f t="shared" si="7"/>
        <v>50</v>
      </c>
      <c r="O318" s="440">
        <f t="shared" si="8"/>
        <v>5</v>
      </c>
      <c r="P318" s="440">
        <f t="shared" si="9"/>
        <v>0.5</v>
      </c>
      <c r="Q318">
        <f t="array" ref="Q318">IF(I318&gt;0,INDEX(DB,I318,9),EventIndex)</f>
        <v>6</v>
      </c>
      <c r="S318" s="442">
        <f t="array" ref="S318">INDEX(MINVALUES,$Q318,$K$1)</f>
        <v>5</v>
      </c>
      <c r="T318">
        <f t="array" ref="T318">INDEX(INCVALUES,$Q318,$K$1)</f>
        <v>0.5</v>
      </c>
      <c r="V318">
        <f t="array" ref="V318">+J318+(4*(INDEX(MatchScoreTable,$Q318,20)-1))</f>
        <v>4</v>
      </c>
      <c r="W318" s="442">
        <f t="array" ref="W318">INDEX(INC_MINVALUES,$V318,$K$1)</f>
        <v>2.5</v>
      </c>
      <c r="X318" s="212">
        <f t="array" ref="X318">INDEX(INC_INCVALUES,$V318,$K$1)</f>
        <v>0.5</v>
      </c>
    </row>
    <row r="319" ht="15.75" customHeight="1">
      <c r="A319" s="435"/>
      <c r="B319" s="436"/>
      <c r="C319" s="95" t="str">
        <f t="array" ref="C319">IF(I319&gt;0,INDEX(DB,I319,8),"")</f>
        <v/>
      </c>
      <c r="D319" s="437">
        <f t="shared" si="1"/>
        <v>0</v>
      </c>
      <c r="F319" s="438">
        <f t="shared" si="2"/>
        <v>0</v>
      </c>
      <c r="G319" t="str">
        <f t="shared" si="3"/>
        <v/>
      </c>
      <c r="H319" t="b">
        <f t="shared" si="4"/>
        <v>0</v>
      </c>
      <c r="I319" s="439">
        <f>IF(OR(ISBLANK(A319),ISNA(MATCH(A319&amp;"",AthleteNumbers,0))),0,MATCH(A319&amp;"",AthleteNumbers,0))</f>
        <v>0</v>
      </c>
      <c r="J319" s="209">
        <f t="array" ref="J319">IF(I319&gt;0,INDEX(DB,$I319,6),0)</f>
        <v>0</v>
      </c>
      <c r="K319" s="446">
        <f t="shared" si="5"/>
        <v>0</v>
      </c>
      <c r="L319" s="446">
        <f t="shared" si="6"/>
        <v>0</v>
      </c>
      <c r="M319" s="441">
        <f>IF(L319&lt;O319,MinPoints,IF(AND(L319&gt;N319,O319&gt;0),100,+INT(($L319-O319)/P319)+MinPoints))</f>
        <v>10</v>
      </c>
      <c r="N319" s="440">
        <f t="shared" si="7"/>
        <v>50</v>
      </c>
      <c r="O319" s="440">
        <f t="shared" si="8"/>
        <v>5</v>
      </c>
      <c r="P319" s="440">
        <f t="shared" si="9"/>
        <v>0.5</v>
      </c>
      <c r="Q319">
        <f t="array" ref="Q319">IF(I319&gt;0,INDEX(DB,I319,9),EventIndex)</f>
        <v>6</v>
      </c>
      <c r="S319" s="442">
        <f t="array" ref="S319">INDEX(MINVALUES,$Q319,$K$1)</f>
        <v>5</v>
      </c>
      <c r="T319">
        <f t="array" ref="T319">INDEX(INCVALUES,$Q319,$K$1)</f>
        <v>0.5</v>
      </c>
      <c r="V319">
        <f t="array" ref="V319">+J319+(4*(INDEX(MatchScoreTable,$Q319,20)-1))</f>
        <v>4</v>
      </c>
      <c r="W319" s="442">
        <f t="array" ref="W319">INDEX(INC_MINVALUES,$V319,$K$1)</f>
        <v>2.5</v>
      </c>
      <c r="X319" s="212">
        <f t="array" ref="X319">INDEX(INC_INCVALUES,$V319,$K$1)</f>
        <v>0.5</v>
      </c>
    </row>
    <row r="320" ht="15.75" customHeight="1">
      <c r="A320" s="435"/>
      <c r="B320" s="436"/>
      <c r="C320" s="95" t="str">
        <f t="array" ref="C320">IF(I320&gt;0,INDEX(DB,I320,8),"")</f>
        <v/>
      </c>
      <c r="D320" s="437">
        <f t="shared" si="1"/>
        <v>0</v>
      </c>
      <c r="F320" s="438">
        <f t="shared" si="2"/>
        <v>0</v>
      </c>
      <c r="G320" t="str">
        <f t="shared" si="3"/>
        <v/>
      </c>
      <c r="H320" t="b">
        <f t="shared" si="4"/>
        <v>0</v>
      </c>
      <c r="I320" s="439">
        <f>IF(OR(ISBLANK(A320),ISNA(MATCH(A320&amp;"",AthleteNumbers,0))),0,MATCH(A320&amp;"",AthleteNumbers,0))</f>
        <v>0</v>
      </c>
      <c r="J320" s="209">
        <f t="array" ref="J320">IF(I320&gt;0,INDEX(DB,$I320,6),0)</f>
        <v>0</v>
      </c>
      <c r="K320" s="446">
        <f t="shared" si="5"/>
        <v>0</v>
      </c>
      <c r="L320" s="446">
        <f t="shared" si="6"/>
        <v>0</v>
      </c>
      <c r="M320" s="441">
        <f>IF(L320&lt;O320,MinPoints,IF(AND(L320&gt;N320,O320&gt;0),100,+INT(($L320-O320)/P320)+MinPoints))</f>
        <v>10</v>
      </c>
      <c r="N320" s="440">
        <f t="shared" si="7"/>
        <v>50</v>
      </c>
      <c r="O320" s="440">
        <f t="shared" si="8"/>
        <v>5</v>
      </c>
      <c r="P320" s="440">
        <f t="shared" si="9"/>
        <v>0.5</v>
      </c>
      <c r="Q320">
        <f t="array" ref="Q320">IF(I320&gt;0,INDEX(DB,I320,9),EventIndex)</f>
        <v>6</v>
      </c>
      <c r="S320" s="442">
        <f t="array" ref="S320">INDEX(MINVALUES,$Q320,$K$1)</f>
        <v>5</v>
      </c>
      <c r="T320">
        <f t="array" ref="T320">INDEX(INCVALUES,$Q320,$K$1)</f>
        <v>0.5</v>
      </c>
      <c r="V320">
        <f t="array" ref="V320">+J320+(4*(INDEX(MatchScoreTable,$Q320,20)-1))</f>
        <v>4</v>
      </c>
      <c r="W320" s="442">
        <f t="array" ref="W320">INDEX(INC_MINVALUES,$V320,$K$1)</f>
        <v>2.5</v>
      </c>
      <c r="X320" s="212">
        <f t="array" ref="X320">INDEX(INC_INCVALUES,$V320,$K$1)</f>
        <v>0.5</v>
      </c>
    </row>
    <row r="321" ht="15.75" customHeight="1">
      <c r="A321" s="435"/>
      <c r="B321" s="436"/>
      <c r="C321" s="95" t="str">
        <f t="array" ref="C321">IF(I321&gt;0,INDEX(DB,I321,8),"")</f>
        <v/>
      </c>
      <c r="D321" s="437">
        <f t="shared" si="1"/>
        <v>0</v>
      </c>
      <c r="F321" s="438">
        <f t="shared" si="2"/>
        <v>0</v>
      </c>
      <c r="G321" t="str">
        <f t="shared" si="3"/>
        <v/>
      </c>
      <c r="H321" t="b">
        <f t="shared" si="4"/>
        <v>0</v>
      </c>
      <c r="I321" s="439">
        <f>IF(OR(ISBLANK(A321),ISNA(MATCH(A321&amp;"",AthleteNumbers,0))),0,MATCH(A321&amp;"",AthleteNumbers,0))</f>
        <v>0</v>
      </c>
      <c r="J321" s="209">
        <f t="array" ref="J321">IF(I321&gt;0,INDEX(DB,$I321,6),0)</f>
        <v>0</v>
      </c>
      <c r="K321" s="446">
        <f t="shared" si="5"/>
        <v>0</v>
      </c>
      <c r="L321" s="446">
        <f t="shared" si="6"/>
        <v>0</v>
      </c>
      <c r="M321" s="441">
        <f>IF(L321&lt;O321,MinPoints,IF(AND(L321&gt;N321,O321&gt;0),100,+INT(($L321-O321)/P321)+MinPoints))</f>
        <v>10</v>
      </c>
      <c r="N321" s="440">
        <f t="shared" si="7"/>
        <v>50</v>
      </c>
      <c r="O321" s="440">
        <f t="shared" si="8"/>
        <v>5</v>
      </c>
      <c r="P321" s="440">
        <f t="shared" si="9"/>
        <v>0.5</v>
      </c>
      <c r="Q321">
        <f t="array" ref="Q321">IF(I321&gt;0,INDEX(DB,I321,9),EventIndex)</f>
        <v>6</v>
      </c>
      <c r="S321" s="442">
        <f t="array" ref="S321">INDEX(MINVALUES,$Q321,$K$1)</f>
        <v>5</v>
      </c>
      <c r="T321">
        <f t="array" ref="T321">INDEX(INCVALUES,$Q321,$K$1)</f>
        <v>0.5</v>
      </c>
      <c r="V321">
        <f t="array" ref="V321">+J321+(4*(INDEX(MatchScoreTable,$Q321,20)-1))</f>
        <v>4</v>
      </c>
      <c r="W321" s="442">
        <f t="array" ref="W321">INDEX(INC_MINVALUES,$V321,$K$1)</f>
        <v>2.5</v>
      </c>
      <c r="X321" s="212">
        <f t="array" ref="X321">INDEX(INC_INCVALUES,$V321,$K$1)</f>
        <v>0.5</v>
      </c>
    </row>
    <row r="322" ht="15.75" customHeight="1">
      <c r="A322" s="435"/>
      <c r="B322" s="436"/>
      <c r="C322" s="95" t="str">
        <f t="array" ref="C322">IF(I322&gt;0,INDEX(DB,I322,8),"")</f>
        <v/>
      </c>
      <c r="D322" s="437">
        <f t="shared" si="1"/>
        <v>0</v>
      </c>
      <c r="F322" s="438">
        <f t="shared" si="2"/>
        <v>0</v>
      </c>
      <c r="G322" t="str">
        <f t="shared" si="3"/>
        <v/>
      </c>
      <c r="H322" t="b">
        <f t="shared" si="4"/>
        <v>0</v>
      </c>
      <c r="I322" s="439">
        <f>IF(OR(ISBLANK(A322),ISNA(MATCH(A322&amp;"",AthleteNumbers,0))),0,MATCH(A322&amp;"",AthleteNumbers,0))</f>
        <v>0</v>
      </c>
      <c r="J322" s="209">
        <f t="array" ref="J322">IF(I322&gt;0,INDEX(DB,$I322,6),0)</f>
        <v>0</v>
      </c>
      <c r="K322" s="446">
        <f t="shared" si="5"/>
        <v>0</v>
      </c>
      <c r="L322" s="446">
        <f t="shared" si="6"/>
        <v>0</v>
      </c>
      <c r="M322" s="441">
        <f>IF(L322&lt;O322,MinPoints,IF(AND(L322&gt;N322,O322&gt;0),100,+INT(($L322-O322)/P322)+MinPoints))</f>
        <v>10</v>
      </c>
      <c r="N322" s="440">
        <f t="shared" si="7"/>
        <v>50</v>
      </c>
      <c r="O322" s="440">
        <f t="shared" si="8"/>
        <v>5</v>
      </c>
      <c r="P322" s="440">
        <f t="shared" si="9"/>
        <v>0.5</v>
      </c>
      <c r="Q322">
        <f t="array" ref="Q322">IF(I322&gt;0,INDEX(DB,I322,9),EventIndex)</f>
        <v>6</v>
      </c>
      <c r="S322" s="442">
        <f t="array" ref="S322">INDEX(MINVALUES,$Q322,$K$1)</f>
        <v>5</v>
      </c>
      <c r="T322">
        <f t="array" ref="T322">INDEX(INCVALUES,$Q322,$K$1)</f>
        <v>0.5</v>
      </c>
      <c r="V322">
        <f t="array" ref="V322">+J322+(4*(INDEX(MatchScoreTable,$Q322,20)-1))</f>
        <v>4</v>
      </c>
      <c r="W322" s="442">
        <f t="array" ref="W322">INDEX(INC_MINVALUES,$V322,$K$1)</f>
        <v>2.5</v>
      </c>
      <c r="X322" s="212">
        <f t="array" ref="X322">INDEX(INC_INCVALUES,$V322,$K$1)</f>
        <v>0.5</v>
      </c>
    </row>
    <row r="323" ht="15.75" customHeight="1">
      <c r="A323" s="435"/>
      <c r="B323" s="436"/>
      <c r="C323" s="95" t="str">
        <f t="array" ref="C323">IF(I323&gt;0,INDEX(DB,I323,8),"")</f>
        <v/>
      </c>
      <c r="D323" s="437">
        <f t="shared" si="1"/>
        <v>0</v>
      </c>
      <c r="F323" s="438">
        <f t="shared" si="2"/>
        <v>0</v>
      </c>
      <c r="G323" t="str">
        <f t="shared" si="3"/>
        <v/>
      </c>
      <c r="H323" t="b">
        <f t="shared" si="4"/>
        <v>0</v>
      </c>
      <c r="I323" s="439">
        <f>IF(OR(ISBLANK(A323),ISNA(MATCH(A323&amp;"",AthleteNumbers,0))),0,MATCH(A323&amp;"",AthleteNumbers,0))</f>
        <v>0</v>
      </c>
      <c r="J323" s="209">
        <f t="array" ref="J323">IF(I323&gt;0,INDEX(DB,$I323,6),0)</f>
        <v>0</v>
      </c>
      <c r="K323" s="446">
        <f t="shared" si="5"/>
        <v>0</v>
      </c>
      <c r="L323" s="446">
        <f t="shared" si="6"/>
        <v>0</v>
      </c>
      <c r="M323" s="441">
        <f>IF(L323&lt;O323,MinPoints,IF(AND(L323&gt;N323,O323&gt;0),100,+INT(($L323-O323)/P323)+MinPoints))</f>
        <v>10</v>
      </c>
      <c r="N323" s="440">
        <f t="shared" si="7"/>
        <v>50</v>
      </c>
      <c r="O323" s="440">
        <f t="shared" si="8"/>
        <v>5</v>
      </c>
      <c r="P323" s="440">
        <f t="shared" si="9"/>
        <v>0.5</v>
      </c>
      <c r="Q323">
        <f t="array" ref="Q323">IF(I323&gt;0,INDEX(DB,I323,9),EventIndex)</f>
        <v>6</v>
      </c>
      <c r="S323" s="442">
        <f t="array" ref="S323">INDEX(MINVALUES,$Q323,$K$1)</f>
        <v>5</v>
      </c>
      <c r="T323">
        <f t="array" ref="T323">INDEX(INCVALUES,$Q323,$K$1)</f>
        <v>0.5</v>
      </c>
      <c r="V323">
        <f t="array" ref="V323">+J323+(4*(INDEX(MatchScoreTable,$Q323,20)-1))</f>
        <v>4</v>
      </c>
      <c r="W323" s="442">
        <f t="array" ref="W323">INDEX(INC_MINVALUES,$V323,$K$1)</f>
        <v>2.5</v>
      </c>
      <c r="X323" s="212">
        <f t="array" ref="X323">INDEX(INC_INCVALUES,$V323,$K$1)</f>
        <v>0.5</v>
      </c>
    </row>
    <row r="324" ht="15.75" customHeight="1">
      <c r="A324" s="435"/>
      <c r="B324" s="436"/>
      <c r="C324" s="95" t="str">
        <f t="array" ref="C324">IF(I324&gt;0,INDEX(DB,I324,8),"")</f>
        <v/>
      </c>
      <c r="D324" s="437">
        <f t="shared" si="1"/>
        <v>0</v>
      </c>
      <c r="F324" s="438">
        <f t="shared" si="2"/>
        <v>0</v>
      </c>
      <c r="G324" t="str">
        <f t="shared" si="3"/>
        <v/>
      </c>
      <c r="H324" t="b">
        <f t="shared" si="4"/>
        <v>0</v>
      </c>
      <c r="I324" s="439">
        <f>IF(OR(ISBLANK(A324),ISNA(MATCH(A324&amp;"",AthleteNumbers,0))),0,MATCH(A324&amp;"",AthleteNumbers,0))</f>
        <v>0</v>
      </c>
      <c r="J324" s="209">
        <f t="array" ref="J324">IF(I324&gt;0,INDEX(DB,$I324,6),0)</f>
        <v>0</v>
      </c>
      <c r="K324" s="446">
        <f t="shared" si="5"/>
        <v>0</v>
      </c>
      <c r="L324" s="446">
        <f t="shared" si="6"/>
        <v>0</v>
      </c>
      <c r="M324" s="441">
        <f>IF(L324&lt;O324,MinPoints,IF(AND(L324&gt;N324,O324&gt;0),100,+INT(($L324-O324)/P324)+MinPoints))</f>
        <v>10</v>
      </c>
      <c r="N324" s="440">
        <f t="shared" si="7"/>
        <v>50</v>
      </c>
      <c r="O324" s="440">
        <f t="shared" si="8"/>
        <v>5</v>
      </c>
      <c r="P324" s="440">
        <f t="shared" si="9"/>
        <v>0.5</v>
      </c>
      <c r="Q324">
        <f t="array" ref="Q324">IF(I324&gt;0,INDEX(DB,I324,9),EventIndex)</f>
        <v>6</v>
      </c>
      <c r="S324" s="442">
        <f t="array" ref="S324">INDEX(MINVALUES,$Q324,$K$1)</f>
        <v>5</v>
      </c>
      <c r="T324">
        <f t="array" ref="T324">INDEX(INCVALUES,$Q324,$K$1)</f>
        <v>0.5</v>
      </c>
      <c r="V324">
        <f t="array" ref="V324">+J324+(4*(INDEX(MatchScoreTable,$Q324,20)-1))</f>
        <v>4</v>
      </c>
      <c r="W324" s="442">
        <f t="array" ref="W324">INDEX(INC_MINVALUES,$V324,$K$1)</f>
        <v>2.5</v>
      </c>
      <c r="X324" s="212">
        <f t="array" ref="X324">INDEX(INC_INCVALUES,$V324,$K$1)</f>
        <v>0.5</v>
      </c>
    </row>
    <row r="325" ht="15.75" customHeight="1">
      <c r="A325" s="435"/>
      <c r="B325" s="436"/>
      <c r="C325" s="95" t="str">
        <f t="array" ref="C325">IF(I325&gt;0,INDEX(DB,I325,8),"")</f>
        <v/>
      </c>
      <c r="D325" s="437">
        <f t="shared" si="1"/>
        <v>0</v>
      </c>
      <c r="F325" s="438">
        <f t="shared" si="2"/>
        <v>0</v>
      </c>
      <c r="G325" t="str">
        <f t="shared" si="3"/>
        <v/>
      </c>
      <c r="H325" t="b">
        <f t="shared" si="4"/>
        <v>0</v>
      </c>
      <c r="I325" s="439">
        <f>IF(OR(ISBLANK(A325),ISNA(MATCH(A325&amp;"",AthleteNumbers,0))),0,MATCH(A325&amp;"",AthleteNumbers,0))</f>
        <v>0</v>
      </c>
      <c r="J325" s="209">
        <f t="array" ref="J325">IF(I325&gt;0,INDEX(DB,$I325,6),0)</f>
        <v>0</v>
      </c>
      <c r="K325" s="446">
        <f t="shared" si="5"/>
        <v>0</v>
      </c>
      <c r="L325" s="446">
        <f t="shared" si="6"/>
        <v>0</v>
      </c>
      <c r="M325" s="441">
        <f>IF(L325&lt;O325,MinPoints,IF(AND(L325&gt;N325,O325&gt;0),100,+INT(($L325-O325)/P325)+MinPoints))</f>
        <v>10</v>
      </c>
      <c r="N325" s="440">
        <f t="shared" si="7"/>
        <v>50</v>
      </c>
      <c r="O325" s="440">
        <f t="shared" si="8"/>
        <v>5</v>
      </c>
      <c r="P325" s="440">
        <f t="shared" si="9"/>
        <v>0.5</v>
      </c>
      <c r="Q325">
        <f t="array" ref="Q325">IF(I325&gt;0,INDEX(DB,I325,9),EventIndex)</f>
        <v>6</v>
      </c>
      <c r="S325" s="442">
        <f t="array" ref="S325">INDEX(MINVALUES,$Q325,$K$1)</f>
        <v>5</v>
      </c>
      <c r="T325">
        <f t="array" ref="T325">INDEX(INCVALUES,$Q325,$K$1)</f>
        <v>0.5</v>
      </c>
      <c r="V325">
        <f t="array" ref="V325">+J325+(4*(INDEX(MatchScoreTable,$Q325,20)-1))</f>
        <v>4</v>
      </c>
      <c r="W325" s="442">
        <f t="array" ref="W325">INDEX(INC_MINVALUES,$V325,$K$1)</f>
        <v>2.5</v>
      </c>
      <c r="X325" s="212">
        <f t="array" ref="X325">INDEX(INC_INCVALUES,$V325,$K$1)</f>
        <v>0.5</v>
      </c>
    </row>
    <row r="326" ht="15.75" customHeight="1">
      <c r="A326" s="435"/>
      <c r="B326" s="436"/>
      <c r="C326" s="95" t="str">
        <f t="array" ref="C326">IF(I326&gt;0,INDEX(DB,I326,8),"")</f>
        <v/>
      </c>
      <c r="D326" s="437">
        <f t="shared" si="1"/>
        <v>0</v>
      </c>
      <c r="F326" s="438">
        <f t="shared" si="2"/>
        <v>0</v>
      </c>
      <c r="G326" t="str">
        <f t="shared" si="3"/>
        <v/>
      </c>
      <c r="H326" t="b">
        <f t="shared" si="4"/>
        <v>0</v>
      </c>
      <c r="I326" s="439">
        <f>IF(OR(ISBLANK(A326),ISNA(MATCH(A326&amp;"",AthleteNumbers,0))),0,MATCH(A326&amp;"",AthleteNumbers,0))</f>
        <v>0</v>
      </c>
      <c r="J326" s="209">
        <f t="array" ref="J326">IF(I326&gt;0,INDEX(DB,$I326,6),0)</f>
        <v>0</v>
      </c>
      <c r="K326" s="446">
        <f t="shared" si="5"/>
        <v>0</v>
      </c>
      <c r="L326" s="446">
        <f t="shared" si="6"/>
        <v>0</v>
      </c>
      <c r="M326" s="441">
        <f>IF(L326&lt;O326,MinPoints,IF(AND(L326&gt;N326,O326&gt;0),100,+INT(($L326-O326)/P326)+MinPoints))</f>
        <v>10</v>
      </c>
      <c r="N326" s="440">
        <f t="shared" si="7"/>
        <v>50</v>
      </c>
      <c r="O326" s="440">
        <f t="shared" si="8"/>
        <v>5</v>
      </c>
      <c r="P326" s="440">
        <f t="shared" si="9"/>
        <v>0.5</v>
      </c>
      <c r="Q326">
        <f t="array" ref="Q326">IF(I326&gt;0,INDEX(DB,I326,9),EventIndex)</f>
        <v>6</v>
      </c>
      <c r="S326" s="442">
        <f t="array" ref="S326">INDEX(MINVALUES,$Q326,$K$1)</f>
        <v>5</v>
      </c>
      <c r="T326">
        <f t="array" ref="T326">INDEX(INCVALUES,$Q326,$K$1)</f>
        <v>0.5</v>
      </c>
      <c r="V326">
        <f t="array" ref="V326">+J326+(4*(INDEX(MatchScoreTable,$Q326,20)-1))</f>
        <v>4</v>
      </c>
      <c r="W326" s="442">
        <f t="array" ref="W326">INDEX(INC_MINVALUES,$V326,$K$1)</f>
        <v>2.5</v>
      </c>
      <c r="X326" s="212">
        <f t="array" ref="X326">INDEX(INC_INCVALUES,$V326,$K$1)</f>
        <v>0.5</v>
      </c>
    </row>
    <row r="327" ht="15.75" customHeight="1">
      <c r="A327" s="435"/>
      <c r="B327" s="436"/>
      <c r="C327" s="95" t="str">
        <f t="array" ref="C327">IF(I327&gt;0,INDEX(DB,I327,8),"")</f>
        <v/>
      </c>
      <c r="D327" s="437">
        <f t="shared" si="1"/>
        <v>0</v>
      </c>
      <c r="F327" s="438">
        <f t="shared" si="2"/>
        <v>0</v>
      </c>
      <c r="G327" t="str">
        <f t="shared" si="3"/>
        <v/>
      </c>
      <c r="H327" t="b">
        <f t="shared" si="4"/>
        <v>0</v>
      </c>
      <c r="I327" s="439">
        <f>IF(OR(ISBLANK(A327),ISNA(MATCH(A327&amp;"",AthleteNumbers,0))),0,MATCH(A327&amp;"",AthleteNumbers,0))</f>
        <v>0</v>
      </c>
      <c r="J327" s="209">
        <f t="array" ref="J327">IF(I327&gt;0,INDEX(DB,$I327,6),0)</f>
        <v>0</v>
      </c>
      <c r="K327" s="446">
        <f t="shared" si="5"/>
        <v>0</v>
      </c>
      <c r="L327" s="446">
        <f t="shared" si="6"/>
        <v>0</v>
      </c>
      <c r="M327" s="441">
        <f>IF(L327&lt;O327,MinPoints,IF(AND(L327&gt;N327,O327&gt;0),100,+INT(($L327-O327)/P327)+MinPoints))</f>
        <v>10</v>
      </c>
      <c r="N327" s="440">
        <f t="shared" si="7"/>
        <v>50</v>
      </c>
      <c r="O327" s="440">
        <f t="shared" si="8"/>
        <v>5</v>
      </c>
      <c r="P327" s="440">
        <f t="shared" si="9"/>
        <v>0.5</v>
      </c>
      <c r="Q327">
        <f t="array" ref="Q327">IF(I327&gt;0,INDEX(DB,I327,9),EventIndex)</f>
        <v>6</v>
      </c>
      <c r="S327" s="442">
        <f t="array" ref="S327">INDEX(MINVALUES,$Q327,$K$1)</f>
        <v>5</v>
      </c>
      <c r="T327">
        <f t="array" ref="T327">INDEX(INCVALUES,$Q327,$K$1)</f>
        <v>0.5</v>
      </c>
      <c r="V327">
        <f t="array" ref="V327">+J327+(4*(INDEX(MatchScoreTable,$Q327,20)-1))</f>
        <v>4</v>
      </c>
      <c r="W327" s="442">
        <f t="array" ref="W327">INDEX(INC_MINVALUES,$V327,$K$1)</f>
        <v>2.5</v>
      </c>
      <c r="X327" s="212">
        <f t="array" ref="X327">INDEX(INC_INCVALUES,$V327,$K$1)</f>
        <v>0.5</v>
      </c>
    </row>
    <row r="328" ht="15.75" customHeight="1">
      <c r="A328" s="435"/>
      <c r="B328" s="436"/>
      <c r="C328" s="95" t="str">
        <f t="array" ref="C328">IF(I328&gt;0,INDEX(DB,I328,8),"")</f>
        <v/>
      </c>
      <c r="D328" s="437">
        <f t="shared" si="1"/>
        <v>0</v>
      </c>
      <c r="F328" s="438">
        <f t="shared" si="2"/>
        <v>0</v>
      </c>
      <c r="G328" t="str">
        <f t="shared" si="3"/>
        <v/>
      </c>
      <c r="H328" t="b">
        <f t="shared" si="4"/>
        <v>0</v>
      </c>
      <c r="I328" s="439">
        <f>IF(OR(ISBLANK(A328),ISNA(MATCH(A328&amp;"",AthleteNumbers,0))),0,MATCH(A328&amp;"",AthleteNumbers,0))</f>
        <v>0</v>
      </c>
      <c r="J328" s="209">
        <f t="array" ref="J328">IF(I328&gt;0,INDEX(DB,$I328,6),0)</f>
        <v>0</v>
      </c>
      <c r="K328" s="446">
        <f t="shared" si="5"/>
        <v>0</v>
      </c>
      <c r="L328" s="446">
        <f t="shared" si="6"/>
        <v>0</v>
      </c>
      <c r="M328" s="441">
        <f>IF(L328&lt;O328,MinPoints,IF(AND(L328&gt;N328,O328&gt;0),100,+INT(($L328-O328)/P328)+MinPoints))</f>
        <v>10</v>
      </c>
      <c r="N328" s="440">
        <f t="shared" si="7"/>
        <v>50</v>
      </c>
      <c r="O328" s="440">
        <f t="shared" si="8"/>
        <v>5</v>
      </c>
      <c r="P328" s="440">
        <f t="shared" si="9"/>
        <v>0.5</v>
      </c>
      <c r="Q328">
        <f t="array" ref="Q328">IF(I328&gt;0,INDEX(DB,I328,9),EventIndex)</f>
        <v>6</v>
      </c>
      <c r="S328" s="442">
        <f t="array" ref="S328">INDEX(MINVALUES,$Q328,$K$1)</f>
        <v>5</v>
      </c>
      <c r="T328">
        <f t="array" ref="T328">INDEX(INCVALUES,$Q328,$K$1)</f>
        <v>0.5</v>
      </c>
      <c r="V328">
        <f t="array" ref="V328">+J328+(4*(INDEX(MatchScoreTable,$Q328,20)-1))</f>
        <v>4</v>
      </c>
      <c r="W328" s="442">
        <f t="array" ref="W328">INDEX(INC_MINVALUES,$V328,$K$1)</f>
        <v>2.5</v>
      </c>
      <c r="X328" s="212">
        <f t="array" ref="X328">INDEX(INC_INCVALUES,$V328,$K$1)</f>
        <v>0.5</v>
      </c>
    </row>
    <row r="329" ht="15.75" customHeight="1">
      <c r="A329" s="435"/>
      <c r="B329" s="436"/>
      <c r="C329" s="95" t="str">
        <f t="array" ref="C329">IF(I329&gt;0,INDEX(DB,I329,8),"")</f>
        <v/>
      </c>
      <c r="D329" s="437">
        <f t="shared" si="1"/>
        <v>0</v>
      </c>
      <c r="F329" s="438">
        <f t="shared" si="2"/>
        <v>0</v>
      </c>
      <c r="G329" t="str">
        <f t="shared" si="3"/>
        <v/>
      </c>
      <c r="H329" t="b">
        <f t="shared" si="4"/>
        <v>0</v>
      </c>
      <c r="I329" s="439">
        <f>IF(OR(ISBLANK(A329),ISNA(MATCH(A329&amp;"",AthleteNumbers,0))),0,MATCH(A329&amp;"",AthleteNumbers,0))</f>
        <v>0</v>
      </c>
      <c r="J329" s="209">
        <f t="array" ref="J329">IF(I329&gt;0,INDEX(DB,$I329,6),0)</f>
        <v>0</v>
      </c>
      <c r="K329" s="446">
        <f t="shared" si="5"/>
        <v>0</v>
      </c>
      <c r="L329" s="446">
        <f t="shared" si="6"/>
        <v>0</v>
      </c>
      <c r="M329" s="441">
        <f>IF(L329&lt;O329,MinPoints,IF(AND(L329&gt;N329,O329&gt;0),100,+INT(($L329-O329)/P329)+MinPoints))</f>
        <v>10</v>
      </c>
      <c r="N329" s="440">
        <f t="shared" si="7"/>
        <v>50</v>
      </c>
      <c r="O329" s="440">
        <f t="shared" si="8"/>
        <v>5</v>
      </c>
      <c r="P329" s="440">
        <f t="shared" si="9"/>
        <v>0.5</v>
      </c>
      <c r="Q329">
        <f t="array" ref="Q329">IF(I329&gt;0,INDEX(DB,I329,9),EventIndex)</f>
        <v>6</v>
      </c>
      <c r="S329" s="442">
        <f t="array" ref="S329">INDEX(MINVALUES,$Q329,$K$1)</f>
        <v>5</v>
      </c>
      <c r="T329">
        <f t="array" ref="T329">INDEX(INCVALUES,$Q329,$K$1)</f>
        <v>0.5</v>
      </c>
      <c r="V329">
        <f t="array" ref="V329">+J329+(4*(INDEX(MatchScoreTable,$Q329,20)-1))</f>
        <v>4</v>
      </c>
      <c r="W329" s="442">
        <f t="array" ref="W329">INDEX(INC_MINVALUES,$V329,$K$1)</f>
        <v>2.5</v>
      </c>
      <c r="X329" s="212">
        <f t="array" ref="X329">INDEX(INC_INCVALUES,$V329,$K$1)</f>
        <v>0.5</v>
      </c>
    </row>
    <row r="330" ht="15.75" customHeight="1">
      <c r="A330" s="435"/>
      <c r="B330" s="436"/>
      <c r="C330" s="95" t="str">
        <f t="array" ref="C330">IF(I330&gt;0,INDEX(DB,I330,8),"")</f>
        <v/>
      </c>
      <c r="D330" s="437">
        <f t="shared" si="1"/>
        <v>0</v>
      </c>
      <c r="F330" s="438">
        <f t="shared" si="2"/>
        <v>0</v>
      </c>
      <c r="G330" t="str">
        <f t="shared" si="3"/>
        <v/>
      </c>
      <c r="H330" t="b">
        <f t="shared" si="4"/>
        <v>0</v>
      </c>
      <c r="I330" s="439">
        <f>IF(OR(ISBLANK(A330),ISNA(MATCH(A330&amp;"",AthleteNumbers,0))),0,MATCH(A330&amp;"",AthleteNumbers,0))</f>
        <v>0</v>
      </c>
      <c r="J330" s="209">
        <f t="array" ref="J330">IF(I330&gt;0,INDEX(DB,$I330,6),0)</f>
        <v>0</v>
      </c>
      <c r="K330" s="446">
        <f t="shared" si="5"/>
        <v>0</v>
      </c>
      <c r="L330" s="446">
        <f t="shared" si="6"/>
        <v>0</v>
      </c>
      <c r="M330" s="441">
        <f>IF(L330&lt;O330,MinPoints,IF(AND(L330&gt;N330,O330&gt;0),100,+INT(($L330-O330)/P330)+MinPoints))</f>
        <v>10</v>
      </c>
      <c r="N330" s="440">
        <f t="shared" si="7"/>
        <v>50</v>
      </c>
      <c r="O330" s="440">
        <f t="shared" si="8"/>
        <v>5</v>
      </c>
      <c r="P330" s="440">
        <f t="shared" si="9"/>
        <v>0.5</v>
      </c>
      <c r="Q330">
        <f t="array" ref="Q330">IF(I330&gt;0,INDEX(DB,I330,9),EventIndex)</f>
        <v>6</v>
      </c>
      <c r="S330" s="442">
        <f t="array" ref="S330">INDEX(MINVALUES,$Q330,$K$1)</f>
        <v>5</v>
      </c>
      <c r="T330">
        <f t="array" ref="T330">INDEX(INCVALUES,$Q330,$K$1)</f>
        <v>0.5</v>
      </c>
      <c r="V330">
        <f t="array" ref="V330">+J330+(4*(INDEX(MatchScoreTable,$Q330,20)-1))</f>
        <v>4</v>
      </c>
      <c r="W330" s="442">
        <f t="array" ref="W330">INDEX(INC_MINVALUES,$V330,$K$1)</f>
        <v>2.5</v>
      </c>
      <c r="X330" s="212">
        <f t="array" ref="X330">INDEX(INC_INCVALUES,$V330,$K$1)</f>
        <v>0.5</v>
      </c>
    </row>
    <row r="331" ht="15.75" customHeight="1">
      <c r="A331" s="435"/>
      <c r="B331" s="436"/>
      <c r="C331" s="95" t="str">
        <f t="array" ref="C331">IF(I331&gt;0,INDEX(DB,I331,8),"")</f>
        <v/>
      </c>
      <c r="D331" s="437">
        <f t="shared" si="1"/>
        <v>0</v>
      </c>
      <c r="F331" s="438">
        <f t="shared" si="2"/>
        <v>0</v>
      </c>
      <c r="G331" t="str">
        <f t="shared" si="3"/>
        <v/>
      </c>
      <c r="H331" t="b">
        <f t="shared" si="4"/>
        <v>0</v>
      </c>
      <c r="I331" s="439">
        <f>IF(OR(ISBLANK(A331),ISNA(MATCH(A331&amp;"",AthleteNumbers,0))),0,MATCH(A331&amp;"",AthleteNumbers,0))</f>
        <v>0</v>
      </c>
      <c r="J331" s="209">
        <f t="array" ref="J331">IF(I331&gt;0,INDEX(DB,$I331,6),0)</f>
        <v>0</v>
      </c>
      <c r="K331" s="446">
        <f t="shared" si="5"/>
        <v>0</v>
      </c>
      <c r="L331" s="446">
        <f t="shared" si="6"/>
        <v>0</v>
      </c>
      <c r="M331" s="441">
        <f>IF(L331&lt;O331,MinPoints,IF(AND(L331&gt;N331,O331&gt;0),100,+INT(($L331-O331)/P331)+MinPoints))</f>
        <v>10</v>
      </c>
      <c r="N331" s="440">
        <f t="shared" si="7"/>
        <v>50</v>
      </c>
      <c r="O331" s="440">
        <f t="shared" si="8"/>
        <v>5</v>
      </c>
      <c r="P331" s="440">
        <f t="shared" si="9"/>
        <v>0.5</v>
      </c>
      <c r="Q331">
        <f t="array" ref="Q331">IF(I331&gt;0,INDEX(DB,I331,9),EventIndex)</f>
        <v>6</v>
      </c>
      <c r="S331" s="442">
        <f t="array" ref="S331">INDEX(MINVALUES,$Q331,$K$1)</f>
        <v>5</v>
      </c>
      <c r="T331">
        <f t="array" ref="T331">INDEX(INCVALUES,$Q331,$K$1)</f>
        <v>0.5</v>
      </c>
      <c r="V331">
        <f t="array" ref="V331">+J331+(4*(INDEX(MatchScoreTable,$Q331,20)-1))</f>
        <v>4</v>
      </c>
      <c r="W331" s="442">
        <f t="array" ref="W331">INDEX(INC_MINVALUES,$V331,$K$1)</f>
        <v>2.5</v>
      </c>
      <c r="X331" s="212">
        <f t="array" ref="X331">INDEX(INC_INCVALUES,$V331,$K$1)</f>
        <v>0.5</v>
      </c>
    </row>
    <row r="332" ht="15.75" customHeight="1">
      <c r="A332" s="435"/>
      <c r="B332" s="436"/>
      <c r="C332" s="95" t="str">
        <f t="array" ref="C332">IF(I332&gt;0,INDEX(DB,I332,8),"")</f>
        <v/>
      </c>
      <c r="D332" s="437">
        <f t="shared" si="1"/>
        <v>0</v>
      </c>
      <c r="F332" s="438">
        <f t="shared" si="2"/>
        <v>0</v>
      </c>
      <c r="G332" t="str">
        <f t="shared" si="3"/>
        <v/>
      </c>
      <c r="H332" t="b">
        <f t="shared" si="4"/>
        <v>0</v>
      </c>
      <c r="I332" s="439">
        <f>IF(OR(ISBLANK(A332),ISNA(MATCH(A332&amp;"",AthleteNumbers,0))),0,MATCH(A332&amp;"",AthleteNumbers,0))</f>
        <v>0</v>
      </c>
      <c r="J332" s="209">
        <f t="array" ref="J332">IF(I332&gt;0,INDEX(DB,$I332,6),0)</f>
        <v>0</v>
      </c>
      <c r="K332" s="446">
        <f t="shared" si="5"/>
        <v>0</v>
      </c>
      <c r="L332" s="446">
        <f t="shared" si="6"/>
        <v>0</v>
      </c>
      <c r="M332" s="441">
        <f>IF(L332&lt;O332,MinPoints,IF(AND(L332&gt;N332,O332&gt;0),100,+INT(($L332-O332)/P332)+MinPoints))</f>
        <v>10</v>
      </c>
      <c r="N332" s="440">
        <f t="shared" si="7"/>
        <v>50</v>
      </c>
      <c r="O332" s="440">
        <f t="shared" si="8"/>
        <v>5</v>
      </c>
      <c r="P332" s="440">
        <f t="shared" si="9"/>
        <v>0.5</v>
      </c>
      <c r="Q332">
        <f t="array" ref="Q332">IF(I332&gt;0,INDEX(DB,I332,9),EventIndex)</f>
        <v>6</v>
      </c>
      <c r="S332" s="442">
        <f t="array" ref="S332">INDEX(MINVALUES,$Q332,$K$1)</f>
        <v>5</v>
      </c>
      <c r="T332">
        <f t="array" ref="T332">INDEX(INCVALUES,$Q332,$K$1)</f>
        <v>0.5</v>
      </c>
      <c r="V332">
        <f t="array" ref="V332">+J332+(4*(INDEX(MatchScoreTable,$Q332,20)-1))</f>
        <v>4</v>
      </c>
      <c r="W332" s="442">
        <f t="array" ref="W332">INDEX(INC_MINVALUES,$V332,$K$1)</f>
        <v>2.5</v>
      </c>
      <c r="X332" s="212">
        <f t="array" ref="X332">INDEX(INC_INCVALUES,$V332,$K$1)</f>
        <v>0.5</v>
      </c>
    </row>
    <row r="333" ht="15.75" customHeight="1">
      <c r="A333" s="435"/>
      <c r="B333" s="436"/>
      <c r="C333" s="95" t="str">
        <f t="array" ref="C333">IF(I333&gt;0,INDEX(DB,I333,8),"")</f>
        <v/>
      </c>
      <c r="D333" s="437">
        <f t="shared" si="1"/>
        <v>0</v>
      </c>
      <c r="F333" s="438">
        <f t="shared" si="2"/>
        <v>0</v>
      </c>
      <c r="G333" t="str">
        <f t="shared" si="3"/>
        <v/>
      </c>
      <c r="H333" t="b">
        <f t="shared" si="4"/>
        <v>0</v>
      </c>
      <c r="I333" s="439">
        <f>IF(OR(ISBLANK(A333),ISNA(MATCH(A333&amp;"",AthleteNumbers,0))),0,MATCH(A333&amp;"",AthleteNumbers,0))</f>
        <v>0</v>
      </c>
      <c r="J333" s="209">
        <f t="array" ref="J333">IF(I333&gt;0,INDEX(DB,$I333,6),0)</f>
        <v>0</v>
      </c>
      <c r="K333" s="446">
        <f t="shared" si="5"/>
        <v>0</v>
      </c>
      <c r="L333" s="446">
        <f t="shared" si="6"/>
        <v>0</v>
      </c>
      <c r="M333" s="441">
        <f>IF(L333&lt;O333,MinPoints,IF(AND(L333&gt;N333,O333&gt;0),100,+INT(($L333-O333)/P333)+MinPoints))</f>
        <v>10</v>
      </c>
      <c r="N333" s="440">
        <f t="shared" si="7"/>
        <v>50</v>
      </c>
      <c r="O333" s="440">
        <f t="shared" si="8"/>
        <v>5</v>
      </c>
      <c r="P333" s="440">
        <f t="shared" si="9"/>
        <v>0.5</v>
      </c>
      <c r="Q333">
        <f t="array" ref="Q333">IF(I333&gt;0,INDEX(DB,I333,9),EventIndex)</f>
        <v>6</v>
      </c>
      <c r="S333" s="442">
        <f t="array" ref="S333">INDEX(MINVALUES,$Q333,$K$1)</f>
        <v>5</v>
      </c>
      <c r="T333">
        <f t="array" ref="T333">INDEX(INCVALUES,$Q333,$K$1)</f>
        <v>0.5</v>
      </c>
      <c r="V333">
        <f t="array" ref="V333">+J333+(4*(INDEX(MatchScoreTable,$Q333,20)-1))</f>
        <v>4</v>
      </c>
      <c r="W333" s="442">
        <f t="array" ref="W333">INDEX(INC_MINVALUES,$V333,$K$1)</f>
        <v>2.5</v>
      </c>
      <c r="X333" s="212">
        <f t="array" ref="X333">INDEX(INC_INCVALUES,$V333,$K$1)</f>
        <v>0.5</v>
      </c>
    </row>
    <row r="334" ht="15.75" customHeight="1">
      <c r="A334" s="435"/>
      <c r="B334" s="436"/>
      <c r="C334" s="95" t="str">
        <f t="array" ref="C334">IF(I334&gt;0,INDEX(DB,I334,8),"")</f>
        <v/>
      </c>
      <c r="D334" s="437">
        <f t="shared" si="1"/>
        <v>0</v>
      </c>
      <c r="F334" s="438">
        <f t="shared" si="2"/>
        <v>0</v>
      </c>
      <c r="G334" t="str">
        <f t="shared" si="3"/>
        <v/>
      </c>
      <c r="H334" t="b">
        <f t="shared" si="4"/>
        <v>0</v>
      </c>
      <c r="I334" s="439">
        <f>IF(OR(ISBLANK(A334),ISNA(MATCH(A334&amp;"",AthleteNumbers,0))),0,MATCH(A334&amp;"",AthleteNumbers,0))</f>
        <v>0</v>
      </c>
      <c r="J334" s="209">
        <f t="array" ref="J334">IF(I334&gt;0,INDEX(DB,$I334,6),0)</f>
        <v>0</v>
      </c>
      <c r="K334" s="446">
        <f t="shared" si="5"/>
        <v>0</v>
      </c>
      <c r="L334" s="446">
        <f t="shared" si="6"/>
        <v>0</v>
      </c>
      <c r="M334" s="441">
        <f>IF(L334&lt;O334,MinPoints,IF(AND(L334&gt;N334,O334&gt;0),100,+INT(($L334-O334)/P334)+MinPoints))</f>
        <v>10</v>
      </c>
      <c r="N334" s="440">
        <f t="shared" si="7"/>
        <v>50</v>
      </c>
      <c r="O334" s="440">
        <f t="shared" si="8"/>
        <v>5</v>
      </c>
      <c r="P334" s="440">
        <f t="shared" si="9"/>
        <v>0.5</v>
      </c>
      <c r="Q334">
        <f t="array" ref="Q334">IF(I334&gt;0,INDEX(DB,I334,9),EventIndex)</f>
        <v>6</v>
      </c>
      <c r="S334" s="442">
        <f t="array" ref="S334">INDEX(MINVALUES,$Q334,$K$1)</f>
        <v>5</v>
      </c>
      <c r="T334">
        <f t="array" ref="T334">INDEX(INCVALUES,$Q334,$K$1)</f>
        <v>0.5</v>
      </c>
      <c r="V334">
        <f t="array" ref="V334">+J334+(4*(INDEX(MatchScoreTable,$Q334,20)-1))</f>
        <v>4</v>
      </c>
      <c r="W334" s="442">
        <f t="array" ref="W334">INDEX(INC_MINVALUES,$V334,$K$1)</f>
        <v>2.5</v>
      </c>
      <c r="X334" s="212">
        <f t="array" ref="X334">INDEX(INC_INCVALUES,$V334,$K$1)</f>
        <v>0.5</v>
      </c>
    </row>
    <row r="335" ht="15.75" customHeight="1">
      <c r="A335" s="435"/>
      <c r="B335" s="436"/>
      <c r="C335" s="95" t="str">
        <f t="array" ref="C335">IF(I335&gt;0,INDEX(DB,I335,8),"")</f>
        <v/>
      </c>
      <c r="D335" s="437">
        <f t="shared" si="1"/>
        <v>0</v>
      </c>
      <c r="F335" s="438">
        <f t="shared" si="2"/>
        <v>0</v>
      </c>
      <c r="G335" t="str">
        <f t="shared" si="3"/>
        <v/>
      </c>
      <c r="H335" t="b">
        <f t="shared" si="4"/>
        <v>0</v>
      </c>
      <c r="I335" s="439">
        <f>IF(OR(ISBLANK(A335),ISNA(MATCH(A335&amp;"",AthleteNumbers,0))),0,MATCH(A335&amp;"",AthleteNumbers,0))</f>
        <v>0</v>
      </c>
      <c r="J335" s="209">
        <f t="array" ref="J335">IF(I335&gt;0,INDEX(DB,$I335,6),0)</f>
        <v>0</v>
      </c>
      <c r="K335" s="446">
        <f t="shared" si="5"/>
        <v>0</v>
      </c>
      <c r="L335" s="446">
        <f t="shared" si="6"/>
        <v>0</v>
      </c>
      <c r="M335" s="441">
        <f>IF(L335&lt;O335,MinPoints,IF(AND(L335&gt;N335,O335&gt;0),100,+INT(($L335-O335)/P335)+MinPoints))</f>
        <v>10</v>
      </c>
      <c r="N335" s="440">
        <f t="shared" si="7"/>
        <v>50</v>
      </c>
      <c r="O335" s="440">
        <f t="shared" si="8"/>
        <v>5</v>
      </c>
      <c r="P335" s="440">
        <f t="shared" si="9"/>
        <v>0.5</v>
      </c>
      <c r="Q335">
        <f t="array" ref="Q335">IF(I335&gt;0,INDEX(DB,I335,9),EventIndex)</f>
        <v>6</v>
      </c>
      <c r="S335" s="442">
        <f t="array" ref="S335">INDEX(MINVALUES,$Q335,$K$1)</f>
        <v>5</v>
      </c>
      <c r="T335">
        <f t="array" ref="T335">INDEX(INCVALUES,$Q335,$K$1)</f>
        <v>0.5</v>
      </c>
      <c r="V335">
        <f t="array" ref="V335">+J335+(4*(INDEX(MatchScoreTable,$Q335,20)-1))</f>
        <v>4</v>
      </c>
      <c r="W335" s="442">
        <f t="array" ref="W335">INDEX(INC_MINVALUES,$V335,$K$1)</f>
        <v>2.5</v>
      </c>
      <c r="X335" s="212">
        <f t="array" ref="X335">INDEX(INC_INCVALUES,$V335,$K$1)</f>
        <v>0.5</v>
      </c>
    </row>
    <row r="336" ht="15.75" customHeight="1">
      <c r="A336" s="435"/>
      <c r="B336" s="436"/>
      <c r="C336" s="95" t="str">
        <f t="array" ref="C336">IF(I336&gt;0,INDEX(DB,I336,8),"")</f>
        <v/>
      </c>
      <c r="D336" s="437">
        <f t="shared" si="1"/>
        <v>0</v>
      </c>
      <c r="F336" s="438">
        <f t="shared" si="2"/>
        <v>0</v>
      </c>
      <c r="G336" t="str">
        <f t="shared" si="3"/>
        <v/>
      </c>
      <c r="H336" t="b">
        <f t="shared" si="4"/>
        <v>0</v>
      </c>
      <c r="I336" s="439">
        <f>IF(OR(ISBLANK(A336),ISNA(MATCH(A336&amp;"",AthleteNumbers,0))),0,MATCH(A336&amp;"",AthleteNumbers,0))</f>
        <v>0</v>
      </c>
      <c r="J336" s="209">
        <f t="array" ref="J336">IF(I336&gt;0,INDEX(DB,$I336,6),0)</f>
        <v>0</v>
      </c>
      <c r="K336" s="446">
        <f t="shared" si="5"/>
        <v>0</v>
      </c>
      <c r="L336" s="446">
        <f t="shared" si="6"/>
        <v>0</v>
      </c>
      <c r="M336" s="441">
        <f>IF(L336&lt;O336,MinPoints,IF(AND(L336&gt;N336,O336&gt;0),100,+INT(($L336-O336)/P336)+MinPoints))</f>
        <v>10</v>
      </c>
      <c r="N336" s="440">
        <f t="shared" si="7"/>
        <v>50</v>
      </c>
      <c r="O336" s="440">
        <f t="shared" si="8"/>
        <v>5</v>
      </c>
      <c r="P336" s="440">
        <f t="shared" si="9"/>
        <v>0.5</v>
      </c>
      <c r="Q336">
        <f t="array" ref="Q336">IF(I336&gt;0,INDEX(DB,I336,9),EventIndex)</f>
        <v>6</v>
      </c>
      <c r="S336" s="442">
        <f t="array" ref="S336">INDEX(MINVALUES,$Q336,$K$1)</f>
        <v>5</v>
      </c>
      <c r="T336">
        <f t="array" ref="T336">INDEX(INCVALUES,$Q336,$K$1)</f>
        <v>0.5</v>
      </c>
      <c r="V336">
        <f t="array" ref="V336">+J336+(4*(INDEX(MatchScoreTable,$Q336,20)-1))</f>
        <v>4</v>
      </c>
      <c r="W336" s="442">
        <f t="array" ref="W336">INDEX(INC_MINVALUES,$V336,$K$1)</f>
        <v>2.5</v>
      </c>
      <c r="X336" s="212">
        <f t="array" ref="X336">INDEX(INC_INCVALUES,$V336,$K$1)</f>
        <v>0.5</v>
      </c>
    </row>
    <row r="337" ht="15.75" customHeight="1">
      <c r="A337" s="435"/>
      <c r="B337" s="436"/>
      <c r="C337" s="95" t="str">
        <f t="array" ref="C337">IF(I337&gt;0,INDEX(DB,I337,8),"")</f>
        <v/>
      </c>
      <c r="D337" s="437">
        <f t="shared" si="1"/>
        <v>0</v>
      </c>
      <c r="F337" s="438">
        <f t="shared" si="2"/>
        <v>0</v>
      </c>
      <c r="G337" t="str">
        <f t="shared" si="3"/>
        <v/>
      </c>
      <c r="H337" t="b">
        <f t="shared" si="4"/>
        <v>0</v>
      </c>
      <c r="I337" s="439">
        <f>IF(OR(ISBLANK(A337),ISNA(MATCH(A337&amp;"",AthleteNumbers,0))),0,MATCH(A337&amp;"",AthleteNumbers,0))</f>
        <v>0</v>
      </c>
      <c r="J337" s="209">
        <f t="array" ref="J337">IF(I337&gt;0,INDEX(DB,$I337,6),0)</f>
        <v>0</v>
      </c>
      <c r="K337" s="446">
        <f t="shared" si="5"/>
        <v>0</v>
      </c>
      <c r="L337" s="446">
        <f t="shared" si="6"/>
        <v>0</v>
      </c>
      <c r="M337" s="441">
        <f>IF(L337&lt;O337,MinPoints,IF(AND(L337&gt;N337,O337&gt;0),100,+INT(($L337-O337)/P337)+MinPoints))</f>
        <v>10</v>
      </c>
      <c r="N337" s="440">
        <f t="shared" si="7"/>
        <v>50</v>
      </c>
      <c r="O337" s="440">
        <f t="shared" si="8"/>
        <v>5</v>
      </c>
      <c r="P337" s="440">
        <f t="shared" si="9"/>
        <v>0.5</v>
      </c>
      <c r="Q337">
        <f t="array" ref="Q337">IF(I337&gt;0,INDEX(DB,I337,9),EventIndex)</f>
        <v>6</v>
      </c>
      <c r="S337" s="442">
        <f t="array" ref="S337">INDEX(MINVALUES,$Q337,$K$1)</f>
        <v>5</v>
      </c>
      <c r="T337">
        <f t="array" ref="T337">INDEX(INCVALUES,$Q337,$K$1)</f>
        <v>0.5</v>
      </c>
      <c r="V337">
        <f t="array" ref="V337">+J337+(4*(INDEX(MatchScoreTable,$Q337,20)-1))</f>
        <v>4</v>
      </c>
      <c r="W337" s="442">
        <f t="array" ref="W337">INDEX(INC_MINVALUES,$V337,$K$1)</f>
        <v>2.5</v>
      </c>
      <c r="X337" s="212">
        <f t="array" ref="X337">INDEX(INC_INCVALUES,$V337,$K$1)</f>
        <v>0.5</v>
      </c>
    </row>
    <row r="338" ht="15.75" customHeight="1">
      <c r="A338" s="435"/>
      <c r="B338" s="436"/>
      <c r="C338" s="95" t="str">
        <f t="array" ref="C338">IF(I338&gt;0,INDEX(DB,I338,8),"")</f>
        <v/>
      </c>
      <c r="D338" s="437">
        <f t="shared" si="1"/>
        <v>0</v>
      </c>
      <c r="F338" s="438">
        <f t="shared" si="2"/>
        <v>0</v>
      </c>
      <c r="G338" t="str">
        <f t="shared" si="3"/>
        <v/>
      </c>
      <c r="H338" t="b">
        <f t="shared" si="4"/>
        <v>0</v>
      </c>
      <c r="I338" s="439">
        <f>IF(OR(ISBLANK(A338),ISNA(MATCH(A338&amp;"",AthleteNumbers,0))),0,MATCH(A338&amp;"",AthleteNumbers,0))</f>
        <v>0</v>
      </c>
      <c r="J338" s="209">
        <f t="array" ref="J338">IF(I338&gt;0,INDEX(DB,$I338,6),0)</f>
        <v>0</v>
      </c>
      <c r="K338" s="446">
        <f t="shared" si="5"/>
        <v>0</v>
      </c>
      <c r="L338" s="446">
        <f t="shared" si="6"/>
        <v>0</v>
      </c>
      <c r="M338" s="441">
        <f>IF(L338&lt;O338,MinPoints,IF(AND(L338&gt;N338,O338&gt;0),100,+INT(($L338-O338)/P338)+MinPoints))</f>
        <v>10</v>
      </c>
      <c r="N338" s="440">
        <f t="shared" si="7"/>
        <v>50</v>
      </c>
      <c r="O338" s="440">
        <f t="shared" si="8"/>
        <v>5</v>
      </c>
      <c r="P338" s="440">
        <f t="shared" si="9"/>
        <v>0.5</v>
      </c>
      <c r="Q338">
        <f t="array" ref="Q338">IF(I338&gt;0,INDEX(DB,I338,9),EventIndex)</f>
        <v>6</v>
      </c>
      <c r="S338" s="442">
        <f t="array" ref="S338">INDEX(MINVALUES,$Q338,$K$1)</f>
        <v>5</v>
      </c>
      <c r="T338">
        <f t="array" ref="T338">INDEX(INCVALUES,$Q338,$K$1)</f>
        <v>0.5</v>
      </c>
      <c r="V338">
        <f t="array" ref="V338">+J338+(4*(INDEX(MatchScoreTable,$Q338,20)-1))</f>
        <v>4</v>
      </c>
      <c r="W338" s="442">
        <f t="array" ref="W338">INDEX(INC_MINVALUES,$V338,$K$1)</f>
        <v>2.5</v>
      </c>
      <c r="X338" s="212">
        <f t="array" ref="X338">INDEX(INC_INCVALUES,$V338,$K$1)</f>
        <v>0.5</v>
      </c>
    </row>
    <row r="339" ht="15.75" customHeight="1">
      <c r="A339" s="435"/>
      <c r="B339" s="436"/>
      <c r="C339" s="95" t="str">
        <f t="array" ref="C339">IF(I339&gt;0,INDEX(DB,I339,8),"")</f>
        <v/>
      </c>
      <c r="D339" s="437">
        <f t="shared" si="1"/>
        <v>0</v>
      </c>
      <c r="F339" s="438">
        <f t="shared" si="2"/>
        <v>0</v>
      </c>
      <c r="G339" t="str">
        <f t="shared" si="3"/>
        <v/>
      </c>
      <c r="H339" t="b">
        <f t="shared" si="4"/>
        <v>0</v>
      </c>
      <c r="I339" s="439">
        <f>IF(OR(ISBLANK(A339),ISNA(MATCH(A339&amp;"",AthleteNumbers,0))),0,MATCH(A339&amp;"",AthleteNumbers,0))</f>
        <v>0</v>
      </c>
      <c r="J339" s="209">
        <f t="array" ref="J339">IF(I339&gt;0,INDEX(DB,$I339,6),0)</f>
        <v>0</v>
      </c>
      <c r="K339" s="446">
        <f t="shared" si="5"/>
        <v>0</v>
      </c>
      <c r="L339" s="446">
        <f t="shared" si="6"/>
        <v>0</v>
      </c>
      <c r="M339" s="441">
        <f>IF(L339&lt;O339,MinPoints,IF(AND(L339&gt;N339,O339&gt;0),100,+INT(($L339-O339)/P339)+MinPoints))</f>
        <v>10</v>
      </c>
      <c r="N339" s="440">
        <f t="shared" si="7"/>
        <v>50</v>
      </c>
      <c r="O339" s="440">
        <f t="shared" si="8"/>
        <v>5</v>
      </c>
      <c r="P339" s="440">
        <f t="shared" si="9"/>
        <v>0.5</v>
      </c>
      <c r="Q339">
        <f t="array" ref="Q339">IF(I339&gt;0,INDEX(DB,I339,9),EventIndex)</f>
        <v>6</v>
      </c>
      <c r="S339" s="442">
        <f t="array" ref="S339">INDEX(MINVALUES,$Q339,$K$1)</f>
        <v>5</v>
      </c>
      <c r="T339">
        <f t="array" ref="T339">INDEX(INCVALUES,$Q339,$K$1)</f>
        <v>0.5</v>
      </c>
      <c r="V339">
        <f t="array" ref="V339">+J339+(4*(INDEX(MatchScoreTable,$Q339,20)-1))</f>
        <v>4</v>
      </c>
      <c r="W339" s="442">
        <f t="array" ref="W339">INDEX(INC_MINVALUES,$V339,$K$1)</f>
        <v>2.5</v>
      </c>
      <c r="X339" s="212">
        <f t="array" ref="X339">INDEX(INC_INCVALUES,$V339,$K$1)</f>
        <v>0.5</v>
      </c>
    </row>
    <row r="340" ht="15.75" customHeight="1">
      <c r="A340" s="435"/>
      <c r="B340" s="436"/>
      <c r="C340" s="95" t="str">
        <f t="array" ref="C340">IF(I340&gt;0,INDEX(DB,I340,8),"")</f>
        <v/>
      </c>
      <c r="D340" s="437">
        <f t="shared" si="1"/>
        <v>0</v>
      </c>
      <c r="F340" s="438">
        <f t="shared" si="2"/>
        <v>0</v>
      </c>
      <c r="G340" t="str">
        <f t="shared" si="3"/>
        <v/>
      </c>
      <c r="H340" t="b">
        <f t="shared" si="4"/>
        <v>0</v>
      </c>
      <c r="I340" s="439">
        <f>IF(OR(ISBLANK(A340),ISNA(MATCH(A340&amp;"",AthleteNumbers,0))),0,MATCH(A340&amp;"",AthleteNumbers,0))</f>
        <v>0</v>
      </c>
      <c r="J340" s="209">
        <f t="array" ref="J340">IF(I340&gt;0,INDEX(DB,$I340,6),0)</f>
        <v>0</v>
      </c>
      <c r="K340" s="446">
        <f t="shared" si="5"/>
        <v>0</v>
      </c>
      <c r="L340" s="446">
        <f t="shared" si="6"/>
        <v>0</v>
      </c>
      <c r="M340" s="441">
        <f>IF(L340&lt;O340,MinPoints,IF(AND(L340&gt;N340,O340&gt;0),100,+INT(($L340-O340)/P340)+MinPoints))</f>
        <v>10</v>
      </c>
      <c r="N340" s="440">
        <f t="shared" si="7"/>
        <v>50</v>
      </c>
      <c r="O340" s="440">
        <f t="shared" si="8"/>
        <v>5</v>
      </c>
      <c r="P340" s="440">
        <f t="shared" si="9"/>
        <v>0.5</v>
      </c>
      <c r="Q340">
        <f t="array" ref="Q340">IF(I340&gt;0,INDEX(DB,I340,9),EventIndex)</f>
        <v>6</v>
      </c>
      <c r="S340" s="442">
        <f t="array" ref="S340">INDEX(MINVALUES,$Q340,$K$1)</f>
        <v>5</v>
      </c>
      <c r="T340">
        <f t="array" ref="T340">INDEX(INCVALUES,$Q340,$K$1)</f>
        <v>0.5</v>
      </c>
      <c r="V340">
        <f t="array" ref="V340">+J340+(4*(INDEX(MatchScoreTable,$Q340,20)-1))</f>
        <v>4</v>
      </c>
      <c r="W340" s="442">
        <f t="array" ref="W340">INDEX(INC_MINVALUES,$V340,$K$1)</f>
        <v>2.5</v>
      </c>
      <c r="X340" s="212">
        <f t="array" ref="X340">INDEX(INC_INCVALUES,$V340,$K$1)</f>
        <v>0.5</v>
      </c>
    </row>
    <row r="341" ht="15.75" customHeight="1">
      <c r="A341" s="435"/>
      <c r="B341" s="436"/>
      <c r="C341" s="95" t="str">
        <f t="array" ref="C341">IF(I341&gt;0,INDEX(DB,I341,8),"")</f>
        <v/>
      </c>
      <c r="D341" s="437">
        <f t="shared" si="1"/>
        <v>0</v>
      </c>
      <c r="F341" s="438">
        <f t="shared" si="2"/>
        <v>0</v>
      </c>
      <c r="G341" t="str">
        <f t="shared" si="3"/>
        <v/>
      </c>
      <c r="H341" t="b">
        <f t="shared" si="4"/>
        <v>0</v>
      </c>
      <c r="I341" s="439">
        <f>IF(OR(ISBLANK(A341),ISNA(MATCH(A341&amp;"",AthleteNumbers,0))),0,MATCH(A341&amp;"",AthleteNumbers,0))</f>
        <v>0</v>
      </c>
      <c r="J341" s="209">
        <f t="array" ref="J341">IF(I341&gt;0,INDEX(DB,$I341,6),0)</f>
        <v>0</v>
      </c>
      <c r="K341" s="446">
        <f t="shared" si="5"/>
        <v>0</v>
      </c>
      <c r="L341" s="446">
        <f t="shared" si="6"/>
        <v>0</v>
      </c>
      <c r="M341" s="441">
        <f>IF(L341&lt;O341,MinPoints,IF(AND(L341&gt;N341,O341&gt;0),100,+INT(($L341-O341)/P341)+MinPoints))</f>
        <v>10</v>
      </c>
      <c r="N341" s="440">
        <f t="shared" si="7"/>
        <v>50</v>
      </c>
      <c r="O341" s="440">
        <f t="shared" si="8"/>
        <v>5</v>
      </c>
      <c r="P341" s="440">
        <f t="shared" si="9"/>
        <v>0.5</v>
      </c>
      <c r="Q341">
        <f t="array" ref="Q341">IF(I341&gt;0,INDEX(DB,I341,9),EventIndex)</f>
        <v>6</v>
      </c>
      <c r="S341" s="442">
        <f t="array" ref="S341">INDEX(MINVALUES,$Q341,$K$1)</f>
        <v>5</v>
      </c>
      <c r="T341">
        <f t="array" ref="T341">INDEX(INCVALUES,$Q341,$K$1)</f>
        <v>0.5</v>
      </c>
      <c r="V341">
        <f t="array" ref="V341">+J341+(4*(INDEX(MatchScoreTable,$Q341,20)-1))</f>
        <v>4</v>
      </c>
      <c r="W341" s="442">
        <f t="array" ref="W341">INDEX(INC_MINVALUES,$V341,$K$1)</f>
        <v>2.5</v>
      </c>
      <c r="X341" s="212">
        <f t="array" ref="X341">INDEX(INC_INCVALUES,$V341,$K$1)</f>
        <v>0.5</v>
      </c>
    </row>
    <row r="342" ht="15.75" customHeight="1">
      <c r="A342" s="435"/>
      <c r="B342" s="436"/>
      <c r="C342" s="95" t="str">
        <f t="array" ref="C342">IF(I342&gt;0,INDEX(DB,I342,8),"")</f>
        <v/>
      </c>
      <c r="D342" s="437">
        <f t="shared" si="1"/>
        <v>0</v>
      </c>
      <c r="F342" s="438">
        <f t="shared" si="2"/>
        <v>0</v>
      </c>
      <c r="G342" t="str">
        <f t="shared" si="3"/>
        <v/>
      </c>
      <c r="H342" t="b">
        <f t="shared" si="4"/>
        <v>0</v>
      </c>
      <c r="I342" s="439">
        <f>IF(OR(ISBLANK(A342),ISNA(MATCH(A342&amp;"",AthleteNumbers,0))),0,MATCH(A342&amp;"",AthleteNumbers,0))</f>
        <v>0</v>
      </c>
      <c r="J342" s="209">
        <f t="array" ref="J342">IF(I342&gt;0,INDEX(DB,$I342,6),0)</f>
        <v>0</v>
      </c>
      <c r="K342" s="446">
        <f t="shared" si="5"/>
        <v>0</v>
      </c>
      <c r="L342" s="446">
        <f t="shared" si="6"/>
        <v>0</v>
      </c>
      <c r="M342" s="441">
        <f>IF(L342&lt;O342,MinPoints,IF(AND(L342&gt;N342,O342&gt;0),100,+INT(($L342-O342)/P342)+MinPoints))</f>
        <v>10</v>
      </c>
      <c r="N342" s="440">
        <f t="shared" si="7"/>
        <v>50</v>
      </c>
      <c r="O342" s="440">
        <f t="shared" si="8"/>
        <v>5</v>
      </c>
      <c r="P342" s="440">
        <f t="shared" si="9"/>
        <v>0.5</v>
      </c>
      <c r="Q342">
        <f t="array" ref="Q342">IF(I342&gt;0,INDEX(DB,I342,9),EventIndex)</f>
        <v>6</v>
      </c>
      <c r="S342" s="442">
        <f t="array" ref="S342">INDEX(MINVALUES,$Q342,$K$1)</f>
        <v>5</v>
      </c>
      <c r="T342">
        <f t="array" ref="T342">INDEX(INCVALUES,$Q342,$K$1)</f>
        <v>0.5</v>
      </c>
      <c r="V342">
        <f t="array" ref="V342">+J342+(4*(INDEX(MatchScoreTable,$Q342,20)-1))</f>
        <v>4</v>
      </c>
      <c r="W342" s="442">
        <f t="array" ref="W342">INDEX(INC_MINVALUES,$V342,$K$1)</f>
        <v>2.5</v>
      </c>
      <c r="X342" s="212">
        <f t="array" ref="X342">INDEX(INC_INCVALUES,$V342,$K$1)</f>
        <v>0.5</v>
      </c>
    </row>
    <row r="343" ht="15.75" customHeight="1">
      <c r="A343" s="435"/>
      <c r="B343" s="436"/>
      <c r="C343" s="95" t="str">
        <f t="array" ref="C343">IF(I343&gt;0,INDEX(DB,I343,8),"")</f>
        <v/>
      </c>
      <c r="D343" s="437">
        <f t="shared" si="1"/>
        <v>0</v>
      </c>
      <c r="F343" s="438">
        <f t="shared" si="2"/>
        <v>0</v>
      </c>
      <c r="G343" t="str">
        <f t="shared" si="3"/>
        <v/>
      </c>
      <c r="H343" t="b">
        <f t="shared" si="4"/>
        <v>0</v>
      </c>
      <c r="I343" s="439">
        <f>IF(OR(ISBLANK(A343),ISNA(MATCH(A343&amp;"",AthleteNumbers,0))),0,MATCH(A343&amp;"",AthleteNumbers,0))</f>
        <v>0</v>
      </c>
      <c r="J343" s="209">
        <f t="array" ref="J343">IF(I343&gt;0,INDEX(DB,$I343,6),0)</f>
        <v>0</v>
      </c>
      <c r="K343" s="446">
        <f t="shared" si="5"/>
        <v>0</v>
      </c>
      <c r="L343" s="446">
        <f t="shared" si="6"/>
        <v>0</v>
      </c>
      <c r="M343" s="441">
        <f>IF(L343&lt;O343,MinPoints,IF(AND(L343&gt;N343,O343&gt;0),100,+INT(($L343-O343)/P343)+MinPoints))</f>
        <v>10</v>
      </c>
      <c r="N343" s="440">
        <f t="shared" si="7"/>
        <v>50</v>
      </c>
      <c r="O343" s="440">
        <f t="shared" si="8"/>
        <v>5</v>
      </c>
      <c r="P343" s="440">
        <f t="shared" si="9"/>
        <v>0.5</v>
      </c>
      <c r="Q343">
        <f t="array" ref="Q343">IF(I343&gt;0,INDEX(DB,I343,9),EventIndex)</f>
        <v>6</v>
      </c>
      <c r="S343" s="442">
        <f t="array" ref="S343">INDEX(MINVALUES,$Q343,$K$1)</f>
        <v>5</v>
      </c>
      <c r="T343">
        <f t="array" ref="T343">INDEX(INCVALUES,$Q343,$K$1)</f>
        <v>0.5</v>
      </c>
      <c r="V343">
        <f t="array" ref="V343">+J343+(4*(INDEX(MatchScoreTable,$Q343,20)-1))</f>
        <v>4</v>
      </c>
      <c r="W343" s="442">
        <f t="array" ref="W343">INDEX(INC_MINVALUES,$V343,$K$1)</f>
        <v>2.5</v>
      </c>
      <c r="X343" s="212">
        <f t="array" ref="X343">INDEX(INC_INCVALUES,$V343,$K$1)</f>
        <v>0.5</v>
      </c>
    </row>
    <row r="344" ht="15.75" customHeight="1">
      <c r="A344" s="435"/>
      <c r="B344" s="436"/>
      <c r="C344" s="95" t="str">
        <f t="array" ref="C344">IF(I344&gt;0,INDEX(DB,I344,8),"")</f>
        <v/>
      </c>
      <c r="D344" s="437">
        <f t="shared" si="1"/>
        <v>0</v>
      </c>
      <c r="F344" s="438">
        <f t="shared" si="2"/>
        <v>0</v>
      </c>
      <c r="G344" t="str">
        <f t="shared" si="3"/>
        <v/>
      </c>
      <c r="H344" t="b">
        <f t="shared" si="4"/>
        <v>0</v>
      </c>
      <c r="I344" s="439">
        <f>IF(OR(ISBLANK(A344),ISNA(MATCH(A344&amp;"",AthleteNumbers,0))),0,MATCH(A344&amp;"",AthleteNumbers,0))</f>
        <v>0</v>
      </c>
      <c r="J344" s="209">
        <f t="array" ref="J344">IF(I344&gt;0,INDEX(DB,$I344,6),0)</f>
        <v>0</v>
      </c>
      <c r="K344" s="446">
        <f t="shared" si="5"/>
        <v>0</v>
      </c>
      <c r="L344" s="446">
        <f t="shared" si="6"/>
        <v>0</v>
      </c>
      <c r="M344" s="441">
        <f>IF(L344&lt;O344,MinPoints,IF(AND(L344&gt;N344,O344&gt;0),100,+INT(($L344-O344)/P344)+MinPoints))</f>
        <v>10</v>
      </c>
      <c r="N344" s="440">
        <f t="shared" si="7"/>
        <v>50</v>
      </c>
      <c r="O344" s="440">
        <f t="shared" si="8"/>
        <v>5</v>
      </c>
      <c r="P344" s="440">
        <f t="shared" si="9"/>
        <v>0.5</v>
      </c>
      <c r="Q344">
        <f t="array" ref="Q344">IF(I344&gt;0,INDEX(DB,I344,9),EventIndex)</f>
        <v>6</v>
      </c>
      <c r="S344" s="442">
        <f t="array" ref="S344">INDEX(MINVALUES,$Q344,$K$1)</f>
        <v>5</v>
      </c>
      <c r="T344">
        <f t="array" ref="T344">INDEX(INCVALUES,$Q344,$K$1)</f>
        <v>0.5</v>
      </c>
      <c r="V344">
        <f t="array" ref="V344">+J344+(4*(INDEX(MatchScoreTable,$Q344,20)-1))</f>
        <v>4</v>
      </c>
      <c r="W344" s="442">
        <f t="array" ref="W344">INDEX(INC_MINVALUES,$V344,$K$1)</f>
        <v>2.5</v>
      </c>
      <c r="X344" s="212">
        <f t="array" ref="X344">INDEX(INC_INCVALUES,$V344,$K$1)</f>
        <v>0.5</v>
      </c>
    </row>
    <row r="345" ht="15.75" customHeight="1">
      <c r="A345" s="435"/>
      <c r="B345" s="436"/>
      <c r="C345" s="95" t="str">
        <f t="array" ref="C345">IF(I345&gt;0,INDEX(DB,I345,8),"")</f>
        <v/>
      </c>
      <c r="D345" s="437">
        <f t="shared" si="1"/>
        <v>0</v>
      </c>
      <c r="F345" s="438">
        <f t="shared" si="2"/>
        <v>0</v>
      </c>
      <c r="G345" t="str">
        <f t="shared" si="3"/>
        <v/>
      </c>
      <c r="H345" t="b">
        <f t="shared" si="4"/>
        <v>0</v>
      </c>
      <c r="I345" s="439">
        <f>IF(OR(ISBLANK(A345),ISNA(MATCH(A345&amp;"",AthleteNumbers,0))),0,MATCH(A345&amp;"",AthleteNumbers,0))</f>
        <v>0</v>
      </c>
      <c r="J345" s="209">
        <f t="array" ref="J345">IF(I345&gt;0,INDEX(DB,$I345,6),0)</f>
        <v>0</v>
      </c>
      <c r="K345" s="446">
        <f t="shared" si="5"/>
        <v>0</v>
      </c>
      <c r="L345" s="446">
        <f t="shared" si="6"/>
        <v>0</v>
      </c>
      <c r="M345" s="441">
        <f>IF(L345&lt;O345,MinPoints,IF(AND(L345&gt;N345,O345&gt;0),100,+INT(($L345-O345)/P345)+MinPoints))</f>
        <v>10</v>
      </c>
      <c r="N345" s="440">
        <f t="shared" si="7"/>
        <v>50</v>
      </c>
      <c r="O345" s="440">
        <f t="shared" si="8"/>
        <v>5</v>
      </c>
      <c r="P345" s="440">
        <f t="shared" si="9"/>
        <v>0.5</v>
      </c>
      <c r="Q345">
        <f t="array" ref="Q345">IF(I345&gt;0,INDEX(DB,I345,9),EventIndex)</f>
        <v>6</v>
      </c>
      <c r="S345" s="442">
        <f t="array" ref="S345">INDEX(MINVALUES,$Q345,$K$1)</f>
        <v>5</v>
      </c>
      <c r="T345">
        <f t="array" ref="T345">INDEX(INCVALUES,$Q345,$K$1)</f>
        <v>0.5</v>
      </c>
      <c r="V345">
        <f t="array" ref="V345">+J345+(4*(INDEX(MatchScoreTable,$Q345,20)-1))</f>
        <v>4</v>
      </c>
      <c r="W345" s="442">
        <f t="array" ref="W345">INDEX(INC_MINVALUES,$V345,$K$1)</f>
        <v>2.5</v>
      </c>
      <c r="X345" s="212">
        <f t="array" ref="X345">INDEX(INC_INCVALUES,$V345,$K$1)</f>
        <v>0.5</v>
      </c>
    </row>
    <row r="346" ht="15.75" customHeight="1">
      <c r="A346" s="435"/>
      <c r="B346" s="436"/>
      <c r="C346" s="95" t="str">
        <f t="array" ref="C346">IF(I346&gt;0,INDEX(DB,I346,8),"")</f>
        <v/>
      </c>
      <c r="D346" s="437">
        <f t="shared" si="1"/>
        <v>0</v>
      </c>
      <c r="F346" s="438">
        <f t="shared" si="2"/>
        <v>0</v>
      </c>
      <c r="G346" t="str">
        <f t="shared" si="3"/>
        <v/>
      </c>
      <c r="H346" t="b">
        <f t="shared" si="4"/>
        <v>0</v>
      </c>
      <c r="I346" s="439">
        <f>IF(OR(ISBLANK(A346),ISNA(MATCH(A346&amp;"",AthleteNumbers,0))),0,MATCH(A346&amp;"",AthleteNumbers,0))</f>
        <v>0</v>
      </c>
      <c r="J346" s="209">
        <f t="array" ref="J346">IF(I346&gt;0,INDEX(DB,$I346,6),0)</f>
        <v>0</v>
      </c>
      <c r="K346" s="446">
        <f t="shared" si="5"/>
        <v>0</v>
      </c>
      <c r="L346" s="446">
        <f t="shared" si="6"/>
        <v>0</v>
      </c>
      <c r="M346" s="441">
        <f>IF(L346&lt;O346,MinPoints,IF(AND(L346&gt;N346,O346&gt;0),100,+INT(($L346-O346)/P346)+MinPoints))</f>
        <v>10</v>
      </c>
      <c r="N346" s="440">
        <f t="shared" si="7"/>
        <v>50</v>
      </c>
      <c r="O346" s="440">
        <f t="shared" si="8"/>
        <v>5</v>
      </c>
      <c r="P346" s="440">
        <f t="shared" si="9"/>
        <v>0.5</v>
      </c>
      <c r="Q346">
        <f t="array" ref="Q346">IF(I346&gt;0,INDEX(DB,I346,9),EventIndex)</f>
        <v>6</v>
      </c>
      <c r="S346" s="442">
        <f t="array" ref="S346">INDEX(MINVALUES,$Q346,$K$1)</f>
        <v>5</v>
      </c>
      <c r="T346">
        <f t="array" ref="T346">INDEX(INCVALUES,$Q346,$K$1)</f>
        <v>0.5</v>
      </c>
      <c r="V346">
        <f t="array" ref="V346">+J346+(4*(INDEX(MatchScoreTable,$Q346,20)-1))</f>
        <v>4</v>
      </c>
      <c r="W346" s="442">
        <f t="array" ref="W346">INDEX(INC_MINVALUES,$V346,$K$1)</f>
        <v>2.5</v>
      </c>
      <c r="X346" s="212">
        <f t="array" ref="X346">INDEX(INC_INCVALUES,$V346,$K$1)</f>
        <v>0.5</v>
      </c>
    </row>
    <row r="347" ht="15.75" customHeight="1">
      <c r="A347" s="435"/>
      <c r="B347" s="436"/>
      <c r="C347" s="95" t="str">
        <f t="array" ref="C347">IF(I347&gt;0,INDEX(DB,I347,8),"")</f>
        <v/>
      </c>
      <c r="D347" s="437">
        <f t="shared" si="1"/>
        <v>0</v>
      </c>
      <c r="F347" s="438">
        <f t="shared" si="2"/>
        <v>0</v>
      </c>
      <c r="G347" t="str">
        <f t="shared" si="3"/>
        <v/>
      </c>
      <c r="H347" t="b">
        <f t="shared" si="4"/>
        <v>0</v>
      </c>
      <c r="I347" s="439">
        <f>IF(OR(ISBLANK(A347),ISNA(MATCH(A347&amp;"",AthleteNumbers,0))),0,MATCH(A347&amp;"",AthleteNumbers,0))</f>
        <v>0</v>
      </c>
      <c r="J347" s="209">
        <f t="array" ref="J347">IF(I347&gt;0,INDEX(DB,$I347,6),0)</f>
        <v>0</v>
      </c>
      <c r="K347" s="446">
        <f t="shared" si="5"/>
        <v>0</v>
      </c>
      <c r="L347" s="446">
        <f t="shared" si="6"/>
        <v>0</v>
      </c>
      <c r="M347" s="441">
        <f>IF(L347&lt;O347,MinPoints,IF(AND(L347&gt;N347,O347&gt;0),100,+INT(($L347-O347)/P347)+MinPoints))</f>
        <v>10</v>
      </c>
      <c r="N347" s="440">
        <f t="shared" si="7"/>
        <v>50</v>
      </c>
      <c r="O347" s="440">
        <f t="shared" si="8"/>
        <v>5</v>
      </c>
      <c r="P347" s="440">
        <f t="shared" si="9"/>
        <v>0.5</v>
      </c>
      <c r="Q347">
        <f t="array" ref="Q347">IF(I347&gt;0,INDEX(DB,I347,9),EventIndex)</f>
        <v>6</v>
      </c>
      <c r="S347" s="442">
        <f t="array" ref="S347">INDEX(MINVALUES,$Q347,$K$1)</f>
        <v>5</v>
      </c>
      <c r="T347">
        <f t="array" ref="T347">INDEX(INCVALUES,$Q347,$K$1)</f>
        <v>0.5</v>
      </c>
      <c r="V347">
        <f t="array" ref="V347">+J347+(4*(INDEX(MatchScoreTable,$Q347,20)-1))</f>
        <v>4</v>
      </c>
      <c r="W347" s="442">
        <f t="array" ref="W347">INDEX(INC_MINVALUES,$V347,$K$1)</f>
        <v>2.5</v>
      </c>
      <c r="X347" s="212">
        <f t="array" ref="X347">INDEX(INC_INCVALUES,$V347,$K$1)</f>
        <v>0.5</v>
      </c>
    </row>
    <row r="348" ht="15.75" customHeight="1">
      <c r="A348" s="435"/>
      <c r="B348" s="436"/>
      <c r="C348" s="95" t="str">
        <f t="array" ref="C348">IF(I348&gt;0,INDEX(DB,I348,8),"")</f>
        <v/>
      </c>
      <c r="D348" s="437">
        <f t="shared" si="1"/>
        <v>0</v>
      </c>
      <c r="F348" s="438">
        <f t="shared" si="2"/>
        <v>0</v>
      </c>
      <c r="G348" t="str">
        <f t="shared" si="3"/>
        <v/>
      </c>
      <c r="H348" t="b">
        <f t="shared" si="4"/>
        <v>0</v>
      </c>
      <c r="I348" s="439">
        <f>IF(OR(ISBLANK(A348),ISNA(MATCH(A348&amp;"",AthleteNumbers,0))),0,MATCH(A348&amp;"",AthleteNumbers,0))</f>
        <v>0</v>
      </c>
      <c r="J348" s="209">
        <f t="array" ref="J348">IF(I348&gt;0,INDEX(DB,$I348,6),0)</f>
        <v>0</v>
      </c>
      <c r="K348" s="446">
        <f t="shared" si="5"/>
        <v>0</v>
      </c>
      <c r="L348" s="446">
        <f t="shared" si="6"/>
        <v>0</v>
      </c>
      <c r="M348" s="441">
        <f>IF(L348&lt;O348,MinPoints,IF(AND(L348&gt;N348,O348&gt;0),100,+INT(($L348-O348)/P348)+MinPoints))</f>
        <v>10</v>
      </c>
      <c r="N348" s="440">
        <f t="shared" si="7"/>
        <v>50</v>
      </c>
      <c r="O348" s="440">
        <f t="shared" si="8"/>
        <v>5</v>
      </c>
      <c r="P348" s="440">
        <f t="shared" si="9"/>
        <v>0.5</v>
      </c>
      <c r="Q348">
        <f t="array" ref="Q348">IF(I348&gt;0,INDEX(DB,I348,9),EventIndex)</f>
        <v>6</v>
      </c>
      <c r="S348" s="442">
        <f t="array" ref="S348">INDEX(MINVALUES,$Q348,$K$1)</f>
        <v>5</v>
      </c>
      <c r="T348">
        <f t="array" ref="T348">INDEX(INCVALUES,$Q348,$K$1)</f>
        <v>0.5</v>
      </c>
      <c r="V348">
        <f t="array" ref="V348">+J348+(4*(INDEX(MatchScoreTable,$Q348,20)-1))</f>
        <v>4</v>
      </c>
      <c r="W348" s="442">
        <f t="array" ref="W348">INDEX(INC_MINVALUES,$V348,$K$1)</f>
        <v>2.5</v>
      </c>
      <c r="X348" s="212">
        <f t="array" ref="X348">INDEX(INC_INCVALUES,$V348,$K$1)</f>
        <v>0.5</v>
      </c>
    </row>
    <row r="349" ht="15.75" customHeight="1">
      <c r="A349" s="435"/>
      <c r="B349" s="436"/>
      <c r="C349" s="95" t="str">
        <f t="array" ref="C349">IF(I349&gt;0,INDEX(DB,I349,8),"")</f>
        <v/>
      </c>
      <c r="D349" s="437">
        <f t="shared" si="1"/>
        <v>0</v>
      </c>
      <c r="F349" s="438">
        <f t="shared" si="2"/>
        <v>0</v>
      </c>
      <c r="G349" t="str">
        <f t="shared" si="3"/>
        <v/>
      </c>
      <c r="H349" t="b">
        <f t="shared" si="4"/>
        <v>0</v>
      </c>
      <c r="I349" s="439">
        <f>IF(OR(ISBLANK(A349),ISNA(MATCH(A349&amp;"",AthleteNumbers,0))),0,MATCH(A349&amp;"",AthleteNumbers,0))</f>
        <v>0</v>
      </c>
      <c r="J349" s="209">
        <f t="array" ref="J349">IF(I349&gt;0,INDEX(DB,$I349,6),0)</f>
        <v>0</v>
      </c>
      <c r="K349" s="446">
        <f t="shared" si="5"/>
        <v>0</v>
      </c>
      <c r="L349" s="446">
        <f t="shared" si="6"/>
        <v>0</v>
      </c>
      <c r="M349" s="441">
        <f>IF(L349&lt;O349,MinPoints,IF(AND(L349&gt;N349,O349&gt;0),100,+INT(($L349-O349)/P349)+MinPoints))</f>
        <v>10</v>
      </c>
      <c r="N349" s="440">
        <f t="shared" si="7"/>
        <v>50</v>
      </c>
      <c r="O349" s="440">
        <f t="shared" si="8"/>
        <v>5</v>
      </c>
      <c r="P349" s="440">
        <f t="shared" si="9"/>
        <v>0.5</v>
      </c>
      <c r="Q349">
        <f t="array" ref="Q349">IF(I349&gt;0,INDEX(DB,I349,9),EventIndex)</f>
        <v>6</v>
      </c>
      <c r="S349" s="442">
        <f t="array" ref="S349">INDEX(MINVALUES,$Q349,$K$1)</f>
        <v>5</v>
      </c>
      <c r="T349">
        <f t="array" ref="T349">INDEX(INCVALUES,$Q349,$K$1)</f>
        <v>0.5</v>
      </c>
      <c r="V349">
        <f t="array" ref="V349">+J349+(4*(INDEX(MatchScoreTable,$Q349,20)-1))</f>
        <v>4</v>
      </c>
      <c r="W349" s="442">
        <f t="array" ref="W349">INDEX(INC_MINVALUES,$V349,$K$1)</f>
        <v>2.5</v>
      </c>
      <c r="X349" s="212">
        <f t="array" ref="X349">INDEX(INC_INCVALUES,$V349,$K$1)</f>
        <v>0.5</v>
      </c>
    </row>
    <row r="350" ht="15.75" customHeight="1">
      <c r="A350" s="435"/>
      <c r="B350" s="436"/>
      <c r="C350" s="95" t="str">
        <f t="array" ref="C350">IF(I350&gt;0,INDEX(DB,I350,8),"")</f>
        <v/>
      </c>
      <c r="D350" s="437">
        <f t="shared" si="1"/>
        <v>0</v>
      </c>
      <c r="F350" s="438">
        <f t="shared" si="2"/>
        <v>0</v>
      </c>
      <c r="G350" t="str">
        <f t="shared" si="3"/>
        <v/>
      </c>
      <c r="H350" t="b">
        <f t="shared" si="4"/>
        <v>0</v>
      </c>
      <c r="I350" s="439">
        <f>IF(OR(ISBLANK(A350),ISNA(MATCH(A350&amp;"",AthleteNumbers,0))),0,MATCH(A350&amp;"",AthleteNumbers,0))</f>
        <v>0</v>
      </c>
      <c r="J350" s="209">
        <f t="array" ref="J350">IF(I350&gt;0,INDEX(DB,$I350,6),0)</f>
        <v>0</v>
      </c>
      <c r="K350" s="446">
        <f t="shared" si="5"/>
        <v>0</v>
      </c>
      <c r="L350" s="446">
        <f t="shared" si="6"/>
        <v>0</v>
      </c>
      <c r="M350" s="441">
        <f>IF(L350&lt;O350,MinPoints,IF(AND(L350&gt;N350,O350&gt;0),100,+INT(($L350-O350)/P350)+MinPoints))</f>
        <v>10</v>
      </c>
      <c r="N350" s="440">
        <f t="shared" si="7"/>
        <v>50</v>
      </c>
      <c r="O350" s="440">
        <f t="shared" si="8"/>
        <v>5</v>
      </c>
      <c r="P350" s="440">
        <f t="shared" si="9"/>
        <v>0.5</v>
      </c>
      <c r="Q350">
        <f t="array" ref="Q350">IF(I350&gt;0,INDEX(DB,I350,9),EventIndex)</f>
        <v>6</v>
      </c>
      <c r="S350" s="442">
        <f t="array" ref="S350">INDEX(MINVALUES,$Q350,$K$1)</f>
        <v>5</v>
      </c>
      <c r="T350">
        <f t="array" ref="T350">INDEX(INCVALUES,$Q350,$K$1)</f>
        <v>0.5</v>
      </c>
      <c r="V350">
        <f t="array" ref="V350">+J350+(4*(INDEX(MatchScoreTable,$Q350,20)-1))</f>
        <v>4</v>
      </c>
      <c r="W350" s="442">
        <f t="array" ref="W350">INDEX(INC_MINVALUES,$V350,$K$1)</f>
        <v>2.5</v>
      </c>
      <c r="X350" s="212">
        <f t="array" ref="X350">INDEX(INC_INCVALUES,$V350,$K$1)</f>
        <v>0.5</v>
      </c>
    </row>
    <row r="351" ht="15.75" customHeight="1">
      <c r="A351" s="435"/>
      <c r="B351" s="436"/>
      <c r="C351" s="95" t="str">
        <f t="array" ref="C351">IF(I351&gt;0,INDEX(DB,I351,8),"")</f>
        <v/>
      </c>
      <c r="D351" s="437">
        <f t="shared" si="1"/>
        <v>0</v>
      </c>
      <c r="F351" s="438">
        <f t="shared" si="2"/>
        <v>0</v>
      </c>
      <c r="G351" t="str">
        <f t="shared" si="3"/>
        <v/>
      </c>
      <c r="H351" t="b">
        <f t="shared" si="4"/>
        <v>0</v>
      </c>
      <c r="I351" s="439">
        <f>IF(OR(ISBLANK(A351),ISNA(MATCH(A351&amp;"",AthleteNumbers,0))),0,MATCH(A351&amp;"",AthleteNumbers,0))</f>
        <v>0</v>
      </c>
      <c r="J351" s="209">
        <f t="array" ref="J351">IF(I351&gt;0,INDEX(DB,$I351,6),0)</f>
        <v>0</v>
      </c>
      <c r="K351" s="446">
        <f t="shared" si="5"/>
        <v>0</v>
      </c>
      <c r="L351" s="446">
        <f t="shared" si="6"/>
        <v>0</v>
      </c>
      <c r="M351" s="441">
        <f>IF(L351&lt;O351,MinPoints,IF(AND(L351&gt;N351,O351&gt;0),100,+INT(($L351-O351)/P351)+MinPoints))</f>
        <v>10</v>
      </c>
      <c r="N351" s="440">
        <f t="shared" si="7"/>
        <v>50</v>
      </c>
      <c r="O351" s="440">
        <f t="shared" si="8"/>
        <v>5</v>
      </c>
      <c r="P351" s="440">
        <f t="shared" si="9"/>
        <v>0.5</v>
      </c>
      <c r="Q351">
        <f t="array" ref="Q351">IF(I351&gt;0,INDEX(DB,I351,9),EventIndex)</f>
        <v>6</v>
      </c>
      <c r="S351" s="442">
        <f t="array" ref="S351">INDEX(MINVALUES,$Q351,$K$1)</f>
        <v>5</v>
      </c>
      <c r="T351">
        <f t="array" ref="T351">INDEX(INCVALUES,$Q351,$K$1)</f>
        <v>0.5</v>
      </c>
      <c r="V351">
        <f t="array" ref="V351">+J351+(4*(INDEX(MatchScoreTable,$Q351,20)-1))</f>
        <v>4</v>
      </c>
      <c r="W351" s="442">
        <f t="array" ref="W351">INDEX(INC_MINVALUES,$V351,$K$1)</f>
        <v>2.5</v>
      </c>
      <c r="X351" s="212">
        <f t="array" ref="X351">INDEX(INC_INCVALUES,$V351,$K$1)</f>
        <v>0.5</v>
      </c>
    </row>
    <row r="352" ht="15.75" customHeight="1">
      <c r="A352" s="435"/>
      <c r="B352" s="436"/>
      <c r="C352" s="95" t="str">
        <f t="array" ref="C352">IF(I352&gt;0,INDEX(DB,I352,8),"")</f>
        <v/>
      </c>
      <c r="D352" s="437">
        <f t="shared" si="1"/>
        <v>0</v>
      </c>
      <c r="F352" s="438">
        <f t="shared" si="2"/>
        <v>0</v>
      </c>
      <c r="G352" t="str">
        <f t="shared" si="3"/>
        <v/>
      </c>
      <c r="H352" t="b">
        <f t="shared" si="4"/>
        <v>0</v>
      </c>
      <c r="I352" s="439">
        <f>IF(OR(ISBLANK(A352),ISNA(MATCH(A352&amp;"",AthleteNumbers,0))),0,MATCH(A352&amp;"",AthleteNumbers,0))</f>
        <v>0</v>
      </c>
      <c r="J352" s="209">
        <f t="array" ref="J352">IF(I352&gt;0,INDEX(DB,$I352,6),0)</f>
        <v>0</v>
      </c>
      <c r="K352" s="446">
        <f t="shared" si="5"/>
        <v>0</v>
      </c>
      <c r="L352" s="446">
        <f t="shared" si="6"/>
        <v>0</v>
      </c>
      <c r="M352" s="441">
        <f>IF(L352&lt;O352,MinPoints,IF(AND(L352&gt;N352,O352&gt;0),100,+INT(($L352-O352)/P352)+MinPoints))</f>
        <v>10</v>
      </c>
      <c r="N352" s="440">
        <f t="shared" si="7"/>
        <v>50</v>
      </c>
      <c r="O352" s="440">
        <f t="shared" si="8"/>
        <v>5</v>
      </c>
      <c r="P352" s="440">
        <f t="shared" si="9"/>
        <v>0.5</v>
      </c>
      <c r="Q352">
        <f t="array" ref="Q352">IF(I352&gt;0,INDEX(DB,I352,9),EventIndex)</f>
        <v>6</v>
      </c>
      <c r="S352" s="442">
        <f t="array" ref="S352">INDEX(MINVALUES,$Q352,$K$1)</f>
        <v>5</v>
      </c>
      <c r="T352">
        <f t="array" ref="T352">INDEX(INCVALUES,$Q352,$K$1)</f>
        <v>0.5</v>
      </c>
      <c r="V352">
        <f t="array" ref="V352">+J352+(4*(INDEX(MatchScoreTable,$Q352,20)-1))</f>
        <v>4</v>
      </c>
      <c r="W352" s="442">
        <f t="array" ref="W352">INDEX(INC_MINVALUES,$V352,$K$1)</f>
        <v>2.5</v>
      </c>
      <c r="X352" s="212">
        <f t="array" ref="X352">INDEX(INC_INCVALUES,$V352,$K$1)</f>
        <v>0.5</v>
      </c>
    </row>
    <row r="353" ht="15.75" customHeight="1">
      <c r="A353" s="435"/>
      <c r="B353" s="436"/>
      <c r="C353" s="95" t="str">
        <f t="array" ref="C353">IF(I353&gt;0,INDEX(DB,I353,8),"")</f>
        <v/>
      </c>
      <c r="D353" s="437">
        <f t="shared" si="1"/>
        <v>0</v>
      </c>
      <c r="F353" s="438">
        <f t="shared" si="2"/>
        <v>0</v>
      </c>
      <c r="G353" t="str">
        <f t="shared" si="3"/>
        <v/>
      </c>
      <c r="H353" t="b">
        <f t="shared" si="4"/>
        <v>0</v>
      </c>
      <c r="I353" s="439">
        <f>IF(OR(ISBLANK(A353),ISNA(MATCH(A353&amp;"",AthleteNumbers,0))),0,MATCH(A353&amp;"",AthleteNumbers,0))</f>
        <v>0</v>
      </c>
      <c r="J353" s="209">
        <f t="array" ref="J353">IF(I353&gt;0,INDEX(DB,$I353,6),0)</f>
        <v>0</v>
      </c>
      <c r="K353" s="446">
        <f t="shared" si="5"/>
        <v>0</v>
      </c>
      <c r="L353" s="446">
        <f t="shared" si="6"/>
        <v>0</v>
      </c>
      <c r="M353" s="441">
        <f>IF(L353&lt;O353,MinPoints,IF(AND(L353&gt;N353,O353&gt;0),100,+INT(($L353-O353)/P353)+MinPoints))</f>
        <v>10</v>
      </c>
      <c r="N353" s="440">
        <f t="shared" si="7"/>
        <v>50</v>
      </c>
      <c r="O353" s="440">
        <f t="shared" si="8"/>
        <v>5</v>
      </c>
      <c r="P353" s="440">
        <f t="shared" si="9"/>
        <v>0.5</v>
      </c>
      <c r="Q353">
        <f t="array" ref="Q353">IF(I353&gt;0,INDEX(DB,I353,9),EventIndex)</f>
        <v>6</v>
      </c>
      <c r="S353" s="442">
        <f t="array" ref="S353">INDEX(MINVALUES,$Q353,$K$1)</f>
        <v>5</v>
      </c>
      <c r="T353">
        <f t="array" ref="T353">INDEX(INCVALUES,$Q353,$K$1)</f>
        <v>0.5</v>
      </c>
      <c r="V353">
        <f t="array" ref="V353">+J353+(4*(INDEX(MatchScoreTable,$Q353,20)-1))</f>
        <v>4</v>
      </c>
      <c r="W353" s="442">
        <f t="array" ref="W353">INDEX(INC_MINVALUES,$V353,$K$1)</f>
        <v>2.5</v>
      </c>
      <c r="X353" s="212">
        <f t="array" ref="X353">INDEX(INC_INCVALUES,$V353,$K$1)</f>
        <v>0.5</v>
      </c>
    </row>
    <row r="354" ht="15.75" customHeight="1">
      <c r="A354" s="435"/>
      <c r="B354" s="436"/>
      <c r="C354" s="95" t="str">
        <f t="array" ref="C354">IF(I354&gt;0,INDEX(DB,I354,8),"")</f>
        <v/>
      </c>
      <c r="D354" s="437">
        <f t="shared" si="1"/>
        <v>0</v>
      </c>
      <c r="F354" s="438">
        <f t="shared" si="2"/>
        <v>0</v>
      </c>
      <c r="G354" t="str">
        <f t="shared" si="3"/>
        <v/>
      </c>
      <c r="H354" t="b">
        <f t="shared" si="4"/>
        <v>0</v>
      </c>
      <c r="I354" s="439">
        <f>IF(OR(ISBLANK(A354),ISNA(MATCH(A354&amp;"",AthleteNumbers,0))),0,MATCH(A354&amp;"",AthleteNumbers,0))</f>
        <v>0</v>
      </c>
      <c r="J354" s="209">
        <f t="array" ref="J354">IF(I354&gt;0,INDEX(DB,$I354,6),0)</f>
        <v>0</v>
      </c>
      <c r="K354" s="446">
        <f t="shared" si="5"/>
        <v>0</v>
      </c>
      <c r="L354" s="446">
        <f t="shared" si="6"/>
        <v>0</v>
      </c>
      <c r="M354" s="441">
        <f>IF(L354&lt;O354,MinPoints,IF(AND(L354&gt;N354,O354&gt;0),100,+INT(($L354-O354)/P354)+MinPoints))</f>
        <v>10</v>
      </c>
      <c r="N354" s="440">
        <f t="shared" si="7"/>
        <v>50</v>
      </c>
      <c r="O354" s="440">
        <f t="shared" si="8"/>
        <v>5</v>
      </c>
      <c r="P354" s="440">
        <f t="shared" si="9"/>
        <v>0.5</v>
      </c>
      <c r="Q354">
        <f t="array" ref="Q354">IF(I354&gt;0,INDEX(DB,I354,9),EventIndex)</f>
        <v>6</v>
      </c>
      <c r="S354" s="442">
        <f t="array" ref="S354">INDEX(MINVALUES,$Q354,$K$1)</f>
        <v>5</v>
      </c>
      <c r="T354">
        <f t="array" ref="T354">INDEX(INCVALUES,$Q354,$K$1)</f>
        <v>0.5</v>
      </c>
      <c r="V354">
        <f t="array" ref="V354">+J354+(4*(INDEX(MatchScoreTable,$Q354,20)-1))</f>
        <v>4</v>
      </c>
      <c r="W354" s="442">
        <f t="array" ref="W354">INDEX(INC_MINVALUES,$V354,$K$1)</f>
        <v>2.5</v>
      </c>
      <c r="X354" s="212">
        <f t="array" ref="X354">INDEX(INC_INCVALUES,$V354,$K$1)</f>
        <v>0.5</v>
      </c>
    </row>
    <row r="355" ht="15.75" customHeight="1">
      <c r="A355" s="435"/>
      <c r="B355" s="436"/>
      <c r="C355" s="95" t="str">
        <f t="array" ref="C355">IF(I355&gt;0,INDEX(DB,I355,8),"")</f>
        <v/>
      </c>
      <c r="D355" s="437">
        <f t="shared" si="1"/>
        <v>0</v>
      </c>
      <c r="F355" s="438">
        <f t="shared" si="2"/>
        <v>0</v>
      </c>
      <c r="G355" t="str">
        <f t="shared" si="3"/>
        <v/>
      </c>
      <c r="H355" t="b">
        <f t="shared" si="4"/>
        <v>0</v>
      </c>
      <c r="I355" s="439">
        <f>IF(OR(ISBLANK(A355),ISNA(MATCH(A355&amp;"",AthleteNumbers,0))),0,MATCH(A355&amp;"",AthleteNumbers,0))</f>
        <v>0</v>
      </c>
      <c r="J355" s="209">
        <f t="array" ref="J355">IF(I355&gt;0,INDEX(DB,$I355,6),0)</f>
        <v>0</v>
      </c>
      <c r="K355" s="446">
        <f t="shared" si="5"/>
        <v>0</v>
      </c>
      <c r="L355" s="446">
        <f t="shared" si="6"/>
        <v>0</v>
      </c>
      <c r="M355" s="441">
        <f>IF(L355&lt;O355,MinPoints,IF(AND(L355&gt;N355,O355&gt;0),100,+INT(($L355-O355)/P355)+MinPoints))</f>
        <v>10</v>
      </c>
      <c r="N355" s="440">
        <f t="shared" si="7"/>
        <v>50</v>
      </c>
      <c r="O355" s="440">
        <f t="shared" si="8"/>
        <v>5</v>
      </c>
      <c r="P355" s="440">
        <f t="shared" si="9"/>
        <v>0.5</v>
      </c>
      <c r="Q355">
        <f t="array" ref="Q355">IF(I355&gt;0,INDEX(DB,I355,9),EventIndex)</f>
        <v>6</v>
      </c>
      <c r="S355" s="442">
        <f t="array" ref="S355">INDEX(MINVALUES,$Q355,$K$1)</f>
        <v>5</v>
      </c>
      <c r="T355">
        <f t="array" ref="T355">INDEX(INCVALUES,$Q355,$K$1)</f>
        <v>0.5</v>
      </c>
      <c r="V355">
        <f t="array" ref="V355">+J355+(4*(INDEX(MatchScoreTable,$Q355,20)-1))</f>
        <v>4</v>
      </c>
      <c r="W355" s="442">
        <f t="array" ref="W355">INDEX(INC_MINVALUES,$V355,$K$1)</f>
        <v>2.5</v>
      </c>
      <c r="X355" s="212">
        <f t="array" ref="X355">INDEX(INC_INCVALUES,$V355,$K$1)</f>
        <v>0.5</v>
      </c>
    </row>
    <row r="356" ht="15.75" customHeight="1">
      <c r="A356" s="435"/>
      <c r="B356" s="436"/>
      <c r="C356" s="95" t="str">
        <f t="array" ref="C356">IF(I356&gt;0,INDEX(DB,I356,8),"")</f>
        <v/>
      </c>
      <c r="D356" s="437">
        <f t="shared" si="1"/>
        <v>0</v>
      </c>
      <c r="F356" s="438">
        <f t="shared" si="2"/>
        <v>0</v>
      </c>
      <c r="G356" t="str">
        <f t="shared" si="3"/>
        <v/>
      </c>
      <c r="H356" t="b">
        <f t="shared" si="4"/>
        <v>0</v>
      </c>
      <c r="I356" s="439">
        <f>IF(OR(ISBLANK(A356),ISNA(MATCH(A356&amp;"",AthleteNumbers,0))),0,MATCH(A356&amp;"",AthleteNumbers,0))</f>
        <v>0</v>
      </c>
      <c r="J356" s="209">
        <f t="array" ref="J356">IF(I356&gt;0,INDEX(DB,$I356,6),0)</f>
        <v>0</v>
      </c>
      <c r="K356" s="446">
        <f t="shared" si="5"/>
        <v>0</v>
      </c>
      <c r="L356" s="446">
        <f t="shared" si="6"/>
        <v>0</v>
      </c>
      <c r="M356" s="441">
        <f>IF(L356&lt;O356,MinPoints,IF(AND(L356&gt;N356,O356&gt;0),100,+INT(($L356-O356)/P356)+MinPoints))</f>
        <v>10</v>
      </c>
      <c r="N356" s="440">
        <f t="shared" si="7"/>
        <v>50</v>
      </c>
      <c r="O356" s="440">
        <f t="shared" si="8"/>
        <v>5</v>
      </c>
      <c r="P356" s="440">
        <f t="shared" si="9"/>
        <v>0.5</v>
      </c>
      <c r="Q356">
        <f t="array" ref="Q356">IF(I356&gt;0,INDEX(DB,I356,9),EventIndex)</f>
        <v>6</v>
      </c>
      <c r="S356" s="442">
        <f t="array" ref="S356">INDEX(MINVALUES,$Q356,$K$1)</f>
        <v>5</v>
      </c>
      <c r="T356">
        <f t="array" ref="T356">INDEX(INCVALUES,$Q356,$K$1)</f>
        <v>0.5</v>
      </c>
      <c r="V356">
        <f t="array" ref="V356">+J356+(4*(INDEX(MatchScoreTable,$Q356,20)-1))</f>
        <v>4</v>
      </c>
      <c r="W356" s="442">
        <f t="array" ref="W356">INDEX(INC_MINVALUES,$V356,$K$1)</f>
        <v>2.5</v>
      </c>
      <c r="X356" s="212">
        <f t="array" ref="X356">INDEX(INC_INCVALUES,$V356,$K$1)</f>
        <v>0.5</v>
      </c>
    </row>
    <row r="357" ht="15.75" customHeight="1">
      <c r="A357" s="435"/>
      <c r="B357" s="436"/>
      <c r="C357" s="95" t="str">
        <f t="array" ref="C357">IF(I357&gt;0,INDEX(DB,I357,8),"")</f>
        <v/>
      </c>
      <c r="D357" s="437">
        <f t="shared" si="1"/>
        <v>0</v>
      </c>
      <c r="F357" s="438">
        <f t="shared" si="2"/>
        <v>0</v>
      </c>
      <c r="G357" t="str">
        <f t="shared" si="3"/>
        <v/>
      </c>
      <c r="H357" t="b">
        <f t="shared" si="4"/>
        <v>0</v>
      </c>
      <c r="I357" s="439">
        <f>IF(OR(ISBLANK(A357),ISNA(MATCH(A357&amp;"",AthleteNumbers,0))),0,MATCH(A357&amp;"",AthleteNumbers,0))</f>
        <v>0</v>
      </c>
      <c r="J357" s="209">
        <f t="array" ref="J357">IF(I357&gt;0,INDEX(DB,$I357,6),0)</f>
        <v>0</v>
      </c>
      <c r="K357" s="446">
        <f t="shared" si="5"/>
        <v>0</v>
      </c>
      <c r="L357" s="446">
        <f t="shared" si="6"/>
        <v>0</v>
      </c>
      <c r="M357" s="441">
        <f>IF(L357&lt;O357,MinPoints,IF(AND(L357&gt;N357,O357&gt;0),100,+INT(($L357-O357)/P357)+MinPoints))</f>
        <v>10</v>
      </c>
      <c r="N357" s="440">
        <f t="shared" si="7"/>
        <v>50</v>
      </c>
      <c r="O357" s="440">
        <f t="shared" si="8"/>
        <v>5</v>
      </c>
      <c r="P357" s="440">
        <f t="shared" si="9"/>
        <v>0.5</v>
      </c>
      <c r="Q357">
        <f t="array" ref="Q357">IF(I357&gt;0,INDEX(DB,I357,9),EventIndex)</f>
        <v>6</v>
      </c>
      <c r="S357" s="442">
        <f t="array" ref="S357">INDEX(MINVALUES,$Q357,$K$1)</f>
        <v>5</v>
      </c>
      <c r="T357">
        <f t="array" ref="T357">INDEX(INCVALUES,$Q357,$K$1)</f>
        <v>0.5</v>
      </c>
      <c r="V357">
        <f t="array" ref="V357">+J357+(4*(INDEX(MatchScoreTable,$Q357,20)-1))</f>
        <v>4</v>
      </c>
      <c r="W357" s="442">
        <f t="array" ref="W357">INDEX(INC_MINVALUES,$V357,$K$1)</f>
        <v>2.5</v>
      </c>
      <c r="X357" s="212">
        <f t="array" ref="X357">INDEX(INC_INCVALUES,$V357,$K$1)</f>
        <v>0.5</v>
      </c>
    </row>
    <row r="358" ht="15.75" customHeight="1">
      <c r="A358" s="435"/>
      <c r="B358" s="436"/>
      <c r="C358" s="95" t="str">
        <f t="array" ref="C358">IF(I358&gt;0,INDEX(DB,I358,8),"")</f>
        <v/>
      </c>
      <c r="D358" s="437">
        <f t="shared" si="1"/>
        <v>0</v>
      </c>
      <c r="F358" s="438">
        <f t="shared" si="2"/>
        <v>0</v>
      </c>
      <c r="G358" t="str">
        <f t="shared" si="3"/>
        <v/>
      </c>
      <c r="H358" t="b">
        <f t="shared" si="4"/>
        <v>0</v>
      </c>
      <c r="I358" s="439">
        <f>IF(OR(ISBLANK(A358),ISNA(MATCH(A358&amp;"",AthleteNumbers,0))),0,MATCH(A358&amp;"",AthleteNumbers,0))</f>
        <v>0</v>
      </c>
      <c r="J358" s="209">
        <f t="array" ref="J358">IF(I358&gt;0,INDEX(DB,$I358,6),0)</f>
        <v>0</v>
      </c>
      <c r="K358" s="446">
        <f t="shared" si="5"/>
        <v>0</v>
      </c>
      <c r="L358" s="446">
        <f t="shared" si="6"/>
        <v>0</v>
      </c>
      <c r="M358" s="441">
        <f>IF(L358&lt;O358,MinPoints,IF(AND(L358&gt;N358,O358&gt;0),100,+INT(($L358-O358)/P358)+MinPoints))</f>
        <v>10</v>
      </c>
      <c r="N358" s="440">
        <f t="shared" si="7"/>
        <v>50</v>
      </c>
      <c r="O358" s="440">
        <f t="shared" si="8"/>
        <v>5</v>
      </c>
      <c r="P358" s="440">
        <f t="shared" si="9"/>
        <v>0.5</v>
      </c>
      <c r="Q358">
        <f t="array" ref="Q358">IF(I358&gt;0,INDEX(DB,I358,9),EventIndex)</f>
        <v>6</v>
      </c>
      <c r="S358" s="442">
        <f t="array" ref="S358">INDEX(MINVALUES,$Q358,$K$1)</f>
        <v>5</v>
      </c>
      <c r="T358">
        <f t="array" ref="T358">INDEX(INCVALUES,$Q358,$K$1)</f>
        <v>0.5</v>
      </c>
      <c r="V358">
        <f t="array" ref="V358">+J358+(4*(INDEX(MatchScoreTable,$Q358,20)-1))</f>
        <v>4</v>
      </c>
      <c r="W358" s="442">
        <f t="array" ref="W358">INDEX(INC_MINVALUES,$V358,$K$1)</f>
        <v>2.5</v>
      </c>
      <c r="X358" s="212">
        <f t="array" ref="X358">INDEX(INC_INCVALUES,$V358,$K$1)</f>
        <v>0.5</v>
      </c>
    </row>
    <row r="359" ht="15.75" customHeight="1">
      <c r="A359" s="435"/>
      <c r="B359" s="436"/>
      <c r="C359" s="95" t="str">
        <f t="array" ref="C359">IF(I359&gt;0,INDEX(DB,I359,8),"")</f>
        <v/>
      </c>
      <c r="D359" s="437">
        <f t="shared" si="1"/>
        <v>0</v>
      </c>
      <c r="F359" s="438">
        <f t="shared" si="2"/>
        <v>0</v>
      </c>
      <c r="G359" t="str">
        <f t="shared" si="3"/>
        <v/>
      </c>
      <c r="H359" t="b">
        <f t="shared" si="4"/>
        <v>0</v>
      </c>
      <c r="I359" s="439">
        <f>IF(OR(ISBLANK(A359),ISNA(MATCH(A359&amp;"",AthleteNumbers,0))),0,MATCH(A359&amp;"",AthleteNumbers,0))</f>
        <v>0</v>
      </c>
      <c r="J359" s="209">
        <f t="array" ref="J359">IF(I359&gt;0,INDEX(DB,$I359,6),0)</f>
        <v>0</v>
      </c>
      <c r="K359" s="446">
        <f t="shared" si="5"/>
        <v>0</v>
      </c>
      <c r="L359" s="446">
        <f t="shared" si="6"/>
        <v>0</v>
      </c>
      <c r="M359" s="441">
        <f>IF(L359&lt;O359,MinPoints,IF(AND(L359&gt;N359,O359&gt;0),100,+INT(($L359-O359)/P359)+MinPoints))</f>
        <v>10</v>
      </c>
      <c r="N359" s="440">
        <f t="shared" si="7"/>
        <v>50</v>
      </c>
      <c r="O359" s="440">
        <f t="shared" si="8"/>
        <v>5</v>
      </c>
      <c r="P359" s="440">
        <f t="shared" si="9"/>
        <v>0.5</v>
      </c>
      <c r="Q359">
        <f t="array" ref="Q359">IF(I359&gt;0,INDEX(DB,I359,9),EventIndex)</f>
        <v>6</v>
      </c>
      <c r="S359" s="442">
        <f t="array" ref="S359">INDEX(MINVALUES,$Q359,$K$1)</f>
        <v>5</v>
      </c>
      <c r="T359">
        <f t="array" ref="T359">INDEX(INCVALUES,$Q359,$K$1)</f>
        <v>0.5</v>
      </c>
      <c r="V359">
        <f t="array" ref="V359">+J359+(4*(INDEX(MatchScoreTable,$Q359,20)-1))</f>
        <v>4</v>
      </c>
      <c r="W359" s="442">
        <f t="array" ref="W359">INDEX(INC_MINVALUES,$V359,$K$1)</f>
        <v>2.5</v>
      </c>
      <c r="X359" s="212">
        <f t="array" ref="X359">INDEX(INC_INCVALUES,$V359,$K$1)</f>
        <v>0.5</v>
      </c>
    </row>
    <row r="360" ht="15.75" customHeight="1">
      <c r="A360" s="435"/>
      <c r="B360" s="436"/>
      <c r="C360" s="95" t="str">
        <f t="array" ref="C360">IF(I360&gt;0,INDEX(DB,I360,8),"")</f>
        <v/>
      </c>
      <c r="D360" s="437">
        <f t="shared" si="1"/>
        <v>0</v>
      </c>
      <c r="F360" s="438">
        <f t="shared" si="2"/>
        <v>0</v>
      </c>
      <c r="G360" t="str">
        <f t="shared" si="3"/>
        <v/>
      </c>
      <c r="H360" t="b">
        <f t="shared" si="4"/>
        <v>0</v>
      </c>
      <c r="I360" s="439">
        <f>IF(OR(ISBLANK(A360),ISNA(MATCH(A360&amp;"",AthleteNumbers,0))),0,MATCH(A360&amp;"",AthleteNumbers,0))</f>
        <v>0</v>
      </c>
      <c r="J360" s="209">
        <f t="array" ref="J360">IF(I360&gt;0,INDEX(DB,$I360,6),0)</f>
        <v>0</v>
      </c>
      <c r="K360" s="446">
        <f t="shared" si="5"/>
        <v>0</v>
      </c>
      <c r="L360" s="446">
        <f t="shared" si="6"/>
        <v>0</v>
      </c>
      <c r="M360" s="441">
        <f>IF(L360&lt;O360,MinPoints,IF(AND(L360&gt;N360,O360&gt;0),100,+INT(($L360-O360)/P360)+MinPoints))</f>
        <v>10</v>
      </c>
      <c r="N360" s="440">
        <f t="shared" si="7"/>
        <v>50</v>
      </c>
      <c r="O360" s="440">
        <f t="shared" si="8"/>
        <v>5</v>
      </c>
      <c r="P360" s="440">
        <f t="shared" si="9"/>
        <v>0.5</v>
      </c>
      <c r="Q360">
        <f t="array" ref="Q360">IF(I360&gt;0,INDEX(DB,I360,9),EventIndex)</f>
        <v>6</v>
      </c>
      <c r="S360" s="442">
        <f t="array" ref="S360">INDEX(MINVALUES,$Q360,$K$1)</f>
        <v>5</v>
      </c>
      <c r="T360">
        <f t="array" ref="T360">INDEX(INCVALUES,$Q360,$K$1)</f>
        <v>0.5</v>
      </c>
      <c r="V360">
        <f t="array" ref="V360">+J360+(4*(INDEX(MatchScoreTable,$Q360,20)-1))</f>
        <v>4</v>
      </c>
      <c r="W360" s="442">
        <f t="array" ref="W360">INDEX(INC_MINVALUES,$V360,$K$1)</f>
        <v>2.5</v>
      </c>
      <c r="X360" s="212">
        <f t="array" ref="X360">INDEX(INC_INCVALUES,$V360,$K$1)</f>
        <v>0.5</v>
      </c>
    </row>
    <row r="361" ht="15.75" customHeight="1">
      <c r="A361" s="435"/>
      <c r="B361" s="436"/>
      <c r="C361" s="95" t="str">
        <f t="array" ref="C361">IF(I361&gt;0,INDEX(DB,I361,8),"")</f>
        <v/>
      </c>
      <c r="D361" s="437">
        <f t="shared" si="1"/>
        <v>0</v>
      </c>
      <c r="F361" s="438">
        <f t="shared" si="2"/>
        <v>0</v>
      </c>
      <c r="G361" t="str">
        <f t="shared" si="3"/>
        <v/>
      </c>
      <c r="H361" t="b">
        <f t="shared" si="4"/>
        <v>0</v>
      </c>
      <c r="I361" s="439">
        <f>IF(OR(ISBLANK(A361),ISNA(MATCH(A361&amp;"",AthleteNumbers,0))),0,MATCH(A361&amp;"",AthleteNumbers,0))</f>
        <v>0</v>
      </c>
      <c r="J361" s="209">
        <f t="array" ref="J361">IF(I361&gt;0,INDEX(DB,$I361,6),0)</f>
        <v>0</v>
      </c>
      <c r="K361" s="446">
        <f t="shared" si="5"/>
        <v>0</v>
      </c>
      <c r="L361" s="446">
        <f t="shared" si="6"/>
        <v>0</v>
      </c>
      <c r="M361" s="441">
        <f>IF(L361&lt;O361,MinPoints,IF(AND(L361&gt;N361,O361&gt;0),100,+INT(($L361-O361)/P361)+MinPoints))</f>
        <v>10</v>
      </c>
      <c r="N361" s="440">
        <f t="shared" si="7"/>
        <v>50</v>
      </c>
      <c r="O361" s="440">
        <f t="shared" si="8"/>
        <v>5</v>
      </c>
      <c r="P361" s="440">
        <f t="shared" si="9"/>
        <v>0.5</v>
      </c>
      <c r="Q361">
        <f t="array" ref="Q361">IF(I361&gt;0,INDEX(DB,I361,9),EventIndex)</f>
        <v>6</v>
      </c>
      <c r="S361" s="442">
        <f t="array" ref="S361">INDEX(MINVALUES,$Q361,$K$1)</f>
        <v>5</v>
      </c>
      <c r="T361">
        <f t="array" ref="T361">INDEX(INCVALUES,$Q361,$K$1)</f>
        <v>0.5</v>
      </c>
      <c r="V361">
        <f t="array" ref="V361">+J361+(4*(INDEX(MatchScoreTable,$Q361,20)-1))</f>
        <v>4</v>
      </c>
      <c r="W361" s="442">
        <f t="array" ref="W361">INDEX(INC_MINVALUES,$V361,$K$1)</f>
        <v>2.5</v>
      </c>
      <c r="X361" s="212">
        <f t="array" ref="X361">INDEX(INC_INCVALUES,$V361,$K$1)</f>
        <v>0.5</v>
      </c>
    </row>
    <row r="362" ht="15.75" customHeight="1">
      <c r="A362" s="435"/>
      <c r="B362" s="436"/>
      <c r="C362" s="95" t="str">
        <f t="array" ref="C362">IF(I362&gt;0,INDEX(DB,I362,8),"")</f>
        <v/>
      </c>
      <c r="D362" s="437">
        <f t="shared" si="1"/>
        <v>0</v>
      </c>
      <c r="F362" s="438">
        <f t="shared" si="2"/>
        <v>0</v>
      </c>
      <c r="G362" t="str">
        <f t="shared" si="3"/>
        <v/>
      </c>
      <c r="H362" t="b">
        <f t="shared" si="4"/>
        <v>0</v>
      </c>
      <c r="I362" s="439">
        <f>IF(OR(ISBLANK(A362),ISNA(MATCH(A362&amp;"",AthleteNumbers,0))),0,MATCH(A362&amp;"",AthleteNumbers,0))</f>
        <v>0</v>
      </c>
      <c r="J362" s="209">
        <f t="array" ref="J362">IF(I362&gt;0,INDEX(DB,$I362,6),0)</f>
        <v>0</v>
      </c>
      <c r="K362" s="446">
        <f t="shared" si="5"/>
        <v>0</v>
      </c>
      <c r="L362" s="446">
        <f t="shared" si="6"/>
        <v>0</v>
      </c>
      <c r="M362" s="441">
        <f>IF(L362&lt;O362,MinPoints,IF(AND(L362&gt;N362,O362&gt;0),100,+INT(($L362-O362)/P362)+MinPoints))</f>
        <v>10</v>
      </c>
      <c r="N362" s="440">
        <f t="shared" si="7"/>
        <v>50</v>
      </c>
      <c r="O362" s="440">
        <f t="shared" si="8"/>
        <v>5</v>
      </c>
      <c r="P362" s="440">
        <f t="shared" si="9"/>
        <v>0.5</v>
      </c>
      <c r="Q362">
        <f t="array" ref="Q362">IF(I362&gt;0,INDEX(DB,I362,9),EventIndex)</f>
        <v>6</v>
      </c>
      <c r="S362" s="442">
        <f t="array" ref="S362">INDEX(MINVALUES,$Q362,$K$1)</f>
        <v>5</v>
      </c>
      <c r="T362">
        <f t="array" ref="T362">INDEX(INCVALUES,$Q362,$K$1)</f>
        <v>0.5</v>
      </c>
      <c r="V362">
        <f t="array" ref="V362">+J362+(4*(INDEX(MatchScoreTable,$Q362,20)-1))</f>
        <v>4</v>
      </c>
      <c r="W362" s="442">
        <f t="array" ref="W362">INDEX(INC_MINVALUES,$V362,$K$1)</f>
        <v>2.5</v>
      </c>
      <c r="X362" s="212">
        <f t="array" ref="X362">INDEX(INC_INCVALUES,$V362,$K$1)</f>
        <v>0.5</v>
      </c>
    </row>
    <row r="363" ht="15.75" customHeight="1">
      <c r="A363" s="435"/>
      <c r="B363" s="436"/>
      <c r="C363" s="95" t="str">
        <f t="array" ref="C363">IF(I363&gt;0,INDEX(DB,I363,8),"")</f>
        <v/>
      </c>
      <c r="D363" s="437">
        <f t="shared" si="1"/>
        <v>0</v>
      </c>
      <c r="F363" s="438">
        <f t="shared" si="2"/>
        <v>0</v>
      </c>
      <c r="G363" t="str">
        <f t="shared" si="3"/>
        <v/>
      </c>
      <c r="H363" t="b">
        <f t="shared" si="4"/>
        <v>0</v>
      </c>
      <c r="I363" s="439">
        <f>IF(OR(ISBLANK(A363),ISNA(MATCH(A363&amp;"",AthleteNumbers,0))),0,MATCH(A363&amp;"",AthleteNumbers,0))</f>
        <v>0</v>
      </c>
      <c r="J363" s="209">
        <f t="array" ref="J363">IF(I363&gt;0,INDEX(DB,$I363,6),0)</f>
        <v>0</v>
      </c>
      <c r="K363" s="446">
        <f t="shared" si="5"/>
        <v>0</v>
      </c>
      <c r="L363" s="446">
        <f t="shared" si="6"/>
        <v>0</v>
      </c>
      <c r="M363" s="441">
        <f>IF(L363&lt;O363,MinPoints,IF(AND(L363&gt;N363,O363&gt;0),100,+INT(($L363-O363)/P363)+MinPoints))</f>
        <v>10</v>
      </c>
      <c r="N363" s="440">
        <f t="shared" si="7"/>
        <v>50</v>
      </c>
      <c r="O363" s="440">
        <f t="shared" si="8"/>
        <v>5</v>
      </c>
      <c r="P363" s="440">
        <f t="shared" si="9"/>
        <v>0.5</v>
      </c>
      <c r="Q363">
        <f t="array" ref="Q363">IF(I363&gt;0,INDEX(DB,I363,9),EventIndex)</f>
        <v>6</v>
      </c>
      <c r="S363" s="442">
        <f t="array" ref="S363">INDEX(MINVALUES,$Q363,$K$1)</f>
        <v>5</v>
      </c>
      <c r="T363">
        <f t="array" ref="T363">INDEX(INCVALUES,$Q363,$K$1)</f>
        <v>0.5</v>
      </c>
      <c r="V363">
        <f t="array" ref="V363">+J363+(4*(INDEX(MatchScoreTable,$Q363,20)-1))</f>
        <v>4</v>
      </c>
      <c r="W363" s="442">
        <f t="array" ref="W363">INDEX(INC_MINVALUES,$V363,$K$1)</f>
        <v>2.5</v>
      </c>
      <c r="X363" s="212">
        <f t="array" ref="X363">INDEX(INC_INCVALUES,$V363,$K$1)</f>
        <v>0.5</v>
      </c>
    </row>
    <row r="364" ht="15.75" customHeight="1">
      <c r="A364" s="435"/>
      <c r="B364" s="436"/>
      <c r="C364" s="95" t="str">
        <f t="array" ref="C364">IF(I364&gt;0,INDEX(DB,I364,8),"")</f>
        <v/>
      </c>
      <c r="D364" s="437">
        <f t="shared" si="1"/>
        <v>0</v>
      </c>
      <c r="F364" s="438">
        <f t="shared" si="2"/>
        <v>0</v>
      </c>
      <c r="G364" t="str">
        <f t="shared" si="3"/>
        <v/>
      </c>
      <c r="H364" t="b">
        <f t="shared" si="4"/>
        <v>0</v>
      </c>
      <c r="I364" s="439">
        <f>IF(OR(ISBLANK(A364),ISNA(MATCH(A364&amp;"",AthleteNumbers,0))),0,MATCH(A364&amp;"",AthleteNumbers,0))</f>
        <v>0</v>
      </c>
      <c r="J364" s="209">
        <f t="array" ref="J364">IF(I364&gt;0,INDEX(DB,$I364,6),0)</f>
        <v>0</v>
      </c>
      <c r="K364" s="446">
        <f t="shared" si="5"/>
        <v>0</v>
      </c>
      <c r="L364" s="446">
        <f t="shared" si="6"/>
        <v>0</v>
      </c>
      <c r="M364" s="441">
        <f>IF(L364&lt;O364,MinPoints,IF(AND(L364&gt;N364,O364&gt;0),100,+INT(($L364-O364)/P364)+MinPoints))</f>
        <v>10</v>
      </c>
      <c r="N364" s="440">
        <f t="shared" si="7"/>
        <v>50</v>
      </c>
      <c r="O364" s="440">
        <f t="shared" si="8"/>
        <v>5</v>
      </c>
      <c r="P364" s="440">
        <f t="shared" si="9"/>
        <v>0.5</v>
      </c>
      <c r="Q364">
        <f t="array" ref="Q364">IF(I364&gt;0,INDEX(DB,I364,9),EventIndex)</f>
        <v>6</v>
      </c>
      <c r="S364" s="442">
        <f t="array" ref="S364">INDEX(MINVALUES,$Q364,$K$1)</f>
        <v>5</v>
      </c>
      <c r="T364">
        <f t="array" ref="T364">INDEX(INCVALUES,$Q364,$K$1)</f>
        <v>0.5</v>
      </c>
      <c r="V364">
        <f t="array" ref="V364">+J364+(4*(INDEX(MatchScoreTable,$Q364,20)-1))</f>
        <v>4</v>
      </c>
      <c r="W364" s="442">
        <f t="array" ref="W364">INDEX(INC_MINVALUES,$V364,$K$1)</f>
        <v>2.5</v>
      </c>
      <c r="X364" s="212">
        <f t="array" ref="X364">INDEX(INC_INCVALUES,$V364,$K$1)</f>
        <v>0.5</v>
      </c>
    </row>
    <row r="365" ht="15.75" customHeight="1">
      <c r="A365" s="435"/>
      <c r="B365" s="436"/>
      <c r="C365" s="95" t="str">
        <f t="array" ref="C365">IF(I365&gt;0,INDEX(DB,I365,8),"")</f>
        <v/>
      </c>
      <c r="D365" s="437">
        <f t="shared" si="1"/>
        <v>0</v>
      </c>
      <c r="F365" s="438">
        <f t="shared" si="2"/>
        <v>0</v>
      </c>
      <c r="G365" t="str">
        <f t="shared" si="3"/>
        <v/>
      </c>
      <c r="H365" t="b">
        <f t="shared" si="4"/>
        <v>0</v>
      </c>
      <c r="I365" s="439">
        <f>IF(OR(ISBLANK(A365),ISNA(MATCH(A365&amp;"",AthleteNumbers,0))),0,MATCH(A365&amp;"",AthleteNumbers,0))</f>
        <v>0</v>
      </c>
      <c r="J365" s="209">
        <f t="array" ref="J365">IF(I365&gt;0,INDEX(DB,$I365,6),0)</f>
        <v>0</v>
      </c>
      <c r="K365" s="446">
        <f t="shared" si="5"/>
        <v>0</v>
      </c>
      <c r="L365" s="446">
        <f t="shared" si="6"/>
        <v>0</v>
      </c>
      <c r="M365" s="441">
        <f>IF(L365&lt;O365,MinPoints,IF(AND(L365&gt;N365,O365&gt;0),100,+INT(($L365-O365)/P365)+MinPoints))</f>
        <v>10</v>
      </c>
      <c r="N365" s="440">
        <f t="shared" si="7"/>
        <v>50</v>
      </c>
      <c r="O365" s="440">
        <f t="shared" si="8"/>
        <v>5</v>
      </c>
      <c r="P365" s="440">
        <f t="shared" si="9"/>
        <v>0.5</v>
      </c>
      <c r="Q365">
        <f t="array" ref="Q365">IF(I365&gt;0,INDEX(DB,I365,9),EventIndex)</f>
        <v>6</v>
      </c>
      <c r="S365" s="442">
        <f t="array" ref="S365">INDEX(MINVALUES,$Q365,$K$1)</f>
        <v>5</v>
      </c>
      <c r="T365">
        <f t="array" ref="T365">INDEX(INCVALUES,$Q365,$K$1)</f>
        <v>0.5</v>
      </c>
      <c r="V365">
        <f t="array" ref="V365">+J365+(4*(INDEX(MatchScoreTable,$Q365,20)-1))</f>
        <v>4</v>
      </c>
      <c r="W365" s="442">
        <f t="array" ref="W365">INDEX(INC_MINVALUES,$V365,$K$1)</f>
        <v>2.5</v>
      </c>
      <c r="X365" s="212">
        <f t="array" ref="X365">INDEX(INC_INCVALUES,$V365,$K$1)</f>
        <v>0.5</v>
      </c>
    </row>
    <row r="366" ht="15.75" customHeight="1">
      <c r="A366" s="435"/>
      <c r="B366" s="436"/>
      <c r="C366" s="95" t="str">
        <f t="array" ref="C366">IF(I366&gt;0,INDEX(DB,I366,8),"")</f>
        <v/>
      </c>
      <c r="D366" s="437">
        <f t="shared" si="1"/>
        <v>0</v>
      </c>
      <c r="F366" s="438">
        <f t="shared" si="2"/>
        <v>0</v>
      </c>
      <c r="G366" t="str">
        <f t="shared" si="3"/>
        <v/>
      </c>
      <c r="H366" t="b">
        <f t="shared" si="4"/>
        <v>0</v>
      </c>
      <c r="I366" s="439">
        <f>IF(OR(ISBLANK(A366),ISNA(MATCH(A366&amp;"",AthleteNumbers,0))),0,MATCH(A366&amp;"",AthleteNumbers,0))</f>
        <v>0</v>
      </c>
      <c r="J366" s="209">
        <f t="array" ref="J366">IF(I366&gt;0,INDEX(DB,$I366,6),0)</f>
        <v>0</v>
      </c>
      <c r="K366" s="446">
        <f t="shared" si="5"/>
        <v>0</v>
      </c>
      <c r="L366" s="446">
        <f t="shared" si="6"/>
        <v>0</v>
      </c>
      <c r="M366" s="441">
        <f>IF(L366&lt;O366,MinPoints,IF(AND(L366&gt;N366,O366&gt;0),100,+INT(($L366-O366)/P366)+MinPoints))</f>
        <v>10</v>
      </c>
      <c r="N366" s="440">
        <f t="shared" si="7"/>
        <v>50</v>
      </c>
      <c r="O366" s="440">
        <f t="shared" si="8"/>
        <v>5</v>
      </c>
      <c r="P366" s="440">
        <f t="shared" si="9"/>
        <v>0.5</v>
      </c>
      <c r="Q366">
        <f t="array" ref="Q366">IF(I366&gt;0,INDEX(DB,I366,9),EventIndex)</f>
        <v>6</v>
      </c>
      <c r="S366" s="442">
        <f t="array" ref="S366">INDEX(MINVALUES,$Q366,$K$1)</f>
        <v>5</v>
      </c>
      <c r="T366">
        <f t="array" ref="T366">INDEX(INCVALUES,$Q366,$K$1)</f>
        <v>0.5</v>
      </c>
      <c r="V366">
        <f t="array" ref="V366">+J366+(4*(INDEX(MatchScoreTable,$Q366,20)-1))</f>
        <v>4</v>
      </c>
      <c r="W366" s="442">
        <f t="array" ref="W366">INDEX(INC_MINVALUES,$V366,$K$1)</f>
        <v>2.5</v>
      </c>
      <c r="X366" s="212">
        <f t="array" ref="X366">INDEX(INC_INCVALUES,$V366,$K$1)</f>
        <v>0.5</v>
      </c>
    </row>
    <row r="367" ht="15.75" customHeight="1">
      <c r="A367" s="435"/>
      <c r="B367" s="436"/>
      <c r="C367" s="95" t="str">
        <f t="array" ref="C367">IF(I367&gt;0,INDEX(DB,I367,8),"")</f>
        <v/>
      </c>
      <c r="D367" s="437">
        <f t="shared" si="1"/>
        <v>0</v>
      </c>
      <c r="F367" s="438">
        <f t="shared" si="2"/>
        <v>0</v>
      </c>
      <c r="G367" t="str">
        <f t="shared" si="3"/>
        <v/>
      </c>
      <c r="H367" t="b">
        <f t="shared" si="4"/>
        <v>0</v>
      </c>
      <c r="I367" s="439">
        <f>IF(OR(ISBLANK(A367),ISNA(MATCH(A367&amp;"",AthleteNumbers,0))),0,MATCH(A367&amp;"",AthleteNumbers,0))</f>
        <v>0</v>
      </c>
      <c r="J367" s="209">
        <f t="array" ref="J367">IF(I367&gt;0,INDEX(DB,$I367,6),0)</f>
        <v>0</v>
      </c>
      <c r="K367" s="446">
        <f t="shared" si="5"/>
        <v>0</v>
      </c>
      <c r="L367" s="446">
        <f t="shared" si="6"/>
        <v>0</v>
      </c>
      <c r="M367" s="441">
        <f>IF(L367&lt;O367,MinPoints,IF(AND(L367&gt;N367,O367&gt;0),100,+INT(($L367-O367)/P367)+MinPoints))</f>
        <v>10</v>
      </c>
      <c r="N367" s="440">
        <f t="shared" si="7"/>
        <v>50</v>
      </c>
      <c r="O367" s="440">
        <f t="shared" si="8"/>
        <v>5</v>
      </c>
      <c r="P367" s="440">
        <f t="shared" si="9"/>
        <v>0.5</v>
      </c>
      <c r="Q367">
        <f t="array" ref="Q367">IF(I367&gt;0,INDEX(DB,I367,9),EventIndex)</f>
        <v>6</v>
      </c>
      <c r="S367" s="442">
        <f t="array" ref="S367">INDEX(MINVALUES,$Q367,$K$1)</f>
        <v>5</v>
      </c>
      <c r="T367">
        <f t="array" ref="T367">INDEX(INCVALUES,$Q367,$K$1)</f>
        <v>0.5</v>
      </c>
      <c r="V367">
        <f t="array" ref="V367">+J367+(4*(INDEX(MatchScoreTable,$Q367,20)-1))</f>
        <v>4</v>
      </c>
      <c r="W367" s="442">
        <f t="array" ref="W367">INDEX(INC_MINVALUES,$V367,$K$1)</f>
        <v>2.5</v>
      </c>
      <c r="X367" s="212">
        <f t="array" ref="X367">INDEX(INC_INCVALUES,$V367,$K$1)</f>
        <v>0.5</v>
      </c>
    </row>
    <row r="368" ht="15.75" customHeight="1">
      <c r="A368" s="435"/>
      <c r="B368" s="436"/>
      <c r="C368" s="95" t="str">
        <f t="array" ref="C368">IF(I368&gt;0,INDEX(DB,I368,8),"")</f>
        <v/>
      </c>
      <c r="D368" s="437">
        <f t="shared" si="1"/>
        <v>0</v>
      </c>
      <c r="F368" s="438">
        <f t="shared" si="2"/>
        <v>0</v>
      </c>
      <c r="G368" t="str">
        <f t="shared" si="3"/>
        <v/>
      </c>
      <c r="H368" t="b">
        <f t="shared" si="4"/>
        <v>0</v>
      </c>
      <c r="I368" s="439">
        <f>IF(OR(ISBLANK(A368),ISNA(MATCH(A368&amp;"",AthleteNumbers,0))),0,MATCH(A368&amp;"",AthleteNumbers,0))</f>
        <v>0</v>
      </c>
      <c r="J368" s="209">
        <f t="array" ref="J368">IF(I368&gt;0,INDEX(DB,$I368,6),0)</f>
        <v>0</v>
      </c>
      <c r="K368" s="446">
        <f t="shared" si="5"/>
        <v>0</v>
      </c>
      <c r="L368" s="446">
        <f t="shared" si="6"/>
        <v>0</v>
      </c>
      <c r="M368" s="441">
        <f>IF(L368&lt;O368,MinPoints,IF(AND(L368&gt;N368,O368&gt;0),100,+INT(($L368-O368)/P368)+MinPoints))</f>
        <v>10</v>
      </c>
      <c r="N368" s="440">
        <f t="shared" si="7"/>
        <v>50</v>
      </c>
      <c r="O368" s="440">
        <f t="shared" si="8"/>
        <v>5</v>
      </c>
      <c r="P368" s="440">
        <f t="shared" si="9"/>
        <v>0.5</v>
      </c>
      <c r="Q368">
        <f t="array" ref="Q368">IF(I368&gt;0,INDEX(DB,I368,9),EventIndex)</f>
        <v>6</v>
      </c>
      <c r="S368" s="442">
        <f t="array" ref="S368">INDEX(MINVALUES,$Q368,$K$1)</f>
        <v>5</v>
      </c>
      <c r="T368">
        <f t="array" ref="T368">INDEX(INCVALUES,$Q368,$K$1)</f>
        <v>0.5</v>
      </c>
      <c r="V368">
        <f t="array" ref="V368">+J368+(4*(INDEX(MatchScoreTable,$Q368,20)-1))</f>
        <v>4</v>
      </c>
      <c r="W368" s="442">
        <f t="array" ref="W368">INDEX(INC_MINVALUES,$V368,$K$1)</f>
        <v>2.5</v>
      </c>
      <c r="X368" s="212">
        <f t="array" ref="X368">INDEX(INC_INCVALUES,$V368,$K$1)</f>
        <v>0.5</v>
      </c>
    </row>
    <row r="369" ht="15.75" customHeight="1">
      <c r="A369" s="435"/>
      <c r="B369" s="436"/>
      <c r="C369" s="95" t="str">
        <f t="array" ref="C369">IF(I369&gt;0,INDEX(DB,I369,8),"")</f>
        <v/>
      </c>
      <c r="D369" s="437">
        <f t="shared" si="1"/>
        <v>0</v>
      </c>
      <c r="F369" s="438">
        <f t="shared" si="2"/>
        <v>0</v>
      </c>
      <c r="G369" t="str">
        <f t="shared" si="3"/>
        <v/>
      </c>
      <c r="H369" t="b">
        <f t="shared" si="4"/>
        <v>0</v>
      </c>
      <c r="I369" s="439">
        <f>IF(OR(ISBLANK(A369),ISNA(MATCH(A369&amp;"",AthleteNumbers,0))),0,MATCH(A369&amp;"",AthleteNumbers,0))</f>
        <v>0</v>
      </c>
      <c r="J369" s="209">
        <f t="array" ref="J369">IF(I369&gt;0,INDEX(DB,$I369,6),0)</f>
        <v>0</v>
      </c>
      <c r="K369" s="446">
        <f t="shared" si="5"/>
        <v>0</v>
      </c>
      <c r="L369" s="446">
        <f t="shared" si="6"/>
        <v>0</v>
      </c>
      <c r="M369" s="441">
        <f>IF(L369&lt;O369,MinPoints,IF(AND(L369&gt;N369,O369&gt;0),100,+INT(($L369-O369)/P369)+MinPoints))</f>
        <v>10</v>
      </c>
      <c r="N369" s="440">
        <f t="shared" si="7"/>
        <v>50</v>
      </c>
      <c r="O369" s="440">
        <f t="shared" si="8"/>
        <v>5</v>
      </c>
      <c r="P369" s="440">
        <f t="shared" si="9"/>
        <v>0.5</v>
      </c>
      <c r="Q369">
        <f t="array" ref="Q369">IF(I369&gt;0,INDEX(DB,I369,9),EventIndex)</f>
        <v>6</v>
      </c>
      <c r="S369" s="442">
        <f t="array" ref="S369">INDEX(MINVALUES,$Q369,$K$1)</f>
        <v>5</v>
      </c>
      <c r="T369">
        <f t="array" ref="T369">INDEX(INCVALUES,$Q369,$K$1)</f>
        <v>0.5</v>
      </c>
      <c r="V369">
        <f t="array" ref="V369">+J369+(4*(INDEX(MatchScoreTable,$Q369,20)-1))</f>
        <v>4</v>
      </c>
      <c r="W369" s="442">
        <f t="array" ref="W369">INDEX(INC_MINVALUES,$V369,$K$1)</f>
        <v>2.5</v>
      </c>
      <c r="X369" s="212">
        <f t="array" ref="X369">INDEX(INC_INCVALUES,$V369,$K$1)</f>
        <v>0.5</v>
      </c>
    </row>
    <row r="370" ht="15.75" customHeight="1">
      <c r="A370" s="435"/>
      <c r="B370" s="436"/>
      <c r="C370" s="95" t="str">
        <f t="array" ref="C370">IF(I370&gt;0,INDEX(DB,I370,8),"")</f>
        <v/>
      </c>
      <c r="D370" s="437">
        <f t="shared" si="1"/>
        <v>0</v>
      </c>
      <c r="F370" s="438">
        <f t="shared" si="2"/>
        <v>0</v>
      </c>
      <c r="G370" t="str">
        <f t="shared" si="3"/>
        <v/>
      </c>
      <c r="H370" t="b">
        <f t="shared" si="4"/>
        <v>0</v>
      </c>
      <c r="I370" s="439">
        <f>IF(OR(ISBLANK(A370),ISNA(MATCH(A370&amp;"",AthleteNumbers,0))),0,MATCH(A370&amp;"",AthleteNumbers,0))</f>
        <v>0</v>
      </c>
      <c r="J370" s="209">
        <f t="array" ref="J370">IF(I370&gt;0,INDEX(DB,$I370,6),0)</f>
        <v>0</v>
      </c>
      <c r="K370" s="446">
        <f t="shared" si="5"/>
        <v>0</v>
      </c>
      <c r="L370" s="446">
        <f t="shared" si="6"/>
        <v>0</v>
      </c>
      <c r="M370" s="441">
        <f>IF(L370&lt;O370,MinPoints,IF(AND(L370&gt;N370,O370&gt;0),100,+INT(($L370-O370)/P370)+MinPoints))</f>
        <v>10</v>
      </c>
      <c r="N370" s="440">
        <f t="shared" si="7"/>
        <v>50</v>
      </c>
      <c r="O370" s="440">
        <f t="shared" si="8"/>
        <v>5</v>
      </c>
      <c r="P370" s="440">
        <f t="shared" si="9"/>
        <v>0.5</v>
      </c>
      <c r="Q370">
        <f t="array" ref="Q370">IF(I370&gt;0,INDEX(DB,I370,9),EventIndex)</f>
        <v>6</v>
      </c>
      <c r="S370" s="442">
        <f t="array" ref="S370">INDEX(MINVALUES,$Q370,$K$1)</f>
        <v>5</v>
      </c>
      <c r="T370">
        <f t="array" ref="T370">INDEX(INCVALUES,$Q370,$K$1)</f>
        <v>0.5</v>
      </c>
      <c r="V370">
        <f t="array" ref="V370">+J370+(4*(INDEX(MatchScoreTable,$Q370,20)-1))</f>
        <v>4</v>
      </c>
      <c r="W370" s="442">
        <f t="array" ref="W370">INDEX(INC_MINVALUES,$V370,$K$1)</f>
        <v>2.5</v>
      </c>
      <c r="X370" s="212">
        <f t="array" ref="X370">INDEX(INC_INCVALUES,$V370,$K$1)</f>
        <v>0.5</v>
      </c>
    </row>
    <row r="371" ht="15.75" customHeight="1">
      <c r="A371" s="435"/>
      <c r="B371" s="436"/>
      <c r="C371" s="95" t="str">
        <f t="array" ref="C371">IF(I371&gt;0,INDEX(DB,I371,8),"")</f>
        <v/>
      </c>
      <c r="D371" s="437">
        <f t="shared" si="1"/>
        <v>0</v>
      </c>
      <c r="F371" s="438">
        <f t="shared" si="2"/>
        <v>0</v>
      </c>
      <c r="G371" t="str">
        <f t="shared" si="3"/>
        <v/>
      </c>
      <c r="H371" t="b">
        <f t="shared" si="4"/>
        <v>0</v>
      </c>
      <c r="I371" s="439">
        <f>IF(OR(ISBLANK(A371),ISNA(MATCH(A371&amp;"",AthleteNumbers,0))),0,MATCH(A371&amp;"",AthleteNumbers,0))</f>
        <v>0</v>
      </c>
      <c r="J371" s="209">
        <f t="array" ref="J371">IF(I371&gt;0,INDEX(DB,$I371,6),0)</f>
        <v>0</v>
      </c>
      <c r="K371" s="446">
        <f t="shared" si="5"/>
        <v>0</v>
      </c>
      <c r="L371" s="446">
        <f t="shared" si="6"/>
        <v>0</v>
      </c>
      <c r="M371" s="441">
        <f>IF(L371&lt;O371,MinPoints,IF(AND(L371&gt;N371,O371&gt;0),100,+INT(($L371-O371)/P371)+MinPoints))</f>
        <v>10</v>
      </c>
      <c r="N371" s="440">
        <f t="shared" si="7"/>
        <v>50</v>
      </c>
      <c r="O371" s="440">
        <f t="shared" si="8"/>
        <v>5</v>
      </c>
      <c r="P371" s="440">
        <f t="shared" si="9"/>
        <v>0.5</v>
      </c>
      <c r="Q371">
        <f t="array" ref="Q371">IF(I371&gt;0,INDEX(DB,I371,9),EventIndex)</f>
        <v>6</v>
      </c>
      <c r="S371" s="442">
        <f t="array" ref="S371">INDEX(MINVALUES,$Q371,$K$1)</f>
        <v>5</v>
      </c>
      <c r="T371">
        <f t="array" ref="T371">INDEX(INCVALUES,$Q371,$K$1)</f>
        <v>0.5</v>
      </c>
      <c r="V371">
        <f t="array" ref="V371">+J371+(4*(INDEX(MatchScoreTable,$Q371,20)-1))</f>
        <v>4</v>
      </c>
      <c r="W371" s="442">
        <f t="array" ref="W371">INDEX(INC_MINVALUES,$V371,$K$1)</f>
        <v>2.5</v>
      </c>
      <c r="X371" s="212">
        <f t="array" ref="X371">INDEX(INC_INCVALUES,$V371,$K$1)</f>
        <v>0.5</v>
      </c>
    </row>
    <row r="372" ht="15.75" customHeight="1">
      <c r="A372" s="435"/>
      <c r="B372" s="436"/>
      <c r="C372" s="95" t="str">
        <f t="array" ref="C372">IF(I372&gt;0,INDEX(DB,I372,8),"")</f>
        <v/>
      </c>
      <c r="D372" s="437">
        <f t="shared" si="1"/>
        <v>0</v>
      </c>
      <c r="F372" s="438">
        <f t="shared" si="2"/>
        <v>0</v>
      </c>
      <c r="G372" t="str">
        <f t="shared" si="3"/>
        <v/>
      </c>
      <c r="H372" t="b">
        <f t="shared" si="4"/>
        <v>0</v>
      </c>
      <c r="I372" s="439">
        <f>IF(OR(ISBLANK(A372),ISNA(MATCH(A372&amp;"",AthleteNumbers,0))),0,MATCH(A372&amp;"",AthleteNumbers,0))</f>
        <v>0</v>
      </c>
      <c r="J372" s="209">
        <f t="array" ref="J372">IF(I372&gt;0,INDEX(DB,$I372,6),0)</f>
        <v>0</v>
      </c>
      <c r="K372" s="446">
        <f t="shared" si="5"/>
        <v>0</v>
      </c>
      <c r="L372" s="446">
        <f t="shared" si="6"/>
        <v>0</v>
      </c>
      <c r="M372" s="441">
        <f>IF(L372&lt;O372,MinPoints,IF(AND(L372&gt;N372,O372&gt;0),100,+INT(($L372-O372)/P372)+MinPoints))</f>
        <v>10</v>
      </c>
      <c r="N372" s="440">
        <f t="shared" si="7"/>
        <v>50</v>
      </c>
      <c r="O372" s="440">
        <f t="shared" si="8"/>
        <v>5</v>
      </c>
      <c r="P372" s="440">
        <f t="shared" si="9"/>
        <v>0.5</v>
      </c>
      <c r="Q372">
        <f t="array" ref="Q372">IF(I372&gt;0,INDEX(DB,I372,9),EventIndex)</f>
        <v>6</v>
      </c>
      <c r="S372" s="442">
        <f t="array" ref="S372">INDEX(MINVALUES,$Q372,$K$1)</f>
        <v>5</v>
      </c>
      <c r="T372">
        <f t="array" ref="T372">INDEX(INCVALUES,$Q372,$K$1)</f>
        <v>0.5</v>
      </c>
      <c r="V372">
        <f t="array" ref="V372">+J372+(4*(INDEX(MatchScoreTable,$Q372,20)-1))</f>
        <v>4</v>
      </c>
      <c r="W372" s="442">
        <f t="array" ref="W372">INDEX(INC_MINVALUES,$V372,$K$1)</f>
        <v>2.5</v>
      </c>
      <c r="X372" s="212">
        <f t="array" ref="X372">INDEX(INC_INCVALUES,$V372,$K$1)</f>
        <v>0.5</v>
      </c>
    </row>
    <row r="373" ht="15.75" customHeight="1">
      <c r="A373" s="435"/>
      <c r="B373" s="436"/>
      <c r="C373" s="95" t="str">
        <f t="array" ref="C373">IF(I373&gt;0,INDEX(DB,I373,8),"")</f>
        <v/>
      </c>
      <c r="D373" s="437">
        <f t="shared" si="1"/>
        <v>0</v>
      </c>
      <c r="F373" s="438">
        <f t="shared" si="2"/>
        <v>0</v>
      </c>
      <c r="G373" t="str">
        <f t="shared" si="3"/>
        <v/>
      </c>
      <c r="H373" t="b">
        <f t="shared" si="4"/>
        <v>0</v>
      </c>
      <c r="I373" s="439">
        <f>IF(OR(ISBLANK(A373),ISNA(MATCH(A373&amp;"",AthleteNumbers,0))),0,MATCH(A373&amp;"",AthleteNumbers,0))</f>
        <v>0</v>
      </c>
      <c r="J373" s="209">
        <f t="array" ref="J373">IF(I373&gt;0,INDEX(DB,$I373,6),0)</f>
        <v>0</v>
      </c>
      <c r="K373" s="446">
        <f t="shared" si="5"/>
        <v>0</v>
      </c>
      <c r="L373" s="446">
        <f t="shared" si="6"/>
        <v>0</v>
      </c>
      <c r="M373" s="441">
        <f>IF(L373&lt;O373,MinPoints,IF(AND(L373&gt;N373,O373&gt;0),100,+INT(($L373-O373)/P373)+MinPoints))</f>
        <v>10</v>
      </c>
      <c r="N373" s="440">
        <f t="shared" si="7"/>
        <v>50</v>
      </c>
      <c r="O373" s="440">
        <f t="shared" si="8"/>
        <v>5</v>
      </c>
      <c r="P373" s="440">
        <f t="shared" si="9"/>
        <v>0.5</v>
      </c>
      <c r="Q373">
        <f t="array" ref="Q373">IF(I373&gt;0,INDEX(DB,I373,9),EventIndex)</f>
        <v>6</v>
      </c>
      <c r="S373" s="442">
        <f t="array" ref="S373">INDEX(MINVALUES,$Q373,$K$1)</f>
        <v>5</v>
      </c>
      <c r="T373">
        <f t="array" ref="T373">INDEX(INCVALUES,$Q373,$K$1)</f>
        <v>0.5</v>
      </c>
      <c r="V373">
        <f t="array" ref="V373">+J373+(4*(INDEX(MatchScoreTable,$Q373,20)-1))</f>
        <v>4</v>
      </c>
      <c r="W373" s="442">
        <f t="array" ref="W373">INDEX(INC_MINVALUES,$V373,$K$1)</f>
        <v>2.5</v>
      </c>
      <c r="X373" s="212">
        <f t="array" ref="X373">INDEX(INC_INCVALUES,$V373,$K$1)</f>
        <v>0.5</v>
      </c>
    </row>
    <row r="374" ht="15.75" customHeight="1">
      <c r="A374" s="435"/>
      <c r="B374" s="436"/>
      <c r="C374" s="95" t="str">
        <f t="array" ref="C374">IF(I374&gt;0,INDEX(DB,I374,8),"")</f>
        <v/>
      </c>
      <c r="D374" s="437">
        <f t="shared" si="1"/>
        <v>0</v>
      </c>
      <c r="F374" s="438">
        <f t="shared" si="2"/>
        <v>0</v>
      </c>
      <c r="G374" t="str">
        <f t="shared" si="3"/>
        <v/>
      </c>
      <c r="H374" t="b">
        <f t="shared" si="4"/>
        <v>0</v>
      </c>
      <c r="I374" s="439">
        <f>IF(OR(ISBLANK(A374),ISNA(MATCH(A374&amp;"",AthleteNumbers,0))),0,MATCH(A374&amp;"",AthleteNumbers,0))</f>
        <v>0</v>
      </c>
      <c r="J374" s="209">
        <f t="array" ref="J374">IF(I374&gt;0,INDEX(DB,$I374,6),0)</f>
        <v>0</v>
      </c>
      <c r="K374" s="446">
        <f t="shared" si="5"/>
        <v>0</v>
      </c>
      <c r="L374" s="446">
        <f t="shared" si="6"/>
        <v>0</v>
      </c>
      <c r="M374" s="441">
        <f>IF(L374&lt;O374,MinPoints,IF(AND(L374&gt;N374,O374&gt;0),100,+INT(($L374-O374)/P374)+MinPoints))</f>
        <v>10</v>
      </c>
      <c r="N374" s="440">
        <f t="shared" si="7"/>
        <v>50</v>
      </c>
      <c r="O374" s="440">
        <f t="shared" si="8"/>
        <v>5</v>
      </c>
      <c r="P374" s="440">
        <f t="shared" si="9"/>
        <v>0.5</v>
      </c>
      <c r="Q374">
        <f t="array" ref="Q374">IF(I374&gt;0,INDEX(DB,I374,9),EventIndex)</f>
        <v>6</v>
      </c>
      <c r="S374" s="442">
        <f t="array" ref="S374">INDEX(MINVALUES,$Q374,$K$1)</f>
        <v>5</v>
      </c>
      <c r="T374">
        <f t="array" ref="T374">INDEX(INCVALUES,$Q374,$K$1)</f>
        <v>0.5</v>
      </c>
      <c r="V374">
        <f t="array" ref="V374">+J374+(4*(INDEX(MatchScoreTable,$Q374,20)-1))</f>
        <v>4</v>
      </c>
      <c r="W374" s="442">
        <f t="array" ref="W374">INDEX(INC_MINVALUES,$V374,$K$1)</f>
        <v>2.5</v>
      </c>
      <c r="X374" s="212">
        <f t="array" ref="X374">INDEX(INC_INCVALUES,$V374,$K$1)</f>
        <v>0.5</v>
      </c>
    </row>
    <row r="375" ht="15.75" customHeight="1">
      <c r="A375" s="435"/>
      <c r="B375" s="436"/>
      <c r="C375" s="95" t="str">
        <f t="array" ref="C375">IF(I375&gt;0,INDEX(DB,I375,8),"")</f>
        <v/>
      </c>
      <c r="D375" s="437">
        <f t="shared" si="1"/>
        <v>0</v>
      </c>
      <c r="F375" s="438">
        <f t="shared" si="2"/>
        <v>0</v>
      </c>
      <c r="G375" t="str">
        <f t="shared" si="3"/>
        <v/>
      </c>
      <c r="H375" t="b">
        <f t="shared" si="4"/>
        <v>0</v>
      </c>
      <c r="I375" s="439">
        <f>IF(OR(ISBLANK(A375),ISNA(MATCH(A375&amp;"",AthleteNumbers,0))),0,MATCH(A375&amp;"",AthleteNumbers,0))</f>
        <v>0</v>
      </c>
      <c r="J375" s="209">
        <f t="array" ref="J375">IF(I375&gt;0,INDEX(DB,$I375,6),0)</f>
        <v>0</v>
      </c>
      <c r="K375" s="446">
        <f t="shared" si="5"/>
        <v>0</v>
      </c>
      <c r="L375" s="446">
        <f t="shared" si="6"/>
        <v>0</v>
      </c>
      <c r="M375" s="441">
        <f>IF(L375&lt;O375,MinPoints,IF(AND(L375&gt;N375,O375&gt;0),100,+INT(($L375-O375)/P375)+MinPoints))</f>
        <v>10</v>
      </c>
      <c r="N375" s="440">
        <f t="shared" si="7"/>
        <v>50</v>
      </c>
      <c r="O375" s="440">
        <f t="shared" si="8"/>
        <v>5</v>
      </c>
      <c r="P375" s="440">
        <f t="shared" si="9"/>
        <v>0.5</v>
      </c>
      <c r="Q375">
        <f t="array" ref="Q375">IF(I375&gt;0,INDEX(DB,I375,9),EventIndex)</f>
        <v>6</v>
      </c>
      <c r="S375" s="442">
        <f t="array" ref="S375">INDEX(MINVALUES,$Q375,$K$1)</f>
        <v>5</v>
      </c>
      <c r="T375">
        <f t="array" ref="T375">INDEX(INCVALUES,$Q375,$K$1)</f>
        <v>0.5</v>
      </c>
      <c r="V375">
        <f t="array" ref="V375">+J375+(4*(INDEX(MatchScoreTable,$Q375,20)-1))</f>
        <v>4</v>
      </c>
      <c r="W375" s="442">
        <f t="array" ref="W375">INDEX(INC_MINVALUES,$V375,$K$1)</f>
        <v>2.5</v>
      </c>
      <c r="X375" s="212">
        <f t="array" ref="X375">INDEX(INC_INCVALUES,$V375,$K$1)</f>
        <v>0.5</v>
      </c>
    </row>
    <row r="376" ht="15.75" customHeight="1">
      <c r="A376" s="435"/>
      <c r="B376" s="436"/>
      <c r="C376" s="95" t="str">
        <f t="array" ref="C376">IF(I376&gt;0,INDEX(DB,I376,8),"")</f>
        <v/>
      </c>
      <c r="D376" s="437">
        <f t="shared" si="1"/>
        <v>0</v>
      </c>
      <c r="F376" s="438">
        <f t="shared" si="2"/>
        <v>0</v>
      </c>
      <c r="G376" t="str">
        <f t="shared" si="3"/>
        <v/>
      </c>
      <c r="H376" t="b">
        <f t="shared" si="4"/>
        <v>0</v>
      </c>
      <c r="I376" s="439">
        <f>IF(OR(ISBLANK(A376),ISNA(MATCH(A376&amp;"",AthleteNumbers,0))),0,MATCH(A376&amp;"",AthleteNumbers,0))</f>
        <v>0</v>
      </c>
      <c r="J376" s="209">
        <f t="array" ref="J376">IF(I376&gt;0,INDEX(DB,$I376,6),0)</f>
        <v>0</v>
      </c>
      <c r="K376" s="446">
        <f t="shared" si="5"/>
        <v>0</v>
      </c>
      <c r="L376" s="446">
        <f t="shared" si="6"/>
        <v>0</v>
      </c>
      <c r="M376" s="441">
        <f>IF(L376&lt;O376,MinPoints,IF(AND(L376&gt;N376,O376&gt;0),100,+INT(($L376-O376)/P376)+MinPoints))</f>
        <v>10</v>
      </c>
      <c r="N376" s="440">
        <f t="shared" si="7"/>
        <v>50</v>
      </c>
      <c r="O376" s="440">
        <f t="shared" si="8"/>
        <v>5</v>
      </c>
      <c r="P376" s="440">
        <f t="shared" si="9"/>
        <v>0.5</v>
      </c>
      <c r="Q376">
        <f t="array" ref="Q376">IF(I376&gt;0,INDEX(DB,I376,9),EventIndex)</f>
        <v>6</v>
      </c>
      <c r="S376" s="442">
        <f t="array" ref="S376">INDEX(MINVALUES,$Q376,$K$1)</f>
        <v>5</v>
      </c>
      <c r="T376">
        <f t="array" ref="T376">INDEX(INCVALUES,$Q376,$K$1)</f>
        <v>0.5</v>
      </c>
      <c r="V376">
        <f t="array" ref="V376">+J376+(4*(INDEX(MatchScoreTable,$Q376,20)-1))</f>
        <v>4</v>
      </c>
      <c r="W376" s="442">
        <f t="array" ref="W376">INDEX(INC_MINVALUES,$V376,$K$1)</f>
        <v>2.5</v>
      </c>
      <c r="X376" s="212">
        <f t="array" ref="X376">INDEX(INC_INCVALUES,$V376,$K$1)</f>
        <v>0.5</v>
      </c>
    </row>
    <row r="377" ht="15.75" customHeight="1">
      <c r="A377" s="435"/>
      <c r="B377" s="436"/>
      <c r="C377" s="95" t="str">
        <f t="array" ref="C377">IF(I377&gt;0,INDEX(DB,I377,8),"")</f>
        <v/>
      </c>
      <c r="D377" s="437">
        <f t="shared" si="1"/>
        <v>0</v>
      </c>
      <c r="F377" s="438">
        <f t="shared" si="2"/>
        <v>0</v>
      </c>
      <c r="G377" t="str">
        <f t="shared" si="3"/>
        <v/>
      </c>
      <c r="H377" t="b">
        <f t="shared" si="4"/>
        <v>0</v>
      </c>
      <c r="I377" s="439">
        <f>IF(OR(ISBLANK(A377),ISNA(MATCH(A377&amp;"",AthleteNumbers,0))),0,MATCH(A377&amp;"",AthleteNumbers,0))</f>
        <v>0</v>
      </c>
      <c r="J377" s="209">
        <f t="array" ref="J377">IF(I377&gt;0,INDEX(DB,$I377,6),0)</f>
        <v>0</v>
      </c>
      <c r="K377" s="446">
        <f t="shared" si="5"/>
        <v>0</v>
      </c>
      <c r="L377" s="446">
        <f t="shared" si="6"/>
        <v>0</v>
      </c>
      <c r="M377" s="441">
        <f>IF(L377&lt;O377,MinPoints,IF(AND(L377&gt;N377,O377&gt;0),100,+INT(($L377-O377)/P377)+MinPoints))</f>
        <v>10</v>
      </c>
      <c r="N377" s="440">
        <f t="shared" si="7"/>
        <v>50</v>
      </c>
      <c r="O377" s="440">
        <f t="shared" si="8"/>
        <v>5</v>
      </c>
      <c r="P377" s="440">
        <f t="shared" si="9"/>
        <v>0.5</v>
      </c>
      <c r="Q377">
        <f t="array" ref="Q377">IF(I377&gt;0,INDEX(DB,I377,9),EventIndex)</f>
        <v>6</v>
      </c>
      <c r="S377" s="442">
        <f t="array" ref="S377">INDEX(MINVALUES,$Q377,$K$1)</f>
        <v>5</v>
      </c>
      <c r="T377">
        <f t="array" ref="T377">INDEX(INCVALUES,$Q377,$K$1)</f>
        <v>0.5</v>
      </c>
      <c r="V377">
        <f t="array" ref="V377">+J377+(4*(INDEX(MatchScoreTable,$Q377,20)-1))</f>
        <v>4</v>
      </c>
      <c r="W377" s="442">
        <f t="array" ref="W377">INDEX(INC_MINVALUES,$V377,$K$1)</f>
        <v>2.5</v>
      </c>
      <c r="X377" s="212">
        <f t="array" ref="X377">INDEX(INC_INCVALUES,$V377,$K$1)</f>
        <v>0.5</v>
      </c>
    </row>
    <row r="378" ht="15.75" customHeight="1">
      <c r="A378" s="435"/>
      <c r="B378" s="436"/>
      <c r="C378" s="95" t="str">
        <f t="array" ref="C378">IF(I378&gt;0,INDEX(DB,I378,8),"")</f>
        <v/>
      </c>
      <c r="D378" s="437">
        <f t="shared" si="1"/>
        <v>0</v>
      </c>
      <c r="F378" s="438">
        <f t="shared" si="2"/>
        <v>0</v>
      </c>
      <c r="G378" t="str">
        <f t="shared" si="3"/>
        <v/>
      </c>
      <c r="H378" t="b">
        <f t="shared" si="4"/>
        <v>0</v>
      </c>
      <c r="I378" s="439">
        <f>IF(OR(ISBLANK(A378),ISNA(MATCH(A378&amp;"",AthleteNumbers,0))),0,MATCH(A378&amp;"",AthleteNumbers,0))</f>
        <v>0</v>
      </c>
      <c r="J378" s="209">
        <f t="array" ref="J378">IF(I378&gt;0,INDEX(DB,$I378,6),0)</f>
        <v>0</v>
      </c>
      <c r="K378" s="446">
        <f t="shared" si="5"/>
        <v>0</v>
      </c>
      <c r="L378" s="446">
        <f t="shared" si="6"/>
        <v>0</v>
      </c>
      <c r="M378" s="441">
        <f>IF(L378&lt;O378,MinPoints,IF(AND(L378&gt;N378,O378&gt;0),100,+INT(($L378-O378)/P378)+MinPoints))</f>
        <v>10</v>
      </c>
      <c r="N378" s="440">
        <f t="shared" si="7"/>
        <v>50</v>
      </c>
      <c r="O378" s="440">
        <f t="shared" si="8"/>
        <v>5</v>
      </c>
      <c r="P378" s="440">
        <f t="shared" si="9"/>
        <v>0.5</v>
      </c>
      <c r="Q378">
        <f t="array" ref="Q378">IF(I378&gt;0,INDEX(DB,I378,9),EventIndex)</f>
        <v>6</v>
      </c>
      <c r="S378" s="442">
        <f t="array" ref="S378">INDEX(MINVALUES,$Q378,$K$1)</f>
        <v>5</v>
      </c>
      <c r="T378">
        <f t="array" ref="T378">INDEX(INCVALUES,$Q378,$K$1)</f>
        <v>0.5</v>
      </c>
      <c r="V378">
        <f t="array" ref="V378">+J378+(4*(INDEX(MatchScoreTable,$Q378,20)-1))</f>
        <v>4</v>
      </c>
      <c r="W378" s="442">
        <f t="array" ref="W378">INDEX(INC_MINVALUES,$V378,$K$1)</f>
        <v>2.5</v>
      </c>
      <c r="X378" s="212">
        <f t="array" ref="X378">INDEX(INC_INCVALUES,$V378,$K$1)</f>
        <v>0.5</v>
      </c>
    </row>
    <row r="379" ht="15.75" customHeight="1">
      <c r="A379" s="435"/>
      <c r="B379" s="436"/>
      <c r="C379" s="95" t="str">
        <f t="array" ref="C379">IF(I379&gt;0,INDEX(DB,I379,8),"")</f>
        <v/>
      </c>
      <c r="D379" s="437">
        <f t="shared" si="1"/>
        <v>0</v>
      </c>
      <c r="F379" s="438">
        <f t="shared" si="2"/>
        <v>0</v>
      </c>
      <c r="G379" t="str">
        <f t="shared" si="3"/>
        <v/>
      </c>
      <c r="H379" t="b">
        <f t="shared" si="4"/>
        <v>0</v>
      </c>
      <c r="I379" s="439">
        <f>IF(OR(ISBLANK(A379),ISNA(MATCH(A379&amp;"",AthleteNumbers,0))),0,MATCH(A379&amp;"",AthleteNumbers,0))</f>
        <v>0</v>
      </c>
      <c r="J379" s="209">
        <f t="array" ref="J379">IF(I379&gt;0,INDEX(DB,$I379,6),0)</f>
        <v>0</v>
      </c>
      <c r="K379" s="446">
        <f t="shared" si="5"/>
        <v>0</v>
      </c>
      <c r="L379" s="446">
        <f t="shared" si="6"/>
        <v>0</v>
      </c>
      <c r="M379" s="441">
        <f>IF(L379&lt;O379,MinPoints,IF(AND(L379&gt;N379,O379&gt;0),100,+INT(($L379-O379)/P379)+MinPoints))</f>
        <v>10</v>
      </c>
      <c r="N379" s="440">
        <f t="shared" si="7"/>
        <v>50</v>
      </c>
      <c r="O379" s="440">
        <f t="shared" si="8"/>
        <v>5</v>
      </c>
      <c r="P379" s="440">
        <f t="shared" si="9"/>
        <v>0.5</v>
      </c>
      <c r="Q379">
        <f t="array" ref="Q379">IF(I379&gt;0,INDEX(DB,I379,9),EventIndex)</f>
        <v>6</v>
      </c>
      <c r="S379" s="442">
        <f t="array" ref="S379">INDEX(MINVALUES,$Q379,$K$1)</f>
        <v>5</v>
      </c>
      <c r="T379">
        <f t="array" ref="T379">INDEX(INCVALUES,$Q379,$K$1)</f>
        <v>0.5</v>
      </c>
      <c r="V379">
        <f t="array" ref="V379">+J379+(4*(INDEX(MatchScoreTable,$Q379,20)-1))</f>
        <v>4</v>
      </c>
      <c r="W379" s="442">
        <f t="array" ref="W379">INDEX(INC_MINVALUES,$V379,$K$1)</f>
        <v>2.5</v>
      </c>
      <c r="X379" s="212">
        <f t="array" ref="X379">INDEX(INC_INCVALUES,$V379,$K$1)</f>
        <v>0.5</v>
      </c>
    </row>
    <row r="380" ht="15.75" customHeight="1">
      <c r="A380" s="435"/>
      <c r="B380" s="436"/>
      <c r="C380" s="95" t="str">
        <f t="array" ref="C380">IF(I380&gt;0,INDEX(DB,I380,8),"")</f>
        <v/>
      </c>
      <c r="D380" s="437">
        <f t="shared" si="1"/>
        <v>0</v>
      </c>
      <c r="F380" s="438">
        <f t="shared" si="2"/>
        <v>0</v>
      </c>
      <c r="G380" t="str">
        <f t="shared" si="3"/>
        <v/>
      </c>
      <c r="H380" t="b">
        <f t="shared" si="4"/>
        <v>0</v>
      </c>
      <c r="I380" s="439">
        <f>IF(OR(ISBLANK(A380),ISNA(MATCH(A380&amp;"",AthleteNumbers,0))),0,MATCH(A380&amp;"",AthleteNumbers,0))</f>
        <v>0</v>
      </c>
      <c r="J380" s="209">
        <f t="array" ref="J380">IF(I380&gt;0,INDEX(DB,$I380,6),0)</f>
        <v>0</v>
      </c>
      <c r="K380" s="446">
        <f t="shared" si="5"/>
        <v>0</v>
      </c>
      <c r="L380" s="446">
        <f t="shared" si="6"/>
        <v>0</v>
      </c>
      <c r="M380" s="441">
        <f>IF(L380&lt;O380,MinPoints,IF(AND(L380&gt;N380,O380&gt;0),100,+INT(($L380-O380)/P380)+MinPoints))</f>
        <v>10</v>
      </c>
      <c r="N380" s="440">
        <f t="shared" si="7"/>
        <v>50</v>
      </c>
      <c r="O380" s="440">
        <f t="shared" si="8"/>
        <v>5</v>
      </c>
      <c r="P380" s="440">
        <f t="shared" si="9"/>
        <v>0.5</v>
      </c>
      <c r="Q380">
        <f t="array" ref="Q380">IF(I380&gt;0,INDEX(DB,I380,9),EventIndex)</f>
        <v>6</v>
      </c>
      <c r="S380" s="442">
        <f t="array" ref="S380">INDEX(MINVALUES,$Q380,$K$1)</f>
        <v>5</v>
      </c>
      <c r="T380">
        <f t="array" ref="T380">INDEX(INCVALUES,$Q380,$K$1)</f>
        <v>0.5</v>
      </c>
      <c r="V380">
        <f t="array" ref="V380">+J380+(4*(INDEX(MatchScoreTable,$Q380,20)-1))</f>
        <v>4</v>
      </c>
      <c r="W380" s="442">
        <f t="array" ref="W380">INDEX(INC_MINVALUES,$V380,$K$1)</f>
        <v>2.5</v>
      </c>
      <c r="X380" s="212">
        <f t="array" ref="X380">INDEX(INC_INCVALUES,$V380,$K$1)</f>
        <v>0.5</v>
      </c>
    </row>
    <row r="381" ht="15.75" customHeight="1">
      <c r="A381" s="435"/>
      <c r="B381" s="436"/>
      <c r="C381" s="95" t="str">
        <f t="array" ref="C381">IF(I381&gt;0,INDEX(DB,I381,8),"")</f>
        <v/>
      </c>
      <c r="D381" s="437">
        <f t="shared" si="1"/>
        <v>0</v>
      </c>
      <c r="F381" s="438">
        <f t="shared" si="2"/>
        <v>0</v>
      </c>
      <c r="G381" t="str">
        <f t="shared" si="3"/>
        <v/>
      </c>
      <c r="H381" t="b">
        <f t="shared" si="4"/>
        <v>0</v>
      </c>
      <c r="I381" s="439">
        <f>IF(OR(ISBLANK(A381),ISNA(MATCH(A381&amp;"",AthleteNumbers,0))),0,MATCH(A381&amp;"",AthleteNumbers,0))</f>
        <v>0</v>
      </c>
      <c r="J381" s="209">
        <f t="array" ref="J381">IF(I381&gt;0,INDEX(DB,$I381,6),0)</f>
        <v>0</v>
      </c>
      <c r="K381" s="446">
        <f t="shared" si="5"/>
        <v>0</v>
      </c>
      <c r="L381" s="446">
        <f t="shared" si="6"/>
        <v>0</v>
      </c>
      <c r="M381" s="441">
        <f>IF(L381&lt;O381,MinPoints,IF(AND(L381&gt;N381,O381&gt;0),100,+INT(($L381-O381)/P381)+MinPoints))</f>
        <v>10</v>
      </c>
      <c r="N381" s="440">
        <f t="shared" si="7"/>
        <v>50</v>
      </c>
      <c r="O381" s="440">
        <f t="shared" si="8"/>
        <v>5</v>
      </c>
      <c r="P381" s="440">
        <f t="shared" si="9"/>
        <v>0.5</v>
      </c>
      <c r="Q381">
        <f t="array" ref="Q381">IF(I381&gt;0,INDEX(DB,I381,9),EventIndex)</f>
        <v>6</v>
      </c>
      <c r="S381" s="442">
        <f t="array" ref="S381">INDEX(MINVALUES,$Q381,$K$1)</f>
        <v>5</v>
      </c>
      <c r="T381">
        <f t="array" ref="T381">INDEX(INCVALUES,$Q381,$K$1)</f>
        <v>0.5</v>
      </c>
      <c r="V381">
        <f t="array" ref="V381">+J381+(4*(INDEX(MatchScoreTable,$Q381,20)-1))</f>
        <v>4</v>
      </c>
      <c r="W381" s="442">
        <f t="array" ref="W381">INDEX(INC_MINVALUES,$V381,$K$1)</f>
        <v>2.5</v>
      </c>
      <c r="X381" s="212">
        <f t="array" ref="X381">INDEX(INC_INCVALUES,$V381,$K$1)</f>
        <v>0.5</v>
      </c>
    </row>
    <row r="382" ht="15.75" customHeight="1">
      <c r="A382" s="435"/>
      <c r="B382" s="436"/>
      <c r="C382" s="95" t="str">
        <f t="array" ref="C382">IF(I382&gt;0,INDEX(DB,I382,8),"")</f>
        <v/>
      </c>
      <c r="D382" s="437">
        <f t="shared" si="1"/>
        <v>0</v>
      </c>
      <c r="F382" s="438">
        <f t="shared" si="2"/>
        <v>0</v>
      </c>
      <c r="G382" t="str">
        <f t="shared" si="3"/>
        <v/>
      </c>
      <c r="H382" t="b">
        <f t="shared" si="4"/>
        <v>0</v>
      </c>
      <c r="I382" s="439">
        <f>IF(OR(ISBLANK(A382),ISNA(MATCH(A382&amp;"",AthleteNumbers,0))),0,MATCH(A382&amp;"",AthleteNumbers,0))</f>
        <v>0</v>
      </c>
      <c r="J382" s="209">
        <f t="array" ref="J382">IF(I382&gt;0,INDEX(DB,$I382,6),0)</f>
        <v>0</v>
      </c>
      <c r="K382" s="446">
        <f t="shared" si="5"/>
        <v>0</v>
      </c>
      <c r="L382" s="446">
        <f t="shared" si="6"/>
        <v>0</v>
      </c>
      <c r="M382" s="441">
        <f>IF(L382&lt;O382,MinPoints,IF(AND(L382&gt;N382,O382&gt;0),100,+INT(($L382-O382)/P382)+MinPoints))</f>
        <v>10</v>
      </c>
      <c r="N382" s="440">
        <f t="shared" si="7"/>
        <v>50</v>
      </c>
      <c r="O382" s="440">
        <f t="shared" si="8"/>
        <v>5</v>
      </c>
      <c r="P382" s="440">
        <f t="shared" si="9"/>
        <v>0.5</v>
      </c>
      <c r="Q382">
        <f t="array" ref="Q382">IF(I382&gt;0,INDEX(DB,I382,9),EventIndex)</f>
        <v>6</v>
      </c>
      <c r="S382" s="442">
        <f t="array" ref="S382">INDEX(MINVALUES,$Q382,$K$1)</f>
        <v>5</v>
      </c>
      <c r="T382">
        <f t="array" ref="T382">INDEX(INCVALUES,$Q382,$K$1)</f>
        <v>0.5</v>
      </c>
      <c r="V382">
        <f t="array" ref="V382">+J382+(4*(INDEX(MatchScoreTable,$Q382,20)-1))</f>
        <v>4</v>
      </c>
      <c r="W382" s="442">
        <f t="array" ref="W382">INDEX(INC_MINVALUES,$V382,$K$1)</f>
        <v>2.5</v>
      </c>
      <c r="X382" s="212">
        <f t="array" ref="X382">INDEX(INC_INCVALUES,$V382,$K$1)</f>
        <v>0.5</v>
      </c>
    </row>
    <row r="383" ht="15.75" customHeight="1">
      <c r="A383" s="435"/>
      <c r="B383" s="436"/>
      <c r="C383" s="95" t="str">
        <f t="array" ref="C383">IF(I383&gt;0,INDEX(DB,I383,8),"")</f>
        <v/>
      </c>
      <c r="D383" s="437">
        <f t="shared" si="1"/>
        <v>0</v>
      </c>
      <c r="F383" s="438">
        <f t="shared" si="2"/>
        <v>0</v>
      </c>
      <c r="G383" t="str">
        <f t="shared" si="3"/>
        <v/>
      </c>
      <c r="H383" t="b">
        <f t="shared" si="4"/>
        <v>0</v>
      </c>
      <c r="I383" s="439">
        <f>IF(OR(ISBLANK(A383),ISNA(MATCH(A383&amp;"",AthleteNumbers,0))),0,MATCH(A383&amp;"",AthleteNumbers,0))</f>
        <v>0</v>
      </c>
      <c r="J383" s="209">
        <f t="array" ref="J383">IF(I383&gt;0,INDEX(DB,$I383,6),0)</f>
        <v>0</v>
      </c>
      <c r="K383" s="446">
        <f t="shared" si="5"/>
        <v>0</v>
      </c>
      <c r="L383" s="446">
        <f t="shared" si="6"/>
        <v>0</v>
      </c>
      <c r="M383" s="441">
        <f>IF(L383&lt;O383,MinPoints,IF(AND(L383&gt;N383,O383&gt;0),100,+INT(($L383-O383)/P383)+MinPoints))</f>
        <v>10</v>
      </c>
      <c r="N383" s="440">
        <f t="shared" si="7"/>
        <v>50</v>
      </c>
      <c r="O383" s="440">
        <f t="shared" si="8"/>
        <v>5</v>
      </c>
      <c r="P383" s="440">
        <f t="shared" si="9"/>
        <v>0.5</v>
      </c>
      <c r="Q383">
        <f t="array" ref="Q383">IF(I383&gt;0,INDEX(DB,I383,9),EventIndex)</f>
        <v>6</v>
      </c>
      <c r="S383" s="442">
        <f t="array" ref="S383">INDEX(MINVALUES,$Q383,$K$1)</f>
        <v>5</v>
      </c>
      <c r="T383">
        <f t="array" ref="T383">INDEX(INCVALUES,$Q383,$K$1)</f>
        <v>0.5</v>
      </c>
      <c r="V383">
        <f t="array" ref="V383">+J383+(4*(INDEX(MatchScoreTable,$Q383,20)-1))</f>
        <v>4</v>
      </c>
      <c r="W383" s="442">
        <f t="array" ref="W383">INDEX(INC_MINVALUES,$V383,$K$1)</f>
        <v>2.5</v>
      </c>
      <c r="X383" s="212">
        <f t="array" ref="X383">INDEX(INC_INCVALUES,$V383,$K$1)</f>
        <v>0.5</v>
      </c>
    </row>
    <row r="384" ht="15.75" customHeight="1">
      <c r="A384" s="435"/>
      <c r="B384" s="436"/>
      <c r="C384" s="95" t="str">
        <f t="array" ref="C384">IF(I384&gt;0,INDEX(DB,I384,8),"")</f>
        <v/>
      </c>
      <c r="D384" s="437">
        <f t="shared" si="1"/>
        <v>0</v>
      </c>
      <c r="F384" s="438">
        <f t="shared" si="2"/>
        <v>0</v>
      </c>
      <c r="G384" t="str">
        <f t="shared" si="3"/>
        <v/>
      </c>
      <c r="H384" t="b">
        <f t="shared" si="4"/>
        <v>0</v>
      </c>
      <c r="I384" s="439">
        <f>IF(OR(ISBLANK(A384),ISNA(MATCH(A384&amp;"",AthleteNumbers,0))),0,MATCH(A384&amp;"",AthleteNumbers,0))</f>
        <v>0</v>
      </c>
      <c r="J384" s="209">
        <f t="array" ref="J384">IF(I384&gt;0,INDEX(DB,$I384,6),0)</f>
        <v>0</v>
      </c>
      <c r="K384" s="446">
        <f t="shared" si="5"/>
        <v>0</v>
      </c>
      <c r="L384" s="446">
        <f t="shared" si="6"/>
        <v>0</v>
      </c>
      <c r="M384" s="441">
        <f>IF(L384&lt;O384,MinPoints,IF(AND(L384&gt;N384,O384&gt;0),100,+INT(($L384-O384)/P384)+MinPoints))</f>
        <v>10</v>
      </c>
      <c r="N384" s="440">
        <f t="shared" si="7"/>
        <v>50</v>
      </c>
      <c r="O384" s="440">
        <f t="shared" si="8"/>
        <v>5</v>
      </c>
      <c r="P384" s="440">
        <f t="shared" si="9"/>
        <v>0.5</v>
      </c>
      <c r="Q384">
        <f t="array" ref="Q384">IF(I384&gt;0,INDEX(DB,I384,9),EventIndex)</f>
        <v>6</v>
      </c>
      <c r="S384" s="442">
        <f t="array" ref="S384">INDEX(MINVALUES,$Q384,$K$1)</f>
        <v>5</v>
      </c>
      <c r="T384">
        <f t="array" ref="T384">INDEX(INCVALUES,$Q384,$K$1)</f>
        <v>0.5</v>
      </c>
      <c r="V384">
        <f t="array" ref="V384">+J384+(4*(INDEX(MatchScoreTable,$Q384,20)-1))</f>
        <v>4</v>
      </c>
      <c r="W384" s="442">
        <f t="array" ref="W384">INDEX(INC_MINVALUES,$V384,$K$1)</f>
        <v>2.5</v>
      </c>
      <c r="X384" s="212">
        <f t="array" ref="X384">INDEX(INC_INCVALUES,$V384,$K$1)</f>
        <v>0.5</v>
      </c>
    </row>
    <row r="385" ht="15.75" customHeight="1">
      <c r="A385" s="435"/>
      <c r="B385" s="436"/>
      <c r="C385" s="95" t="str">
        <f t="array" ref="C385">IF(I385&gt;0,INDEX(DB,I385,8),"")</f>
        <v/>
      </c>
      <c r="D385" s="437">
        <f t="shared" si="1"/>
        <v>0</v>
      </c>
      <c r="F385" s="438">
        <f t="shared" si="2"/>
        <v>0</v>
      </c>
      <c r="G385" t="str">
        <f t="shared" si="3"/>
        <v/>
      </c>
      <c r="H385" t="b">
        <f t="shared" si="4"/>
        <v>0</v>
      </c>
      <c r="I385" s="439">
        <f>IF(OR(ISBLANK(A385),ISNA(MATCH(A385&amp;"",AthleteNumbers,0))),0,MATCH(A385&amp;"",AthleteNumbers,0))</f>
        <v>0</v>
      </c>
      <c r="J385" s="209">
        <f t="array" ref="J385">IF(I385&gt;0,INDEX(DB,$I385,6),0)</f>
        <v>0</v>
      </c>
      <c r="K385" s="446">
        <f t="shared" si="5"/>
        <v>0</v>
      </c>
      <c r="L385" s="446">
        <f t="shared" si="6"/>
        <v>0</v>
      </c>
      <c r="M385" s="441">
        <f>IF(L385&lt;O385,MinPoints,IF(AND(L385&gt;N385,O385&gt;0),100,+INT(($L385-O385)/P385)+MinPoints))</f>
        <v>10</v>
      </c>
      <c r="N385" s="440">
        <f t="shared" si="7"/>
        <v>50</v>
      </c>
      <c r="O385" s="440">
        <f t="shared" si="8"/>
        <v>5</v>
      </c>
      <c r="P385" s="440">
        <f t="shared" si="9"/>
        <v>0.5</v>
      </c>
      <c r="Q385">
        <f t="array" ref="Q385">IF(I385&gt;0,INDEX(DB,I385,9),EventIndex)</f>
        <v>6</v>
      </c>
      <c r="S385" s="442">
        <f t="array" ref="S385">INDEX(MINVALUES,$Q385,$K$1)</f>
        <v>5</v>
      </c>
      <c r="T385">
        <f t="array" ref="T385">INDEX(INCVALUES,$Q385,$K$1)</f>
        <v>0.5</v>
      </c>
      <c r="V385">
        <f t="array" ref="V385">+J385+(4*(INDEX(MatchScoreTable,$Q385,20)-1))</f>
        <v>4</v>
      </c>
      <c r="W385" s="442">
        <f t="array" ref="W385">INDEX(INC_MINVALUES,$V385,$K$1)</f>
        <v>2.5</v>
      </c>
      <c r="X385" s="212">
        <f t="array" ref="X385">INDEX(INC_INCVALUES,$V385,$K$1)</f>
        <v>0.5</v>
      </c>
    </row>
    <row r="386" ht="15.75" customHeight="1">
      <c r="A386" s="435"/>
      <c r="B386" s="436"/>
      <c r="C386" s="95" t="str">
        <f t="array" ref="C386">IF(I386&gt;0,INDEX(DB,I386,8),"")</f>
        <v/>
      </c>
      <c r="D386" s="437">
        <f t="shared" si="1"/>
        <v>0</v>
      </c>
      <c r="F386" s="438">
        <f t="shared" si="2"/>
        <v>0</v>
      </c>
      <c r="G386" t="str">
        <f t="shared" si="3"/>
        <v/>
      </c>
      <c r="H386" t="b">
        <f t="shared" si="4"/>
        <v>0</v>
      </c>
      <c r="I386" s="439">
        <f>IF(OR(ISBLANK(A386),ISNA(MATCH(A386&amp;"",AthleteNumbers,0))),0,MATCH(A386&amp;"",AthleteNumbers,0))</f>
        <v>0</v>
      </c>
      <c r="J386" s="209">
        <f t="array" ref="J386">IF(I386&gt;0,INDEX(DB,$I386,6),0)</f>
        <v>0</v>
      </c>
      <c r="K386" s="446">
        <f t="shared" si="5"/>
        <v>0</v>
      </c>
      <c r="L386" s="446">
        <f t="shared" si="6"/>
        <v>0</v>
      </c>
      <c r="M386" s="441">
        <f>IF(L386&lt;O386,MinPoints,IF(AND(L386&gt;N386,O386&gt;0),100,+INT(($L386-O386)/P386)+MinPoints))</f>
        <v>10</v>
      </c>
      <c r="N386" s="440">
        <f t="shared" si="7"/>
        <v>50</v>
      </c>
      <c r="O386" s="440">
        <f t="shared" si="8"/>
        <v>5</v>
      </c>
      <c r="P386" s="440">
        <f t="shared" si="9"/>
        <v>0.5</v>
      </c>
      <c r="Q386">
        <f t="array" ref="Q386">IF(I386&gt;0,INDEX(DB,I386,9),EventIndex)</f>
        <v>6</v>
      </c>
      <c r="S386" s="442">
        <f t="array" ref="S386">INDEX(MINVALUES,$Q386,$K$1)</f>
        <v>5</v>
      </c>
      <c r="T386">
        <f t="array" ref="T386">INDEX(INCVALUES,$Q386,$K$1)</f>
        <v>0.5</v>
      </c>
      <c r="V386">
        <f t="array" ref="V386">+J386+(4*(INDEX(MatchScoreTable,$Q386,20)-1))</f>
        <v>4</v>
      </c>
      <c r="W386" s="442">
        <f t="array" ref="W386">INDEX(INC_MINVALUES,$V386,$K$1)</f>
        <v>2.5</v>
      </c>
      <c r="X386" s="212">
        <f t="array" ref="X386">INDEX(INC_INCVALUES,$V386,$K$1)</f>
        <v>0.5</v>
      </c>
    </row>
    <row r="387" ht="15.75" customHeight="1">
      <c r="A387" s="435"/>
      <c r="B387" s="436"/>
      <c r="C387" s="95" t="str">
        <f t="array" ref="C387">IF(I387&gt;0,INDEX(DB,I387,8),"")</f>
        <v/>
      </c>
      <c r="D387" s="437">
        <f t="shared" si="1"/>
        <v>0</v>
      </c>
      <c r="F387" s="438">
        <f t="shared" si="2"/>
        <v>0</v>
      </c>
      <c r="G387" t="str">
        <f t="shared" si="3"/>
        <v/>
      </c>
      <c r="H387" t="b">
        <f t="shared" si="4"/>
        <v>0</v>
      </c>
      <c r="I387" s="439">
        <f>IF(OR(ISBLANK(A387),ISNA(MATCH(A387&amp;"",AthleteNumbers,0))),0,MATCH(A387&amp;"",AthleteNumbers,0))</f>
        <v>0</v>
      </c>
      <c r="J387" s="209">
        <f t="array" ref="J387">IF(I387&gt;0,INDEX(DB,$I387,6),0)</f>
        <v>0</v>
      </c>
      <c r="K387" s="446">
        <f t="shared" si="5"/>
        <v>0</v>
      </c>
      <c r="L387" s="446">
        <f t="shared" si="6"/>
        <v>0</v>
      </c>
      <c r="M387" s="441">
        <f>IF(L387&lt;O387,MinPoints,IF(AND(L387&gt;N387,O387&gt;0),100,+INT(($L387-O387)/P387)+MinPoints))</f>
        <v>10</v>
      </c>
      <c r="N387" s="440">
        <f t="shared" si="7"/>
        <v>50</v>
      </c>
      <c r="O387" s="440">
        <f t="shared" si="8"/>
        <v>5</v>
      </c>
      <c r="P387" s="440">
        <f t="shared" si="9"/>
        <v>0.5</v>
      </c>
      <c r="Q387">
        <f t="array" ref="Q387">IF(I387&gt;0,INDEX(DB,I387,9),EventIndex)</f>
        <v>6</v>
      </c>
      <c r="S387" s="442">
        <f t="array" ref="S387">INDEX(MINVALUES,$Q387,$K$1)</f>
        <v>5</v>
      </c>
      <c r="T387">
        <f t="array" ref="T387">INDEX(INCVALUES,$Q387,$K$1)</f>
        <v>0.5</v>
      </c>
      <c r="V387">
        <f t="array" ref="V387">+J387+(4*(INDEX(MatchScoreTable,$Q387,20)-1))</f>
        <v>4</v>
      </c>
      <c r="W387" s="442">
        <f t="array" ref="W387">INDEX(INC_MINVALUES,$V387,$K$1)</f>
        <v>2.5</v>
      </c>
      <c r="X387" s="212">
        <f t="array" ref="X387">INDEX(INC_INCVALUES,$V387,$K$1)</f>
        <v>0.5</v>
      </c>
    </row>
    <row r="388" ht="15.75" customHeight="1">
      <c r="A388" s="435"/>
      <c r="B388" s="436"/>
      <c r="C388" s="95" t="str">
        <f t="array" ref="C388">IF(I388&gt;0,INDEX(DB,I388,8),"")</f>
        <v/>
      </c>
      <c r="D388" s="437">
        <f t="shared" si="1"/>
        <v>0</v>
      </c>
      <c r="F388" s="438">
        <f t="shared" si="2"/>
        <v>0</v>
      </c>
      <c r="G388" t="str">
        <f t="shared" si="3"/>
        <v/>
      </c>
      <c r="H388" t="b">
        <f t="shared" si="4"/>
        <v>0</v>
      </c>
      <c r="I388" s="439">
        <f>IF(OR(ISBLANK(A388),ISNA(MATCH(A388&amp;"",AthleteNumbers,0))),0,MATCH(A388&amp;"",AthleteNumbers,0))</f>
        <v>0</v>
      </c>
      <c r="J388" s="209">
        <f t="array" ref="J388">IF(I388&gt;0,INDEX(DB,$I388,6),0)</f>
        <v>0</v>
      </c>
      <c r="K388" s="446">
        <f t="shared" si="5"/>
        <v>0</v>
      </c>
      <c r="L388" s="446">
        <f t="shared" si="6"/>
        <v>0</v>
      </c>
      <c r="M388" s="441">
        <f>IF(L388&lt;O388,MinPoints,IF(AND(L388&gt;N388,O388&gt;0),100,+INT(($L388-O388)/P388)+MinPoints))</f>
        <v>10</v>
      </c>
      <c r="N388" s="440">
        <f t="shared" si="7"/>
        <v>50</v>
      </c>
      <c r="O388" s="440">
        <f t="shared" si="8"/>
        <v>5</v>
      </c>
      <c r="P388" s="440">
        <f t="shared" si="9"/>
        <v>0.5</v>
      </c>
      <c r="Q388">
        <f t="array" ref="Q388">IF(I388&gt;0,INDEX(DB,I388,9),EventIndex)</f>
        <v>6</v>
      </c>
      <c r="S388" s="442">
        <f t="array" ref="S388">INDEX(MINVALUES,$Q388,$K$1)</f>
        <v>5</v>
      </c>
      <c r="T388">
        <f t="array" ref="T388">INDEX(INCVALUES,$Q388,$K$1)</f>
        <v>0.5</v>
      </c>
      <c r="V388">
        <f t="array" ref="V388">+J388+(4*(INDEX(MatchScoreTable,$Q388,20)-1))</f>
        <v>4</v>
      </c>
      <c r="W388" s="442">
        <f t="array" ref="W388">INDEX(INC_MINVALUES,$V388,$K$1)</f>
        <v>2.5</v>
      </c>
      <c r="X388" s="212">
        <f t="array" ref="X388">INDEX(INC_INCVALUES,$V388,$K$1)</f>
        <v>0.5</v>
      </c>
    </row>
    <row r="389" ht="15.75" customHeight="1">
      <c r="A389" s="435"/>
      <c r="B389" s="436"/>
      <c r="C389" s="95" t="str">
        <f t="array" ref="C389">IF(I389&gt;0,INDEX(DB,I389,8),"")</f>
        <v/>
      </c>
      <c r="D389" s="437">
        <f t="shared" si="1"/>
        <v>0</v>
      </c>
      <c r="F389" s="438">
        <f t="shared" si="2"/>
        <v>0</v>
      </c>
      <c r="G389" t="str">
        <f t="shared" si="3"/>
        <v/>
      </c>
      <c r="H389" t="b">
        <f t="shared" si="4"/>
        <v>0</v>
      </c>
      <c r="I389" s="439">
        <f>IF(OR(ISBLANK(A389),ISNA(MATCH(A389&amp;"",AthleteNumbers,0))),0,MATCH(A389&amp;"",AthleteNumbers,0))</f>
        <v>0</v>
      </c>
      <c r="J389" s="209">
        <f t="array" ref="J389">IF(I389&gt;0,INDEX(DB,$I389,6),0)</f>
        <v>0</v>
      </c>
      <c r="K389" s="446">
        <f t="shared" si="5"/>
        <v>0</v>
      </c>
      <c r="L389" s="446">
        <f t="shared" si="6"/>
        <v>0</v>
      </c>
      <c r="M389" s="441">
        <f>IF(L389&lt;O389,MinPoints,IF(AND(L389&gt;N389,O389&gt;0),100,+INT(($L389-O389)/P389)+MinPoints))</f>
        <v>10</v>
      </c>
      <c r="N389" s="440">
        <f t="shared" si="7"/>
        <v>50</v>
      </c>
      <c r="O389" s="440">
        <f t="shared" si="8"/>
        <v>5</v>
      </c>
      <c r="P389" s="440">
        <f t="shared" si="9"/>
        <v>0.5</v>
      </c>
      <c r="Q389">
        <f t="array" ref="Q389">IF(I389&gt;0,INDEX(DB,I389,9),EventIndex)</f>
        <v>6</v>
      </c>
      <c r="S389" s="442">
        <f t="array" ref="S389">INDEX(MINVALUES,$Q389,$K$1)</f>
        <v>5</v>
      </c>
      <c r="T389">
        <f t="array" ref="T389">INDEX(INCVALUES,$Q389,$K$1)</f>
        <v>0.5</v>
      </c>
      <c r="V389">
        <f t="array" ref="V389">+J389+(4*(INDEX(MatchScoreTable,$Q389,20)-1))</f>
        <v>4</v>
      </c>
      <c r="W389" s="442">
        <f t="array" ref="W389">INDEX(INC_MINVALUES,$V389,$K$1)</f>
        <v>2.5</v>
      </c>
      <c r="X389" s="212">
        <f t="array" ref="X389">INDEX(INC_INCVALUES,$V389,$K$1)</f>
        <v>0.5</v>
      </c>
    </row>
    <row r="390" ht="15.75" customHeight="1">
      <c r="A390" s="435"/>
      <c r="B390" s="436"/>
      <c r="C390" s="95" t="str">
        <f t="array" ref="C390">IF(I390&gt;0,INDEX(DB,I390,8),"")</f>
        <v/>
      </c>
      <c r="D390" s="437">
        <f t="shared" si="1"/>
        <v>0</v>
      </c>
      <c r="F390" s="438">
        <f t="shared" si="2"/>
        <v>0</v>
      </c>
      <c r="G390" t="str">
        <f t="shared" si="3"/>
        <v/>
      </c>
      <c r="H390" t="b">
        <f t="shared" si="4"/>
        <v>0</v>
      </c>
      <c r="I390" s="439">
        <f>IF(OR(ISBLANK(A390),ISNA(MATCH(A390&amp;"",AthleteNumbers,0))),0,MATCH(A390&amp;"",AthleteNumbers,0))</f>
        <v>0</v>
      </c>
      <c r="J390" s="209">
        <f t="array" ref="J390">IF(I390&gt;0,INDEX(DB,$I390,6),0)</f>
        <v>0</v>
      </c>
      <c r="K390" s="446">
        <f t="shared" si="5"/>
        <v>0</v>
      </c>
      <c r="L390" s="446">
        <f t="shared" si="6"/>
        <v>0</v>
      </c>
      <c r="M390" s="441">
        <f>IF(L390&lt;O390,MinPoints,IF(AND(L390&gt;N390,O390&gt;0),100,+INT(($L390-O390)/P390)+MinPoints))</f>
        <v>10</v>
      </c>
      <c r="N390" s="440">
        <f t="shared" si="7"/>
        <v>50</v>
      </c>
      <c r="O390" s="440">
        <f t="shared" si="8"/>
        <v>5</v>
      </c>
      <c r="P390" s="440">
        <f t="shared" si="9"/>
        <v>0.5</v>
      </c>
      <c r="Q390">
        <f t="array" ref="Q390">IF(I390&gt;0,INDEX(DB,I390,9),EventIndex)</f>
        <v>6</v>
      </c>
      <c r="S390" s="442">
        <f t="array" ref="S390">INDEX(MINVALUES,$Q390,$K$1)</f>
        <v>5</v>
      </c>
      <c r="T390">
        <f t="array" ref="T390">INDEX(INCVALUES,$Q390,$K$1)</f>
        <v>0.5</v>
      </c>
      <c r="V390">
        <f t="array" ref="V390">+J390+(4*(INDEX(MatchScoreTable,$Q390,20)-1))</f>
        <v>4</v>
      </c>
      <c r="W390" s="442">
        <f t="array" ref="W390">INDEX(INC_MINVALUES,$V390,$K$1)</f>
        <v>2.5</v>
      </c>
      <c r="X390" s="212">
        <f t="array" ref="X390">INDEX(INC_INCVALUES,$V390,$K$1)</f>
        <v>0.5</v>
      </c>
    </row>
    <row r="391" ht="15.75" customHeight="1">
      <c r="A391" s="435"/>
      <c r="B391" s="436"/>
      <c r="C391" s="95" t="str">
        <f t="array" ref="C391">IF(I391&gt;0,INDEX(DB,I391,8),"")</f>
        <v/>
      </c>
      <c r="D391" s="437">
        <f t="shared" si="1"/>
        <v>0</v>
      </c>
      <c r="F391" s="438">
        <f t="shared" si="2"/>
        <v>0</v>
      </c>
      <c r="G391" t="str">
        <f t="shared" si="3"/>
        <v/>
      </c>
      <c r="H391" t="b">
        <f t="shared" si="4"/>
        <v>0</v>
      </c>
      <c r="I391" s="439">
        <f>IF(OR(ISBLANK(A391),ISNA(MATCH(A391&amp;"",AthleteNumbers,0))),0,MATCH(A391&amp;"",AthleteNumbers,0))</f>
        <v>0</v>
      </c>
      <c r="J391" s="209">
        <f t="array" ref="J391">IF(I391&gt;0,INDEX(DB,$I391,6),0)</f>
        <v>0</v>
      </c>
      <c r="K391" s="446">
        <f t="shared" si="5"/>
        <v>0</v>
      </c>
      <c r="L391" s="446">
        <f t="shared" si="6"/>
        <v>0</v>
      </c>
      <c r="M391" s="441">
        <f>IF(L391&lt;O391,MinPoints,IF(AND(L391&gt;N391,O391&gt;0),100,+INT(($L391-O391)/P391)+MinPoints))</f>
        <v>10</v>
      </c>
      <c r="N391" s="440">
        <f t="shared" si="7"/>
        <v>50</v>
      </c>
      <c r="O391" s="440">
        <f t="shared" si="8"/>
        <v>5</v>
      </c>
      <c r="P391" s="440">
        <f t="shared" si="9"/>
        <v>0.5</v>
      </c>
      <c r="Q391">
        <f t="array" ref="Q391">IF(I391&gt;0,INDEX(DB,I391,9),EventIndex)</f>
        <v>6</v>
      </c>
      <c r="S391" s="442">
        <f t="array" ref="S391">INDEX(MINVALUES,$Q391,$K$1)</f>
        <v>5</v>
      </c>
      <c r="T391">
        <f t="array" ref="T391">INDEX(INCVALUES,$Q391,$K$1)</f>
        <v>0.5</v>
      </c>
      <c r="V391">
        <f t="array" ref="V391">+J391+(4*(INDEX(MatchScoreTable,$Q391,20)-1))</f>
        <v>4</v>
      </c>
      <c r="W391" s="442">
        <f t="array" ref="W391">INDEX(INC_MINVALUES,$V391,$K$1)</f>
        <v>2.5</v>
      </c>
      <c r="X391" s="212">
        <f t="array" ref="X391">INDEX(INC_INCVALUES,$V391,$K$1)</f>
        <v>0.5</v>
      </c>
    </row>
    <row r="392" ht="15.75" customHeight="1">
      <c r="A392" s="435"/>
      <c r="B392" s="436"/>
      <c r="C392" s="95" t="str">
        <f t="array" ref="C392">IF(I392&gt;0,INDEX(DB,I392,8),"")</f>
        <v/>
      </c>
      <c r="D392" s="437">
        <f t="shared" si="1"/>
        <v>0</v>
      </c>
      <c r="F392" s="438">
        <f t="shared" si="2"/>
        <v>0</v>
      </c>
      <c r="G392" t="str">
        <f t="shared" si="3"/>
        <v/>
      </c>
      <c r="H392" t="b">
        <f t="shared" si="4"/>
        <v>0</v>
      </c>
      <c r="I392" s="439">
        <f>IF(OR(ISBLANK(A392),ISNA(MATCH(A392&amp;"",AthleteNumbers,0))),0,MATCH(A392&amp;"",AthleteNumbers,0))</f>
        <v>0</v>
      </c>
      <c r="J392" s="209">
        <f t="array" ref="J392">IF(I392&gt;0,INDEX(DB,$I392,6),0)</f>
        <v>0</v>
      </c>
      <c r="K392" s="446">
        <f t="shared" si="5"/>
        <v>0</v>
      </c>
      <c r="L392" s="446">
        <f t="shared" si="6"/>
        <v>0</v>
      </c>
      <c r="M392" s="441">
        <f>IF(L392&lt;O392,MinPoints,IF(AND(L392&gt;N392,O392&gt;0),100,+INT(($L392-O392)/P392)+MinPoints))</f>
        <v>10</v>
      </c>
      <c r="N392" s="440">
        <f t="shared" si="7"/>
        <v>50</v>
      </c>
      <c r="O392" s="440">
        <f t="shared" si="8"/>
        <v>5</v>
      </c>
      <c r="P392" s="440">
        <f t="shared" si="9"/>
        <v>0.5</v>
      </c>
      <c r="Q392">
        <f t="array" ref="Q392">IF(I392&gt;0,INDEX(DB,I392,9),EventIndex)</f>
        <v>6</v>
      </c>
      <c r="S392" s="442">
        <f t="array" ref="S392">INDEX(MINVALUES,$Q392,$K$1)</f>
        <v>5</v>
      </c>
      <c r="T392">
        <f t="array" ref="T392">INDEX(INCVALUES,$Q392,$K$1)</f>
        <v>0.5</v>
      </c>
      <c r="V392">
        <f t="array" ref="V392">+J392+(4*(INDEX(MatchScoreTable,$Q392,20)-1))</f>
        <v>4</v>
      </c>
      <c r="W392" s="442">
        <f t="array" ref="W392">INDEX(INC_MINVALUES,$V392,$K$1)</f>
        <v>2.5</v>
      </c>
      <c r="X392" s="212">
        <f t="array" ref="X392">INDEX(INC_INCVALUES,$V392,$K$1)</f>
        <v>0.5</v>
      </c>
    </row>
    <row r="393" ht="15.75" customHeight="1">
      <c r="A393" s="435"/>
      <c r="B393" s="436"/>
      <c r="C393" s="95" t="str">
        <f t="array" ref="C393">IF(I393&gt;0,INDEX(DB,I393,8),"")</f>
        <v/>
      </c>
      <c r="D393" s="437">
        <f t="shared" si="1"/>
        <v>0</v>
      </c>
      <c r="F393" s="438">
        <f t="shared" si="2"/>
        <v>0</v>
      </c>
      <c r="G393" t="str">
        <f t="shared" si="3"/>
        <v/>
      </c>
      <c r="H393" t="b">
        <f t="shared" si="4"/>
        <v>0</v>
      </c>
      <c r="I393" s="439">
        <f>IF(OR(ISBLANK(A393),ISNA(MATCH(A393&amp;"",AthleteNumbers,0))),0,MATCH(A393&amp;"",AthleteNumbers,0))</f>
        <v>0</v>
      </c>
      <c r="J393" s="209">
        <f t="array" ref="J393">IF(I393&gt;0,INDEX(DB,$I393,6),0)</f>
        <v>0</v>
      </c>
      <c r="K393" s="446">
        <f t="shared" si="5"/>
        <v>0</v>
      </c>
      <c r="L393" s="446">
        <f t="shared" si="6"/>
        <v>0</v>
      </c>
      <c r="M393" s="441">
        <f>IF(L393&lt;O393,MinPoints,IF(AND(L393&gt;N393,O393&gt;0),100,+INT(($L393-O393)/P393)+MinPoints))</f>
        <v>10</v>
      </c>
      <c r="N393" s="440">
        <f t="shared" si="7"/>
        <v>50</v>
      </c>
      <c r="O393" s="440">
        <f t="shared" si="8"/>
        <v>5</v>
      </c>
      <c r="P393" s="440">
        <f t="shared" si="9"/>
        <v>0.5</v>
      </c>
      <c r="Q393">
        <f t="array" ref="Q393">IF(I393&gt;0,INDEX(DB,I393,9),EventIndex)</f>
        <v>6</v>
      </c>
      <c r="S393" s="442">
        <f t="array" ref="S393">INDEX(MINVALUES,$Q393,$K$1)</f>
        <v>5</v>
      </c>
      <c r="T393">
        <f t="array" ref="T393">INDEX(INCVALUES,$Q393,$K$1)</f>
        <v>0.5</v>
      </c>
      <c r="V393">
        <f t="array" ref="V393">+J393+(4*(INDEX(MatchScoreTable,$Q393,20)-1))</f>
        <v>4</v>
      </c>
      <c r="W393" s="442">
        <f t="array" ref="W393">INDEX(INC_MINVALUES,$V393,$K$1)</f>
        <v>2.5</v>
      </c>
      <c r="X393" s="212">
        <f t="array" ref="X393">INDEX(INC_INCVALUES,$V393,$K$1)</f>
        <v>0.5</v>
      </c>
    </row>
    <row r="394" ht="15.75" customHeight="1">
      <c r="A394" s="435"/>
      <c r="B394" s="436"/>
      <c r="C394" s="95" t="str">
        <f t="array" ref="C394">IF(I394&gt;0,INDEX(DB,I394,8),"")</f>
        <v/>
      </c>
      <c r="D394" s="437">
        <f t="shared" si="1"/>
        <v>0</v>
      </c>
      <c r="F394" s="438">
        <f t="shared" si="2"/>
        <v>0</v>
      </c>
      <c r="G394" t="str">
        <f t="shared" si="3"/>
        <v/>
      </c>
      <c r="H394" t="b">
        <f t="shared" si="4"/>
        <v>0</v>
      </c>
      <c r="I394" s="439">
        <f>IF(OR(ISBLANK(A394),ISNA(MATCH(A394&amp;"",AthleteNumbers,0))),0,MATCH(A394&amp;"",AthleteNumbers,0))</f>
        <v>0</v>
      </c>
      <c r="J394" s="209">
        <f t="array" ref="J394">IF(I394&gt;0,INDEX(DB,$I394,6),0)</f>
        <v>0</v>
      </c>
      <c r="K394" s="446">
        <f t="shared" si="5"/>
        <v>0</v>
      </c>
      <c r="L394" s="446">
        <f t="shared" si="6"/>
        <v>0</v>
      </c>
      <c r="M394" s="441">
        <f>IF(L394&lt;O394,MinPoints,IF(AND(L394&gt;N394,O394&gt;0),100,+INT(($L394-O394)/P394)+MinPoints))</f>
        <v>10</v>
      </c>
      <c r="N394" s="440">
        <f t="shared" si="7"/>
        <v>50</v>
      </c>
      <c r="O394" s="440">
        <f t="shared" si="8"/>
        <v>5</v>
      </c>
      <c r="P394" s="440">
        <f t="shared" si="9"/>
        <v>0.5</v>
      </c>
      <c r="Q394">
        <f t="array" ref="Q394">IF(I394&gt;0,INDEX(DB,I394,9),EventIndex)</f>
        <v>6</v>
      </c>
      <c r="S394" s="442">
        <f t="array" ref="S394">INDEX(MINVALUES,$Q394,$K$1)</f>
        <v>5</v>
      </c>
      <c r="T394">
        <f t="array" ref="T394">INDEX(INCVALUES,$Q394,$K$1)</f>
        <v>0.5</v>
      </c>
      <c r="V394">
        <f t="array" ref="V394">+J394+(4*(INDEX(MatchScoreTable,$Q394,20)-1))</f>
        <v>4</v>
      </c>
      <c r="W394" s="442">
        <f t="array" ref="W394">INDEX(INC_MINVALUES,$V394,$K$1)</f>
        <v>2.5</v>
      </c>
      <c r="X394" s="212">
        <f t="array" ref="X394">INDEX(INC_INCVALUES,$V394,$K$1)</f>
        <v>0.5</v>
      </c>
    </row>
    <row r="395" ht="15.75" customHeight="1">
      <c r="A395" s="435"/>
      <c r="B395" s="436"/>
      <c r="C395" s="95" t="str">
        <f t="array" ref="C395">IF(I395&gt;0,INDEX(DB,I395,8),"")</f>
        <v/>
      </c>
      <c r="D395" s="437">
        <f t="shared" si="1"/>
        <v>0</v>
      </c>
      <c r="F395" s="438">
        <f t="shared" si="2"/>
        <v>0</v>
      </c>
      <c r="G395" t="str">
        <f t="shared" si="3"/>
        <v/>
      </c>
      <c r="H395" t="b">
        <f t="shared" si="4"/>
        <v>0</v>
      </c>
      <c r="I395" s="439">
        <f>IF(OR(ISBLANK(A395),ISNA(MATCH(A395&amp;"",AthleteNumbers,0))),0,MATCH(A395&amp;"",AthleteNumbers,0))</f>
        <v>0</v>
      </c>
      <c r="J395" s="209">
        <f t="array" ref="J395">IF(I395&gt;0,INDEX(DB,$I395,6),0)</f>
        <v>0</v>
      </c>
      <c r="K395" s="446">
        <f t="shared" si="5"/>
        <v>0</v>
      </c>
      <c r="L395" s="446">
        <f t="shared" si="6"/>
        <v>0</v>
      </c>
      <c r="M395" s="441">
        <f>IF(L395&lt;O395,MinPoints,IF(AND(L395&gt;N395,O395&gt;0),100,+INT(($L395-O395)/P395)+MinPoints))</f>
        <v>10</v>
      </c>
      <c r="N395" s="440">
        <f t="shared" si="7"/>
        <v>50</v>
      </c>
      <c r="O395" s="440">
        <f t="shared" si="8"/>
        <v>5</v>
      </c>
      <c r="P395" s="440">
        <f t="shared" si="9"/>
        <v>0.5</v>
      </c>
      <c r="Q395">
        <f t="array" ref="Q395">IF(I395&gt;0,INDEX(DB,I395,9),EventIndex)</f>
        <v>6</v>
      </c>
      <c r="S395" s="442">
        <f t="array" ref="S395">INDEX(MINVALUES,$Q395,$K$1)</f>
        <v>5</v>
      </c>
      <c r="T395">
        <f t="array" ref="T395">INDEX(INCVALUES,$Q395,$K$1)</f>
        <v>0.5</v>
      </c>
      <c r="V395">
        <f t="array" ref="V395">+J395+(4*(INDEX(MatchScoreTable,$Q395,20)-1))</f>
        <v>4</v>
      </c>
      <c r="W395" s="442">
        <f t="array" ref="W395">INDEX(INC_MINVALUES,$V395,$K$1)</f>
        <v>2.5</v>
      </c>
      <c r="X395" s="212">
        <f t="array" ref="X395">INDEX(INC_INCVALUES,$V395,$K$1)</f>
        <v>0.5</v>
      </c>
    </row>
    <row r="396" ht="15.75" customHeight="1">
      <c r="A396" s="435"/>
      <c r="B396" s="436"/>
      <c r="C396" s="95" t="str">
        <f t="array" ref="C396">IF(I396&gt;0,INDEX(DB,I396,8),"")</f>
        <v/>
      </c>
      <c r="D396" s="437">
        <f t="shared" si="1"/>
        <v>0</v>
      </c>
      <c r="F396" s="438">
        <f t="shared" si="2"/>
        <v>0</v>
      </c>
      <c r="G396" t="str">
        <f t="shared" si="3"/>
        <v/>
      </c>
      <c r="H396" t="b">
        <f t="shared" si="4"/>
        <v>0</v>
      </c>
      <c r="I396" s="439">
        <f>IF(OR(ISBLANK(A396),ISNA(MATCH(A396&amp;"",AthleteNumbers,0))),0,MATCH(A396&amp;"",AthleteNumbers,0))</f>
        <v>0</v>
      </c>
      <c r="J396" s="209">
        <f t="array" ref="J396">IF(I396&gt;0,INDEX(DB,$I396,6),0)</f>
        <v>0</v>
      </c>
      <c r="K396" s="446">
        <f t="shared" si="5"/>
        <v>0</v>
      </c>
      <c r="L396" s="446">
        <f t="shared" si="6"/>
        <v>0</v>
      </c>
      <c r="M396" s="441">
        <f>IF(L396&lt;O396,MinPoints,IF(AND(L396&gt;N396,O396&gt;0),100,+INT(($L396-O396)/P396)+MinPoints))</f>
        <v>10</v>
      </c>
      <c r="N396" s="440">
        <f t="shared" si="7"/>
        <v>50</v>
      </c>
      <c r="O396" s="440">
        <f t="shared" si="8"/>
        <v>5</v>
      </c>
      <c r="P396" s="440">
        <f t="shared" si="9"/>
        <v>0.5</v>
      </c>
      <c r="Q396">
        <f t="array" ref="Q396">IF(I396&gt;0,INDEX(DB,I396,9),EventIndex)</f>
        <v>6</v>
      </c>
      <c r="S396" s="442">
        <f t="array" ref="S396">INDEX(MINVALUES,$Q396,$K$1)</f>
        <v>5</v>
      </c>
      <c r="T396">
        <f t="array" ref="T396">INDEX(INCVALUES,$Q396,$K$1)</f>
        <v>0.5</v>
      </c>
      <c r="V396">
        <f t="array" ref="V396">+J396+(4*(INDEX(MatchScoreTable,$Q396,20)-1))</f>
        <v>4</v>
      </c>
      <c r="W396" s="442">
        <f t="array" ref="W396">INDEX(INC_MINVALUES,$V396,$K$1)</f>
        <v>2.5</v>
      </c>
      <c r="X396" s="212">
        <f t="array" ref="X396">INDEX(INC_INCVALUES,$V396,$K$1)</f>
        <v>0.5</v>
      </c>
    </row>
    <row r="397" ht="15.75" customHeight="1">
      <c r="A397" s="435"/>
      <c r="B397" s="436"/>
      <c r="C397" s="95" t="str">
        <f t="array" ref="C397">IF(I397&gt;0,INDEX(DB,I397,8),"")</f>
        <v/>
      </c>
      <c r="D397" s="437">
        <f t="shared" si="1"/>
        <v>0</v>
      </c>
      <c r="F397" s="438">
        <f t="shared" si="2"/>
        <v>0</v>
      </c>
      <c r="G397" t="str">
        <f t="shared" si="3"/>
        <v/>
      </c>
      <c r="H397" t="b">
        <f t="shared" si="4"/>
        <v>0</v>
      </c>
      <c r="I397" s="439">
        <f>IF(OR(ISBLANK(A397),ISNA(MATCH(A397&amp;"",AthleteNumbers,0))),0,MATCH(A397&amp;"",AthleteNumbers,0))</f>
        <v>0</v>
      </c>
      <c r="J397" s="209">
        <f t="array" ref="J397">IF(I397&gt;0,INDEX(DB,$I397,6),0)</f>
        <v>0</v>
      </c>
      <c r="K397" s="446">
        <f t="shared" si="5"/>
        <v>0</v>
      </c>
      <c r="L397" s="446">
        <f t="shared" si="6"/>
        <v>0</v>
      </c>
      <c r="M397" s="441">
        <f>IF(L397&lt;O397,MinPoints,IF(AND(L397&gt;N397,O397&gt;0),100,+INT(($L397-O397)/P397)+MinPoints))</f>
        <v>10</v>
      </c>
      <c r="N397" s="440">
        <f t="shared" si="7"/>
        <v>50</v>
      </c>
      <c r="O397" s="440">
        <f t="shared" si="8"/>
        <v>5</v>
      </c>
      <c r="P397" s="440">
        <f t="shared" si="9"/>
        <v>0.5</v>
      </c>
      <c r="Q397">
        <f t="array" ref="Q397">IF(I397&gt;0,INDEX(DB,I397,9),EventIndex)</f>
        <v>6</v>
      </c>
      <c r="S397" s="442">
        <f t="array" ref="S397">INDEX(MINVALUES,$Q397,$K$1)</f>
        <v>5</v>
      </c>
      <c r="T397">
        <f t="array" ref="T397">INDEX(INCVALUES,$Q397,$K$1)</f>
        <v>0.5</v>
      </c>
      <c r="V397">
        <f t="array" ref="V397">+J397+(4*(INDEX(MatchScoreTable,$Q397,20)-1))</f>
        <v>4</v>
      </c>
      <c r="W397" s="442">
        <f t="array" ref="W397">INDEX(INC_MINVALUES,$V397,$K$1)</f>
        <v>2.5</v>
      </c>
      <c r="X397" s="212">
        <f t="array" ref="X397">INDEX(INC_INCVALUES,$V397,$K$1)</f>
        <v>0.5</v>
      </c>
    </row>
    <row r="398" ht="15.75" customHeight="1">
      <c r="A398" s="435"/>
      <c r="B398" s="436"/>
      <c r="C398" s="95" t="str">
        <f t="array" ref="C398">IF(I398&gt;0,INDEX(DB,I398,8),"")</f>
        <v/>
      </c>
      <c r="D398" s="437">
        <f t="shared" si="1"/>
        <v>0</v>
      </c>
      <c r="F398" s="438">
        <f t="shared" si="2"/>
        <v>0</v>
      </c>
      <c r="G398" t="str">
        <f t="shared" si="3"/>
        <v/>
      </c>
      <c r="H398" t="b">
        <f t="shared" si="4"/>
        <v>0</v>
      </c>
      <c r="I398" s="439">
        <f>IF(OR(ISBLANK(A398),ISNA(MATCH(A398&amp;"",AthleteNumbers,0))),0,MATCH(A398&amp;"",AthleteNumbers,0))</f>
        <v>0</v>
      </c>
      <c r="J398" s="209">
        <f t="array" ref="J398">IF(I398&gt;0,INDEX(DB,$I398,6),0)</f>
        <v>0</v>
      </c>
      <c r="K398" s="446">
        <f t="shared" si="5"/>
        <v>0</v>
      </c>
      <c r="L398" s="446">
        <f t="shared" si="6"/>
        <v>0</v>
      </c>
      <c r="M398" s="441">
        <f>IF(L398&lt;O398,MinPoints,IF(AND(L398&gt;N398,O398&gt;0),100,+INT(($L398-O398)/P398)+MinPoints))</f>
        <v>10</v>
      </c>
      <c r="N398" s="440">
        <f t="shared" si="7"/>
        <v>50</v>
      </c>
      <c r="O398" s="440">
        <f t="shared" si="8"/>
        <v>5</v>
      </c>
      <c r="P398" s="440">
        <f t="shared" si="9"/>
        <v>0.5</v>
      </c>
      <c r="Q398">
        <f t="array" ref="Q398">IF(I398&gt;0,INDEX(DB,I398,9),EventIndex)</f>
        <v>6</v>
      </c>
      <c r="S398" s="442">
        <f t="array" ref="S398">INDEX(MINVALUES,$Q398,$K$1)</f>
        <v>5</v>
      </c>
      <c r="T398">
        <f t="array" ref="T398">INDEX(INCVALUES,$Q398,$K$1)</f>
        <v>0.5</v>
      </c>
      <c r="V398">
        <f t="array" ref="V398">+J398+(4*(INDEX(MatchScoreTable,$Q398,20)-1))</f>
        <v>4</v>
      </c>
      <c r="W398" s="442">
        <f t="array" ref="W398">INDEX(INC_MINVALUES,$V398,$K$1)</f>
        <v>2.5</v>
      </c>
      <c r="X398" s="212">
        <f t="array" ref="X398">INDEX(INC_INCVALUES,$V398,$K$1)</f>
        <v>0.5</v>
      </c>
    </row>
    <row r="399" ht="15.75" customHeight="1">
      <c r="A399" s="435"/>
      <c r="B399" s="436"/>
      <c r="C399" s="95" t="str">
        <f t="array" ref="C399">IF(I399&gt;0,INDEX(DB,I399,8),"")</f>
        <v/>
      </c>
      <c r="D399" s="437">
        <f t="shared" si="1"/>
        <v>0</v>
      </c>
      <c r="F399" s="438">
        <f t="shared" si="2"/>
        <v>0</v>
      </c>
      <c r="G399" t="str">
        <f t="shared" si="3"/>
        <v/>
      </c>
      <c r="H399" t="b">
        <f t="shared" si="4"/>
        <v>0</v>
      </c>
      <c r="I399" s="439">
        <f>IF(OR(ISBLANK(A399),ISNA(MATCH(A399&amp;"",AthleteNumbers,0))),0,MATCH(A399&amp;"",AthleteNumbers,0))</f>
        <v>0</v>
      </c>
      <c r="J399" s="209">
        <f t="array" ref="J399">IF(I399&gt;0,INDEX(DB,$I399,6),0)</f>
        <v>0</v>
      </c>
      <c r="K399" s="446">
        <f t="shared" si="5"/>
        <v>0</v>
      </c>
      <c r="L399" s="446">
        <f t="shared" si="6"/>
        <v>0</v>
      </c>
      <c r="M399" s="441">
        <f>IF(L399&lt;O399,MinPoints,IF(AND(L399&gt;N399,O399&gt;0),100,+INT(($L399-O399)/P399)+MinPoints))</f>
        <v>10</v>
      </c>
      <c r="N399" s="440">
        <f t="shared" si="7"/>
        <v>50</v>
      </c>
      <c r="O399" s="440">
        <f t="shared" si="8"/>
        <v>5</v>
      </c>
      <c r="P399" s="440">
        <f t="shared" si="9"/>
        <v>0.5</v>
      </c>
      <c r="Q399">
        <f t="array" ref="Q399">IF(I399&gt;0,INDEX(DB,I399,9),EventIndex)</f>
        <v>6</v>
      </c>
      <c r="S399" s="442">
        <f t="array" ref="S399">INDEX(MINVALUES,$Q399,$K$1)</f>
        <v>5</v>
      </c>
      <c r="T399">
        <f t="array" ref="T399">INDEX(INCVALUES,$Q399,$K$1)</f>
        <v>0.5</v>
      </c>
      <c r="V399">
        <f t="array" ref="V399">+J399+(4*(INDEX(MatchScoreTable,$Q399,20)-1))</f>
        <v>4</v>
      </c>
      <c r="W399" s="442">
        <f t="array" ref="W399">INDEX(INC_MINVALUES,$V399,$K$1)</f>
        <v>2.5</v>
      </c>
      <c r="X399" s="212">
        <f t="array" ref="X399">INDEX(INC_INCVALUES,$V399,$K$1)</f>
        <v>0.5</v>
      </c>
    </row>
    <row r="400" ht="15.75" customHeight="1">
      <c r="A400" s="435"/>
      <c r="B400" s="436"/>
      <c r="C400" s="95" t="str">
        <f t="array" ref="C400">IF(I400&gt;0,INDEX(DB,I400,8),"")</f>
        <v/>
      </c>
      <c r="D400" s="437">
        <f t="shared" si="1"/>
        <v>0</v>
      </c>
      <c r="F400" s="438">
        <f t="shared" si="2"/>
        <v>0</v>
      </c>
      <c r="G400" t="str">
        <f t="shared" si="3"/>
        <v/>
      </c>
      <c r="H400" t="b">
        <f t="shared" si="4"/>
        <v>0</v>
      </c>
      <c r="I400" s="439">
        <f>IF(OR(ISBLANK(A400),ISNA(MATCH(A400&amp;"",AthleteNumbers,0))),0,MATCH(A400&amp;"",AthleteNumbers,0))</f>
        <v>0</v>
      </c>
      <c r="J400" s="209">
        <f t="array" ref="J400">IF(I400&gt;0,INDEX(DB,$I400,6),0)</f>
        <v>0</v>
      </c>
      <c r="K400" s="446">
        <f t="shared" si="5"/>
        <v>0</v>
      </c>
      <c r="L400" s="446">
        <f t="shared" si="6"/>
        <v>0</v>
      </c>
      <c r="M400" s="441">
        <f>IF(L400&lt;O400,MinPoints,IF(AND(L400&gt;N400,O400&gt;0),100,+INT(($L400-O400)/P400)+MinPoints))</f>
        <v>10</v>
      </c>
      <c r="N400" s="440">
        <f t="shared" si="7"/>
        <v>50</v>
      </c>
      <c r="O400" s="440">
        <f t="shared" si="8"/>
        <v>5</v>
      </c>
      <c r="P400" s="440">
        <f t="shared" si="9"/>
        <v>0.5</v>
      </c>
      <c r="Q400">
        <f t="array" ref="Q400">IF(I400&gt;0,INDEX(DB,I400,9),EventIndex)</f>
        <v>6</v>
      </c>
      <c r="S400" s="442">
        <f t="array" ref="S400">INDEX(MINVALUES,$Q400,$K$1)</f>
        <v>5</v>
      </c>
      <c r="T400">
        <f t="array" ref="T400">INDEX(INCVALUES,$Q400,$K$1)</f>
        <v>0.5</v>
      </c>
      <c r="V400">
        <f t="array" ref="V400">+J400+(4*(INDEX(MatchScoreTable,$Q400,20)-1))</f>
        <v>4</v>
      </c>
      <c r="W400" s="442">
        <f t="array" ref="W400">INDEX(INC_MINVALUES,$V400,$K$1)</f>
        <v>2.5</v>
      </c>
      <c r="X400" s="212">
        <f t="array" ref="X400">INDEX(INC_INCVALUES,$V400,$K$1)</f>
        <v>0.5</v>
      </c>
    </row>
    <row r="401" ht="15.75" customHeight="1">
      <c r="A401" s="435"/>
      <c r="B401" s="436"/>
      <c r="C401" s="95" t="str">
        <f t="array" ref="C401">IF(I401&gt;0,INDEX(DB,I401,8),"")</f>
        <v/>
      </c>
      <c r="D401" s="437">
        <f t="shared" si="1"/>
        <v>0</v>
      </c>
      <c r="F401" s="438">
        <f t="shared" si="2"/>
        <v>0</v>
      </c>
      <c r="G401" t="str">
        <f t="shared" si="3"/>
        <v/>
      </c>
      <c r="H401" t="b">
        <f t="shared" si="4"/>
        <v>0</v>
      </c>
      <c r="I401" s="439">
        <f>IF(OR(ISBLANK(A401),ISNA(MATCH(A401&amp;"",AthleteNumbers,0))),0,MATCH(A401&amp;"",AthleteNumbers,0))</f>
        <v>0</v>
      </c>
      <c r="J401" s="209">
        <f t="array" ref="J401">IF(I401&gt;0,INDEX(DB,$I401,6),0)</f>
        <v>0</v>
      </c>
      <c r="K401" s="446">
        <f t="shared" si="5"/>
        <v>0</v>
      </c>
      <c r="L401" s="446">
        <f t="shared" si="6"/>
        <v>0</v>
      </c>
      <c r="M401" s="441">
        <f>IF(L401&lt;O401,MinPoints,IF(AND(L401&gt;N401,O401&gt;0),100,+INT(($L401-O401)/P401)+MinPoints))</f>
        <v>10</v>
      </c>
      <c r="N401" s="440">
        <f t="shared" si="7"/>
        <v>50</v>
      </c>
      <c r="O401" s="440">
        <f t="shared" si="8"/>
        <v>5</v>
      </c>
      <c r="P401" s="440">
        <f t="shared" si="9"/>
        <v>0.5</v>
      </c>
      <c r="Q401">
        <f t="array" ref="Q401">IF(I401&gt;0,INDEX(DB,I401,9),EventIndex)</f>
        <v>6</v>
      </c>
      <c r="S401" s="442">
        <f t="array" ref="S401">INDEX(MINVALUES,$Q401,$K$1)</f>
        <v>5</v>
      </c>
      <c r="T401">
        <f t="array" ref="T401">INDEX(INCVALUES,$Q401,$K$1)</f>
        <v>0.5</v>
      </c>
      <c r="V401">
        <f t="array" ref="V401">+J401+(4*(INDEX(MatchScoreTable,$Q401,20)-1))</f>
        <v>4</v>
      </c>
      <c r="W401" s="442">
        <f t="array" ref="W401">INDEX(INC_MINVALUES,$V401,$K$1)</f>
        <v>2.5</v>
      </c>
      <c r="X401" s="212">
        <f t="array" ref="X401">INDEX(INC_INCVALUES,$V401,$K$1)</f>
        <v>0.5</v>
      </c>
    </row>
    <row r="402" ht="15.75" customHeight="1">
      <c r="A402" s="435"/>
      <c r="B402" s="436"/>
      <c r="C402" s="95" t="str">
        <f t="array" ref="C402">IF(I402&gt;0,INDEX(DB,I402,8),"")</f>
        <v/>
      </c>
      <c r="D402" s="437">
        <f t="shared" si="1"/>
        <v>0</v>
      </c>
      <c r="F402" s="438">
        <f t="shared" si="2"/>
        <v>0</v>
      </c>
      <c r="G402" t="str">
        <f t="shared" si="3"/>
        <v/>
      </c>
      <c r="H402" t="b">
        <f t="shared" si="4"/>
        <v>0</v>
      </c>
      <c r="I402" s="439">
        <f>IF(OR(ISBLANK(A402),ISNA(MATCH(A402&amp;"",AthleteNumbers,0))),0,MATCH(A402&amp;"",AthleteNumbers,0))</f>
        <v>0</v>
      </c>
      <c r="J402" s="209">
        <f t="array" ref="J402">IF(I402&gt;0,INDEX(DB,$I402,6),0)</f>
        <v>0</v>
      </c>
      <c r="K402" s="446">
        <f t="shared" si="5"/>
        <v>0</v>
      </c>
      <c r="L402" s="446">
        <f t="shared" si="6"/>
        <v>0</v>
      </c>
      <c r="M402" s="441">
        <f>IF(L402&lt;O402,MinPoints,IF(AND(L402&gt;N402,O402&gt;0),100,+INT(($L402-O402)/P402)+MinPoints))</f>
        <v>10</v>
      </c>
      <c r="N402" s="440">
        <f t="shared" si="7"/>
        <v>50</v>
      </c>
      <c r="O402" s="440">
        <f t="shared" si="8"/>
        <v>5</v>
      </c>
      <c r="P402" s="440">
        <f t="shared" si="9"/>
        <v>0.5</v>
      </c>
      <c r="Q402">
        <f t="array" ref="Q402">IF(I402&gt;0,INDEX(DB,I402,9),EventIndex)</f>
        <v>6</v>
      </c>
      <c r="S402" s="442">
        <f t="array" ref="S402">INDEX(MINVALUES,$Q402,$K$1)</f>
        <v>5</v>
      </c>
      <c r="T402">
        <f t="array" ref="T402">INDEX(INCVALUES,$Q402,$K$1)</f>
        <v>0.5</v>
      </c>
      <c r="V402">
        <f t="array" ref="V402">+J402+(4*(INDEX(MatchScoreTable,$Q402,20)-1))</f>
        <v>4</v>
      </c>
      <c r="W402" s="442">
        <f t="array" ref="W402">INDEX(INC_MINVALUES,$V402,$K$1)</f>
        <v>2.5</v>
      </c>
      <c r="X402" s="212">
        <f t="array" ref="X402">INDEX(INC_INCVALUES,$V402,$K$1)</f>
        <v>0.5</v>
      </c>
    </row>
    <row r="403" ht="15.75" customHeight="1">
      <c r="A403" s="435"/>
      <c r="B403" s="436"/>
      <c r="C403" s="95" t="str">
        <f t="array" ref="C403">IF(I403&gt;0,INDEX(DB,I403,8),"")</f>
        <v/>
      </c>
      <c r="D403" s="437">
        <f t="shared" si="1"/>
        <v>0</v>
      </c>
      <c r="F403" s="438">
        <f t="shared" si="2"/>
        <v>0</v>
      </c>
      <c r="G403" t="str">
        <f t="shared" si="3"/>
        <v/>
      </c>
      <c r="H403" t="b">
        <f t="shared" si="4"/>
        <v>0</v>
      </c>
      <c r="I403" s="439">
        <f>IF(OR(ISBLANK(A403),ISNA(MATCH(A403&amp;"",AthleteNumbers,0))),0,MATCH(A403&amp;"",AthleteNumbers,0))</f>
        <v>0</v>
      </c>
      <c r="J403" s="209">
        <f t="array" ref="J403">IF(I403&gt;0,INDEX(DB,$I403,6),0)</f>
        <v>0</v>
      </c>
      <c r="K403" s="446">
        <f t="shared" si="5"/>
        <v>0</v>
      </c>
      <c r="L403" s="446">
        <f t="shared" si="6"/>
        <v>0</v>
      </c>
      <c r="M403" s="441">
        <f>IF(L403&lt;O403,MinPoints,IF(AND(L403&gt;N403,O403&gt;0),100,+INT(($L403-O403)/P403)+MinPoints))</f>
        <v>10</v>
      </c>
      <c r="N403" s="440">
        <f t="shared" si="7"/>
        <v>50</v>
      </c>
      <c r="O403" s="440">
        <f t="shared" si="8"/>
        <v>5</v>
      </c>
      <c r="P403" s="440">
        <f t="shared" si="9"/>
        <v>0.5</v>
      </c>
      <c r="Q403">
        <f t="array" ref="Q403">IF(I403&gt;0,INDEX(DB,I403,9),EventIndex)</f>
        <v>6</v>
      </c>
      <c r="S403" s="442">
        <f t="array" ref="S403">INDEX(MINVALUES,$Q403,$K$1)</f>
        <v>5</v>
      </c>
      <c r="T403">
        <f t="array" ref="T403">INDEX(INCVALUES,$Q403,$K$1)</f>
        <v>0.5</v>
      </c>
      <c r="V403">
        <f t="array" ref="V403">+J403+(4*(INDEX(MatchScoreTable,$Q403,20)-1))</f>
        <v>4</v>
      </c>
      <c r="W403" s="442">
        <f t="array" ref="W403">INDEX(INC_MINVALUES,$V403,$K$1)</f>
        <v>2.5</v>
      </c>
      <c r="X403" s="212">
        <f t="array" ref="X403">INDEX(INC_INCVALUES,$V403,$K$1)</f>
        <v>0.5</v>
      </c>
    </row>
    <row r="404" ht="15.75" customHeight="1">
      <c r="A404" s="435"/>
      <c r="B404" s="436"/>
      <c r="C404" s="95" t="str">
        <f t="array" ref="C404">IF(I404&gt;0,INDEX(DB,I404,8),"")</f>
        <v/>
      </c>
      <c r="D404" s="437">
        <f t="shared" si="1"/>
        <v>0</v>
      </c>
      <c r="F404" s="438">
        <f t="shared" si="2"/>
        <v>0</v>
      </c>
      <c r="G404" t="str">
        <f t="shared" si="3"/>
        <v/>
      </c>
      <c r="H404" t="b">
        <f t="shared" si="4"/>
        <v>0</v>
      </c>
      <c r="I404" s="439">
        <f>IF(OR(ISBLANK(A404),ISNA(MATCH(A404&amp;"",AthleteNumbers,0))),0,MATCH(A404&amp;"",AthleteNumbers,0))</f>
        <v>0</v>
      </c>
      <c r="J404" s="209">
        <f t="array" ref="J404">IF(I404&gt;0,INDEX(DB,$I404,6),0)</f>
        <v>0</v>
      </c>
      <c r="K404" s="446">
        <f t="shared" si="5"/>
        <v>0</v>
      </c>
      <c r="L404" s="446">
        <f t="shared" si="6"/>
        <v>0</v>
      </c>
      <c r="M404" s="441">
        <f>IF(L404&lt;O404,MinPoints,IF(AND(L404&gt;N404,O404&gt;0),100,+INT(($L404-O404)/P404)+MinPoints))</f>
        <v>10</v>
      </c>
      <c r="N404" s="440">
        <f t="shared" si="7"/>
        <v>50</v>
      </c>
      <c r="O404" s="440">
        <f t="shared" si="8"/>
        <v>5</v>
      </c>
      <c r="P404" s="440">
        <f t="shared" si="9"/>
        <v>0.5</v>
      </c>
      <c r="Q404">
        <f t="array" ref="Q404">IF(I404&gt;0,INDEX(DB,I404,9),EventIndex)</f>
        <v>6</v>
      </c>
      <c r="S404" s="442">
        <f t="array" ref="S404">INDEX(MINVALUES,$Q404,$K$1)</f>
        <v>5</v>
      </c>
      <c r="T404">
        <f t="array" ref="T404">INDEX(INCVALUES,$Q404,$K$1)</f>
        <v>0.5</v>
      </c>
      <c r="V404">
        <f t="array" ref="V404">+J404+(4*(INDEX(MatchScoreTable,$Q404,20)-1))</f>
        <v>4</v>
      </c>
      <c r="W404" s="442">
        <f t="array" ref="W404">INDEX(INC_MINVALUES,$V404,$K$1)</f>
        <v>2.5</v>
      </c>
      <c r="X404" s="212">
        <f t="array" ref="X404">INDEX(INC_INCVALUES,$V404,$K$1)</f>
        <v>0.5</v>
      </c>
    </row>
    <row r="405" ht="15.75" customHeight="1">
      <c r="A405" s="435"/>
      <c r="B405" s="436"/>
      <c r="C405" s="95" t="str">
        <f t="array" ref="C405">IF(I405&gt;0,INDEX(DB,I405,8),"")</f>
        <v/>
      </c>
      <c r="D405" s="437">
        <f t="shared" si="1"/>
        <v>0</v>
      </c>
      <c r="F405" s="438">
        <f t="shared" si="2"/>
        <v>0</v>
      </c>
      <c r="G405" t="str">
        <f t="shared" si="3"/>
        <v/>
      </c>
      <c r="H405" t="b">
        <f t="shared" si="4"/>
        <v>0</v>
      </c>
      <c r="I405" s="439">
        <f>IF(OR(ISBLANK(A405),ISNA(MATCH(A405&amp;"",AthleteNumbers,0))),0,MATCH(A405&amp;"",AthleteNumbers,0))</f>
        <v>0</v>
      </c>
      <c r="J405" s="209">
        <f t="array" ref="J405">IF(I405&gt;0,INDEX(DB,$I405,6),0)</f>
        <v>0</v>
      </c>
      <c r="K405" s="446">
        <f t="shared" si="5"/>
        <v>0</v>
      </c>
      <c r="L405" s="446">
        <f t="shared" si="6"/>
        <v>0</v>
      </c>
      <c r="M405" s="441">
        <f>IF(L405&lt;O405,MinPoints,IF(AND(L405&gt;N405,O405&gt;0),100,+INT(($L405-O405)/P405)+MinPoints))</f>
        <v>10</v>
      </c>
      <c r="N405" s="440">
        <f t="shared" si="7"/>
        <v>50</v>
      </c>
      <c r="O405" s="440">
        <f t="shared" si="8"/>
        <v>5</v>
      </c>
      <c r="P405" s="440">
        <f t="shared" si="9"/>
        <v>0.5</v>
      </c>
      <c r="Q405">
        <f t="array" ref="Q405">IF(I405&gt;0,INDEX(DB,I405,9),EventIndex)</f>
        <v>6</v>
      </c>
      <c r="S405" s="442">
        <f t="array" ref="S405">INDEX(MINVALUES,$Q405,$K$1)</f>
        <v>5</v>
      </c>
      <c r="T405">
        <f t="array" ref="T405">INDEX(INCVALUES,$Q405,$K$1)</f>
        <v>0.5</v>
      </c>
      <c r="V405">
        <f t="array" ref="V405">+J405+(4*(INDEX(MatchScoreTable,$Q405,20)-1))</f>
        <v>4</v>
      </c>
      <c r="W405" s="442">
        <f t="array" ref="W405">INDEX(INC_MINVALUES,$V405,$K$1)</f>
        <v>2.5</v>
      </c>
      <c r="X405" s="212">
        <f t="array" ref="X405">INDEX(INC_INCVALUES,$V405,$K$1)</f>
        <v>0.5</v>
      </c>
    </row>
    <row r="406" ht="15.75" customHeight="1">
      <c r="A406" s="435"/>
      <c r="B406" s="436"/>
      <c r="C406" s="95" t="str">
        <f t="array" ref="C406">IF(I406&gt;0,INDEX(DB,I406,8),"")</f>
        <v/>
      </c>
      <c r="D406" s="437">
        <f t="shared" si="1"/>
        <v>0</v>
      </c>
      <c r="F406" s="438">
        <f t="shared" si="2"/>
        <v>0</v>
      </c>
      <c r="G406" t="str">
        <f t="shared" si="3"/>
        <v/>
      </c>
      <c r="H406" t="b">
        <f t="shared" si="4"/>
        <v>0</v>
      </c>
      <c r="I406" s="439">
        <f>IF(OR(ISBLANK(A406),ISNA(MATCH(A406&amp;"",AthleteNumbers,0))),0,MATCH(A406&amp;"",AthleteNumbers,0))</f>
        <v>0</v>
      </c>
      <c r="J406" s="209">
        <f t="array" ref="J406">IF(I406&gt;0,INDEX(DB,$I406,6),0)</f>
        <v>0</v>
      </c>
      <c r="K406" s="446">
        <f t="shared" si="5"/>
        <v>0</v>
      </c>
      <c r="L406" s="446">
        <f t="shared" si="6"/>
        <v>0</v>
      </c>
      <c r="M406" s="441">
        <f>IF(L406&lt;O406,MinPoints,IF(AND(L406&gt;N406,O406&gt;0),100,+INT(($L406-O406)/P406)+MinPoints))</f>
        <v>10</v>
      </c>
      <c r="N406" s="440">
        <f t="shared" si="7"/>
        <v>50</v>
      </c>
      <c r="O406" s="440">
        <f t="shared" si="8"/>
        <v>5</v>
      </c>
      <c r="P406" s="440">
        <f t="shared" si="9"/>
        <v>0.5</v>
      </c>
      <c r="Q406">
        <f t="array" ref="Q406">IF(I406&gt;0,INDEX(DB,I406,9),EventIndex)</f>
        <v>6</v>
      </c>
      <c r="S406" s="442">
        <f t="array" ref="S406">INDEX(MINVALUES,$Q406,$K$1)</f>
        <v>5</v>
      </c>
      <c r="T406">
        <f t="array" ref="T406">INDEX(INCVALUES,$Q406,$K$1)</f>
        <v>0.5</v>
      </c>
      <c r="V406">
        <f t="array" ref="V406">+J406+(4*(INDEX(MatchScoreTable,$Q406,20)-1))</f>
        <v>4</v>
      </c>
      <c r="W406" s="442">
        <f t="array" ref="W406">INDEX(INC_MINVALUES,$V406,$K$1)</f>
        <v>2.5</v>
      </c>
      <c r="X406" s="212">
        <f t="array" ref="X406">INDEX(INC_INCVALUES,$V406,$K$1)</f>
        <v>0.5</v>
      </c>
    </row>
    <row r="407" ht="15.75" customHeight="1">
      <c r="A407" s="435"/>
      <c r="B407" s="436"/>
      <c r="C407" s="95" t="str">
        <f t="array" ref="C407">IF(I407&gt;0,INDEX(DB,I407,8),"")</f>
        <v/>
      </c>
      <c r="D407" s="437">
        <f t="shared" si="1"/>
        <v>0</v>
      </c>
      <c r="F407" s="438">
        <f t="shared" si="2"/>
        <v>0</v>
      </c>
      <c r="G407" t="str">
        <f t="shared" si="3"/>
        <v/>
      </c>
      <c r="H407" t="b">
        <f t="shared" si="4"/>
        <v>0</v>
      </c>
      <c r="I407" s="439">
        <f>IF(OR(ISBLANK(A407),ISNA(MATCH(A407&amp;"",AthleteNumbers,0))),0,MATCH(A407&amp;"",AthleteNumbers,0))</f>
        <v>0</v>
      </c>
      <c r="J407" s="209">
        <f t="array" ref="J407">IF(I407&gt;0,INDEX(DB,$I407,6),0)</f>
        <v>0</v>
      </c>
      <c r="K407" s="446">
        <f t="shared" si="5"/>
        <v>0</v>
      </c>
      <c r="L407" s="446">
        <f t="shared" si="6"/>
        <v>0</v>
      </c>
      <c r="M407" s="441">
        <f>IF(L407&lt;O407,MinPoints,IF(AND(L407&gt;N407,O407&gt;0),100,+INT(($L407-O407)/P407)+MinPoints))</f>
        <v>10</v>
      </c>
      <c r="N407" s="440">
        <f t="shared" si="7"/>
        <v>50</v>
      </c>
      <c r="O407" s="440">
        <f t="shared" si="8"/>
        <v>5</v>
      </c>
      <c r="P407" s="440">
        <f t="shared" si="9"/>
        <v>0.5</v>
      </c>
      <c r="Q407">
        <f t="array" ref="Q407">IF(I407&gt;0,INDEX(DB,I407,9),EventIndex)</f>
        <v>6</v>
      </c>
      <c r="S407" s="442">
        <f t="array" ref="S407">INDEX(MINVALUES,$Q407,$K$1)</f>
        <v>5</v>
      </c>
      <c r="T407">
        <f t="array" ref="T407">INDEX(INCVALUES,$Q407,$K$1)</f>
        <v>0.5</v>
      </c>
      <c r="V407">
        <f t="array" ref="V407">+J407+(4*(INDEX(MatchScoreTable,$Q407,20)-1))</f>
        <v>4</v>
      </c>
      <c r="W407" s="442">
        <f t="array" ref="W407">INDEX(INC_MINVALUES,$V407,$K$1)</f>
        <v>2.5</v>
      </c>
      <c r="X407" s="212">
        <f t="array" ref="X407">INDEX(INC_INCVALUES,$V407,$K$1)</f>
        <v>0.5</v>
      </c>
    </row>
    <row r="408" ht="15.75" customHeight="1">
      <c r="A408" s="435"/>
      <c r="B408" s="436"/>
      <c r="C408" s="95" t="str">
        <f t="array" ref="C408">IF(I408&gt;0,INDEX(DB,I408,8),"")</f>
        <v/>
      </c>
      <c r="D408" s="437">
        <f t="shared" si="1"/>
        <v>0</v>
      </c>
      <c r="F408" s="438">
        <f t="shared" si="2"/>
        <v>0</v>
      </c>
      <c r="G408" t="str">
        <f t="shared" si="3"/>
        <v/>
      </c>
      <c r="H408" t="b">
        <f t="shared" si="4"/>
        <v>0</v>
      </c>
      <c r="I408" s="439">
        <f>IF(OR(ISBLANK(A408),ISNA(MATCH(A408&amp;"",AthleteNumbers,0))),0,MATCH(A408&amp;"",AthleteNumbers,0))</f>
        <v>0</v>
      </c>
      <c r="J408" s="209">
        <f t="array" ref="J408">IF(I408&gt;0,INDEX(DB,$I408,6),0)</f>
        <v>0</v>
      </c>
      <c r="K408" s="446">
        <f t="shared" si="5"/>
        <v>0</v>
      </c>
      <c r="L408" s="446">
        <f t="shared" si="6"/>
        <v>0</v>
      </c>
      <c r="M408" s="441">
        <f>IF(L408&lt;O408,MinPoints,IF(AND(L408&gt;N408,O408&gt;0),100,+INT(($L408-O408)/P408)+MinPoints))</f>
        <v>10</v>
      </c>
      <c r="N408" s="440">
        <f t="shared" si="7"/>
        <v>50</v>
      </c>
      <c r="O408" s="440">
        <f t="shared" si="8"/>
        <v>5</v>
      </c>
      <c r="P408" s="440">
        <f t="shared" si="9"/>
        <v>0.5</v>
      </c>
      <c r="Q408">
        <f t="array" ref="Q408">IF(I408&gt;0,INDEX(DB,I408,9),EventIndex)</f>
        <v>6</v>
      </c>
      <c r="S408" s="442">
        <f t="array" ref="S408">INDEX(MINVALUES,$Q408,$K$1)</f>
        <v>5</v>
      </c>
      <c r="T408">
        <f t="array" ref="T408">INDEX(INCVALUES,$Q408,$K$1)</f>
        <v>0.5</v>
      </c>
      <c r="V408">
        <f t="array" ref="V408">+J408+(4*(INDEX(MatchScoreTable,$Q408,20)-1))</f>
        <v>4</v>
      </c>
      <c r="W408" s="442">
        <f t="array" ref="W408">INDEX(INC_MINVALUES,$V408,$K$1)</f>
        <v>2.5</v>
      </c>
      <c r="X408" s="212">
        <f t="array" ref="X408">INDEX(INC_INCVALUES,$V408,$K$1)</f>
        <v>0.5</v>
      </c>
    </row>
    <row r="409" ht="15.75" customHeight="1">
      <c r="A409" s="435"/>
      <c r="B409" s="436"/>
      <c r="C409" s="95" t="str">
        <f t="array" ref="C409">IF(I409&gt;0,INDEX(DB,I409,8),"")</f>
        <v/>
      </c>
      <c r="D409" s="437">
        <f t="shared" si="1"/>
        <v>0</v>
      </c>
      <c r="F409" s="438">
        <f t="shared" si="2"/>
        <v>0</v>
      </c>
      <c r="G409" t="str">
        <f t="shared" si="3"/>
        <v/>
      </c>
      <c r="H409" t="b">
        <f t="shared" si="4"/>
        <v>0</v>
      </c>
      <c r="I409" s="439">
        <f>IF(OR(ISBLANK(A409),ISNA(MATCH(A409&amp;"",AthleteNumbers,0))),0,MATCH(A409&amp;"",AthleteNumbers,0))</f>
        <v>0</v>
      </c>
      <c r="J409" s="209">
        <f t="array" ref="J409">IF(I409&gt;0,INDEX(DB,$I409,6),0)</f>
        <v>0</v>
      </c>
      <c r="K409" s="446">
        <f t="shared" si="5"/>
        <v>0</v>
      </c>
      <c r="L409" s="446">
        <f t="shared" si="6"/>
        <v>0</v>
      </c>
      <c r="M409" s="441">
        <f>IF(L409&lt;O409,MinPoints,IF(AND(L409&gt;N409,O409&gt;0),100,+INT(($L409-O409)/P409)+MinPoints))</f>
        <v>10</v>
      </c>
      <c r="N409" s="440">
        <f t="shared" si="7"/>
        <v>50</v>
      </c>
      <c r="O409" s="440">
        <f t="shared" si="8"/>
        <v>5</v>
      </c>
      <c r="P409" s="440">
        <f t="shared" si="9"/>
        <v>0.5</v>
      </c>
      <c r="Q409">
        <f t="array" ref="Q409">IF(I409&gt;0,INDEX(DB,I409,9),EventIndex)</f>
        <v>6</v>
      </c>
      <c r="S409" s="442">
        <f t="array" ref="S409">INDEX(MINVALUES,$Q409,$K$1)</f>
        <v>5</v>
      </c>
      <c r="T409">
        <f t="array" ref="T409">INDEX(INCVALUES,$Q409,$K$1)</f>
        <v>0.5</v>
      </c>
      <c r="V409">
        <f t="array" ref="V409">+J409+(4*(INDEX(MatchScoreTable,$Q409,20)-1))</f>
        <v>4</v>
      </c>
      <c r="W409" s="442">
        <f t="array" ref="W409">INDEX(INC_MINVALUES,$V409,$K$1)</f>
        <v>2.5</v>
      </c>
      <c r="X409" s="212">
        <f t="array" ref="X409">INDEX(INC_INCVALUES,$V409,$K$1)</f>
        <v>0.5</v>
      </c>
    </row>
    <row r="410" ht="15.75" customHeight="1">
      <c r="A410" s="435"/>
      <c r="B410" s="436"/>
      <c r="C410" s="95" t="str">
        <f t="array" ref="C410">IF(I410&gt;0,INDEX(DB,I410,8),"")</f>
        <v/>
      </c>
      <c r="D410" s="437">
        <f t="shared" si="1"/>
        <v>0</v>
      </c>
      <c r="F410" s="438">
        <f t="shared" si="2"/>
        <v>0</v>
      </c>
      <c r="G410" t="str">
        <f t="shared" si="3"/>
        <v/>
      </c>
      <c r="H410" t="b">
        <f t="shared" si="4"/>
        <v>0</v>
      </c>
      <c r="I410" s="439">
        <f>IF(OR(ISBLANK(A410),ISNA(MATCH(A410&amp;"",AthleteNumbers,0))),0,MATCH(A410&amp;"",AthleteNumbers,0))</f>
        <v>0</v>
      </c>
      <c r="J410" s="209">
        <f t="array" ref="J410">IF(I410&gt;0,INDEX(DB,$I410,6),0)</f>
        <v>0</v>
      </c>
      <c r="K410" s="446">
        <f t="shared" si="5"/>
        <v>0</v>
      </c>
      <c r="L410" s="446">
        <f t="shared" si="6"/>
        <v>0</v>
      </c>
      <c r="M410" s="441">
        <f>IF(L410&lt;O410,MinPoints,IF(AND(L410&gt;N410,O410&gt;0),100,+INT(($L410-O410)/P410)+MinPoints))</f>
        <v>10</v>
      </c>
      <c r="N410" s="440">
        <f t="shared" si="7"/>
        <v>50</v>
      </c>
      <c r="O410" s="440">
        <f t="shared" si="8"/>
        <v>5</v>
      </c>
      <c r="P410" s="440">
        <f t="shared" si="9"/>
        <v>0.5</v>
      </c>
      <c r="Q410">
        <f t="array" ref="Q410">IF(I410&gt;0,INDEX(DB,I410,9),EventIndex)</f>
        <v>6</v>
      </c>
      <c r="S410" s="442">
        <f t="array" ref="S410">INDEX(MINVALUES,$Q410,$K$1)</f>
        <v>5</v>
      </c>
      <c r="T410">
        <f t="array" ref="T410">INDEX(INCVALUES,$Q410,$K$1)</f>
        <v>0.5</v>
      </c>
      <c r="V410">
        <f t="array" ref="V410">+J410+(4*(INDEX(MatchScoreTable,$Q410,20)-1))</f>
        <v>4</v>
      </c>
      <c r="W410" s="442">
        <f t="array" ref="W410">INDEX(INC_MINVALUES,$V410,$K$1)</f>
        <v>2.5</v>
      </c>
      <c r="X410" s="212">
        <f t="array" ref="X410">INDEX(INC_INCVALUES,$V410,$K$1)</f>
        <v>0.5</v>
      </c>
    </row>
    <row r="411" ht="15.75" customHeight="1">
      <c r="A411" s="435"/>
      <c r="B411" s="436"/>
      <c r="C411" s="95" t="str">
        <f t="array" ref="C411">IF(I411&gt;0,INDEX(DB,I411,8),"")</f>
        <v/>
      </c>
      <c r="D411" s="437">
        <f t="shared" si="1"/>
        <v>0</v>
      </c>
      <c r="F411" s="438">
        <f t="shared" si="2"/>
        <v>0</v>
      </c>
      <c r="G411" t="str">
        <f t="shared" si="3"/>
        <v/>
      </c>
      <c r="H411" t="b">
        <f t="shared" si="4"/>
        <v>0</v>
      </c>
      <c r="I411" s="439">
        <f>IF(OR(ISBLANK(A411),ISNA(MATCH(A411&amp;"",AthleteNumbers,0))),0,MATCH(A411&amp;"",AthleteNumbers,0))</f>
        <v>0</v>
      </c>
      <c r="J411" s="209">
        <f t="array" ref="J411">IF(I411&gt;0,INDEX(DB,$I411,6),0)</f>
        <v>0</v>
      </c>
      <c r="K411" s="446">
        <f t="shared" si="5"/>
        <v>0</v>
      </c>
      <c r="L411" s="446">
        <f t="shared" si="6"/>
        <v>0</v>
      </c>
      <c r="M411" s="441">
        <f>IF(L411&lt;O411,MinPoints,IF(AND(L411&gt;N411,O411&gt;0),100,+INT(($L411-O411)/P411)+MinPoints))</f>
        <v>10</v>
      </c>
      <c r="N411" s="440">
        <f t="shared" si="7"/>
        <v>50</v>
      </c>
      <c r="O411" s="440">
        <f t="shared" si="8"/>
        <v>5</v>
      </c>
      <c r="P411" s="440">
        <f t="shared" si="9"/>
        <v>0.5</v>
      </c>
      <c r="Q411">
        <f t="array" ref="Q411">IF(I411&gt;0,INDEX(DB,I411,9),EventIndex)</f>
        <v>6</v>
      </c>
      <c r="S411" s="442">
        <f t="array" ref="S411">INDEX(MINVALUES,$Q411,$K$1)</f>
        <v>5</v>
      </c>
      <c r="T411">
        <f t="array" ref="T411">INDEX(INCVALUES,$Q411,$K$1)</f>
        <v>0.5</v>
      </c>
      <c r="V411">
        <f t="array" ref="V411">+J411+(4*(INDEX(MatchScoreTable,$Q411,20)-1))</f>
        <v>4</v>
      </c>
      <c r="W411" s="442">
        <f t="array" ref="W411">INDEX(INC_MINVALUES,$V411,$K$1)</f>
        <v>2.5</v>
      </c>
      <c r="X411" s="212">
        <f t="array" ref="X411">INDEX(INC_INCVALUES,$V411,$K$1)</f>
        <v>0.5</v>
      </c>
    </row>
    <row r="412" ht="15.75" customHeight="1">
      <c r="A412" s="435"/>
      <c r="B412" s="436"/>
      <c r="C412" s="95" t="str">
        <f t="array" ref="C412">IF(I412&gt;0,INDEX(DB,I412,8),"")</f>
        <v/>
      </c>
      <c r="D412" s="437">
        <f t="shared" si="1"/>
        <v>0</v>
      </c>
      <c r="F412" s="438">
        <f t="shared" si="2"/>
        <v>0</v>
      </c>
      <c r="G412" t="str">
        <f t="shared" si="3"/>
        <v/>
      </c>
      <c r="H412" t="b">
        <f t="shared" si="4"/>
        <v>0</v>
      </c>
      <c r="I412" s="439">
        <f>IF(OR(ISBLANK(A412),ISNA(MATCH(A412&amp;"",AthleteNumbers,0))),0,MATCH(A412&amp;"",AthleteNumbers,0))</f>
        <v>0</v>
      </c>
      <c r="J412" s="209">
        <f t="array" ref="J412">IF(I412&gt;0,INDEX(DB,$I412,6),0)</f>
        <v>0</v>
      </c>
      <c r="K412" s="446">
        <f t="shared" si="5"/>
        <v>0</v>
      </c>
      <c r="L412" s="446">
        <f t="shared" si="6"/>
        <v>0</v>
      </c>
      <c r="M412" s="441">
        <f>IF(L412&lt;O412,MinPoints,IF(AND(L412&gt;N412,O412&gt;0),100,+INT(($L412-O412)/P412)+MinPoints))</f>
        <v>10</v>
      </c>
      <c r="N412" s="440">
        <f t="shared" si="7"/>
        <v>50</v>
      </c>
      <c r="O412" s="440">
        <f t="shared" si="8"/>
        <v>5</v>
      </c>
      <c r="P412" s="440">
        <f t="shared" si="9"/>
        <v>0.5</v>
      </c>
      <c r="Q412">
        <f t="array" ref="Q412">IF(I412&gt;0,INDEX(DB,I412,9),EventIndex)</f>
        <v>6</v>
      </c>
      <c r="S412" s="442">
        <f t="array" ref="S412">INDEX(MINVALUES,$Q412,$K$1)</f>
        <v>5</v>
      </c>
      <c r="T412">
        <f t="array" ref="T412">INDEX(INCVALUES,$Q412,$K$1)</f>
        <v>0.5</v>
      </c>
      <c r="V412">
        <f t="array" ref="V412">+J412+(4*(INDEX(MatchScoreTable,$Q412,20)-1))</f>
        <v>4</v>
      </c>
      <c r="W412" s="442">
        <f t="array" ref="W412">INDEX(INC_MINVALUES,$V412,$K$1)</f>
        <v>2.5</v>
      </c>
      <c r="X412" s="212">
        <f t="array" ref="X412">INDEX(INC_INCVALUES,$V412,$K$1)</f>
        <v>0.5</v>
      </c>
    </row>
    <row r="413" ht="15.75" customHeight="1">
      <c r="A413" s="435"/>
      <c r="B413" s="436"/>
      <c r="C413" s="95" t="str">
        <f t="array" ref="C413">IF(I413&gt;0,INDEX(DB,I413,8),"")</f>
        <v/>
      </c>
      <c r="D413" s="437">
        <f t="shared" si="1"/>
        <v>0</v>
      </c>
      <c r="F413" s="438">
        <f t="shared" si="2"/>
        <v>0</v>
      </c>
      <c r="G413" t="str">
        <f t="shared" si="3"/>
        <v/>
      </c>
      <c r="H413" t="b">
        <f t="shared" si="4"/>
        <v>0</v>
      </c>
      <c r="I413" s="439">
        <f>IF(OR(ISBLANK(A413),ISNA(MATCH(A413&amp;"",AthleteNumbers,0))),0,MATCH(A413&amp;"",AthleteNumbers,0))</f>
        <v>0</v>
      </c>
      <c r="J413" s="209">
        <f t="array" ref="J413">IF(I413&gt;0,INDEX(DB,$I413,6),0)</f>
        <v>0</v>
      </c>
      <c r="K413" s="446">
        <f t="shared" si="5"/>
        <v>0</v>
      </c>
      <c r="L413" s="446">
        <f t="shared" si="6"/>
        <v>0</v>
      </c>
      <c r="M413" s="441">
        <f>IF(L413&lt;O413,MinPoints,IF(AND(L413&gt;N413,O413&gt;0),100,+INT(($L413-O413)/P413)+MinPoints))</f>
        <v>10</v>
      </c>
      <c r="N413" s="440">
        <f t="shared" si="7"/>
        <v>50</v>
      </c>
      <c r="O413" s="440">
        <f t="shared" si="8"/>
        <v>5</v>
      </c>
      <c r="P413" s="440">
        <f t="shared" si="9"/>
        <v>0.5</v>
      </c>
      <c r="Q413">
        <f t="array" ref="Q413">IF(I413&gt;0,INDEX(DB,I413,9),EventIndex)</f>
        <v>6</v>
      </c>
      <c r="S413" s="442">
        <f t="array" ref="S413">INDEX(MINVALUES,$Q413,$K$1)</f>
        <v>5</v>
      </c>
      <c r="T413">
        <f t="array" ref="T413">INDEX(INCVALUES,$Q413,$K$1)</f>
        <v>0.5</v>
      </c>
      <c r="V413">
        <f t="array" ref="V413">+J413+(4*(INDEX(MatchScoreTable,$Q413,20)-1))</f>
        <v>4</v>
      </c>
      <c r="W413" s="442">
        <f t="array" ref="W413">INDEX(INC_MINVALUES,$V413,$K$1)</f>
        <v>2.5</v>
      </c>
      <c r="X413" s="212">
        <f t="array" ref="X413">INDEX(INC_INCVALUES,$V413,$K$1)</f>
        <v>0.5</v>
      </c>
    </row>
    <row r="414" ht="15.75" customHeight="1">
      <c r="A414" s="435"/>
      <c r="B414" s="436"/>
      <c r="C414" s="95" t="str">
        <f t="array" ref="C414">IF(I414&gt;0,INDEX(DB,I414,8),"")</f>
        <v/>
      </c>
      <c r="D414" s="437">
        <f t="shared" si="1"/>
        <v>0</v>
      </c>
      <c r="F414" s="438">
        <f t="shared" si="2"/>
        <v>0</v>
      </c>
      <c r="G414" t="str">
        <f t="shared" si="3"/>
        <v/>
      </c>
      <c r="H414" t="b">
        <f t="shared" si="4"/>
        <v>0</v>
      </c>
      <c r="I414" s="439">
        <f>IF(OR(ISBLANK(A414),ISNA(MATCH(A414&amp;"",AthleteNumbers,0))),0,MATCH(A414&amp;"",AthleteNumbers,0))</f>
        <v>0</v>
      </c>
      <c r="J414" s="209">
        <f t="array" ref="J414">IF(I414&gt;0,INDEX(DB,$I414,6),0)</f>
        <v>0</v>
      </c>
      <c r="K414" s="446">
        <f t="shared" si="5"/>
        <v>0</v>
      </c>
      <c r="L414" s="446">
        <f t="shared" si="6"/>
        <v>0</v>
      </c>
      <c r="M414" s="441">
        <f>IF(L414&lt;O414,MinPoints,IF(AND(L414&gt;N414,O414&gt;0),100,+INT(($L414-O414)/P414)+MinPoints))</f>
        <v>10</v>
      </c>
      <c r="N414" s="440">
        <f t="shared" si="7"/>
        <v>50</v>
      </c>
      <c r="O414" s="440">
        <f t="shared" si="8"/>
        <v>5</v>
      </c>
      <c r="P414" s="440">
        <f t="shared" si="9"/>
        <v>0.5</v>
      </c>
      <c r="Q414">
        <f t="array" ref="Q414">IF(I414&gt;0,INDEX(DB,I414,9),EventIndex)</f>
        <v>6</v>
      </c>
      <c r="S414" s="442">
        <f t="array" ref="S414">INDEX(MINVALUES,$Q414,$K$1)</f>
        <v>5</v>
      </c>
      <c r="T414">
        <f t="array" ref="T414">INDEX(INCVALUES,$Q414,$K$1)</f>
        <v>0.5</v>
      </c>
      <c r="V414">
        <f t="array" ref="V414">+J414+(4*(INDEX(MatchScoreTable,$Q414,20)-1))</f>
        <v>4</v>
      </c>
      <c r="W414" s="442">
        <f t="array" ref="W414">INDEX(INC_MINVALUES,$V414,$K$1)</f>
        <v>2.5</v>
      </c>
      <c r="X414" s="212">
        <f t="array" ref="X414">INDEX(INC_INCVALUES,$V414,$K$1)</f>
        <v>0.5</v>
      </c>
    </row>
    <row r="415" ht="15.75" customHeight="1">
      <c r="A415" s="435"/>
      <c r="B415" s="436"/>
      <c r="C415" s="95" t="str">
        <f t="array" ref="C415">IF(I415&gt;0,INDEX(DB,I415,8),"")</f>
        <v/>
      </c>
      <c r="D415" s="437">
        <f t="shared" si="1"/>
        <v>0</v>
      </c>
      <c r="F415" s="438">
        <f t="shared" si="2"/>
        <v>0</v>
      </c>
      <c r="G415" t="str">
        <f t="shared" si="3"/>
        <v/>
      </c>
      <c r="H415" t="b">
        <f t="shared" si="4"/>
        <v>0</v>
      </c>
      <c r="I415" s="439">
        <f>IF(OR(ISBLANK(A415),ISNA(MATCH(A415&amp;"",AthleteNumbers,0))),0,MATCH(A415&amp;"",AthleteNumbers,0))</f>
        <v>0</v>
      </c>
      <c r="J415" s="209">
        <f t="array" ref="J415">IF(I415&gt;0,INDEX(DB,$I415,6),0)</f>
        <v>0</v>
      </c>
      <c r="K415" s="446">
        <f t="shared" si="5"/>
        <v>0</v>
      </c>
      <c r="L415" s="446">
        <f t="shared" si="6"/>
        <v>0</v>
      </c>
      <c r="M415" s="441">
        <f>IF(L415&lt;O415,MinPoints,IF(AND(L415&gt;N415,O415&gt;0),100,+INT(($L415-O415)/P415)+MinPoints))</f>
        <v>10</v>
      </c>
      <c r="N415" s="440">
        <f t="shared" si="7"/>
        <v>50</v>
      </c>
      <c r="O415" s="440">
        <f t="shared" si="8"/>
        <v>5</v>
      </c>
      <c r="P415" s="440">
        <f t="shared" si="9"/>
        <v>0.5</v>
      </c>
      <c r="Q415">
        <f t="array" ref="Q415">IF(I415&gt;0,INDEX(DB,I415,9),EventIndex)</f>
        <v>6</v>
      </c>
      <c r="S415" s="442">
        <f t="array" ref="S415">INDEX(MINVALUES,$Q415,$K$1)</f>
        <v>5</v>
      </c>
      <c r="T415">
        <f t="array" ref="T415">INDEX(INCVALUES,$Q415,$K$1)</f>
        <v>0.5</v>
      </c>
      <c r="V415">
        <f t="array" ref="V415">+J415+(4*(INDEX(MatchScoreTable,$Q415,20)-1))</f>
        <v>4</v>
      </c>
      <c r="W415" s="442">
        <f t="array" ref="W415">INDEX(INC_MINVALUES,$V415,$K$1)</f>
        <v>2.5</v>
      </c>
      <c r="X415" s="212">
        <f t="array" ref="X415">INDEX(INC_INCVALUES,$V415,$K$1)</f>
        <v>0.5</v>
      </c>
    </row>
    <row r="416" ht="15.75" customHeight="1">
      <c r="A416" s="435"/>
      <c r="B416" s="436"/>
      <c r="C416" s="95" t="str">
        <f t="array" ref="C416">IF(I416&gt;0,INDEX(DB,I416,8),"")</f>
        <v/>
      </c>
      <c r="D416" s="437">
        <f t="shared" si="1"/>
        <v>0</v>
      </c>
      <c r="F416" s="438">
        <f t="shared" si="2"/>
        <v>0</v>
      </c>
      <c r="G416" t="str">
        <f t="shared" si="3"/>
        <v/>
      </c>
      <c r="H416" t="b">
        <f t="shared" si="4"/>
        <v>0</v>
      </c>
      <c r="I416" s="439">
        <f>IF(OR(ISBLANK(A416),ISNA(MATCH(A416&amp;"",AthleteNumbers,0))),0,MATCH(A416&amp;"",AthleteNumbers,0))</f>
        <v>0</v>
      </c>
      <c r="J416" s="209">
        <f t="array" ref="J416">IF(I416&gt;0,INDEX(DB,$I416,6),0)</f>
        <v>0</v>
      </c>
      <c r="K416" s="446">
        <f t="shared" si="5"/>
        <v>0</v>
      </c>
      <c r="L416" s="446">
        <f t="shared" si="6"/>
        <v>0</v>
      </c>
      <c r="M416" s="441">
        <f>IF(L416&lt;O416,MinPoints,IF(AND(L416&gt;N416,O416&gt;0),100,+INT(($L416-O416)/P416)+MinPoints))</f>
        <v>10</v>
      </c>
      <c r="N416" s="440">
        <f t="shared" si="7"/>
        <v>50</v>
      </c>
      <c r="O416" s="440">
        <f t="shared" si="8"/>
        <v>5</v>
      </c>
      <c r="P416" s="440">
        <f t="shared" si="9"/>
        <v>0.5</v>
      </c>
      <c r="Q416">
        <f t="array" ref="Q416">IF(I416&gt;0,INDEX(DB,I416,9),EventIndex)</f>
        <v>6</v>
      </c>
      <c r="S416" s="442">
        <f t="array" ref="S416">INDEX(MINVALUES,$Q416,$K$1)</f>
        <v>5</v>
      </c>
      <c r="T416">
        <f t="array" ref="T416">INDEX(INCVALUES,$Q416,$K$1)</f>
        <v>0.5</v>
      </c>
      <c r="V416">
        <f t="array" ref="V416">+J416+(4*(INDEX(MatchScoreTable,$Q416,20)-1))</f>
        <v>4</v>
      </c>
      <c r="W416" s="442">
        <f t="array" ref="W416">INDEX(INC_MINVALUES,$V416,$K$1)</f>
        <v>2.5</v>
      </c>
      <c r="X416" s="212">
        <f t="array" ref="X416">INDEX(INC_INCVALUES,$V416,$K$1)</f>
        <v>0.5</v>
      </c>
    </row>
    <row r="417" ht="15.75" customHeight="1">
      <c r="A417" s="435"/>
      <c r="B417" s="436"/>
      <c r="C417" s="95" t="str">
        <f t="array" ref="C417">IF(I417&gt;0,INDEX(DB,I417,8),"")</f>
        <v/>
      </c>
      <c r="D417" s="437">
        <f t="shared" si="1"/>
        <v>0</v>
      </c>
      <c r="F417" s="438">
        <f t="shared" si="2"/>
        <v>0</v>
      </c>
      <c r="G417" t="str">
        <f t="shared" si="3"/>
        <v/>
      </c>
      <c r="H417" t="b">
        <f t="shared" si="4"/>
        <v>0</v>
      </c>
      <c r="I417" s="439">
        <f>IF(OR(ISBLANK(A417),ISNA(MATCH(A417&amp;"",AthleteNumbers,0))),0,MATCH(A417&amp;"",AthleteNumbers,0))</f>
        <v>0</v>
      </c>
      <c r="J417" s="209">
        <f t="array" ref="J417">IF(I417&gt;0,INDEX(DB,$I417,6),0)</f>
        <v>0</v>
      </c>
      <c r="K417" s="446">
        <f t="shared" si="5"/>
        <v>0</v>
      </c>
      <c r="L417" s="446">
        <f t="shared" si="6"/>
        <v>0</v>
      </c>
      <c r="M417" s="441">
        <f>IF(L417&lt;O417,MinPoints,IF(AND(L417&gt;N417,O417&gt;0),100,+INT(($L417-O417)/P417)+MinPoints))</f>
        <v>10</v>
      </c>
      <c r="N417" s="440">
        <f t="shared" si="7"/>
        <v>50</v>
      </c>
      <c r="O417" s="440">
        <f t="shared" si="8"/>
        <v>5</v>
      </c>
      <c r="P417" s="440">
        <f t="shared" si="9"/>
        <v>0.5</v>
      </c>
      <c r="Q417">
        <f t="array" ref="Q417">IF(I417&gt;0,INDEX(DB,I417,9),EventIndex)</f>
        <v>6</v>
      </c>
      <c r="S417" s="442">
        <f t="array" ref="S417">INDEX(MINVALUES,$Q417,$K$1)</f>
        <v>5</v>
      </c>
      <c r="T417">
        <f t="array" ref="T417">INDEX(INCVALUES,$Q417,$K$1)</f>
        <v>0.5</v>
      </c>
      <c r="V417">
        <f t="array" ref="V417">+J417+(4*(INDEX(MatchScoreTable,$Q417,20)-1))</f>
        <v>4</v>
      </c>
      <c r="W417" s="442">
        <f t="array" ref="W417">INDEX(INC_MINVALUES,$V417,$K$1)</f>
        <v>2.5</v>
      </c>
      <c r="X417" s="212">
        <f t="array" ref="X417">INDEX(INC_INCVALUES,$V417,$K$1)</f>
        <v>0.5</v>
      </c>
    </row>
    <row r="418" ht="15.75" customHeight="1">
      <c r="A418" s="435"/>
      <c r="B418" s="436"/>
      <c r="C418" s="95" t="str">
        <f t="array" ref="C418">IF(I418&gt;0,INDEX(DB,I418,8),"")</f>
        <v/>
      </c>
      <c r="D418" s="437">
        <f t="shared" si="1"/>
        <v>0</v>
      </c>
      <c r="F418" s="438">
        <f t="shared" si="2"/>
        <v>0</v>
      </c>
      <c r="G418" t="str">
        <f t="shared" si="3"/>
        <v/>
      </c>
      <c r="H418" t="b">
        <f t="shared" si="4"/>
        <v>0</v>
      </c>
      <c r="I418" s="439">
        <f>IF(OR(ISBLANK(A418),ISNA(MATCH(A418&amp;"",AthleteNumbers,0))),0,MATCH(A418&amp;"",AthleteNumbers,0))</f>
        <v>0</v>
      </c>
      <c r="J418" s="209">
        <f t="array" ref="J418">IF(I418&gt;0,INDEX(DB,$I418,6),0)</f>
        <v>0</v>
      </c>
      <c r="K418" s="446">
        <f t="shared" si="5"/>
        <v>0</v>
      </c>
      <c r="L418" s="446">
        <f t="shared" si="6"/>
        <v>0</v>
      </c>
      <c r="M418" s="441">
        <f>IF(L418&lt;O418,MinPoints,IF(AND(L418&gt;N418,O418&gt;0),100,+INT(($L418-O418)/P418)+MinPoints))</f>
        <v>10</v>
      </c>
      <c r="N418" s="440">
        <f t="shared" si="7"/>
        <v>50</v>
      </c>
      <c r="O418" s="440">
        <f t="shared" si="8"/>
        <v>5</v>
      </c>
      <c r="P418" s="440">
        <f t="shared" si="9"/>
        <v>0.5</v>
      </c>
      <c r="Q418">
        <f t="array" ref="Q418">IF(I418&gt;0,INDEX(DB,I418,9),EventIndex)</f>
        <v>6</v>
      </c>
      <c r="S418" s="442">
        <f t="array" ref="S418">INDEX(MINVALUES,$Q418,$K$1)</f>
        <v>5</v>
      </c>
      <c r="T418">
        <f t="array" ref="T418">INDEX(INCVALUES,$Q418,$K$1)</f>
        <v>0.5</v>
      </c>
      <c r="V418">
        <f t="array" ref="V418">+J418+(4*(INDEX(MatchScoreTable,$Q418,20)-1))</f>
        <v>4</v>
      </c>
      <c r="W418" s="442">
        <f t="array" ref="W418">INDEX(INC_MINVALUES,$V418,$K$1)</f>
        <v>2.5</v>
      </c>
      <c r="X418" s="212">
        <f t="array" ref="X418">INDEX(INC_INCVALUES,$V418,$K$1)</f>
        <v>0.5</v>
      </c>
    </row>
    <row r="419" ht="15.75" customHeight="1">
      <c r="A419" s="435"/>
      <c r="B419" s="436"/>
      <c r="C419" s="95" t="str">
        <f t="array" ref="C419">IF(I419&gt;0,INDEX(DB,I419,8),"")</f>
        <v/>
      </c>
      <c r="D419" s="437">
        <f t="shared" si="1"/>
        <v>0</v>
      </c>
      <c r="F419" s="438">
        <f t="shared" si="2"/>
        <v>0</v>
      </c>
      <c r="G419" t="str">
        <f t="shared" si="3"/>
        <v/>
      </c>
      <c r="H419" t="b">
        <f t="shared" si="4"/>
        <v>0</v>
      </c>
      <c r="I419" s="439">
        <f>IF(OR(ISBLANK(A419),ISNA(MATCH(A419&amp;"",AthleteNumbers,0))),0,MATCH(A419&amp;"",AthleteNumbers,0))</f>
        <v>0</v>
      </c>
      <c r="J419" s="209">
        <f t="array" ref="J419">IF(I419&gt;0,INDEX(DB,$I419,6),0)</f>
        <v>0</v>
      </c>
      <c r="K419" s="446">
        <f t="shared" si="5"/>
        <v>0</v>
      </c>
      <c r="L419" s="446">
        <f t="shared" si="6"/>
        <v>0</v>
      </c>
      <c r="M419" s="441">
        <f>IF(L419&lt;O419,MinPoints,IF(AND(L419&gt;N419,O419&gt;0),100,+INT(($L419-O419)/P419)+MinPoints))</f>
        <v>10</v>
      </c>
      <c r="N419" s="440">
        <f t="shared" si="7"/>
        <v>50</v>
      </c>
      <c r="O419" s="440">
        <f t="shared" si="8"/>
        <v>5</v>
      </c>
      <c r="P419" s="440">
        <f t="shared" si="9"/>
        <v>0.5</v>
      </c>
      <c r="Q419">
        <f t="array" ref="Q419">IF(I419&gt;0,INDEX(DB,I419,9),EventIndex)</f>
        <v>6</v>
      </c>
      <c r="S419" s="442">
        <f t="array" ref="S419">INDEX(MINVALUES,$Q419,$K$1)</f>
        <v>5</v>
      </c>
      <c r="T419">
        <f t="array" ref="T419">INDEX(INCVALUES,$Q419,$K$1)</f>
        <v>0.5</v>
      </c>
      <c r="V419">
        <f t="array" ref="V419">+J419+(4*(INDEX(MatchScoreTable,$Q419,20)-1))</f>
        <v>4</v>
      </c>
      <c r="W419" s="442">
        <f t="array" ref="W419">INDEX(INC_MINVALUES,$V419,$K$1)</f>
        <v>2.5</v>
      </c>
      <c r="X419" s="212">
        <f t="array" ref="X419">INDEX(INC_INCVALUES,$V419,$K$1)</f>
        <v>0.5</v>
      </c>
    </row>
    <row r="420" ht="15.75" customHeight="1">
      <c r="A420" s="435"/>
      <c r="B420" s="436"/>
      <c r="C420" s="95" t="str">
        <f t="array" ref="C420">IF(I420&gt;0,INDEX(DB,I420,8),"")</f>
        <v/>
      </c>
      <c r="D420" s="437">
        <f t="shared" si="1"/>
        <v>0</v>
      </c>
      <c r="F420" s="438">
        <f t="shared" si="2"/>
        <v>0</v>
      </c>
      <c r="G420" t="str">
        <f t="shared" si="3"/>
        <v/>
      </c>
      <c r="H420" t="b">
        <f t="shared" si="4"/>
        <v>0</v>
      </c>
      <c r="I420" s="439">
        <f>IF(OR(ISBLANK(A420),ISNA(MATCH(A420&amp;"",AthleteNumbers,0))),0,MATCH(A420&amp;"",AthleteNumbers,0))</f>
        <v>0</v>
      </c>
      <c r="J420" s="209">
        <f t="array" ref="J420">IF(I420&gt;0,INDEX(DB,$I420,6),0)</f>
        <v>0</v>
      </c>
      <c r="K420" s="446">
        <f t="shared" si="5"/>
        <v>0</v>
      </c>
      <c r="L420" s="446">
        <f t="shared" si="6"/>
        <v>0</v>
      </c>
      <c r="M420" s="441">
        <f>IF(L420&lt;O420,MinPoints,IF(AND(L420&gt;N420,O420&gt;0),100,+INT(($L420-O420)/P420)+MinPoints))</f>
        <v>10</v>
      </c>
      <c r="N420" s="440">
        <f t="shared" si="7"/>
        <v>50</v>
      </c>
      <c r="O420" s="440">
        <f t="shared" si="8"/>
        <v>5</v>
      </c>
      <c r="P420" s="440">
        <f t="shared" si="9"/>
        <v>0.5</v>
      </c>
      <c r="Q420">
        <f t="array" ref="Q420">IF(I420&gt;0,INDEX(DB,I420,9),EventIndex)</f>
        <v>6</v>
      </c>
      <c r="S420" s="442">
        <f t="array" ref="S420">INDEX(MINVALUES,$Q420,$K$1)</f>
        <v>5</v>
      </c>
      <c r="T420">
        <f t="array" ref="T420">INDEX(INCVALUES,$Q420,$K$1)</f>
        <v>0.5</v>
      </c>
      <c r="V420">
        <f t="array" ref="V420">+J420+(4*(INDEX(MatchScoreTable,$Q420,20)-1))</f>
        <v>4</v>
      </c>
      <c r="W420" s="442">
        <f t="array" ref="W420">INDEX(INC_MINVALUES,$V420,$K$1)</f>
        <v>2.5</v>
      </c>
      <c r="X420" s="212">
        <f t="array" ref="X420">INDEX(INC_INCVALUES,$V420,$K$1)</f>
        <v>0.5</v>
      </c>
    </row>
    <row r="421" ht="15.75" customHeight="1">
      <c r="A421" s="435"/>
      <c r="B421" s="436"/>
      <c r="C421" s="95" t="str">
        <f t="array" ref="C421">IF(I421&gt;0,INDEX(DB,I421,8),"")</f>
        <v/>
      </c>
      <c r="D421" s="437">
        <f t="shared" si="1"/>
        <v>0</v>
      </c>
      <c r="F421" s="438">
        <f t="shared" si="2"/>
        <v>0</v>
      </c>
      <c r="G421" t="str">
        <f t="shared" si="3"/>
        <v/>
      </c>
      <c r="H421" t="b">
        <f t="shared" si="4"/>
        <v>0</v>
      </c>
      <c r="I421" s="439">
        <f>IF(OR(ISBLANK(A421),ISNA(MATCH(A421&amp;"",AthleteNumbers,0))),0,MATCH(A421&amp;"",AthleteNumbers,0))</f>
        <v>0</v>
      </c>
      <c r="J421" s="209">
        <f t="array" ref="J421">IF(I421&gt;0,INDEX(DB,$I421,6),0)</f>
        <v>0</v>
      </c>
      <c r="K421" s="446">
        <f t="shared" si="5"/>
        <v>0</v>
      </c>
      <c r="L421" s="446">
        <f t="shared" si="6"/>
        <v>0</v>
      </c>
      <c r="M421" s="441">
        <f>IF(L421&lt;O421,MinPoints,IF(AND(L421&gt;N421,O421&gt;0),100,+INT(($L421-O421)/P421)+MinPoints))</f>
        <v>10</v>
      </c>
      <c r="N421" s="440">
        <f t="shared" si="7"/>
        <v>50</v>
      </c>
      <c r="O421" s="440">
        <f t="shared" si="8"/>
        <v>5</v>
      </c>
      <c r="P421" s="440">
        <f t="shared" si="9"/>
        <v>0.5</v>
      </c>
      <c r="Q421">
        <f t="array" ref="Q421">IF(I421&gt;0,INDEX(DB,I421,9),EventIndex)</f>
        <v>6</v>
      </c>
      <c r="S421" s="442">
        <f t="array" ref="S421">INDEX(MINVALUES,$Q421,$K$1)</f>
        <v>5</v>
      </c>
      <c r="T421">
        <f t="array" ref="T421">INDEX(INCVALUES,$Q421,$K$1)</f>
        <v>0.5</v>
      </c>
      <c r="V421">
        <f t="array" ref="V421">+J421+(4*(INDEX(MatchScoreTable,$Q421,20)-1))</f>
        <v>4</v>
      </c>
      <c r="W421" s="442">
        <f t="array" ref="W421">INDEX(INC_MINVALUES,$V421,$K$1)</f>
        <v>2.5</v>
      </c>
      <c r="X421" s="212">
        <f t="array" ref="X421">INDEX(INC_INCVALUES,$V421,$K$1)</f>
        <v>0.5</v>
      </c>
    </row>
    <row r="422" ht="15.75" customHeight="1">
      <c r="A422" s="435"/>
      <c r="B422" s="436"/>
      <c r="C422" s="95" t="str">
        <f t="array" ref="C422">IF(I422&gt;0,INDEX(DB,I422,8),"")</f>
        <v/>
      </c>
      <c r="D422" s="437">
        <f t="shared" si="1"/>
        <v>0</v>
      </c>
      <c r="F422" s="438">
        <f t="shared" si="2"/>
        <v>0</v>
      </c>
      <c r="G422" t="str">
        <f t="shared" si="3"/>
        <v/>
      </c>
      <c r="H422" t="b">
        <f t="shared" si="4"/>
        <v>0</v>
      </c>
      <c r="I422" s="439">
        <f>IF(OR(ISBLANK(A422),ISNA(MATCH(A422&amp;"",AthleteNumbers,0))),0,MATCH(A422&amp;"",AthleteNumbers,0))</f>
        <v>0</v>
      </c>
      <c r="J422" s="209">
        <f t="array" ref="J422">IF(I422&gt;0,INDEX(DB,$I422,6),0)</f>
        <v>0</v>
      </c>
      <c r="K422" s="446">
        <f t="shared" si="5"/>
        <v>0</v>
      </c>
      <c r="L422" s="446">
        <f t="shared" si="6"/>
        <v>0</v>
      </c>
      <c r="M422" s="441">
        <f>IF(L422&lt;O422,MinPoints,IF(AND(L422&gt;N422,O422&gt;0),100,+INT(($L422-O422)/P422)+MinPoints))</f>
        <v>10</v>
      </c>
      <c r="N422" s="440">
        <f t="shared" si="7"/>
        <v>50</v>
      </c>
      <c r="O422" s="440">
        <f t="shared" si="8"/>
        <v>5</v>
      </c>
      <c r="P422" s="440">
        <f t="shared" si="9"/>
        <v>0.5</v>
      </c>
      <c r="Q422">
        <f t="array" ref="Q422">IF(I422&gt;0,INDEX(DB,I422,9),EventIndex)</f>
        <v>6</v>
      </c>
      <c r="S422" s="442">
        <f t="array" ref="S422">INDEX(MINVALUES,$Q422,$K$1)</f>
        <v>5</v>
      </c>
      <c r="T422">
        <f t="array" ref="T422">INDEX(INCVALUES,$Q422,$K$1)</f>
        <v>0.5</v>
      </c>
      <c r="V422">
        <f t="array" ref="V422">+J422+(4*(INDEX(MatchScoreTable,$Q422,20)-1))</f>
        <v>4</v>
      </c>
      <c r="W422" s="442">
        <f t="array" ref="W422">INDEX(INC_MINVALUES,$V422,$K$1)</f>
        <v>2.5</v>
      </c>
      <c r="X422" s="212">
        <f t="array" ref="X422">INDEX(INC_INCVALUES,$V422,$K$1)</f>
        <v>0.5</v>
      </c>
    </row>
    <row r="423" ht="15.75" customHeight="1">
      <c r="A423" s="435"/>
      <c r="B423" s="436"/>
      <c r="C423" s="95" t="str">
        <f t="array" ref="C423">IF(I423&gt;0,INDEX(DB,I423,8),"")</f>
        <v/>
      </c>
      <c r="D423" s="437">
        <f t="shared" si="1"/>
        <v>0</v>
      </c>
      <c r="F423" s="438">
        <f t="shared" si="2"/>
        <v>0</v>
      </c>
      <c r="G423" t="str">
        <f t="shared" si="3"/>
        <v/>
      </c>
      <c r="H423" t="b">
        <f t="shared" si="4"/>
        <v>0</v>
      </c>
      <c r="I423" s="439">
        <f>IF(OR(ISBLANK(A423),ISNA(MATCH(A423&amp;"",AthleteNumbers,0))),0,MATCH(A423&amp;"",AthleteNumbers,0))</f>
        <v>0</v>
      </c>
      <c r="J423" s="209">
        <f t="array" ref="J423">IF(I423&gt;0,INDEX(DB,$I423,6),0)</f>
        <v>0</v>
      </c>
      <c r="K423" s="446">
        <f t="shared" si="5"/>
        <v>0</v>
      </c>
      <c r="L423" s="446">
        <f t="shared" si="6"/>
        <v>0</v>
      </c>
      <c r="M423" s="441">
        <f>IF(L423&lt;O423,MinPoints,IF(AND(L423&gt;N423,O423&gt;0),100,+INT(($L423-O423)/P423)+MinPoints))</f>
        <v>10</v>
      </c>
      <c r="N423" s="440">
        <f t="shared" si="7"/>
        <v>50</v>
      </c>
      <c r="O423" s="440">
        <f t="shared" si="8"/>
        <v>5</v>
      </c>
      <c r="P423" s="440">
        <f t="shared" si="9"/>
        <v>0.5</v>
      </c>
      <c r="Q423">
        <f t="array" ref="Q423">IF(I423&gt;0,INDEX(DB,I423,9),EventIndex)</f>
        <v>6</v>
      </c>
      <c r="S423" s="442">
        <f t="array" ref="S423">INDEX(MINVALUES,$Q423,$K$1)</f>
        <v>5</v>
      </c>
      <c r="T423">
        <f t="array" ref="T423">INDEX(INCVALUES,$Q423,$K$1)</f>
        <v>0.5</v>
      </c>
      <c r="V423">
        <f t="array" ref="V423">+J423+(4*(INDEX(MatchScoreTable,$Q423,20)-1))</f>
        <v>4</v>
      </c>
      <c r="W423" s="442">
        <f t="array" ref="W423">INDEX(INC_MINVALUES,$V423,$K$1)</f>
        <v>2.5</v>
      </c>
      <c r="X423" s="212">
        <f t="array" ref="X423">INDEX(INC_INCVALUES,$V423,$K$1)</f>
        <v>0.5</v>
      </c>
    </row>
    <row r="424" ht="15.75" customHeight="1">
      <c r="A424" s="435"/>
      <c r="B424" s="436"/>
      <c r="C424" s="95" t="str">
        <f t="array" ref="C424">IF(I424&gt;0,INDEX(DB,I424,8),"")</f>
        <v/>
      </c>
      <c r="D424" s="437">
        <f t="shared" si="1"/>
        <v>0</v>
      </c>
      <c r="F424" s="438">
        <f t="shared" si="2"/>
        <v>0</v>
      </c>
      <c r="G424" t="str">
        <f t="shared" si="3"/>
        <v/>
      </c>
      <c r="H424" t="b">
        <f t="shared" si="4"/>
        <v>0</v>
      </c>
      <c r="I424" s="439">
        <f>IF(OR(ISBLANK(A424),ISNA(MATCH(A424&amp;"",AthleteNumbers,0))),0,MATCH(A424&amp;"",AthleteNumbers,0))</f>
        <v>0</v>
      </c>
      <c r="J424" s="209">
        <f t="array" ref="J424">IF(I424&gt;0,INDEX(DB,$I424,6),0)</f>
        <v>0</v>
      </c>
      <c r="K424" s="446">
        <f t="shared" si="5"/>
        <v>0</v>
      </c>
      <c r="L424" s="446">
        <f t="shared" si="6"/>
        <v>0</v>
      </c>
      <c r="M424" s="441">
        <f>IF(L424&lt;O424,MinPoints,IF(AND(L424&gt;N424,O424&gt;0),100,+INT(($L424-O424)/P424)+MinPoints))</f>
        <v>10</v>
      </c>
      <c r="N424" s="440">
        <f t="shared" si="7"/>
        <v>50</v>
      </c>
      <c r="O424" s="440">
        <f t="shared" si="8"/>
        <v>5</v>
      </c>
      <c r="P424" s="440">
        <f t="shared" si="9"/>
        <v>0.5</v>
      </c>
      <c r="Q424">
        <f t="array" ref="Q424">IF(I424&gt;0,INDEX(DB,I424,9),EventIndex)</f>
        <v>6</v>
      </c>
      <c r="S424" s="442">
        <f t="array" ref="S424">INDEX(MINVALUES,$Q424,$K$1)</f>
        <v>5</v>
      </c>
      <c r="T424">
        <f t="array" ref="T424">INDEX(INCVALUES,$Q424,$K$1)</f>
        <v>0.5</v>
      </c>
      <c r="V424">
        <f t="array" ref="V424">+J424+(4*(INDEX(MatchScoreTable,$Q424,20)-1))</f>
        <v>4</v>
      </c>
      <c r="W424" s="442">
        <f t="array" ref="W424">INDEX(INC_MINVALUES,$V424,$K$1)</f>
        <v>2.5</v>
      </c>
      <c r="X424" s="212">
        <f t="array" ref="X424">INDEX(INC_INCVALUES,$V424,$K$1)</f>
        <v>0.5</v>
      </c>
    </row>
    <row r="425" ht="15.75" customHeight="1">
      <c r="A425" s="435"/>
      <c r="B425" s="436"/>
      <c r="C425" s="95" t="str">
        <f t="array" ref="C425">IF(I425&gt;0,INDEX(DB,I425,8),"")</f>
        <v/>
      </c>
      <c r="D425" s="437">
        <f t="shared" si="1"/>
        <v>0</v>
      </c>
      <c r="F425" s="438">
        <f t="shared" si="2"/>
        <v>0</v>
      </c>
      <c r="G425" t="str">
        <f t="shared" si="3"/>
        <v/>
      </c>
      <c r="H425" t="b">
        <f t="shared" si="4"/>
        <v>0</v>
      </c>
      <c r="I425" s="439">
        <f>IF(OR(ISBLANK(A425),ISNA(MATCH(A425&amp;"",AthleteNumbers,0))),0,MATCH(A425&amp;"",AthleteNumbers,0))</f>
        <v>0</v>
      </c>
      <c r="J425" s="209">
        <f t="array" ref="J425">IF(I425&gt;0,INDEX(DB,$I425,6),0)</f>
        <v>0</v>
      </c>
      <c r="K425" s="446">
        <f t="shared" si="5"/>
        <v>0</v>
      </c>
      <c r="L425" s="446">
        <f t="shared" si="6"/>
        <v>0</v>
      </c>
      <c r="M425" s="441">
        <f>IF(L425&lt;O425,MinPoints,IF(AND(L425&gt;N425,O425&gt;0),100,+INT(($L425-O425)/P425)+MinPoints))</f>
        <v>10</v>
      </c>
      <c r="N425" s="440">
        <f t="shared" si="7"/>
        <v>50</v>
      </c>
      <c r="O425" s="440">
        <f t="shared" si="8"/>
        <v>5</v>
      </c>
      <c r="P425" s="440">
        <f t="shared" si="9"/>
        <v>0.5</v>
      </c>
      <c r="Q425">
        <f t="array" ref="Q425">IF(I425&gt;0,INDEX(DB,I425,9),EventIndex)</f>
        <v>6</v>
      </c>
      <c r="S425" s="442">
        <f t="array" ref="S425">INDEX(MINVALUES,$Q425,$K$1)</f>
        <v>5</v>
      </c>
      <c r="T425">
        <f t="array" ref="T425">INDEX(INCVALUES,$Q425,$K$1)</f>
        <v>0.5</v>
      </c>
      <c r="V425">
        <f t="array" ref="V425">+J425+(4*(INDEX(MatchScoreTable,$Q425,20)-1))</f>
        <v>4</v>
      </c>
      <c r="W425" s="442">
        <f t="array" ref="W425">INDEX(INC_MINVALUES,$V425,$K$1)</f>
        <v>2.5</v>
      </c>
      <c r="X425" s="212">
        <f t="array" ref="X425">INDEX(INC_INCVALUES,$V425,$K$1)</f>
        <v>0.5</v>
      </c>
    </row>
    <row r="426" ht="15.75" customHeight="1">
      <c r="A426" s="435"/>
      <c r="B426" s="436"/>
      <c r="C426" s="95" t="str">
        <f t="array" ref="C426">IF(I426&gt;0,INDEX(DB,I426,8),"")</f>
        <v/>
      </c>
      <c r="D426" s="437">
        <f t="shared" si="1"/>
        <v>0</v>
      </c>
      <c r="F426" s="438">
        <f t="shared" si="2"/>
        <v>0</v>
      </c>
      <c r="G426" t="str">
        <f t="shared" si="3"/>
        <v/>
      </c>
      <c r="H426" t="b">
        <f t="shared" si="4"/>
        <v>0</v>
      </c>
      <c r="I426" s="439">
        <f>IF(OR(ISBLANK(A426),ISNA(MATCH(A426&amp;"",AthleteNumbers,0))),0,MATCH(A426&amp;"",AthleteNumbers,0))</f>
        <v>0</v>
      </c>
      <c r="J426" s="209">
        <f t="array" ref="J426">IF(I426&gt;0,INDEX(DB,$I426,6),0)</f>
        <v>0</v>
      </c>
      <c r="K426" s="446">
        <f t="shared" si="5"/>
        <v>0</v>
      </c>
      <c r="L426" s="446">
        <f t="shared" si="6"/>
        <v>0</v>
      </c>
      <c r="M426" s="441">
        <f>IF(L426&lt;O426,MinPoints,IF(AND(L426&gt;N426,O426&gt;0),100,+INT(($L426-O426)/P426)+MinPoints))</f>
        <v>10</v>
      </c>
      <c r="N426" s="440">
        <f t="shared" si="7"/>
        <v>50</v>
      </c>
      <c r="O426" s="440">
        <f t="shared" si="8"/>
        <v>5</v>
      </c>
      <c r="P426" s="440">
        <f t="shared" si="9"/>
        <v>0.5</v>
      </c>
      <c r="Q426">
        <f t="array" ref="Q426">IF(I426&gt;0,INDEX(DB,I426,9),EventIndex)</f>
        <v>6</v>
      </c>
      <c r="S426" s="442">
        <f t="array" ref="S426">INDEX(MINVALUES,$Q426,$K$1)</f>
        <v>5</v>
      </c>
      <c r="T426">
        <f t="array" ref="T426">INDEX(INCVALUES,$Q426,$K$1)</f>
        <v>0.5</v>
      </c>
      <c r="V426">
        <f t="array" ref="V426">+J426+(4*(INDEX(MatchScoreTable,$Q426,20)-1))</f>
        <v>4</v>
      </c>
      <c r="W426" s="442">
        <f t="array" ref="W426">INDEX(INC_MINVALUES,$V426,$K$1)</f>
        <v>2.5</v>
      </c>
      <c r="X426" s="212">
        <f t="array" ref="X426">INDEX(INC_INCVALUES,$V426,$K$1)</f>
        <v>0.5</v>
      </c>
    </row>
    <row r="427" ht="15.75" customHeight="1">
      <c r="A427" s="435"/>
      <c r="B427" s="436"/>
      <c r="C427" s="95" t="str">
        <f t="array" ref="C427">IF(I427&gt;0,INDEX(DB,I427,8),"")</f>
        <v/>
      </c>
      <c r="D427" s="437">
        <f t="shared" si="1"/>
        <v>0</v>
      </c>
      <c r="F427" s="438">
        <f t="shared" si="2"/>
        <v>0</v>
      </c>
      <c r="G427" t="str">
        <f t="shared" si="3"/>
        <v/>
      </c>
      <c r="H427" t="b">
        <f t="shared" si="4"/>
        <v>0</v>
      </c>
      <c r="I427" s="439">
        <f>IF(OR(ISBLANK(A427),ISNA(MATCH(A427&amp;"",AthleteNumbers,0))),0,MATCH(A427&amp;"",AthleteNumbers,0))</f>
        <v>0</v>
      </c>
      <c r="J427" s="209">
        <f t="array" ref="J427">IF(I427&gt;0,INDEX(DB,$I427,6),0)</f>
        <v>0</v>
      </c>
      <c r="K427" s="446">
        <f t="shared" si="5"/>
        <v>0</v>
      </c>
      <c r="L427" s="446">
        <f t="shared" si="6"/>
        <v>0</v>
      </c>
      <c r="M427" s="441">
        <f>IF(L427&lt;O427,MinPoints,IF(AND(L427&gt;N427,O427&gt;0),100,+INT(($L427-O427)/P427)+MinPoints))</f>
        <v>10</v>
      </c>
      <c r="N427" s="440">
        <f t="shared" si="7"/>
        <v>50</v>
      </c>
      <c r="O427" s="440">
        <f t="shared" si="8"/>
        <v>5</v>
      </c>
      <c r="P427" s="440">
        <f t="shared" si="9"/>
        <v>0.5</v>
      </c>
      <c r="Q427">
        <f t="array" ref="Q427">IF(I427&gt;0,INDEX(DB,I427,9),EventIndex)</f>
        <v>6</v>
      </c>
      <c r="S427" s="442">
        <f t="array" ref="S427">INDEX(MINVALUES,$Q427,$K$1)</f>
        <v>5</v>
      </c>
      <c r="T427">
        <f t="array" ref="T427">INDEX(INCVALUES,$Q427,$K$1)</f>
        <v>0.5</v>
      </c>
      <c r="V427">
        <f t="array" ref="V427">+J427+(4*(INDEX(MatchScoreTable,$Q427,20)-1))</f>
        <v>4</v>
      </c>
      <c r="W427" s="442">
        <f t="array" ref="W427">INDEX(INC_MINVALUES,$V427,$K$1)</f>
        <v>2.5</v>
      </c>
      <c r="X427" s="212">
        <f t="array" ref="X427">INDEX(INC_INCVALUES,$V427,$K$1)</f>
        <v>0.5</v>
      </c>
    </row>
    <row r="428" ht="15.75" customHeight="1">
      <c r="A428" s="435"/>
      <c r="B428" s="436"/>
      <c r="C428" s="95" t="str">
        <f t="array" ref="C428">IF(I428&gt;0,INDEX(DB,I428,8),"")</f>
        <v/>
      </c>
      <c r="D428" s="437">
        <f t="shared" si="1"/>
        <v>0</v>
      </c>
      <c r="F428" s="438">
        <f t="shared" si="2"/>
        <v>0</v>
      </c>
      <c r="G428" t="str">
        <f t="shared" si="3"/>
        <v/>
      </c>
      <c r="H428" t="b">
        <f t="shared" si="4"/>
        <v>0</v>
      </c>
      <c r="I428" s="439">
        <f>IF(OR(ISBLANK(A428),ISNA(MATCH(A428&amp;"",AthleteNumbers,0))),0,MATCH(A428&amp;"",AthleteNumbers,0))</f>
        <v>0</v>
      </c>
      <c r="J428" s="209">
        <f t="array" ref="J428">IF(I428&gt;0,INDEX(DB,$I428,6),0)</f>
        <v>0</v>
      </c>
      <c r="K428" s="446">
        <f t="shared" si="5"/>
        <v>0</v>
      </c>
      <c r="L428" s="446">
        <f t="shared" si="6"/>
        <v>0</v>
      </c>
      <c r="M428" s="441">
        <f>IF(L428&lt;O428,MinPoints,IF(AND(L428&gt;N428,O428&gt;0),100,+INT(($L428-O428)/P428)+MinPoints))</f>
        <v>10</v>
      </c>
      <c r="N428" s="440">
        <f t="shared" si="7"/>
        <v>50</v>
      </c>
      <c r="O428" s="440">
        <f t="shared" si="8"/>
        <v>5</v>
      </c>
      <c r="P428" s="440">
        <f t="shared" si="9"/>
        <v>0.5</v>
      </c>
      <c r="Q428">
        <f t="array" ref="Q428">IF(I428&gt;0,INDEX(DB,I428,9),EventIndex)</f>
        <v>6</v>
      </c>
      <c r="S428" s="442">
        <f t="array" ref="S428">INDEX(MINVALUES,$Q428,$K$1)</f>
        <v>5</v>
      </c>
      <c r="T428">
        <f t="array" ref="T428">INDEX(INCVALUES,$Q428,$K$1)</f>
        <v>0.5</v>
      </c>
      <c r="V428">
        <f t="array" ref="V428">+J428+(4*(INDEX(MatchScoreTable,$Q428,20)-1))</f>
        <v>4</v>
      </c>
      <c r="W428" s="442">
        <f t="array" ref="W428">INDEX(INC_MINVALUES,$V428,$K$1)</f>
        <v>2.5</v>
      </c>
      <c r="X428" s="212">
        <f t="array" ref="X428">INDEX(INC_INCVALUES,$V428,$K$1)</f>
        <v>0.5</v>
      </c>
    </row>
    <row r="429" ht="15.75" customHeight="1">
      <c r="A429" s="435"/>
      <c r="B429" s="436"/>
      <c r="C429" s="95" t="str">
        <f t="array" ref="C429">IF(I429&gt;0,INDEX(DB,I429,8),"")</f>
        <v/>
      </c>
      <c r="D429" s="437">
        <f t="shared" si="1"/>
        <v>0</v>
      </c>
      <c r="F429" s="438">
        <f t="shared" si="2"/>
        <v>0</v>
      </c>
      <c r="G429" t="str">
        <f t="shared" si="3"/>
        <v/>
      </c>
      <c r="H429" t="b">
        <f t="shared" si="4"/>
        <v>0</v>
      </c>
      <c r="I429" s="439">
        <f>IF(OR(ISBLANK(A429),ISNA(MATCH(A429&amp;"",AthleteNumbers,0))),0,MATCH(A429&amp;"",AthleteNumbers,0))</f>
        <v>0</v>
      </c>
      <c r="J429" s="209">
        <f t="array" ref="J429">IF(I429&gt;0,INDEX(DB,$I429,6),0)</f>
        <v>0</v>
      </c>
      <c r="K429" s="446">
        <f t="shared" si="5"/>
        <v>0</v>
      </c>
      <c r="L429" s="446">
        <f t="shared" si="6"/>
        <v>0</v>
      </c>
      <c r="M429" s="441">
        <f>IF(L429&lt;O429,MinPoints,IF(AND(L429&gt;N429,O429&gt;0),100,+INT(($L429-O429)/P429)+MinPoints))</f>
        <v>10</v>
      </c>
      <c r="N429" s="440">
        <f t="shared" si="7"/>
        <v>50</v>
      </c>
      <c r="O429" s="440">
        <f t="shared" si="8"/>
        <v>5</v>
      </c>
      <c r="P429" s="440">
        <f t="shared" si="9"/>
        <v>0.5</v>
      </c>
      <c r="Q429">
        <f t="array" ref="Q429">IF(I429&gt;0,INDEX(DB,I429,9),EventIndex)</f>
        <v>6</v>
      </c>
      <c r="S429" s="442">
        <f t="array" ref="S429">INDEX(MINVALUES,$Q429,$K$1)</f>
        <v>5</v>
      </c>
      <c r="T429">
        <f t="array" ref="T429">INDEX(INCVALUES,$Q429,$K$1)</f>
        <v>0.5</v>
      </c>
      <c r="V429">
        <f t="array" ref="V429">+J429+(4*(INDEX(MatchScoreTable,$Q429,20)-1))</f>
        <v>4</v>
      </c>
      <c r="W429" s="442">
        <f t="array" ref="W429">INDEX(INC_MINVALUES,$V429,$K$1)</f>
        <v>2.5</v>
      </c>
      <c r="X429" s="212">
        <f t="array" ref="X429">INDEX(INC_INCVALUES,$V429,$K$1)</f>
        <v>0.5</v>
      </c>
    </row>
    <row r="430" ht="15.75" customHeight="1">
      <c r="A430" s="435"/>
      <c r="B430" s="436"/>
      <c r="C430" s="95" t="str">
        <f t="array" ref="C430">IF(I430&gt;0,INDEX(DB,I430,8),"")</f>
        <v/>
      </c>
      <c r="D430" s="437">
        <f t="shared" si="1"/>
        <v>0</v>
      </c>
      <c r="F430" s="438">
        <f t="shared" si="2"/>
        <v>0</v>
      </c>
      <c r="G430" t="str">
        <f t="shared" si="3"/>
        <v/>
      </c>
      <c r="H430" t="b">
        <f t="shared" si="4"/>
        <v>0</v>
      </c>
      <c r="I430" s="439">
        <f>IF(OR(ISBLANK(A430),ISNA(MATCH(A430&amp;"",AthleteNumbers,0))),0,MATCH(A430&amp;"",AthleteNumbers,0))</f>
        <v>0</v>
      </c>
      <c r="J430" s="209">
        <f t="array" ref="J430">IF(I430&gt;0,INDEX(DB,$I430,6),0)</f>
        <v>0</v>
      </c>
      <c r="K430" s="446">
        <f t="shared" si="5"/>
        <v>0</v>
      </c>
      <c r="L430" s="446">
        <f t="shared" si="6"/>
        <v>0</v>
      </c>
      <c r="M430" s="441">
        <f>IF(L430&lt;O430,MinPoints,IF(AND(L430&gt;N430,O430&gt;0),100,+INT(($L430-O430)/P430)+MinPoints))</f>
        <v>10</v>
      </c>
      <c r="N430" s="440">
        <f t="shared" si="7"/>
        <v>50</v>
      </c>
      <c r="O430" s="440">
        <f t="shared" si="8"/>
        <v>5</v>
      </c>
      <c r="P430" s="440">
        <f t="shared" si="9"/>
        <v>0.5</v>
      </c>
      <c r="Q430">
        <f t="array" ref="Q430">IF(I430&gt;0,INDEX(DB,I430,9),EventIndex)</f>
        <v>6</v>
      </c>
      <c r="S430" s="442">
        <f t="array" ref="S430">INDEX(MINVALUES,$Q430,$K$1)</f>
        <v>5</v>
      </c>
      <c r="T430">
        <f t="array" ref="T430">INDEX(INCVALUES,$Q430,$K$1)</f>
        <v>0.5</v>
      </c>
      <c r="V430">
        <f t="array" ref="V430">+J430+(4*(INDEX(MatchScoreTable,$Q430,20)-1))</f>
        <v>4</v>
      </c>
      <c r="W430" s="442">
        <f t="array" ref="W430">INDEX(INC_MINVALUES,$V430,$K$1)</f>
        <v>2.5</v>
      </c>
      <c r="X430" s="212">
        <f t="array" ref="X430">INDEX(INC_INCVALUES,$V430,$K$1)</f>
        <v>0.5</v>
      </c>
    </row>
    <row r="431" ht="15.75" customHeight="1">
      <c r="A431" s="435"/>
      <c r="B431" s="436"/>
      <c r="C431" s="95" t="str">
        <f t="array" ref="C431">IF(I431&gt;0,INDEX(DB,I431,8),"")</f>
        <v/>
      </c>
      <c r="D431" s="437">
        <f t="shared" si="1"/>
        <v>0</v>
      </c>
      <c r="F431" s="438">
        <f t="shared" si="2"/>
        <v>0</v>
      </c>
      <c r="G431" t="str">
        <f t="shared" si="3"/>
        <v/>
      </c>
      <c r="H431" t="b">
        <f t="shared" si="4"/>
        <v>0</v>
      </c>
      <c r="I431" s="439">
        <f>IF(OR(ISBLANK(A431),ISNA(MATCH(A431&amp;"",AthleteNumbers,0))),0,MATCH(A431&amp;"",AthleteNumbers,0))</f>
        <v>0</v>
      </c>
      <c r="J431" s="209">
        <f t="array" ref="J431">IF(I431&gt;0,INDEX(DB,$I431,6),0)</f>
        <v>0</v>
      </c>
      <c r="K431" s="446">
        <f t="shared" si="5"/>
        <v>0</v>
      </c>
      <c r="L431" s="446">
        <f t="shared" si="6"/>
        <v>0</v>
      </c>
      <c r="M431" s="441">
        <f>IF(L431&lt;O431,MinPoints,IF(AND(L431&gt;N431,O431&gt;0),100,+INT(($L431-O431)/P431)+MinPoints))</f>
        <v>10</v>
      </c>
      <c r="N431" s="440">
        <f t="shared" si="7"/>
        <v>50</v>
      </c>
      <c r="O431" s="440">
        <f t="shared" si="8"/>
        <v>5</v>
      </c>
      <c r="P431" s="440">
        <f t="shared" si="9"/>
        <v>0.5</v>
      </c>
      <c r="Q431">
        <f t="array" ref="Q431">IF(I431&gt;0,INDEX(DB,I431,9),EventIndex)</f>
        <v>6</v>
      </c>
      <c r="S431" s="442">
        <f t="array" ref="S431">INDEX(MINVALUES,$Q431,$K$1)</f>
        <v>5</v>
      </c>
      <c r="T431">
        <f t="array" ref="T431">INDEX(INCVALUES,$Q431,$K$1)</f>
        <v>0.5</v>
      </c>
      <c r="V431">
        <f t="array" ref="V431">+J431+(4*(INDEX(MatchScoreTable,$Q431,20)-1))</f>
        <v>4</v>
      </c>
      <c r="W431" s="442">
        <f t="array" ref="W431">INDEX(INC_MINVALUES,$V431,$K$1)</f>
        <v>2.5</v>
      </c>
      <c r="X431" s="212">
        <f t="array" ref="X431">INDEX(INC_INCVALUES,$V431,$K$1)</f>
        <v>0.5</v>
      </c>
    </row>
    <row r="432" ht="15.75" customHeight="1">
      <c r="A432" s="435"/>
      <c r="B432" s="436"/>
      <c r="C432" s="95" t="str">
        <f t="array" ref="C432">IF(I432&gt;0,INDEX(DB,I432,8),"")</f>
        <v/>
      </c>
      <c r="D432" s="437">
        <f t="shared" si="1"/>
        <v>0</v>
      </c>
      <c r="F432" s="438">
        <f t="shared" si="2"/>
        <v>0</v>
      </c>
      <c r="G432" t="str">
        <f t="shared" si="3"/>
        <v/>
      </c>
      <c r="H432" t="b">
        <f t="shared" si="4"/>
        <v>0</v>
      </c>
      <c r="I432" s="439">
        <f>IF(OR(ISBLANK(A432),ISNA(MATCH(A432&amp;"",AthleteNumbers,0))),0,MATCH(A432&amp;"",AthleteNumbers,0))</f>
        <v>0</v>
      </c>
      <c r="J432" s="209">
        <f t="array" ref="J432">IF(I432&gt;0,INDEX(DB,$I432,6),0)</f>
        <v>0</v>
      </c>
      <c r="K432" s="446">
        <f t="shared" si="5"/>
        <v>0</v>
      </c>
      <c r="L432" s="446">
        <f t="shared" si="6"/>
        <v>0</v>
      </c>
      <c r="M432" s="441">
        <f>IF(L432&lt;O432,MinPoints,IF(AND(L432&gt;N432,O432&gt;0),100,+INT(($L432-O432)/P432)+MinPoints))</f>
        <v>10</v>
      </c>
      <c r="N432" s="440">
        <f t="shared" si="7"/>
        <v>50</v>
      </c>
      <c r="O432" s="440">
        <f t="shared" si="8"/>
        <v>5</v>
      </c>
      <c r="P432" s="440">
        <f t="shared" si="9"/>
        <v>0.5</v>
      </c>
      <c r="Q432">
        <f t="array" ref="Q432">IF(I432&gt;0,INDEX(DB,I432,9),EventIndex)</f>
        <v>6</v>
      </c>
      <c r="S432" s="442">
        <f t="array" ref="S432">INDEX(MINVALUES,$Q432,$K$1)</f>
        <v>5</v>
      </c>
      <c r="T432">
        <f t="array" ref="T432">INDEX(INCVALUES,$Q432,$K$1)</f>
        <v>0.5</v>
      </c>
      <c r="V432">
        <f t="array" ref="V432">+J432+(4*(INDEX(MatchScoreTable,$Q432,20)-1))</f>
        <v>4</v>
      </c>
      <c r="W432" s="442">
        <f t="array" ref="W432">INDEX(INC_MINVALUES,$V432,$K$1)</f>
        <v>2.5</v>
      </c>
      <c r="X432" s="212">
        <f t="array" ref="X432">INDEX(INC_INCVALUES,$V432,$K$1)</f>
        <v>0.5</v>
      </c>
    </row>
    <row r="433" ht="15.75" customHeight="1">
      <c r="A433" s="435"/>
      <c r="B433" s="436"/>
      <c r="C433" s="95" t="str">
        <f t="array" ref="C433">IF(I433&gt;0,INDEX(DB,I433,8),"")</f>
        <v/>
      </c>
      <c r="D433" s="437">
        <f t="shared" si="1"/>
        <v>0</v>
      </c>
      <c r="F433" s="438">
        <f t="shared" si="2"/>
        <v>0</v>
      </c>
      <c r="G433" t="str">
        <f t="shared" si="3"/>
        <v/>
      </c>
      <c r="H433" t="b">
        <f t="shared" si="4"/>
        <v>0</v>
      </c>
      <c r="I433" s="439">
        <f>IF(OR(ISBLANK(A433),ISNA(MATCH(A433&amp;"",AthleteNumbers,0))),0,MATCH(A433&amp;"",AthleteNumbers,0))</f>
        <v>0</v>
      </c>
      <c r="J433" s="209">
        <f t="array" ref="J433">IF(I433&gt;0,INDEX(DB,$I433,6),0)</f>
        <v>0</v>
      </c>
      <c r="K433" s="446">
        <f t="shared" si="5"/>
        <v>0</v>
      </c>
      <c r="L433" s="446">
        <f t="shared" si="6"/>
        <v>0</v>
      </c>
      <c r="M433" s="441">
        <f>IF(L433&lt;O433,MinPoints,IF(AND(L433&gt;N433,O433&gt;0),100,+INT(($L433-O433)/P433)+MinPoints))</f>
        <v>10</v>
      </c>
      <c r="N433" s="440">
        <f t="shared" si="7"/>
        <v>50</v>
      </c>
      <c r="O433" s="440">
        <f t="shared" si="8"/>
        <v>5</v>
      </c>
      <c r="P433" s="440">
        <f t="shared" si="9"/>
        <v>0.5</v>
      </c>
      <c r="Q433">
        <f t="array" ref="Q433">IF(I433&gt;0,INDEX(DB,I433,9),EventIndex)</f>
        <v>6</v>
      </c>
      <c r="S433" s="442">
        <f t="array" ref="S433">INDEX(MINVALUES,$Q433,$K$1)</f>
        <v>5</v>
      </c>
      <c r="T433">
        <f t="array" ref="T433">INDEX(INCVALUES,$Q433,$K$1)</f>
        <v>0.5</v>
      </c>
      <c r="V433">
        <f t="array" ref="V433">+J433+(4*(INDEX(MatchScoreTable,$Q433,20)-1))</f>
        <v>4</v>
      </c>
      <c r="W433" s="442">
        <f t="array" ref="W433">INDEX(INC_MINVALUES,$V433,$K$1)</f>
        <v>2.5</v>
      </c>
      <c r="X433" s="212">
        <f t="array" ref="X433">INDEX(INC_INCVALUES,$V433,$K$1)</f>
        <v>0.5</v>
      </c>
    </row>
    <row r="434" ht="15.75" customHeight="1">
      <c r="A434" s="435"/>
      <c r="B434" s="436"/>
      <c r="C434" s="95" t="str">
        <f t="array" ref="C434">IF(I434&gt;0,INDEX(DB,I434,8),"")</f>
        <v/>
      </c>
      <c r="D434" s="437">
        <f t="shared" si="1"/>
        <v>0</v>
      </c>
      <c r="F434" s="438">
        <f t="shared" si="2"/>
        <v>0</v>
      </c>
      <c r="G434" t="str">
        <f t="shared" si="3"/>
        <v/>
      </c>
      <c r="H434" t="b">
        <f t="shared" si="4"/>
        <v>0</v>
      </c>
      <c r="I434" s="439">
        <f>IF(OR(ISBLANK(A434),ISNA(MATCH(A434&amp;"",AthleteNumbers,0))),0,MATCH(A434&amp;"",AthleteNumbers,0))</f>
        <v>0</v>
      </c>
      <c r="J434" s="209">
        <f t="array" ref="J434">IF(I434&gt;0,INDEX(DB,$I434,6),0)</f>
        <v>0</v>
      </c>
      <c r="K434" s="446">
        <f t="shared" si="5"/>
        <v>0</v>
      </c>
      <c r="L434" s="446">
        <f t="shared" si="6"/>
        <v>0</v>
      </c>
      <c r="M434" s="441">
        <f>IF(L434&lt;O434,MinPoints,IF(AND(L434&gt;N434,O434&gt;0),100,+INT(($L434-O434)/P434)+MinPoints))</f>
        <v>10</v>
      </c>
      <c r="N434" s="440">
        <f t="shared" si="7"/>
        <v>50</v>
      </c>
      <c r="O434" s="440">
        <f t="shared" si="8"/>
        <v>5</v>
      </c>
      <c r="P434" s="440">
        <f t="shared" si="9"/>
        <v>0.5</v>
      </c>
      <c r="Q434">
        <f t="array" ref="Q434">IF(I434&gt;0,INDEX(DB,I434,9),EventIndex)</f>
        <v>6</v>
      </c>
      <c r="S434" s="442">
        <f t="array" ref="S434">INDEX(MINVALUES,$Q434,$K$1)</f>
        <v>5</v>
      </c>
      <c r="T434">
        <f t="array" ref="T434">INDEX(INCVALUES,$Q434,$K$1)</f>
        <v>0.5</v>
      </c>
      <c r="V434">
        <f t="array" ref="V434">+J434+(4*(INDEX(MatchScoreTable,$Q434,20)-1))</f>
        <v>4</v>
      </c>
      <c r="W434" s="442">
        <f t="array" ref="W434">INDEX(INC_MINVALUES,$V434,$K$1)</f>
        <v>2.5</v>
      </c>
      <c r="X434" s="212">
        <f t="array" ref="X434">INDEX(INC_INCVALUES,$V434,$K$1)</f>
        <v>0.5</v>
      </c>
    </row>
    <row r="435" ht="15.75" customHeight="1">
      <c r="A435" s="435"/>
      <c r="B435" s="436"/>
      <c r="C435" s="95" t="str">
        <f t="array" ref="C435">IF(I435&gt;0,INDEX(DB,I435,8),"")</f>
        <v/>
      </c>
      <c r="D435" s="437">
        <f t="shared" si="1"/>
        <v>0</v>
      </c>
      <c r="F435" s="438">
        <f t="shared" si="2"/>
        <v>0</v>
      </c>
      <c r="G435" t="str">
        <f t="shared" si="3"/>
        <v/>
      </c>
      <c r="H435" t="b">
        <f t="shared" si="4"/>
        <v>0</v>
      </c>
      <c r="I435" s="439">
        <f>IF(OR(ISBLANK(A435),ISNA(MATCH(A435&amp;"",AthleteNumbers,0))),0,MATCH(A435&amp;"",AthleteNumbers,0))</f>
        <v>0</v>
      </c>
      <c r="J435" s="209">
        <f t="array" ref="J435">IF(I435&gt;0,INDEX(DB,$I435,6),0)</f>
        <v>0</v>
      </c>
      <c r="K435" s="446">
        <f t="shared" si="5"/>
        <v>0</v>
      </c>
      <c r="L435" s="446">
        <f t="shared" si="6"/>
        <v>0</v>
      </c>
      <c r="M435" s="441">
        <f>IF(L435&lt;O435,MinPoints,IF(AND(L435&gt;N435,O435&gt;0),100,+INT(($L435-O435)/P435)+MinPoints))</f>
        <v>10</v>
      </c>
      <c r="N435" s="440">
        <f t="shared" si="7"/>
        <v>50</v>
      </c>
      <c r="O435" s="440">
        <f t="shared" si="8"/>
        <v>5</v>
      </c>
      <c r="P435" s="440">
        <f t="shared" si="9"/>
        <v>0.5</v>
      </c>
      <c r="Q435">
        <f t="array" ref="Q435">IF(I435&gt;0,INDEX(DB,I435,9),EventIndex)</f>
        <v>6</v>
      </c>
      <c r="S435" s="442">
        <f t="array" ref="S435">INDEX(MINVALUES,$Q435,$K$1)</f>
        <v>5</v>
      </c>
      <c r="T435">
        <f t="array" ref="T435">INDEX(INCVALUES,$Q435,$K$1)</f>
        <v>0.5</v>
      </c>
      <c r="V435">
        <f t="array" ref="V435">+J435+(4*(INDEX(MatchScoreTable,$Q435,20)-1))</f>
        <v>4</v>
      </c>
      <c r="W435" s="442">
        <f t="array" ref="W435">INDEX(INC_MINVALUES,$V435,$K$1)</f>
        <v>2.5</v>
      </c>
      <c r="X435" s="212">
        <f t="array" ref="X435">INDEX(INC_INCVALUES,$V435,$K$1)</f>
        <v>0.5</v>
      </c>
    </row>
    <row r="436" ht="15.75" customHeight="1">
      <c r="A436" s="435"/>
      <c r="B436" s="436"/>
      <c r="C436" s="95" t="str">
        <f t="array" ref="C436">IF(I436&gt;0,INDEX(DB,I436,8),"")</f>
        <v/>
      </c>
      <c r="D436" s="437">
        <f t="shared" si="1"/>
        <v>0</v>
      </c>
      <c r="F436" s="438">
        <f t="shared" si="2"/>
        <v>0</v>
      </c>
      <c r="G436" t="str">
        <f t="shared" si="3"/>
        <v/>
      </c>
      <c r="H436" t="b">
        <f t="shared" si="4"/>
        <v>0</v>
      </c>
      <c r="I436" s="439">
        <f>IF(OR(ISBLANK(A436),ISNA(MATCH(A436&amp;"",AthleteNumbers,0))),0,MATCH(A436&amp;"",AthleteNumbers,0))</f>
        <v>0</v>
      </c>
      <c r="J436" s="209">
        <f t="array" ref="J436">IF(I436&gt;0,INDEX(DB,$I436,6),0)</f>
        <v>0</v>
      </c>
      <c r="K436" s="446">
        <f t="shared" si="5"/>
        <v>0</v>
      </c>
      <c r="L436" s="446">
        <f t="shared" si="6"/>
        <v>0</v>
      </c>
      <c r="M436" s="441">
        <f>IF(L436&lt;O436,MinPoints,IF(AND(L436&gt;N436,O436&gt;0),100,+INT(($L436-O436)/P436)+MinPoints))</f>
        <v>10</v>
      </c>
      <c r="N436" s="440">
        <f t="shared" si="7"/>
        <v>50</v>
      </c>
      <c r="O436" s="440">
        <f t="shared" si="8"/>
        <v>5</v>
      </c>
      <c r="P436" s="440">
        <f t="shared" si="9"/>
        <v>0.5</v>
      </c>
      <c r="Q436">
        <f t="array" ref="Q436">IF(I436&gt;0,INDEX(DB,I436,9),EventIndex)</f>
        <v>6</v>
      </c>
      <c r="S436" s="442">
        <f t="array" ref="S436">INDEX(MINVALUES,$Q436,$K$1)</f>
        <v>5</v>
      </c>
      <c r="T436">
        <f t="array" ref="T436">INDEX(INCVALUES,$Q436,$K$1)</f>
        <v>0.5</v>
      </c>
      <c r="V436">
        <f t="array" ref="V436">+J436+(4*(INDEX(MatchScoreTable,$Q436,20)-1))</f>
        <v>4</v>
      </c>
      <c r="W436" s="442">
        <f t="array" ref="W436">INDEX(INC_MINVALUES,$V436,$K$1)</f>
        <v>2.5</v>
      </c>
      <c r="X436" s="212">
        <f t="array" ref="X436">INDEX(INC_INCVALUES,$V436,$K$1)</f>
        <v>0.5</v>
      </c>
    </row>
    <row r="437" ht="15.75" customHeight="1">
      <c r="A437" s="435"/>
      <c r="B437" s="436"/>
      <c r="C437" s="95" t="str">
        <f t="array" ref="C437">IF(I437&gt;0,INDEX(DB,I437,8),"")</f>
        <v/>
      </c>
      <c r="D437" s="437">
        <f t="shared" si="1"/>
        <v>0</v>
      </c>
      <c r="F437" s="438">
        <f t="shared" si="2"/>
        <v>0</v>
      </c>
      <c r="G437" t="str">
        <f t="shared" si="3"/>
        <v/>
      </c>
      <c r="H437" t="b">
        <f t="shared" si="4"/>
        <v>0</v>
      </c>
      <c r="I437" s="439">
        <f>IF(OR(ISBLANK(A437),ISNA(MATCH(A437&amp;"",AthleteNumbers,0))),0,MATCH(A437&amp;"",AthleteNumbers,0))</f>
        <v>0</v>
      </c>
      <c r="J437" s="209">
        <f t="array" ref="J437">IF(I437&gt;0,INDEX(DB,$I437,6),0)</f>
        <v>0</v>
      </c>
      <c r="K437" s="446">
        <f t="shared" si="5"/>
        <v>0</v>
      </c>
      <c r="L437" s="446">
        <f t="shared" si="6"/>
        <v>0</v>
      </c>
      <c r="M437" s="441">
        <f>IF(L437&lt;O437,MinPoints,IF(AND(L437&gt;N437,O437&gt;0),100,+INT(($L437-O437)/P437)+MinPoints))</f>
        <v>10</v>
      </c>
      <c r="N437" s="440">
        <f t="shared" si="7"/>
        <v>50</v>
      </c>
      <c r="O437" s="440">
        <f t="shared" si="8"/>
        <v>5</v>
      </c>
      <c r="P437" s="440">
        <f t="shared" si="9"/>
        <v>0.5</v>
      </c>
      <c r="Q437">
        <f t="array" ref="Q437">IF(I437&gt;0,INDEX(DB,I437,9),EventIndex)</f>
        <v>6</v>
      </c>
      <c r="S437" s="442">
        <f t="array" ref="S437">INDEX(MINVALUES,$Q437,$K$1)</f>
        <v>5</v>
      </c>
      <c r="T437">
        <f t="array" ref="T437">INDEX(INCVALUES,$Q437,$K$1)</f>
        <v>0.5</v>
      </c>
      <c r="V437">
        <f t="array" ref="V437">+J437+(4*(INDEX(MatchScoreTable,$Q437,20)-1))</f>
        <v>4</v>
      </c>
      <c r="W437" s="442">
        <f t="array" ref="W437">INDEX(INC_MINVALUES,$V437,$K$1)</f>
        <v>2.5</v>
      </c>
      <c r="X437" s="212">
        <f t="array" ref="X437">INDEX(INC_INCVALUES,$V437,$K$1)</f>
        <v>0.5</v>
      </c>
    </row>
    <row r="438" ht="15.75" customHeight="1">
      <c r="A438" s="435"/>
      <c r="B438" s="436"/>
      <c r="C438" s="95" t="str">
        <f t="array" ref="C438">IF(I438&gt;0,INDEX(DB,I438,8),"")</f>
        <v/>
      </c>
      <c r="D438" s="437">
        <f t="shared" si="1"/>
        <v>0</v>
      </c>
      <c r="F438" s="438">
        <f t="shared" si="2"/>
        <v>0</v>
      </c>
      <c r="G438" t="str">
        <f t="shared" si="3"/>
        <v/>
      </c>
      <c r="H438" t="b">
        <f t="shared" si="4"/>
        <v>0</v>
      </c>
      <c r="I438" s="439">
        <f>IF(OR(ISBLANK(A438),ISNA(MATCH(A438&amp;"",AthleteNumbers,0))),0,MATCH(A438&amp;"",AthleteNumbers,0))</f>
        <v>0</v>
      </c>
      <c r="J438" s="209">
        <f t="array" ref="J438">IF(I438&gt;0,INDEX(DB,$I438,6),0)</f>
        <v>0</v>
      </c>
      <c r="K438" s="446">
        <f t="shared" si="5"/>
        <v>0</v>
      </c>
      <c r="L438" s="446">
        <f t="shared" si="6"/>
        <v>0</v>
      </c>
      <c r="M438" s="441">
        <f>IF(L438&lt;O438,MinPoints,IF(AND(L438&gt;N438,O438&gt;0),100,+INT(($L438-O438)/P438)+MinPoints))</f>
        <v>10</v>
      </c>
      <c r="N438" s="440">
        <f t="shared" si="7"/>
        <v>50</v>
      </c>
      <c r="O438" s="440">
        <f t="shared" si="8"/>
        <v>5</v>
      </c>
      <c r="P438" s="440">
        <f t="shared" si="9"/>
        <v>0.5</v>
      </c>
      <c r="Q438">
        <f t="array" ref="Q438">IF(I438&gt;0,INDEX(DB,I438,9),EventIndex)</f>
        <v>6</v>
      </c>
      <c r="S438" s="442">
        <f t="array" ref="S438">INDEX(MINVALUES,$Q438,$K$1)</f>
        <v>5</v>
      </c>
      <c r="T438">
        <f t="array" ref="T438">INDEX(INCVALUES,$Q438,$K$1)</f>
        <v>0.5</v>
      </c>
      <c r="V438">
        <f t="array" ref="V438">+J438+(4*(INDEX(MatchScoreTable,$Q438,20)-1))</f>
        <v>4</v>
      </c>
      <c r="W438" s="442">
        <f t="array" ref="W438">INDEX(INC_MINVALUES,$V438,$K$1)</f>
        <v>2.5</v>
      </c>
      <c r="X438" s="212">
        <f t="array" ref="X438">INDEX(INC_INCVALUES,$V438,$K$1)</f>
        <v>0.5</v>
      </c>
    </row>
    <row r="439" ht="15.75" customHeight="1">
      <c r="A439" s="435"/>
      <c r="B439" s="436"/>
      <c r="C439" s="95" t="str">
        <f t="array" ref="C439">IF(I439&gt;0,INDEX(DB,I439,8),"")</f>
        <v/>
      </c>
      <c r="D439" s="437">
        <f t="shared" si="1"/>
        <v>0</v>
      </c>
      <c r="F439" s="438">
        <f t="shared" si="2"/>
        <v>0</v>
      </c>
      <c r="G439" t="str">
        <f t="shared" si="3"/>
        <v/>
      </c>
      <c r="H439" t="b">
        <f t="shared" si="4"/>
        <v>0</v>
      </c>
      <c r="I439" s="439">
        <f>IF(OR(ISBLANK(A439),ISNA(MATCH(A439&amp;"",AthleteNumbers,0))),0,MATCH(A439&amp;"",AthleteNumbers,0))</f>
        <v>0</v>
      </c>
      <c r="J439" s="209">
        <f t="array" ref="J439">IF(I439&gt;0,INDEX(DB,$I439,6),0)</f>
        <v>0</v>
      </c>
      <c r="K439" s="446">
        <f t="shared" si="5"/>
        <v>0</v>
      </c>
      <c r="L439" s="446">
        <f t="shared" si="6"/>
        <v>0</v>
      </c>
      <c r="M439" s="441">
        <f>IF(L439&lt;O439,MinPoints,IF(AND(L439&gt;N439,O439&gt;0),100,+INT(($L439-O439)/P439)+MinPoints))</f>
        <v>10</v>
      </c>
      <c r="N439" s="440">
        <f t="shared" si="7"/>
        <v>50</v>
      </c>
      <c r="O439" s="440">
        <f t="shared" si="8"/>
        <v>5</v>
      </c>
      <c r="P439" s="440">
        <f t="shared" si="9"/>
        <v>0.5</v>
      </c>
      <c r="Q439">
        <f t="array" ref="Q439">IF(I439&gt;0,INDEX(DB,I439,9),EventIndex)</f>
        <v>6</v>
      </c>
      <c r="S439" s="442">
        <f t="array" ref="S439">INDEX(MINVALUES,$Q439,$K$1)</f>
        <v>5</v>
      </c>
      <c r="T439">
        <f t="array" ref="T439">INDEX(INCVALUES,$Q439,$K$1)</f>
        <v>0.5</v>
      </c>
      <c r="V439">
        <f t="array" ref="V439">+J439+(4*(INDEX(MatchScoreTable,$Q439,20)-1))</f>
        <v>4</v>
      </c>
      <c r="W439" s="442">
        <f t="array" ref="W439">INDEX(INC_MINVALUES,$V439,$K$1)</f>
        <v>2.5</v>
      </c>
      <c r="X439" s="212">
        <f t="array" ref="X439">INDEX(INC_INCVALUES,$V439,$K$1)</f>
        <v>0.5</v>
      </c>
    </row>
    <row r="440" ht="15.75" customHeight="1">
      <c r="A440" s="435"/>
      <c r="B440" s="436"/>
      <c r="C440" s="95" t="str">
        <f t="array" ref="C440">IF(I440&gt;0,INDEX(DB,I440,8),"")</f>
        <v/>
      </c>
      <c r="D440" s="437">
        <f t="shared" si="1"/>
        <v>0</v>
      </c>
      <c r="F440" s="438">
        <f t="shared" si="2"/>
        <v>0</v>
      </c>
      <c r="G440" t="str">
        <f t="shared" si="3"/>
        <v/>
      </c>
      <c r="H440" t="b">
        <f t="shared" si="4"/>
        <v>0</v>
      </c>
      <c r="I440" s="439">
        <f>IF(OR(ISBLANK(A440),ISNA(MATCH(A440&amp;"",AthleteNumbers,0))),0,MATCH(A440&amp;"",AthleteNumbers,0))</f>
        <v>0</v>
      </c>
      <c r="J440" s="209">
        <f t="array" ref="J440">IF(I440&gt;0,INDEX(DB,$I440,6),0)</f>
        <v>0</v>
      </c>
      <c r="K440" s="446">
        <f t="shared" si="5"/>
        <v>0</v>
      </c>
      <c r="L440" s="446">
        <f t="shared" si="6"/>
        <v>0</v>
      </c>
      <c r="M440" s="441">
        <f>IF(L440&lt;O440,MinPoints,IF(AND(L440&gt;N440,O440&gt;0),100,+INT(($L440-O440)/P440)+MinPoints))</f>
        <v>10</v>
      </c>
      <c r="N440" s="440">
        <f t="shared" si="7"/>
        <v>50</v>
      </c>
      <c r="O440" s="440">
        <f t="shared" si="8"/>
        <v>5</v>
      </c>
      <c r="P440" s="440">
        <f t="shared" si="9"/>
        <v>0.5</v>
      </c>
      <c r="Q440">
        <f t="array" ref="Q440">IF(I440&gt;0,INDEX(DB,I440,9),EventIndex)</f>
        <v>6</v>
      </c>
      <c r="S440" s="442">
        <f t="array" ref="S440">INDEX(MINVALUES,$Q440,$K$1)</f>
        <v>5</v>
      </c>
      <c r="T440">
        <f t="array" ref="T440">INDEX(INCVALUES,$Q440,$K$1)</f>
        <v>0.5</v>
      </c>
      <c r="V440">
        <f t="array" ref="V440">+J440+(4*(INDEX(MatchScoreTable,$Q440,20)-1))</f>
        <v>4</v>
      </c>
      <c r="W440" s="442">
        <f t="array" ref="W440">INDEX(INC_MINVALUES,$V440,$K$1)</f>
        <v>2.5</v>
      </c>
      <c r="X440" s="212">
        <f t="array" ref="X440">INDEX(INC_INCVALUES,$V440,$K$1)</f>
        <v>0.5</v>
      </c>
    </row>
    <row r="441" ht="15.75" customHeight="1">
      <c r="A441" s="435"/>
      <c r="B441" s="436"/>
      <c r="C441" s="95" t="str">
        <f t="array" ref="C441">IF(I441&gt;0,INDEX(DB,I441,8),"")</f>
        <v/>
      </c>
      <c r="D441" s="437">
        <f t="shared" si="1"/>
        <v>0</v>
      </c>
      <c r="F441" s="438">
        <f t="shared" si="2"/>
        <v>0</v>
      </c>
      <c r="G441" t="str">
        <f t="shared" si="3"/>
        <v/>
      </c>
      <c r="H441" t="b">
        <f t="shared" si="4"/>
        <v>0</v>
      </c>
      <c r="I441" s="439">
        <f>IF(OR(ISBLANK(A441),ISNA(MATCH(A441&amp;"",AthleteNumbers,0))),0,MATCH(A441&amp;"",AthleteNumbers,0))</f>
        <v>0</v>
      </c>
      <c r="J441" s="209">
        <f t="array" ref="J441">IF(I441&gt;0,INDEX(DB,$I441,6),0)</f>
        <v>0</v>
      </c>
      <c r="K441" s="446">
        <f t="shared" si="5"/>
        <v>0</v>
      </c>
      <c r="L441" s="446">
        <f t="shared" si="6"/>
        <v>0</v>
      </c>
      <c r="M441" s="441">
        <f>IF(L441&lt;O441,MinPoints,IF(AND(L441&gt;N441,O441&gt;0),100,+INT(($L441-O441)/P441)+MinPoints))</f>
        <v>10</v>
      </c>
      <c r="N441" s="440">
        <f t="shared" si="7"/>
        <v>50</v>
      </c>
      <c r="O441" s="440">
        <f t="shared" si="8"/>
        <v>5</v>
      </c>
      <c r="P441" s="440">
        <f t="shared" si="9"/>
        <v>0.5</v>
      </c>
      <c r="Q441">
        <f t="array" ref="Q441">IF(I441&gt;0,INDEX(DB,I441,9),EventIndex)</f>
        <v>6</v>
      </c>
      <c r="S441" s="442">
        <f t="array" ref="S441">INDEX(MINVALUES,$Q441,$K$1)</f>
        <v>5</v>
      </c>
      <c r="T441">
        <f t="array" ref="T441">INDEX(INCVALUES,$Q441,$K$1)</f>
        <v>0.5</v>
      </c>
      <c r="V441">
        <f t="array" ref="V441">+J441+(4*(INDEX(MatchScoreTable,$Q441,20)-1))</f>
        <v>4</v>
      </c>
      <c r="W441" s="442">
        <f t="array" ref="W441">INDEX(INC_MINVALUES,$V441,$K$1)</f>
        <v>2.5</v>
      </c>
      <c r="X441" s="212">
        <f t="array" ref="X441">INDEX(INC_INCVALUES,$V441,$K$1)</f>
        <v>0.5</v>
      </c>
    </row>
    <row r="442" ht="15.75" customHeight="1">
      <c r="A442" s="435"/>
      <c r="B442" s="436"/>
      <c r="C442" s="95" t="str">
        <f t="array" ref="C442">IF(I442&gt;0,INDEX(DB,I442,8),"")</f>
        <v/>
      </c>
      <c r="D442" s="437">
        <f t="shared" si="1"/>
        <v>0</v>
      </c>
      <c r="F442" s="438">
        <f t="shared" si="2"/>
        <v>0</v>
      </c>
      <c r="G442" t="str">
        <f t="shared" si="3"/>
        <v/>
      </c>
      <c r="H442" t="b">
        <f t="shared" si="4"/>
        <v>0</v>
      </c>
      <c r="I442" s="439">
        <f>IF(OR(ISBLANK(A442),ISNA(MATCH(A442&amp;"",AthleteNumbers,0))),0,MATCH(A442&amp;"",AthleteNumbers,0))</f>
        <v>0</v>
      </c>
      <c r="J442" s="209">
        <f t="array" ref="J442">IF(I442&gt;0,INDEX(DB,$I442,6),0)</f>
        <v>0</v>
      </c>
      <c r="K442" s="446">
        <f t="shared" si="5"/>
        <v>0</v>
      </c>
      <c r="L442" s="446">
        <f t="shared" si="6"/>
        <v>0</v>
      </c>
      <c r="M442" s="441">
        <f>IF(L442&lt;O442,MinPoints,IF(AND(L442&gt;N442,O442&gt;0),100,+INT(($L442-O442)/P442)+MinPoints))</f>
        <v>10</v>
      </c>
      <c r="N442" s="440">
        <f t="shared" si="7"/>
        <v>50</v>
      </c>
      <c r="O442" s="440">
        <f t="shared" si="8"/>
        <v>5</v>
      </c>
      <c r="P442" s="440">
        <f t="shared" si="9"/>
        <v>0.5</v>
      </c>
      <c r="Q442">
        <f t="array" ref="Q442">IF(I442&gt;0,INDEX(DB,I442,9),EventIndex)</f>
        <v>6</v>
      </c>
      <c r="S442" s="442">
        <f t="array" ref="S442">INDEX(MINVALUES,$Q442,$K$1)</f>
        <v>5</v>
      </c>
      <c r="T442">
        <f t="array" ref="T442">INDEX(INCVALUES,$Q442,$K$1)</f>
        <v>0.5</v>
      </c>
      <c r="V442">
        <f t="array" ref="V442">+J442+(4*(INDEX(MatchScoreTable,$Q442,20)-1))</f>
        <v>4</v>
      </c>
      <c r="W442" s="442">
        <f t="array" ref="W442">INDEX(INC_MINVALUES,$V442,$K$1)</f>
        <v>2.5</v>
      </c>
      <c r="X442" s="212">
        <f t="array" ref="X442">INDEX(INC_INCVALUES,$V442,$K$1)</f>
        <v>0.5</v>
      </c>
    </row>
    <row r="443" ht="15.75" customHeight="1">
      <c r="A443" s="435"/>
      <c r="B443" s="436"/>
      <c r="C443" s="95" t="str">
        <f t="array" ref="C443">IF(I443&gt;0,INDEX(DB,I443,8),"")</f>
        <v/>
      </c>
      <c r="D443" s="437">
        <f t="shared" si="1"/>
        <v>0</v>
      </c>
      <c r="F443" s="438">
        <f t="shared" si="2"/>
        <v>0</v>
      </c>
      <c r="G443" t="str">
        <f t="shared" si="3"/>
        <v/>
      </c>
      <c r="H443" t="b">
        <f t="shared" si="4"/>
        <v>0</v>
      </c>
      <c r="I443" s="439">
        <f>IF(OR(ISBLANK(A443),ISNA(MATCH(A443&amp;"",AthleteNumbers,0))),0,MATCH(A443&amp;"",AthleteNumbers,0))</f>
        <v>0</v>
      </c>
      <c r="J443" s="209">
        <f t="array" ref="J443">IF(I443&gt;0,INDEX(DB,$I443,6),0)</f>
        <v>0</v>
      </c>
      <c r="K443" s="446">
        <f t="shared" si="5"/>
        <v>0</v>
      </c>
      <c r="L443" s="446">
        <f t="shared" si="6"/>
        <v>0</v>
      </c>
      <c r="M443" s="441">
        <f>IF(L443&lt;O443,MinPoints,IF(AND(L443&gt;N443,O443&gt;0),100,+INT(($L443-O443)/P443)+MinPoints))</f>
        <v>10</v>
      </c>
      <c r="N443" s="440">
        <f t="shared" si="7"/>
        <v>50</v>
      </c>
      <c r="O443" s="440">
        <f t="shared" si="8"/>
        <v>5</v>
      </c>
      <c r="P443" s="440">
        <f t="shared" si="9"/>
        <v>0.5</v>
      </c>
      <c r="Q443">
        <f t="array" ref="Q443">IF(I443&gt;0,INDEX(DB,I443,9),EventIndex)</f>
        <v>6</v>
      </c>
      <c r="S443" s="442">
        <f t="array" ref="S443">INDEX(MINVALUES,$Q443,$K$1)</f>
        <v>5</v>
      </c>
      <c r="T443">
        <f t="array" ref="T443">INDEX(INCVALUES,$Q443,$K$1)</f>
        <v>0.5</v>
      </c>
      <c r="V443">
        <f t="array" ref="V443">+J443+(4*(INDEX(MatchScoreTable,$Q443,20)-1))</f>
        <v>4</v>
      </c>
      <c r="W443" s="442">
        <f t="array" ref="W443">INDEX(INC_MINVALUES,$V443,$K$1)</f>
        <v>2.5</v>
      </c>
      <c r="X443" s="212">
        <f t="array" ref="X443">INDEX(INC_INCVALUES,$V443,$K$1)</f>
        <v>0.5</v>
      </c>
    </row>
    <row r="444" ht="15.75" customHeight="1">
      <c r="A444" s="435"/>
      <c r="B444" s="436"/>
      <c r="C444" s="95" t="str">
        <f t="array" ref="C444">IF(I444&gt;0,INDEX(DB,I444,8),"")</f>
        <v/>
      </c>
      <c r="D444" s="437">
        <f t="shared" si="1"/>
        <v>0</v>
      </c>
      <c r="F444" s="438">
        <f t="shared" si="2"/>
        <v>0</v>
      </c>
      <c r="G444" t="str">
        <f t="shared" si="3"/>
        <v/>
      </c>
      <c r="H444" t="b">
        <f t="shared" si="4"/>
        <v>0</v>
      </c>
      <c r="I444" s="439">
        <f>IF(OR(ISBLANK(A444),ISNA(MATCH(A444&amp;"",AthleteNumbers,0))),0,MATCH(A444&amp;"",AthleteNumbers,0))</f>
        <v>0</v>
      </c>
      <c r="J444" s="209">
        <f t="array" ref="J444">IF(I444&gt;0,INDEX(DB,$I444,6),0)</f>
        <v>0</v>
      </c>
      <c r="K444" s="446">
        <f t="shared" si="5"/>
        <v>0</v>
      </c>
      <c r="L444" s="446">
        <f t="shared" si="6"/>
        <v>0</v>
      </c>
      <c r="M444" s="441">
        <f>IF(L444&lt;O444,MinPoints,IF(AND(L444&gt;N444,O444&gt;0),100,+INT(($L444-O444)/P444)+MinPoints))</f>
        <v>10</v>
      </c>
      <c r="N444" s="440">
        <f t="shared" si="7"/>
        <v>50</v>
      </c>
      <c r="O444" s="440">
        <f t="shared" si="8"/>
        <v>5</v>
      </c>
      <c r="P444" s="440">
        <f t="shared" si="9"/>
        <v>0.5</v>
      </c>
      <c r="Q444">
        <f t="array" ref="Q444">IF(I444&gt;0,INDEX(DB,I444,9),EventIndex)</f>
        <v>6</v>
      </c>
      <c r="S444" s="442">
        <f t="array" ref="S444">INDEX(MINVALUES,$Q444,$K$1)</f>
        <v>5</v>
      </c>
      <c r="T444">
        <f t="array" ref="T444">INDEX(INCVALUES,$Q444,$K$1)</f>
        <v>0.5</v>
      </c>
      <c r="V444">
        <f t="array" ref="V444">+J444+(4*(INDEX(MatchScoreTable,$Q444,20)-1))</f>
        <v>4</v>
      </c>
      <c r="W444" s="442">
        <f t="array" ref="W444">INDEX(INC_MINVALUES,$V444,$K$1)</f>
        <v>2.5</v>
      </c>
      <c r="X444" s="212">
        <f t="array" ref="X444">INDEX(INC_INCVALUES,$V444,$K$1)</f>
        <v>0.5</v>
      </c>
    </row>
    <row r="445" ht="15.75" customHeight="1">
      <c r="A445" s="435"/>
      <c r="B445" s="436"/>
      <c r="C445" s="95" t="str">
        <f t="array" ref="C445">IF(I445&gt;0,INDEX(DB,I445,8),"")</f>
        <v/>
      </c>
      <c r="D445" s="437">
        <f t="shared" si="1"/>
        <v>0</v>
      </c>
      <c r="F445" s="438">
        <f t="shared" si="2"/>
        <v>0</v>
      </c>
      <c r="G445" t="str">
        <f t="shared" si="3"/>
        <v/>
      </c>
      <c r="H445" t="b">
        <f t="shared" si="4"/>
        <v>0</v>
      </c>
      <c r="I445" s="439">
        <f>IF(OR(ISBLANK(A445),ISNA(MATCH(A445&amp;"",AthleteNumbers,0))),0,MATCH(A445&amp;"",AthleteNumbers,0))</f>
        <v>0</v>
      </c>
      <c r="J445" s="209">
        <f t="array" ref="J445">IF(I445&gt;0,INDEX(DB,$I445,6),0)</f>
        <v>0</v>
      </c>
      <c r="K445" s="446">
        <f t="shared" si="5"/>
        <v>0</v>
      </c>
      <c r="L445" s="446">
        <f t="shared" si="6"/>
        <v>0</v>
      </c>
      <c r="M445" s="441">
        <f>IF(L445&lt;O445,MinPoints,IF(AND(L445&gt;N445,O445&gt;0),100,+INT(($L445-O445)/P445)+MinPoints))</f>
        <v>10</v>
      </c>
      <c r="N445" s="440">
        <f t="shared" si="7"/>
        <v>50</v>
      </c>
      <c r="O445" s="440">
        <f t="shared" si="8"/>
        <v>5</v>
      </c>
      <c r="P445" s="440">
        <f t="shared" si="9"/>
        <v>0.5</v>
      </c>
      <c r="Q445">
        <f t="array" ref="Q445">IF(I445&gt;0,INDEX(DB,I445,9),EventIndex)</f>
        <v>6</v>
      </c>
      <c r="S445" s="442">
        <f t="array" ref="S445">INDEX(MINVALUES,$Q445,$K$1)</f>
        <v>5</v>
      </c>
      <c r="T445">
        <f t="array" ref="T445">INDEX(INCVALUES,$Q445,$K$1)</f>
        <v>0.5</v>
      </c>
      <c r="V445">
        <f t="array" ref="V445">+J445+(4*(INDEX(MatchScoreTable,$Q445,20)-1))</f>
        <v>4</v>
      </c>
      <c r="W445" s="442">
        <f t="array" ref="W445">INDEX(INC_MINVALUES,$V445,$K$1)</f>
        <v>2.5</v>
      </c>
      <c r="X445" s="212">
        <f t="array" ref="X445">INDEX(INC_INCVALUES,$V445,$K$1)</f>
        <v>0.5</v>
      </c>
    </row>
    <row r="446" ht="15.75" customHeight="1">
      <c r="A446" s="435"/>
      <c r="B446" s="436"/>
      <c r="C446" s="95" t="str">
        <f t="array" ref="C446">IF(I446&gt;0,INDEX(DB,I446,8),"")</f>
        <v/>
      </c>
      <c r="D446" s="437">
        <f t="shared" si="1"/>
        <v>0</v>
      </c>
      <c r="F446" s="438">
        <f t="shared" si="2"/>
        <v>0</v>
      </c>
      <c r="G446" t="str">
        <f t="shared" si="3"/>
        <v/>
      </c>
      <c r="H446" t="b">
        <f t="shared" si="4"/>
        <v>0</v>
      </c>
      <c r="I446" s="439">
        <f>IF(OR(ISBLANK(A446),ISNA(MATCH(A446&amp;"",AthleteNumbers,0))),0,MATCH(A446&amp;"",AthleteNumbers,0))</f>
        <v>0</v>
      </c>
      <c r="J446" s="209">
        <f t="array" ref="J446">IF(I446&gt;0,INDEX(DB,$I446,6),0)</f>
        <v>0</v>
      </c>
      <c r="K446" s="446">
        <f t="shared" si="5"/>
        <v>0</v>
      </c>
      <c r="L446" s="446">
        <f t="shared" si="6"/>
        <v>0</v>
      </c>
      <c r="M446" s="441">
        <f>IF(L446&lt;O446,MinPoints,IF(AND(L446&gt;N446,O446&gt;0),100,+INT(($L446-O446)/P446)+MinPoints))</f>
        <v>10</v>
      </c>
      <c r="N446" s="440">
        <f t="shared" si="7"/>
        <v>50</v>
      </c>
      <c r="O446" s="440">
        <f t="shared" si="8"/>
        <v>5</v>
      </c>
      <c r="P446" s="440">
        <f t="shared" si="9"/>
        <v>0.5</v>
      </c>
      <c r="Q446">
        <f t="array" ref="Q446">IF(I446&gt;0,INDEX(DB,I446,9),EventIndex)</f>
        <v>6</v>
      </c>
      <c r="S446" s="442">
        <f t="array" ref="S446">INDEX(MINVALUES,$Q446,$K$1)</f>
        <v>5</v>
      </c>
      <c r="T446">
        <f t="array" ref="T446">INDEX(INCVALUES,$Q446,$K$1)</f>
        <v>0.5</v>
      </c>
      <c r="V446">
        <f t="array" ref="V446">+J446+(4*(INDEX(MatchScoreTable,$Q446,20)-1))</f>
        <v>4</v>
      </c>
      <c r="W446" s="442">
        <f t="array" ref="W446">INDEX(INC_MINVALUES,$V446,$K$1)</f>
        <v>2.5</v>
      </c>
      <c r="X446" s="212">
        <f t="array" ref="X446">INDEX(INC_INCVALUES,$V446,$K$1)</f>
        <v>0.5</v>
      </c>
    </row>
    <row r="447" ht="15.75" customHeight="1">
      <c r="A447" s="435"/>
      <c r="B447" s="436"/>
      <c r="C447" s="95" t="str">
        <f t="array" ref="C447">IF(I447&gt;0,INDEX(DB,I447,8),"")</f>
        <v/>
      </c>
      <c r="D447" s="437">
        <f t="shared" si="1"/>
        <v>0</v>
      </c>
      <c r="F447" s="438">
        <f t="shared" si="2"/>
        <v>0</v>
      </c>
      <c r="G447" t="str">
        <f t="shared" si="3"/>
        <v/>
      </c>
      <c r="H447" t="b">
        <f t="shared" si="4"/>
        <v>0</v>
      </c>
      <c r="I447" s="439">
        <f>IF(OR(ISBLANK(A447),ISNA(MATCH(A447&amp;"",AthleteNumbers,0))),0,MATCH(A447&amp;"",AthleteNumbers,0))</f>
        <v>0</v>
      </c>
      <c r="J447" s="209">
        <f t="array" ref="J447">IF(I447&gt;0,INDEX(DB,$I447,6),0)</f>
        <v>0</v>
      </c>
      <c r="K447" s="446">
        <f t="shared" si="5"/>
        <v>0</v>
      </c>
      <c r="L447" s="446">
        <f t="shared" si="6"/>
        <v>0</v>
      </c>
      <c r="M447" s="441">
        <f>IF(L447&lt;O447,MinPoints,IF(AND(L447&gt;N447,O447&gt;0),100,+INT(($L447-O447)/P447)+MinPoints))</f>
        <v>10</v>
      </c>
      <c r="N447" s="440">
        <f t="shared" si="7"/>
        <v>50</v>
      </c>
      <c r="O447" s="440">
        <f t="shared" si="8"/>
        <v>5</v>
      </c>
      <c r="P447" s="440">
        <f t="shared" si="9"/>
        <v>0.5</v>
      </c>
      <c r="Q447">
        <f t="array" ref="Q447">IF(I447&gt;0,INDEX(DB,I447,9),EventIndex)</f>
        <v>6</v>
      </c>
      <c r="S447" s="442">
        <f t="array" ref="S447">INDEX(MINVALUES,$Q447,$K$1)</f>
        <v>5</v>
      </c>
      <c r="T447">
        <f t="array" ref="T447">INDEX(INCVALUES,$Q447,$K$1)</f>
        <v>0.5</v>
      </c>
      <c r="V447">
        <f t="array" ref="V447">+J447+(4*(INDEX(MatchScoreTable,$Q447,20)-1))</f>
        <v>4</v>
      </c>
      <c r="W447" s="442">
        <f t="array" ref="W447">INDEX(INC_MINVALUES,$V447,$K$1)</f>
        <v>2.5</v>
      </c>
      <c r="X447" s="212">
        <f t="array" ref="X447">INDEX(INC_INCVALUES,$V447,$K$1)</f>
        <v>0.5</v>
      </c>
    </row>
    <row r="448" ht="15.75" customHeight="1">
      <c r="A448" s="435"/>
      <c r="B448" s="436"/>
      <c r="C448" s="95" t="str">
        <f t="array" ref="C448">IF(I448&gt;0,INDEX(DB,I448,8),"")</f>
        <v/>
      </c>
      <c r="D448" s="437">
        <f t="shared" si="1"/>
        <v>0</v>
      </c>
      <c r="F448" s="438">
        <f t="shared" si="2"/>
        <v>0</v>
      </c>
      <c r="G448" t="str">
        <f t="shared" si="3"/>
        <v/>
      </c>
      <c r="H448" t="b">
        <f t="shared" si="4"/>
        <v>0</v>
      </c>
      <c r="I448" s="439">
        <f>IF(OR(ISBLANK(A448),ISNA(MATCH(A448&amp;"",AthleteNumbers,0))),0,MATCH(A448&amp;"",AthleteNumbers,0))</f>
        <v>0</v>
      </c>
      <c r="J448" s="209">
        <f t="array" ref="J448">IF(I448&gt;0,INDEX(DB,$I448,6),0)</f>
        <v>0</v>
      </c>
      <c r="K448" s="446">
        <f t="shared" si="5"/>
        <v>0</v>
      </c>
      <c r="L448" s="446">
        <f t="shared" si="6"/>
        <v>0</v>
      </c>
      <c r="M448" s="441">
        <f>IF(L448&lt;O448,MinPoints,IF(AND(L448&gt;N448,O448&gt;0),100,+INT(($L448-O448)/P448)+MinPoints))</f>
        <v>10</v>
      </c>
      <c r="N448" s="440">
        <f t="shared" si="7"/>
        <v>50</v>
      </c>
      <c r="O448" s="440">
        <f t="shared" si="8"/>
        <v>5</v>
      </c>
      <c r="P448" s="440">
        <f t="shared" si="9"/>
        <v>0.5</v>
      </c>
      <c r="Q448">
        <f t="array" ref="Q448">IF(I448&gt;0,INDEX(DB,I448,9),EventIndex)</f>
        <v>6</v>
      </c>
      <c r="S448" s="442">
        <f t="array" ref="S448">INDEX(MINVALUES,$Q448,$K$1)</f>
        <v>5</v>
      </c>
      <c r="T448">
        <f t="array" ref="T448">INDEX(INCVALUES,$Q448,$K$1)</f>
        <v>0.5</v>
      </c>
      <c r="V448">
        <f t="array" ref="V448">+J448+(4*(INDEX(MatchScoreTable,$Q448,20)-1))</f>
        <v>4</v>
      </c>
      <c r="W448" s="442">
        <f t="array" ref="W448">INDEX(INC_MINVALUES,$V448,$K$1)</f>
        <v>2.5</v>
      </c>
      <c r="X448" s="212">
        <f t="array" ref="X448">INDEX(INC_INCVALUES,$V448,$K$1)</f>
        <v>0.5</v>
      </c>
    </row>
    <row r="449" ht="15.75" customHeight="1">
      <c r="A449" s="435"/>
      <c r="B449" s="436"/>
      <c r="C449" s="95" t="str">
        <f t="array" ref="C449">IF(I449&gt;0,INDEX(DB,I449,8),"")</f>
        <v/>
      </c>
      <c r="D449" s="437">
        <f t="shared" si="1"/>
        <v>0</v>
      </c>
      <c r="F449" s="438">
        <f t="shared" si="2"/>
        <v>0</v>
      </c>
      <c r="G449" t="str">
        <f t="shared" si="3"/>
        <v/>
      </c>
      <c r="H449" t="b">
        <f t="shared" si="4"/>
        <v>0</v>
      </c>
      <c r="I449" s="439">
        <f>IF(OR(ISBLANK(A449),ISNA(MATCH(A449&amp;"",AthleteNumbers,0))),0,MATCH(A449&amp;"",AthleteNumbers,0))</f>
        <v>0</v>
      </c>
      <c r="J449" s="209">
        <f t="array" ref="J449">IF(I449&gt;0,INDEX(DB,$I449,6),0)</f>
        <v>0</v>
      </c>
      <c r="K449" s="446">
        <f t="shared" si="5"/>
        <v>0</v>
      </c>
      <c r="L449" s="446">
        <f t="shared" si="6"/>
        <v>0</v>
      </c>
      <c r="M449" s="441">
        <f>IF(L449&lt;O449,MinPoints,IF(AND(L449&gt;N449,O449&gt;0),100,+INT(($L449-O449)/P449)+MinPoints))</f>
        <v>10</v>
      </c>
      <c r="N449" s="440">
        <f t="shared" si="7"/>
        <v>50</v>
      </c>
      <c r="O449" s="440">
        <f t="shared" si="8"/>
        <v>5</v>
      </c>
      <c r="P449" s="440">
        <f t="shared" si="9"/>
        <v>0.5</v>
      </c>
      <c r="Q449">
        <f t="array" ref="Q449">IF(I449&gt;0,INDEX(DB,I449,9),EventIndex)</f>
        <v>6</v>
      </c>
      <c r="S449" s="442">
        <f t="array" ref="S449">INDEX(MINVALUES,$Q449,$K$1)</f>
        <v>5</v>
      </c>
      <c r="T449">
        <f t="array" ref="T449">INDEX(INCVALUES,$Q449,$K$1)</f>
        <v>0.5</v>
      </c>
      <c r="V449">
        <f t="array" ref="V449">+J449+(4*(INDEX(MatchScoreTable,$Q449,20)-1))</f>
        <v>4</v>
      </c>
      <c r="W449" s="442">
        <f t="array" ref="W449">INDEX(INC_MINVALUES,$V449,$K$1)</f>
        <v>2.5</v>
      </c>
      <c r="X449" s="212">
        <f t="array" ref="X449">INDEX(INC_INCVALUES,$V449,$K$1)</f>
        <v>0.5</v>
      </c>
    </row>
    <row r="450" ht="15.75" customHeight="1">
      <c r="A450" s="435"/>
      <c r="B450" s="436"/>
      <c r="C450" s="95" t="str">
        <f t="array" ref="C450">IF(I450&gt;0,INDEX(DB,I450,8),"")</f>
        <v/>
      </c>
      <c r="D450" s="437">
        <f t="shared" si="1"/>
        <v>0</v>
      </c>
      <c r="F450" s="438">
        <f t="shared" si="2"/>
        <v>0</v>
      </c>
      <c r="G450" t="str">
        <f t="shared" si="3"/>
        <v/>
      </c>
      <c r="H450" t="b">
        <f t="shared" si="4"/>
        <v>0</v>
      </c>
      <c r="I450" s="439">
        <f>IF(OR(ISBLANK(A450),ISNA(MATCH(A450&amp;"",AthleteNumbers,0))),0,MATCH(A450&amp;"",AthleteNumbers,0))</f>
        <v>0</v>
      </c>
      <c r="J450" s="209">
        <f t="array" ref="J450">IF(I450&gt;0,INDEX(DB,$I450,6),0)</f>
        <v>0</v>
      </c>
      <c r="K450" s="446">
        <f t="shared" si="5"/>
        <v>0</v>
      </c>
      <c r="L450" s="446">
        <f t="shared" si="6"/>
        <v>0</v>
      </c>
      <c r="M450" s="441">
        <f>IF(L450&lt;O450,MinPoints,IF(AND(L450&gt;N450,O450&gt;0),100,+INT(($L450-O450)/P450)+MinPoints))</f>
        <v>10</v>
      </c>
      <c r="N450" s="440">
        <f t="shared" si="7"/>
        <v>50</v>
      </c>
      <c r="O450" s="440">
        <f t="shared" si="8"/>
        <v>5</v>
      </c>
      <c r="P450" s="440">
        <f t="shared" si="9"/>
        <v>0.5</v>
      </c>
      <c r="Q450">
        <f t="array" ref="Q450">IF(I450&gt;0,INDEX(DB,I450,9),EventIndex)</f>
        <v>6</v>
      </c>
      <c r="S450" s="442">
        <f t="array" ref="S450">INDEX(MINVALUES,$Q450,$K$1)</f>
        <v>5</v>
      </c>
      <c r="T450">
        <f t="array" ref="T450">INDEX(INCVALUES,$Q450,$K$1)</f>
        <v>0.5</v>
      </c>
      <c r="V450">
        <f t="array" ref="V450">+J450+(4*(INDEX(MatchScoreTable,$Q450,20)-1))</f>
        <v>4</v>
      </c>
      <c r="W450" s="442">
        <f t="array" ref="W450">INDEX(INC_MINVALUES,$V450,$K$1)</f>
        <v>2.5</v>
      </c>
      <c r="X450" s="212">
        <f t="array" ref="X450">INDEX(INC_INCVALUES,$V450,$K$1)</f>
        <v>0.5</v>
      </c>
    </row>
    <row r="451" ht="15.75" customHeight="1">
      <c r="A451" s="435"/>
      <c r="B451" s="436"/>
      <c r="C451" s="95" t="str">
        <f t="array" ref="C451">IF(I451&gt;0,INDEX(DB,I451,8),"")</f>
        <v/>
      </c>
      <c r="D451" s="437">
        <f t="shared" si="1"/>
        <v>0</v>
      </c>
      <c r="F451" s="438">
        <f t="shared" si="2"/>
        <v>0</v>
      </c>
      <c r="G451" t="str">
        <f t="shared" si="3"/>
        <v/>
      </c>
      <c r="H451" t="b">
        <f t="shared" si="4"/>
        <v>0</v>
      </c>
      <c r="I451" s="439">
        <f>IF(OR(ISBLANK(A451),ISNA(MATCH(A451&amp;"",AthleteNumbers,0))),0,MATCH(A451&amp;"",AthleteNumbers,0))</f>
        <v>0</v>
      </c>
      <c r="J451" s="209">
        <f t="array" ref="J451">IF(I451&gt;0,INDEX(DB,$I451,6),0)</f>
        <v>0</v>
      </c>
      <c r="K451" s="446">
        <f t="shared" si="5"/>
        <v>0</v>
      </c>
      <c r="L451" s="446">
        <f t="shared" si="6"/>
        <v>0</v>
      </c>
      <c r="M451" s="441">
        <f>IF(L451&lt;O451,MinPoints,IF(AND(L451&gt;N451,O451&gt;0),100,+INT(($L451-O451)/P451)+MinPoints))</f>
        <v>10</v>
      </c>
      <c r="N451" s="440">
        <f t="shared" si="7"/>
        <v>50</v>
      </c>
      <c r="O451" s="440">
        <f t="shared" si="8"/>
        <v>5</v>
      </c>
      <c r="P451" s="440">
        <f t="shared" si="9"/>
        <v>0.5</v>
      </c>
      <c r="Q451">
        <f t="array" ref="Q451">IF(I451&gt;0,INDEX(DB,I451,9),EventIndex)</f>
        <v>6</v>
      </c>
      <c r="S451" s="442">
        <f t="array" ref="S451">INDEX(MINVALUES,$Q451,$K$1)</f>
        <v>5</v>
      </c>
      <c r="T451">
        <f t="array" ref="T451">INDEX(INCVALUES,$Q451,$K$1)</f>
        <v>0.5</v>
      </c>
      <c r="V451">
        <f t="array" ref="V451">+J451+(4*(INDEX(MatchScoreTable,$Q451,20)-1))</f>
        <v>4</v>
      </c>
      <c r="W451" s="442">
        <f t="array" ref="W451">INDEX(INC_MINVALUES,$V451,$K$1)</f>
        <v>2.5</v>
      </c>
      <c r="X451" s="212">
        <f t="array" ref="X451">INDEX(INC_INCVALUES,$V451,$K$1)</f>
        <v>0.5</v>
      </c>
    </row>
    <row r="452" ht="15.75" customHeight="1">
      <c r="A452" s="435"/>
      <c r="B452" s="436"/>
      <c r="C452" s="95" t="str">
        <f t="array" ref="C452">IF(I452&gt;0,INDEX(DB,I452,8),"")</f>
        <v/>
      </c>
      <c r="D452" s="437">
        <f t="shared" si="1"/>
        <v>0</v>
      </c>
      <c r="F452" s="438">
        <f t="shared" si="2"/>
        <v>0</v>
      </c>
      <c r="G452" t="str">
        <f t="shared" si="3"/>
        <v/>
      </c>
      <c r="H452" t="b">
        <f t="shared" si="4"/>
        <v>0</v>
      </c>
      <c r="I452" s="439">
        <f>IF(OR(ISBLANK(A452),ISNA(MATCH(A452&amp;"",AthleteNumbers,0))),0,MATCH(A452&amp;"",AthleteNumbers,0))</f>
        <v>0</v>
      </c>
      <c r="J452" s="209">
        <f t="array" ref="J452">IF(I452&gt;0,INDEX(DB,$I452,6),0)</f>
        <v>0</v>
      </c>
      <c r="K452" s="446">
        <f t="shared" si="5"/>
        <v>0</v>
      </c>
      <c r="L452" s="446">
        <f t="shared" si="6"/>
        <v>0</v>
      </c>
      <c r="M452" s="441">
        <f>IF(L452&lt;O452,MinPoints,IF(AND(L452&gt;N452,O452&gt;0),100,+INT(($L452-O452)/P452)+MinPoints))</f>
        <v>10</v>
      </c>
      <c r="N452" s="440">
        <f t="shared" si="7"/>
        <v>50</v>
      </c>
      <c r="O452" s="440">
        <f t="shared" si="8"/>
        <v>5</v>
      </c>
      <c r="P452" s="440">
        <f t="shared" si="9"/>
        <v>0.5</v>
      </c>
      <c r="Q452">
        <f t="array" ref="Q452">IF(I452&gt;0,INDEX(DB,I452,9),EventIndex)</f>
        <v>6</v>
      </c>
      <c r="S452" s="442">
        <f t="array" ref="S452">INDEX(MINVALUES,$Q452,$K$1)</f>
        <v>5</v>
      </c>
      <c r="T452">
        <f t="array" ref="T452">INDEX(INCVALUES,$Q452,$K$1)</f>
        <v>0.5</v>
      </c>
      <c r="V452">
        <f t="array" ref="V452">+J452+(4*(INDEX(MatchScoreTable,$Q452,20)-1))</f>
        <v>4</v>
      </c>
      <c r="W452" s="442">
        <f t="array" ref="W452">INDEX(INC_MINVALUES,$V452,$K$1)</f>
        <v>2.5</v>
      </c>
      <c r="X452" s="212">
        <f t="array" ref="X452">INDEX(INC_INCVALUES,$V452,$K$1)</f>
        <v>0.5</v>
      </c>
    </row>
    <row r="453" ht="15.75" customHeight="1">
      <c r="A453" s="435"/>
      <c r="B453" s="436"/>
      <c r="C453" s="95" t="str">
        <f t="array" ref="C453">IF(I453&gt;0,INDEX(DB,I453,8),"")</f>
        <v/>
      </c>
      <c r="D453" s="437">
        <f t="shared" si="1"/>
        <v>0</v>
      </c>
      <c r="F453" s="438">
        <f t="shared" si="2"/>
        <v>0</v>
      </c>
      <c r="G453" t="str">
        <f t="shared" si="3"/>
        <v/>
      </c>
      <c r="H453" t="b">
        <f t="shared" si="4"/>
        <v>0</v>
      </c>
      <c r="I453" s="439">
        <f>IF(OR(ISBLANK(A453),ISNA(MATCH(A453&amp;"",AthleteNumbers,0))),0,MATCH(A453&amp;"",AthleteNumbers,0))</f>
        <v>0</v>
      </c>
      <c r="J453" s="209">
        <f t="array" ref="J453">IF(I453&gt;0,INDEX(DB,$I453,6),0)</f>
        <v>0</v>
      </c>
      <c r="K453" s="446">
        <f t="shared" si="5"/>
        <v>0</v>
      </c>
      <c r="L453" s="446">
        <f t="shared" si="6"/>
        <v>0</v>
      </c>
      <c r="M453" s="441">
        <f>IF(L453&lt;O453,MinPoints,IF(AND(L453&gt;N453,O453&gt;0),100,+INT(($L453-O453)/P453)+MinPoints))</f>
        <v>10</v>
      </c>
      <c r="N453" s="440">
        <f t="shared" si="7"/>
        <v>50</v>
      </c>
      <c r="O453" s="440">
        <f t="shared" si="8"/>
        <v>5</v>
      </c>
      <c r="P453" s="440">
        <f t="shared" si="9"/>
        <v>0.5</v>
      </c>
      <c r="Q453">
        <f t="array" ref="Q453">IF(I453&gt;0,INDEX(DB,I453,9),EventIndex)</f>
        <v>6</v>
      </c>
      <c r="S453" s="442">
        <f t="array" ref="S453">INDEX(MINVALUES,$Q453,$K$1)</f>
        <v>5</v>
      </c>
      <c r="T453">
        <f t="array" ref="T453">INDEX(INCVALUES,$Q453,$K$1)</f>
        <v>0.5</v>
      </c>
      <c r="V453">
        <f t="array" ref="V453">+J453+(4*(INDEX(MatchScoreTable,$Q453,20)-1))</f>
        <v>4</v>
      </c>
      <c r="W453" s="442">
        <f t="array" ref="W453">INDEX(INC_MINVALUES,$V453,$K$1)</f>
        <v>2.5</v>
      </c>
      <c r="X453" s="212">
        <f t="array" ref="X453">INDEX(INC_INCVALUES,$V453,$K$1)</f>
        <v>0.5</v>
      </c>
    </row>
    <row r="454" ht="15.75" customHeight="1">
      <c r="A454" s="435"/>
      <c r="B454" s="436"/>
      <c r="C454" s="95" t="str">
        <f t="array" ref="C454">IF(I454&gt;0,INDEX(DB,I454,8),"")</f>
        <v/>
      </c>
      <c r="D454" s="437">
        <f t="shared" si="1"/>
        <v>0</v>
      </c>
      <c r="F454" s="438">
        <f t="shared" si="2"/>
        <v>0</v>
      </c>
      <c r="G454" t="str">
        <f t="shared" si="3"/>
        <v/>
      </c>
      <c r="H454" t="b">
        <f t="shared" si="4"/>
        <v>0</v>
      </c>
      <c r="I454" s="439">
        <f>IF(OR(ISBLANK(A454),ISNA(MATCH(A454&amp;"",AthleteNumbers,0))),0,MATCH(A454&amp;"",AthleteNumbers,0))</f>
        <v>0</v>
      </c>
      <c r="J454" s="209">
        <f t="array" ref="J454">IF(I454&gt;0,INDEX(DB,$I454,6),0)</f>
        <v>0</v>
      </c>
      <c r="K454" s="446">
        <f t="shared" si="5"/>
        <v>0</v>
      </c>
      <c r="L454" s="446">
        <f t="shared" si="6"/>
        <v>0</v>
      </c>
      <c r="M454" s="441">
        <f>IF(L454&lt;O454,MinPoints,IF(AND(L454&gt;N454,O454&gt;0),100,+INT(($L454-O454)/P454)+MinPoints))</f>
        <v>10</v>
      </c>
      <c r="N454" s="440">
        <f t="shared" si="7"/>
        <v>50</v>
      </c>
      <c r="O454" s="440">
        <f t="shared" si="8"/>
        <v>5</v>
      </c>
      <c r="P454" s="440">
        <f t="shared" si="9"/>
        <v>0.5</v>
      </c>
      <c r="Q454">
        <f t="array" ref="Q454">IF(I454&gt;0,INDEX(DB,I454,9),EventIndex)</f>
        <v>6</v>
      </c>
      <c r="S454" s="442">
        <f t="array" ref="S454">INDEX(MINVALUES,$Q454,$K$1)</f>
        <v>5</v>
      </c>
      <c r="T454">
        <f t="array" ref="T454">INDEX(INCVALUES,$Q454,$K$1)</f>
        <v>0.5</v>
      </c>
      <c r="V454">
        <f t="array" ref="V454">+J454+(4*(INDEX(MatchScoreTable,$Q454,20)-1))</f>
        <v>4</v>
      </c>
      <c r="W454" s="442">
        <f t="array" ref="W454">INDEX(INC_MINVALUES,$V454,$K$1)</f>
        <v>2.5</v>
      </c>
      <c r="X454" s="212">
        <f t="array" ref="X454">INDEX(INC_INCVALUES,$V454,$K$1)</f>
        <v>0.5</v>
      </c>
    </row>
    <row r="455" ht="15.75" customHeight="1">
      <c r="A455" s="435"/>
      <c r="B455" s="436"/>
      <c r="C455" s="95" t="str">
        <f t="array" ref="C455">IF(I455&gt;0,INDEX(DB,I455,8),"")</f>
        <v/>
      </c>
      <c r="D455" s="437">
        <f t="shared" si="1"/>
        <v>0</v>
      </c>
      <c r="F455" s="438">
        <f t="shared" si="2"/>
        <v>0</v>
      </c>
      <c r="G455" t="str">
        <f t="shared" si="3"/>
        <v/>
      </c>
      <c r="H455" t="b">
        <f t="shared" si="4"/>
        <v>0</v>
      </c>
      <c r="I455" s="439">
        <f>IF(OR(ISBLANK(A455),ISNA(MATCH(A455&amp;"",AthleteNumbers,0))),0,MATCH(A455&amp;"",AthleteNumbers,0))</f>
        <v>0</v>
      </c>
      <c r="J455" s="209">
        <f t="array" ref="J455">IF(I455&gt;0,INDEX(DB,$I455,6),0)</f>
        <v>0</v>
      </c>
      <c r="K455" s="446">
        <f t="shared" si="5"/>
        <v>0</v>
      </c>
      <c r="L455" s="446">
        <f t="shared" si="6"/>
        <v>0</v>
      </c>
      <c r="M455" s="441">
        <f>IF(L455&lt;O455,MinPoints,IF(AND(L455&gt;N455,O455&gt;0),100,+INT(($L455-O455)/P455)+MinPoints))</f>
        <v>10</v>
      </c>
      <c r="N455" s="440">
        <f t="shared" si="7"/>
        <v>50</v>
      </c>
      <c r="O455" s="440">
        <f t="shared" si="8"/>
        <v>5</v>
      </c>
      <c r="P455" s="440">
        <f t="shared" si="9"/>
        <v>0.5</v>
      </c>
      <c r="Q455">
        <f t="array" ref="Q455">IF(I455&gt;0,INDEX(DB,I455,9),EventIndex)</f>
        <v>6</v>
      </c>
      <c r="S455" s="442">
        <f t="array" ref="S455">INDEX(MINVALUES,$Q455,$K$1)</f>
        <v>5</v>
      </c>
      <c r="T455">
        <f t="array" ref="T455">INDEX(INCVALUES,$Q455,$K$1)</f>
        <v>0.5</v>
      </c>
      <c r="V455">
        <f t="array" ref="V455">+J455+(4*(INDEX(MatchScoreTable,$Q455,20)-1))</f>
        <v>4</v>
      </c>
      <c r="W455" s="442">
        <f t="array" ref="W455">INDEX(INC_MINVALUES,$V455,$K$1)</f>
        <v>2.5</v>
      </c>
      <c r="X455" s="212">
        <f t="array" ref="X455">INDEX(INC_INCVALUES,$V455,$K$1)</f>
        <v>0.5</v>
      </c>
    </row>
    <row r="456" ht="15.75" customHeight="1">
      <c r="A456" s="435"/>
      <c r="B456" s="436"/>
      <c r="C456" s="95" t="str">
        <f t="array" ref="C456">IF(I456&gt;0,INDEX(DB,I456,8),"")</f>
        <v/>
      </c>
      <c r="D456" s="437">
        <f t="shared" si="1"/>
        <v>0</v>
      </c>
      <c r="F456" s="438">
        <f t="shared" si="2"/>
        <v>0</v>
      </c>
      <c r="G456" t="str">
        <f t="shared" si="3"/>
        <v/>
      </c>
      <c r="H456" t="b">
        <f t="shared" si="4"/>
        <v>0</v>
      </c>
      <c r="I456" s="439">
        <f>IF(OR(ISBLANK(A456),ISNA(MATCH(A456&amp;"",AthleteNumbers,0))),0,MATCH(A456&amp;"",AthleteNumbers,0))</f>
        <v>0</v>
      </c>
      <c r="J456" s="209">
        <f t="array" ref="J456">IF(I456&gt;0,INDEX(DB,$I456,6),0)</f>
        <v>0</v>
      </c>
      <c r="K456" s="446">
        <f t="shared" si="5"/>
        <v>0</v>
      </c>
      <c r="L456" s="446">
        <f t="shared" si="6"/>
        <v>0</v>
      </c>
      <c r="M456" s="441">
        <f>IF(L456&lt;O456,MinPoints,IF(AND(L456&gt;N456,O456&gt;0),100,+INT(($L456-O456)/P456)+MinPoints))</f>
        <v>10</v>
      </c>
      <c r="N456" s="440">
        <f t="shared" si="7"/>
        <v>50</v>
      </c>
      <c r="O456" s="440">
        <f t="shared" si="8"/>
        <v>5</v>
      </c>
      <c r="P456" s="440">
        <f t="shared" si="9"/>
        <v>0.5</v>
      </c>
      <c r="Q456">
        <f t="array" ref="Q456">IF(I456&gt;0,INDEX(DB,I456,9),EventIndex)</f>
        <v>6</v>
      </c>
      <c r="S456" s="442">
        <f t="array" ref="S456">INDEX(MINVALUES,$Q456,$K$1)</f>
        <v>5</v>
      </c>
      <c r="T456">
        <f t="array" ref="T456">INDEX(INCVALUES,$Q456,$K$1)</f>
        <v>0.5</v>
      </c>
      <c r="V456">
        <f t="array" ref="V456">+J456+(4*(INDEX(MatchScoreTable,$Q456,20)-1))</f>
        <v>4</v>
      </c>
      <c r="W456" s="442">
        <f t="array" ref="W456">INDEX(INC_MINVALUES,$V456,$K$1)</f>
        <v>2.5</v>
      </c>
      <c r="X456" s="212">
        <f t="array" ref="X456">INDEX(INC_INCVALUES,$V456,$K$1)</f>
        <v>0.5</v>
      </c>
    </row>
    <row r="457" ht="15.75" customHeight="1">
      <c r="A457" s="435"/>
      <c r="B457" s="436"/>
      <c r="C457" s="95" t="str">
        <f t="array" ref="C457">IF(I457&gt;0,INDEX(DB,I457,8),"")</f>
        <v/>
      </c>
      <c r="D457" s="437">
        <f t="shared" si="1"/>
        <v>0</v>
      </c>
      <c r="F457" s="438">
        <f t="shared" si="2"/>
        <v>0</v>
      </c>
      <c r="G457" t="str">
        <f t="shared" si="3"/>
        <v/>
      </c>
      <c r="H457" t="b">
        <f t="shared" si="4"/>
        <v>0</v>
      </c>
      <c r="I457" s="439">
        <f>IF(OR(ISBLANK(A457),ISNA(MATCH(A457&amp;"",AthleteNumbers,0))),0,MATCH(A457&amp;"",AthleteNumbers,0))</f>
        <v>0</v>
      </c>
      <c r="J457" s="209">
        <f t="array" ref="J457">IF(I457&gt;0,INDEX(DB,$I457,6),0)</f>
        <v>0</v>
      </c>
      <c r="K457" s="446">
        <f t="shared" si="5"/>
        <v>0</v>
      </c>
      <c r="L457" s="446">
        <f t="shared" si="6"/>
        <v>0</v>
      </c>
      <c r="M457" s="441">
        <f>IF(L457&lt;O457,MinPoints,IF(AND(L457&gt;N457,O457&gt;0),100,+INT(($L457-O457)/P457)+MinPoints))</f>
        <v>10</v>
      </c>
      <c r="N457" s="440">
        <f t="shared" si="7"/>
        <v>50</v>
      </c>
      <c r="O457" s="440">
        <f t="shared" si="8"/>
        <v>5</v>
      </c>
      <c r="P457" s="440">
        <f t="shared" si="9"/>
        <v>0.5</v>
      </c>
      <c r="Q457">
        <f t="array" ref="Q457">IF(I457&gt;0,INDEX(DB,I457,9),EventIndex)</f>
        <v>6</v>
      </c>
      <c r="S457" s="442">
        <f t="array" ref="S457">INDEX(MINVALUES,$Q457,$K$1)</f>
        <v>5</v>
      </c>
      <c r="T457">
        <f t="array" ref="T457">INDEX(INCVALUES,$Q457,$K$1)</f>
        <v>0.5</v>
      </c>
      <c r="V457">
        <f t="array" ref="V457">+J457+(4*(INDEX(MatchScoreTable,$Q457,20)-1))</f>
        <v>4</v>
      </c>
      <c r="W457" s="442">
        <f t="array" ref="W457">INDEX(INC_MINVALUES,$V457,$K$1)</f>
        <v>2.5</v>
      </c>
      <c r="X457" s="212">
        <f t="array" ref="X457">INDEX(INC_INCVALUES,$V457,$K$1)</f>
        <v>0.5</v>
      </c>
    </row>
    <row r="458" ht="15.75" customHeight="1">
      <c r="A458" s="435"/>
      <c r="B458" s="436"/>
      <c r="C458" s="95" t="str">
        <f t="array" ref="C458">IF(I458&gt;0,INDEX(DB,I458,8),"")</f>
        <v/>
      </c>
      <c r="D458" s="437">
        <f t="shared" si="1"/>
        <v>0</v>
      </c>
      <c r="F458" s="438">
        <f t="shared" si="2"/>
        <v>0</v>
      </c>
      <c r="G458" t="str">
        <f t="shared" si="3"/>
        <v/>
      </c>
      <c r="H458" t="b">
        <f t="shared" si="4"/>
        <v>0</v>
      </c>
      <c r="I458" s="439">
        <f>IF(OR(ISBLANK(A458),ISNA(MATCH(A458&amp;"",AthleteNumbers,0))),0,MATCH(A458&amp;"",AthleteNumbers,0))</f>
        <v>0</v>
      </c>
      <c r="J458" s="209">
        <f t="array" ref="J458">IF(I458&gt;0,INDEX(DB,$I458,6),0)</f>
        <v>0</v>
      </c>
      <c r="K458" s="446">
        <f t="shared" si="5"/>
        <v>0</v>
      </c>
      <c r="L458" s="446">
        <f t="shared" si="6"/>
        <v>0</v>
      </c>
      <c r="M458" s="441">
        <f>IF(L458&lt;O458,MinPoints,IF(AND(L458&gt;N458,O458&gt;0),100,+INT(($L458-O458)/P458)+MinPoints))</f>
        <v>10</v>
      </c>
      <c r="N458" s="440">
        <f t="shared" si="7"/>
        <v>50</v>
      </c>
      <c r="O458" s="440">
        <f t="shared" si="8"/>
        <v>5</v>
      </c>
      <c r="P458" s="440">
        <f t="shared" si="9"/>
        <v>0.5</v>
      </c>
      <c r="Q458">
        <f t="array" ref="Q458">IF(I458&gt;0,INDEX(DB,I458,9),EventIndex)</f>
        <v>6</v>
      </c>
      <c r="S458" s="442">
        <f t="array" ref="S458">INDEX(MINVALUES,$Q458,$K$1)</f>
        <v>5</v>
      </c>
      <c r="T458">
        <f t="array" ref="T458">INDEX(INCVALUES,$Q458,$K$1)</f>
        <v>0.5</v>
      </c>
      <c r="V458">
        <f t="array" ref="V458">+J458+(4*(INDEX(MatchScoreTable,$Q458,20)-1))</f>
        <v>4</v>
      </c>
      <c r="W458" s="442">
        <f t="array" ref="W458">INDEX(INC_MINVALUES,$V458,$K$1)</f>
        <v>2.5</v>
      </c>
      <c r="X458" s="212">
        <f t="array" ref="X458">INDEX(INC_INCVALUES,$V458,$K$1)</f>
        <v>0.5</v>
      </c>
    </row>
    <row r="459" ht="15.75" customHeight="1">
      <c r="A459" s="435"/>
      <c r="B459" s="436"/>
      <c r="C459" s="95" t="str">
        <f t="array" ref="C459">IF(I459&gt;0,INDEX(DB,I459,8),"")</f>
        <v/>
      </c>
      <c r="D459" s="437">
        <f t="shared" si="1"/>
        <v>0</v>
      </c>
      <c r="F459" s="438">
        <f t="shared" si="2"/>
        <v>0</v>
      </c>
      <c r="G459" t="str">
        <f t="shared" si="3"/>
        <v/>
      </c>
      <c r="H459" t="b">
        <f t="shared" si="4"/>
        <v>0</v>
      </c>
      <c r="I459" s="439">
        <f>IF(OR(ISBLANK(A459),ISNA(MATCH(A459&amp;"",AthleteNumbers,0))),0,MATCH(A459&amp;"",AthleteNumbers,0))</f>
        <v>0</v>
      </c>
      <c r="J459" s="209">
        <f t="array" ref="J459">IF(I459&gt;0,INDEX(DB,$I459,6),0)</f>
        <v>0</v>
      </c>
      <c r="K459" s="446">
        <f t="shared" si="5"/>
        <v>0</v>
      </c>
      <c r="L459" s="446">
        <f t="shared" si="6"/>
        <v>0</v>
      </c>
      <c r="M459" s="441">
        <f>IF(L459&lt;O459,MinPoints,IF(AND(L459&gt;N459,O459&gt;0),100,+INT(($L459-O459)/P459)+MinPoints))</f>
        <v>10</v>
      </c>
      <c r="N459" s="440">
        <f t="shared" si="7"/>
        <v>50</v>
      </c>
      <c r="O459" s="440">
        <f t="shared" si="8"/>
        <v>5</v>
      </c>
      <c r="P459" s="440">
        <f t="shared" si="9"/>
        <v>0.5</v>
      </c>
      <c r="Q459">
        <f t="array" ref="Q459">IF(I459&gt;0,INDEX(DB,I459,9),EventIndex)</f>
        <v>6</v>
      </c>
      <c r="S459" s="442">
        <f t="array" ref="S459">INDEX(MINVALUES,$Q459,$K$1)</f>
        <v>5</v>
      </c>
      <c r="T459">
        <f t="array" ref="T459">INDEX(INCVALUES,$Q459,$K$1)</f>
        <v>0.5</v>
      </c>
      <c r="V459">
        <f t="array" ref="V459">+J459+(4*(INDEX(MatchScoreTable,$Q459,20)-1))</f>
        <v>4</v>
      </c>
      <c r="W459" s="442">
        <f t="array" ref="W459">INDEX(INC_MINVALUES,$V459,$K$1)</f>
        <v>2.5</v>
      </c>
      <c r="X459" s="212">
        <f t="array" ref="X459">INDEX(INC_INCVALUES,$V459,$K$1)</f>
        <v>0.5</v>
      </c>
    </row>
    <row r="460" ht="15.75" customHeight="1">
      <c r="A460" s="435"/>
      <c r="B460" s="436"/>
      <c r="C460" s="95" t="str">
        <f t="array" ref="C460">IF(I460&gt;0,INDEX(DB,I460,8),"")</f>
        <v/>
      </c>
      <c r="D460" s="437">
        <f t="shared" si="1"/>
        <v>0</v>
      </c>
      <c r="F460" s="438">
        <f t="shared" si="2"/>
        <v>0</v>
      </c>
      <c r="G460" t="str">
        <f t="shared" si="3"/>
        <v/>
      </c>
      <c r="H460" t="b">
        <f t="shared" si="4"/>
        <v>0</v>
      </c>
      <c r="I460" s="439">
        <f>IF(OR(ISBLANK(A460),ISNA(MATCH(A460&amp;"",AthleteNumbers,0))),0,MATCH(A460&amp;"",AthleteNumbers,0))</f>
        <v>0</v>
      </c>
      <c r="J460" s="209">
        <f t="array" ref="J460">IF(I460&gt;0,INDEX(DB,$I460,6),0)</f>
        <v>0</v>
      </c>
      <c r="K460" s="446">
        <f t="shared" si="5"/>
        <v>0</v>
      </c>
      <c r="L460" s="446">
        <f t="shared" si="6"/>
        <v>0</v>
      </c>
      <c r="M460" s="441">
        <f>IF(L460&lt;O460,MinPoints,IF(AND(L460&gt;N460,O460&gt;0),100,+INT(($L460-O460)/P460)+MinPoints))</f>
        <v>10</v>
      </c>
      <c r="N460" s="440">
        <f t="shared" si="7"/>
        <v>50</v>
      </c>
      <c r="O460" s="440">
        <f t="shared" si="8"/>
        <v>5</v>
      </c>
      <c r="P460" s="440">
        <f t="shared" si="9"/>
        <v>0.5</v>
      </c>
      <c r="Q460">
        <f t="array" ref="Q460">IF(I460&gt;0,INDEX(DB,I460,9),EventIndex)</f>
        <v>6</v>
      </c>
      <c r="S460" s="442">
        <f t="array" ref="S460">INDEX(MINVALUES,$Q460,$K$1)</f>
        <v>5</v>
      </c>
      <c r="T460">
        <f t="array" ref="T460">INDEX(INCVALUES,$Q460,$K$1)</f>
        <v>0.5</v>
      </c>
      <c r="V460">
        <f t="array" ref="V460">+J460+(4*(INDEX(MatchScoreTable,$Q460,20)-1))</f>
        <v>4</v>
      </c>
      <c r="W460" s="442">
        <f t="array" ref="W460">INDEX(INC_MINVALUES,$V460,$K$1)</f>
        <v>2.5</v>
      </c>
      <c r="X460" s="212">
        <f t="array" ref="X460">INDEX(INC_INCVALUES,$V460,$K$1)</f>
        <v>0.5</v>
      </c>
    </row>
    <row r="461" ht="15.75" customHeight="1">
      <c r="A461" s="435"/>
      <c r="B461" s="436"/>
      <c r="C461" s="95" t="str">
        <f t="array" ref="C461">IF(I461&gt;0,INDEX(DB,I461,8),"")</f>
        <v/>
      </c>
      <c r="D461" s="437">
        <f t="shared" si="1"/>
        <v>0</v>
      </c>
      <c r="F461" s="438">
        <f t="shared" si="2"/>
        <v>0</v>
      </c>
      <c r="G461" t="str">
        <f t="shared" si="3"/>
        <v/>
      </c>
      <c r="H461" t="b">
        <f t="shared" si="4"/>
        <v>0</v>
      </c>
      <c r="I461" s="439">
        <f>IF(OR(ISBLANK(A461),ISNA(MATCH(A461&amp;"",AthleteNumbers,0))),0,MATCH(A461&amp;"",AthleteNumbers,0))</f>
        <v>0</v>
      </c>
      <c r="J461" s="209">
        <f t="array" ref="J461">IF(I461&gt;0,INDEX(DB,$I461,6),0)</f>
        <v>0</v>
      </c>
      <c r="K461" s="446">
        <f t="shared" si="5"/>
        <v>0</v>
      </c>
      <c r="L461" s="446">
        <f t="shared" si="6"/>
        <v>0</v>
      </c>
      <c r="M461" s="441">
        <f>IF(L461&lt;O461,MinPoints,IF(AND(L461&gt;N461,O461&gt;0),100,+INT(($L461-O461)/P461)+MinPoints))</f>
        <v>10</v>
      </c>
      <c r="N461" s="440">
        <f t="shared" si="7"/>
        <v>50</v>
      </c>
      <c r="O461" s="440">
        <f t="shared" si="8"/>
        <v>5</v>
      </c>
      <c r="P461" s="440">
        <f t="shared" si="9"/>
        <v>0.5</v>
      </c>
      <c r="Q461">
        <f t="array" ref="Q461">IF(I461&gt;0,INDEX(DB,I461,9),EventIndex)</f>
        <v>6</v>
      </c>
      <c r="S461" s="442">
        <f t="array" ref="S461">INDEX(MINVALUES,$Q461,$K$1)</f>
        <v>5</v>
      </c>
      <c r="T461">
        <f t="array" ref="T461">INDEX(INCVALUES,$Q461,$K$1)</f>
        <v>0.5</v>
      </c>
      <c r="V461">
        <f t="array" ref="V461">+J461+(4*(INDEX(MatchScoreTable,$Q461,20)-1))</f>
        <v>4</v>
      </c>
      <c r="W461" s="442">
        <f t="array" ref="W461">INDEX(INC_MINVALUES,$V461,$K$1)</f>
        <v>2.5</v>
      </c>
      <c r="X461" s="212">
        <f t="array" ref="X461">INDEX(INC_INCVALUES,$V461,$K$1)</f>
        <v>0.5</v>
      </c>
    </row>
    <row r="462" ht="15.75" customHeight="1">
      <c r="A462" s="435"/>
      <c r="B462" s="436"/>
      <c r="C462" s="95" t="str">
        <f t="array" ref="C462">IF(I462&gt;0,INDEX(DB,I462,8),"")</f>
        <v/>
      </c>
      <c r="D462" s="437">
        <f t="shared" si="1"/>
        <v>0</v>
      </c>
      <c r="F462" s="438">
        <f t="shared" si="2"/>
        <v>0</v>
      </c>
      <c r="G462" t="str">
        <f t="shared" si="3"/>
        <v/>
      </c>
      <c r="H462" t="b">
        <f t="shared" si="4"/>
        <v>0</v>
      </c>
      <c r="I462" s="439">
        <f>IF(OR(ISBLANK(A462),ISNA(MATCH(A462&amp;"",AthleteNumbers,0))),0,MATCH(A462&amp;"",AthleteNumbers,0))</f>
        <v>0</v>
      </c>
      <c r="J462" s="209">
        <f t="array" ref="J462">IF(I462&gt;0,INDEX(DB,$I462,6),0)</f>
        <v>0</v>
      </c>
      <c r="K462" s="446">
        <f t="shared" si="5"/>
        <v>0</v>
      </c>
      <c r="L462" s="446">
        <f t="shared" si="6"/>
        <v>0</v>
      </c>
      <c r="M462" s="441">
        <f>IF(L462&lt;O462,MinPoints,IF(AND(L462&gt;N462,O462&gt;0),100,+INT(($L462-O462)/P462)+MinPoints))</f>
        <v>10</v>
      </c>
      <c r="N462" s="440">
        <f t="shared" si="7"/>
        <v>50</v>
      </c>
      <c r="O462" s="440">
        <f t="shared" si="8"/>
        <v>5</v>
      </c>
      <c r="P462" s="440">
        <f t="shared" si="9"/>
        <v>0.5</v>
      </c>
      <c r="Q462">
        <f t="array" ref="Q462">IF(I462&gt;0,INDEX(DB,I462,9),EventIndex)</f>
        <v>6</v>
      </c>
      <c r="S462" s="442">
        <f t="array" ref="S462">INDEX(MINVALUES,$Q462,$K$1)</f>
        <v>5</v>
      </c>
      <c r="T462">
        <f t="array" ref="T462">INDEX(INCVALUES,$Q462,$K$1)</f>
        <v>0.5</v>
      </c>
      <c r="V462">
        <f t="array" ref="V462">+J462+(4*(INDEX(MatchScoreTable,$Q462,20)-1))</f>
        <v>4</v>
      </c>
      <c r="W462" s="442">
        <f t="array" ref="W462">INDEX(INC_MINVALUES,$V462,$K$1)</f>
        <v>2.5</v>
      </c>
      <c r="X462" s="212">
        <f t="array" ref="X462">INDEX(INC_INCVALUES,$V462,$K$1)</f>
        <v>0.5</v>
      </c>
    </row>
    <row r="463" ht="15.75" customHeight="1">
      <c r="A463" s="435"/>
      <c r="B463" s="436"/>
      <c r="C463" s="95" t="str">
        <f t="array" ref="C463">IF(I463&gt;0,INDEX(DB,I463,8),"")</f>
        <v/>
      </c>
      <c r="D463" s="437">
        <f t="shared" si="1"/>
        <v>0</v>
      </c>
      <c r="F463" s="438">
        <f t="shared" si="2"/>
        <v>0</v>
      </c>
      <c r="G463" t="str">
        <f t="shared" si="3"/>
        <v/>
      </c>
      <c r="H463" t="b">
        <f t="shared" si="4"/>
        <v>0</v>
      </c>
      <c r="I463" s="439">
        <f>IF(OR(ISBLANK(A463),ISNA(MATCH(A463&amp;"",AthleteNumbers,0))),0,MATCH(A463&amp;"",AthleteNumbers,0))</f>
        <v>0</v>
      </c>
      <c r="J463" s="209">
        <f t="array" ref="J463">IF(I463&gt;0,INDEX(DB,$I463,6),0)</f>
        <v>0</v>
      </c>
      <c r="K463" s="446">
        <f t="shared" si="5"/>
        <v>0</v>
      </c>
      <c r="L463" s="446">
        <f t="shared" si="6"/>
        <v>0</v>
      </c>
      <c r="M463" s="441">
        <f>IF(L463&lt;O463,MinPoints,IF(AND(L463&gt;N463,O463&gt;0),100,+INT(($L463-O463)/P463)+MinPoints))</f>
        <v>10</v>
      </c>
      <c r="N463" s="440">
        <f t="shared" si="7"/>
        <v>50</v>
      </c>
      <c r="O463" s="440">
        <f t="shared" si="8"/>
        <v>5</v>
      </c>
      <c r="P463" s="440">
        <f t="shared" si="9"/>
        <v>0.5</v>
      </c>
      <c r="Q463">
        <f t="array" ref="Q463">IF(I463&gt;0,INDEX(DB,I463,9),EventIndex)</f>
        <v>6</v>
      </c>
      <c r="S463" s="442">
        <f t="array" ref="S463">INDEX(MINVALUES,$Q463,$K$1)</f>
        <v>5</v>
      </c>
      <c r="T463">
        <f t="array" ref="T463">INDEX(INCVALUES,$Q463,$K$1)</f>
        <v>0.5</v>
      </c>
      <c r="V463">
        <f t="array" ref="V463">+J463+(4*(INDEX(MatchScoreTable,$Q463,20)-1))</f>
        <v>4</v>
      </c>
      <c r="W463" s="442">
        <f t="array" ref="W463">INDEX(INC_MINVALUES,$V463,$K$1)</f>
        <v>2.5</v>
      </c>
      <c r="X463" s="212">
        <f t="array" ref="X463">INDEX(INC_INCVALUES,$V463,$K$1)</f>
        <v>0.5</v>
      </c>
    </row>
    <row r="464" ht="15.75" customHeight="1">
      <c r="A464" s="435"/>
      <c r="B464" s="436"/>
      <c r="C464" s="95" t="str">
        <f t="array" ref="C464">IF(I464&gt;0,INDEX(DB,I464,8),"")</f>
        <v/>
      </c>
      <c r="D464" s="437">
        <f t="shared" si="1"/>
        <v>0</v>
      </c>
      <c r="F464" s="438">
        <f t="shared" si="2"/>
        <v>0</v>
      </c>
      <c r="G464" t="str">
        <f t="shared" si="3"/>
        <v/>
      </c>
      <c r="H464" t="b">
        <f t="shared" si="4"/>
        <v>0</v>
      </c>
      <c r="I464" s="439">
        <f>IF(OR(ISBLANK(A464),ISNA(MATCH(A464&amp;"",AthleteNumbers,0))),0,MATCH(A464&amp;"",AthleteNumbers,0))</f>
        <v>0</v>
      </c>
      <c r="J464" s="209">
        <f t="array" ref="J464">IF(I464&gt;0,INDEX(DB,$I464,6),0)</f>
        <v>0</v>
      </c>
      <c r="K464" s="446">
        <f t="shared" si="5"/>
        <v>0</v>
      </c>
      <c r="L464" s="446">
        <f t="shared" si="6"/>
        <v>0</v>
      </c>
      <c r="M464" s="441">
        <f>IF(L464&lt;O464,MinPoints,IF(AND(L464&gt;N464,O464&gt;0),100,+INT(($L464-O464)/P464)+MinPoints))</f>
        <v>10</v>
      </c>
      <c r="N464" s="440">
        <f t="shared" si="7"/>
        <v>50</v>
      </c>
      <c r="O464" s="440">
        <f t="shared" si="8"/>
        <v>5</v>
      </c>
      <c r="P464" s="440">
        <f t="shared" si="9"/>
        <v>0.5</v>
      </c>
      <c r="Q464">
        <f t="array" ref="Q464">IF(I464&gt;0,INDEX(DB,I464,9),EventIndex)</f>
        <v>6</v>
      </c>
      <c r="S464" s="442">
        <f t="array" ref="S464">INDEX(MINVALUES,$Q464,$K$1)</f>
        <v>5</v>
      </c>
      <c r="T464">
        <f t="array" ref="T464">INDEX(INCVALUES,$Q464,$K$1)</f>
        <v>0.5</v>
      </c>
      <c r="V464">
        <f t="array" ref="V464">+J464+(4*(INDEX(MatchScoreTable,$Q464,20)-1))</f>
        <v>4</v>
      </c>
      <c r="W464" s="442">
        <f t="array" ref="W464">INDEX(INC_MINVALUES,$V464,$K$1)</f>
        <v>2.5</v>
      </c>
      <c r="X464" s="212">
        <f t="array" ref="X464">INDEX(INC_INCVALUES,$V464,$K$1)</f>
        <v>0.5</v>
      </c>
    </row>
    <row r="465" ht="15.75" customHeight="1">
      <c r="A465" s="435"/>
      <c r="B465" s="436"/>
      <c r="C465" s="95" t="str">
        <f t="array" ref="C465">IF(I465&gt;0,INDEX(DB,I465,8),"")</f>
        <v/>
      </c>
      <c r="D465" s="437">
        <f t="shared" si="1"/>
        <v>0</v>
      </c>
      <c r="F465" s="438">
        <f t="shared" si="2"/>
        <v>0</v>
      </c>
      <c r="G465" t="str">
        <f t="shared" si="3"/>
        <v/>
      </c>
      <c r="H465" t="b">
        <f t="shared" si="4"/>
        <v>0</v>
      </c>
      <c r="I465" s="439">
        <f>IF(OR(ISBLANK(A465),ISNA(MATCH(A465&amp;"",AthleteNumbers,0))),0,MATCH(A465&amp;"",AthleteNumbers,0))</f>
        <v>0</v>
      </c>
      <c r="J465" s="209">
        <f t="array" ref="J465">IF(I465&gt;0,INDEX(DB,$I465,6),0)</f>
        <v>0</v>
      </c>
      <c r="K465" s="446">
        <f t="shared" si="5"/>
        <v>0</v>
      </c>
      <c r="L465" s="446">
        <f t="shared" si="6"/>
        <v>0</v>
      </c>
      <c r="M465" s="441">
        <f>IF(L465&lt;O465,MinPoints,IF(AND(L465&gt;N465,O465&gt;0),100,+INT(($L465-O465)/P465)+MinPoints))</f>
        <v>10</v>
      </c>
      <c r="N465" s="440">
        <f t="shared" si="7"/>
        <v>50</v>
      </c>
      <c r="O465" s="440">
        <f t="shared" si="8"/>
        <v>5</v>
      </c>
      <c r="P465" s="440">
        <f t="shared" si="9"/>
        <v>0.5</v>
      </c>
      <c r="Q465">
        <f t="array" ref="Q465">IF(I465&gt;0,INDEX(DB,I465,9),EventIndex)</f>
        <v>6</v>
      </c>
      <c r="S465" s="442">
        <f t="array" ref="S465">INDEX(MINVALUES,$Q465,$K$1)</f>
        <v>5</v>
      </c>
      <c r="T465">
        <f t="array" ref="T465">INDEX(INCVALUES,$Q465,$K$1)</f>
        <v>0.5</v>
      </c>
      <c r="V465">
        <f t="array" ref="V465">+J465+(4*(INDEX(MatchScoreTable,$Q465,20)-1))</f>
        <v>4</v>
      </c>
      <c r="W465" s="442">
        <f t="array" ref="W465">INDEX(INC_MINVALUES,$V465,$K$1)</f>
        <v>2.5</v>
      </c>
      <c r="X465" s="212">
        <f t="array" ref="X465">INDEX(INC_INCVALUES,$V465,$K$1)</f>
        <v>0.5</v>
      </c>
    </row>
    <row r="466" ht="15.75" customHeight="1">
      <c r="A466" s="435"/>
      <c r="B466" s="436"/>
      <c r="C466" s="95" t="str">
        <f t="array" ref="C466">IF(I466&gt;0,INDEX(DB,I466,8),"")</f>
        <v/>
      </c>
      <c r="D466" s="437">
        <f t="shared" si="1"/>
        <v>0</v>
      </c>
      <c r="F466" s="438">
        <f t="shared" si="2"/>
        <v>0</v>
      </c>
      <c r="G466" t="str">
        <f t="shared" si="3"/>
        <v/>
      </c>
      <c r="H466" t="b">
        <f t="shared" si="4"/>
        <v>0</v>
      </c>
      <c r="I466" s="439">
        <f>IF(OR(ISBLANK(A466),ISNA(MATCH(A466&amp;"",AthleteNumbers,0))),0,MATCH(A466&amp;"",AthleteNumbers,0))</f>
        <v>0</v>
      </c>
      <c r="J466" s="209">
        <f t="array" ref="J466">IF(I466&gt;0,INDEX(DB,$I466,6),0)</f>
        <v>0</v>
      </c>
      <c r="K466" s="446">
        <f t="shared" si="5"/>
        <v>0</v>
      </c>
      <c r="L466" s="446">
        <f t="shared" si="6"/>
        <v>0</v>
      </c>
      <c r="M466" s="441">
        <f>IF(L466&lt;O466,MinPoints,IF(AND(L466&gt;N466,O466&gt;0),100,+INT(($L466-O466)/P466)+MinPoints))</f>
        <v>10</v>
      </c>
      <c r="N466" s="440">
        <f t="shared" si="7"/>
        <v>50</v>
      </c>
      <c r="O466" s="440">
        <f t="shared" si="8"/>
        <v>5</v>
      </c>
      <c r="P466" s="440">
        <f t="shared" si="9"/>
        <v>0.5</v>
      </c>
      <c r="Q466">
        <f t="array" ref="Q466">IF(I466&gt;0,INDEX(DB,I466,9),EventIndex)</f>
        <v>6</v>
      </c>
      <c r="S466" s="442">
        <f t="array" ref="S466">INDEX(MINVALUES,$Q466,$K$1)</f>
        <v>5</v>
      </c>
      <c r="T466">
        <f t="array" ref="T466">INDEX(INCVALUES,$Q466,$K$1)</f>
        <v>0.5</v>
      </c>
      <c r="V466">
        <f t="array" ref="V466">+J466+(4*(INDEX(MatchScoreTable,$Q466,20)-1))</f>
        <v>4</v>
      </c>
      <c r="W466" s="442">
        <f t="array" ref="W466">INDEX(INC_MINVALUES,$V466,$K$1)</f>
        <v>2.5</v>
      </c>
      <c r="X466" s="212">
        <f t="array" ref="X466">INDEX(INC_INCVALUES,$V466,$K$1)</f>
        <v>0.5</v>
      </c>
    </row>
    <row r="467" ht="15.75" customHeight="1">
      <c r="A467" s="435"/>
      <c r="B467" s="436"/>
      <c r="C467" s="95" t="str">
        <f t="array" ref="C467">IF(I467&gt;0,INDEX(DB,I467,8),"")</f>
        <v/>
      </c>
      <c r="D467" s="437">
        <f t="shared" si="1"/>
        <v>0</v>
      </c>
      <c r="F467" s="438">
        <f t="shared" si="2"/>
        <v>0</v>
      </c>
      <c r="G467" t="str">
        <f t="shared" si="3"/>
        <v/>
      </c>
      <c r="H467" t="b">
        <f t="shared" si="4"/>
        <v>0</v>
      </c>
      <c r="I467" s="439">
        <f>IF(OR(ISBLANK(A467),ISNA(MATCH(A467&amp;"",AthleteNumbers,0))),0,MATCH(A467&amp;"",AthleteNumbers,0))</f>
        <v>0</v>
      </c>
      <c r="J467" s="209">
        <f t="array" ref="J467">IF(I467&gt;0,INDEX(DB,$I467,6),0)</f>
        <v>0</v>
      </c>
      <c r="K467" s="446">
        <f t="shared" si="5"/>
        <v>0</v>
      </c>
      <c r="L467" s="446">
        <f t="shared" si="6"/>
        <v>0</v>
      </c>
      <c r="M467" s="441">
        <f>IF(L467&lt;O467,MinPoints,IF(AND(L467&gt;N467,O467&gt;0),100,+INT(($L467-O467)/P467)+MinPoints))</f>
        <v>10</v>
      </c>
      <c r="N467" s="440">
        <f t="shared" si="7"/>
        <v>50</v>
      </c>
      <c r="O467" s="440">
        <f t="shared" si="8"/>
        <v>5</v>
      </c>
      <c r="P467" s="440">
        <f t="shared" si="9"/>
        <v>0.5</v>
      </c>
      <c r="Q467">
        <f t="array" ref="Q467">IF(I467&gt;0,INDEX(DB,I467,9),EventIndex)</f>
        <v>6</v>
      </c>
      <c r="S467" s="442">
        <f t="array" ref="S467">INDEX(MINVALUES,$Q467,$K$1)</f>
        <v>5</v>
      </c>
      <c r="T467">
        <f t="array" ref="T467">INDEX(INCVALUES,$Q467,$K$1)</f>
        <v>0.5</v>
      </c>
      <c r="V467">
        <f t="array" ref="V467">+J467+(4*(INDEX(MatchScoreTable,$Q467,20)-1))</f>
        <v>4</v>
      </c>
      <c r="W467" s="442">
        <f t="array" ref="W467">INDEX(INC_MINVALUES,$V467,$K$1)</f>
        <v>2.5</v>
      </c>
      <c r="X467" s="212">
        <f t="array" ref="X467">INDEX(INC_INCVALUES,$V467,$K$1)</f>
        <v>0.5</v>
      </c>
    </row>
    <row r="468" ht="15.75" customHeight="1">
      <c r="A468" s="435"/>
      <c r="B468" s="436"/>
      <c r="C468" s="95" t="str">
        <f t="array" ref="C468">IF(I468&gt;0,INDEX(DB,I468,8),"")</f>
        <v/>
      </c>
      <c r="D468" s="437">
        <f t="shared" si="1"/>
        <v>0</v>
      </c>
      <c r="F468" s="438">
        <f t="shared" si="2"/>
        <v>0</v>
      </c>
      <c r="G468" t="str">
        <f t="shared" si="3"/>
        <v/>
      </c>
      <c r="H468" t="b">
        <f t="shared" si="4"/>
        <v>0</v>
      </c>
      <c r="I468" s="439">
        <f>IF(OR(ISBLANK(A468),ISNA(MATCH(A468&amp;"",AthleteNumbers,0))),0,MATCH(A468&amp;"",AthleteNumbers,0))</f>
        <v>0</v>
      </c>
      <c r="J468" s="209">
        <f t="array" ref="J468">IF(I468&gt;0,INDEX(DB,$I468,6),0)</f>
        <v>0</v>
      </c>
      <c r="K468" s="446">
        <f t="shared" si="5"/>
        <v>0</v>
      </c>
      <c r="L468" s="446">
        <f t="shared" si="6"/>
        <v>0</v>
      </c>
      <c r="M468" s="441">
        <f>IF(L468&lt;O468,MinPoints,IF(AND(L468&gt;N468,O468&gt;0),100,+INT(($L468-O468)/P468)+MinPoints))</f>
        <v>10</v>
      </c>
      <c r="N468" s="440">
        <f t="shared" si="7"/>
        <v>50</v>
      </c>
      <c r="O468" s="440">
        <f t="shared" si="8"/>
        <v>5</v>
      </c>
      <c r="P468" s="440">
        <f t="shared" si="9"/>
        <v>0.5</v>
      </c>
      <c r="Q468">
        <f t="array" ref="Q468">IF(I468&gt;0,INDEX(DB,I468,9),EventIndex)</f>
        <v>6</v>
      </c>
      <c r="S468" s="442">
        <f t="array" ref="S468">INDEX(MINVALUES,$Q468,$K$1)</f>
        <v>5</v>
      </c>
      <c r="T468">
        <f t="array" ref="T468">INDEX(INCVALUES,$Q468,$K$1)</f>
        <v>0.5</v>
      </c>
      <c r="V468">
        <f t="array" ref="V468">+J468+(4*(INDEX(MatchScoreTable,$Q468,20)-1))</f>
        <v>4</v>
      </c>
      <c r="W468" s="442">
        <f t="array" ref="W468">INDEX(INC_MINVALUES,$V468,$K$1)</f>
        <v>2.5</v>
      </c>
      <c r="X468" s="212">
        <f t="array" ref="X468">INDEX(INC_INCVALUES,$V468,$K$1)</f>
        <v>0.5</v>
      </c>
    </row>
    <row r="469" ht="15.75" customHeight="1">
      <c r="A469" s="435"/>
      <c r="B469" s="436"/>
      <c r="C469" s="95" t="str">
        <f t="array" ref="C469">IF(I469&gt;0,INDEX(DB,I469,8),"")</f>
        <v/>
      </c>
      <c r="D469" s="437">
        <f t="shared" si="1"/>
        <v>0</v>
      </c>
      <c r="F469" s="438">
        <f t="shared" si="2"/>
        <v>0</v>
      </c>
      <c r="G469" t="str">
        <f t="shared" si="3"/>
        <v/>
      </c>
      <c r="H469" t="b">
        <f t="shared" si="4"/>
        <v>0</v>
      </c>
      <c r="I469" s="439">
        <f>IF(OR(ISBLANK(A469),ISNA(MATCH(A469&amp;"",AthleteNumbers,0))),0,MATCH(A469&amp;"",AthleteNumbers,0))</f>
        <v>0</v>
      </c>
      <c r="J469" s="209">
        <f t="array" ref="J469">IF(I469&gt;0,INDEX(DB,$I469,6),0)</f>
        <v>0</v>
      </c>
      <c r="K469" s="446">
        <f t="shared" si="5"/>
        <v>0</v>
      </c>
      <c r="L469" s="446">
        <f t="shared" si="6"/>
        <v>0</v>
      </c>
      <c r="M469" s="441">
        <f>IF(L469&lt;O469,MinPoints,IF(AND(L469&gt;N469,O469&gt;0),100,+INT(($L469-O469)/P469)+MinPoints))</f>
        <v>10</v>
      </c>
      <c r="N469" s="440">
        <f t="shared" si="7"/>
        <v>50</v>
      </c>
      <c r="O469" s="440">
        <f t="shared" si="8"/>
        <v>5</v>
      </c>
      <c r="P469" s="440">
        <f t="shared" si="9"/>
        <v>0.5</v>
      </c>
      <c r="Q469">
        <f t="array" ref="Q469">IF(I469&gt;0,INDEX(DB,I469,9),EventIndex)</f>
        <v>6</v>
      </c>
      <c r="S469" s="442">
        <f t="array" ref="S469">INDEX(MINVALUES,$Q469,$K$1)</f>
        <v>5</v>
      </c>
      <c r="T469">
        <f t="array" ref="T469">INDEX(INCVALUES,$Q469,$K$1)</f>
        <v>0.5</v>
      </c>
      <c r="V469">
        <f t="array" ref="V469">+J469+(4*(INDEX(MatchScoreTable,$Q469,20)-1))</f>
        <v>4</v>
      </c>
      <c r="W469" s="442">
        <f t="array" ref="W469">INDEX(INC_MINVALUES,$V469,$K$1)</f>
        <v>2.5</v>
      </c>
      <c r="X469" s="212">
        <f t="array" ref="X469">INDEX(INC_INCVALUES,$V469,$K$1)</f>
        <v>0.5</v>
      </c>
    </row>
    <row r="470" ht="15.75" customHeight="1">
      <c r="A470" s="435"/>
      <c r="B470" s="436"/>
      <c r="C470" s="95" t="str">
        <f t="array" ref="C470">IF(I470&gt;0,INDEX(DB,I470,8),"")</f>
        <v/>
      </c>
      <c r="D470" s="437">
        <f t="shared" si="1"/>
        <v>0</v>
      </c>
      <c r="F470" s="438">
        <f t="shared" si="2"/>
        <v>0</v>
      </c>
      <c r="G470" t="str">
        <f t="shared" si="3"/>
        <v/>
      </c>
      <c r="H470" t="b">
        <f t="shared" si="4"/>
        <v>0</v>
      </c>
      <c r="I470" s="439">
        <f>IF(OR(ISBLANK(A470),ISNA(MATCH(A470&amp;"",AthleteNumbers,0))),0,MATCH(A470&amp;"",AthleteNumbers,0))</f>
        <v>0</v>
      </c>
      <c r="J470" s="209">
        <f t="array" ref="J470">IF(I470&gt;0,INDEX(DB,$I470,6),0)</f>
        <v>0</v>
      </c>
      <c r="K470" s="446">
        <f t="shared" si="5"/>
        <v>0</v>
      </c>
      <c r="L470" s="446">
        <f t="shared" si="6"/>
        <v>0</v>
      </c>
      <c r="M470" s="441">
        <f>IF(L470&lt;O470,MinPoints,IF(AND(L470&gt;N470,O470&gt;0),100,+INT(($L470-O470)/P470)+MinPoints))</f>
        <v>10</v>
      </c>
      <c r="N470" s="440">
        <f t="shared" si="7"/>
        <v>50</v>
      </c>
      <c r="O470" s="440">
        <f t="shared" si="8"/>
        <v>5</v>
      </c>
      <c r="P470" s="440">
        <f t="shared" si="9"/>
        <v>0.5</v>
      </c>
      <c r="Q470">
        <f t="array" ref="Q470">IF(I470&gt;0,INDEX(DB,I470,9),EventIndex)</f>
        <v>6</v>
      </c>
      <c r="S470" s="442">
        <f t="array" ref="S470">INDEX(MINVALUES,$Q470,$K$1)</f>
        <v>5</v>
      </c>
      <c r="T470">
        <f t="array" ref="T470">INDEX(INCVALUES,$Q470,$K$1)</f>
        <v>0.5</v>
      </c>
      <c r="V470">
        <f t="array" ref="V470">+J470+(4*(INDEX(MatchScoreTable,$Q470,20)-1))</f>
        <v>4</v>
      </c>
      <c r="W470" s="442">
        <f t="array" ref="W470">INDEX(INC_MINVALUES,$V470,$K$1)</f>
        <v>2.5</v>
      </c>
      <c r="X470" s="212">
        <f t="array" ref="X470">INDEX(INC_INCVALUES,$V470,$K$1)</f>
        <v>0.5</v>
      </c>
    </row>
    <row r="471" ht="15.75" customHeight="1">
      <c r="A471" s="435"/>
      <c r="B471" s="436"/>
      <c r="C471" s="95" t="str">
        <f t="array" ref="C471">IF(I471&gt;0,INDEX(DB,I471,8),"")</f>
        <v/>
      </c>
      <c r="D471" s="437">
        <f t="shared" si="1"/>
        <v>0</v>
      </c>
      <c r="F471" s="438">
        <f t="shared" si="2"/>
        <v>0</v>
      </c>
      <c r="G471" t="str">
        <f t="shared" si="3"/>
        <v/>
      </c>
      <c r="H471" t="b">
        <f t="shared" si="4"/>
        <v>0</v>
      </c>
      <c r="I471" s="439">
        <f>IF(OR(ISBLANK(A471),ISNA(MATCH(A471&amp;"",AthleteNumbers,0))),0,MATCH(A471&amp;"",AthleteNumbers,0))</f>
        <v>0</v>
      </c>
      <c r="J471" s="209">
        <f t="array" ref="J471">IF(I471&gt;0,INDEX(DB,$I471,6),0)</f>
        <v>0</v>
      </c>
      <c r="K471" s="446">
        <f t="shared" si="5"/>
        <v>0</v>
      </c>
      <c r="L471" s="446">
        <f t="shared" si="6"/>
        <v>0</v>
      </c>
      <c r="M471" s="441">
        <f>IF(L471&lt;O471,MinPoints,IF(AND(L471&gt;N471,O471&gt;0),100,+INT(($L471-O471)/P471)+MinPoints))</f>
        <v>10</v>
      </c>
      <c r="N471" s="440">
        <f t="shared" si="7"/>
        <v>50</v>
      </c>
      <c r="O471" s="440">
        <f t="shared" si="8"/>
        <v>5</v>
      </c>
      <c r="P471" s="440">
        <f t="shared" si="9"/>
        <v>0.5</v>
      </c>
      <c r="Q471">
        <f t="array" ref="Q471">IF(I471&gt;0,INDEX(DB,I471,9),EventIndex)</f>
        <v>6</v>
      </c>
      <c r="S471" s="442">
        <f t="array" ref="S471">INDEX(MINVALUES,$Q471,$K$1)</f>
        <v>5</v>
      </c>
      <c r="T471">
        <f t="array" ref="T471">INDEX(INCVALUES,$Q471,$K$1)</f>
        <v>0.5</v>
      </c>
      <c r="V471">
        <f t="array" ref="V471">+J471+(4*(INDEX(MatchScoreTable,$Q471,20)-1))</f>
        <v>4</v>
      </c>
      <c r="W471" s="442">
        <f t="array" ref="W471">INDEX(INC_MINVALUES,$V471,$K$1)</f>
        <v>2.5</v>
      </c>
      <c r="X471" s="212">
        <f t="array" ref="X471">INDEX(INC_INCVALUES,$V471,$K$1)</f>
        <v>0.5</v>
      </c>
    </row>
    <row r="472" ht="15.75" customHeight="1">
      <c r="A472" s="435"/>
      <c r="B472" s="436"/>
      <c r="C472" s="95" t="str">
        <f t="array" ref="C472">IF(I472&gt;0,INDEX(DB,I472,8),"")</f>
        <v/>
      </c>
      <c r="D472" s="437">
        <f t="shared" si="1"/>
        <v>0</v>
      </c>
      <c r="F472" s="438">
        <f t="shared" si="2"/>
        <v>0</v>
      </c>
      <c r="G472" t="str">
        <f t="shared" si="3"/>
        <v/>
      </c>
      <c r="H472" t="b">
        <f t="shared" si="4"/>
        <v>0</v>
      </c>
      <c r="I472" s="439">
        <f>IF(OR(ISBLANK(A472),ISNA(MATCH(A472&amp;"",AthleteNumbers,0))),0,MATCH(A472&amp;"",AthleteNumbers,0))</f>
        <v>0</v>
      </c>
      <c r="J472" s="209">
        <f t="array" ref="J472">IF(I472&gt;0,INDEX(DB,$I472,6),0)</f>
        <v>0</v>
      </c>
      <c r="K472" s="446">
        <f t="shared" si="5"/>
        <v>0</v>
      </c>
      <c r="L472" s="446">
        <f t="shared" si="6"/>
        <v>0</v>
      </c>
      <c r="M472" s="441">
        <f>IF(L472&lt;O472,MinPoints,IF(AND(L472&gt;N472,O472&gt;0),100,+INT(($L472-O472)/P472)+MinPoints))</f>
        <v>10</v>
      </c>
      <c r="N472" s="440">
        <f t="shared" si="7"/>
        <v>50</v>
      </c>
      <c r="O472" s="440">
        <f t="shared" si="8"/>
        <v>5</v>
      </c>
      <c r="P472" s="440">
        <f t="shared" si="9"/>
        <v>0.5</v>
      </c>
      <c r="Q472">
        <f t="array" ref="Q472">IF(I472&gt;0,INDEX(DB,I472,9),EventIndex)</f>
        <v>6</v>
      </c>
      <c r="S472" s="442">
        <f t="array" ref="S472">INDEX(MINVALUES,$Q472,$K$1)</f>
        <v>5</v>
      </c>
      <c r="T472">
        <f t="array" ref="T472">INDEX(INCVALUES,$Q472,$K$1)</f>
        <v>0.5</v>
      </c>
      <c r="V472">
        <f t="array" ref="V472">+J472+(4*(INDEX(MatchScoreTable,$Q472,20)-1))</f>
        <v>4</v>
      </c>
      <c r="W472" s="442">
        <f t="array" ref="W472">INDEX(INC_MINVALUES,$V472,$K$1)</f>
        <v>2.5</v>
      </c>
      <c r="X472" s="212">
        <f t="array" ref="X472">INDEX(INC_INCVALUES,$V472,$K$1)</f>
        <v>0.5</v>
      </c>
    </row>
    <row r="473" ht="15.75" customHeight="1">
      <c r="A473" s="435"/>
      <c r="B473" s="436"/>
      <c r="C473" s="95" t="str">
        <f t="array" ref="C473">IF(I473&gt;0,INDEX(DB,I473,8),"")</f>
        <v/>
      </c>
      <c r="D473" s="437">
        <f t="shared" si="1"/>
        <v>0</v>
      </c>
      <c r="F473" s="438">
        <f t="shared" si="2"/>
        <v>0</v>
      </c>
      <c r="G473" t="str">
        <f t="shared" si="3"/>
        <v/>
      </c>
      <c r="H473" t="b">
        <f t="shared" si="4"/>
        <v>0</v>
      </c>
      <c r="I473" s="439">
        <f>IF(OR(ISBLANK(A473),ISNA(MATCH(A473&amp;"",AthleteNumbers,0))),0,MATCH(A473&amp;"",AthleteNumbers,0))</f>
        <v>0</v>
      </c>
      <c r="J473" s="209">
        <f t="array" ref="J473">IF(I473&gt;0,INDEX(DB,$I473,6),0)</f>
        <v>0</v>
      </c>
      <c r="K473" s="446">
        <f t="shared" si="5"/>
        <v>0</v>
      </c>
      <c r="L473" s="446">
        <f t="shared" si="6"/>
        <v>0</v>
      </c>
      <c r="M473" s="441">
        <f>IF(L473&lt;O473,MinPoints,IF(AND(L473&gt;N473,O473&gt;0),100,+INT(($L473-O473)/P473)+MinPoints))</f>
        <v>10</v>
      </c>
      <c r="N473" s="440">
        <f t="shared" si="7"/>
        <v>50</v>
      </c>
      <c r="O473" s="440">
        <f t="shared" si="8"/>
        <v>5</v>
      </c>
      <c r="P473" s="440">
        <f t="shared" si="9"/>
        <v>0.5</v>
      </c>
      <c r="Q473">
        <f t="array" ref="Q473">IF(I473&gt;0,INDEX(DB,I473,9),EventIndex)</f>
        <v>6</v>
      </c>
      <c r="S473" s="442">
        <f t="array" ref="S473">INDEX(MINVALUES,$Q473,$K$1)</f>
        <v>5</v>
      </c>
      <c r="T473">
        <f t="array" ref="T473">INDEX(INCVALUES,$Q473,$K$1)</f>
        <v>0.5</v>
      </c>
      <c r="V473">
        <f t="array" ref="V473">+J473+(4*(INDEX(MatchScoreTable,$Q473,20)-1))</f>
        <v>4</v>
      </c>
      <c r="W473" s="442">
        <f t="array" ref="W473">INDEX(INC_MINVALUES,$V473,$K$1)</f>
        <v>2.5</v>
      </c>
      <c r="X473" s="212">
        <f t="array" ref="X473">INDEX(INC_INCVALUES,$V473,$K$1)</f>
        <v>0.5</v>
      </c>
    </row>
    <row r="474" ht="15.75" customHeight="1">
      <c r="A474" s="435"/>
      <c r="B474" s="436"/>
      <c r="C474" s="95" t="str">
        <f t="array" ref="C474">IF(I474&gt;0,INDEX(DB,I474,8),"")</f>
        <v/>
      </c>
      <c r="D474" s="437">
        <f t="shared" si="1"/>
        <v>0</v>
      </c>
      <c r="F474" s="438">
        <f t="shared" si="2"/>
        <v>0</v>
      </c>
      <c r="G474" t="str">
        <f t="shared" si="3"/>
        <v/>
      </c>
      <c r="H474" t="b">
        <f t="shared" si="4"/>
        <v>0</v>
      </c>
      <c r="I474" s="439">
        <f>IF(OR(ISBLANK(A474),ISNA(MATCH(A474&amp;"",AthleteNumbers,0))),0,MATCH(A474&amp;"",AthleteNumbers,0))</f>
        <v>0</v>
      </c>
      <c r="J474" s="209">
        <f t="array" ref="J474">IF(I474&gt;0,INDEX(DB,$I474,6),0)</f>
        <v>0</v>
      </c>
      <c r="K474" s="446">
        <f t="shared" si="5"/>
        <v>0</v>
      </c>
      <c r="L474" s="446">
        <f t="shared" si="6"/>
        <v>0</v>
      </c>
      <c r="M474" s="441">
        <f>IF(L474&lt;O474,MinPoints,IF(AND(L474&gt;N474,O474&gt;0),100,+INT(($L474-O474)/P474)+MinPoints))</f>
        <v>10</v>
      </c>
      <c r="N474" s="440">
        <f t="shared" si="7"/>
        <v>50</v>
      </c>
      <c r="O474" s="440">
        <f t="shared" si="8"/>
        <v>5</v>
      </c>
      <c r="P474" s="440">
        <f t="shared" si="9"/>
        <v>0.5</v>
      </c>
      <c r="Q474">
        <f t="array" ref="Q474">IF(I474&gt;0,INDEX(DB,I474,9),EventIndex)</f>
        <v>6</v>
      </c>
      <c r="S474" s="442">
        <f t="array" ref="S474">INDEX(MINVALUES,$Q474,$K$1)</f>
        <v>5</v>
      </c>
      <c r="T474">
        <f t="array" ref="T474">INDEX(INCVALUES,$Q474,$K$1)</f>
        <v>0.5</v>
      </c>
      <c r="V474">
        <f t="array" ref="V474">+J474+(4*(INDEX(MatchScoreTable,$Q474,20)-1))</f>
        <v>4</v>
      </c>
      <c r="W474" s="442">
        <f t="array" ref="W474">INDEX(INC_MINVALUES,$V474,$K$1)</f>
        <v>2.5</v>
      </c>
      <c r="X474" s="212">
        <f t="array" ref="X474">INDEX(INC_INCVALUES,$V474,$K$1)</f>
        <v>0.5</v>
      </c>
    </row>
    <row r="475" ht="15.75" customHeight="1">
      <c r="A475" s="435"/>
      <c r="B475" s="436"/>
      <c r="C475" s="95" t="str">
        <f t="array" ref="C475">IF(I475&gt;0,INDEX(DB,I475,8),"")</f>
        <v/>
      </c>
      <c r="D475" s="437">
        <f t="shared" si="1"/>
        <v>0</v>
      </c>
      <c r="F475" s="438">
        <f t="shared" si="2"/>
        <v>0</v>
      </c>
      <c r="G475" t="str">
        <f t="shared" si="3"/>
        <v/>
      </c>
      <c r="H475" t="b">
        <f t="shared" si="4"/>
        <v>0</v>
      </c>
      <c r="I475" s="439">
        <f>IF(OR(ISBLANK(A475),ISNA(MATCH(A475&amp;"",AthleteNumbers,0))),0,MATCH(A475&amp;"",AthleteNumbers,0))</f>
        <v>0</v>
      </c>
      <c r="J475" s="209">
        <f t="array" ref="J475">IF(I475&gt;0,INDEX(DB,$I475,6),0)</f>
        <v>0</v>
      </c>
      <c r="K475" s="446">
        <f t="shared" si="5"/>
        <v>0</v>
      </c>
      <c r="L475" s="446">
        <f t="shared" si="6"/>
        <v>0</v>
      </c>
      <c r="M475" s="441">
        <f>IF(L475&lt;O475,MinPoints,IF(AND(L475&gt;N475,O475&gt;0),100,+INT(($L475-O475)/P475)+MinPoints))</f>
        <v>10</v>
      </c>
      <c r="N475" s="440">
        <f t="shared" si="7"/>
        <v>50</v>
      </c>
      <c r="O475" s="440">
        <f t="shared" si="8"/>
        <v>5</v>
      </c>
      <c r="P475" s="440">
        <f t="shared" si="9"/>
        <v>0.5</v>
      </c>
      <c r="Q475">
        <f t="array" ref="Q475">IF(I475&gt;0,INDEX(DB,I475,9),EventIndex)</f>
        <v>6</v>
      </c>
      <c r="S475" s="442">
        <f t="array" ref="S475">INDEX(MINVALUES,$Q475,$K$1)</f>
        <v>5</v>
      </c>
      <c r="T475">
        <f t="array" ref="T475">INDEX(INCVALUES,$Q475,$K$1)</f>
        <v>0.5</v>
      </c>
      <c r="V475">
        <f t="array" ref="V475">+J475+(4*(INDEX(MatchScoreTable,$Q475,20)-1))</f>
        <v>4</v>
      </c>
      <c r="W475" s="442">
        <f t="array" ref="W475">INDEX(INC_MINVALUES,$V475,$K$1)</f>
        <v>2.5</v>
      </c>
      <c r="X475" s="212">
        <f t="array" ref="X475">INDEX(INC_INCVALUES,$V475,$K$1)</f>
        <v>0.5</v>
      </c>
    </row>
    <row r="476" ht="15.75" customHeight="1">
      <c r="A476" s="435"/>
      <c r="B476" s="436"/>
      <c r="C476" s="95" t="str">
        <f t="array" ref="C476">IF(I476&gt;0,INDEX(DB,I476,8),"")</f>
        <v/>
      </c>
      <c r="D476" s="437">
        <f t="shared" si="1"/>
        <v>0</v>
      </c>
      <c r="F476" s="438">
        <f t="shared" si="2"/>
        <v>0</v>
      </c>
      <c r="G476" t="str">
        <f t="shared" si="3"/>
        <v/>
      </c>
      <c r="H476" t="b">
        <f t="shared" si="4"/>
        <v>0</v>
      </c>
      <c r="I476" s="439">
        <f>IF(OR(ISBLANK(A476),ISNA(MATCH(A476&amp;"",AthleteNumbers,0))),0,MATCH(A476&amp;"",AthleteNumbers,0))</f>
        <v>0</v>
      </c>
      <c r="J476" s="209">
        <f t="array" ref="J476">IF(I476&gt;0,INDEX(DB,$I476,6),0)</f>
        <v>0</v>
      </c>
      <c r="K476" s="446">
        <f t="shared" si="5"/>
        <v>0</v>
      </c>
      <c r="L476" s="446">
        <f t="shared" si="6"/>
        <v>0</v>
      </c>
      <c r="M476" s="441">
        <f>IF(L476&lt;O476,MinPoints,IF(AND(L476&gt;N476,O476&gt;0),100,+INT(($L476-O476)/P476)+MinPoints))</f>
        <v>10</v>
      </c>
      <c r="N476" s="440">
        <f t="shared" si="7"/>
        <v>50</v>
      </c>
      <c r="O476" s="440">
        <f t="shared" si="8"/>
        <v>5</v>
      </c>
      <c r="P476" s="440">
        <f t="shared" si="9"/>
        <v>0.5</v>
      </c>
      <c r="Q476">
        <f t="array" ref="Q476">IF(I476&gt;0,INDEX(DB,I476,9),EventIndex)</f>
        <v>6</v>
      </c>
      <c r="S476" s="442">
        <f t="array" ref="S476">INDEX(MINVALUES,$Q476,$K$1)</f>
        <v>5</v>
      </c>
      <c r="T476">
        <f t="array" ref="T476">INDEX(INCVALUES,$Q476,$K$1)</f>
        <v>0.5</v>
      </c>
      <c r="V476">
        <f t="array" ref="V476">+J476+(4*(INDEX(MatchScoreTable,$Q476,20)-1))</f>
        <v>4</v>
      </c>
      <c r="W476" s="442">
        <f t="array" ref="W476">INDEX(INC_MINVALUES,$V476,$K$1)</f>
        <v>2.5</v>
      </c>
      <c r="X476" s="212">
        <f t="array" ref="X476">INDEX(INC_INCVALUES,$V476,$K$1)</f>
        <v>0.5</v>
      </c>
    </row>
    <row r="477" ht="15.75" customHeight="1">
      <c r="A477" s="435"/>
      <c r="B477" s="436"/>
      <c r="C477" s="95" t="str">
        <f t="array" ref="C477">IF(I477&gt;0,INDEX(DB,I477,8),"")</f>
        <v/>
      </c>
      <c r="D477" s="437">
        <f t="shared" si="1"/>
        <v>0</v>
      </c>
      <c r="F477" s="438">
        <f t="shared" si="2"/>
        <v>0</v>
      </c>
      <c r="G477" t="str">
        <f t="shared" si="3"/>
        <v/>
      </c>
      <c r="H477" t="b">
        <f t="shared" si="4"/>
        <v>0</v>
      </c>
      <c r="I477" s="439">
        <f>IF(OR(ISBLANK(A477),ISNA(MATCH(A477&amp;"",AthleteNumbers,0))),0,MATCH(A477&amp;"",AthleteNumbers,0))</f>
        <v>0</v>
      </c>
      <c r="J477" s="209">
        <f t="array" ref="J477">IF(I477&gt;0,INDEX(DB,$I477,6),0)</f>
        <v>0</v>
      </c>
      <c r="K477" s="446">
        <f t="shared" si="5"/>
        <v>0</v>
      </c>
      <c r="L477" s="446">
        <f t="shared" si="6"/>
        <v>0</v>
      </c>
      <c r="M477" s="441">
        <f>IF(L477&lt;O477,MinPoints,IF(AND(L477&gt;N477,O477&gt;0),100,+INT(($L477-O477)/P477)+MinPoints))</f>
        <v>10</v>
      </c>
      <c r="N477" s="440">
        <f t="shared" si="7"/>
        <v>50</v>
      </c>
      <c r="O477" s="440">
        <f t="shared" si="8"/>
        <v>5</v>
      </c>
      <c r="P477" s="440">
        <f t="shared" si="9"/>
        <v>0.5</v>
      </c>
      <c r="Q477">
        <f t="array" ref="Q477">IF(I477&gt;0,INDEX(DB,I477,9),EventIndex)</f>
        <v>6</v>
      </c>
      <c r="S477" s="442">
        <f t="array" ref="S477">INDEX(MINVALUES,$Q477,$K$1)</f>
        <v>5</v>
      </c>
      <c r="T477">
        <f t="array" ref="T477">INDEX(INCVALUES,$Q477,$K$1)</f>
        <v>0.5</v>
      </c>
      <c r="V477">
        <f t="array" ref="V477">+J477+(4*(INDEX(MatchScoreTable,$Q477,20)-1))</f>
        <v>4</v>
      </c>
      <c r="W477" s="442">
        <f t="array" ref="W477">INDEX(INC_MINVALUES,$V477,$K$1)</f>
        <v>2.5</v>
      </c>
      <c r="X477" s="212">
        <f t="array" ref="X477">INDEX(INC_INCVALUES,$V477,$K$1)</f>
        <v>0.5</v>
      </c>
    </row>
    <row r="478" ht="15.75" customHeight="1">
      <c r="A478" s="435"/>
      <c r="B478" s="436"/>
      <c r="C478" s="95" t="str">
        <f t="array" ref="C478">IF(I478&gt;0,INDEX(DB,I478,8),"")</f>
        <v/>
      </c>
      <c r="D478" s="437">
        <f t="shared" si="1"/>
        <v>0</v>
      </c>
      <c r="F478" s="438">
        <f t="shared" si="2"/>
        <v>0</v>
      </c>
      <c r="G478" t="str">
        <f t="shared" si="3"/>
        <v/>
      </c>
      <c r="H478" t="b">
        <f t="shared" si="4"/>
        <v>0</v>
      </c>
      <c r="I478" s="439">
        <f>IF(OR(ISBLANK(A478),ISNA(MATCH(A478&amp;"",AthleteNumbers,0))),0,MATCH(A478&amp;"",AthleteNumbers,0))</f>
        <v>0</v>
      </c>
      <c r="J478" s="209">
        <f t="array" ref="J478">IF(I478&gt;0,INDEX(DB,$I478,6),0)</f>
        <v>0</v>
      </c>
      <c r="K478" s="446">
        <f t="shared" si="5"/>
        <v>0</v>
      </c>
      <c r="L478" s="446">
        <f t="shared" si="6"/>
        <v>0</v>
      </c>
      <c r="M478" s="441">
        <f>IF(L478&lt;O478,MinPoints,IF(AND(L478&gt;N478,O478&gt;0),100,+INT(($L478-O478)/P478)+MinPoints))</f>
        <v>10</v>
      </c>
      <c r="N478" s="440">
        <f t="shared" si="7"/>
        <v>50</v>
      </c>
      <c r="O478" s="440">
        <f t="shared" si="8"/>
        <v>5</v>
      </c>
      <c r="P478" s="440">
        <f t="shared" si="9"/>
        <v>0.5</v>
      </c>
      <c r="Q478">
        <f t="array" ref="Q478">IF(I478&gt;0,INDEX(DB,I478,9),EventIndex)</f>
        <v>6</v>
      </c>
      <c r="S478" s="442">
        <f t="array" ref="S478">INDEX(MINVALUES,$Q478,$K$1)</f>
        <v>5</v>
      </c>
      <c r="T478">
        <f t="array" ref="T478">INDEX(INCVALUES,$Q478,$K$1)</f>
        <v>0.5</v>
      </c>
      <c r="V478">
        <f t="array" ref="V478">+J478+(4*(INDEX(MatchScoreTable,$Q478,20)-1))</f>
        <v>4</v>
      </c>
      <c r="W478" s="442">
        <f t="array" ref="W478">INDEX(INC_MINVALUES,$V478,$K$1)</f>
        <v>2.5</v>
      </c>
      <c r="X478" s="212">
        <f t="array" ref="X478">INDEX(INC_INCVALUES,$V478,$K$1)</f>
        <v>0.5</v>
      </c>
    </row>
    <row r="479" ht="15.75" customHeight="1">
      <c r="A479" s="435"/>
      <c r="B479" s="436"/>
      <c r="C479" s="95" t="str">
        <f t="array" ref="C479">IF(I479&gt;0,INDEX(DB,I479,8),"")</f>
        <v/>
      </c>
      <c r="D479" s="437">
        <f t="shared" si="1"/>
        <v>0</v>
      </c>
      <c r="F479" s="438">
        <f t="shared" si="2"/>
        <v>0</v>
      </c>
      <c r="G479" t="str">
        <f t="shared" si="3"/>
        <v/>
      </c>
      <c r="H479" t="b">
        <f t="shared" si="4"/>
        <v>0</v>
      </c>
      <c r="I479" s="439">
        <f>IF(OR(ISBLANK(A479),ISNA(MATCH(A479&amp;"",AthleteNumbers,0))),0,MATCH(A479&amp;"",AthleteNumbers,0))</f>
        <v>0</v>
      </c>
      <c r="J479" s="209">
        <f t="array" ref="J479">IF(I479&gt;0,INDEX(DB,$I479,6),0)</f>
        <v>0</v>
      </c>
      <c r="K479" s="446">
        <f t="shared" si="5"/>
        <v>0</v>
      </c>
      <c r="L479" s="446">
        <f t="shared" si="6"/>
        <v>0</v>
      </c>
      <c r="M479" s="441">
        <f>IF(L479&lt;O479,MinPoints,IF(AND(L479&gt;N479,O479&gt;0),100,+INT(($L479-O479)/P479)+MinPoints))</f>
        <v>10</v>
      </c>
      <c r="N479" s="440">
        <f t="shared" si="7"/>
        <v>50</v>
      </c>
      <c r="O479" s="440">
        <f t="shared" si="8"/>
        <v>5</v>
      </c>
      <c r="P479" s="440">
        <f t="shared" si="9"/>
        <v>0.5</v>
      </c>
      <c r="Q479">
        <f t="array" ref="Q479">IF(I479&gt;0,INDEX(DB,I479,9),EventIndex)</f>
        <v>6</v>
      </c>
      <c r="S479" s="442">
        <f t="array" ref="S479">INDEX(MINVALUES,$Q479,$K$1)</f>
        <v>5</v>
      </c>
      <c r="T479">
        <f t="array" ref="T479">INDEX(INCVALUES,$Q479,$K$1)</f>
        <v>0.5</v>
      </c>
      <c r="V479">
        <f t="array" ref="V479">+J479+(4*(INDEX(MatchScoreTable,$Q479,20)-1))</f>
        <v>4</v>
      </c>
      <c r="W479" s="442">
        <f t="array" ref="W479">INDEX(INC_MINVALUES,$V479,$K$1)</f>
        <v>2.5</v>
      </c>
      <c r="X479" s="212">
        <f t="array" ref="X479">INDEX(INC_INCVALUES,$V479,$K$1)</f>
        <v>0.5</v>
      </c>
    </row>
    <row r="480" ht="15.75" customHeight="1">
      <c r="A480" s="435"/>
      <c r="B480" s="436"/>
      <c r="C480" s="95" t="str">
        <f t="array" ref="C480">IF(I480&gt;0,INDEX(DB,I480,8),"")</f>
        <v/>
      </c>
      <c r="D480" s="437">
        <f t="shared" si="1"/>
        <v>0</v>
      </c>
      <c r="F480" s="438">
        <f t="shared" si="2"/>
        <v>0</v>
      </c>
      <c r="G480" t="str">
        <f t="shared" si="3"/>
        <v/>
      </c>
      <c r="H480" t="b">
        <f t="shared" si="4"/>
        <v>0</v>
      </c>
      <c r="I480" s="439">
        <f>IF(OR(ISBLANK(A480),ISNA(MATCH(A480&amp;"",AthleteNumbers,0))),0,MATCH(A480&amp;"",AthleteNumbers,0))</f>
        <v>0</v>
      </c>
      <c r="J480" s="209">
        <f t="array" ref="J480">IF(I480&gt;0,INDEX(DB,$I480,6),0)</f>
        <v>0</v>
      </c>
      <c r="K480" s="446">
        <f t="shared" si="5"/>
        <v>0</v>
      </c>
      <c r="L480" s="446">
        <f t="shared" si="6"/>
        <v>0</v>
      </c>
      <c r="M480" s="441">
        <f>IF(L480&lt;O480,MinPoints,IF(AND(L480&gt;N480,O480&gt;0),100,+INT(($L480-O480)/P480)+MinPoints))</f>
        <v>10</v>
      </c>
      <c r="N480" s="440">
        <f t="shared" si="7"/>
        <v>50</v>
      </c>
      <c r="O480" s="440">
        <f t="shared" si="8"/>
        <v>5</v>
      </c>
      <c r="P480" s="440">
        <f t="shared" si="9"/>
        <v>0.5</v>
      </c>
      <c r="Q480">
        <f t="array" ref="Q480">IF(I480&gt;0,INDEX(DB,I480,9),EventIndex)</f>
        <v>6</v>
      </c>
      <c r="S480" s="442">
        <f t="array" ref="S480">INDEX(MINVALUES,$Q480,$K$1)</f>
        <v>5</v>
      </c>
      <c r="T480">
        <f t="array" ref="T480">INDEX(INCVALUES,$Q480,$K$1)</f>
        <v>0.5</v>
      </c>
      <c r="V480">
        <f t="array" ref="V480">+J480+(4*(INDEX(MatchScoreTable,$Q480,20)-1))</f>
        <v>4</v>
      </c>
      <c r="W480" s="442">
        <f t="array" ref="W480">INDEX(INC_MINVALUES,$V480,$K$1)</f>
        <v>2.5</v>
      </c>
      <c r="X480" s="212">
        <f t="array" ref="X480">INDEX(INC_INCVALUES,$V480,$K$1)</f>
        <v>0.5</v>
      </c>
    </row>
    <row r="481" ht="15.75" customHeight="1">
      <c r="A481" s="435"/>
      <c r="B481" s="436"/>
      <c r="C481" s="95" t="str">
        <f t="array" ref="C481">IF(I481&gt;0,INDEX(DB,I481,8),"")</f>
        <v/>
      </c>
      <c r="D481" s="437">
        <f t="shared" si="1"/>
        <v>0</v>
      </c>
      <c r="F481" s="438">
        <f t="shared" si="2"/>
        <v>0</v>
      </c>
      <c r="G481" t="str">
        <f t="shared" si="3"/>
        <v/>
      </c>
      <c r="H481" t="b">
        <f t="shared" si="4"/>
        <v>0</v>
      </c>
      <c r="I481" s="439">
        <f>IF(OR(ISBLANK(A481),ISNA(MATCH(A481&amp;"",AthleteNumbers,0))),0,MATCH(A481&amp;"",AthleteNumbers,0))</f>
        <v>0</v>
      </c>
      <c r="J481" s="209">
        <f t="array" ref="J481">IF(I481&gt;0,INDEX(DB,$I481,6),0)</f>
        <v>0</v>
      </c>
      <c r="K481" s="446">
        <f t="shared" si="5"/>
        <v>0</v>
      </c>
      <c r="L481" s="446">
        <f t="shared" si="6"/>
        <v>0</v>
      </c>
      <c r="M481" s="441">
        <f>IF(L481&lt;O481,MinPoints,IF(AND(L481&gt;N481,O481&gt;0),100,+INT(($L481-O481)/P481)+MinPoints))</f>
        <v>10</v>
      </c>
      <c r="N481" s="440">
        <f t="shared" si="7"/>
        <v>50</v>
      </c>
      <c r="O481" s="440">
        <f t="shared" si="8"/>
        <v>5</v>
      </c>
      <c r="P481" s="440">
        <f t="shared" si="9"/>
        <v>0.5</v>
      </c>
      <c r="Q481">
        <f t="array" ref="Q481">IF(I481&gt;0,INDEX(DB,I481,9),EventIndex)</f>
        <v>6</v>
      </c>
      <c r="S481" s="442">
        <f t="array" ref="S481">INDEX(MINVALUES,$Q481,$K$1)</f>
        <v>5</v>
      </c>
      <c r="T481">
        <f t="array" ref="T481">INDEX(INCVALUES,$Q481,$K$1)</f>
        <v>0.5</v>
      </c>
      <c r="V481">
        <f t="array" ref="V481">+J481+(4*(INDEX(MatchScoreTable,$Q481,20)-1))</f>
        <v>4</v>
      </c>
      <c r="W481" s="442">
        <f t="array" ref="W481">INDEX(INC_MINVALUES,$V481,$K$1)</f>
        <v>2.5</v>
      </c>
      <c r="X481" s="212">
        <f t="array" ref="X481">INDEX(INC_INCVALUES,$V481,$K$1)</f>
        <v>0.5</v>
      </c>
    </row>
    <row r="482" ht="15.75" customHeight="1">
      <c r="A482" s="435"/>
      <c r="B482" s="436"/>
      <c r="C482" s="95" t="str">
        <f t="array" ref="C482">IF(I482&gt;0,INDEX(DB,I482,8),"")</f>
        <v/>
      </c>
      <c r="D482" s="437">
        <f t="shared" si="1"/>
        <v>0</v>
      </c>
      <c r="F482" s="438">
        <f t="shared" si="2"/>
        <v>0</v>
      </c>
      <c r="G482" t="str">
        <f t="shared" si="3"/>
        <v/>
      </c>
      <c r="H482" t="b">
        <f t="shared" si="4"/>
        <v>0</v>
      </c>
      <c r="I482" s="439">
        <f>IF(OR(ISBLANK(A482),ISNA(MATCH(A482&amp;"",AthleteNumbers,0))),0,MATCH(A482&amp;"",AthleteNumbers,0))</f>
        <v>0</v>
      </c>
      <c r="J482" s="209">
        <f t="array" ref="J482">IF(I482&gt;0,INDEX(DB,$I482,6),0)</f>
        <v>0</v>
      </c>
      <c r="K482" s="446">
        <f t="shared" si="5"/>
        <v>0</v>
      </c>
      <c r="L482" s="446">
        <f t="shared" si="6"/>
        <v>0</v>
      </c>
      <c r="M482" s="441">
        <f>IF(L482&lt;O482,MinPoints,IF(AND(L482&gt;N482,O482&gt;0),100,+INT(($L482-O482)/P482)+MinPoints))</f>
        <v>10</v>
      </c>
      <c r="N482" s="440">
        <f t="shared" si="7"/>
        <v>50</v>
      </c>
      <c r="O482" s="440">
        <f t="shared" si="8"/>
        <v>5</v>
      </c>
      <c r="P482" s="440">
        <f t="shared" si="9"/>
        <v>0.5</v>
      </c>
      <c r="Q482">
        <f t="array" ref="Q482">IF(I482&gt;0,INDEX(DB,I482,9),EventIndex)</f>
        <v>6</v>
      </c>
      <c r="S482" s="442">
        <f t="array" ref="S482">INDEX(MINVALUES,$Q482,$K$1)</f>
        <v>5</v>
      </c>
      <c r="T482">
        <f t="array" ref="T482">INDEX(INCVALUES,$Q482,$K$1)</f>
        <v>0.5</v>
      </c>
      <c r="V482">
        <f t="array" ref="V482">+J482+(4*(INDEX(MatchScoreTable,$Q482,20)-1))</f>
        <v>4</v>
      </c>
      <c r="W482" s="442">
        <f t="array" ref="W482">INDEX(INC_MINVALUES,$V482,$K$1)</f>
        <v>2.5</v>
      </c>
      <c r="X482" s="212">
        <f t="array" ref="X482">INDEX(INC_INCVALUES,$V482,$K$1)</f>
        <v>0.5</v>
      </c>
    </row>
    <row r="483" ht="15.75" customHeight="1">
      <c r="A483" s="435"/>
      <c r="B483" s="436"/>
      <c r="C483" s="95" t="str">
        <f t="array" ref="C483">IF(I483&gt;0,INDEX(DB,I483,8),"")</f>
        <v/>
      </c>
      <c r="D483" s="437">
        <f t="shared" si="1"/>
        <v>0</v>
      </c>
      <c r="F483" s="438">
        <f t="shared" si="2"/>
        <v>0</v>
      </c>
      <c r="G483" t="str">
        <f t="shared" si="3"/>
        <v/>
      </c>
      <c r="H483" t="b">
        <f t="shared" si="4"/>
        <v>0</v>
      </c>
      <c r="I483" s="439">
        <f>IF(OR(ISBLANK(A483),ISNA(MATCH(A483&amp;"",AthleteNumbers,0))),0,MATCH(A483&amp;"",AthleteNumbers,0))</f>
        <v>0</v>
      </c>
      <c r="J483" s="209">
        <f t="array" ref="J483">IF(I483&gt;0,INDEX(DB,$I483,6),0)</f>
        <v>0</v>
      </c>
      <c r="K483" s="446">
        <f t="shared" si="5"/>
        <v>0</v>
      </c>
      <c r="L483" s="446">
        <f t="shared" si="6"/>
        <v>0</v>
      </c>
      <c r="M483" s="441">
        <f>IF(L483&lt;O483,MinPoints,IF(AND(L483&gt;N483,O483&gt;0),100,+INT(($L483-O483)/P483)+MinPoints))</f>
        <v>10</v>
      </c>
      <c r="N483" s="440">
        <f t="shared" si="7"/>
        <v>50</v>
      </c>
      <c r="O483" s="440">
        <f t="shared" si="8"/>
        <v>5</v>
      </c>
      <c r="P483" s="440">
        <f t="shared" si="9"/>
        <v>0.5</v>
      </c>
      <c r="Q483">
        <f t="array" ref="Q483">IF(I483&gt;0,INDEX(DB,I483,9),EventIndex)</f>
        <v>6</v>
      </c>
      <c r="S483" s="442">
        <f t="array" ref="S483">INDEX(MINVALUES,$Q483,$K$1)</f>
        <v>5</v>
      </c>
      <c r="T483">
        <f t="array" ref="T483">INDEX(INCVALUES,$Q483,$K$1)</f>
        <v>0.5</v>
      </c>
      <c r="V483">
        <f t="array" ref="V483">+J483+(4*(INDEX(MatchScoreTable,$Q483,20)-1))</f>
        <v>4</v>
      </c>
      <c r="W483" s="442">
        <f t="array" ref="W483">INDEX(INC_MINVALUES,$V483,$K$1)</f>
        <v>2.5</v>
      </c>
      <c r="X483" s="212">
        <f t="array" ref="X483">INDEX(INC_INCVALUES,$V483,$K$1)</f>
        <v>0.5</v>
      </c>
    </row>
    <row r="484" ht="15.75" customHeight="1">
      <c r="A484" s="435"/>
      <c r="B484" s="436"/>
      <c r="C484" s="95" t="str">
        <f t="array" ref="C484">IF(I484&gt;0,INDEX(DB,I484,8),"")</f>
        <v/>
      </c>
      <c r="D484" s="437">
        <f t="shared" si="1"/>
        <v>0</v>
      </c>
      <c r="F484" s="438">
        <f t="shared" si="2"/>
        <v>0</v>
      </c>
      <c r="G484" t="str">
        <f t="shared" si="3"/>
        <v/>
      </c>
      <c r="H484" t="b">
        <f t="shared" si="4"/>
        <v>0</v>
      </c>
      <c r="I484" s="439">
        <f>IF(OR(ISBLANK(A484),ISNA(MATCH(A484&amp;"",AthleteNumbers,0))),0,MATCH(A484&amp;"",AthleteNumbers,0))</f>
        <v>0</v>
      </c>
      <c r="J484" s="209">
        <f t="array" ref="J484">IF(I484&gt;0,INDEX(DB,$I484,6),0)</f>
        <v>0</v>
      </c>
      <c r="K484" s="446">
        <f t="shared" si="5"/>
        <v>0</v>
      </c>
      <c r="L484" s="446">
        <f t="shared" si="6"/>
        <v>0</v>
      </c>
      <c r="M484" s="441">
        <f>IF(L484&lt;O484,MinPoints,IF(AND(L484&gt;N484,O484&gt;0),100,+INT(($L484-O484)/P484)+MinPoints))</f>
        <v>10</v>
      </c>
      <c r="N484" s="440">
        <f t="shared" si="7"/>
        <v>50</v>
      </c>
      <c r="O484" s="440">
        <f t="shared" si="8"/>
        <v>5</v>
      </c>
      <c r="P484" s="440">
        <f t="shared" si="9"/>
        <v>0.5</v>
      </c>
      <c r="Q484">
        <f t="array" ref="Q484">IF(I484&gt;0,INDEX(DB,I484,9),EventIndex)</f>
        <v>6</v>
      </c>
      <c r="S484" s="442">
        <f t="array" ref="S484">INDEX(MINVALUES,$Q484,$K$1)</f>
        <v>5</v>
      </c>
      <c r="T484">
        <f t="array" ref="T484">INDEX(INCVALUES,$Q484,$K$1)</f>
        <v>0.5</v>
      </c>
      <c r="V484">
        <f t="array" ref="V484">+J484+(4*(INDEX(MatchScoreTable,$Q484,20)-1))</f>
        <v>4</v>
      </c>
      <c r="W484" s="442">
        <f t="array" ref="W484">INDEX(INC_MINVALUES,$V484,$K$1)</f>
        <v>2.5</v>
      </c>
      <c r="X484" s="212">
        <f t="array" ref="X484">INDEX(INC_INCVALUES,$V484,$K$1)</f>
        <v>0.5</v>
      </c>
    </row>
    <row r="485" ht="15.75" customHeight="1">
      <c r="A485" s="435"/>
      <c r="B485" s="436"/>
      <c r="C485" s="95" t="str">
        <f t="array" ref="C485">IF(I485&gt;0,INDEX(DB,I485,8),"")</f>
        <v/>
      </c>
      <c r="D485" s="437">
        <f t="shared" si="1"/>
        <v>0</v>
      </c>
      <c r="F485" s="438">
        <f t="shared" si="2"/>
        <v>0</v>
      </c>
      <c r="G485" t="str">
        <f t="shared" si="3"/>
        <v/>
      </c>
      <c r="H485" t="b">
        <f t="shared" si="4"/>
        <v>0</v>
      </c>
      <c r="I485" s="439">
        <f>IF(OR(ISBLANK(A485),ISNA(MATCH(A485&amp;"",AthleteNumbers,0))),0,MATCH(A485&amp;"",AthleteNumbers,0))</f>
        <v>0</v>
      </c>
      <c r="J485" s="209">
        <f t="array" ref="J485">IF(I485&gt;0,INDEX(DB,$I485,6),0)</f>
        <v>0</v>
      </c>
      <c r="K485" s="446">
        <f t="shared" si="5"/>
        <v>0</v>
      </c>
      <c r="L485" s="446">
        <f t="shared" si="6"/>
        <v>0</v>
      </c>
      <c r="M485" s="441">
        <f>IF(L485&lt;O485,MinPoints,IF(AND(L485&gt;N485,O485&gt;0),100,+INT(($L485-O485)/P485)+MinPoints))</f>
        <v>10</v>
      </c>
      <c r="N485" s="440">
        <f t="shared" si="7"/>
        <v>50</v>
      </c>
      <c r="O485" s="440">
        <f t="shared" si="8"/>
        <v>5</v>
      </c>
      <c r="P485" s="440">
        <f t="shared" si="9"/>
        <v>0.5</v>
      </c>
      <c r="Q485">
        <f t="array" ref="Q485">IF(I485&gt;0,INDEX(DB,I485,9),EventIndex)</f>
        <v>6</v>
      </c>
      <c r="S485" s="442">
        <f t="array" ref="S485">INDEX(MINVALUES,$Q485,$K$1)</f>
        <v>5</v>
      </c>
      <c r="T485">
        <f t="array" ref="T485">INDEX(INCVALUES,$Q485,$K$1)</f>
        <v>0.5</v>
      </c>
      <c r="V485">
        <f t="array" ref="V485">+J485+(4*(INDEX(MatchScoreTable,$Q485,20)-1))</f>
        <v>4</v>
      </c>
      <c r="W485" s="442">
        <f t="array" ref="W485">INDEX(INC_MINVALUES,$V485,$K$1)</f>
        <v>2.5</v>
      </c>
      <c r="X485" s="212">
        <f t="array" ref="X485">INDEX(INC_INCVALUES,$V485,$K$1)</f>
        <v>0.5</v>
      </c>
    </row>
    <row r="486" ht="15.75" customHeight="1">
      <c r="A486" s="435"/>
      <c r="B486" s="436"/>
      <c r="C486" s="95" t="str">
        <f t="array" ref="C486">IF(I486&gt;0,INDEX(DB,I486,8),"")</f>
        <v/>
      </c>
      <c r="D486" s="437">
        <f t="shared" si="1"/>
        <v>0</v>
      </c>
      <c r="F486" s="438">
        <f t="shared" si="2"/>
        <v>0</v>
      </c>
      <c r="G486" t="str">
        <f t="shared" si="3"/>
        <v/>
      </c>
      <c r="H486" t="b">
        <f t="shared" si="4"/>
        <v>0</v>
      </c>
      <c r="I486" s="439">
        <f>IF(OR(ISBLANK(A486),ISNA(MATCH(A486&amp;"",AthleteNumbers,0))),0,MATCH(A486&amp;"",AthleteNumbers,0))</f>
        <v>0</v>
      </c>
      <c r="J486" s="209">
        <f t="array" ref="J486">IF(I486&gt;0,INDEX(DB,$I486,6),0)</f>
        <v>0</v>
      </c>
      <c r="K486" s="446">
        <f t="shared" si="5"/>
        <v>0</v>
      </c>
      <c r="L486" s="446">
        <f t="shared" si="6"/>
        <v>0</v>
      </c>
      <c r="M486" s="441">
        <f>IF(L486&lt;O486,MinPoints,IF(AND(L486&gt;N486,O486&gt;0),100,+INT(($L486-O486)/P486)+MinPoints))</f>
        <v>10</v>
      </c>
      <c r="N486" s="440">
        <f t="shared" si="7"/>
        <v>50</v>
      </c>
      <c r="O486" s="440">
        <f t="shared" si="8"/>
        <v>5</v>
      </c>
      <c r="P486" s="440">
        <f t="shared" si="9"/>
        <v>0.5</v>
      </c>
      <c r="Q486">
        <f t="array" ref="Q486">IF(I486&gt;0,INDEX(DB,I486,9),EventIndex)</f>
        <v>6</v>
      </c>
      <c r="S486" s="442">
        <f t="array" ref="S486">INDEX(MINVALUES,$Q486,$K$1)</f>
        <v>5</v>
      </c>
      <c r="T486">
        <f t="array" ref="T486">INDEX(INCVALUES,$Q486,$K$1)</f>
        <v>0.5</v>
      </c>
      <c r="V486">
        <f t="array" ref="V486">+J486+(4*(INDEX(MatchScoreTable,$Q486,20)-1))</f>
        <v>4</v>
      </c>
      <c r="W486" s="442">
        <f t="array" ref="W486">INDEX(INC_MINVALUES,$V486,$K$1)</f>
        <v>2.5</v>
      </c>
      <c r="X486" s="212">
        <f t="array" ref="X486">INDEX(INC_INCVALUES,$V486,$K$1)</f>
        <v>0.5</v>
      </c>
    </row>
    <row r="487" ht="15.75" customHeight="1">
      <c r="A487" s="435"/>
      <c r="B487" s="436"/>
      <c r="C487" s="95" t="str">
        <f t="array" ref="C487">IF(I487&gt;0,INDEX(DB,I487,8),"")</f>
        <v/>
      </c>
      <c r="D487" s="437">
        <f t="shared" si="1"/>
        <v>0</v>
      </c>
      <c r="F487" s="438">
        <f t="shared" si="2"/>
        <v>0</v>
      </c>
      <c r="G487" t="str">
        <f t="shared" si="3"/>
        <v/>
      </c>
      <c r="H487" t="b">
        <f t="shared" si="4"/>
        <v>0</v>
      </c>
      <c r="I487" s="439">
        <f>IF(OR(ISBLANK(A487),ISNA(MATCH(A487&amp;"",AthleteNumbers,0))),0,MATCH(A487&amp;"",AthleteNumbers,0))</f>
        <v>0</v>
      </c>
      <c r="J487" s="209">
        <f t="array" ref="J487">IF(I487&gt;0,INDEX(DB,$I487,6),0)</f>
        <v>0</v>
      </c>
      <c r="K487" s="446">
        <f t="shared" si="5"/>
        <v>0</v>
      </c>
      <c r="L487" s="446">
        <f t="shared" si="6"/>
        <v>0</v>
      </c>
      <c r="M487" s="441">
        <f>IF(L487&lt;O487,MinPoints,IF(AND(L487&gt;N487,O487&gt;0),100,+INT(($L487-O487)/P487)+MinPoints))</f>
        <v>10</v>
      </c>
      <c r="N487" s="440">
        <f t="shared" si="7"/>
        <v>50</v>
      </c>
      <c r="O487" s="440">
        <f t="shared" si="8"/>
        <v>5</v>
      </c>
      <c r="P487" s="440">
        <f t="shared" si="9"/>
        <v>0.5</v>
      </c>
      <c r="Q487">
        <f t="array" ref="Q487">IF(I487&gt;0,INDEX(DB,I487,9),EventIndex)</f>
        <v>6</v>
      </c>
      <c r="S487" s="442">
        <f t="array" ref="S487">INDEX(MINVALUES,$Q487,$K$1)</f>
        <v>5</v>
      </c>
      <c r="T487">
        <f t="array" ref="T487">INDEX(INCVALUES,$Q487,$K$1)</f>
        <v>0.5</v>
      </c>
      <c r="V487">
        <f t="array" ref="V487">+J487+(4*(INDEX(MatchScoreTable,$Q487,20)-1))</f>
        <v>4</v>
      </c>
      <c r="W487" s="442">
        <f t="array" ref="W487">INDEX(INC_MINVALUES,$V487,$K$1)</f>
        <v>2.5</v>
      </c>
      <c r="X487" s="212">
        <f t="array" ref="X487">INDEX(INC_INCVALUES,$V487,$K$1)</f>
        <v>0.5</v>
      </c>
    </row>
    <row r="488" ht="15.75" customHeight="1">
      <c r="A488" s="435"/>
      <c r="B488" s="436"/>
      <c r="C488" s="95" t="str">
        <f t="array" ref="C488">IF(I488&gt;0,INDEX(DB,I488,8),"")</f>
        <v/>
      </c>
      <c r="D488" s="437">
        <f t="shared" si="1"/>
        <v>0</v>
      </c>
      <c r="F488" s="438">
        <f t="shared" si="2"/>
        <v>0</v>
      </c>
      <c r="G488" t="str">
        <f t="shared" si="3"/>
        <v/>
      </c>
      <c r="H488" t="b">
        <f t="shared" si="4"/>
        <v>0</v>
      </c>
      <c r="I488" s="439">
        <f>IF(OR(ISBLANK(A488),ISNA(MATCH(A488&amp;"",AthleteNumbers,0))),0,MATCH(A488&amp;"",AthleteNumbers,0))</f>
        <v>0</v>
      </c>
      <c r="J488" s="209">
        <f t="array" ref="J488">IF(I488&gt;0,INDEX(DB,$I488,6),0)</f>
        <v>0</v>
      </c>
      <c r="K488" s="446">
        <f t="shared" si="5"/>
        <v>0</v>
      </c>
      <c r="L488" s="446">
        <f t="shared" si="6"/>
        <v>0</v>
      </c>
      <c r="M488" s="441">
        <f>IF(L488&lt;O488,MinPoints,IF(AND(L488&gt;N488,O488&gt;0),100,+INT(($L488-O488)/P488)+MinPoints))</f>
        <v>10</v>
      </c>
      <c r="N488" s="440">
        <f t="shared" si="7"/>
        <v>50</v>
      </c>
      <c r="O488" s="440">
        <f t="shared" si="8"/>
        <v>5</v>
      </c>
      <c r="P488" s="440">
        <f t="shared" si="9"/>
        <v>0.5</v>
      </c>
      <c r="Q488">
        <f t="array" ref="Q488">IF(I488&gt;0,INDEX(DB,I488,9),EventIndex)</f>
        <v>6</v>
      </c>
      <c r="S488" s="442">
        <f t="array" ref="S488">INDEX(MINVALUES,$Q488,$K$1)</f>
        <v>5</v>
      </c>
      <c r="T488">
        <f t="array" ref="T488">INDEX(INCVALUES,$Q488,$K$1)</f>
        <v>0.5</v>
      </c>
      <c r="V488">
        <f t="array" ref="V488">+J488+(4*(INDEX(MatchScoreTable,$Q488,20)-1))</f>
        <v>4</v>
      </c>
      <c r="W488" s="442">
        <f t="array" ref="W488">INDEX(INC_MINVALUES,$V488,$K$1)</f>
        <v>2.5</v>
      </c>
      <c r="X488" s="212">
        <f t="array" ref="X488">INDEX(INC_INCVALUES,$V488,$K$1)</f>
        <v>0.5</v>
      </c>
    </row>
    <row r="489" ht="15.75" customHeight="1">
      <c r="A489" s="435"/>
      <c r="B489" s="436"/>
      <c r="C489" s="95" t="str">
        <f t="array" ref="C489">IF(I489&gt;0,INDEX(DB,I489,8),"")</f>
        <v/>
      </c>
      <c r="D489" s="437">
        <f t="shared" si="1"/>
        <v>0</v>
      </c>
      <c r="F489" s="438">
        <f t="shared" si="2"/>
        <v>0</v>
      </c>
      <c r="G489" t="str">
        <f t="shared" si="3"/>
        <v/>
      </c>
      <c r="H489" t="b">
        <f t="shared" si="4"/>
        <v>0</v>
      </c>
      <c r="I489" s="439">
        <f>IF(OR(ISBLANK(A489),ISNA(MATCH(A489&amp;"",AthleteNumbers,0))),0,MATCH(A489&amp;"",AthleteNumbers,0))</f>
        <v>0</v>
      </c>
      <c r="J489" s="209">
        <f t="array" ref="J489">IF(I489&gt;0,INDEX(DB,$I489,6),0)</f>
        <v>0</v>
      </c>
      <c r="K489" s="446">
        <f t="shared" si="5"/>
        <v>0</v>
      </c>
      <c r="L489" s="446">
        <f t="shared" si="6"/>
        <v>0</v>
      </c>
      <c r="M489" s="441">
        <f>IF(L489&lt;O489,MinPoints,IF(AND(L489&gt;N489,O489&gt;0),100,+INT(($L489-O489)/P489)+MinPoints))</f>
        <v>10</v>
      </c>
      <c r="N489" s="440">
        <f t="shared" si="7"/>
        <v>50</v>
      </c>
      <c r="O489" s="440">
        <f t="shared" si="8"/>
        <v>5</v>
      </c>
      <c r="P489" s="440">
        <f t="shared" si="9"/>
        <v>0.5</v>
      </c>
      <c r="Q489">
        <f t="array" ref="Q489">IF(I489&gt;0,INDEX(DB,I489,9),EventIndex)</f>
        <v>6</v>
      </c>
      <c r="S489" s="442">
        <f t="array" ref="S489">INDEX(MINVALUES,$Q489,$K$1)</f>
        <v>5</v>
      </c>
      <c r="T489">
        <f t="array" ref="T489">INDEX(INCVALUES,$Q489,$K$1)</f>
        <v>0.5</v>
      </c>
      <c r="V489">
        <f t="array" ref="V489">+J489+(4*(INDEX(MatchScoreTable,$Q489,20)-1))</f>
        <v>4</v>
      </c>
      <c r="W489" s="442">
        <f t="array" ref="W489">INDEX(INC_MINVALUES,$V489,$K$1)</f>
        <v>2.5</v>
      </c>
      <c r="X489" s="212">
        <f t="array" ref="X489">INDEX(INC_INCVALUES,$V489,$K$1)</f>
        <v>0.5</v>
      </c>
    </row>
    <row r="490" ht="15.75" customHeight="1">
      <c r="A490" s="435"/>
      <c r="B490" s="436"/>
      <c r="C490" s="95" t="str">
        <f t="array" ref="C490">IF(I490&gt;0,INDEX(DB,I490,8),"")</f>
        <v/>
      </c>
      <c r="D490" s="437">
        <f t="shared" si="1"/>
        <v>0</v>
      </c>
      <c r="F490" s="438">
        <f t="shared" si="2"/>
        <v>0</v>
      </c>
      <c r="G490" t="str">
        <f t="shared" si="3"/>
        <v/>
      </c>
      <c r="H490" t="b">
        <f t="shared" si="4"/>
        <v>0</v>
      </c>
      <c r="I490" s="439">
        <f>IF(OR(ISBLANK(A490),ISNA(MATCH(A490&amp;"",AthleteNumbers,0))),0,MATCH(A490&amp;"",AthleteNumbers,0))</f>
        <v>0</v>
      </c>
      <c r="J490" s="209">
        <f t="array" ref="J490">IF(I490&gt;0,INDEX(DB,$I490,6),0)</f>
        <v>0</v>
      </c>
      <c r="K490" s="446">
        <f t="shared" si="5"/>
        <v>0</v>
      </c>
      <c r="L490" s="446">
        <f t="shared" si="6"/>
        <v>0</v>
      </c>
      <c r="M490" s="441">
        <f>IF(L490&lt;O490,MinPoints,IF(AND(L490&gt;N490,O490&gt;0),100,+INT(($L490-O490)/P490)+MinPoints))</f>
        <v>10</v>
      </c>
      <c r="N490" s="440">
        <f t="shared" si="7"/>
        <v>50</v>
      </c>
      <c r="O490" s="440">
        <f t="shared" si="8"/>
        <v>5</v>
      </c>
      <c r="P490" s="440">
        <f t="shared" si="9"/>
        <v>0.5</v>
      </c>
      <c r="Q490">
        <f t="array" ref="Q490">IF(I490&gt;0,INDEX(DB,I490,9),EventIndex)</f>
        <v>6</v>
      </c>
      <c r="S490" s="442">
        <f t="array" ref="S490">INDEX(MINVALUES,$Q490,$K$1)</f>
        <v>5</v>
      </c>
      <c r="T490">
        <f t="array" ref="T490">INDEX(INCVALUES,$Q490,$K$1)</f>
        <v>0.5</v>
      </c>
      <c r="V490">
        <f t="array" ref="V490">+J490+(4*(INDEX(MatchScoreTable,$Q490,20)-1))</f>
        <v>4</v>
      </c>
      <c r="W490" s="442">
        <f t="array" ref="W490">INDEX(INC_MINVALUES,$V490,$K$1)</f>
        <v>2.5</v>
      </c>
      <c r="X490" s="212">
        <f t="array" ref="X490">INDEX(INC_INCVALUES,$V490,$K$1)</f>
        <v>0.5</v>
      </c>
    </row>
    <row r="491" ht="15.75" customHeight="1">
      <c r="A491" s="435"/>
      <c r="B491" s="436"/>
      <c r="C491" s="95" t="str">
        <f t="array" ref="C491">IF(I491&gt;0,INDEX(DB,I491,8),"")</f>
        <v/>
      </c>
      <c r="D491" s="437">
        <f t="shared" si="1"/>
        <v>0</v>
      </c>
      <c r="F491" s="438">
        <f t="shared" si="2"/>
        <v>0</v>
      </c>
      <c r="G491" t="str">
        <f t="shared" si="3"/>
        <v/>
      </c>
      <c r="H491" t="b">
        <f t="shared" si="4"/>
        <v>0</v>
      </c>
      <c r="I491" s="439">
        <f>IF(OR(ISBLANK(A491),ISNA(MATCH(A491&amp;"",AthleteNumbers,0))),0,MATCH(A491&amp;"",AthleteNumbers,0))</f>
        <v>0</v>
      </c>
      <c r="J491" s="209">
        <f t="array" ref="J491">IF(I491&gt;0,INDEX(DB,$I491,6),0)</f>
        <v>0</v>
      </c>
      <c r="K491" s="446">
        <f t="shared" si="5"/>
        <v>0</v>
      </c>
      <c r="L491" s="446">
        <f t="shared" si="6"/>
        <v>0</v>
      </c>
      <c r="M491" s="441">
        <f>IF(L491&lt;O491,MinPoints,IF(AND(L491&gt;N491,O491&gt;0),100,+INT(($L491-O491)/P491)+MinPoints))</f>
        <v>10</v>
      </c>
      <c r="N491" s="440">
        <f t="shared" si="7"/>
        <v>50</v>
      </c>
      <c r="O491" s="440">
        <f t="shared" si="8"/>
        <v>5</v>
      </c>
      <c r="P491" s="440">
        <f t="shared" si="9"/>
        <v>0.5</v>
      </c>
      <c r="Q491">
        <f t="array" ref="Q491">IF(I491&gt;0,INDEX(DB,I491,9),EventIndex)</f>
        <v>6</v>
      </c>
      <c r="S491" s="442">
        <f t="array" ref="S491">INDEX(MINVALUES,$Q491,$K$1)</f>
        <v>5</v>
      </c>
      <c r="T491">
        <f t="array" ref="T491">INDEX(INCVALUES,$Q491,$K$1)</f>
        <v>0.5</v>
      </c>
      <c r="V491">
        <f t="array" ref="V491">+J491+(4*(INDEX(MatchScoreTable,$Q491,20)-1))</f>
        <v>4</v>
      </c>
      <c r="W491" s="442">
        <f t="array" ref="W491">INDEX(INC_MINVALUES,$V491,$K$1)</f>
        <v>2.5</v>
      </c>
      <c r="X491" s="212">
        <f t="array" ref="X491">INDEX(INC_INCVALUES,$V491,$K$1)</f>
        <v>0.5</v>
      </c>
    </row>
    <row r="492" ht="15.75" customHeight="1">
      <c r="A492" s="435"/>
      <c r="B492" s="436"/>
      <c r="C492" s="95" t="str">
        <f t="array" ref="C492">IF(I492&gt;0,INDEX(DB,I492,8),"")</f>
        <v/>
      </c>
      <c r="D492" s="437">
        <f t="shared" si="1"/>
        <v>0</v>
      </c>
      <c r="F492" s="438">
        <f t="shared" si="2"/>
        <v>0</v>
      </c>
      <c r="G492" t="str">
        <f t="shared" si="3"/>
        <v/>
      </c>
      <c r="H492" t="b">
        <f t="shared" si="4"/>
        <v>0</v>
      </c>
      <c r="I492" s="439">
        <f>IF(OR(ISBLANK(A492),ISNA(MATCH(A492&amp;"",AthleteNumbers,0))),0,MATCH(A492&amp;"",AthleteNumbers,0))</f>
        <v>0</v>
      </c>
      <c r="J492" s="209">
        <f t="array" ref="J492">IF(I492&gt;0,INDEX(DB,$I492,6),0)</f>
        <v>0</v>
      </c>
      <c r="K492" s="446">
        <f t="shared" si="5"/>
        <v>0</v>
      </c>
      <c r="L492" s="446">
        <f t="shared" si="6"/>
        <v>0</v>
      </c>
      <c r="M492" s="441">
        <f>IF(L492&lt;O492,MinPoints,IF(AND(L492&gt;N492,O492&gt;0),100,+INT(($L492-O492)/P492)+MinPoints))</f>
        <v>10</v>
      </c>
      <c r="N492" s="440">
        <f t="shared" si="7"/>
        <v>50</v>
      </c>
      <c r="O492" s="440">
        <f t="shared" si="8"/>
        <v>5</v>
      </c>
      <c r="P492" s="440">
        <f t="shared" si="9"/>
        <v>0.5</v>
      </c>
      <c r="Q492">
        <f t="array" ref="Q492">IF(I492&gt;0,INDEX(DB,I492,9),EventIndex)</f>
        <v>6</v>
      </c>
      <c r="S492" s="442">
        <f t="array" ref="S492">INDEX(MINVALUES,$Q492,$K$1)</f>
        <v>5</v>
      </c>
      <c r="T492">
        <f t="array" ref="T492">INDEX(INCVALUES,$Q492,$K$1)</f>
        <v>0.5</v>
      </c>
      <c r="V492">
        <f t="array" ref="V492">+J492+(4*(INDEX(MatchScoreTable,$Q492,20)-1))</f>
        <v>4</v>
      </c>
      <c r="W492" s="442">
        <f t="array" ref="W492">INDEX(INC_MINVALUES,$V492,$K$1)</f>
        <v>2.5</v>
      </c>
      <c r="X492" s="212">
        <f t="array" ref="X492">INDEX(INC_INCVALUES,$V492,$K$1)</f>
        <v>0.5</v>
      </c>
    </row>
    <row r="493" ht="15.75" customHeight="1">
      <c r="A493" s="435"/>
      <c r="B493" s="436"/>
      <c r="C493" s="95" t="str">
        <f t="array" ref="C493">IF(I493&gt;0,INDEX(DB,I493,8),"")</f>
        <v/>
      </c>
      <c r="D493" s="437">
        <f t="shared" si="1"/>
        <v>0</v>
      </c>
      <c r="F493" s="438">
        <f t="shared" si="2"/>
        <v>0</v>
      </c>
      <c r="G493" t="str">
        <f t="shared" si="3"/>
        <v/>
      </c>
      <c r="H493" t="b">
        <f t="shared" si="4"/>
        <v>0</v>
      </c>
      <c r="I493" s="439">
        <f>IF(OR(ISBLANK(A493),ISNA(MATCH(A493&amp;"",AthleteNumbers,0))),0,MATCH(A493&amp;"",AthleteNumbers,0))</f>
        <v>0</v>
      </c>
      <c r="J493" s="209">
        <f t="array" ref="J493">IF(I493&gt;0,INDEX(DB,$I493,6),0)</f>
        <v>0</v>
      </c>
      <c r="K493" s="446">
        <f t="shared" si="5"/>
        <v>0</v>
      </c>
      <c r="L493" s="446">
        <f t="shared" si="6"/>
        <v>0</v>
      </c>
      <c r="M493" s="441">
        <f>IF(L493&lt;O493,MinPoints,IF(AND(L493&gt;N493,O493&gt;0),100,+INT(($L493-O493)/P493)+MinPoints))</f>
        <v>10</v>
      </c>
      <c r="N493" s="440">
        <f t="shared" si="7"/>
        <v>50</v>
      </c>
      <c r="O493" s="440">
        <f t="shared" si="8"/>
        <v>5</v>
      </c>
      <c r="P493" s="440">
        <f t="shared" si="9"/>
        <v>0.5</v>
      </c>
      <c r="Q493">
        <f t="array" ref="Q493">IF(I493&gt;0,INDEX(DB,I493,9),EventIndex)</f>
        <v>6</v>
      </c>
      <c r="S493" s="442">
        <f t="array" ref="S493">INDEX(MINVALUES,$Q493,$K$1)</f>
        <v>5</v>
      </c>
      <c r="T493">
        <f t="array" ref="T493">INDEX(INCVALUES,$Q493,$K$1)</f>
        <v>0.5</v>
      </c>
      <c r="V493">
        <f t="array" ref="V493">+J493+(4*(INDEX(MatchScoreTable,$Q493,20)-1))</f>
        <v>4</v>
      </c>
      <c r="W493" s="442">
        <f t="array" ref="W493">INDEX(INC_MINVALUES,$V493,$K$1)</f>
        <v>2.5</v>
      </c>
      <c r="X493" s="212">
        <f t="array" ref="X493">INDEX(INC_INCVALUES,$V493,$K$1)</f>
        <v>0.5</v>
      </c>
    </row>
    <row r="494" ht="15.75" customHeight="1">
      <c r="A494" s="435"/>
      <c r="B494" s="436"/>
      <c r="C494" s="95" t="str">
        <f t="array" ref="C494">IF(I494&gt;0,INDEX(DB,I494,8),"")</f>
        <v/>
      </c>
      <c r="D494" s="437">
        <f t="shared" si="1"/>
        <v>0</v>
      </c>
      <c r="F494" s="438">
        <f t="shared" si="2"/>
        <v>0</v>
      </c>
      <c r="G494" t="str">
        <f t="shared" si="3"/>
        <v/>
      </c>
      <c r="H494" t="b">
        <f t="shared" si="4"/>
        <v>0</v>
      </c>
      <c r="I494" s="439">
        <f>IF(OR(ISBLANK(A494),ISNA(MATCH(A494&amp;"",AthleteNumbers,0))),0,MATCH(A494&amp;"",AthleteNumbers,0))</f>
        <v>0</v>
      </c>
      <c r="J494" s="209">
        <f t="array" ref="J494">IF(I494&gt;0,INDEX(DB,$I494,6),0)</f>
        <v>0</v>
      </c>
      <c r="K494" s="446">
        <f t="shared" si="5"/>
        <v>0</v>
      </c>
      <c r="L494" s="446">
        <f t="shared" si="6"/>
        <v>0</v>
      </c>
      <c r="M494" s="441">
        <f>IF(L494&lt;O494,MinPoints,IF(AND(L494&gt;N494,O494&gt;0),100,+INT(($L494-O494)/P494)+MinPoints))</f>
        <v>10</v>
      </c>
      <c r="N494" s="440">
        <f t="shared" si="7"/>
        <v>50</v>
      </c>
      <c r="O494" s="440">
        <f t="shared" si="8"/>
        <v>5</v>
      </c>
      <c r="P494" s="440">
        <f t="shared" si="9"/>
        <v>0.5</v>
      </c>
      <c r="Q494">
        <f t="array" ref="Q494">IF(I494&gt;0,INDEX(DB,I494,9),EventIndex)</f>
        <v>6</v>
      </c>
      <c r="S494" s="442">
        <f t="array" ref="S494">INDEX(MINVALUES,$Q494,$K$1)</f>
        <v>5</v>
      </c>
      <c r="T494">
        <f t="array" ref="T494">INDEX(INCVALUES,$Q494,$K$1)</f>
        <v>0.5</v>
      </c>
      <c r="V494">
        <f t="array" ref="V494">+J494+(4*(INDEX(MatchScoreTable,$Q494,20)-1))</f>
        <v>4</v>
      </c>
      <c r="W494" s="442">
        <f t="array" ref="W494">INDEX(INC_MINVALUES,$V494,$K$1)</f>
        <v>2.5</v>
      </c>
      <c r="X494" s="212">
        <f t="array" ref="X494">INDEX(INC_INCVALUES,$V494,$K$1)</f>
        <v>0.5</v>
      </c>
    </row>
    <row r="495" ht="15.75" customHeight="1">
      <c r="A495" s="435"/>
      <c r="B495" s="436"/>
      <c r="C495" s="95" t="str">
        <f t="array" ref="C495">IF(I495&gt;0,INDEX(DB,I495,8),"")</f>
        <v/>
      </c>
      <c r="D495" s="437">
        <f t="shared" si="1"/>
        <v>0</v>
      </c>
      <c r="F495" s="438">
        <f t="shared" si="2"/>
        <v>0</v>
      </c>
      <c r="G495" t="str">
        <f t="shared" si="3"/>
        <v/>
      </c>
      <c r="H495" t="b">
        <f t="shared" si="4"/>
        <v>0</v>
      </c>
      <c r="I495" s="439">
        <f>IF(OR(ISBLANK(A495),ISNA(MATCH(A495&amp;"",AthleteNumbers,0))),0,MATCH(A495&amp;"",AthleteNumbers,0))</f>
        <v>0</v>
      </c>
      <c r="J495" s="209">
        <f t="array" ref="J495">IF(I495&gt;0,INDEX(DB,$I495,6),0)</f>
        <v>0</v>
      </c>
      <c r="K495" s="446">
        <f t="shared" si="5"/>
        <v>0</v>
      </c>
      <c r="L495" s="446">
        <f t="shared" si="6"/>
        <v>0</v>
      </c>
      <c r="M495" s="441">
        <f>IF(L495&lt;O495,MinPoints,IF(AND(L495&gt;N495,O495&gt;0),100,+INT(($L495-O495)/P495)+MinPoints))</f>
        <v>10</v>
      </c>
      <c r="N495" s="440">
        <f t="shared" si="7"/>
        <v>50</v>
      </c>
      <c r="O495" s="440">
        <f t="shared" si="8"/>
        <v>5</v>
      </c>
      <c r="P495" s="440">
        <f t="shared" si="9"/>
        <v>0.5</v>
      </c>
      <c r="Q495">
        <f t="array" ref="Q495">IF(I495&gt;0,INDEX(DB,I495,9),EventIndex)</f>
        <v>6</v>
      </c>
      <c r="S495" s="442">
        <f t="array" ref="S495">INDEX(MINVALUES,$Q495,$K$1)</f>
        <v>5</v>
      </c>
      <c r="T495">
        <f t="array" ref="T495">INDEX(INCVALUES,$Q495,$K$1)</f>
        <v>0.5</v>
      </c>
      <c r="V495">
        <f t="array" ref="V495">+J495+(4*(INDEX(MatchScoreTable,$Q495,20)-1))</f>
        <v>4</v>
      </c>
      <c r="W495" s="442">
        <f t="array" ref="W495">INDEX(INC_MINVALUES,$V495,$K$1)</f>
        <v>2.5</v>
      </c>
      <c r="X495" s="212">
        <f t="array" ref="X495">INDEX(INC_INCVALUES,$V495,$K$1)</f>
        <v>0.5</v>
      </c>
    </row>
    <row r="496" ht="15.75" customHeight="1">
      <c r="A496" s="435"/>
      <c r="B496" s="436"/>
      <c r="C496" s="95" t="str">
        <f t="array" ref="C496">IF(I496&gt;0,INDEX(DB,I496,8),"")</f>
        <v/>
      </c>
      <c r="D496" s="437">
        <f t="shared" si="1"/>
        <v>0</v>
      </c>
      <c r="F496" s="438">
        <f t="shared" si="2"/>
        <v>0</v>
      </c>
      <c r="G496" t="str">
        <f t="shared" si="3"/>
        <v/>
      </c>
      <c r="H496" t="b">
        <f t="shared" si="4"/>
        <v>0</v>
      </c>
      <c r="I496" s="439">
        <f>IF(OR(ISBLANK(A496),ISNA(MATCH(A496&amp;"",AthleteNumbers,0))),0,MATCH(A496&amp;"",AthleteNumbers,0))</f>
        <v>0</v>
      </c>
      <c r="J496" s="209">
        <f t="array" ref="J496">IF(I496&gt;0,INDEX(DB,$I496,6),0)</f>
        <v>0</v>
      </c>
      <c r="K496" s="446">
        <f t="shared" si="5"/>
        <v>0</v>
      </c>
      <c r="L496" s="446">
        <f t="shared" si="6"/>
        <v>0</v>
      </c>
      <c r="M496" s="441">
        <f>IF(L496&lt;O496,MinPoints,IF(AND(L496&gt;N496,O496&gt;0),100,+INT(($L496-O496)/P496)+MinPoints))</f>
        <v>10</v>
      </c>
      <c r="N496" s="440">
        <f t="shared" si="7"/>
        <v>50</v>
      </c>
      <c r="O496" s="440">
        <f t="shared" si="8"/>
        <v>5</v>
      </c>
      <c r="P496" s="440">
        <f t="shared" si="9"/>
        <v>0.5</v>
      </c>
      <c r="Q496">
        <f t="array" ref="Q496">IF(I496&gt;0,INDEX(DB,I496,9),EventIndex)</f>
        <v>6</v>
      </c>
      <c r="S496" s="442">
        <f t="array" ref="S496">INDEX(MINVALUES,$Q496,$K$1)</f>
        <v>5</v>
      </c>
      <c r="T496">
        <f t="array" ref="T496">INDEX(INCVALUES,$Q496,$K$1)</f>
        <v>0.5</v>
      </c>
      <c r="V496">
        <f t="array" ref="V496">+J496+(4*(INDEX(MatchScoreTable,$Q496,20)-1))</f>
        <v>4</v>
      </c>
      <c r="W496" s="442">
        <f t="array" ref="W496">INDEX(INC_MINVALUES,$V496,$K$1)</f>
        <v>2.5</v>
      </c>
      <c r="X496" s="212">
        <f t="array" ref="X496">INDEX(INC_INCVALUES,$V496,$K$1)</f>
        <v>0.5</v>
      </c>
    </row>
    <row r="497" ht="15.75" customHeight="1">
      <c r="A497" s="435"/>
      <c r="B497" s="436"/>
      <c r="C497" s="95" t="str">
        <f t="array" ref="C497">IF(I497&gt;0,INDEX(DB,I497,8),"")</f>
        <v/>
      </c>
      <c r="D497" s="437">
        <f t="shared" si="1"/>
        <v>0</v>
      </c>
      <c r="F497" s="438">
        <f t="shared" si="2"/>
        <v>0</v>
      </c>
      <c r="G497" t="str">
        <f t="shared" si="3"/>
        <v/>
      </c>
      <c r="H497" t="b">
        <f t="shared" si="4"/>
        <v>0</v>
      </c>
      <c r="I497" s="439">
        <f>IF(OR(ISBLANK(A497),ISNA(MATCH(A497&amp;"",AthleteNumbers,0))),0,MATCH(A497&amp;"",AthleteNumbers,0))</f>
        <v>0</v>
      </c>
      <c r="J497" s="209">
        <f t="array" ref="J497">IF(I497&gt;0,INDEX(DB,$I497,6),0)</f>
        <v>0</v>
      </c>
      <c r="K497" s="446">
        <f t="shared" si="5"/>
        <v>0</v>
      </c>
      <c r="L497" s="446">
        <f t="shared" si="6"/>
        <v>0</v>
      </c>
      <c r="M497" s="441">
        <f>IF(L497&lt;O497,MinPoints,IF(AND(L497&gt;N497,O497&gt;0),100,+INT(($L497-O497)/P497)+MinPoints))</f>
        <v>10</v>
      </c>
      <c r="N497" s="440">
        <f t="shared" si="7"/>
        <v>50</v>
      </c>
      <c r="O497" s="440">
        <f t="shared" si="8"/>
        <v>5</v>
      </c>
      <c r="P497" s="440">
        <f t="shared" si="9"/>
        <v>0.5</v>
      </c>
      <c r="Q497">
        <f t="array" ref="Q497">IF(I497&gt;0,INDEX(DB,I497,9),EventIndex)</f>
        <v>6</v>
      </c>
      <c r="S497" s="442">
        <f t="array" ref="S497">INDEX(MINVALUES,$Q497,$K$1)</f>
        <v>5</v>
      </c>
      <c r="T497">
        <f t="array" ref="T497">INDEX(INCVALUES,$Q497,$K$1)</f>
        <v>0.5</v>
      </c>
      <c r="V497">
        <f t="array" ref="V497">+J497+(4*(INDEX(MatchScoreTable,$Q497,20)-1))</f>
        <v>4</v>
      </c>
      <c r="W497" s="442">
        <f t="array" ref="W497">INDEX(INC_MINVALUES,$V497,$K$1)</f>
        <v>2.5</v>
      </c>
      <c r="X497" s="212">
        <f t="array" ref="X497">INDEX(INC_INCVALUES,$V497,$K$1)</f>
        <v>0.5</v>
      </c>
    </row>
    <row r="498" ht="15.75" customHeight="1">
      <c r="A498" s="435"/>
      <c r="B498" s="436"/>
      <c r="C498" s="95" t="str">
        <f t="array" ref="C498">IF(I498&gt;0,INDEX(DB,I498,8),"")</f>
        <v/>
      </c>
      <c r="D498" s="437">
        <f t="shared" si="1"/>
        <v>0</v>
      </c>
      <c r="F498" s="438">
        <f t="shared" si="2"/>
        <v>0</v>
      </c>
      <c r="G498" t="str">
        <f t="shared" si="3"/>
        <v/>
      </c>
      <c r="H498" t="b">
        <f t="shared" si="4"/>
        <v>0</v>
      </c>
      <c r="I498" s="439">
        <f>IF(OR(ISBLANK(A498),ISNA(MATCH(A498&amp;"",AthleteNumbers,0))),0,MATCH(A498&amp;"",AthleteNumbers,0))</f>
        <v>0</v>
      </c>
      <c r="J498" s="209">
        <f t="array" ref="J498">IF(I498&gt;0,INDEX(DB,$I498,6),0)</f>
        <v>0</v>
      </c>
      <c r="K498" s="446">
        <f t="shared" si="5"/>
        <v>0</v>
      </c>
      <c r="L498" s="446">
        <f t="shared" si="6"/>
        <v>0</v>
      </c>
      <c r="M498" s="441">
        <f>IF(L498&lt;O498,MinPoints,IF(AND(L498&gt;N498,O498&gt;0),100,+INT(($L498-O498)/P498)+MinPoints))</f>
        <v>10</v>
      </c>
      <c r="N498" s="440">
        <f t="shared" si="7"/>
        <v>50</v>
      </c>
      <c r="O498" s="440">
        <f t="shared" si="8"/>
        <v>5</v>
      </c>
      <c r="P498" s="440">
        <f t="shared" si="9"/>
        <v>0.5</v>
      </c>
      <c r="Q498">
        <f t="array" ref="Q498">IF(I498&gt;0,INDEX(DB,I498,9),EventIndex)</f>
        <v>6</v>
      </c>
      <c r="S498" s="442">
        <f t="array" ref="S498">INDEX(MINVALUES,$Q498,$K$1)</f>
        <v>5</v>
      </c>
      <c r="T498">
        <f t="array" ref="T498">INDEX(INCVALUES,$Q498,$K$1)</f>
        <v>0.5</v>
      </c>
      <c r="V498">
        <f t="array" ref="V498">+J498+(4*(INDEX(MatchScoreTable,$Q498,20)-1))</f>
        <v>4</v>
      </c>
      <c r="W498" s="442">
        <f t="array" ref="W498">INDEX(INC_MINVALUES,$V498,$K$1)</f>
        <v>2.5</v>
      </c>
      <c r="X498" s="212">
        <f t="array" ref="X498">INDEX(INC_INCVALUES,$V498,$K$1)</f>
        <v>0.5</v>
      </c>
    </row>
    <row r="499" ht="15.75" customHeight="1">
      <c r="A499" s="435"/>
      <c r="B499" s="436"/>
      <c r="C499" s="95" t="str">
        <f t="array" ref="C499">IF(I499&gt;0,INDEX(DB,I499,8),"")</f>
        <v/>
      </c>
      <c r="D499" s="437">
        <f t="shared" si="1"/>
        <v>0</v>
      </c>
      <c r="F499" s="438">
        <f t="shared" si="2"/>
        <v>0</v>
      </c>
      <c r="G499" t="str">
        <f t="shared" si="3"/>
        <v/>
      </c>
      <c r="H499" t="b">
        <f t="shared" si="4"/>
        <v>0</v>
      </c>
      <c r="I499" s="439">
        <f>IF(OR(ISBLANK(A499),ISNA(MATCH(A499&amp;"",AthleteNumbers,0))),0,MATCH(A499&amp;"",AthleteNumbers,0))</f>
        <v>0</v>
      </c>
      <c r="J499" s="209">
        <f t="array" ref="J499">IF(I499&gt;0,INDEX(DB,$I499,6),0)</f>
        <v>0</v>
      </c>
      <c r="K499" s="446">
        <f t="shared" si="5"/>
        <v>0</v>
      </c>
      <c r="L499" s="446">
        <f t="shared" si="6"/>
        <v>0</v>
      </c>
      <c r="M499" s="441">
        <f>IF(L499&lt;O499,MinPoints,IF(AND(L499&gt;N499,O499&gt;0),100,+INT(($L499-O499)/P499)+MinPoints))</f>
        <v>10</v>
      </c>
      <c r="N499" s="440">
        <f t="shared" si="7"/>
        <v>50</v>
      </c>
      <c r="O499" s="440">
        <f t="shared" si="8"/>
        <v>5</v>
      </c>
      <c r="P499" s="440">
        <f t="shared" si="9"/>
        <v>0.5</v>
      </c>
      <c r="Q499">
        <f t="array" ref="Q499">IF(I499&gt;0,INDEX(DB,I499,9),EventIndex)</f>
        <v>6</v>
      </c>
      <c r="S499" s="442">
        <f t="array" ref="S499">INDEX(MINVALUES,$Q499,$K$1)</f>
        <v>5</v>
      </c>
      <c r="T499">
        <f t="array" ref="T499">INDEX(INCVALUES,$Q499,$K$1)</f>
        <v>0.5</v>
      </c>
      <c r="V499">
        <f t="array" ref="V499">+J499+(4*(INDEX(MatchScoreTable,$Q499,20)-1))</f>
        <v>4</v>
      </c>
      <c r="W499" s="442">
        <f t="array" ref="W499">INDEX(INC_MINVALUES,$V499,$K$1)</f>
        <v>2.5</v>
      </c>
      <c r="X499" s="212">
        <f t="array" ref="X499">INDEX(INC_INCVALUES,$V499,$K$1)</f>
        <v>0.5</v>
      </c>
    </row>
    <row r="500" ht="15.75" customHeight="1">
      <c r="A500" s="435"/>
      <c r="B500" s="436"/>
      <c r="C500" s="95" t="str">
        <f t="array" ref="C500">IF(I500&gt;0,INDEX(DB,I500,8),"")</f>
        <v/>
      </c>
      <c r="D500" s="437">
        <f t="shared" si="1"/>
        <v>0</v>
      </c>
      <c r="F500" s="438">
        <f t="shared" si="2"/>
        <v>0</v>
      </c>
      <c r="G500" t="str">
        <f t="shared" si="3"/>
        <v/>
      </c>
      <c r="H500" t="b">
        <f t="shared" si="4"/>
        <v>0</v>
      </c>
      <c r="I500" s="439">
        <f>IF(OR(ISBLANK(A500),ISNA(MATCH(A500&amp;"",AthleteNumbers,0))),0,MATCH(A500&amp;"",AthleteNumbers,0))</f>
        <v>0</v>
      </c>
      <c r="J500" s="209">
        <f t="array" ref="J500">IF(I500&gt;0,INDEX(DB,$I500,6),0)</f>
        <v>0</v>
      </c>
      <c r="K500" s="446">
        <f t="shared" si="5"/>
        <v>0</v>
      </c>
      <c r="L500" s="446">
        <f t="shared" si="6"/>
        <v>0</v>
      </c>
      <c r="M500" s="441">
        <f>IF(L500&lt;O500,MinPoints,IF(AND(L500&gt;N500,O500&gt;0),100,+INT(($L500-O500)/P500)+MinPoints))</f>
        <v>10</v>
      </c>
      <c r="N500" s="440">
        <f t="shared" si="7"/>
        <v>50</v>
      </c>
      <c r="O500" s="440">
        <f t="shared" si="8"/>
        <v>5</v>
      </c>
      <c r="P500" s="440">
        <f t="shared" si="9"/>
        <v>0.5</v>
      </c>
      <c r="Q500">
        <f t="array" ref="Q500">IF(I500&gt;0,INDEX(DB,I500,9),EventIndex)</f>
        <v>6</v>
      </c>
      <c r="S500" s="442">
        <f t="array" ref="S500">INDEX(MINVALUES,$Q500,$K$1)</f>
        <v>5</v>
      </c>
      <c r="T500">
        <f t="array" ref="T500">INDEX(INCVALUES,$Q500,$K$1)</f>
        <v>0.5</v>
      </c>
      <c r="V500">
        <f t="array" ref="V500">+J500+(4*(INDEX(MatchScoreTable,$Q500,20)-1))</f>
        <v>4</v>
      </c>
      <c r="W500" s="442">
        <f t="array" ref="W500">INDEX(INC_MINVALUES,$V500,$K$1)</f>
        <v>2.5</v>
      </c>
      <c r="X500" s="212">
        <f t="array" ref="X500">INDEX(INC_INCVALUES,$V500,$K$1)</f>
        <v>0.5</v>
      </c>
    </row>
    <row r="501" ht="15.75" customHeight="1">
      <c r="A501" s="435"/>
      <c r="B501" s="436"/>
      <c r="C501" s="95" t="str">
        <f t="array" ref="C501">IF(I501&gt;0,INDEX(DB,I501,8),"")</f>
        <v/>
      </c>
      <c r="D501" s="437">
        <f t="shared" si="1"/>
        <v>0</v>
      </c>
      <c r="F501" s="438">
        <f t="shared" si="2"/>
        <v>0</v>
      </c>
      <c r="G501" t="str">
        <f t="shared" si="3"/>
        <v/>
      </c>
      <c r="H501" t="b">
        <f t="shared" si="4"/>
        <v>0</v>
      </c>
      <c r="I501" s="439">
        <f>IF(OR(ISBLANK(A501),ISNA(MATCH(A501&amp;"",AthleteNumbers,0))),0,MATCH(A501&amp;"",AthleteNumbers,0))</f>
        <v>0</v>
      </c>
      <c r="J501" s="209">
        <f t="array" ref="J501">IF(I501&gt;0,INDEX(DB,$I501,6),0)</f>
        <v>0</v>
      </c>
      <c r="K501" s="446">
        <f t="shared" si="5"/>
        <v>0</v>
      </c>
      <c r="L501" s="446">
        <f t="shared" si="6"/>
        <v>0</v>
      </c>
      <c r="M501" s="441">
        <f>IF(L501&lt;O501,MinPoints,IF(AND(L501&gt;N501,O501&gt;0),100,+INT(($L501-O501)/P501)+MinPoints))</f>
        <v>10</v>
      </c>
      <c r="N501" s="440">
        <f t="shared" si="7"/>
        <v>50</v>
      </c>
      <c r="O501" s="440">
        <f t="shared" si="8"/>
        <v>5</v>
      </c>
      <c r="P501" s="440">
        <f t="shared" si="9"/>
        <v>0.5</v>
      </c>
      <c r="Q501">
        <f t="array" ref="Q501">IF(I501&gt;0,INDEX(DB,I501,9),EventIndex)</f>
        <v>6</v>
      </c>
      <c r="S501" s="442">
        <f t="array" ref="S501">INDEX(MINVALUES,$Q501,$K$1)</f>
        <v>5</v>
      </c>
      <c r="T501">
        <f t="array" ref="T501">INDEX(INCVALUES,$Q501,$K$1)</f>
        <v>0.5</v>
      </c>
      <c r="V501">
        <f t="array" ref="V501">+J501+(4*(INDEX(MatchScoreTable,$Q501,20)-1))</f>
        <v>4</v>
      </c>
      <c r="W501" s="442">
        <f t="array" ref="W501">INDEX(INC_MINVALUES,$V501,$K$1)</f>
        <v>2.5</v>
      </c>
      <c r="X501" s="212">
        <f t="array" ref="X501">INDEX(INC_INCVALUES,$V501,$K$1)</f>
        <v>0.5</v>
      </c>
    </row>
    <row r="502" ht="15.75" customHeight="1">
      <c r="A502" s="435"/>
      <c r="B502" s="436"/>
      <c r="C502" s="95" t="str">
        <f t="array" ref="C502">IF(I502&gt;0,INDEX(DB,I502,8),"")</f>
        <v/>
      </c>
      <c r="D502" s="437">
        <f t="shared" si="1"/>
        <v>0</v>
      </c>
      <c r="F502" s="438">
        <f t="shared" si="2"/>
        <v>0</v>
      </c>
      <c r="G502" t="str">
        <f t="shared" si="3"/>
        <v/>
      </c>
      <c r="H502" t="b">
        <f t="shared" si="4"/>
        <v>0</v>
      </c>
      <c r="I502" s="439">
        <f>IF(OR(ISBLANK(A502),ISNA(MATCH(A502&amp;"",AthleteNumbers,0))),0,MATCH(A502&amp;"",AthleteNumbers,0))</f>
        <v>0</v>
      </c>
      <c r="J502" s="209">
        <f t="array" ref="J502">IF(I502&gt;0,INDEX(DB,$I502,6),0)</f>
        <v>0</v>
      </c>
      <c r="K502" s="446">
        <f t="shared" si="5"/>
        <v>0</v>
      </c>
      <c r="L502" s="446">
        <f t="shared" si="6"/>
        <v>0</v>
      </c>
      <c r="M502" s="441">
        <f>IF(L502&lt;O502,MinPoints,IF(AND(L502&gt;N502,O502&gt;0),100,+INT(($L502-O502)/P502)+MinPoints))</f>
        <v>10</v>
      </c>
      <c r="N502" s="440">
        <f t="shared" si="7"/>
        <v>50</v>
      </c>
      <c r="O502" s="440">
        <f t="shared" si="8"/>
        <v>5</v>
      </c>
      <c r="P502" s="440">
        <f t="shared" si="9"/>
        <v>0.5</v>
      </c>
      <c r="Q502">
        <f t="array" ref="Q502">IF(I502&gt;0,INDEX(DB,I502,9),EventIndex)</f>
        <v>6</v>
      </c>
      <c r="S502" s="442">
        <f t="array" ref="S502">INDEX(MINVALUES,$Q502,$K$1)</f>
        <v>5</v>
      </c>
      <c r="T502">
        <f t="array" ref="T502">INDEX(INCVALUES,$Q502,$K$1)</f>
        <v>0.5</v>
      </c>
      <c r="V502">
        <f t="array" ref="V502">+J502+(4*(INDEX(MatchScoreTable,$Q502,20)-1))</f>
        <v>4</v>
      </c>
      <c r="W502" s="442">
        <f t="array" ref="W502">INDEX(INC_MINVALUES,$V502,$K$1)</f>
        <v>2.5</v>
      </c>
      <c r="X502" s="212">
        <f t="array" ref="X502">INDEX(INC_INCVALUES,$V502,$K$1)</f>
        <v>0.5</v>
      </c>
    </row>
    <row r="503" ht="15.75" customHeight="1">
      <c r="A503" s="435"/>
      <c r="B503" s="436"/>
      <c r="C503" s="95" t="str">
        <f t="array" ref="C503">IF(I503&gt;0,INDEX(DB,I503,8),"")</f>
        <v/>
      </c>
      <c r="D503" s="437">
        <f t="shared" si="1"/>
        <v>0</v>
      </c>
      <c r="F503" s="438">
        <f t="shared" si="2"/>
        <v>0</v>
      </c>
      <c r="G503" t="str">
        <f t="shared" si="3"/>
        <v/>
      </c>
      <c r="H503" t="b">
        <f t="shared" si="4"/>
        <v>0</v>
      </c>
      <c r="I503" s="439">
        <f>IF(OR(ISBLANK(A503),ISNA(MATCH(A503&amp;"",AthleteNumbers,0))),0,MATCH(A503&amp;"",AthleteNumbers,0))</f>
        <v>0</v>
      </c>
      <c r="J503" s="209">
        <f t="array" ref="J503">IF(I503&gt;0,INDEX(DB,$I503,6),0)</f>
        <v>0</v>
      </c>
      <c r="K503" s="446">
        <f t="shared" si="5"/>
        <v>0</v>
      </c>
      <c r="L503" s="446">
        <f t="shared" si="6"/>
        <v>0</v>
      </c>
      <c r="M503" s="441">
        <f>IF(L503&lt;O503,MinPoints,IF(AND(L503&gt;N503,O503&gt;0),100,+INT(($L503-O503)/P503)+MinPoints))</f>
        <v>10</v>
      </c>
      <c r="N503" s="440">
        <f t="shared" si="7"/>
        <v>50</v>
      </c>
      <c r="O503" s="440">
        <f t="shared" si="8"/>
        <v>5</v>
      </c>
      <c r="P503" s="440">
        <f t="shared" si="9"/>
        <v>0.5</v>
      </c>
      <c r="Q503">
        <f t="array" ref="Q503">IF(I503&gt;0,INDEX(DB,I503,9),EventIndex)</f>
        <v>6</v>
      </c>
      <c r="S503" s="442">
        <f t="array" ref="S503">INDEX(MINVALUES,$Q503,$K$1)</f>
        <v>5</v>
      </c>
      <c r="T503">
        <f t="array" ref="T503">INDEX(INCVALUES,$Q503,$K$1)</f>
        <v>0.5</v>
      </c>
      <c r="V503">
        <f t="array" ref="V503">+J503+(4*(INDEX(MatchScoreTable,$Q503,20)-1))</f>
        <v>4</v>
      </c>
      <c r="W503" s="442">
        <f t="array" ref="W503">INDEX(INC_MINVALUES,$V503,$K$1)</f>
        <v>2.5</v>
      </c>
      <c r="X503" s="212">
        <f t="array" ref="X503">INDEX(INC_INCVALUES,$V503,$K$1)</f>
        <v>0.5</v>
      </c>
    </row>
    <row r="504" ht="15.75" customHeight="1">
      <c r="A504" s="435"/>
      <c r="B504" s="436"/>
      <c r="C504" s="95" t="str">
        <f t="array" ref="C504">IF(I504&gt;0,INDEX(DB,I504,8),"")</f>
        <v/>
      </c>
      <c r="D504" s="437">
        <f t="shared" si="1"/>
        <v>0</v>
      </c>
      <c r="F504" s="438">
        <f t="shared" si="2"/>
        <v>0</v>
      </c>
      <c r="G504" t="str">
        <f t="shared" si="3"/>
        <v/>
      </c>
      <c r="H504" t="b">
        <f t="shared" si="4"/>
        <v>0</v>
      </c>
      <c r="I504" s="439">
        <f>IF(OR(ISBLANK(A504),ISNA(MATCH(A504&amp;"",AthleteNumbers,0))),0,MATCH(A504&amp;"",AthleteNumbers,0))</f>
        <v>0</v>
      </c>
      <c r="J504" s="209">
        <f t="array" ref="J504">IF(I504&gt;0,INDEX(DB,$I504,6),0)</f>
        <v>0</v>
      </c>
      <c r="K504" s="446">
        <f t="shared" si="5"/>
        <v>0</v>
      </c>
      <c r="L504" s="446">
        <f t="shared" si="6"/>
        <v>0</v>
      </c>
      <c r="M504" s="441">
        <f>IF(L504&lt;O504,MinPoints,IF(AND(L504&gt;N504,O504&gt;0),100,+INT(($L504-O504)/P504)+MinPoints))</f>
        <v>10</v>
      </c>
      <c r="N504" s="440">
        <f t="shared" si="7"/>
        <v>50</v>
      </c>
      <c r="O504" s="440">
        <f t="shared" si="8"/>
        <v>5</v>
      </c>
      <c r="P504" s="440">
        <f t="shared" si="9"/>
        <v>0.5</v>
      </c>
      <c r="Q504">
        <f t="array" ref="Q504">IF(I504&gt;0,INDEX(DB,I504,9),EventIndex)</f>
        <v>6</v>
      </c>
      <c r="S504" s="442">
        <f t="array" ref="S504">INDEX(MINVALUES,$Q504,$K$1)</f>
        <v>5</v>
      </c>
      <c r="T504">
        <f t="array" ref="T504">INDEX(INCVALUES,$Q504,$K$1)</f>
        <v>0.5</v>
      </c>
      <c r="V504">
        <f t="array" ref="V504">+J504+(4*(INDEX(MatchScoreTable,$Q504,20)-1))</f>
        <v>4</v>
      </c>
      <c r="W504" s="442">
        <f t="array" ref="W504">INDEX(INC_MINVALUES,$V504,$K$1)</f>
        <v>2.5</v>
      </c>
      <c r="X504" s="212">
        <f t="array" ref="X504">INDEX(INC_INCVALUES,$V504,$K$1)</f>
        <v>0.5</v>
      </c>
    </row>
    <row r="505" ht="15.75" customHeight="1">
      <c r="A505" s="435"/>
      <c r="B505" s="436"/>
      <c r="C505" s="95" t="str">
        <f t="array" ref="C505">IF(I505&gt;0,INDEX(DB,I505,8),"")</f>
        <v/>
      </c>
      <c r="D505" s="437">
        <f t="shared" si="1"/>
        <v>0</v>
      </c>
      <c r="F505" s="438">
        <f t="shared" si="2"/>
        <v>0</v>
      </c>
      <c r="G505" t="str">
        <f t="shared" si="3"/>
        <v/>
      </c>
      <c r="H505" t="b">
        <f t="shared" si="4"/>
        <v>0</v>
      </c>
      <c r="I505" s="439">
        <f>IF(OR(ISBLANK(A505),ISNA(MATCH(A505&amp;"",AthleteNumbers,0))),0,MATCH(A505&amp;"",AthleteNumbers,0))</f>
        <v>0</v>
      </c>
      <c r="J505" s="209">
        <f t="array" ref="J505">IF(I505&gt;0,INDEX(DB,$I505,6),0)</f>
        <v>0</v>
      </c>
      <c r="K505" s="446">
        <f t="shared" si="5"/>
        <v>0</v>
      </c>
      <c r="L505" s="446">
        <f t="shared" si="6"/>
        <v>0</v>
      </c>
      <c r="M505" s="441">
        <f>IF(L505&lt;O505,MinPoints,IF(AND(L505&gt;N505,O505&gt;0),100,+INT(($L505-O505)/P505)+MinPoints))</f>
        <v>10</v>
      </c>
      <c r="N505" s="440">
        <f t="shared" si="7"/>
        <v>50</v>
      </c>
      <c r="O505" s="440">
        <f t="shared" si="8"/>
        <v>5</v>
      </c>
      <c r="P505" s="440">
        <f t="shared" si="9"/>
        <v>0.5</v>
      </c>
      <c r="Q505">
        <f t="array" ref="Q505">IF(I505&gt;0,INDEX(DB,I505,9),EventIndex)</f>
        <v>6</v>
      </c>
      <c r="S505" s="442">
        <f t="array" ref="S505">INDEX(MINVALUES,$Q505,$K$1)</f>
        <v>5</v>
      </c>
      <c r="T505">
        <f t="array" ref="T505">INDEX(INCVALUES,$Q505,$K$1)</f>
        <v>0.5</v>
      </c>
      <c r="V505">
        <f t="array" ref="V505">+J505+(4*(INDEX(MatchScoreTable,$Q505,20)-1))</f>
        <v>4</v>
      </c>
      <c r="W505" s="442">
        <f t="array" ref="W505">INDEX(INC_MINVALUES,$V505,$K$1)</f>
        <v>2.5</v>
      </c>
      <c r="X505" s="212">
        <f t="array" ref="X505">INDEX(INC_INCVALUES,$V505,$K$1)</f>
        <v>0.5</v>
      </c>
    </row>
    <row r="506" ht="15.75" customHeight="1">
      <c r="A506" s="435"/>
      <c r="B506" s="436"/>
      <c r="C506" s="95" t="str">
        <f t="array" ref="C506">IF(I506&gt;0,INDEX(DB,I506,8),"")</f>
        <v/>
      </c>
      <c r="D506" s="437">
        <f t="shared" si="1"/>
        <v>0</v>
      </c>
      <c r="F506" s="438">
        <f t="shared" si="2"/>
        <v>0</v>
      </c>
      <c r="G506" t="str">
        <f t="shared" si="3"/>
        <v/>
      </c>
      <c r="H506" t="b">
        <f t="shared" si="4"/>
        <v>0</v>
      </c>
      <c r="I506" s="439">
        <f>IF(OR(ISBLANK(A506),ISNA(MATCH(A506&amp;"",AthleteNumbers,0))),0,MATCH(A506&amp;"",AthleteNumbers,0))</f>
        <v>0</v>
      </c>
      <c r="J506" s="209">
        <f t="array" ref="J506">IF(I506&gt;0,INDEX(DB,$I506,6),0)</f>
        <v>0</v>
      </c>
      <c r="K506" s="446">
        <f t="shared" si="5"/>
        <v>0</v>
      </c>
      <c r="L506" s="446">
        <f t="shared" si="6"/>
        <v>0</v>
      </c>
      <c r="M506" s="441">
        <f>IF(L506&lt;O506,MinPoints,IF(AND(L506&gt;N506,O506&gt;0),100,+INT(($L506-O506)/P506)+MinPoints))</f>
        <v>10</v>
      </c>
      <c r="N506" s="440">
        <f t="shared" si="7"/>
        <v>50</v>
      </c>
      <c r="O506" s="440">
        <f t="shared" si="8"/>
        <v>5</v>
      </c>
      <c r="P506" s="440">
        <f t="shared" si="9"/>
        <v>0.5</v>
      </c>
      <c r="Q506">
        <f t="array" ref="Q506">IF(I506&gt;0,INDEX(DB,I506,9),EventIndex)</f>
        <v>6</v>
      </c>
      <c r="S506" s="442">
        <f t="array" ref="S506">INDEX(MINVALUES,$Q506,$K$1)</f>
        <v>5</v>
      </c>
      <c r="T506">
        <f t="array" ref="T506">INDEX(INCVALUES,$Q506,$K$1)</f>
        <v>0.5</v>
      </c>
      <c r="V506">
        <f t="array" ref="V506">+J506+(4*(INDEX(MatchScoreTable,$Q506,20)-1))</f>
        <v>4</v>
      </c>
      <c r="W506" s="442">
        <f t="array" ref="W506">INDEX(INC_MINVALUES,$V506,$K$1)</f>
        <v>2.5</v>
      </c>
      <c r="X506" s="212">
        <f t="array" ref="X506">INDEX(INC_INCVALUES,$V506,$K$1)</f>
        <v>0.5</v>
      </c>
    </row>
    <row r="507" ht="15.75" customHeight="1">
      <c r="A507" s="435"/>
      <c r="B507" s="436"/>
      <c r="C507" s="95" t="str">
        <f t="array" ref="C507">IF(I507&gt;0,INDEX(DB,I507,8),"")</f>
        <v/>
      </c>
      <c r="D507" s="437">
        <f t="shared" si="1"/>
        <v>0</v>
      </c>
      <c r="F507" s="438">
        <f t="shared" si="2"/>
        <v>0</v>
      </c>
      <c r="G507" t="str">
        <f t="shared" si="3"/>
        <v/>
      </c>
      <c r="H507" t="b">
        <f t="shared" si="4"/>
        <v>0</v>
      </c>
      <c r="I507" s="439">
        <f>IF(OR(ISBLANK(A507),ISNA(MATCH(A507&amp;"",AthleteNumbers,0))),0,MATCH(A507&amp;"",AthleteNumbers,0))</f>
        <v>0</v>
      </c>
      <c r="J507" s="209">
        <f t="array" ref="J507">IF(I507&gt;0,INDEX(DB,$I507,6),0)</f>
        <v>0</v>
      </c>
      <c r="K507" s="446">
        <f t="shared" si="5"/>
        <v>0</v>
      </c>
      <c r="L507" s="446">
        <f t="shared" si="6"/>
        <v>0</v>
      </c>
      <c r="M507" s="441">
        <f>IF(L507&lt;O507,MinPoints,IF(AND(L507&gt;N507,O507&gt;0),100,+INT(($L507-O507)/P507)+MinPoints))</f>
        <v>10</v>
      </c>
      <c r="N507" s="440">
        <f t="shared" si="7"/>
        <v>50</v>
      </c>
      <c r="O507" s="440">
        <f t="shared" si="8"/>
        <v>5</v>
      </c>
      <c r="P507" s="440">
        <f t="shared" si="9"/>
        <v>0.5</v>
      </c>
      <c r="Q507">
        <f t="array" ref="Q507">IF(I507&gt;0,INDEX(DB,I507,9),EventIndex)</f>
        <v>6</v>
      </c>
      <c r="S507" s="442">
        <f t="array" ref="S507">INDEX(MINVALUES,$Q507,$K$1)</f>
        <v>5</v>
      </c>
      <c r="T507">
        <f t="array" ref="T507">INDEX(INCVALUES,$Q507,$K$1)</f>
        <v>0.5</v>
      </c>
      <c r="V507">
        <f t="array" ref="V507">+J507+(4*(INDEX(MatchScoreTable,$Q507,20)-1))</f>
        <v>4</v>
      </c>
      <c r="W507" s="442">
        <f t="array" ref="W507">INDEX(INC_MINVALUES,$V507,$K$1)</f>
        <v>2.5</v>
      </c>
      <c r="X507" s="212">
        <f t="array" ref="X507">INDEX(INC_INCVALUES,$V507,$K$1)</f>
        <v>0.5</v>
      </c>
    </row>
    <row r="508" ht="15.75" customHeight="1">
      <c r="A508" s="435"/>
      <c r="B508" s="436"/>
      <c r="C508" s="95" t="str">
        <f t="array" ref="C508">IF(I508&gt;0,INDEX(DB,I508,8),"")</f>
        <v/>
      </c>
      <c r="D508" s="437">
        <f t="shared" si="1"/>
        <v>0</v>
      </c>
      <c r="F508" s="438">
        <f t="shared" si="2"/>
        <v>0</v>
      </c>
      <c r="G508" t="str">
        <f t="shared" si="3"/>
        <v/>
      </c>
      <c r="H508" t="b">
        <f t="shared" si="4"/>
        <v>0</v>
      </c>
      <c r="I508" s="439">
        <f>IF(OR(ISBLANK(A508),ISNA(MATCH(A508&amp;"",AthleteNumbers,0))),0,MATCH(A508&amp;"",AthleteNumbers,0))</f>
        <v>0</v>
      </c>
      <c r="J508" s="209">
        <f t="array" ref="J508">IF(I508&gt;0,INDEX(DB,$I508,6),0)</f>
        <v>0</v>
      </c>
      <c r="K508" s="446">
        <f t="shared" si="5"/>
        <v>0</v>
      </c>
      <c r="L508" s="446">
        <f t="shared" si="6"/>
        <v>0</v>
      </c>
      <c r="M508" s="441">
        <f>IF(L508&lt;O508,MinPoints,IF(AND(L508&gt;N508,O508&gt;0),100,+INT(($L508-O508)/P508)+MinPoints))</f>
        <v>10</v>
      </c>
      <c r="N508" s="440">
        <f t="shared" si="7"/>
        <v>50</v>
      </c>
      <c r="O508" s="440">
        <f t="shared" si="8"/>
        <v>5</v>
      </c>
      <c r="P508" s="440">
        <f t="shared" si="9"/>
        <v>0.5</v>
      </c>
      <c r="Q508">
        <f t="array" ref="Q508">IF(I508&gt;0,INDEX(DB,I508,9),EventIndex)</f>
        <v>6</v>
      </c>
      <c r="S508" s="442">
        <f t="array" ref="S508">INDEX(MINVALUES,$Q508,$K$1)</f>
        <v>5</v>
      </c>
      <c r="T508">
        <f t="array" ref="T508">INDEX(INCVALUES,$Q508,$K$1)</f>
        <v>0.5</v>
      </c>
      <c r="V508">
        <f t="array" ref="V508">+J508+(4*(INDEX(MatchScoreTable,$Q508,20)-1))</f>
        <v>4</v>
      </c>
      <c r="W508" s="442">
        <f t="array" ref="W508">INDEX(INC_MINVALUES,$V508,$K$1)</f>
        <v>2.5</v>
      </c>
      <c r="X508" s="212">
        <f t="array" ref="X508">INDEX(INC_INCVALUES,$V508,$K$1)</f>
        <v>0.5</v>
      </c>
    </row>
    <row r="509" ht="15.75" customHeight="1">
      <c r="A509" s="435"/>
      <c r="B509" s="436"/>
      <c r="C509" s="95" t="str">
        <f t="array" ref="C509">IF(I509&gt;0,INDEX(DB,I509,8),"")</f>
        <v/>
      </c>
      <c r="D509" s="437">
        <f t="shared" si="1"/>
        <v>0</v>
      </c>
      <c r="F509" s="438">
        <f t="shared" si="2"/>
        <v>0</v>
      </c>
      <c r="G509" t="str">
        <f t="shared" si="3"/>
        <v/>
      </c>
      <c r="H509" t="b">
        <f t="shared" si="4"/>
        <v>0</v>
      </c>
      <c r="I509" s="439">
        <f>IF(OR(ISBLANK(A509),ISNA(MATCH(A509&amp;"",AthleteNumbers,0))),0,MATCH(A509&amp;"",AthleteNumbers,0))</f>
        <v>0</v>
      </c>
      <c r="J509" s="209">
        <f t="array" ref="J509">IF(I509&gt;0,INDEX(DB,$I509,6),0)</f>
        <v>0</v>
      </c>
      <c r="K509" s="446">
        <f t="shared" si="5"/>
        <v>0</v>
      </c>
      <c r="L509" s="446">
        <f t="shared" si="6"/>
        <v>0</v>
      </c>
      <c r="M509" s="441">
        <f>IF(L509&lt;O509,MinPoints,IF(AND(L509&gt;N509,O509&gt;0),100,+INT(($L509-O509)/P509)+MinPoints))</f>
        <v>10</v>
      </c>
      <c r="N509" s="440">
        <f t="shared" si="7"/>
        <v>50</v>
      </c>
      <c r="O509" s="440">
        <f t="shared" si="8"/>
        <v>5</v>
      </c>
      <c r="P509" s="440">
        <f t="shared" si="9"/>
        <v>0.5</v>
      </c>
      <c r="Q509">
        <f t="array" ref="Q509">IF(I509&gt;0,INDEX(DB,I509,9),EventIndex)</f>
        <v>6</v>
      </c>
      <c r="S509" s="442">
        <f t="array" ref="S509">INDEX(MINVALUES,$Q509,$K$1)</f>
        <v>5</v>
      </c>
      <c r="T509">
        <f t="array" ref="T509">INDEX(INCVALUES,$Q509,$K$1)</f>
        <v>0.5</v>
      </c>
      <c r="V509">
        <f t="array" ref="V509">+J509+(4*(INDEX(MatchScoreTable,$Q509,20)-1))</f>
        <v>4</v>
      </c>
      <c r="W509" s="442">
        <f t="array" ref="W509">INDEX(INC_MINVALUES,$V509,$K$1)</f>
        <v>2.5</v>
      </c>
      <c r="X509" s="212">
        <f t="array" ref="X509">INDEX(INC_INCVALUES,$V509,$K$1)</f>
        <v>0.5</v>
      </c>
    </row>
    <row r="510" ht="15.75" customHeight="1">
      <c r="A510" s="435"/>
      <c r="B510" s="436"/>
      <c r="C510" s="95" t="str">
        <f t="array" ref="C510">IF(I510&gt;0,INDEX(DB,I510,8),"")</f>
        <v/>
      </c>
      <c r="D510" s="437">
        <f t="shared" si="1"/>
        <v>0</v>
      </c>
      <c r="F510" s="438">
        <f t="shared" si="2"/>
        <v>0</v>
      </c>
      <c r="G510" t="str">
        <f t="shared" si="3"/>
        <v/>
      </c>
      <c r="H510" t="b">
        <f t="shared" si="4"/>
        <v>0</v>
      </c>
      <c r="I510" s="439">
        <f>IF(OR(ISBLANK(A510),ISNA(MATCH(A510&amp;"",AthleteNumbers,0))),0,MATCH(A510&amp;"",AthleteNumbers,0))</f>
        <v>0</v>
      </c>
      <c r="J510" s="209">
        <f t="array" ref="J510">IF(I510&gt;0,INDEX(DB,$I510,6),0)</f>
        <v>0</v>
      </c>
      <c r="K510" s="446">
        <f t="shared" si="5"/>
        <v>0</v>
      </c>
      <c r="L510" s="446">
        <f t="shared" si="6"/>
        <v>0</v>
      </c>
      <c r="M510" s="441">
        <f>IF(L510&lt;O510,MinPoints,IF(AND(L510&gt;N510,O510&gt;0),100,+INT(($L510-O510)/P510)+MinPoints))</f>
        <v>10</v>
      </c>
      <c r="N510" s="440">
        <f t="shared" si="7"/>
        <v>50</v>
      </c>
      <c r="O510" s="440">
        <f t="shared" si="8"/>
        <v>5</v>
      </c>
      <c r="P510" s="440">
        <f t="shared" si="9"/>
        <v>0.5</v>
      </c>
      <c r="Q510">
        <f t="array" ref="Q510">IF(I510&gt;0,INDEX(DB,I510,9),EventIndex)</f>
        <v>6</v>
      </c>
      <c r="S510" s="442">
        <f t="array" ref="S510">INDEX(MINVALUES,$Q510,$K$1)</f>
        <v>5</v>
      </c>
      <c r="T510">
        <f t="array" ref="T510">INDEX(INCVALUES,$Q510,$K$1)</f>
        <v>0.5</v>
      </c>
      <c r="V510">
        <f t="array" ref="V510">+J510+(4*(INDEX(MatchScoreTable,$Q510,20)-1))</f>
        <v>4</v>
      </c>
      <c r="W510" s="442">
        <f t="array" ref="W510">INDEX(INC_MINVALUES,$V510,$K$1)</f>
        <v>2.5</v>
      </c>
      <c r="X510" s="212">
        <f t="array" ref="X510">INDEX(INC_INCVALUES,$V510,$K$1)</f>
        <v>0.5</v>
      </c>
    </row>
    <row r="511" ht="15.75" customHeight="1">
      <c r="A511" s="435"/>
      <c r="B511" s="436"/>
      <c r="C511" s="95" t="str">
        <f t="array" ref="C511">IF(I511&gt;0,INDEX(DB,I511,8),"")</f>
        <v/>
      </c>
      <c r="D511" s="437">
        <f t="shared" si="1"/>
        <v>0</v>
      </c>
      <c r="F511" s="438">
        <f t="shared" si="2"/>
        <v>0</v>
      </c>
      <c r="G511" t="str">
        <f t="shared" si="3"/>
        <v/>
      </c>
      <c r="H511" t="b">
        <f t="shared" si="4"/>
        <v>0</v>
      </c>
      <c r="I511" s="439">
        <f>IF(OR(ISBLANK(A511),ISNA(MATCH(A511&amp;"",AthleteNumbers,0))),0,MATCH(A511&amp;"",AthleteNumbers,0))</f>
        <v>0</v>
      </c>
      <c r="J511" s="209">
        <f t="array" ref="J511">IF(I511&gt;0,INDEX(DB,$I511,6),0)</f>
        <v>0</v>
      </c>
      <c r="K511" s="446">
        <f t="shared" si="5"/>
        <v>0</v>
      </c>
      <c r="L511" s="446">
        <f t="shared" si="6"/>
        <v>0</v>
      </c>
      <c r="M511" s="441">
        <f>IF(L511&lt;O511,MinPoints,IF(AND(L511&gt;N511,O511&gt;0),100,+INT(($L511-O511)/P511)+MinPoints))</f>
        <v>10</v>
      </c>
      <c r="N511" s="440">
        <f t="shared" si="7"/>
        <v>50</v>
      </c>
      <c r="O511" s="440">
        <f t="shared" si="8"/>
        <v>5</v>
      </c>
      <c r="P511" s="440">
        <f t="shared" si="9"/>
        <v>0.5</v>
      </c>
      <c r="Q511">
        <f t="array" ref="Q511">IF(I511&gt;0,INDEX(DB,I511,9),EventIndex)</f>
        <v>6</v>
      </c>
      <c r="S511" s="442">
        <f t="array" ref="S511">INDEX(MINVALUES,$Q511,$K$1)</f>
        <v>5</v>
      </c>
      <c r="T511">
        <f t="array" ref="T511">INDEX(INCVALUES,$Q511,$K$1)</f>
        <v>0.5</v>
      </c>
      <c r="V511">
        <f t="array" ref="V511">+J511+(4*(INDEX(MatchScoreTable,$Q511,20)-1))</f>
        <v>4</v>
      </c>
      <c r="W511" s="442">
        <f t="array" ref="W511">INDEX(INC_MINVALUES,$V511,$K$1)</f>
        <v>2.5</v>
      </c>
      <c r="X511" s="212">
        <f t="array" ref="X511">INDEX(INC_INCVALUES,$V511,$K$1)</f>
        <v>0.5</v>
      </c>
    </row>
    <row r="512" ht="15.75" customHeight="1">
      <c r="A512" s="435"/>
      <c r="B512" s="436"/>
      <c r="C512" s="95" t="str">
        <f t="array" ref="C512">IF(I512&gt;0,INDEX(DB,I512,8),"")</f>
        <v/>
      </c>
      <c r="D512" s="437">
        <f t="shared" si="1"/>
        <v>0</v>
      </c>
      <c r="F512" s="438">
        <f t="shared" si="2"/>
        <v>0</v>
      </c>
      <c r="G512" t="str">
        <f t="shared" si="3"/>
        <v/>
      </c>
      <c r="H512" t="b">
        <f t="shared" si="4"/>
        <v>0</v>
      </c>
      <c r="I512" s="439">
        <f>IF(OR(ISBLANK(A512),ISNA(MATCH(A512&amp;"",AthleteNumbers,0))),0,MATCH(A512&amp;"",AthleteNumbers,0))</f>
        <v>0</v>
      </c>
      <c r="J512" s="209">
        <f t="array" ref="J512">IF(I512&gt;0,INDEX(DB,$I512,6),0)</f>
        <v>0</v>
      </c>
      <c r="K512" s="446">
        <f t="shared" si="5"/>
        <v>0</v>
      </c>
      <c r="L512" s="446">
        <f t="shared" si="6"/>
        <v>0</v>
      </c>
      <c r="M512" s="441">
        <f>IF(L512&lt;O512,MinPoints,IF(AND(L512&gt;N512,O512&gt;0),100,+INT(($L512-O512)/P512)+MinPoints))</f>
        <v>10</v>
      </c>
      <c r="N512" s="440">
        <f t="shared" si="7"/>
        <v>50</v>
      </c>
      <c r="O512" s="440">
        <f t="shared" si="8"/>
        <v>5</v>
      </c>
      <c r="P512" s="440">
        <f t="shared" si="9"/>
        <v>0.5</v>
      </c>
      <c r="Q512">
        <f t="array" ref="Q512">IF(I512&gt;0,INDEX(DB,I512,9),EventIndex)</f>
        <v>6</v>
      </c>
      <c r="S512" s="442">
        <f t="array" ref="S512">INDEX(MINVALUES,$Q512,$K$1)</f>
        <v>5</v>
      </c>
      <c r="T512">
        <f t="array" ref="T512">INDEX(INCVALUES,$Q512,$K$1)</f>
        <v>0.5</v>
      </c>
      <c r="V512">
        <f t="array" ref="V512">+J512+(4*(INDEX(MatchScoreTable,$Q512,20)-1))</f>
        <v>4</v>
      </c>
      <c r="W512" s="442">
        <f t="array" ref="W512">INDEX(INC_MINVALUES,$V512,$K$1)</f>
        <v>2.5</v>
      </c>
      <c r="X512" s="212">
        <f t="array" ref="X512">INDEX(INC_INCVALUES,$V512,$K$1)</f>
        <v>0.5</v>
      </c>
    </row>
    <row r="513" ht="15.75" customHeight="1">
      <c r="A513" s="435"/>
      <c r="B513" s="436"/>
      <c r="C513" s="95" t="str">
        <f t="array" ref="C513">IF(I513&gt;0,INDEX(DB,I513,8),"")</f>
        <v/>
      </c>
      <c r="D513" s="437">
        <f t="shared" si="1"/>
        <v>0</v>
      </c>
      <c r="F513" s="438">
        <f t="shared" si="2"/>
        <v>0</v>
      </c>
      <c r="G513" t="str">
        <f t="shared" si="3"/>
        <v/>
      </c>
      <c r="H513" t="b">
        <f t="shared" si="4"/>
        <v>0</v>
      </c>
      <c r="I513" s="439">
        <f>IF(OR(ISBLANK(A513),ISNA(MATCH(A513&amp;"",AthleteNumbers,0))),0,MATCH(A513&amp;"",AthleteNumbers,0))</f>
        <v>0</v>
      </c>
      <c r="J513" s="209">
        <f t="array" ref="J513">IF(I513&gt;0,INDEX(DB,$I513,6),0)</f>
        <v>0</v>
      </c>
      <c r="K513" s="446">
        <f t="shared" si="5"/>
        <v>0</v>
      </c>
      <c r="L513" s="446">
        <f t="shared" si="6"/>
        <v>0</v>
      </c>
      <c r="M513" s="441">
        <f>IF(L513&lt;O513,MinPoints,IF(AND(L513&gt;N513,O513&gt;0),100,+INT(($L513-O513)/P513)+MinPoints))</f>
        <v>10</v>
      </c>
      <c r="N513" s="440">
        <f t="shared" si="7"/>
        <v>50</v>
      </c>
      <c r="O513" s="440">
        <f t="shared" si="8"/>
        <v>5</v>
      </c>
      <c r="P513" s="440">
        <f t="shared" si="9"/>
        <v>0.5</v>
      </c>
      <c r="Q513">
        <f t="array" ref="Q513">IF(I513&gt;0,INDEX(DB,I513,9),EventIndex)</f>
        <v>6</v>
      </c>
      <c r="S513" s="442">
        <f t="array" ref="S513">INDEX(MINVALUES,$Q513,$K$1)</f>
        <v>5</v>
      </c>
      <c r="T513">
        <f t="array" ref="T513">INDEX(INCVALUES,$Q513,$K$1)</f>
        <v>0.5</v>
      </c>
      <c r="V513">
        <f t="array" ref="V513">+J513+(4*(INDEX(MatchScoreTable,$Q513,20)-1))</f>
        <v>4</v>
      </c>
      <c r="W513" s="442">
        <f t="array" ref="W513">INDEX(INC_MINVALUES,$V513,$K$1)</f>
        <v>2.5</v>
      </c>
      <c r="X513" s="212">
        <f t="array" ref="X513">INDEX(INC_INCVALUES,$V513,$K$1)</f>
        <v>0.5</v>
      </c>
    </row>
    <row r="514" ht="15.75" customHeight="1">
      <c r="A514" s="435"/>
      <c r="B514" s="436"/>
      <c r="C514" s="95" t="str">
        <f t="array" ref="C514">IF(I514&gt;0,INDEX(DB,I514,8),"")</f>
        <v/>
      </c>
      <c r="D514" s="437">
        <f t="shared" si="1"/>
        <v>0</v>
      </c>
      <c r="F514" s="438">
        <f t="shared" si="2"/>
        <v>0</v>
      </c>
      <c r="G514" t="str">
        <f t="shared" si="3"/>
        <v/>
      </c>
      <c r="H514" t="b">
        <f t="shared" si="4"/>
        <v>0</v>
      </c>
      <c r="I514" s="439">
        <f>IF(OR(ISBLANK(A514),ISNA(MATCH(A514&amp;"",AthleteNumbers,0))),0,MATCH(A514&amp;"",AthleteNumbers,0))</f>
        <v>0</v>
      </c>
      <c r="J514" s="209">
        <f t="array" ref="J514">IF(I514&gt;0,INDEX(DB,$I514,6),0)</f>
        <v>0</v>
      </c>
      <c r="K514" s="446">
        <f t="shared" si="5"/>
        <v>0</v>
      </c>
      <c r="L514" s="446">
        <f t="shared" si="6"/>
        <v>0</v>
      </c>
      <c r="M514" s="441">
        <f>IF(L514&lt;O514,MinPoints,IF(AND(L514&gt;N514,O514&gt;0),100,+INT(($L514-O514)/P514)+MinPoints))</f>
        <v>10</v>
      </c>
      <c r="N514" s="440">
        <f t="shared" si="7"/>
        <v>50</v>
      </c>
      <c r="O514" s="440">
        <f t="shared" si="8"/>
        <v>5</v>
      </c>
      <c r="P514" s="440">
        <f t="shared" si="9"/>
        <v>0.5</v>
      </c>
      <c r="Q514">
        <f t="array" ref="Q514">IF(I514&gt;0,INDEX(DB,I514,9),EventIndex)</f>
        <v>6</v>
      </c>
      <c r="S514" s="442">
        <f t="array" ref="S514">INDEX(MINVALUES,$Q514,$K$1)</f>
        <v>5</v>
      </c>
      <c r="T514">
        <f t="array" ref="T514">INDEX(INCVALUES,$Q514,$K$1)</f>
        <v>0.5</v>
      </c>
      <c r="V514">
        <f t="array" ref="V514">+J514+(4*(INDEX(MatchScoreTable,$Q514,20)-1))</f>
        <v>4</v>
      </c>
      <c r="W514" s="442">
        <f t="array" ref="W514">INDEX(INC_MINVALUES,$V514,$K$1)</f>
        <v>2.5</v>
      </c>
      <c r="X514" s="212">
        <f t="array" ref="X514">INDEX(INC_INCVALUES,$V514,$K$1)</f>
        <v>0.5</v>
      </c>
    </row>
    <row r="515" ht="15.75" customHeight="1">
      <c r="A515" s="435"/>
      <c r="B515" s="436"/>
      <c r="C515" s="95" t="str">
        <f t="array" ref="C515">IF(I515&gt;0,INDEX(DB,I515,8),"")</f>
        <v/>
      </c>
      <c r="D515" s="437">
        <f t="shared" si="1"/>
        <v>0</v>
      </c>
      <c r="F515" s="438">
        <f t="shared" si="2"/>
        <v>0</v>
      </c>
      <c r="G515" t="str">
        <f t="shared" si="3"/>
        <v/>
      </c>
      <c r="H515" t="b">
        <f t="shared" si="4"/>
        <v>0</v>
      </c>
      <c r="I515" s="439">
        <f>IF(OR(ISBLANK(A515),ISNA(MATCH(A515&amp;"",AthleteNumbers,0))),0,MATCH(A515&amp;"",AthleteNumbers,0))</f>
        <v>0</v>
      </c>
      <c r="J515" s="209">
        <f t="array" ref="J515">IF(I515&gt;0,INDEX(DB,$I515,6),0)</f>
        <v>0</v>
      </c>
      <c r="K515" s="446">
        <f t="shared" si="5"/>
        <v>0</v>
      </c>
      <c r="L515" s="446">
        <f t="shared" si="6"/>
        <v>0</v>
      </c>
      <c r="M515" s="441">
        <f>IF(L515&lt;O515,MinPoints,IF(AND(L515&gt;N515,O515&gt;0),100,+INT(($L515-O515)/P515)+MinPoints))</f>
        <v>10</v>
      </c>
      <c r="N515" s="440">
        <f t="shared" si="7"/>
        <v>50</v>
      </c>
      <c r="O515" s="440">
        <f t="shared" si="8"/>
        <v>5</v>
      </c>
      <c r="P515" s="440">
        <f t="shared" si="9"/>
        <v>0.5</v>
      </c>
      <c r="Q515">
        <f t="array" ref="Q515">IF(I515&gt;0,INDEX(DB,I515,9),EventIndex)</f>
        <v>6</v>
      </c>
      <c r="S515" s="442">
        <f t="array" ref="S515">INDEX(MINVALUES,$Q515,$K$1)</f>
        <v>5</v>
      </c>
      <c r="T515">
        <f t="array" ref="T515">INDEX(INCVALUES,$Q515,$K$1)</f>
        <v>0.5</v>
      </c>
      <c r="V515">
        <f t="array" ref="V515">+J515+(4*(INDEX(MatchScoreTable,$Q515,20)-1))</f>
        <v>4</v>
      </c>
      <c r="W515" s="442">
        <f t="array" ref="W515">INDEX(INC_MINVALUES,$V515,$K$1)</f>
        <v>2.5</v>
      </c>
      <c r="X515" s="212">
        <f t="array" ref="X515">INDEX(INC_INCVALUES,$V515,$K$1)</f>
        <v>0.5</v>
      </c>
    </row>
    <row r="516" ht="15.75" customHeight="1">
      <c r="A516" s="435"/>
      <c r="B516" s="436"/>
      <c r="C516" s="95" t="str">
        <f t="array" ref="C516">IF(I516&gt;0,INDEX(DB,I516,8),"")</f>
        <v/>
      </c>
      <c r="D516" s="437">
        <f t="shared" si="1"/>
        <v>0</v>
      </c>
      <c r="F516" s="438">
        <f t="shared" si="2"/>
        <v>0</v>
      </c>
      <c r="G516" t="str">
        <f t="shared" si="3"/>
        <v/>
      </c>
      <c r="H516" t="b">
        <f t="shared" si="4"/>
        <v>0</v>
      </c>
      <c r="I516" s="439">
        <f>IF(OR(ISBLANK(A516),ISNA(MATCH(A516&amp;"",AthleteNumbers,0))),0,MATCH(A516&amp;"",AthleteNumbers,0))</f>
        <v>0</v>
      </c>
      <c r="J516" s="209">
        <f t="array" ref="J516">IF(I516&gt;0,INDEX(DB,$I516,6),0)</f>
        <v>0</v>
      </c>
      <c r="K516" s="446">
        <f t="shared" si="5"/>
        <v>0</v>
      </c>
      <c r="L516" s="446">
        <f t="shared" si="6"/>
        <v>0</v>
      </c>
      <c r="M516" s="441">
        <f>IF(L516&lt;O516,MinPoints,IF(AND(L516&gt;N516,O516&gt;0),100,+INT(($L516-O516)/P516)+MinPoints))</f>
        <v>10</v>
      </c>
      <c r="N516" s="440">
        <f t="shared" si="7"/>
        <v>50</v>
      </c>
      <c r="O516" s="440">
        <f t="shared" si="8"/>
        <v>5</v>
      </c>
      <c r="P516" s="440">
        <f t="shared" si="9"/>
        <v>0.5</v>
      </c>
      <c r="Q516">
        <f t="array" ref="Q516">IF(I516&gt;0,INDEX(DB,I516,9),EventIndex)</f>
        <v>6</v>
      </c>
      <c r="S516" s="442">
        <f t="array" ref="S516">INDEX(MINVALUES,$Q516,$K$1)</f>
        <v>5</v>
      </c>
      <c r="T516">
        <f t="array" ref="T516">INDEX(INCVALUES,$Q516,$K$1)</f>
        <v>0.5</v>
      </c>
      <c r="V516">
        <f t="array" ref="V516">+J516+(4*(INDEX(MatchScoreTable,$Q516,20)-1))</f>
        <v>4</v>
      </c>
      <c r="W516" s="442">
        <f t="array" ref="W516">INDEX(INC_MINVALUES,$V516,$K$1)</f>
        <v>2.5</v>
      </c>
      <c r="X516" s="212">
        <f t="array" ref="X516">INDEX(INC_INCVALUES,$V516,$K$1)</f>
        <v>0.5</v>
      </c>
    </row>
    <row r="517" ht="15.75" customHeight="1">
      <c r="A517" s="435"/>
      <c r="B517" s="436"/>
      <c r="C517" s="95" t="str">
        <f t="array" ref="C517">IF(I517&gt;0,INDEX(DB,I517,8),"")</f>
        <v/>
      </c>
      <c r="D517" s="437">
        <f t="shared" si="1"/>
        <v>0</v>
      </c>
      <c r="F517" s="438">
        <f t="shared" si="2"/>
        <v>0</v>
      </c>
      <c r="G517" t="str">
        <f t="shared" si="3"/>
        <v/>
      </c>
      <c r="H517" t="b">
        <f t="shared" si="4"/>
        <v>0</v>
      </c>
      <c r="I517" s="439">
        <f>IF(OR(ISBLANK(A517),ISNA(MATCH(A517&amp;"",AthleteNumbers,0))),0,MATCH(A517&amp;"",AthleteNumbers,0))</f>
        <v>0</v>
      </c>
      <c r="J517" s="209">
        <f t="array" ref="J517">IF(I517&gt;0,INDEX(DB,$I517,6),0)</f>
        <v>0</v>
      </c>
      <c r="K517" s="446">
        <f t="shared" si="5"/>
        <v>0</v>
      </c>
      <c r="L517" s="446">
        <f t="shared" si="6"/>
        <v>0</v>
      </c>
      <c r="M517" s="441">
        <f>IF(L517&lt;O517,MinPoints,IF(AND(L517&gt;N517,O517&gt;0),100,+INT(($L517-O517)/P517)+MinPoints))</f>
        <v>10</v>
      </c>
      <c r="N517" s="440">
        <f t="shared" si="7"/>
        <v>50</v>
      </c>
      <c r="O517" s="440">
        <f t="shared" si="8"/>
        <v>5</v>
      </c>
      <c r="P517" s="440">
        <f t="shared" si="9"/>
        <v>0.5</v>
      </c>
      <c r="Q517">
        <f t="array" ref="Q517">IF(I517&gt;0,INDEX(DB,I517,9),EventIndex)</f>
        <v>6</v>
      </c>
      <c r="S517" s="442">
        <f t="array" ref="S517">INDEX(MINVALUES,$Q517,$K$1)</f>
        <v>5</v>
      </c>
      <c r="T517">
        <f t="array" ref="T517">INDEX(INCVALUES,$Q517,$K$1)</f>
        <v>0.5</v>
      </c>
      <c r="V517">
        <f t="array" ref="V517">+J517+(4*(INDEX(MatchScoreTable,$Q517,20)-1))</f>
        <v>4</v>
      </c>
      <c r="W517" s="442">
        <f t="array" ref="W517">INDEX(INC_MINVALUES,$V517,$K$1)</f>
        <v>2.5</v>
      </c>
      <c r="X517" s="212">
        <f t="array" ref="X517">INDEX(INC_INCVALUES,$V517,$K$1)</f>
        <v>0.5</v>
      </c>
    </row>
    <row r="518" ht="15.75" customHeight="1">
      <c r="A518" s="435"/>
      <c r="B518" s="436"/>
      <c r="C518" s="95" t="str">
        <f t="array" ref="C518">IF(I518&gt;0,INDEX(DB,I518,8),"")</f>
        <v/>
      </c>
      <c r="D518" s="437">
        <f t="shared" si="1"/>
        <v>0</v>
      </c>
      <c r="F518" s="438">
        <f t="shared" si="2"/>
        <v>0</v>
      </c>
      <c r="G518" t="str">
        <f t="shared" si="3"/>
        <v/>
      </c>
      <c r="H518" t="b">
        <f t="shared" si="4"/>
        <v>0</v>
      </c>
      <c r="I518" s="439">
        <f>IF(OR(ISBLANK(A518),ISNA(MATCH(A518&amp;"",AthleteNumbers,0))),0,MATCH(A518&amp;"",AthleteNumbers,0))</f>
        <v>0</v>
      </c>
      <c r="J518" s="209">
        <f t="array" ref="J518">IF(I518&gt;0,INDEX(DB,$I518,6),0)</f>
        <v>0</v>
      </c>
      <c r="K518" s="446">
        <f t="shared" si="5"/>
        <v>0</v>
      </c>
      <c r="L518" s="446">
        <f t="shared" si="6"/>
        <v>0</v>
      </c>
      <c r="M518" s="441">
        <f>IF(L518&lt;O518,MinPoints,IF(AND(L518&gt;N518,O518&gt;0),100,+INT(($L518-O518)/P518)+MinPoints))</f>
        <v>10</v>
      </c>
      <c r="N518" s="440">
        <f t="shared" si="7"/>
        <v>50</v>
      </c>
      <c r="O518" s="440">
        <f t="shared" si="8"/>
        <v>5</v>
      </c>
      <c r="P518" s="440">
        <f t="shared" si="9"/>
        <v>0.5</v>
      </c>
      <c r="Q518">
        <f t="array" ref="Q518">IF(I518&gt;0,INDEX(DB,I518,9),EventIndex)</f>
        <v>6</v>
      </c>
      <c r="S518" s="442">
        <f t="array" ref="S518">INDEX(MINVALUES,$Q518,$K$1)</f>
        <v>5</v>
      </c>
      <c r="T518">
        <f t="array" ref="T518">INDEX(INCVALUES,$Q518,$K$1)</f>
        <v>0.5</v>
      </c>
      <c r="V518">
        <f t="array" ref="V518">+J518+(4*(INDEX(MatchScoreTable,$Q518,20)-1))</f>
        <v>4</v>
      </c>
      <c r="W518" s="442">
        <f t="array" ref="W518">INDEX(INC_MINVALUES,$V518,$K$1)</f>
        <v>2.5</v>
      </c>
      <c r="X518" s="212">
        <f t="array" ref="X518">INDEX(INC_INCVALUES,$V518,$K$1)</f>
        <v>0.5</v>
      </c>
    </row>
    <row r="519" ht="15.75" customHeight="1">
      <c r="A519" s="435"/>
      <c r="B519" s="436"/>
      <c r="C519" s="95" t="str">
        <f t="array" ref="C519">IF(I519&gt;0,INDEX(DB,I519,8),"")</f>
        <v/>
      </c>
      <c r="D519" s="437">
        <f t="shared" si="1"/>
        <v>0</v>
      </c>
      <c r="F519" s="438">
        <f t="shared" si="2"/>
        <v>0</v>
      </c>
      <c r="G519" t="str">
        <f t="shared" si="3"/>
        <v/>
      </c>
      <c r="H519" t="b">
        <f t="shared" si="4"/>
        <v>0</v>
      </c>
      <c r="I519" s="439">
        <f>IF(OR(ISBLANK(A519),ISNA(MATCH(A519&amp;"",AthleteNumbers,0))),0,MATCH(A519&amp;"",AthleteNumbers,0))</f>
        <v>0</v>
      </c>
      <c r="J519" s="209">
        <f t="array" ref="J519">IF(I519&gt;0,INDEX(DB,$I519,6),0)</f>
        <v>0</v>
      </c>
      <c r="K519" s="446">
        <f t="shared" si="5"/>
        <v>0</v>
      </c>
      <c r="L519" s="446">
        <f t="shared" si="6"/>
        <v>0</v>
      </c>
      <c r="M519" s="441">
        <f>IF(L519&lt;O519,MinPoints,IF(AND(L519&gt;N519,O519&gt;0),100,+INT(($L519-O519)/P519)+MinPoints))</f>
        <v>10</v>
      </c>
      <c r="N519" s="440">
        <f t="shared" si="7"/>
        <v>50</v>
      </c>
      <c r="O519" s="440">
        <f t="shared" si="8"/>
        <v>5</v>
      </c>
      <c r="P519" s="440">
        <f t="shared" si="9"/>
        <v>0.5</v>
      </c>
      <c r="Q519">
        <f t="array" ref="Q519">IF(I519&gt;0,INDEX(DB,I519,9),EventIndex)</f>
        <v>6</v>
      </c>
      <c r="S519" s="442">
        <f t="array" ref="S519">INDEX(MINVALUES,$Q519,$K$1)</f>
        <v>5</v>
      </c>
      <c r="T519">
        <f t="array" ref="T519">INDEX(INCVALUES,$Q519,$K$1)</f>
        <v>0.5</v>
      </c>
      <c r="V519">
        <f t="array" ref="V519">+J519+(4*(INDEX(MatchScoreTable,$Q519,20)-1))</f>
        <v>4</v>
      </c>
      <c r="W519" s="442">
        <f t="array" ref="W519">INDEX(INC_MINVALUES,$V519,$K$1)</f>
        <v>2.5</v>
      </c>
      <c r="X519" s="212">
        <f t="array" ref="X519">INDEX(INC_INCVALUES,$V519,$K$1)</f>
        <v>0.5</v>
      </c>
    </row>
    <row r="520" ht="15.75" customHeight="1">
      <c r="A520" s="435"/>
      <c r="B520" s="436"/>
      <c r="C520" s="95" t="str">
        <f t="array" ref="C520">IF(I520&gt;0,INDEX(DB,I520,8),"")</f>
        <v/>
      </c>
      <c r="D520" s="437">
        <f t="shared" si="1"/>
        <v>0</v>
      </c>
      <c r="F520" s="438">
        <f t="shared" si="2"/>
        <v>0</v>
      </c>
      <c r="G520" t="str">
        <f t="shared" si="3"/>
        <v/>
      </c>
      <c r="H520" t="b">
        <f t="shared" si="4"/>
        <v>0</v>
      </c>
      <c r="I520" s="439">
        <f>IF(OR(ISBLANK(A520),ISNA(MATCH(A520&amp;"",AthleteNumbers,0))),0,MATCH(A520&amp;"",AthleteNumbers,0))</f>
        <v>0</v>
      </c>
      <c r="J520" s="209">
        <f t="array" ref="J520">IF(I520&gt;0,INDEX(DB,$I520,6),0)</f>
        <v>0</v>
      </c>
      <c r="K520" s="446">
        <f t="shared" si="5"/>
        <v>0</v>
      </c>
      <c r="L520" s="446">
        <f t="shared" si="6"/>
        <v>0</v>
      </c>
      <c r="M520" s="441">
        <f>IF(L520&lt;O520,MinPoints,IF(AND(L520&gt;N520,O520&gt;0),100,+INT(($L520-O520)/P520)+MinPoints))</f>
        <v>10</v>
      </c>
      <c r="N520" s="440">
        <f t="shared" si="7"/>
        <v>50</v>
      </c>
      <c r="O520" s="440">
        <f t="shared" si="8"/>
        <v>5</v>
      </c>
      <c r="P520" s="440">
        <f t="shared" si="9"/>
        <v>0.5</v>
      </c>
      <c r="Q520">
        <f t="array" ref="Q520">IF(I520&gt;0,INDEX(DB,I520,9),EventIndex)</f>
        <v>6</v>
      </c>
      <c r="S520" s="442">
        <f t="array" ref="S520">INDEX(MINVALUES,$Q520,$K$1)</f>
        <v>5</v>
      </c>
      <c r="T520">
        <f t="array" ref="T520">INDEX(INCVALUES,$Q520,$K$1)</f>
        <v>0.5</v>
      </c>
      <c r="V520">
        <f t="array" ref="V520">+J520+(4*(INDEX(MatchScoreTable,$Q520,20)-1))</f>
        <v>4</v>
      </c>
      <c r="W520" s="442">
        <f t="array" ref="W520">INDEX(INC_MINVALUES,$V520,$K$1)</f>
        <v>2.5</v>
      </c>
      <c r="X520" s="212">
        <f t="array" ref="X520">INDEX(INC_INCVALUES,$V520,$K$1)</f>
        <v>0.5</v>
      </c>
    </row>
    <row r="521" ht="15.75" customHeight="1">
      <c r="A521" s="435"/>
      <c r="B521" s="436"/>
      <c r="C521" s="95" t="str">
        <f t="array" ref="C521">IF(I521&gt;0,INDEX(DB,I521,8),"")</f>
        <v/>
      </c>
      <c r="D521" s="437">
        <f t="shared" si="1"/>
        <v>0</v>
      </c>
      <c r="F521" s="438">
        <f t="shared" si="2"/>
        <v>0</v>
      </c>
      <c r="G521" t="str">
        <f t="shared" si="3"/>
        <v/>
      </c>
      <c r="H521" t="b">
        <f t="shared" si="4"/>
        <v>0</v>
      </c>
      <c r="I521" s="439">
        <f>IF(OR(ISBLANK(A521),ISNA(MATCH(A521&amp;"",AthleteNumbers,0))),0,MATCH(A521&amp;"",AthleteNumbers,0))</f>
        <v>0</v>
      </c>
      <c r="J521" s="209">
        <f t="array" ref="J521">IF(I521&gt;0,INDEX(DB,$I521,6),0)</f>
        <v>0</v>
      </c>
      <c r="K521" s="446">
        <f t="shared" si="5"/>
        <v>0</v>
      </c>
      <c r="L521" s="446">
        <f t="shared" si="6"/>
        <v>0</v>
      </c>
      <c r="M521" s="441">
        <f>IF(L521&lt;O521,MinPoints,IF(AND(L521&gt;N521,O521&gt;0),100,+INT(($L521-O521)/P521)+MinPoints))</f>
        <v>10</v>
      </c>
      <c r="N521" s="440">
        <f t="shared" si="7"/>
        <v>50</v>
      </c>
      <c r="O521" s="440">
        <f t="shared" si="8"/>
        <v>5</v>
      </c>
      <c r="P521" s="440">
        <f t="shared" si="9"/>
        <v>0.5</v>
      </c>
      <c r="Q521">
        <f t="array" ref="Q521">IF(I521&gt;0,INDEX(DB,I521,9),EventIndex)</f>
        <v>6</v>
      </c>
      <c r="S521" s="442">
        <f t="array" ref="S521">INDEX(MINVALUES,$Q521,$K$1)</f>
        <v>5</v>
      </c>
      <c r="T521">
        <f t="array" ref="T521">INDEX(INCVALUES,$Q521,$K$1)</f>
        <v>0.5</v>
      </c>
      <c r="V521">
        <f t="array" ref="V521">+J521+(4*(INDEX(MatchScoreTable,$Q521,20)-1))</f>
        <v>4</v>
      </c>
      <c r="W521" s="442">
        <f t="array" ref="W521">INDEX(INC_MINVALUES,$V521,$K$1)</f>
        <v>2.5</v>
      </c>
      <c r="X521" s="212">
        <f t="array" ref="X521">INDEX(INC_INCVALUES,$V521,$K$1)</f>
        <v>0.5</v>
      </c>
    </row>
    <row r="522" ht="15.75" customHeight="1">
      <c r="A522" s="435"/>
      <c r="B522" s="436"/>
      <c r="C522" s="95" t="str">
        <f t="array" ref="C522">IF(I522&gt;0,INDEX(DB,I522,8),"")</f>
        <v/>
      </c>
      <c r="D522" s="437">
        <f t="shared" si="1"/>
        <v>0</v>
      </c>
      <c r="F522" s="438">
        <f t="shared" si="2"/>
        <v>0</v>
      </c>
      <c r="G522" t="str">
        <f t="shared" si="3"/>
        <v/>
      </c>
      <c r="H522" t="b">
        <f t="shared" si="4"/>
        <v>0</v>
      </c>
      <c r="I522" s="439">
        <f>IF(OR(ISBLANK(A522),ISNA(MATCH(A522&amp;"",AthleteNumbers,0))),0,MATCH(A522&amp;"",AthleteNumbers,0))</f>
        <v>0</v>
      </c>
      <c r="J522" s="209">
        <f t="array" ref="J522">IF(I522&gt;0,INDEX(DB,$I522,6),0)</f>
        <v>0</v>
      </c>
      <c r="K522" s="446">
        <f t="shared" si="5"/>
        <v>0</v>
      </c>
      <c r="L522" s="446">
        <f t="shared" si="6"/>
        <v>0</v>
      </c>
      <c r="M522" s="441">
        <f>IF(L522&lt;O522,MinPoints,IF(AND(L522&gt;N522,O522&gt;0),100,+INT(($L522-O522)/P522)+MinPoints))</f>
        <v>10</v>
      </c>
      <c r="N522" s="440">
        <f t="shared" si="7"/>
        <v>50</v>
      </c>
      <c r="O522" s="440">
        <f t="shared" si="8"/>
        <v>5</v>
      </c>
      <c r="P522" s="440">
        <f t="shared" si="9"/>
        <v>0.5</v>
      </c>
      <c r="Q522">
        <f t="array" ref="Q522">IF(I522&gt;0,INDEX(DB,I522,9),EventIndex)</f>
        <v>6</v>
      </c>
      <c r="S522" s="442">
        <f t="array" ref="S522">INDEX(MINVALUES,$Q522,$K$1)</f>
        <v>5</v>
      </c>
      <c r="T522">
        <f t="array" ref="T522">INDEX(INCVALUES,$Q522,$K$1)</f>
        <v>0.5</v>
      </c>
      <c r="V522">
        <f t="array" ref="V522">+J522+(4*(INDEX(MatchScoreTable,$Q522,20)-1))</f>
        <v>4</v>
      </c>
      <c r="W522" s="442">
        <f t="array" ref="W522">INDEX(INC_MINVALUES,$V522,$K$1)</f>
        <v>2.5</v>
      </c>
      <c r="X522" s="212">
        <f t="array" ref="X522">INDEX(INC_INCVALUES,$V522,$K$1)</f>
        <v>0.5</v>
      </c>
    </row>
    <row r="523" ht="15.75" customHeight="1">
      <c r="A523" s="435"/>
      <c r="B523" s="436"/>
      <c r="C523" s="95" t="str">
        <f t="array" ref="C523">IF(I523&gt;0,INDEX(DB,I523,8),"")</f>
        <v/>
      </c>
      <c r="D523" s="437">
        <f t="shared" si="1"/>
        <v>0</v>
      </c>
      <c r="F523" s="438">
        <f t="shared" si="2"/>
        <v>0</v>
      </c>
      <c r="G523" t="str">
        <f t="shared" si="3"/>
        <v/>
      </c>
      <c r="H523" t="b">
        <f t="shared" si="4"/>
        <v>0</v>
      </c>
      <c r="I523" s="439">
        <f>IF(OR(ISBLANK(A523),ISNA(MATCH(A523&amp;"",AthleteNumbers,0))),0,MATCH(A523&amp;"",AthleteNumbers,0))</f>
        <v>0</v>
      </c>
      <c r="J523" s="209">
        <f t="array" ref="J523">IF(I523&gt;0,INDEX(DB,$I523,6),0)</f>
        <v>0</v>
      </c>
      <c r="K523" s="446">
        <f t="shared" si="5"/>
        <v>0</v>
      </c>
      <c r="L523" s="446">
        <f t="shared" si="6"/>
        <v>0</v>
      </c>
      <c r="M523" s="441">
        <f>IF(L523&lt;O523,MinPoints,IF(AND(L523&gt;N523,O523&gt;0),100,+INT(($L523-O523)/P523)+MinPoints))</f>
        <v>10</v>
      </c>
      <c r="N523" s="440">
        <f t="shared" si="7"/>
        <v>50</v>
      </c>
      <c r="O523" s="440">
        <f t="shared" si="8"/>
        <v>5</v>
      </c>
      <c r="P523" s="440">
        <f t="shared" si="9"/>
        <v>0.5</v>
      </c>
      <c r="Q523">
        <f t="array" ref="Q523">IF(I523&gt;0,INDEX(DB,I523,9),EventIndex)</f>
        <v>6</v>
      </c>
      <c r="S523" s="442">
        <f t="array" ref="S523">INDEX(MINVALUES,$Q523,$K$1)</f>
        <v>5</v>
      </c>
      <c r="T523">
        <f t="array" ref="T523">INDEX(INCVALUES,$Q523,$K$1)</f>
        <v>0.5</v>
      </c>
      <c r="V523">
        <f t="array" ref="V523">+J523+(4*(INDEX(MatchScoreTable,$Q523,20)-1))</f>
        <v>4</v>
      </c>
      <c r="W523" s="442">
        <f t="array" ref="W523">INDEX(INC_MINVALUES,$V523,$K$1)</f>
        <v>2.5</v>
      </c>
      <c r="X523" s="212">
        <f t="array" ref="X523">INDEX(INC_INCVALUES,$V523,$K$1)</f>
        <v>0.5</v>
      </c>
    </row>
    <row r="524" ht="15.75" customHeight="1">
      <c r="A524" s="435"/>
      <c r="B524" s="436"/>
      <c r="C524" s="95" t="str">
        <f t="array" ref="C524">IF(I524&gt;0,INDEX(DB,I524,8),"")</f>
        <v/>
      </c>
      <c r="D524" s="437">
        <f t="shared" si="1"/>
        <v>0</v>
      </c>
      <c r="F524" s="438">
        <f t="shared" si="2"/>
        <v>0</v>
      </c>
      <c r="G524" t="str">
        <f t="shared" si="3"/>
        <v/>
      </c>
      <c r="H524" t="b">
        <f t="shared" si="4"/>
        <v>0</v>
      </c>
      <c r="I524" s="439">
        <f>IF(OR(ISBLANK(A524),ISNA(MATCH(A524&amp;"",AthleteNumbers,0))),0,MATCH(A524&amp;"",AthleteNumbers,0))</f>
        <v>0</v>
      </c>
      <c r="J524" s="209">
        <f t="array" ref="J524">IF(I524&gt;0,INDEX(DB,$I524,6),0)</f>
        <v>0</v>
      </c>
      <c r="K524" s="446">
        <f t="shared" si="5"/>
        <v>0</v>
      </c>
      <c r="L524" s="446">
        <f t="shared" si="6"/>
        <v>0</v>
      </c>
      <c r="M524" s="441">
        <f>IF(L524&lt;O524,MinPoints,IF(AND(L524&gt;N524,O524&gt;0),100,+INT(($L524-O524)/P524)+MinPoints))</f>
        <v>10</v>
      </c>
      <c r="N524" s="440">
        <f t="shared" si="7"/>
        <v>50</v>
      </c>
      <c r="O524" s="440">
        <f t="shared" si="8"/>
        <v>5</v>
      </c>
      <c r="P524" s="440">
        <f t="shared" si="9"/>
        <v>0.5</v>
      </c>
      <c r="Q524">
        <f t="array" ref="Q524">IF(I524&gt;0,INDEX(DB,I524,9),EventIndex)</f>
        <v>6</v>
      </c>
      <c r="S524" s="442">
        <f t="array" ref="S524">INDEX(MINVALUES,$Q524,$K$1)</f>
        <v>5</v>
      </c>
      <c r="T524">
        <f t="array" ref="T524">INDEX(INCVALUES,$Q524,$K$1)</f>
        <v>0.5</v>
      </c>
      <c r="V524">
        <f t="array" ref="V524">+J524+(4*(INDEX(MatchScoreTable,$Q524,20)-1))</f>
        <v>4</v>
      </c>
      <c r="W524" s="442">
        <f t="array" ref="W524">INDEX(INC_MINVALUES,$V524,$K$1)</f>
        <v>2.5</v>
      </c>
      <c r="X524" s="212">
        <f t="array" ref="X524">INDEX(INC_INCVALUES,$V524,$K$1)</f>
        <v>0.5</v>
      </c>
    </row>
    <row r="525" ht="15.75" customHeight="1">
      <c r="A525" s="435"/>
      <c r="B525" s="436"/>
      <c r="C525" s="95" t="str">
        <f t="array" ref="C525">IF(I525&gt;0,INDEX(DB,I525,8),"")</f>
        <v/>
      </c>
      <c r="D525" s="437">
        <f t="shared" si="1"/>
        <v>0</v>
      </c>
      <c r="F525" s="438">
        <f t="shared" si="2"/>
        <v>0</v>
      </c>
      <c r="G525" t="str">
        <f t="shared" si="3"/>
        <v/>
      </c>
      <c r="H525" t="b">
        <f t="shared" si="4"/>
        <v>0</v>
      </c>
      <c r="I525" s="439">
        <f>IF(OR(ISBLANK(A525),ISNA(MATCH(A525&amp;"",AthleteNumbers,0))),0,MATCH(A525&amp;"",AthleteNumbers,0))</f>
        <v>0</v>
      </c>
      <c r="J525" s="209">
        <f t="array" ref="J525">IF(I525&gt;0,INDEX(DB,$I525,6),0)</f>
        <v>0</v>
      </c>
      <c r="K525" s="446">
        <f t="shared" si="5"/>
        <v>0</v>
      </c>
      <c r="L525" s="446">
        <f t="shared" si="6"/>
        <v>0</v>
      </c>
      <c r="M525" s="441">
        <f>IF(L525&lt;O525,MinPoints,IF(AND(L525&gt;N525,O525&gt;0),100,+INT(($L525-O525)/P525)+MinPoints))</f>
        <v>10</v>
      </c>
      <c r="N525" s="440">
        <f t="shared" si="7"/>
        <v>50</v>
      </c>
      <c r="O525" s="440">
        <f t="shared" si="8"/>
        <v>5</v>
      </c>
      <c r="P525" s="440">
        <f t="shared" si="9"/>
        <v>0.5</v>
      </c>
      <c r="Q525">
        <f t="array" ref="Q525">IF(I525&gt;0,INDEX(DB,I525,9),EventIndex)</f>
        <v>6</v>
      </c>
      <c r="S525" s="442">
        <f t="array" ref="S525">INDEX(MINVALUES,$Q525,$K$1)</f>
        <v>5</v>
      </c>
      <c r="T525">
        <f t="array" ref="T525">INDEX(INCVALUES,$Q525,$K$1)</f>
        <v>0.5</v>
      </c>
      <c r="V525">
        <f t="array" ref="V525">+J525+(4*(INDEX(MatchScoreTable,$Q525,20)-1))</f>
        <v>4</v>
      </c>
      <c r="W525" s="442">
        <f t="array" ref="W525">INDEX(INC_MINVALUES,$V525,$K$1)</f>
        <v>2.5</v>
      </c>
      <c r="X525" s="212">
        <f t="array" ref="X525">INDEX(INC_INCVALUES,$V525,$K$1)</f>
        <v>0.5</v>
      </c>
    </row>
    <row r="526" ht="15.75" customHeight="1">
      <c r="A526" s="435"/>
      <c r="B526" s="436"/>
      <c r="C526" s="95" t="str">
        <f t="array" ref="C526">IF(I526&gt;0,INDEX(DB,I526,8),"")</f>
        <v/>
      </c>
      <c r="D526" s="437">
        <f t="shared" si="1"/>
        <v>0</v>
      </c>
      <c r="F526" s="438">
        <f t="shared" si="2"/>
        <v>0</v>
      </c>
      <c r="G526" t="str">
        <f t="shared" si="3"/>
        <v/>
      </c>
      <c r="H526" t="b">
        <f t="shared" si="4"/>
        <v>0</v>
      </c>
      <c r="I526" s="439">
        <f>IF(OR(ISBLANK(A526),ISNA(MATCH(A526&amp;"",AthleteNumbers,0))),0,MATCH(A526&amp;"",AthleteNumbers,0))</f>
        <v>0</v>
      </c>
      <c r="J526" s="209">
        <f t="array" ref="J526">IF(I526&gt;0,INDEX(DB,$I526,6),0)</f>
        <v>0</v>
      </c>
      <c r="K526" s="446">
        <f t="shared" si="5"/>
        <v>0</v>
      </c>
      <c r="L526" s="446">
        <f t="shared" si="6"/>
        <v>0</v>
      </c>
      <c r="M526" s="441">
        <f>IF(L526&lt;O526,MinPoints,IF(AND(L526&gt;N526,O526&gt;0),100,+INT(($L526-O526)/P526)+MinPoints))</f>
        <v>10</v>
      </c>
      <c r="N526" s="440">
        <f t="shared" si="7"/>
        <v>50</v>
      </c>
      <c r="O526" s="440">
        <f t="shared" si="8"/>
        <v>5</v>
      </c>
      <c r="P526" s="440">
        <f t="shared" si="9"/>
        <v>0.5</v>
      </c>
      <c r="Q526">
        <f t="array" ref="Q526">IF(I526&gt;0,INDEX(DB,I526,9),EventIndex)</f>
        <v>6</v>
      </c>
      <c r="S526" s="442">
        <f t="array" ref="S526">INDEX(MINVALUES,$Q526,$K$1)</f>
        <v>5</v>
      </c>
      <c r="T526">
        <f t="array" ref="T526">INDEX(INCVALUES,$Q526,$K$1)</f>
        <v>0.5</v>
      </c>
      <c r="V526">
        <f t="array" ref="V526">+J526+(4*(INDEX(MatchScoreTable,$Q526,20)-1))</f>
        <v>4</v>
      </c>
      <c r="W526" s="442">
        <f t="array" ref="W526">INDEX(INC_MINVALUES,$V526,$K$1)</f>
        <v>2.5</v>
      </c>
      <c r="X526" s="212">
        <f t="array" ref="X526">INDEX(INC_INCVALUES,$V526,$K$1)</f>
        <v>0.5</v>
      </c>
    </row>
    <row r="527" ht="15.75" customHeight="1">
      <c r="A527" s="435"/>
      <c r="B527" s="436"/>
      <c r="C527" s="95" t="str">
        <f t="array" ref="C527">IF(I527&gt;0,INDEX(DB,I527,8),"")</f>
        <v/>
      </c>
      <c r="D527" s="437">
        <f t="shared" si="1"/>
        <v>0</v>
      </c>
      <c r="F527" s="438">
        <f t="shared" si="2"/>
        <v>0</v>
      </c>
      <c r="G527" t="str">
        <f t="shared" si="3"/>
        <v/>
      </c>
      <c r="H527" t="b">
        <f t="shared" si="4"/>
        <v>0</v>
      </c>
      <c r="I527" s="439">
        <f>IF(OR(ISBLANK(A527),ISNA(MATCH(A527&amp;"",AthleteNumbers,0))),0,MATCH(A527&amp;"",AthleteNumbers,0))</f>
        <v>0</v>
      </c>
      <c r="J527" s="209">
        <f t="array" ref="J527">IF(I527&gt;0,INDEX(DB,$I527,6),0)</f>
        <v>0</v>
      </c>
      <c r="K527" s="446">
        <f t="shared" si="5"/>
        <v>0</v>
      </c>
      <c r="L527" s="446">
        <f t="shared" si="6"/>
        <v>0</v>
      </c>
      <c r="M527" s="441">
        <f>IF(L527&lt;O527,MinPoints,IF(AND(L527&gt;N527,O527&gt;0),100,+INT(($L527-O527)/P527)+MinPoints))</f>
        <v>10</v>
      </c>
      <c r="N527" s="440">
        <f t="shared" si="7"/>
        <v>50</v>
      </c>
      <c r="O527" s="440">
        <f t="shared" si="8"/>
        <v>5</v>
      </c>
      <c r="P527" s="440">
        <f t="shared" si="9"/>
        <v>0.5</v>
      </c>
      <c r="Q527">
        <f t="array" ref="Q527">IF(I527&gt;0,INDEX(DB,I527,9),EventIndex)</f>
        <v>6</v>
      </c>
      <c r="S527" s="442">
        <f t="array" ref="S527">INDEX(MINVALUES,$Q527,$K$1)</f>
        <v>5</v>
      </c>
      <c r="T527">
        <f t="array" ref="T527">INDEX(INCVALUES,$Q527,$K$1)</f>
        <v>0.5</v>
      </c>
      <c r="V527">
        <f t="array" ref="V527">+J527+(4*(INDEX(MatchScoreTable,$Q527,20)-1))</f>
        <v>4</v>
      </c>
      <c r="W527" s="442">
        <f t="array" ref="W527">INDEX(INC_MINVALUES,$V527,$K$1)</f>
        <v>2.5</v>
      </c>
      <c r="X527" s="212">
        <f t="array" ref="X527">INDEX(INC_INCVALUES,$V527,$K$1)</f>
        <v>0.5</v>
      </c>
    </row>
    <row r="528" ht="15.75" customHeight="1">
      <c r="A528" s="435"/>
      <c r="B528" s="436"/>
      <c r="C528" s="95" t="str">
        <f t="array" ref="C528">IF(I528&gt;0,INDEX(DB,I528,8),"")</f>
        <v/>
      </c>
      <c r="D528" s="437">
        <f t="shared" si="1"/>
        <v>0</v>
      </c>
      <c r="F528" s="438">
        <f t="shared" si="2"/>
        <v>0</v>
      </c>
      <c r="G528" t="str">
        <f t="shared" si="3"/>
        <v/>
      </c>
      <c r="H528" t="b">
        <f t="shared" si="4"/>
        <v>0</v>
      </c>
      <c r="I528" s="439">
        <f>IF(OR(ISBLANK(A528),ISNA(MATCH(A528&amp;"",AthleteNumbers,0))),0,MATCH(A528&amp;"",AthleteNumbers,0))</f>
        <v>0</v>
      </c>
      <c r="J528" s="209">
        <f t="array" ref="J528">IF(I528&gt;0,INDEX(DB,$I528,6),0)</f>
        <v>0</v>
      </c>
      <c r="K528" s="446">
        <f t="shared" si="5"/>
        <v>0</v>
      </c>
      <c r="L528" s="446">
        <f t="shared" si="6"/>
        <v>0</v>
      </c>
      <c r="M528" s="441">
        <f>IF(L528&lt;O528,MinPoints,IF(AND(L528&gt;N528,O528&gt;0),100,+INT(($L528-O528)/P528)+MinPoints))</f>
        <v>10</v>
      </c>
      <c r="N528" s="440">
        <f t="shared" si="7"/>
        <v>50</v>
      </c>
      <c r="O528" s="440">
        <f t="shared" si="8"/>
        <v>5</v>
      </c>
      <c r="P528" s="440">
        <f t="shared" si="9"/>
        <v>0.5</v>
      </c>
      <c r="Q528">
        <f t="array" ref="Q528">IF(I528&gt;0,INDEX(DB,I528,9),EventIndex)</f>
        <v>6</v>
      </c>
      <c r="S528" s="442">
        <f t="array" ref="S528">INDEX(MINVALUES,$Q528,$K$1)</f>
        <v>5</v>
      </c>
      <c r="T528">
        <f t="array" ref="T528">INDEX(INCVALUES,$Q528,$K$1)</f>
        <v>0.5</v>
      </c>
      <c r="V528">
        <f t="array" ref="V528">+J528+(4*(INDEX(MatchScoreTable,$Q528,20)-1))</f>
        <v>4</v>
      </c>
      <c r="W528" s="442">
        <f t="array" ref="W528">INDEX(INC_MINVALUES,$V528,$K$1)</f>
        <v>2.5</v>
      </c>
      <c r="X528" s="212">
        <f t="array" ref="X528">INDEX(INC_INCVALUES,$V528,$K$1)</f>
        <v>0.5</v>
      </c>
    </row>
    <row r="529" ht="15.75" customHeight="1">
      <c r="A529" s="435"/>
      <c r="B529" s="436"/>
      <c r="C529" s="95" t="str">
        <f t="array" ref="C529">IF(I529&gt;0,INDEX(DB,I529,8),"")</f>
        <v/>
      </c>
      <c r="D529" s="437">
        <f t="shared" si="1"/>
        <v>0</v>
      </c>
      <c r="F529" s="438">
        <f t="shared" si="2"/>
        <v>0</v>
      </c>
      <c r="G529" t="str">
        <f t="shared" si="3"/>
        <v/>
      </c>
      <c r="H529" t="b">
        <f t="shared" si="4"/>
        <v>0</v>
      </c>
      <c r="I529" s="439">
        <f>IF(OR(ISBLANK(A529),ISNA(MATCH(A529&amp;"",AthleteNumbers,0))),0,MATCH(A529&amp;"",AthleteNumbers,0))</f>
        <v>0</v>
      </c>
      <c r="J529" s="209">
        <f t="array" ref="J529">IF(I529&gt;0,INDEX(DB,$I529,6),0)</f>
        <v>0</v>
      </c>
      <c r="K529" s="446">
        <f t="shared" si="5"/>
        <v>0</v>
      </c>
      <c r="L529" s="446">
        <f t="shared" si="6"/>
        <v>0</v>
      </c>
      <c r="M529" s="441">
        <f>IF(L529&lt;O529,MinPoints,IF(AND(L529&gt;N529,O529&gt;0),100,+INT(($L529-O529)/P529)+MinPoints))</f>
        <v>10</v>
      </c>
      <c r="N529" s="440">
        <f t="shared" si="7"/>
        <v>50</v>
      </c>
      <c r="O529" s="440">
        <f t="shared" si="8"/>
        <v>5</v>
      </c>
      <c r="P529" s="440">
        <f t="shared" si="9"/>
        <v>0.5</v>
      </c>
      <c r="Q529">
        <f t="array" ref="Q529">IF(I529&gt;0,INDEX(DB,I529,9),EventIndex)</f>
        <v>6</v>
      </c>
      <c r="S529" s="442">
        <f t="array" ref="S529">INDEX(MINVALUES,$Q529,$K$1)</f>
        <v>5</v>
      </c>
      <c r="T529">
        <f t="array" ref="T529">INDEX(INCVALUES,$Q529,$K$1)</f>
        <v>0.5</v>
      </c>
      <c r="V529">
        <f t="array" ref="V529">+J529+(4*(INDEX(MatchScoreTable,$Q529,20)-1))</f>
        <v>4</v>
      </c>
      <c r="W529" s="442">
        <f t="array" ref="W529">INDEX(INC_MINVALUES,$V529,$K$1)</f>
        <v>2.5</v>
      </c>
      <c r="X529" s="212">
        <f t="array" ref="X529">INDEX(INC_INCVALUES,$V529,$K$1)</f>
        <v>0.5</v>
      </c>
    </row>
    <row r="530" ht="15.75" customHeight="1">
      <c r="A530" s="435"/>
      <c r="B530" s="436"/>
      <c r="C530" s="95" t="str">
        <f t="array" ref="C530">IF(I530&gt;0,INDEX(DB,I530,8),"")</f>
        <v/>
      </c>
      <c r="D530" s="437">
        <f t="shared" si="1"/>
        <v>0</v>
      </c>
      <c r="F530" s="438">
        <f t="shared" si="2"/>
        <v>0</v>
      </c>
      <c r="G530" t="str">
        <f t="shared" si="3"/>
        <v/>
      </c>
      <c r="H530" t="b">
        <f t="shared" si="4"/>
        <v>0</v>
      </c>
      <c r="I530" s="439">
        <f>IF(OR(ISBLANK(A530),ISNA(MATCH(A530&amp;"",AthleteNumbers,0))),0,MATCH(A530&amp;"",AthleteNumbers,0))</f>
        <v>0</v>
      </c>
      <c r="J530" s="209">
        <f t="array" ref="J530">IF(I530&gt;0,INDEX(DB,$I530,6),0)</f>
        <v>0</v>
      </c>
      <c r="K530" s="446">
        <f t="shared" si="5"/>
        <v>0</v>
      </c>
      <c r="L530" s="446">
        <f t="shared" si="6"/>
        <v>0</v>
      </c>
      <c r="M530" s="441">
        <f>IF(L530&lt;O530,MinPoints,IF(AND(L530&gt;N530,O530&gt;0),100,+INT(($L530-O530)/P530)+MinPoints))</f>
        <v>10</v>
      </c>
      <c r="N530" s="440">
        <f t="shared" si="7"/>
        <v>50</v>
      </c>
      <c r="O530" s="440">
        <f t="shared" si="8"/>
        <v>5</v>
      </c>
      <c r="P530" s="440">
        <f t="shared" si="9"/>
        <v>0.5</v>
      </c>
      <c r="Q530">
        <f t="array" ref="Q530">IF(I530&gt;0,INDEX(DB,I530,9),EventIndex)</f>
        <v>6</v>
      </c>
      <c r="S530" s="442">
        <f t="array" ref="S530">INDEX(MINVALUES,$Q530,$K$1)</f>
        <v>5</v>
      </c>
      <c r="T530">
        <f t="array" ref="T530">INDEX(INCVALUES,$Q530,$K$1)</f>
        <v>0.5</v>
      </c>
      <c r="V530">
        <f t="array" ref="V530">+J530+(4*(INDEX(MatchScoreTable,$Q530,20)-1))</f>
        <v>4</v>
      </c>
      <c r="W530" s="442">
        <f t="array" ref="W530">INDEX(INC_MINVALUES,$V530,$K$1)</f>
        <v>2.5</v>
      </c>
      <c r="X530" s="212">
        <f t="array" ref="X530">INDEX(INC_INCVALUES,$V530,$K$1)</f>
        <v>0.5</v>
      </c>
    </row>
    <row r="531" ht="15.75" customHeight="1">
      <c r="A531" s="435"/>
      <c r="B531" s="436"/>
      <c r="C531" s="95" t="str">
        <f t="array" ref="C531">IF(I531&gt;0,INDEX(DB,I531,8),"")</f>
        <v/>
      </c>
      <c r="D531" s="437">
        <f t="shared" si="1"/>
        <v>0</v>
      </c>
      <c r="F531" s="438">
        <f t="shared" si="2"/>
        <v>0</v>
      </c>
      <c r="G531" t="str">
        <f t="shared" si="3"/>
        <v/>
      </c>
      <c r="H531" t="b">
        <f t="shared" si="4"/>
        <v>0</v>
      </c>
      <c r="I531" s="439">
        <f>IF(OR(ISBLANK(A531),ISNA(MATCH(A531&amp;"",AthleteNumbers,0))),0,MATCH(A531&amp;"",AthleteNumbers,0))</f>
        <v>0</v>
      </c>
      <c r="J531" s="209">
        <f t="array" ref="J531">IF(I531&gt;0,INDEX(DB,$I531,6),0)</f>
        <v>0</v>
      </c>
      <c r="K531" s="446">
        <f t="shared" si="5"/>
        <v>0</v>
      </c>
      <c r="L531" s="446">
        <f t="shared" si="6"/>
        <v>0</v>
      </c>
      <c r="M531" s="441">
        <f>IF(L531&lt;O531,MinPoints,IF(AND(L531&gt;N531,O531&gt;0),100,+INT(($L531-O531)/P531)+MinPoints))</f>
        <v>10</v>
      </c>
      <c r="N531" s="440">
        <f t="shared" si="7"/>
        <v>50</v>
      </c>
      <c r="O531" s="440">
        <f t="shared" si="8"/>
        <v>5</v>
      </c>
      <c r="P531" s="440">
        <f t="shared" si="9"/>
        <v>0.5</v>
      </c>
      <c r="Q531">
        <f t="array" ref="Q531">IF(I531&gt;0,INDEX(DB,I531,9),EventIndex)</f>
        <v>6</v>
      </c>
      <c r="S531" s="442">
        <f t="array" ref="S531">INDEX(MINVALUES,$Q531,$K$1)</f>
        <v>5</v>
      </c>
      <c r="T531">
        <f t="array" ref="T531">INDEX(INCVALUES,$Q531,$K$1)</f>
        <v>0.5</v>
      </c>
      <c r="V531">
        <f t="array" ref="V531">+J531+(4*(INDEX(MatchScoreTable,$Q531,20)-1))</f>
        <v>4</v>
      </c>
      <c r="W531" s="442">
        <f t="array" ref="W531">INDEX(INC_MINVALUES,$V531,$K$1)</f>
        <v>2.5</v>
      </c>
      <c r="X531" s="212">
        <f t="array" ref="X531">INDEX(INC_INCVALUES,$V531,$K$1)</f>
        <v>0.5</v>
      </c>
    </row>
    <row r="532" ht="15.75" customHeight="1">
      <c r="A532" s="435"/>
      <c r="B532" s="436"/>
      <c r="C532" s="95" t="str">
        <f t="array" ref="C532">IF(I532&gt;0,INDEX(DB,I532,8),"")</f>
        <v/>
      </c>
      <c r="D532" s="437">
        <f t="shared" si="1"/>
        <v>0</v>
      </c>
      <c r="F532" s="438">
        <f t="shared" si="2"/>
        <v>0</v>
      </c>
      <c r="G532" t="str">
        <f t="shared" si="3"/>
        <v/>
      </c>
      <c r="H532" t="b">
        <f t="shared" si="4"/>
        <v>0</v>
      </c>
      <c r="I532" s="439">
        <f>IF(OR(ISBLANK(A532),ISNA(MATCH(A532&amp;"",AthleteNumbers,0))),0,MATCH(A532&amp;"",AthleteNumbers,0))</f>
        <v>0</v>
      </c>
      <c r="J532" s="209">
        <f t="array" ref="J532">IF(I532&gt;0,INDEX(DB,$I532,6),0)</f>
        <v>0</v>
      </c>
      <c r="K532" s="446">
        <f t="shared" si="5"/>
        <v>0</v>
      </c>
      <c r="L532" s="446">
        <f t="shared" si="6"/>
        <v>0</v>
      </c>
      <c r="M532" s="441">
        <f>IF(L532&lt;O532,MinPoints,IF(AND(L532&gt;N532,O532&gt;0),100,+INT(($L532-O532)/P532)+MinPoints))</f>
        <v>10</v>
      </c>
      <c r="N532" s="440">
        <f t="shared" si="7"/>
        <v>50</v>
      </c>
      <c r="O532" s="440">
        <f t="shared" si="8"/>
        <v>5</v>
      </c>
      <c r="P532" s="440">
        <f t="shared" si="9"/>
        <v>0.5</v>
      </c>
      <c r="Q532">
        <f t="array" ref="Q532">IF(I532&gt;0,INDEX(DB,I532,9),EventIndex)</f>
        <v>6</v>
      </c>
      <c r="S532" s="442">
        <f t="array" ref="S532">INDEX(MINVALUES,$Q532,$K$1)</f>
        <v>5</v>
      </c>
      <c r="T532">
        <f t="array" ref="T532">INDEX(INCVALUES,$Q532,$K$1)</f>
        <v>0.5</v>
      </c>
      <c r="V532">
        <f t="array" ref="V532">+J532+(4*(INDEX(MatchScoreTable,$Q532,20)-1))</f>
        <v>4</v>
      </c>
      <c r="W532" s="442">
        <f t="array" ref="W532">INDEX(INC_MINVALUES,$V532,$K$1)</f>
        <v>2.5</v>
      </c>
      <c r="X532" s="212">
        <f t="array" ref="X532">INDEX(INC_INCVALUES,$V532,$K$1)</f>
        <v>0.5</v>
      </c>
    </row>
    <row r="533" ht="15.75" customHeight="1">
      <c r="A533" s="435"/>
      <c r="B533" s="436"/>
      <c r="C533" s="95" t="str">
        <f t="array" ref="C533">IF(I533&gt;0,INDEX(DB,I533,8),"")</f>
        <v/>
      </c>
      <c r="D533" s="437">
        <f t="shared" si="1"/>
        <v>0</v>
      </c>
      <c r="F533" s="438">
        <f t="shared" si="2"/>
        <v>0</v>
      </c>
      <c r="G533" t="str">
        <f t="shared" si="3"/>
        <v/>
      </c>
      <c r="H533" t="b">
        <f t="shared" si="4"/>
        <v>0</v>
      </c>
      <c r="I533" s="439">
        <f>IF(OR(ISBLANK(A533),ISNA(MATCH(A533&amp;"",AthleteNumbers,0))),0,MATCH(A533&amp;"",AthleteNumbers,0))</f>
        <v>0</v>
      </c>
      <c r="J533" s="209">
        <f t="array" ref="J533">IF(I533&gt;0,INDEX(DB,$I533,6),0)</f>
        <v>0</v>
      </c>
      <c r="K533" s="446">
        <f t="shared" si="5"/>
        <v>0</v>
      </c>
      <c r="L533" s="446">
        <f t="shared" si="6"/>
        <v>0</v>
      </c>
      <c r="M533" s="441">
        <f>IF(L533&lt;O533,MinPoints,IF(AND(L533&gt;N533,O533&gt;0),100,+INT(($L533-O533)/P533)+MinPoints))</f>
        <v>10</v>
      </c>
      <c r="N533" s="440">
        <f t="shared" si="7"/>
        <v>50</v>
      </c>
      <c r="O533" s="440">
        <f t="shared" si="8"/>
        <v>5</v>
      </c>
      <c r="P533" s="440">
        <f t="shared" si="9"/>
        <v>0.5</v>
      </c>
      <c r="Q533">
        <f t="array" ref="Q533">IF(I533&gt;0,INDEX(DB,I533,9),EventIndex)</f>
        <v>6</v>
      </c>
      <c r="S533" s="442">
        <f t="array" ref="S533">INDEX(MINVALUES,$Q533,$K$1)</f>
        <v>5</v>
      </c>
      <c r="T533">
        <f t="array" ref="T533">INDEX(INCVALUES,$Q533,$K$1)</f>
        <v>0.5</v>
      </c>
      <c r="V533">
        <f t="array" ref="V533">+J533+(4*(INDEX(MatchScoreTable,$Q533,20)-1))</f>
        <v>4</v>
      </c>
      <c r="W533" s="442">
        <f t="array" ref="W533">INDEX(INC_MINVALUES,$V533,$K$1)</f>
        <v>2.5</v>
      </c>
      <c r="X533" s="212">
        <f t="array" ref="X533">INDEX(INC_INCVALUES,$V533,$K$1)</f>
        <v>0.5</v>
      </c>
    </row>
    <row r="534" ht="15.75" customHeight="1">
      <c r="A534" s="435"/>
      <c r="B534" s="436"/>
      <c r="C534" s="95" t="str">
        <f t="array" ref="C534">IF(I534&gt;0,INDEX(DB,I534,8),"")</f>
        <v/>
      </c>
      <c r="D534" s="437">
        <f t="shared" si="1"/>
        <v>0</v>
      </c>
      <c r="F534" s="438">
        <f t="shared" si="2"/>
        <v>0</v>
      </c>
      <c r="G534" t="str">
        <f t="shared" si="3"/>
        <v/>
      </c>
      <c r="H534" t="b">
        <f t="shared" si="4"/>
        <v>0</v>
      </c>
      <c r="I534" s="439">
        <f>IF(OR(ISBLANK(A534),ISNA(MATCH(A534&amp;"",AthleteNumbers,0))),0,MATCH(A534&amp;"",AthleteNumbers,0))</f>
        <v>0</v>
      </c>
      <c r="J534" s="209">
        <f t="array" ref="J534">IF(I534&gt;0,INDEX(DB,$I534,6),0)</f>
        <v>0</v>
      </c>
      <c r="K534" s="446">
        <f t="shared" si="5"/>
        <v>0</v>
      </c>
      <c r="L534" s="446">
        <f t="shared" si="6"/>
        <v>0</v>
      </c>
      <c r="M534" s="441">
        <f>IF(L534&lt;O534,MinPoints,IF(AND(L534&gt;N534,O534&gt;0),100,+INT(($L534-O534)/P534)+MinPoints))</f>
        <v>10</v>
      </c>
      <c r="N534" s="440">
        <f t="shared" si="7"/>
        <v>50</v>
      </c>
      <c r="O534" s="440">
        <f t="shared" si="8"/>
        <v>5</v>
      </c>
      <c r="P534" s="440">
        <f t="shared" si="9"/>
        <v>0.5</v>
      </c>
      <c r="Q534">
        <f t="array" ref="Q534">IF(I534&gt;0,INDEX(DB,I534,9),EventIndex)</f>
        <v>6</v>
      </c>
      <c r="S534" s="442">
        <f t="array" ref="S534">INDEX(MINVALUES,$Q534,$K$1)</f>
        <v>5</v>
      </c>
      <c r="T534">
        <f t="array" ref="T534">INDEX(INCVALUES,$Q534,$K$1)</f>
        <v>0.5</v>
      </c>
      <c r="V534">
        <f t="array" ref="V534">+J534+(4*(INDEX(MatchScoreTable,$Q534,20)-1))</f>
        <v>4</v>
      </c>
      <c r="W534" s="442">
        <f t="array" ref="W534">INDEX(INC_MINVALUES,$V534,$K$1)</f>
        <v>2.5</v>
      </c>
      <c r="X534" s="212">
        <f t="array" ref="X534">INDEX(INC_INCVALUES,$V534,$K$1)</f>
        <v>0.5</v>
      </c>
    </row>
    <row r="535" ht="15.75" customHeight="1">
      <c r="A535" s="435"/>
      <c r="B535" s="436"/>
      <c r="C535" s="95" t="str">
        <f t="array" ref="C535">IF(I535&gt;0,INDEX(DB,I535,8),"")</f>
        <v/>
      </c>
      <c r="D535" s="437">
        <f t="shared" si="1"/>
        <v>0</v>
      </c>
      <c r="F535" s="438">
        <f t="shared" si="2"/>
        <v>0</v>
      </c>
      <c r="G535" t="str">
        <f t="shared" si="3"/>
        <v/>
      </c>
      <c r="H535" t="b">
        <f t="shared" si="4"/>
        <v>0</v>
      </c>
      <c r="I535" s="439">
        <f>IF(OR(ISBLANK(A535),ISNA(MATCH(A535&amp;"",AthleteNumbers,0))),0,MATCH(A535&amp;"",AthleteNumbers,0))</f>
        <v>0</v>
      </c>
      <c r="J535" s="209">
        <f t="array" ref="J535">IF(I535&gt;0,INDEX(DB,$I535,6),0)</f>
        <v>0</v>
      </c>
      <c r="K535" s="446">
        <f t="shared" si="5"/>
        <v>0</v>
      </c>
      <c r="L535" s="446">
        <f t="shared" si="6"/>
        <v>0</v>
      </c>
      <c r="M535" s="441">
        <f>IF(L535&lt;O535,MinPoints,IF(AND(L535&gt;N535,O535&gt;0),100,+INT(($L535-O535)/P535)+MinPoints))</f>
        <v>10</v>
      </c>
      <c r="N535" s="440">
        <f t="shared" si="7"/>
        <v>50</v>
      </c>
      <c r="O535" s="440">
        <f t="shared" si="8"/>
        <v>5</v>
      </c>
      <c r="P535" s="440">
        <f t="shared" si="9"/>
        <v>0.5</v>
      </c>
      <c r="Q535">
        <f t="array" ref="Q535">IF(I535&gt;0,INDEX(DB,I535,9),EventIndex)</f>
        <v>6</v>
      </c>
      <c r="S535" s="442">
        <f t="array" ref="S535">INDEX(MINVALUES,$Q535,$K$1)</f>
        <v>5</v>
      </c>
      <c r="T535">
        <f t="array" ref="T535">INDEX(INCVALUES,$Q535,$K$1)</f>
        <v>0.5</v>
      </c>
      <c r="V535">
        <f t="array" ref="V535">+J535+(4*(INDEX(MatchScoreTable,$Q535,20)-1))</f>
        <v>4</v>
      </c>
      <c r="W535" s="442">
        <f t="array" ref="W535">INDEX(INC_MINVALUES,$V535,$K$1)</f>
        <v>2.5</v>
      </c>
      <c r="X535" s="212">
        <f t="array" ref="X535">INDEX(INC_INCVALUES,$V535,$K$1)</f>
        <v>0.5</v>
      </c>
    </row>
    <row r="536" ht="15.75" customHeight="1">
      <c r="A536" s="435"/>
      <c r="B536" s="436"/>
      <c r="C536" s="95" t="str">
        <f t="array" ref="C536">IF(I536&gt;0,INDEX(DB,I536,8),"")</f>
        <v/>
      </c>
      <c r="D536" s="437">
        <f t="shared" si="1"/>
        <v>0</v>
      </c>
      <c r="F536" s="438">
        <f t="shared" si="2"/>
        <v>0</v>
      </c>
      <c r="G536" t="str">
        <f t="shared" si="3"/>
        <v/>
      </c>
      <c r="H536" t="b">
        <f t="shared" si="4"/>
        <v>0</v>
      </c>
      <c r="I536" s="439">
        <f>IF(OR(ISBLANK(A536),ISNA(MATCH(A536&amp;"",AthleteNumbers,0))),0,MATCH(A536&amp;"",AthleteNumbers,0))</f>
        <v>0</v>
      </c>
      <c r="J536" s="209">
        <f t="array" ref="J536">IF(I536&gt;0,INDEX(DB,$I536,6),0)</f>
        <v>0</v>
      </c>
      <c r="K536" s="446">
        <f t="shared" si="5"/>
        <v>0</v>
      </c>
      <c r="L536" s="446">
        <f t="shared" si="6"/>
        <v>0</v>
      </c>
      <c r="M536" s="441">
        <f>IF(L536&lt;O536,MinPoints,IF(AND(L536&gt;N536,O536&gt;0),100,+INT(($L536-O536)/P536)+MinPoints))</f>
        <v>10</v>
      </c>
      <c r="N536" s="440">
        <f t="shared" si="7"/>
        <v>50</v>
      </c>
      <c r="O536" s="440">
        <f t="shared" si="8"/>
        <v>5</v>
      </c>
      <c r="P536" s="440">
        <f t="shared" si="9"/>
        <v>0.5</v>
      </c>
      <c r="Q536">
        <f t="array" ref="Q536">IF(I536&gt;0,INDEX(DB,I536,9),EventIndex)</f>
        <v>6</v>
      </c>
      <c r="S536" s="442">
        <f t="array" ref="S536">INDEX(MINVALUES,$Q536,$K$1)</f>
        <v>5</v>
      </c>
      <c r="T536">
        <f t="array" ref="T536">INDEX(INCVALUES,$Q536,$K$1)</f>
        <v>0.5</v>
      </c>
      <c r="V536">
        <f t="array" ref="V536">+J536+(4*(INDEX(MatchScoreTable,$Q536,20)-1))</f>
        <v>4</v>
      </c>
      <c r="W536" s="442">
        <f t="array" ref="W536">INDEX(INC_MINVALUES,$V536,$K$1)</f>
        <v>2.5</v>
      </c>
      <c r="X536" s="212">
        <f t="array" ref="X536">INDEX(INC_INCVALUES,$V536,$K$1)</f>
        <v>0.5</v>
      </c>
    </row>
    <row r="537" ht="15.75" customHeight="1">
      <c r="A537" s="435"/>
      <c r="B537" s="436"/>
      <c r="C537" s="95" t="str">
        <f t="array" ref="C537">IF(I537&gt;0,INDEX(DB,I537,8),"")</f>
        <v/>
      </c>
      <c r="D537" s="437">
        <f t="shared" si="1"/>
        <v>0</v>
      </c>
      <c r="F537" s="438">
        <f t="shared" si="2"/>
        <v>0</v>
      </c>
      <c r="G537" t="str">
        <f t="shared" si="3"/>
        <v/>
      </c>
      <c r="H537" t="b">
        <f t="shared" si="4"/>
        <v>0</v>
      </c>
      <c r="I537" s="439">
        <f>IF(OR(ISBLANK(A537),ISNA(MATCH(A537&amp;"",AthleteNumbers,0))),0,MATCH(A537&amp;"",AthleteNumbers,0))</f>
        <v>0</v>
      </c>
      <c r="J537" s="209">
        <f t="array" ref="J537">IF(I537&gt;0,INDEX(DB,$I537,6),0)</f>
        <v>0</v>
      </c>
      <c r="K537" s="446">
        <f t="shared" si="5"/>
        <v>0</v>
      </c>
      <c r="L537" s="446">
        <f t="shared" si="6"/>
        <v>0</v>
      </c>
      <c r="M537" s="441">
        <f>IF(L537&lt;O537,MinPoints,IF(AND(L537&gt;N537,O537&gt;0),100,+INT(($L537-O537)/P537)+MinPoints))</f>
        <v>10</v>
      </c>
      <c r="N537" s="440">
        <f t="shared" si="7"/>
        <v>50</v>
      </c>
      <c r="O537" s="440">
        <f t="shared" si="8"/>
        <v>5</v>
      </c>
      <c r="P537" s="440">
        <f t="shared" si="9"/>
        <v>0.5</v>
      </c>
      <c r="Q537">
        <f t="array" ref="Q537">IF(I537&gt;0,INDEX(DB,I537,9),EventIndex)</f>
        <v>6</v>
      </c>
      <c r="S537" s="442">
        <f t="array" ref="S537">INDEX(MINVALUES,$Q537,$K$1)</f>
        <v>5</v>
      </c>
      <c r="T537">
        <f t="array" ref="T537">INDEX(INCVALUES,$Q537,$K$1)</f>
        <v>0.5</v>
      </c>
      <c r="V537">
        <f t="array" ref="V537">+J537+(4*(INDEX(MatchScoreTable,$Q537,20)-1))</f>
        <v>4</v>
      </c>
      <c r="W537" s="442">
        <f t="array" ref="W537">INDEX(INC_MINVALUES,$V537,$K$1)</f>
        <v>2.5</v>
      </c>
      <c r="X537" s="212">
        <f t="array" ref="X537">INDEX(INC_INCVALUES,$V537,$K$1)</f>
        <v>0.5</v>
      </c>
    </row>
    <row r="538" ht="15.75" customHeight="1">
      <c r="A538" s="435"/>
      <c r="B538" s="436"/>
      <c r="C538" s="95" t="str">
        <f t="array" ref="C538">IF(I538&gt;0,INDEX(DB,I538,8),"")</f>
        <v/>
      </c>
      <c r="D538" s="437">
        <f t="shared" si="1"/>
        <v>0</v>
      </c>
      <c r="F538" s="438">
        <f t="shared" si="2"/>
        <v>0</v>
      </c>
      <c r="G538" t="str">
        <f t="shared" si="3"/>
        <v/>
      </c>
      <c r="H538" t="b">
        <f t="shared" si="4"/>
        <v>0</v>
      </c>
      <c r="I538" s="439">
        <f>IF(OR(ISBLANK(A538),ISNA(MATCH(A538&amp;"",AthleteNumbers,0))),0,MATCH(A538&amp;"",AthleteNumbers,0))</f>
        <v>0</v>
      </c>
      <c r="J538" s="209">
        <f t="array" ref="J538">IF(I538&gt;0,INDEX(DB,$I538,6),0)</f>
        <v>0</v>
      </c>
      <c r="K538" s="446">
        <f t="shared" si="5"/>
        <v>0</v>
      </c>
      <c r="L538" s="446">
        <f t="shared" si="6"/>
        <v>0</v>
      </c>
      <c r="M538" s="441">
        <f>IF(L538&lt;O538,MinPoints,IF(AND(L538&gt;N538,O538&gt;0),100,+INT(($L538-O538)/P538)+MinPoints))</f>
        <v>10</v>
      </c>
      <c r="N538" s="440">
        <f t="shared" si="7"/>
        <v>50</v>
      </c>
      <c r="O538" s="440">
        <f t="shared" si="8"/>
        <v>5</v>
      </c>
      <c r="P538" s="440">
        <f t="shared" si="9"/>
        <v>0.5</v>
      </c>
      <c r="Q538">
        <f t="array" ref="Q538">IF(I538&gt;0,INDEX(DB,I538,9),EventIndex)</f>
        <v>6</v>
      </c>
      <c r="S538" s="442">
        <f t="array" ref="S538">INDEX(MINVALUES,$Q538,$K$1)</f>
        <v>5</v>
      </c>
      <c r="T538">
        <f t="array" ref="T538">INDEX(INCVALUES,$Q538,$K$1)</f>
        <v>0.5</v>
      </c>
      <c r="V538">
        <f t="array" ref="V538">+J538+(4*(INDEX(MatchScoreTable,$Q538,20)-1))</f>
        <v>4</v>
      </c>
      <c r="W538" s="442">
        <f t="array" ref="W538">INDEX(INC_MINVALUES,$V538,$K$1)</f>
        <v>2.5</v>
      </c>
      <c r="X538" s="212">
        <f t="array" ref="X538">INDEX(INC_INCVALUES,$V538,$K$1)</f>
        <v>0.5</v>
      </c>
    </row>
    <row r="539" ht="15.75" customHeight="1">
      <c r="A539" s="435"/>
      <c r="B539" s="436"/>
      <c r="C539" s="95" t="str">
        <f t="array" ref="C539">IF(I539&gt;0,INDEX(DB,I539,8),"")</f>
        <v/>
      </c>
      <c r="D539" s="437">
        <f t="shared" si="1"/>
        <v>0</v>
      </c>
      <c r="F539" s="438">
        <f t="shared" si="2"/>
        <v>0</v>
      </c>
      <c r="G539" t="str">
        <f t="shared" si="3"/>
        <v/>
      </c>
      <c r="H539" t="b">
        <f t="shared" si="4"/>
        <v>0</v>
      </c>
      <c r="I539" s="439">
        <f>IF(OR(ISBLANK(A539),ISNA(MATCH(A539&amp;"",AthleteNumbers,0))),0,MATCH(A539&amp;"",AthleteNumbers,0))</f>
        <v>0</v>
      </c>
      <c r="J539" s="209">
        <f t="array" ref="J539">IF(I539&gt;0,INDEX(DB,$I539,6),0)</f>
        <v>0</v>
      </c>
      <c r="K539" s="446">
        <f t="shared" si="5"/>
        <v>0</v>
      </c>
      <c r="L539" s="446">
        <f t="shared" si="6"/>
        <v>0</v>
      </c>
      <c r="M539" s="441">
        <f>IF(L539&lt;O539,MinPoints,IF(AND(L539&gt;N539,O539&gt;0),100,+INT(($L539-O539)/P539)+MinPoints))</f>
        <v>10</v>
      </c>
      <c r="N539" s="440">
        <f t="shared" si="7"/>
        <v>50</v>
      </c>
      <c r="O539" s="440">
        <f t="shared" si="8"/>
        <v>5</v>
      </c>
      <c r="P539" s="440">
        <f t="shared" si="9"/>
        <v>0.5</v>
      </c>
      <c r="Q539">
        <f t="array" ref="Q539">IF(I539&gt;0,INDEX(DB,I539,9),EventIndex)</f>
        <v>6</v>
      </c>
      <c r="S539" s="442">
        <f t="array" ref="S539">INDEX(MINVALUES,$Q539,$K$1)</f>
        <v>5</v>
      </c>
      <c r="T539">
        <f t="array" ref="T539">INDEX(INCVALUES,$Q539,$K$1)</f>
        <v>0.5</v>
      </c>
      <c r="V539">
        <f t="array" ref="V539">+J539+(4*(INDEX(MatchScoreTable,$Q539,20)-1))</f>
        <v>4</v>
      </c>
      <c r="W539" s="442">
        <f t="array" ref="W539">INDEX(INC_MINVALUES,$V539,$K$1)</f>
        <v>2.5</v>
      </c>
      <c r="X539" s="212">
        <f t="array" ref="X539">INDEX(INC_INCVALUES,$V539,$K$1)</f>
        <v>0.5</v>
      </c>
    </row>
    <row r="540" ht="15.75" customHeight="1">
      <c r="A540" s="435"/>
      <c r="B540" s="436"/>
      <c r="C540" s="95" t="str">
        <f t="array" ref="C540">IF(I540&gt;0,INDEX(DB,I540,8),"")</f>
        <v/>
      </c>
      <c r="D540" s="437">
        <f t="shared" si="1"/>
        <v>0</v>
      </c>
      <c r="F540" s="438">
        <f t="shared" si="2"/>
        <v>0</v>
      </c>
      <c r="G540" t="str">
        <f t="shared" si="3"/>
        <v/>
      </c>
      <c r="H540" t="b">
        <f t="shared" si="4"/>
        <v>0</v>
      </c>
      <c r="I540" s="439">
        <f>IF(OR(ISBLANK(A540),ISNA(MATCH(A540&amp;"",AthleteNumbers,0))),0,MATCH(A540&amp;"",AthleteNumbers,0))</f>
        <v>0</v>
      </c>
      <c r="J540" s="209">
        <f t="array" ref="J540">IF(I540&gt;0,INDEX(DB,$I540,6),0)</f>
        <v>0</v>
      </c>
      <c r="K540" s="446">
        <f t="shared" si="5"/>
        <v>0</v>
      </c>
      <c r="L540" s="446">
        <f t="shared" si="6"/>
        <v>0</v>
      </c>
      <c r="M540" s="441">
        <f>IF(L540&lt;O540,MinPoints,IF(AND(L540&gt;N540,O540&gt;0),100,+INT(($L540-O540)/P540)+MinPoints))</f>
        <v>10</v>
      </c>
      <c r="N540" s="440">
        <f t="shared" si="7"/>
        <v>50</v>
      </c>
      <c r="O540" s="440">
        <f t="shared" si="8"/>
        <v>5</v>
      </c>
      <c r="P540" s="440">
        <f t="shared" si="9"/>
        <v>0.5</v>
      </c>
      <c r="Q540">
        <f t="array" ref="Q540">IF(I540&gt;0,INDEX(DB,I540,9),EventIndex)</f>
        <v>6</v>
      </c>
      <c r="S540" s="442">
        <f t="array" ref="S540">INDEX(MINVALUES,$Q540,$K$1)</f>
        <v>5</v>
      </c>
      <c r="T540">
        <f t="array" ref="T540">INDEX(INCVALUES,$Q540,$K$1)</f>
        <v>0.5</v>
      </c>
      <c r="V540">
        <f t="array" ref="V540">+J540+(4*(INDEX(MatchScoreTable,$Q540,20)-1))</f>
        <v>4</v>
      </c>
      <c r="W540" s="442">
        <f t="array" ref="W540">INDEX(INC_MINVALUES,$V540,$K$1)</f>
        <v>2.5</v>
      </c>
      <c r="X540" s="212">
        <f t="array" ref="X540">INDEX(INC_INCVALUES,$V540,$K$1)</f>
        <v>0.5</v>
      </c>
    </row>
    <row r="541" ht="15.75" customHeight="1">
      <c r="A541" s="435"/>
      <c r="B541" s="436"/>
      <c r="C541" s="95" t="str">
        <f t="array" ref="C541">IF(I541&gt;0,INDEX(DB,I541,8),"")</f>
        <v/>
      </c>
      <c r="D541" s="437">
        <f t="shared" si="1"/>
        <v>0</v>
      </c>
      <c r="F541" s="438">
        <f t="shared" si="2"/>
        <v>0</v>
      </c>
      <c r="G541" t="str">
        <f t="shared" si="3"/>
        <v/>
      </c>
      <c r="H541" t="b">
        <f t="shared" si="4"/>
        <v>0</v>
      </c>
      <c r="I541" s="439">
        <f>IF(OR(ISBLANK(A541),ISNA(MATCH(A541&amp;"",AthleteNumbers,0))),0,MATCH(A541&amp;"",AthleteNumbers,0))</f>
        <v>0</v>
      </c>
      <c r="J541" s="209">
        <f t="array" ref="J541">IF(I541&gt;0,INDEX(DB,$I541,6),0)</f>
        <v>0</v>
      </c>
      <c r="K541" s="446">
        <f t="shared" si="5"/>
        <v>0</v>
      </c>
      <c r="L541" s="446">
        <f t="shared" si="6"/>
        <v>0</v>
      </c>
      <c r="M541" s="441">
        <f>IF(L541&lt;O541,MinPoints,IF(AND(L541&gt;N541,O541&gt;0),100,+INT(($L541-O541)/P541)+MinPoints))</f>
        <v>10</v>
      </c>
      <c r="N541" s="440">
        <f t="shared" si="7"/>
        <v>50</v>
      </c>
      <c r="O541" s="440">
        <f t="shared" si="8"/>
        <v>5</v>
      </c>
      <c r="P541" s="440">
        <f t="shared" si="9"/>
        <v>0.5</v>
      </c>
      <c r="Q541">
        <f t="array" ref="Q541">IF(I541&gt;0,INDEX(DB,I541,9),EventIndex)</f>
        <v>6</v>
      </c>
      <c r="S541" s="442">
        <f t="array" ref="S541">INDEX(MINVALUES,$Q541,$K$1)</f>
        <v>5</v>
      </c>
      <c r="T541">
        <f t="array" ref="T541">INDEX(INCVALUES,$Q541,$K$1)</f>
        <v>0.5</v>
      </c>
      <c r="V541">
        <f t="array" ref="V541">+J541+(4*(INDEX(MatchScoreTable,$Q541,20)-1))</f>
        <v>4</v>
      </c>
      <c r="W541" s="442">
        <f t="array" ref="W541">INDEX(INC_MINVALUES,$V541,$K$1)</f>
        <v>2.5</v>
      </c>
      <c r="X541" s="212">
        <f t="array" ref="X541">INDEX(INC_INCVALUES,$V541,$K$1)</f>
        <v>0.5</v>
      </c>
    </row>
    <row r="542" ht="15.75" customHeight="1">
      <c r="A542" s="435"/>
      <c r="B542" s="436"/>
      <c r="C542" s="95" t="str">
        <f t="array" ref="C542">IF(I542&gt;0,INDEX(DB,I542,8),"")</f>
        <v/>
      </c>
      <c r="D542" s="437">
        <f t="shared" si="1"/>
        <v>0</v>
      </c>
      <c r="F542" s="438">
        <f t="shared" si="2"/>
        <v>0</v>
      </c>
      <c r="G542" t="str">
        <f t="shared" si="3"/>
        <v/>
      </c>
      <c r="H542" t="b">
        <f t="shared" si="4"/>
        <v>0</v>
      </c>
      <c r="I542" s="439">
        <f>IF(OR(ISBLANK(A542),ISNA(MATCH(A542&amp;"",AthleteNumbers,0))),0,MATCH(A542&amp;"",AthleteNumbers,0))</f>
        <v>0</v>
      </c>
      <c r="J542" s="209">
        <f t="array" ref="J542">IF(I542&gt;0,INDEX(DB,$I542,6),0)</f>
        <v>0</v>
      </c>
      <c r="K542" s="446">
        <f t="shared" si="5"/>
        <v>0</v>
      </c>
      <c r="L542" s="446">
        <f t="shared" si="6"/>
        <v>0</v>
      </c>
      <c r="M542" s="441">
        <f>IF(L542&lt;O542,MinPoints,IF(AND(L542&gt;N542,O542&gt;0),100,+INT(($L542-O542)/P542)+MinPoints))</f>
        <v>10</v>
      </c>
      <c r="N542" s="440">
        <f t="shared" si="7"/>
        <v>50</v>
      </c>
      <c r="O542" s="440">
        <f t="shared" si="8"/>
        <v>5</v>
      </c>
      <c r="P542" s="440">
        <f t="shared" si="9"/>
        <v>0.5</v>
      </c>
      <c r="Q542">
        <f t="array" ref="Q542">IF(I542&gt;0,INDEX(DB,I542,9),EventIndex)</f>
        <v>6</v>
      </c>
      <c r="S542" s="442">
        <f t="array" ref="S542">INDEX(MINVALUES,$Q542,$K$1)</f>
        <v>5</v>
      </c>
      <c r="T542">
        <f t="array" ref="T542">INDEX(INCVALUES,$Q542,$K$1)</f>
        <v>0.5</v>
      </c>
      <c r="V542">
        <f t="array" ref="V542">+J542+(4*(INDEX(MatchScoreTable,$Q542,20)-1))</f>
        <v>4</v>
      </c>
      <c r="W542" s="442">
        <f t="array" ref="W542">INDEX(INC_MINVALUES,$V542,$K$1)</f>
        <v>2.5</v>
      </c>
      <c r="X542" s="212">
        <f t="array" ref="X542">INDEX(INC_INCVALUES,$V542,$K$1)</f>
        <v>0.5</v>
      </c>
    </row>
    <row r="543" ht="15.75" customHeight="1">
      <c r="A543" s="435"/>
      <c r="B543" s="436"/>
      <c r="C543" s="95" t="str">
        <f t="array" ref="C543">IF(I543&gt;0,INDEX(DB,I543,8),"")</f>
        <v/>
      </c>
      <c r="D543" s="437">
        <f t="shared" si="1"/>
        <v>0</v>
      </c>
      <c r="F543" s="438">
        <f t="shared" si="2"/>
        <v>0</v>
      </c>
      <c r="G543" t="str">
        <f t="shared" si="3"/>
        <v/>
      </c>
      <c r="H543" t="b">
        <f t="shared" si="4"/>
        <v>0</v>
      </c>
      <c r="I543" s="439">
        <f>IF(OR(ISBLANK(A543),ISNA(MATCH(A543&amp;"",AthleteNumbers,0))),0,MATCH(A543&amp;"",AthleteNumbers,0))</f>
        <v>0</v>
      </c>
      <c r="J543" s="209">
        <f t="array" ref="J543">IF(I543&gt;0,INDEX(DB,$I543,6),0)</f>
        <v>0</v>
      </c>
      <c r="K543" s="446">
        <f t="shared" si="5"/>
        <v>0</v>
      </c>
      <c r="L543" s="446">
        <f t="shared" si="6"/>
        <v>0</v>
      </c>
      <c r="M543" s="441">
        <f>IF(L543&lt;O543,MinPoints,IF(AND(L543&gt;N543,O543&gt;0),100,+INT(($L543-O543)/P543)+MinPoints))</f>
        <v>10</v>
      </c>
      <c r="N543" s="440">
        <f t="shared" si="7"/>
        <v>50</v>
      </c>
      <c r="O543" s="440">
        <f t="shared" si="8"/>
        <v>5</v>
      </c>
      <c r="P543" s="440">
        <f t="shared" si="9"/>
        <v>0.5</v>
      </c>
      <c r="Q543">
        <f t="array" ref="Q543">IF(I543&gt;0,INDEX(DB,I543,9),EventIndex)</f>
        <v>6</v>
      </c>
      <c r="S543" s="442">
        <f t="array" ref="S543">INDEX(MINVALUES,$Q543,$K$1)</f>
        <v>5</v>
      </c>
      <c r="T543">
        <f t="array" ref="T543">INDEX(INCVALUES,$Q543,$K$1)</f>
        <v>0.5</v>
      </c>
      <c r="V543">
        <f t="array" ref="V543">+J543+(4*(INDEX(MatchScoreTable,$Q543,20)-1))</f>
        <v>4</v>
      </c>
      <c r="W543" s="442">
        <f t="array" ref="W543">INDEX(INC_MINVALUES,$V543,$K$1)</f>
        <v>2.5</v>
      </c>
      <c r="X543" s="212">
        <f t="array" ref="X543">INDEX(INC_INCVALUES,$V543,$K$1)</f>
        <v>0.5</v>
      </c>
    </row>
    <row r="544" ht="15.75" customHeight="1">
      <c r="A544" s="435"/>
      <c r="B544" s="436"/>
      <c r="C544" s="95" t="str">
        <f t="array" ref="C544">IF(I544&gt;0,INDEX(DB,I544,8),"")</f>
        <v/>
      </c>
      <c r="D544" s="437">
        <f t="shared" si="1"/>
        <v>0</v>
      </c>
      <c r="F544" s="438">
        <f t="shared" si="2"/>
        <v>0</v>
      </c>
      <c r="G544" t="str">
        <f t="shared" si="3"/>
        <v/>
      </c>
      <c r="H544" t="b">
        <f t="shared" si="4"/>
        <v>0</v>
      </c>
      <c r="I544" s="439">
        <f>IF(OR(ISBLANK(A544),ISNA(MATCH(A544&amp;"",AthleteNumbers,0))),0,MATCH(A544&amp;"",AthleteNumbers,0))</f>
        <v>0</v>
      </c>
      <c r="J544" s="209">
        <f t="array" ref="J544">IF(I544&gt;0,INDEX(DB,$I544,6),0)</f>
        <v>0</v>
      </c>
      <c r="K544" s="446">
        <f t="shared" si="5"/>
        <v>0</v>
      </c>
      <c r="L544" s="446">
        <f t="shared" si="6"/>
        <v>0</v>
      </c>
      <c r="M544" s="441">
        <f>IF(L544&lt;O544,MinPoints,IF(AND(L544&gt;N544,O544&gt;0),100,+INT(($L544-O544)/P544)+MinPoints))</f>
        <v>10</v>
      </c>
      <c r="N544" s="440">
        <f t="shared" si="7"/>
        <v>50</v>
      </c>
      <c r="O544" s="440">
        <f t="shared" si="8"/>
        <v>5</v>
      </c>
      <c r="P544" s="440">
        <f t="shared" si="9"/>
        <v>0.5</v>
      </c>
      <c r="Q544">
        <f t="array" ref="Q544">IF(I544&gt;0,INDEX(DB,I544,9),EventIndex)</f>
        <v>6</v>
      </c>
      <c r="S544" s="442">
        <f t="array" ref="S544">INDEX(MINVALUES,$Q544,$K$1)</f>
        <v>5</v>
      </c>
      <c r="T544">
        <f t="array" ref="T544">INDEX(INCVALUES,$Q544,$K$1)</f>
        <v>0.5</v>
      </c>
      <c r="V544">
        <f t="array" ref="V544">+J544+(4*(INDEX(MatchScoreTable,$Q544,20)-1))</f>
        <v>4</v>
      </c>
      <c r="W544" s="442">
        <f t="array" ref="W544">INDEX(INC_MINVALUES,$V544,$K$1)</f>
        <v>2.5</v>
      </c>
      <c r="X544" s="212">
        <f t="array" ref="X544">INDEX(INC_INCVALUES,$V544,$K$1)</f>
        <v>0.5</v>
      </c>
    </row>
    <row r="545" ht="15.75" customHeight="1">
      <c r="A545" s="435"/>
      <c r="B545" s="436"/>
      <c r="C545" s="95" t="str">
        <f t="array" ref="C545">IF(I545&gt;0,INDEX(DB,I545,8),"")</f>
        <v/>
      </c>
      <c r="D545" s="437">
        <f t="shared" si="1"/>
        <v>0</v>
      </c>
      <c r="F545" s="438">
        <f t="shared" si="2"/>
        <v>0</v>
      </c>
      <c r="G545" t="str">
        <f t="shared" si="3"/>
        <v/>
      </c>
      <c r="H545" t="b">
        <f t="shared" si="4"/>
        <v>0</v>
      </c>
      <c r="I545" s="439">
        <f>IF(OR(ISBLANK(A545),ISNA(MATCH(A545&amp;"",AthleteNumbers,0))),0,MATCH(A545&amp;"",AthleteNumbers,0))</f>
        <v>0</v>
      </c>
      <c r="J545" s="209">
        <f t="array" ref="J545">IF(I545&gt;0,INDEX(DB,$I545,6),0)</f>
        <v>0</v>
      </c>
      <c r="K545" s="446">
        <f t="shared" si="5"/>
        <v>0</v>
      </c>
      <c r="L545" s="446">
        <f t="shared" si="6"/>
        <v>0</v>
      </c>
      <c r="M545" s="441">
        <f>IF(L545&lt;O545,MinPoints,IF(AND(L545&gt;N545,O545&gt;0),100,+INT(($L545-O545)/P545)+MinPoints))</f>
        <v>10</v>
      </c>
      <c r="N545" s="440">
        <f t="shared" si="7"/>
        <v>50</v>
      </c>
      <c r="O545" s="440">
        <f t="shared" si="8"/>
        <v>5</v>
      </c>
      <c r="P545" s="440">
        <f t="shared" si="9"/>
        <v>0.5</v>
      </c>
      <c r="Q545">
        <f t="array" ref="Q545">IF(I545&gt;0,INDEX(DB,I545,9),EventIndex)</f>
        <v>6</v>
      </c>
      <c r="S545" s="442">
        <f t="array" ref="S545">INDEX(MINVALUES,$Q545,$K$1)</f>
        <v>5</v>
      </c>
      <c r="T545">
        <f t="array" ref="T545">INDEX(INCVALUES,$Q545,$K$1)</f>
        <v>0.5</v>
      </c>
      <c r="V545">
        <f t="array" ref="V545">+J545+(4*(INDEX(MatchScoreTable,$Q545,20)-1))</f>
        <v>4</v>
      </c>
      <c r="W545" s="442">
        <f t="array" ref="W545">INDEX(INC_MINVALUES,$V545,$K$1)</f>
        <v>2.5</v>
      </c>
      <c r="X545" s="212">
        <f t="array" ref="X545">INDEX(INC_INCVALUES,$V545,$K$1)</f>
        <v>0.5</v>
      </c>
    </row>
    <row r="546" ht="15.75" customHeight="1">
      <c r="A546" s="435"/>
      <c r="B546" s="436"/>
      <c r="C546" s="95" t="str">
        <f t="array" ref="C546">IF(I546&gt;0,INDEX(DB,I546,8),"")</f>
        <v/>
      </c>
      <c r="D546" s="437">
        <f t="shared" si="1"/>
        <v>0</v>
      </c>
      <c r="F546" s="438">
        <f t="shared" si="2"/>
        <v>0</v>
      </c>
      <c r="G546" t="str">
        <f t="shared" si="3"/>
        <v/>
      </c>
      <c r="H546" t="b">
        <f t="shared" si="4"/>
        <v>0</v>
      </c>
      <c r="I546" s="439">
        <f>IF(OR(ISBLANK(A546),ISNA(MATCH(A546&amp;"",AthleteNumbers,0))),0,MATCH(A546&amp;"",AthleteNumbers,0))</f>
        <v>0</v>
      </c>
      <c r="J546" s="209">
        <f t="array" ref="J546">IF(I546&gt;0,INDEX(DB,$I546,6),0)</f>
        <v>0</v>
      </c>
      <c r="K546" s="446">
        <f t="shared" si="5"/>
        <v>0</v>
      </c>
      <c r="L546" s="446">
        <f t="shared" si="6"/>
        <v>0</v>
      </c>
      <c r="M546" s="441">
        <f>IF(L546&lt;O546,MinPoints,IF(AND(L546&gt;N546,O546&gt;0),100,+INT(($L546-O546)/P546)+MinPoints))</f>
        <v>10</v>
      </c>
      <c r="N546" s="440">
        <f t="shared" si="7"/>
        <v>50</v>
      </c>
      <c r="O546" s="440">
        <f t="shared" si="8"/>
        <v>5</v>
      </c>
      <c r="P546" s="440">
        <f t="shared" si="9"/>
        <v>0.5</v>
      </c>
      <c r="Q546">
        <f t="array" ref="Q546">IF(I546&gt;0,INDEX(DB,I546,9),EventIndex)</f>
        <v>6</v>
      </c>
      <c r="S546" s="442">
        <f t="array" ref="S546">INDEX(MINVALUES,$Q546,$K$1)</f>
        <v>5</v>
      </c>
      <c r="T546">
        <f t="array" ref="T546">INDEX(INCVALUES,$Q546,$K$1)</f>
        <v>0.5</v>
      </c>
      <c r="V546">
        <f t="array" ref="V546">+J546+(4*(INDEX(MatchScoreTable,$Q546,20)-1))</f>
        <v>4</v>
      </c>
      <c r="W546" s="442">
        <f t="array" ref="W546">INDEX(INC_MINVALUES,$V546,$K$1)</f>
        <v>2.5</v>
      </c>
      <c r="X546" s="212">
        <f t="array" ref="X546">INDEX(INC_INCVALUES,$V546,$K$1)</f>
        <v>0.5</v>
      </c>
    </row>
    <row r="547" ht="15.75" customHeight="1">
      <c r="A547" s="435"/>
      <c r="B547" s="436"/>
      <c r="C547" s="95" t="str">
        <f t="array" ref="C547">IF(I547&gt;0,INDEX(DB,I547,8),"")</f>
        <v/>
      </c>
      <c r="D547" s="437">
        <f t="shared" si="1"/>
        <v>0</v>
      </c>
      <c r="F547" s="438">
        <f t="shared" si="2"/>
        <v>0</v>
      </c>
      <c r="G547" t="str">
        <f t="shared" si="3"/>
        <v/>
      </c>
      <c r="H547" t="b">
        <f t="shared" si="4"/>
        <v>0</v>
      </c>
      <c r="I547" s="439">
        <f>IF(OR(ISBLANK(A547),ISNA(MATCH(A547&amp;"",AthleteNumbers,0))),0,MATCH(A547&amp;"",AthleteNumbers,0))</f>
        <v>0</v>
      </c>
      <c r="J547" s="209">
        <f t="array" ref="J547">IF(I547&gt;0,INDEX(DB,$I547,6),0)</f>
        <v>0</v>
      </c>
      <c r="K547" s="446">
        <f t="shared" si="5"/>
        <v>0</v>
      </c>
      <c r="L547" s="446">
        <f t="shared" si="6"/>
        <v>0</v>
      </c>
      <c r="M547" s="441">
        <f>IF(L547&lt;O547,MinPoints,IF(AND(L547&gt;N547,O547&gt;0),100,+INT(($L547-O547)/P547)+MinPoints))</f>
        <v>10</v>
      </c>
      <c r="N547" s="440">
        <f t="shared" si="7"/>
        <v>50</v>
      </c>
      <c r="O547" s="440">
        <f t="shared" si="8"/>
        <v>5</v>
      </c>
      <c r="P547" s="440">
        <f t="shared" si="9"/>
        <v>0.5</v>
      </c>
      <c r="Q547">
        <f t="array" ref="Q547">IF(I547&gt;0,INDEX(DB,I547,9),EventIndex)</f>
        <v>6</v>
      </c>
      <c r="S547" s="442">
        <f t="array" ref="S547">INDEX(MINVALUES,$Q547,$K$1)</f>
        <v>5</v>
      </c>
      <c r="T547">
        <f t="array" ref="T547">INDEX(INCVALUES,$Q547,$K$1)</f>
        <v>0.5</v>
      </c>
      <c r="V547">
        <f t="array" ref="V547">+J547+(4*(INDEX(MatchScoreTable,$Q547,20)-1))</f>
        <v>4</v>
      </c>
      <c r="W547" s="442">
        <f t="array" ref="W547">INDEX(INC_MINVALUES,$V547,$K$1)</f>
        <v>2.5</v>
      </c>
      <c r="X547" s="212">
        <f t="array" ref="X547">INDEX(INC_INCVALUES,$V547,$K$1)</f>
        <v>0.5</v>
      </c>
    </row>
    <row r="548" ht="15.75" customHeight="1">
      <c r="A548" s="435"/>
      <c r="B548" s="436"/>
      <c r="C548" s="95" t="str">
        <f t="array" ref="C548">IF(I548&gt;0,INDEX(DB,I548,8),"")</f>
        <v/>
      </c>
      <c r="D548" s="437">
        <f t="shared" si="1"/>
        <v>0</v>
      </c>
      <c r="F548" s="438">
        <f t="shared" si="2"/>
        <v>0</v>
      </c>
      <c r="G548" t="str">
        <f t="shared" si="3"/>
        <v/>
      </c>
      <c r="H548" t="b">
        <f t="shared" si="4"/>
        <v>0</v>
      </c>
      <c r="I548" s="439">
        <f>IF(OR(ISBLANK(A548),ISNA(MATCH(A548&amp;"",AthleteNumbers,0))),0,MATCH(A548&amp;"",AthleteNumbers,0))</f>
        <v>0</v>
      </c>
      <c r="J548" s="209">
        <f t="array" ref="J548">IF(I548&gt;0,INDEX(DB,$I548,6),0)</f>
        <v>0</v>
      </c>
      <c r="K548" s="446">
        <f t="shared" si="5"/>
        <v>0</v>
      </c>
      <c r="L548" s="446">
        <f t="shared" si="6"/>
        <v>0</v>
      </c>
      <c r="M548" s="441">
        <f>IF(L548&lt;O548,MinPoints,IF(AND(L548&gt;N548,O548&gt;0),100,+INT(($L548-O548)/P548)+MinPoints))</f>
        <v>10</v>
      </c>
      <c r="N548" s="440">
        <f t="shared" si="7"/>
        <v>50</v>
      </c>
      <c r="O548" s="440">
        <f t="shared" si="8"/>
        <v>5</v>
      </c>
      <c r="P548" s="440">
        <f t="shared" si="9"/>
        <v>0.5</v>
      </c>
      <c r="Q548">
        <f t="array" ref="Q548">IF(I548&gt;0,INDEX(DB,I548,9),EventIndex)</f>
        <v>6</v>
      </c>
      <c r="S548" s="442">
        <f t="array" ref="S548">INDEX(MINVALUES,$Q548,$K$1)</f>
        <v>5</v>
      </c>
      <c r="T548">
        <f t="array" ref="T548">INDEX(INCVALUES,$Q548,$K$1)</f>
        <v>0.5</v>
      </c>
      <c r="V548">
        <f t="array" ref="V548">+J548+(4*(INDEX(MatchScoreTable,$Q548,20)-1))</f>
        <v>4</v>
      </c>
      <c r="W548" s="442">
        <f t="array" ref="W548">INDEX(INC_MINVALUES,$V548,$K$1)</f>
        <v>2.5</v>
      </c>
      <c r="X548" s="212">
        <f t="array" ref="X548">INDEX(INC_INCVALUES,$V548,$K$1)</f>
        <v>0.5</v>
      </c>
    </row>
    <row r="549" ht="15.75" customHeight="1">
      <c r="A549" s="435"/>
      <c r="B549" s="436"/>
      <c r="C549" s="95" t="str">
        <f t="array" ref="C549">IF(I549&gt;0,INDEX(DB,I549,8),"")</f>
        <v/>
      </c>
      <c r="D549" s="437">
        <f t="shared" si="1"/>
        <v>0</v>
      </c>
      <c r="F549" s="438">
        <f t="shared" si="2"/>
        <v>0</v>
      </c>
      <c r="G549" t="str">
        <f t="shared" si="3"/>
        <v/>
      </c>
      <c r="H549" t="b">
        <f t="shared" si="4"/>
        <v>0</v>
      </c>
      <c r="I549" s="439">
        <f>IF(OR(ISBLANK(A549),ISNA(MATCH(A549&amp;"",AthleteNumbers,0))),0,MATCH(A549&amp;"",AthleteNumbers,0))</f>
        <v>0</v>
      </c>
      <c r="J549" s="209">
        <f t="array" ref="J549">IF(I549&gt;0,INDEX(DB,$I549,6),0)</f>
        <v>0</v>
      </c>
      <c r="K549" s="446">
        <f t="shared" si="5"/>
        <v>0</v>
      </c>
      <c r="L549" s="446">
        <f t="shared" si="6"/>
        <v>0</v>
      </c>
      <c r="M549" s="441">
        <f>IF(L549&lt;O549,MinPoints,IF(AND(L549&gt;N549,O549&gt;0),100,+INT(($L549-O549)/P549)+MinPoints))</f>
        <v>10</v>
      </c>
      <c r="N549" s="440">
        <f t="shared" si="7"/>
        <v>50</v>
      </c>
      <c r="O549" s="440">
        <f t="shared" si="8"/>
        <v>5</v>
      </c>
      <c r="P549" s="440">
        <f t="shared" si="9"/>
        <v>0.5</v>
      </c>
      <c r="Q549">
        <f t="array" ref="Q549">IF(I549&gt;0,INDEX(DB,I549,9),EventIndex)</f>
        <v>6</v>
      </c>
      <c r="S549" s="442">
        <f t="array" ref="S549">INDEX(MINVALUES,$Q549,$K$1)</f>
        <v>5</v>
      </c>
      <c r="T549">
        <f t="array" ref="T549">INDEX(INCVALUES,$Q549,$K$1)</f>
        <v>0.5</v>
      </c>
      <c r="V549">
        <f t="array" ref="V549">+J549+(4*(INDEX(MatchScoreTable,$Q549,20)-1))</f>
        <v>4</v>
      </c>
      <c r="W549" s="442">
        <f t="array" ref="W549">INDEX(INC_MINVALUES,$V549,$K$1)</f>
        <v>2.5</v>
      </c>
      <c r="X549" s="212">
        <f t="array" ref="X549">INDEX(INC_INCVALUES,$V549,$K$1)</f>
        <v>0.5</v>
      </c>
    </row>
    <row r="550" ht="15.75" customHeight="1">
      <c r="A550" s="435"/>
      <c r="B550" s="436"/>
      <c r="C550" s="95" t="str">
        <f t="array" ref="C550">IF(I550&gt;0,INDEX(DB,I550,8),"")</f>
        <v/>
      </c>
      <c r="D550" s="437">
        <f t="shared" si="1"/>
        <v>0</v>
      </c>
      <c r="F550" s="438">
        <f t="shared" si="2"/>
        <v>0</v>
      </c>
      <c r="G550" t="str">
        <f t="shared" si="3"/>
        <v/>
      </c>
      <c r="H550" t="b">
        <f t="shared" si="4"/>
        <v>0</v>
      </c>
      <c r="I550" s="439">
        <f>IF(OR(ISBLANK(A550),ISNA(MATCH(A550&amp;"",AthleteNumbers,0))),0,MATCH(A550&amp;"",AthleteNumbers,0))</f>
        <v>0</v>
      </c>
      <c r="J550" s="209">
        <f t="array" ref="J550">IF(I550&gt;0,INDEX(DB,$I550,6),0)</f>
        <v>0</v>
      </c>
      <c r="K550" s="446">
        <f t="shared" si="5"/>
        <v>0</v>
      </c>
      <c r="L550" s="446">
        <f t="shared" si="6"/>
        <v>0</v>
      </c>
      <c r="M550" s="441">
        <f>IF(L550&lt;O550,MinPoints,IF(AND(L550&gt;N550,O550&gt;0),100,+INT(($L550-O550)/P550)+MinPoints))</f>
        <v>10</v>
      </c>
      <c r="N550" s="440">
        <f t="shared" si="7"/>
        <v>50</v>
      </c>
      <c r="O550" s="440">
        <f t="shared" si="8"/>
        <v>5</v>
      </c>
      <c r="P550" s="440">
        <f t="shared" si="9"/>
        <v>0.5</v>
      </c>
      <c r="Q550">
        <f t="array" ref="Q550">IF(I550&gt;0,INDEX(DB,I550,9),EventIndex)</f>
        <v>6</v>
      </c>
      <c r="S550" s="442">
        <f t="array" ref="S550">INDEX(MINVALUES,$Q550,$K$1)</f>
        <v>5</v>
      </c>
      <c r="T550">
        <f t="array" ref="T550">INDEX(INCVALUES,$Q550,$K$1)</f>
        <v>0.5</v>
      </c>
      <c r="V550">
        <f t="array" ref="V550">+J550+(4*(INDEX(MatchScoreTable,$Q550,20)-1))</f>
        <v>4</v>
      </c>
      <c r="W550" s="442">
        <f t="array" ref="W550">INDEX(INC_MINVALUES,$V550,$K$1)</f>
        <v>2.5</v>
      </c>
      <c r="X550" s="212">
        <f t="array" ref="X550">INDEX(INC_INCVALUES,$V550,$K$1)</f>
        <v>0.5</v>
      </c>
    </row>
    <row r="551" ht="15.75" customHeight="1">
      <c r="A551" s="435"/>
      <c r="B551" s="436"/>
      <c r="C551" s="95" t="str">
        <f t="array" ref="C551">IF(I551&gt;0,INDEX(DB,I551,8),"")</f>
        <v/>
      </c>
      <c r="D551" s="437">
        <f t="shared" si="1"/>
        <v>0</v>
      </c>
      <c r="F551" s="438">
        <f t="shared" si="2"/>
        <v>0</v>
      </c>
      <c r="G551" t="str">
        <f t="shared" si="3"/>
        <v/>
      </c>
      <c r="H551" t="b">
        <f t="shared" si="4"/>
        <v>0</v>
      </c>
      <c r="I551" s="439">
        <f>IF(OR(ISBLANK(A551),ISNA(MATCH(A551&amp;"",AthleteNumbers,0))),0,MATCH(A551&amp;"",AthleteNumbers,0))</f>
        <v>0</v>
      </c>
      <c r="J551" s="209">
        <f t="array" ref="J551">IF(I551&gt;0,INDEX(DB,$I551,6),0)</f>
        <v>0</v>
      </c>
      <c r="K551" s="446">
        <f t="shared" si="5"/>
        <v>0</v>
      </c>
      <c r="L551" s="446">
        <f t="shared" si="6"/>
        <v>0</v>
      </c>
      <c r="M551" s="441">
        <f>IF(L551&lt;O551,MinPoints,IF(AND(L551&gt;N551,O551&gt;0),100,+INT(($L551-O551)/P551)+MinPoints))</f>
        <v>10</v>
      </c>
      <c r="N551" s="440">
        <f t="shared" si="7"/>
        <v>50</v>
      </c>
      <c r="O551" s="440">
        <f t="shared" si="8"/>
        <v>5</v>
      </c>
      <c r="P551" s="440">
        <f t="shared" si="9"/>
        <v>0.5</v>
      </c>
      <c r="Q551">
        <f t="array" ref="Q551">IF(I551&gt;0,INDEX(DB,I551,9),EventIndex)</f>
        <v>6</v>
      </c>
      <c r="S551" s="442">
        <f t="array" ref="S551">INDEX(MINVALUES,$Q551,$K$1)</f>
        <v>5</v>
      </c>
      <c r="T551">
        <f t="array" ref="T551">INDEX(INCVALUES,$Q551,$K$1)</f>
        <v>0.5</v>
      </c>
      <c r="V551">
        <f t="array" ref="V551">+J551+(4*(INDEX(MatchScoreTable,$Q551,20)-1))</f>
        <v>4</v>
      </c>
      <c r="W551" s="442">
        <f t="array" ref="W551">INDEX(INC_MINVALUES,$V551,$K$1)</f>
        <v>2.5</v>
      </c>
      <c r="X551" s="212">
        <f t="array" ref="X551">INDEX(INC_INCVALUES,$V551,$K$1)</f>
        <v>0.5</v>
      </c>
    </row>
    <row r="552" ht="15.75" customHeight="1">
      <c r="A552" s="435"/>
      <c r="B552" s="436"/>
      <c r="C552" s="95" t="str">
        <f t="array" ref="C552">IF(I552&gt;0,INDEX(DB,I552,8),"")</f>
        <v/>
      </c>
      <c r="D552" s="437">
        <f t="shared" si="1"/>
        <v>0</v>
      </c>
      <c r="F552" s="438">
        <f t="shared" si="2"/>
        <v>0</v>
      </c>
      <c r="G552" t="str">
        <f t="shared" si="3"/>
        <v/>
      </c>
      <c r="H552" t="b">
        <f t="shared" si="4"/>
        <v>0</v>
      </c>
      <c r="I552" s="439">
        <f>IF(OR(ISBLANK(A552),ISNA(MATCH(A552&amp;"",AthleteNumbers,0))),0,MATCH(A552&amp;"",AthleteNumbers,0))</f>
        <v>0</v>
      </c>
      <c r="J552" s="209">
        <f t="array" ref="J552">IF(I552&gt;0,INDEX(DB,$I552,6),0)</f>
        <v>0</v>
      </c>
      <c r="K552" s="446">
        <f t="shared" si="5"/>
        <v>0</v>
      </c>
      <c r="L552" s="446">
        <f t="shared" si="6"/>
        <v>0</v>
      </c>
      <c r="M552" s="441">
        <f>IF(L552&lt;O552,MinPoints,IF(AND(L552&gt;N552,O552&gt;0),100,+INT(($L552-O552)/P552)+MinPoints))</f>
        <v>10</v>
      </c>
      <c r="N552" s="440">
        <f t="shared" si="7"/>
        <v>50</v>
      </c>
      <c r="O552" s="440">
        <f t="shared" si="8"/>
        <v>5</v>
      </c>
      <c r="P552" s="440">
        <f t="shared" si="9"/>
        <v>0.5</v>
      </c>
      <c r="Q552">
        <f t="array" ref="Q552">IF(I552&gt;0,INDEX(DB,I552,9),EventIndex)</f>
        <v>6</v>
      </c>
      <c r="S552" s="442">
        <f t="array" ref="S552">INDEX(MINVALUES,$Q552,$K$1)</f>
        <v>5</v>
      </c>
      <c r="T552">
        <f t="array" ref="T552">INDEX(INCVALUES,$Q552,$K$1)</f>
        <v>0.5</v>
      </c>
      <c r="V552">
        <f t="array" ref="V552">+J552+(4*(INDEX(MatchScoreTable,$Q552,20)-1))</f>
        <v>4</v>
      </c>
      <c r="W552" s="442">
        <f t="array" ref="W552">INDEX(INC_MINVALUES,$V552,$K$1)</f>
        <v>2.5</v>
      </c>
      <c r="X552" s="212">
        <f t="array" ref="X552">INDEX(INC_INCVALUES,$V552,$K$1)</f>
        <v>0.5</v>
      </c>
    </row>
    <row r="553" ht="15.75" customHeight="1">
      <c r="A553" s="435"/>
      <c r="B553" s="436"/>
      <c r="C553" s="95" t="str">
        <f t="array" ref="C553">IF(I553&gt;0,INDEX(DB,I553,8),"")</f>
        <v/>
      </c>
      <c r="D553" s="437">
        <f t="shared" si="1"/>
        <v>0</v>
      </c>
      <c r="F553" s="438">
        <f t="shared" si="2"/>
        <v>0</v>
      </c>
      <c r="G553" t="str">
        <f t="shared" si="3"/>
        <v/>
      </c>
      <c r="H553" t="b">
        <f t="shared" si="4"/>
        <v>0</v>
      </c>
      <c r="I553" s="439">
        <f>IF(OR(ISBLANK(A553),ISNA(MATCH(A553&amp;"",AthleteNumbers,0))),0,MATCH(A553&amp;"",AthleteNumbers,0))</f>
        <v>0</v>
      </c>
      <c r="J553" s="209">
        <f t="array" ref="J553">IF(I553&gt;0,INDEX(DB,$I553,6),0)</f>
        <v>0</v>
      </c>
      <c r="K553" s="446">
        <f t="shared" si="5"/>
        <v>0</v>
      </c>
      <c r="L553" s="446">
        <f t="shared" si="6"/>
        <v>0</v>
      </c>
      <c r="M553" s="441">
        <f>IF(L553&lt;O553,MinPoints,IF(AND(L553&gt;N553,O553&gt;0),100,+INT(($L553-O553)/P553)+MinPoints))</f>
        <v>10</v>
      </c>
      <c r="N553" s="440">
        <f t="shared" si="7"/>
        <v>50</v>
      </c>
      <c r="O553" s="440">
        <f t="shared" si="8"/>
        <v>5</v>
      </c>
      <c r="P553" s="440">
        <f t="shared" si="9"/>
        <v>0.5</v>
      </c>
      <c r="Q553">
        <f t="array" ref="Q553">IF(I553&gt;0,INDEX(DB,I553,9),EventIndex)</f>
        <v>6</v>
      </c>
      <c r="S553" s="442">
        <f t="array" ref="S553">INDEX(MINVALUES,$Q553,$K$1)</f>
        <v>5</v>
      </c>
      <c r="T553">
        <f t="array" ref="T553">INDEX(INCVALUES,$Q553,$K$1)</f>
        <v>0.5</v>
      </c>
      <c r="V553">
        <f t="array" ref="V553">+J553+(4*(INDEX(MatchScoreTable,$Q553,20)-1))</f>
        <v>4</v>
      </c>
      <c r="W553" s="442">
        <f t="array" ref="W553">INDEX(INC_MINVALUES,$V553,$K$1)</f>
        <v>2.5</v>
      </c>
      <c r="X553" s="212">
        <f t="array" ref="X553">INDEX(INC_INCVALUES,$V553,$K$1)</f>
        <v>0.5</v>
      </c>
    </row>
    <row r="554" ht="15.75" customHeight="1">
      <c r="A554" s="435"/>
      <c r="B554" s="436"/>
      <c r="C554" s="95" t="str">
        <f t="array" ref="C554">IF(I554&gt;0,INDEX(DB,I554,8),"")</f>
        <v/>
      </c>
      <c r="D554" s="437">
        <f t="shared" si="1"/>
        <v>0</v>
      </c>
      <c r="F554" s="438">
        <f t="shared" si="2"/>
        <v>0</v>
      </c>
      <c r="G554" t="str">
        <f t="shared" si="3"/>
        <v/>
      </c>
      <c r="H554" t="b">
        <f t="shared" si="4"/>
        <v>0</v>
      </c>
      <c r="I554" s="439">
        <f>IF(OR(ISBLANK(A554),ISNA(MATCH(A554&amp;"",AthleteNumbers,0))),0,MATCH(A554&amp;"",AthleteNumbers,0))</f>
        <v>0</v>
      </c>
      <c r="J554" s="209">
        <f t="array" ref="J554">IF(I554&gt;0,INDEX(DB,$I554,6),0)</f>
        <v>0</v>
      </c>
      <c r="K554" s="446">
        <f t="shared" si="5"/>
        <v>0</v>
      </c>
      <c r="L554" s="446">
        <f t="shared" si="6"/>
        <v>0</v>
      </c>
      <c r="M554" s="441">
        <f>IF(L554&lt;O554,MinPoints,IF(AND(L554&gt;N554,O554&gt;0),100,+INT(($L554-O554)/P554)+MinPoints))</f>
        <v>10</v>
      </c>
      <c r="N554" s="440">
        <f t="shared" si="7"/>
        <v>50</v>
      </c>
      <c r="O554" s="440">
        <f t="shared" si="8"/>
        <v>5</v>
      </c>
      <c r="P554" s="440">
        <f t="shared" si="9"/>
        <v>0.5</v>
      </c>
      <c r="Q554">
        <f t="array" ref="Q554">IF(I554&gt;0,INDEX(DB,I554,9),EventIndex)</f>
        <v>6</v>
      </c>
      <c r="S554" s="442">
        <f t="array" ref="S554">INDEX(MINVALUES,$Q554,$K$1)</f>
        <v>5</v>
      </c>
      <c r="T554">
        <f t="array" ref="T554">INDEX(INCVALUES,$Q554,$K$1)</f>
        <v>0.5</v>
      </c>
      <c r="V554">
        <f t="array" ref="V554">+J554+(4*(INDEX(MatchScoreTable,$Q554,20)-1))</f>
        <v>4</v>
      </c>
      <c r="W554" s="442">
        <f t="array" ref="W554">INDEX(INC_MINVALUES,$V554,$K$1)</f>
        <v>2.5</v>
      </c>
      <c r="X554" s="212">
        <f t="array" ref="X554">INDEX(INC_INCVALUES,$V554,$K$1)</f>
        <v>0.5</v>
      </c>
    </row>
    <row r="555" ht="15.75" customHeight="1">
      <c r="A555" s="435"/>
      <c r="B555" s="436"/>
      <c r="C555" s="95" t="str">
        <f t="array" ref="C555">IF(I555&gt;0,INDEX(DB,I555,8),"")</f>
        <v/>
      </c>
      <c r="D555" s="437">
        <f t="shared" si="1"/>
        <v>0</v>
      </c>
      <c r="F555" s="438">
        <f t="shared" si="2"/>
        <v>0</v>
      </c>
      <c r="G555" t="str">
        <f t="shared" si="3"/>
        <v/>
      </c>
      <c r="H555" t="b">
        <f t="shared" si="4"/>
        <v>0</v>
      </c>
      <c r="I555" s="439">
        <f>IF(OR(ISBLANK(A555),ISNA(MATCH(A555&amp;"",AthleteNumbers,0))),0,MATCH(A555&amp;"",AthleteNumbers,0))</f>
        <v>0</v>
      </c>
      <c r="J555" s="209">
        <f t="array" ref="J555">IF(I555&gt;0,INDEX(DB,$I555,6),0)</f>
        <v>0</v>
      </c>
      <c r="K555" s="446">
        <f t="shared" si="5"/>
        <v>0</v>
      </c>
      <c r="L555" s="446">
        <f t="shared" si="6"/>
        <v>0</v>
      </c>
      <c r="M555" s="441">
        <f>IF(L555&lt;O555,MinPoints,IF(AND(L555&gt;N555,O555&gt;0),100,+INT(($L555-O555)/P555)+MinPoints))</f>
        <v>10</v>
      </c>
      <c r="N555" s="440">
        <f t="shared" si="7"/>
        <v>50</v>
      </c>
      <c r="O555" s="440">
        <f t="shared" si="8"/>
        <v>5</v>
      </c>
      <c r="P555" s="440">
        <f t="shared" si="9"/>
        <v>0.5</v>
      </c>
      <c r="Q555">
        <f t="array" ref="Q555">IF(I555&gt;0,INDEX(DB,I555,9),EventIndex)</f>
        <v>6</v>
      </c>
      <c r="S555" s="442">
        <f t="array" ref="S555">INDEX(MINVALUES,$Q555,$K$1)</f>
        <v>5</v>
      </c>
      <c r="T555">
        <f t="array" ref="T555">INDEX(INCVALUES,$Q555,$K$1)</f>
        <v>0.5</v>
      </c>
      <c r="V555">
        <f t="array" ref="V555">+J555+(4*(INDEX(MatchScoreTable,$Q555,20)-1))</f>
        <v>4</v>
      </c>
      <c r="W555" s="442">
        <f t="array" ref="W555">INDEX(INC_MINVALUES,$V555,$K$1)</f>
        <v>2.5</v>
      </c>
      <c r="X555" s="212">
        <f t="array" ref="X555">INDEX(INC_INCVALUES,$V555,$K$1)</f>
        <v>0.5</v>
      </c>
    </row>
    <row r="556" ht="15.75" customHeight="1">
      <c r="A556" s="435"/>
      <c r="B556" s="436"/>
      <c r="C556" s="95" t="str">
        <f t="array" ref="C556">IF(I556&gt;0,INDEX(DB,I556,8),"")</f>
        <v/>
      </c>
      <c r="D556" s="437">
        <f t="shared" si="1"/>
        <v>0</v>
      </c>
      <c r="F556" s="438">
        <f t="shared" si="2"/>
        <v>0</v>
      </c>
      <c r="G556" t="str">
        <f t="shared" si="3"/>
        <v/>
      </c>
      <c r="H556" t="b">
        <f t="shared" si="4"/>
        <v>0</v>
      </c>
      <c r="I556" s="439">
        <f>IF(OR(ISBLANK(A556),ISNA(MATCH(A556&amp;"",AthleteNumbers,0))),0,MATCH(A556&amp;"",AthleteNumbers,0))</f>
        <v>0</v>
      </c>
      <c r="J556" s="209">
        <f t="array" ref="J556">IF(I556&gt;0,INDEX(DB,$I556,6),0)</f>
        <v>0</v>
      </c>
      <c r="K556" s="446">
        <f t="shared" si="5"/>
        <v>0</v>
      </c>
      <c r="L556" s="446">
        <f t="shared" si="6"/>
        <v>0</v>
      </c>
      <c r="M556" s="441">
        <f>IF(L556&lt;O556,MinPoints,IF(AND(L556&gt;N556,O556&gt;0),100,+INT(($L556-O556)/P556)+MinPoints))</f>
        <v>10</v>
      </c>
      <c r="N556" s="440">
        <f t="shared" si="7"/>
        <v>50</v>
      </c>
      <c r="O556" s="440">
        <f t="shared" si="8"/>
        <v>5</v>
      </c>
      <c r="P556" s="440">
        <f t="shared" si="9"/>
        <v>0.5</v>
      </c>
      <c r="Q556">
        <f t="array" ref="Q556">IF(I556&gt;0,INDEX(DB,I556,9),EventIndex)</f>
        <v>6</v>
      </c>
      <c r="S556" s="442">
        <f t="array" ref="S556">INDEX(MINVALUES,$Q556,$K$1)</f>
        <v>5</v>
      </c>
      <c r="T556">
        <f t="array" ref="T556">INDEX(INCVALUES,$Q556,$K$1)</f>
        <v>0.5</v>
      </c>
      <c r="V556">
        <f t="array" ref="V556">+J556+(4*(INDEX(MatchScoreTable,$Q556,20)-1))</f>
        <v>4</v>
      </c>
      <c r="W556" s="442">
        <f t="array" ref="W556">INDEX(INC_MINVALUES,$V556,$K$1)</f>
        <v>2.5</v>
      </c>
      <c r="X556" s="212">
        <f t="array" ref="X556">INDEX(INC_INCVALUES,$V556,$K$1)</f>
        <v>0.5</v>
      </c>
    </row>
    <row r="557" ht="15.75" customHeight="1">
      <c r="A557" s="435"/>
      <c r="B557" s="436"/>
      <c r="C557" s="95" t="str">
        <f t="array" ref="C557">IF(I557&gt;0,INDEX(DB,I557,8),"")</f>
        <v/>
      </c>
      <c r="D557" s="437">
        <f t="shared" si="1"/>
        <v>0</v>
      </c>
      <c r="F557" s="438">
        <f t="shared" si="2"/>
        <v>0</v>
      </c>
      <c r="G557" t="str">
        <f t="shared" si="3"/>
        <v/>
      </c>
      <c r="H557" t="b">
        <f t="shared" si="4"/>
        <v>0</v>
      </c>
      <c r="I557" s="439">
        <f>IF(OR(ISBLANK(A557),ISNA(MATCH(A557&amp;"",AthleteNumbers,0))),0,MATCH(A557&amp;"",AthleteNumbers,0))</f>
        <v>0</v>
      </c>
      <c r="J557" s="209">
        <f t="array" ref="J557">IF(I557&gt;0,INDEX(DB,$I557,6),0)</f>
        <v>0</v>
      </c>
      <c r="K557" s="446">
        <f t="shared" si="5"/>
        <v>0</v>
      </c>
      <c r="L557" s="446">
        <f t="shared" si="6"/>
        <v>0</v>
      </c>
      <c r="M557" s="441">
        <f>IF(L557&lt;O557,MinPoints,IF(AND(L557&gt;N557,O557&gt;0),100,+INT(($L557-O557)/P557)+MinPoints))</f>
        <v>10</v>
      </c>
      <c r="N557" s="440">
        <f t="shared" si="7"/>
        <v>50</v>
      </c>
      <c r="O557" s="440">
        <f t="shared" si="8"/>
        <v>5</v>
      </c>
      <c r="P557" s="440">
        <f t="shared" si="9"/>
        <v>0.5</v>
      </c>
      <c r="Q557">
        <f t="array" ref="Q557">IF(I557&gt;0,INDEX(DB,I557,9),EventIndex)</f>
        <v>6</v>
      </c>
      <c r="S557" s="442">
        <f t="array" ref="S557">INDEX(MINVALUES,$Q557,$K$1)</f>
        <v>5</v>
      </c>
      <c r="T557">
        <f t="array" ref="T557">INDEX(INCVALUES,$Q557,$K$1)</f>
        <v>0.5</v>
      </c>
      <c r="V557">
        <f t="array" ref="V557">+J557+(4*(INDEX(MatchScoreTable,$Q557,20)-1))</f>
        <v>4</v>
      </c>
      <c r="W557" s="442">
        <f t="array" ref="W557">INDEX(INC_MINVALUES,$V557,$K$1)</f>
        <v>2.5</v>
      </c>
      <c r="X557" s="212">
        <f t="array" ref="X557">INDEX(INC_INCVALUES,$V557,$K$1)</f>
        <v>0.5</v>
      </c>
    </row>
    <row r="558" ht="15.75" customHeight="1">
      <c r="A558" s="435"/>
      <c r="B558" s="436"/>
      <c r="C558" s="95" t="str">
        <f t="array" ref="C558">IF(I558&gt;0,INDEX(DB,I558,8),"")</f>
        <v/>
      </c>
      <c r="D558" s="437">
        <f t="shared" si="1"/>
        <v>0</v>
      </c>
      <c r="F558" s="438">
        <f t="shared" si="2"/>
        <v>0</v>
      </c>
      <c r="G558" t="str">
        <f t="shared" si="3"/>
        <v/>
      </c>
      <c r="H558" t="b">
        <f t="shared" si="4"/>
        <v>0</v>
      </c>
      <c r="I558" s="439">
        <f>IF(OR(ISBLANK(A558),ISNA(MATCH(A558&amp;"",AthleteNumbers,0))),0,MATCH(A558&amp;"",AthleteNumbers,0))</f>
        <v>0</v>
      </c>
      <c r="J558" s="209">
        <f t="array" ref="J558">IF(I558&gt;0,INDEX(DB,$I558,6),0)</f>
        <v>0</v>
      </c>
      <c r="K558" s="446">
        <f t="shared" si="5"/>
        <v>0</v>
      </c>
      <c r="L558" s="446">
        <f t="shared" si="6"/>
        <v>0</v>
      </c>
      <c r="M558" s="441">
        <f>IF(L558&lt;O558,MinPoints,IF(AND(L558&gt;N558,O558&gt;0),100,+INT(($L558-O558)/P558)+MinPoints))</f>
        <v>10</v>
      </c>
      <c r="N558" s="440">
        <f t="shared" si="7"/>
        <v>50</v>
      </c>
      <c r="O558" s="440">
        <f t="shared" si="8"/>
        <v>5</v>
      </c>
      <c r="P558" s="440">
        <f t="shared" si="9"/>
        <v>0.5</v>
      </c>
      <c r="Q558">
        <f t="array" ref="Q558">IF(I558&gt;0,INDEX(DB,I558,9),EventIndex)</f>
        <v>6</v>
      </c>
      <c r="S558" s="442">
        <f t="array" ref="S558">INDEX(MINVALUES,$Q558,$K$1)</f>
        <v>5</v>
      </c>
      <c r="T558">
        <f t="array" ref="T558">INDEX(INCVALUES,$Q558,$K$1)</f>
        <v>0.5</v>
      </c>
      <c r="V558">
        <f t="array" ref="V558">+J558+(4*(INDEX(MatchScoreTable,$Q558,20)-1))</f>
        <v>4</v>
      </c>
      <c r="W558" s="442">
        <f t="array" ref="W558">INDEX(INC_MINVALUES,$V558,$K$1)</f>
        <v>2.5</v>
      </c>
      <c r="X558" s="212">
        <f t="array" ref="X558">INDEX(INC_INCVALUES,$V558,$K$1)</f>
        <v>0.5</v>
      </c>
    </row>
    <row r="559" ht="15.75" customHeight="1">
      <c r="A559" s="435"/>
      <c r="B559" s="436"/>
      <c r="C559" s="95" t="str">
        <f t="array" ref="C559">IF(I559&gt;0,INDEX(DB,I559,8),"")</f>
        <v/>
      </c>
      <c r="D559" s="437">
        <f t="shared" si="1"/>
        <v>0</v>
      </c>
      <c r="F559" s="438">
        <f t="shared" si="2"/>
        <v>0</v>
      </c>
      <c r="G559" t="str">
        <f t="shared" si="3"/>
        <v/>
      </c>
      <c r="H559" t="b">
        <f t="shared" si="4"/>
        <v>0</v>
      </c>
      <c r="I559" s="439">
        <f>IF(OR(ISBLANK(A559),ISNA(MATCH(A559&amp;"",AthleteNumbers,0))),0,MATCH(A559&amp;"",AthleteNumbers,0))</f>
        <v>0</v>
      </c>
      <c r="J559" s="209">
        <f t="array" ref="J559">IF(I559&gt;0,INDEX(DB,$I559,6),0)</f>
        <v>0</v>
      </c>
      <c r="K559" s="446">
        <f t="shared" si="5"/>
        <v>0</v>
      </c>
      <c r="L559" s="446">
        <f t="shared" si="6"/>
        <v>0</v>
      </c>
      <c r="M559" s="441">
        <f>IF(L559&lt;O559,MinPoints,IF(AND(L559&gt;N559,O559&gt;0),100,+INT(($L559-O559)/P559)+MinPoints))</f>
        <v>10</v>
      </c>
      <c r="N559" s="440">
        <f t="shared" si="7"/>
        <v>50</v>
      </c>
      <c r="O559" s="440">
        <f t="shared" si="8"/>
        <v>5</v>
      </c>
      <c r="P559" s="440">
        <f t="shared" si="9"/>
        <v>0.5</v>
      </c>
      <c r="Q559">
        <f t="array" ref="Q559">IF(I559&gt;0,INDEX(DB,I559,9),EventIndex)</f>
        <v>6</v>
      </c>
      <c r="S559" s="442">
        <f t="array" ref="S559">INDEX(MINVALUES,$Q559,$K$1)</f>
        <v>5</v>
      </c>
      <c r="T559">
        <f t="array" ref="T559">INDEX(INCVALUES,$Q559,$K$1)</f>
        <v>0.5</v>
      </c>
      <c r="V559">
        <f t="array" ref="V559">+J559+(4*(INDEX(MatchScoreTable,$Q559,20)-1))</f>
        <v>4</v>
      </c>
      <c r="W559" s="442">
        <f t="array" ref="W559">INDEX(INC_MINVALUES,$V559,$K$1)</f>
        <v>2.5</v>
      </c>
      <c r="X559" s="212">
        <f t="array" ref="X559">INDEX(INC_INCVALUES,$V559,$K$1)</f>
        <v>0.5</v>
      </c>
    </row>
    <row r="560" ht="15.75" customHeight="1">
      <c r="A560" s="435"/>
      <c r="B560" s="436"/>
      <c r="C560" s="95" t="str">
        <f t="array" ref="C560">IF(I560&gt;0,INDEX(DB,I560,8),"")</f>
        <v/>
      </c>
      <c r="D560" s="437">
        <f t="shared" si="1"/>
        <v>0</v>
      </c>
      <c r="F560" s="438">
        <f t="shared" si="2"/>
        <v>0</v>
      </c>
      <c r="G560" t="str">
        <f t="shared" si="3"/>
        <v/>
      </c>
      <c r="H560" t="b">
        <f t="shared" si="4"/>
        <v>0</v>
      </c>
      <c r="I560" s="439">
        <f>IF(OR(ISBLANK(A560),ISNA(MATCH(A560&amp;"",AthleteNumbers,0))),0,MATCH(A560&amp;"",AthleteNumbers,0))</f>
        <v>0</v>
      </c>
      <c r="J560" s="209">
        <f t="array" ref="J560">IF(I560&gt;0,INDEX(DB,$I560,6),0)</f>
        <v>0</v>
      </c>
      <c r="K560" s="446">
        <f t="shared" si="5"/>
        <v>0</v>
      </c>
      <c r="L560" s="446">
        <f t="shared" si="6"/>
        <v>0</v>
      </c>
      <c r="M560" s="441">
        <f>IF(L560&lt;O560,MinPoints,IF(AND(L560&gt;N560,O560&gt;0),100,+INT(($L560-O560)/P560)+MinPoints))</f>
        <v>10</v>
      </c>
      <c r="N560" s="440">
        <f t="shared" si="7"/>
        <v>50</v>
      </c>
      <c r="O560" s="440">
        <f t="shared" si="8"/>
        <v>5</v>
      </c>
      <c r="P560" s="440">
        <f t="shared" si="9"/>
        <v>0.5</v>
      </c>
      <c r="Q560">
        <f t="array" ref="Q560">IF(I560&gt;0,INDEX(DB,I560,9),EventIndex)</f>
        <v>6</v>
      </c>
      <c r="S560" s="442">
        <f t="array" ref="S560">INDEX(MINVALUES,$Q560,$K$1)</f>
        <v>5</v>
      </c>
      <c r="T560">
        <f t="array" ref="T560">INDEX(INCVALUES,$Q560,$K$1)</f>
        <v>0.5</v>
      </c>
      <c r="V560">
        <f t="array" ref="V560">+J560+(4*(INDEX(MatchScoreTable,$Q560,20)-1))</f>
        <v>4</v>
      </c>
      <c r="W560" s="442">
        <f t="array" ref="W560">INDEX(INC_MINVALUES,$V560,$K$1)</f>
        <v>2.5</v>
      </c>
      <c r="X560" s="212">
        <f t="array" ref="X560">INDEX(INC_INCVALUES,$V560,$K$1)</f>
        <v>0.5</v>
      </c>
    </row>
    <row r="561" ht="15.75" customHeight="1">
      <c r="A561" s="435"/>
      <c r="B561" s="436"/>
      <c r="C561" s="95" t="str">
        <f t="array" ref="C561">IF(I561&gt;0,INDEX(DB,I561,8),"")</f>
        <v/>
      </c>
      <c r="D561" s="437">
        <f t="shared" si="1"/>
        <v>0</v>
      </c>
      <c r="F561" s="438">
        <f t="shared" si="2"/>
        <v>0</v>
      </c>
      <c r="G561" t="str">
        <f t="shared" si="3"/>
        <v/>
      </c>
      <c r="H561" t="b">
        <f t="shared" si="4"/>
        <v>0</v>
      </c>
      <c r="I561" s="439">
        <f>IF(OR(ISBLANK(A561),ISNA(MATCH(A561&amp;"",AthleteNumbers,0))),0,MATCH(A561&amp;"",AthleteNumbers,0))</f>
        <v>0</v>
      </c>
      <c r="J561" s="209">
        <f t="array" ref="J561">IF(I561&gt;0,INDEX(DB,$I561,6),0)</f>
        <v>0</v>
      </c>
      <c r="K561" s="446">
        <f t="shared" si="5"/>
        <v>0</v>
      </c>
      <c r="L561" s="446">
        <f t="shared" si="6"/>
        <v>0</v>
      </c>
      <c r="M561" s="441">
        <f>IF(L561&lt;O561,MinPoints,IF(AND(L561&gt;N561,O561&gt;0),100,+INT(($L561-O561)/P561)+MinPoints))</f>
        <v>10</v>
      </c>
      <c r="N561" s="440">
        <f t="shared" si="7"/>
        <v>50</v>
      </c>
      <c r="O561" s="440">
        <f t="shared" si="8"/>
        <v>5</v>
      </c>
      <c r="P561" s="440">
        <f t="shared" si="9"/>
        <v>0.5</v>
      </c>
      <c r="Q561">
        <f t="array" ref="Q561">IF(I561&gt;0,INDEX(DB,I561,9),EventIndex)</f>
        <v>6</v>
      </c>
      <c r="S561" s="442">
        <f t="array" ref="S561">INDEX(MINVALUES,$Q561,$K$1)</f>
        <v>5</v>
      </c>
      <c r="T561">
        <f t="array" ref="T561">INDEX(INCVALUES,$Q561,$K$1)</f>
        <v>0.5</v>
      </c>
      <c r="V561">
        <f t="array" ref="V561">+J561+(4*(INDEX(MatchScoreTable,$Q561,20)-1))</f>
        <v>4</v>
      </c>
      <c r="W561" s="442">
        <f t="array" ref="W561">INDEX(INC_MINVALUES,$V561,$K$1)</f>
        <v>2.5</v>
      </c>
      <c r="X561" s="212">
        <f t="array" ref="X561">INDEX(INC_INCVALUES,$V561,$K$1)</f>
        <v>0.5</v>
      </c>
    </row>
    <row r="562" ht="15.75" customHeight="1">
      <c r="A562" s="435"/>
      <c r="B562" s="436"/>
      <c r="C562" s="95" t="str">
        <f t="array" ref="C562">IF(I562&gt;0,INDEX(DB,I562,8),"")</f>
        <v/>
      </c>
      <c r="D562" s="437">
        <f t="shared" si="1"/>
        <v>0</v>
      </c>
      <c r="F562" s="438">
        <f t="shared" si="2"/>
        <v>0</v>
      </c>
      <c r="G562" t="str">
        <f t="shared" si="3"/>
        <v/>
      </c>
      <c r="H562" t="b">
        <f t="shared" si="4"/>
        <v>0</v>
      </c>
      <c r="I562" s="439">
        <f>IF(OR(ISBLANK(A562),ISNA(MATCH(A562&amp;"",AthleteNumbers,0))),0,MATCH(A562&amp;"",AthleteNumbers,0))</f>
        <v>0</v>
      </c>
      <c r="J562" s="209">
        <f t="array" ref="J562">IF(I562&gt;0,INDEX(DB,$I562,6),0)</f>
        <v>0</v>
      </c>
      <c r="K562" s="446">
        <f t="shared" si="5"/>
        <v>0</v>
      </c>
      <c r="L562" s="446">
        <f t="shared" si="6"/>
        <v>0</v>
      </c>
      <c r="M562" s="441">
        <f>IF(L562&lt;O562,MinPoints,IF(AND(L562&gt;N562,O562&gt;0),100,+INT(($L562-O562)/P562)+MinPoints))</f>
        <v>10</v>
      </c>
      <c r="N562" s="440">
        <f t="shared" si="7"/>
        <v>50</v>
      </c>
      <c r="O562" s="440">
        <f t="shared" si="8"/>
        <v>5</v>
      </c>
      <c r="P562" s="440">
        <f t="shared" si="9"/>
        <v>0.5</v>
      </c>
      <c r="Q562">
        <f t="array" ref="Q562">IF(I562&gt;0,INDEX(DB,I562,9),EventIndex)</f>
        <v>6</v>
      </c>
      <c r="S562" s="442">
        <f t="array" ref="S562">INDEX(MINVALUES,$Q562,$K$1)</f>
        <v>5</v>
      </c>
      <c r="T562">
        <f t="array" ref="T562">INDEX(INCVALUES,$Q562,$K$1)</f>
        <v>0.5</v>
      </c>
      <c r="V562">
        <f t="array" ref="V562">+J562+(4*(INDEX(MatchScoreTable,$Q562,20)-1))</f>
        <v>4</v>
      </c>
      <c r="W562" s="442">
        <f t="array" ref="W562">INDEX(INC_MINVALUES,$V562,$K$1)</f>
        <v>2.5</v>
      </c>
      <c r="X562" s="212">
        <f t="array" ref="X562">INDEX(INC_INCVALUES,$V562,$K$1)</f>
        <v>0.5</v>
      </c>
    </row>
    <row r="563" ht="15.75" customHeight="1">
      <c r="A563" s="435"/>
      <c r="B563" s="436"/>
      <c r="C563" s="95" t="str">
        <f t="array" ref="C563">IF(I563&gt;0,INDEX(DB,I563,8),"")</f>
        <v/>
      </c>
      <c r="D563" s="437">
        <f t="shared" si="1"/>
        <v>0</v>
      </c>
      <c r="F563" s="438">
        <f t="shared" si="2"/>
        <v>0</v>
      </c>
      <c r="G563" t="str">
        <f t="shared" si="3"/>
        <v/>
      </c>
      <c r="H563" t="b">
        <f t="shared" si="4"/>
        <v>0</v>
      </c>
      <c r="I563" s="439">
        <f>IF(OR(ISBLANK(A563),ISNA(MATCH(A563&amp;"",AthleteNumbers,0))),0,MATCH(A563&amp;"",AthleteNumbers,0))</f>
        <v>0</v>
      </c>
      <c r="J563" s="209">
        <f t="array" ref="J563">IF(I563&gt;0,INDEX(DB,$I563,6),0)</f>
        <v>0</v>
      </c>
      <c r="K563" s="446">
        <f t="shared" si="5"/>
        <v>0</v>
      </c>
      <c r="L563" s="446">
        <f t="shared" si="6"/>
        <v>0</v>
      </c>
      <c r="M563" s="441">
        <f>IF(L563&lt;O563,MinPoints,IF(AND(L563&gt;N563,O563&gt;0),100,+INT(($L563-O563)/P563)+MinPoints))</f>
        <v>10</v>
      </c>
      <c r="N563" s="440">
        <f t="shared" si="7"/>
        <v>50</v>
      </c>
      <c r="O563" s="440">
        <f t="shared" si="8"/>
        <v>5</v>
      </c>
      <c r="P563" s="440">
        <f t="shared" si="9"/>
        <v>0.5</v>
      </c>
      <c r="Q563">
        <f t="array" ref="Q563">IF(I563&gt;0,INDEX(DB,I563,9),EventIndex)</f>
        <v>6</v>
      </c>
      <c r="S563" s="442">
        <f t="array" ref="S563">INDEX(MINVALUES,$Q563,$K$1)</f>
        <v>5</v>
      </c>
      <c r="T563">
        <f t="array" ref="T563">INDEX(INCVALUES,$Q563,$K$1)</f>
        <v>0.5</v>
      </c>
      <c r="V563">
        <f t="array" ref="V563">+J563+(4*(INDEX(MatchScoreTable,$Q563,20)-1))</f>
        <v>4</v>
      </c>
      <c r="W563" s="442">
        <f t="array" ref="W563">INDEX(INC_MINVALUES,$V563,$K$1)</f>
        <v>2.5</v>
      </c>
      <c r="X563" s="212">
        <f t="array" ref="X563">INDEX(INC_INCVALUES,$V563,$K$1)</f>
        <v>0.5</v>
      </c>
    </row>
    <row r="564" ht="15.75" customHeight="1">
      <c r="A564" s="435"/>
      <c r="B564" s="436"/>
      <c r="C564" s="95" t="str">
        <f t="array" ref="C564">IF(I564&gt;0,INDEX(DB,I564,8),"")</f>
        <v/>
      </c>
      <c r="D564" s="437">
        <f t="shared" si="1"/>
        <v>0</v>
      </c>
      <c r="F564" s="438">
        <f t="shared" si="2"/>
        <v>0</v>
      </c>
      <c r="G564" t="str">
        <f t="shared" si="3"/>
        <v/>
      </c>
      <c r="H564" t="b">
        <f t="shared" si="4"/>
        <v>0</v>
      </c>
      <c r="I564" s="439">
        <f>IF(OR(ISBLANK(A564),ISNA(MATCH(A564&amp;"",AthleteNumbers,0))),0,MATCH(A564&amp;"",AthleteNumbers,0))</f>
        <v>0</v>
      </c>
      <c r="J564" s="209">
        <f t="array" ref="J564">IF(I564&gt;0,INDEX(DB,$I564,6),0)</f>
        <v>0</v>
      </c>
      <c r="K564" s="446">
        <f t="shared" si="5"/>
        <v>0</v>
      </c>
      <c r="L564" s="446">
        <f t="shared" si="6"/>
        <v>0</v>
      </c>
      <c r="M564" s="441">
        <f>IF(L564&lt;O564,MinPoints,IF(AND(L564&gt;N564,O564&gt;0),100,+INT(($L564-O564)/P564)+MinPoints))</f>
        <v>10</v>
      </c>
      <c r="N564" s="440">
        <f t="shared" si="7"/>
        <v>50</v>
      </c>
      <c r="O564" s="440">
        <f t="shared" si="8"/>
        <v>5</v>
      </c>
      <c r="P564" s="440">
        <f t="shared" si="9"/>
        <v>0.5</v>
      </c>
      <c r="Q564">
        <f t="array" ref="Q564">IF(I564&gt;0,INDEX(DB,I564,9),EventIndex)</f>
        <v>6</v>
      </c>
      <c r="S564" s="442">
        <f t="array" ref="S564">INDEX(MINVALUES,$Q564,$K$1)</f>
        <v>5</v>
      </c>
      <c r="T564">
        <f t="array" ref="T564">INDEX(INCVALUES,$Q564,$K$1)</f>
        <v>0.5</v>
      </c>
      <c r="V564">
        <f t="array" ref="V564">+J564+(4*(INDEX(MatchScoreTable,$Q564,20)-1))</f>
        <v>4</v>
      </c>
      <c r="W564" s="442">
        <f t="array" ref="W564">INDEX(INC_MINVALUES,$V564,$K$1)</f>
        <v>2.5</v>
      </c>
      <c r="X564" s="212">
        <f t="array" ref="X564">INDEX(INC_INCVALUES,$V564,$K$1)</f>
        <v>0.5</v>
      </c>
    </row>
    <row r="565" ht="15.75" customHeight="1">
      <c r="A565" s="435"/>
      <c r="B565" s="436"/>
      <c r="C565" s="95" t="str">
        <f t="array" ref="C565">IF(I565&gt;0,INDEX(DB,I565,8),"")</f>
        <v/>
      </c>
      <c r="D565" s="437">
        <f t="shared" si="1"/>
        <v>0</v>
      </c>
      <c r="F565" s="438">
        <f t="shared" si="2"/>
        <v>0</v>
      </c>
      <c r="G565" t="str">
        <f t="shared" si="3"/>
        <v/>
      </c>
      <c r="H565" t="b">
        <f t="shared" si="4"/>
        <v>0</v>
      </c>
      <c r="I565" s="439">
        <f>IF(OR(ISBLANK(A565),ISNA(MATCH(A565&amp;"",AthleteNumbers,0))),0,MATCH(A565&amp;"",AthleteNumbers,0))</f>
        <v>0</v>
      </c>
      <c r="J565" s="209">
        <f t="array" ref="J565">IF(I565&gt;0,INDEX(DB,$I565,6),0)</f>
        <v>0</v>
      </c>
      <c r="K565" s="446">
        <f t="shared" si="5"/>
        <v>0</v>
      </c>
      <c r="L565" s="446">
        <f t="shared" si="6"/>
        <v>0</v>
      </c>
      <c r="M565" s="441">
        <f>IF(L565&lt;O565,MinPoints,IF(AND(L565&gt;N565,O565&gt;0),100,+INT(($L565-O565)/P565)+MinPoints))</f>
        <v>10</v>
      </c>
      <c r="N565" s="440">
        <f t="shared" si="7"/>
        <v>50</v>
      </c>
      <c r="O565" s="440">
        <f t="shared" si="8"/>
        <v>5</v>
      </c>
      <c r="P565" s="440">
        <f t="shared" si="9"/>
        <v>0.5</v>
      </c>
      <c r="Q565">
        <f t="array" ref="Q565">IF(I565&gt;0,INDEX(DB,I565,9),EventIndex)</f>
        <v>6</v>
      </c>
      <c r="S565" s="442">
        <f t="array" ref="S565">INDEX(MINVALUES,$Q565,$K$1)</f>
        <v>5</v>
      </c>
      <c r="T565">
        <f t="array" ref="T565">INDEX(INCVALUES,$Q565,$K$1)</f>
        <v>0.5</v>
      </c>
      <c r="V565">
        <f t="array" ref="V565">+J565+(4*(INDEX(MatchScoreTable,$Q565,20)-1))</f>
        <v>4</v>
      </c>
      <c r="W565" s="442">
        <f t="array" ref="W565">INDEX(INC_MINVALUES,$V565,$K$1)</f>
        <v>2.5</v>
      </c>
      <c r="X565" s="212">
        <f t="array" ref="X565">INDEX(INC_INCVALUES,$V565,$K$1)</f>
        <v>0.5</v>
      </c>
    </row>
    <row r="566" ht="15.75" customHeight="1">
      <c r="A566" s="435"/>
      <c r="B566" s="436"/>
      <c r="C566" s="95" t="str">
        <f t="array" ref="C566">IF(I566&gt;0,INDEX(DB,I566,8),"")</f>
        <v/>
      </c>
      <c r="D566" s="437">
        <f t="shared" si="1"/>
        <v>0</v>
      </c>
      <c r="F566" s="438">
        <f t="shared" si="2"/>
        <v>0</v>
      </c>
      <c r="G566" t="str">
        <f t="shared" si="3"/>
        <v/>
      </c>
      <c r="H566" t="b">
        <f t="shared" si="4"/>
        <v>0</v>
      </c>
      <c r="I566" s="439">
        <f>IF(OR(ISBLANK(A566),ISNA(MATCH(A566&amp;"",AthleteNumbers,0))),0,MATCH(A566&amp;"",AthleteNumbers,0))</f>
        <v>0</v>
      </c>
      <c r="J566" s="209">
        <f t="array" ref="J566">IF(I566&gt;0,INDEX(DB,$I566,6),0)</f>
        <v>0</v>
      </c>
      <c r="K566" s="446">
        <f t="shared" si="5"/>
        <v>0</v>
      </c>
      <c r="L566" s="446">
        <f t="shared" si="6"/>
        <v>0</v>
      </c>
      <c r="M566" s="441">
        <f>IF(L566&lt;O566,MinPoints,IF(AND(L566&gt;N566,O566&gt;0),100,+INT(($L566-O566)/P566)+MinPoints))</f>
        <v>10</v>
      </c>
      <c r="N566" s="440">
        <f t="shared" si="7"/>
        <v>50</v>
      </c>
      <c r="O566" s="440">
        <f t="shared" si="8"/>
        <v>5</v>
      </c>
      <c r="P566" s="440">
        <f t="shared" si="9"/>
        <v>0.5</v>
      </c>
      <c r="Q566">
        <f t="array" ref="Q566">IF(I566&gt;0,INDEX(DB,I566,9),EventIndex)</f>
        <v>6</v>
      </c>
      <c r="S566" s="442">
        <f t="array" ref="S566">INDEX(MINVALUES,$Q566,$K$1)</f>
        <v>5</v>
      </c>
      <c r="T566">
        <f t="array" ref="T566">INDEX(INCVALUES,$Q566,$K$1)</f>
        <v>0.5</v>
      </c>
      <c r="V566">
        <f t="array" ref="V566">+J566+(4*(INDEX(MatchScoreTable,$Q566,20)-1))</f>
        <v>4</v>
      </c>
      <c r="W566" s="442">
        <f t="array" ref="W566">INDEX(INC_MINVALUES,$V566,$K$1)</f>
        <v>2.5</v>
      </c>
      <c r="X566" s="212">
        <f t="array" ref="X566">INDEX(INC_INCVALUES,$V566,$K$1)</f>
        <v>0.5</v>
      </c>
    </row>
    <row r="567" ht="15.75" customHeight="1">
      <c r="A567" s="435"/>
      <c r="B567" s="436"/>
      <c r="C567" s="95" t="str">
        <f t="array" ref="C567">IF(I567&gt;0,INDEX(DB,I567,8),"")</f>
        <v/>
      </c>
      <c r="D567" s="437">
        <f t="shared" si="1"/>
        <v>0</v>
      </c>
      <c r="F567" s="438">
        <f t="shared" si="2"/>
        <v>0</v>
      </c>
      <c r="G567" t="str">
        <f t="shared" si="3"/>
        <v/>
      </c>
      <c r="H567" t="b">
        <f t="shared" si="4"/>
        <v>0</v>
      </c>
      <c r="I567" s="439">
        <f>IF(OR(ISBLANK(A567),ISNA(MATCH(A567&amp;"",AthleteNumbers,0))),0,MATCH(A567&amp;"",AthleteNumbers,0))</f>
        <v>0</v>
      </c>
      <c r="J567" s="209">
        <f t="array" ref="J567">IF(I567&gt;0,INDEX(DB,$I567,6),0)</f>
        <v>0</v>
      </c>
      <c r="K567" s="446">
        <f t="shared" si="5"/>
        <v>0</v>
      </c>
      <c r="L567" s="446">
        <f t="shared" si="6"/>
        <v>0</v>
      </c>
      <c r="M567" s="441">
        <f>IF(L567&lt;O567,MinPoints,IF(AND(L567&gt;N567,O567&gt;0),100,+INT(($L567-O567)/P567)+MinPoints))</f>
        <v>10</v>
      </c>
      <c r="N567" s="440">
        <f t="shared" si="7"/>
        <v>50</v>
      </c>
      <c r="O567" s="440">
        <f t="shared" si="8"/>
        <v>5</v>
      </c>
      <c r="P567" s="440">
        <f t="shared" si="9"/>
        <v>0.5</v>
      </c>
      <c r="Q567">
        <f t="array" ref="Q567">IF(I567&gt;0,INDEX(DB,I567,9),EventIndex)</f>
        <v>6</v>
      </c>
      <c r="S567" s="442">
        <f t="array" ref="S567">INDEX(MINVALUES,$Q567,$K$1)</f>
        <v>5</v>
      </c>
      <c r="T567">
        <f t="array" ref="T567">INDEX(INCVALUES,$Q567,$K$1)</f>
        <v>0.5</v>
      </c>
      <c r="V567">
        <f t="array" ref="V567">+J567+(4*(INDEX(MatchScoreTable,$Q567,20)-1))</f>
        <v>4</v>
      </c>
      <c r="W567" s="442">
        <f t="array" ref="W567">INDEX(INC_MINVALUES,$V567,$K$1)</f>
        <v>2.5</v>
      </c>
      <c r="X567" s="212">
        <f t="array" ref="X567">INDEX(INC_INCVALUES,$V567,$K$1)</f>
        <v>0.5</v>
      </c>
    </row>
    <row r="568" ht="15.75" customHeight="1">
      <c r="A568" s="435"/>
      <c r="B568" s="436"/>
      <c r="C568" s="95" t="str">
        <f t="array" ref="C568">IF(I568&gt;0,INDEX(DB,I568,8),"")</f>
        <v/>
      </c>
      <c r="D568" s="437">
        <f t="shared" si="1"/>
        <v>0</v>
      </c>
      <c r="F568" s="438">
        <f t="shared" si="2"/>
        <v>0</v>
      </c>
      <c r="G568" t="str">
        <f t="shared" si="3"/>
        <v/>
      </c>
      <c r="H568" t="b">
        <f t="shared" si="4"/>
        <v>0</v>
      </c>
      <c r="I568" s="439">
        <f>IF(OR(ISBLANK(A568),ISNA(MATCH(A568&amp;"",AthleteNumbers,0))),0,MATCH(A568&amp;"",AthleteNumbers,0))</f>
        <v>0</v>
      </c>
      <c r="J568" s="209">
        <f t="array" ref="J568">IF(I568&gt;0,INDEX(DB,$I568,6),0)</f>
        <v>0</v>
      </c>
      <c r="K568" s="446">
        <f t="shared" si="5"/>
        <v>0</v>
      </c>
      <c r="L568" s="446">
        <f t="shared" si="6"/>
        <v>0</v>
      </c>
      <c r="M568" s="441">
        <f>IF(L568&lt;O568,MinPoints,IF(AND(L568&gt;N568,O568&gt;0),100,+INT(($L568-O568)/P568)+MinPoints))</f>
        <v>10</v>
      </c>
      <c r="N568" s="440">
        <f t="shared" si="7"/>
        <v>50</v>
      </c>
      <c r="O568" s="440">
        <f t="shared" si="8"/>
        <v>5</v>
      </c>
      <c r="P568" s="440">
        <f t="shared" si="9"/>
        <v>0.5</v>
      </c>
      <c r="Q568">
        <f t="array" ref="Q568">IF(I568&gt;0,INDEX(DB,I568,9),EventIndex)</f>
        <v>6</v>
      </c>
      <c r="S568" s="442">
        <f t="array" ref="S568">INDEX(MINVALUES,$Q568,$K$1)</f>
        <v>5</v>
      </c>
      <c r="T568">
        <f t="array" ref="T568">INDEX(INCVALUES,$Q568,$K$1)</f>
        <v>0.5</v>
      </c>
      <c r="V568">
        <f t="array" ref="V568">+J568+(4*(INDEX(MatchScoreTable,$Q568,20)-1))</f>
        <v>4</v>
      </c>
      <c r="W568" s="442">
        <f t="array" ref="W568">INDEX(INC_MINVALUES,$V568,$K$1)</f>
        <v>2.5</v>
      </c>
      <c r="X568" s="212">
        <f t="array" ref="X568">INDEX(INC_INCVALUES,$V568,$K$1)</f>
        <v>0.5</v>
      </c>
    </row>
    <row r="569" ht="15.75" customHeight="1">
      <c r="A569" s="435"/>
      <c r="B569" s="436"/>
      <c r="C569" s="95" t="str">
        <f t="array" ref="C569">IF(I569&gt;0,INDEX(DB,I569,8),"")</f>
        <v/>
      </c>
      <c r="D569" s="437">
        <f t="shared" si="1"/>
        <v>0</v>
      </c>
      <c r="F569" s="438">
        <f t="shared" si="2"/>
        <v>0</v>
      </c>
      <c r="G569" t="str">
        <f t="shared" si="3"/>
        <v/>
      </c>
      <c r="H569" t="b">
        <f t="shared" si="4"/>
        <v>0</v>
      </c>
      <c r="I569" s="439">
        <f>IF(OR(ISBLANK(A569),ISNA(MATCH(A569&amp;"",AthleteNumbers,0))),0,MATCH(A569&amp;"",AthleteNumbers,0))</f>
        <v>0</v>
      </c>
      <c r="J569" s="209">
        <f t="array" ref="J569">IF(I569&gt;0,INDEX(DB,$I569,6),0)</f>
        <v>0</v>
      </c>
      <c r="K569" s="446">
        <f t="shared" si="5"/>
        <v>0</v>
      </c>
      <c r="L569" s="446">
        <f t="shared" si="6"/>
        <v>0</v>
      </c>
      <c r="M569" s="441">
        <f>IF(L569&lt;O569,MinPoints,IF(AND(L569&gt;N569,O569&gt;0),100,+INT(($L569-O569)/P569)+MinPoints))</f>
        <v>10</v>
      </c>
      <c r="N569" s="440">
        <f t="shared" si="7"/>
        <v>50</v>
      </c>
      <c r="O569" s="440">
        <f t="shared" si="8"/>
        <v>5</v>
      </c>
      <c r="P569" s="440">
        <f t="shared" si="9"/>
        <v>0.5</v>
      </c>
      <c r="Q569">
        <f t="array" ref="Q569">IF(I569&gt;0,INDEX(DB,I569,9),EventIndex)</f>
        <v>6</v>
      </c>
      <c r="S569" s="442">
        <f t="array" ref="S569">INDEX(MINVALUES,$Q569,$K$1)</f>
        <v>5</v>
      </c>
      <c r="T569">
        <f t="array" ref="T569">INDEX(INCVALUES,$Q569,$K$1)</f>
        <v>0.5</v>
      </c>
      <c r="V569">
        <f t="array" ref="V569">+J569+(4*(INDEX(MatchScoreTable,$Q569,20)-1))</f>
        <v>4</v>
      </c>
      <c r="W569" s="442">
        <f t="array" ref="W569">INDEX(INC_MINVALUES,$V569,$K$1)</f>
        <v>2.5</v>
      </c>
      <c r="X569" s="212">
        <f t="array" ref="X569">INDEX(INC_INCVALUES,$V569,$K$1)</f>
        <v>0.5</v>
      </c>
    </row>
    <row r="570" ht="15.75" customHeight="1">
      <c r="A570" s="435"/>
      <c r="B570" s="436"/>
      <c r="C570" s="95" t="str">
        <f t="array" ref="C570">IF(I570&gt;0,INDEX(DB,I570,8),"")</f>
        <v/>
      </c>
      <c r="D570" s="437">
        <f t="shared" si="1"/>
        <v>0</v>
      </c>
      <c r="F570" s="438">
        <f t="shared" si="2"/>
        <v>0</v>
      </c>
      <c r="G570" t="str">
        <f t="shared" si="3"/>
        <v/>
      </c>
      <c r="H570" t="b">
        <f t="shared" si="4"/>
        <v>0</v>
      </c>
      <c r="I570" s="439">
        <f>IF(OR(ISBLANK(A570),ISNA(MATCH(A570&amp;"",AthleteNumbers,0))),0,MATCH(A570&amp;"",AthleteNumbers,0))</f>
        <v>0</v>
      </c>
      <c r="J570" s="209">
        <f t="array" ref="J570">IF(I570&gt;0,INDEX(DB,$I570,6),0)</f>
        <v>0</v>
      </c>
      <c r="K570" s="446">
        <f t="shared" si="5"/>
        <v>0</v>
      </c>
      <c r="L570" s="446">
        <f t="shared" si="6"/>
        <v>0</v>
      </c>
      <c r="M570" s="441">
        <f>IF(L570&lt;O570,MinPoints,IF(AND(L570&gt;N570,O570&gt;0),100,+INT(($L570-O570)/P570)+MinPoints))</f>
        <v>10</v>
      </c>
      <c r="N570" s="440">
        <f t="shared" si="7"/>
        <v>50</v>
      </c>
      <c r="O570" s="440">
        <f t="shared" si="8"/>
        <v>5</v>
      </c>
      <c r="P570" s="440">
        <f t="shared" si="9"/>
        <v>0.5</v>
      </c>
      <c r="Q570">
        <f t="array" ref="Q570">IF(I570&gt;0,INDEX(DB,I570,9),EventIndex)</f>
        <v>6</v>
      </c>
      <c r="S570" s="442">
        <f t="array" ref="S570">INDEX(MINVALUES,$Q570,$K$1)</f>
        <v>5</v>
      </c>
      <c r="T570">
        <f t="array" ref="T570">INDEX(INCVALUES,$Q570,$K$1)</f>
        <v>0.5</v>
      </c>
      <c r="V570">
        <f t="array" ref="V570">+J570+(4*(INDEX(MatchScoreTable,$Q570,20)-1))</f>
        <v>4</v>
      </c>
      <c r="W570" s="442">
        <f t="array" ref="W570">INDEX(INC_MINVALUES,$V570,$K$1)</f>
        <v>2.5</v>
      </c>
      <c r="X570" s="212">
        <f t="array" ref="X570">INDEX(INC_INCVALUES,$V570,$K$1)</f>
        <v>0.5</v>
      </c>
    </row>
    <row r="571" ht="15.75" customHeight="1">
      <c r="A571" s="435"/>
      <c r="B571" s="436"/>
      <c r="C571" s="95" t="str">
        <f t="array" ref="C571">IF(I571&gt;0,INDEX(DB,I571,8),"")</f>
        <v/>
      </c>
      <c r="D571" s="437">
        <f t="shared" si="1"/>
        <v>0</v>
      </c>
      <c r="F571" s="438">
        <f t="shared" si="2"/>
        <v>0</v>
      </c>
      <c r="G571" t="str">
        <f t="shared" si="3"/>
        <v/>
      </c>
      <c r="H571" t="b">
        <f t="shared" si="4"/>
        <v>0</v>
      </c>
      <c r="I571" s="439">
        <f>IF(OR(ISBLANK(A571),ISNA(MATCH(A571&amp;"",AthleteNumbers,0))),0,MATCH(A571&amp;"",AthleteNumbers,0))</f>
        <v>0</v>
      </c>
      <c r="J571" s="209">
        <f t="array" ref="J571">IF(I571&gt;0,INDEX(DB,$I571,6),0)</f>
        <v>0</v>
      </c>
      <c r="K571" s="446">
        <f t="shared" si="5"/>
        <v>0</v>
      </c>
      <c r="L571" s="446">
        <f t="shared" si="6"/>
        <v>0</v>
      </c>
      <c r="M571" s="441">
        <f>IF(L571&lt;O571,MinPoints,IF(AND(L571&gt;N571,O571&gt;0),100,+INT(($L571-O571)/P571)+MinPoints))</f>
        <v>10</v>
      </c>
      <c r="N571" s="440">
        <f t="shared" si="7"/>
        <v>50</v>
      </c>
      <c r="O571" s="440">
        <f t="shared" si="8"/>
        <v>5</v>
      </c>
      <c r="P571" s="440">
        <f t="shared" si="9"/>
        <v>0.5</v>
      </c>
      <c r="Q571">
        <f t="array" ref="Q571">IF(I571&gt;0,INDEX(DB,I571,9),EventIndex)</f>
        <v>6</v>
      </c>
      <c r="S571" s="442">
        <f t="array" ref="S571">INDEX(MINVALUES,$Q571,$K$1)</f>
        <v>5</v>
      </c>
      <c r="T571">
        <f t="array" ref="T571">INDEX(INCVALUES,$Q571,$K$1)</f>
        <v>0.5</v>
      </c>
      <c r="V571">
        <f t="array" ref="V571">+J571+(4*(INDEX(MatchScoreTable,$Q571,20)-1))</f>
        <v>4</v>
      </c>
      <c r="W571" s="442">
        <f t="array" ref="W571">INDEX(INC_MINVALUES,$V571,$K$1)</f>
        <v>2.5</v>
      </c>
      <c r="X571" s="212">
        <f t="array" ref="X571">INDEX(INC_INCVALUES,$V571,$K$1)</f>
        <v>0.5</v>
      </c>
    </row>
    <row r="572" ht="15.75" customHeight="1">
      <c r="A572" s="435"/>
      <c r="B572" s="436"/>
      <c r="C572" s="95" t="str">
        <f t="array" ref="C572">IF(I572&gt;0,INDEX(DB,I572,8),"")</f>
        <v/>
      </c>
      <c r="D572" s="437">
        <f t="shared" si="1"/>
        <v>0</v>
      </c>
      <c r="F572" s="438">
        <f t="shared" si="2"/>
        <v>0</v>
      </c>
      <c r="G572" t="str">
        <f t="shared" si="3"/>
        <v/>
      </c>
      <c r="H572" t="b">
        <f t="shared" si="4"/>
        <v>0</v>
      </c>
      <c r="I572" s="439">
        <f>IF(OR(ISBLANK(A572),ISNA(MATCH(A572&amp;"",AthleteNumbers,0))),0,MATCH(A572&amp;"",AthleteNumbers,0))</f>
        <v>0</v>
      </c>
      <c r="J572" s="209">
        <f t="array" ref="J572">IF(I572&gt;0,INDEX(DB,$I572,6),0)</f>
        <v>0</v>
      </c>
      <c r="K572" s="446">
        <f t="shared" si="5"/>
        <v>0</v>
      </c>
      <c r="L572" s="446">
        <f t="shared" si="6"/>
        <v>0</v>
      </c>
      <c r="M572" s="441">
        <f>IF(L572&lt;O572,MinPoints,IF(AND(L572&gt;N572,O572&gt;0),100,+INT(($L572-O572)/P572)+MinPoints))</f>
        <v>10</v>
      </c>
      <c r="N572" s="440">
        <f t="shared" si="7"/>
        <v>50</v>
      </c>
      <c r="O572" s="440">
        <f t="shared" si="8"/>
        <v>5</v>
      </c>
      <c r="P572" s="440">
        <f t="shared" si="9"/>
        <v>0.5</v>
      </c>
      <c r="Q572">
        <f t="array" ref="Q572">IF(I572&gt;0,INDEX(DB,I572,9),EventIndex)</f>
        <v>6</v>
      </c>
      <c r="S572" s="442">
        <f t="array" ref="S572">INDEX(MINVALUES,$Q572,$K$1)</f>
        <v>5</v>
      </c>
      <c r="T572">
        <f t="array" ref="T572">INDEX(INCVALUES,$Q572,$K$1)</f>
        <v>0.5</v>
      </c>
      <c r="V572">
        <f t="array" ref="V572">+J572+(4*(INDEX(MatchScoreTable,$Q572,20)-1))</f>
        <v>4</v>
      </c>
      <c r="W572" s="442">
        <f t="array" ref="W572">INDEX(INC_MINVALUES,$V572,$K$1)</f>
        <v>2.5</v>
      </c>
      <c r="X572" s="212">
        <f t="array" ref="X572">INDEX(INC_INCVALUES,$V572,$K$1)</f>
        <v>0.5</v>
      </c>
    </row>
    <row r="573" ht="15.75" customHeight="1">
      <c r="A573" s="435"/>
      <c r="B573" s="436"/>
      <c r="C573" s="95" t="str">
        <f t="array" ref="C573">IF(I573&gt;0,INDEX(DB,I573,8),"")</f>
        <v/>
      </c>
      <c r="D573" s="437">
        <f t="shared" si="1"/>
        <v>0</v>
      </c>
      <c r="F573" s="438">
        <f t="shared" si="2"/>
        <v>0</v>
      </c>
      <c r="G573" t="str">
        <f t="shared" si="3"/>
        <v/>
      </c>
      <c r="H573" t="b">
        <f t="shared" si="4"/>
        <v>0</v>
      </c>
      <c r="I573" s="439">
        <f>IF(OR(ISBLANK(A573),ISNA(MATCH(A573&amp;"",AthleteNumbers,0))),0,MATCH(A573&amp;"",AthleteNumbers,0))</f>
        <v>0</v>
      </c>
      <c r="J573" s="209">
        <f t="array" ref="J573">IF(I573&gt;0,INDEX(DB,$I573,6),0)</f>
        <v>0</v>
      </c>
      <c r="K573" s="446">
        <f t="shared" si="5"/>
        <v>0</v>
      </c>
      <c r="L573" s="446">
        <f t="shared" si="6"/>
        <v>0</v>
      </c>
      <c r="M573" s="441">
        <f>IF(L573&lt;O573,MinPoints,IF(AND(L573&gt;N573,O573&gt;0),100,+INT(($L573-O573)/P573)+MinPoints))</f>
        <v>10</v>
      </c>
      <c r="N573" s="440">
        <f t="shared" si="7"/>
        <v>50</v>
      </c>
      <c r="O573" s="440">
        <f t="shared" si="8"/>
        <v>5</v>
      </c>
      <c r="P573" s="440">
        <f t="shared" si="9"/>
        <v>0.5</v>
      </c>
      <c r="Q573">
        <f t="array" ref="Q573">IF(I573&gt;0,INDEX(DB,I573,9),EventIndex)</f>
        <v>6</v>
      </c>
      <c r="S573" s="442">
        <f t="array" ref="S573">INDEX(MINVALUES,$Q573,$K$1)</f>
        <v>5</v>
      </c>
      <c r="T573">
        <f t="array" ref="T573">INDEX(INCVALUES,$Q573,$K$1)</f>
        <v>0.5</v>
      </c>
      <c r="V573">
        <f t="array" ref="V573">+J573+(4*(INDEX(MatchScoreTable,$Q573,20)-1))</f>
        <v>4</v>
      </c>
      <c r="W573" s="442">
        <f t="array" ref="W573">INDEX(INC_MINVALUES,$V573,$K$1)</f>
        <v>2.5</v>
      </c>
      <c r="X573" s="212">
        <f t="array" ref="X573">INDEX(INC_INCVALUES,$V573,$K$1)</f>
        <v>0.5</v>
      </c>
    </row>
    <row r="574" ht="15.75" customHeight="1">
      <c r="A574" s="435"/>
      <c r="B574" s="436"/>
      <c r="C574" s="95" t="str">
        <f t="array" ref="C574">IF(I574&gt;0,INDEX(DB,I574,8),"")</f>
        <v/>
      </c>
      <c r="D574" s="437">
        <f t="shared" si="1"/>
        <v>0</v>
      </c>
      <c r="F574" s="438">
        <f t="shared" si="2"/>
        <v>0</v>
      </c>
      <c r="G574" t="str">
        <f t="shared" si="3"/>
        <v/>
      </c>
      <c r="H574" t="b">
        <f t="shared" si="4"/>
        <v>0</v>
      </c>
      <c r="I574" s="439">
        <f>IF(OR(ISBLANK(A574),ISNA(MATCH(A574&amp;"",AthleteNumbers,0))),0,MATCH(A574&amp;"",AthleteNumbers,0))</f>
        <v>0</v>
      </c>
      <c r="J574" s="209">
        <f t="array" ref="J574">IF(I574&gt;0,INDEX(DB,$I574,6),0)</f>
        <v>0</v>
      </c>
      <c r="K574" s="446">
        <f t="shared" si="5"/>
        <v>0</v>
      </c>
      <c r="L574" s="446">
        <f t="shared" si="6"/>
        <v>0</v>
      </c>
      <c r="M574" s="441">
        <f>IF(L574&lt;O574,MinPoints,IF(AND(L574&gt;N574,O574&gt;0),100,+INT(($L574-O574)/P574)+MinPoints))</f>
        <v>10</v>
      </c>
      <c r="N574" s="440">
        <f t="shared" si="7"/>
        <v>50</v>
      </c>
      <c r="O574" s="440">
        <f t="shared" si="8"/>
        <v>5</v>
      </c>
      <c r="P574" s="440">
        <f t="shared" si="9"/>
        <v>0.5</v>
      </c>
      <c r="Q574">
        <f t="array" ref="Q574">IF(I574&gt;0,INDEX(DB,I574,9),EventIndex)</f>
        <v>6</v>
      </c>
      <c r="S574" s="442">
        <f t="array" ref="S574">INDEX(MINVALUES,$Q574,$K$1)</f>
        <v>5</v>
      </c>
      <c r="T574">
        <f t="array" ref="T574">INDEX(INCVALUES,$Q574,$K$1)</f>
        <v>0.5</v>
      </c>
      <c r="V574">
        <f t="array" ref="V574">+J574+(4*(INDEX(MatchScoreTable,$Q574,20)-1))</f>
        <v>4</v>
      </c>
      <c r="W574" s="442">
        <f t="array" ref="W574">INDEX(INC_MINVALUES,$V574,$K$1)</f>
        <v>2.5</v>
      </c>
      <c r="X574" s="212">
        <f t="array" ref="X574">INDEX(INC_INCVALUES,$V574,$K$1)</f>
        <v>0.5</v>
      </c>
    </row>
    <row r="575" ht="15.75" customHeight="1">
      <c r="A575" s="435"/>
      <c r="B575" s="436"/>
      <c r="C575" s="95" t="str">
        <f t="array" ref="C575">IF(I575&gt;0,INDEX(DB,I575,8),"")</f>
        <v/>
      </c>
      <c r="D575" s="437">
        <f t="shared" si="1"/>
        <v>0</v>
      </c>
      <c r="F575" s="438">
        <f t="shared" si="2"/>
        <v>0</v>
      </c>
      <c r="G575" t="str">
        <f t="shared" si="3"/>
        <v/>
      </c>
      <c r="H575" t="b">
        <f t="shared" si="4"/>
        <v>0</v>
      </c>
      <c r="I575" s="439">
        <f>IF(OR(ISBLANK(A575),ISNA(MATCH(A575&amp;"",AthleteNumbers,0))),0,MATCH(A575&amp;"",AthleteNumbers,0))</f>
        <v>0</v>
      </c>
      <c r="J575" s="209">
        <f t="array" ref="J575">IF(I575&gt;0,INDEX(DB,$I575,6),0)</f>
        <v>0</v>
      </c>
      <c r="K575" s="446">
        <f t="shared" si="5"/>
        <v>0</v>
      </c>
      <c r="L575" s="446">
        <f t="shared" si="6"/>
        <v>0</v>
      </c>
      <c r="M575" s="441">
        <f>IF(L575&lt;O575,MinPoints,IF(AND(L575&gt;N575,O575&gt;0),100,+INT(($L575-O575)/P575)+MinPoints))</f>
        <v>10</v>
      </c>
      <c r="N575" s="440">
        <f t="shared" si="7"/>
        <v>50</v>
      </c>
      <c r="O575" s="440">
        <f t="shared" si="8"/>
        <v>5</v>
      </c>
      <c r="P575" s="440">
        <f t="shared" si="9"/>
        <v>0.5</v>
      </c>
      <c r="Q575">
        <f t="array" ref="Q575">IF(I575&gt;0,INDEX(DB,I575,9),EventIndex)</f>
        <v>6</v>
      </c>
      <c r="S575" s="442">
        <f t="array" ref="S575">INDEX(MINVALUES,$Q575,$K$1)</f>
        <v>5</v>
      </c>
      <c r="T575">
        <f t="array" ref="T575">INDEX(INCVALUES,$Q575,$K$1)</f>
        <v>0.5</v>
      </c>
      <c r="V575">
        <f t="array" ref="V575">+J575+(4*(INDEX(MatchScoreTable,$Q575,20)-1))</f>
        <v>4</v>
      </c>
      <c r="W575" s="442">
        <f t="array" ref="W575">INDEX(INC_MINVALUES,$V575,$K$1)</f>
        <v>2.5</v>
      </c>
      <c r="X575" s="212">
        <f t="array" ref="X575">INDEX(INC_INCVALUES,$V575,$K$1)</f>
        <v>0.5</v>
      </c>
    </row>
    <row r="576" ht="15.75" customHeight="1">
      <c r="A576" s="435"/>
      <c r="B576" s="436"/>
      <c r="C576" s="95" t="str">
        <f t="array" ref="C576">IF(I576&gt;0,INDEX(DB,I576,8),"")</f>
        <v/>
      </c>
      <c r="D576" s="437">
        <f t="shared" si="1"/>
        <v>0</v>
      </c>
      <c r="F576" s="438">
        <f t="shared" si="2"/>
        <v>0</v>
      </c>
      <c r="G576" t="str">
        <f t="shared" si="3"/>
        <v/>
      </c>
      <c r="H576" t="b">
        <f t="shared" si="4"/>
        <v>0</v>
      </c>
      <c r="I576" s="439">
        <f>IF(OR(ISBLANK(A576),ISNA(MATCH(A576&amp;"",AthleteNumbers,0))),0,MATCH(A576&amp;"",AthleteNumbers,0))</f>
        <v>0</v>
      </c>
      <c r="J576" s="209">
        <f t="array" ref="J576">IF(I576&gt;0,INDEX(DB,$I576,6),0)</f>
        <v>0</v>
      </c>
      <c r="K576" s="446">
        <f t="shared" si="5"/>
        <v>0</v>
      </c>
      <c r="L576" s="446">
        <f t="shared" si="6"/>
        <v>0</v>
      </c>
      <c r="M576" s="441">
        <f>IF(L576&lt;O576,MinPoints,IF(AND(L576&gt;N576,O576&gt;0),100,+INT(($L576-O576)/P576)+MinPoints))</f>
        <v>10</v>
      </c>
      <c r="N576" s="440">
        <f t="shared" si="7"/>
        <v>50</v>
      </c>
      <c r="O576" s="440">
        <f t="shared" si="8"/>
        <v>5</v>
      </c>
      <c r="P576" s="440">
        <f t="shared" si="9"/>
        <v>0.5</v>
      </c>
      <c r="Q576">
        <f t="array" ref="Q576">IF(I576&gt;0,INDEX(DB,I576,9),EventIndex)</f>
        <v>6</v>
      </c>
      <c r="S576" s="442">
        <f t="array" ref="S576">INDEX(MINVALUES,$Q576,$K$1)</f>
        <v>5</v>
      </c>
      <c r="T576">
        <f t="array" ref="T576">INDEX(INCVALUES,$Q576,$K$1)</f>
        <v>0.5</v>
      </c>
      <c r="V576">
        <f t="array" ref="V576">+J576+(4*(INDEX(MatchScoreTable,$Q576,20)-1))</f>
        <v>4</v>
      </c>
      <c r="W576" s="442">
        <f t="array" ref="W576">INDEX(INC_MINVALUES,$V576,$K$1)</f>
        <v>2.5</v>
      </c>
      <c r="X576" s="212">
        <f t="array" ref="X576">INDEX(INC_INCVALUES,$V576,$K$1)</f>
        <v>0.5</v>
      </c>
    </row>
    <row r="577" ht="15.75" customHeight="1">
      <c r="A577" s="435"/>
      <c r="B577" s="436"/>
      <c r="C577" s="95" t="str">
        <f t="array" ref="C577">IF(I577&gt;0,INDEX(DB,I577,8),"")</f>
        <v/>
      </c>
      <c r="D577" s="437">
        <f t="shared" si="1"/>
        <v>0</v>
      </c>
      <c r="F577" s="438">
        <f t="shared" si="2"/>
        <v>0</v>
      </c>
      <c r="G577" t="str">
        <f t="shared" si="3"/>
        <v/>
      </c>
      <c r="H577" t="b">
        <f t="shared" si="4"/>
        <v>0</v>
      </c>
      <c r="I577" s="439">
        <f>IF(OR(ISBLANK(A577),ISNA(MATCH(A577&amp;"",AthleteNumbers,0))),0,MATCH(A577&amp;"",AthleteNumbers,0))</f>
        <v>0</v>
      </c>
      <c r="J577" s="209">
        <f t="array" ref="J577">IF(I577&gt;0,INDEX(DB,$I577,6),0)</f>
        <v>0</v>
      </c>
      <c r="K577" s="446">
        <f t="shared" si="5"/>
        <v>0</v>
      </c>
      <c r="L577" s="446">
        <f t="shared" si="6"/>
        <v>0</v>
      </c>
      <c r="M577" s="441">
        <f>IF(L577&lt;O577,MinPoints,IF(AND(L577&gt;N577,O577&gt;0),100,+INT(($L577-O577)/P577)+MinPoints))</f>
        <v>10</v>
      </c>
      <c r="N577" s="440">
        <f t="shared" si="7"/>
        <v>50</v>
      </c>
      <c r="O577" s="440">
        <f t="shared" si="8"/>
        <v>5</v>
      </c>
      <c r="P577" s="440">
        <f t="shared" si="9"/>
        <v>0.5</v>
      </c>
      <c r="Q577">
        <f t="array" ref="Q577">IF(I577&gt;0,INDEX(DB,I577,9),EventIndex)</f>
        <v>6</v>
      </c>
      <c r="S577" s="442">
        <f t="array" ref="S577">INDEX(MINVALUES,$Q577,$K$1)</f>
        <v>5</v>
      </c>
      <c r="T577">
        <f t="array" ref="T577">INDEX(INCVALUES,$Q577,$K$1)</f>
        <v>0.5</v>
      </c>
      <c r="V577">
        <f t="array" ref="V577">+J577+(4*(INDEX(MatchScoreTable,$Q577,20)-1))</f>
        <v>4</v>
      </c>
      <c r="W577" s="442">
        <f t="array" ref="W577">INDEX(INC_MINVALUES,$V577,$K$1)</f>
        <v>2.5</v>
      </c>
      <c r="X577" s="212">
        <f t="array" ref="X577">INDEX(INC_INCVALUES,$V577,$K$1)</f>
        <v>0.5</v>
      </c>
    </row>
    <row r="578" ht="15.75" customHeight="1">
      <c r="A578" s="435"/>
      <c r="B578" s="436"/>
      <c r="C578" s="95" t="str">
        <f t="array" ref="C578">IF(I578&gt;0,INDEX(DB,I578,8),"")</f>
        <v/>
      </c>
      <c r="D578" s="437">
        <f t="shared" si="1"/>
        <v>0</v>
      </c>
      <c r="F578" s="438">
        <f t="shared" si="2"/>
        <v>0</v>
      </c>
      <c r="G578" t="str">
        <f t="shared" si="3"/>
        <v/>
      </c>
      <c r="H578" t="b">
        <f t="shared" si="4"/>
        <v>0</v>
      </c>
      <c r="I578" s="439">
        <f>IF(OR(ISBLANK(A578),ISNA(MATCH(A578&amp;"",AthleteNumbers,0))),0,MATCH(A578&amp;"",AthleteNumbers,0))</f>
        <v>0</v>
      </c>
      <c r="J578" s="209">
        <f t="array" ref="J578">IF(I578&gt;0,INDEX(DB,$I578,6),0)</f>
        <v>0</v>
      </c>
      <c r="K578" s="446">
        <f t="shared" si="5"/>
        <v>0</v>
      </c>
      <c r="L578" s="446">
        <f t="shared" si="6"/>
        <v>0</v>
      </c>
      <c r="M578" s="441">
        <f>IF(L578&lt;O578,MinPoints,IF(AND(L578&gt;N578,O578&gt;0),100,+INT(($L578-O578)/P578)+MinPoints))</f>
        <v>10</v>
      </c>
      <c r="N578" s="440">
        <f t="shared" si="7"/>
        <v>50</v>
      </c>
      <c r="O578" s="440">
        <f t="shared" si="8"/>
        <v>5</v>
      </c>
      <c r="P578" s="440">
        <f t="shared" si="9"/>
        <v>0.5</v>
      </c>
      <c r="Q578">
        <f t="array" ref="Q578">IF(I578&gt;0,INDEX(DB,I578,9),EventIndex)</f>
        <v>6</v>
      </c>
      <c r="S578" s="442">
        <f t="array" ref="S578">INDEX(MINVALUES,$Q578,$K$1)</f>
        <v>5</v>
      </c>
      <c r="T578">
        <f t="array" ref="T578">INDEX(INCVALUES,$Q578,$K$1)</f>
        <v>0.5</v>
      </c>
      <c r="V578">
        <f t="array" ref="V578">+J578+(4*(INDEX(MatchScoreTable,$Q578,20)-1))</f>
        <v>4</v>
      </c>
      <c r="W578" s="442">
        <f t="array" ref="W578">INDEX(INC_MINVALUES,$V578,$K$1)</f>
        <v>2.5</v>
      </c>
      <c r="X578" s="212">
        <f t="array" ref="X578">INDEX(INC_INCVALUES,$V578,$K$1)</f>
        <v>0.5</v>
      </c>
    </row>
    <row r="579" ht="15.75" customHeight="1">
      <c r="A579" s="435"/>
      <c r="B579" s="436"/>
      <c r="C579" s="95" t="str">
        <f t="array" ref="C579">IF(I579&gt;0,INDEX(DB,I579,8),"")</f>
        <v/>
      </c>
      <c r="D579" s="437">
        <f t="shared" si="1"/>
        <v>0</v>
      </c>
      <c r="F579" s="438">
        <f t="shared" si="2"/>
        <v>0</v>
      </c>
      <c r="G579" t="str">
        <f t="shared" si="3"/>
        <v/>
      </c>
      <c r="H579" t="b">
        <f t="shared" si="4"/>
        <v>0</v>
      </c>
      <c r="I579" s="439">
        <f>IF(OR(ISBLANK(A579),ISNA(MATCH(A579&amp;"",AthleteNumbers,0))),0,MATCH(A579&amp;"",AthleteNumbers,0))</f>
        <v>0</v>
      </c>
      <c r="J579" s="209">
        <f t="array" ref="J579">IF(I579&gt;0,INDEX(DB,$I579,6),0)</f>
        <v>0</v>
      </c>
      <c r="K579" s="446">
        <f t="shared" si="5"/>
        <v>0</v>
      </c>
      <c r="L579" s="446">
        <f t="shared" si="6"/>
        <v>0</v>
      </c>
      <c r="M579" s="441">
        <f>IF(L579&lt;O579,MinPoints,IF(AND(L579&gt;N579,O579&gt;0),100,+INT(($L579-O579)/P579)+MinPoints))</f>
        <v>10</v>
      </c>
      <c r="N579" s="440">
        <f t="shared" si="7"/>
        <v>50</v>
      </c>
      <c r="O579" s="440">
        <f t="shared" si="8"/>
        <v>5</v>
      </c>
      <c r="P579" s="440">
        <f t="shared" si="9"/>
        <v>0.5</v>
      </c>
      <c r="Q579">
        <f t="array" ref="Q579">IF(I579&gt;0,INDEX(DB,I579,9),EventIndex)</f>
        <v>6</v>
      </c>
      <c r="S579" s="442">
        <f t="array" ref="S579">INDEX(MINVALUES,$Q579,$K$1)</f>
        <v>5</v>
      </c>
      <c r="T579">
        <f t="array" ref="T579">INDEX(INCVALUES,$Q579,$K$1)</f>
        <v>0.5</v>
      </c>
      <c r="V579">
        <f t="array" ref="V579">+J579+(4*(INDEX(MatchScoreTable,$Q579,20)-1))</f>
        <v>4</v>
      </c>
      <c r="W579" s="442">
        <f t="array" ref="W579">INDEX(INC_MINVALUES,$V579,$K$1)</f>
        <v>2.5</v>
      </c>
      <c r="X579" s="212">
        <f t="array" ref="X579">INDEX(INC_INCVALUES,$V579,$K$1)</f>
        <v>0.5</v>
      </c>
    </row>
    <row r="580" ht="15.75" customHeight="1">
      <c r="A580" s="435"/>
      <c r="B580" s="436"/>
      <c r="C580" s="95" t="str">
        <f t="array" ref="C580">IF(I580&gt;0,INDEX(DB,I580,8),"")</f>
        <v/>
      </c>
      <c r="D580" s="437">
        <f t="shared" si="1"/>
        <v>0</v>
      </c>
      <c r="F580" s="438">
        <f t="shared" si="2"/>
        <v>0</v>
      </c>
      <c r="G580" t="str">
        <f t="shared" si="3"/>
        <v/>
      </c>
      <c r="H580" t="b">
        <f t="shared" si="4"/>
        <v>0</v>
      </c>
      <c r="I580" s="439">
        <f>IF(OR(ISBLANK(A580),ISNA(MATCH(A580&amp;"",AthleteNumbers,0))),0,MATCH(A580&amp;"",AthleteNumbers,0))</f>
        <v>0</v>
      </c>
      <c r="J580" s="209">
        <f t="array" ref="J580">IF(I580&gt;0,INDEX(DB,$I580,6),0)</f>
        <v>0</v>
      </c>
      <c r="K580" s="446">
        <f t="shared" si="5"/>
        <v>0</v>
      </c>
      <c r="L580" s="446">
        <f t="shared" si="6"/>
        <v>0</v>
      </c>
      <c r="M580" s="441">
        <f>IF(L580&lt;O580,MinPoints,IF(AND(L580&gt;N580,O580&gt;0),100,+INT(($L580-O580)/P580)+MinPoints))</f>
        <v>10</v>
      </c>
      <c r="N580" s="440">
        <f t="shared" si="7"/>
        <v>50</v>
      </c>
      <c r="O580" s="440">
        <f t="shared" si="8"/>
        <v>5</v>
      </c>
      <c r="P580" s="440">
        <f t="shared" si="9"/>
        <v>0.5</v>
      </c>
      <c r="Q580">
        <f t="array" ref="Q580">IF(I580&gt;0,INDEX(DB,I580,9),EventIndex)</f>
        <v>6</v>
      </c>
      <c r="S580" s="442">
        <f t="array" ref="S580">INDEX(MINVALUES,$Q580,$K$1)</f>
        <v>5</v>
      </c>
      <c r="T580">
        <f t="array" ref="T580">INDEX(INCVALUES,$Q580,$K$1)</f>
        <v>0.5</v>
      </c>
      <c r="V580">
        <f t="array" ref="V580">+J580+(4*(INDEX(MatchScoreTable,$Q580,20)-1))</f>
        <v>4</v>
      </c>
      <c r="W580" s="442">
        <f t="array" ref="W580">INDEX(INC_MINVALUES,$V580,$K$1)</f>
        <v>2.5</v>
      </c>
      <c r="X580" s="212">
        <f t="array" ref="X580">INDEX(INC_INCVALUES,$V580,$K$1)</f>
        <v>0.5</v>
      </c>
    </row>
    <row r="581" ht="15.75" customHeight="1">
      <c r="A581" s="435"/>
      <c r="B581" s="436"/>
      <c r="C581" s="95" t="str">
        <f t="array" ref="C581">IF(I581&gt;0,INDEX(DB,I581,8),"")</f>
        <v/>
      </c>
      <c r="D581" s="437">
        <f t="shared" si="1"/>
        <v>0</v>
      </c>
      <c r="F581" s="438">
        <f t="shared" si="2"/>
        <v>0</v>
      </c>
      <c r="G581" t="str">
        <f t="shared" si="3"/>
        <v/>
      </c>
      <c r="H581" t="b">
        <f t="shared" si="4"/>
        <v>0</v>
      </c>
      <c r="I581" s="439">
        <f>IF(OR(ISBLANK(A581),ISNA(MATCH(A581&amp;"",AthleteNumbers,0))),0,MATCH(A581&amp;"",AthleteNumbers,0))</f>
        <v>0</v>
      </c>
      <c r="J581" s="209">
        <f t="array" ref="J581">IF(I581&gt;0,INDEX(DB,$I581,6),0)</f>
        <v>0</v>
      </c>
      <c r="K581" s="446">
        <f t="shared" si="5"/>
        <v>0</v>
      </c>
      <c r="L581" s="446">
        <f t="shared" si="6"/>
        <v>0</v>
      </c>
      <c r="M581" s="441">
        <f>IF(L581&lt;O581,MinPoints,IF(AND(L581&gt;N581,O581&gt;0),100,+INT(($L581-O581)/P581)+MinPoints))</f>
        <v>10</v>
      </c>
      <c r="N581" s="440">
        <f t="shared" si="7"/>
        <v>50</v>
      </c>
      <c r="O581" s="440">
        <f t="shared" si="8"/>
        <v>5</v>
      </c>
      <c r="P581" s="440">
        <f t="shared" si="9"/>
        <v>0.5</v>
      </c>
      <c r="Q581">
        <f t="array" ref="Q581">IF(I581&gt;0,INDEX(DB,I581,9),EventIndex)</f>
        <v>6</v>
      </c>
      <c r="S581" s="442">
        <f t="array" ref="S581">INDEX(MINVALUES,$Q581,$K$1)</f>
        <v>5</v>
      </c>
      <c r="T581">
        <f t="array" ref="T581">INDEX(INCVALUES,$Q581,$K$1)</f>
        <v>0.5</v>
      </c>
      <c r="V581">
        <f t="array" ref="V581">+J581+(4*(INDEX(MatchScoreTable,$Q581,20)-1))</f>
        <v>4</v>
      </c>
      <c r="W581" s="442">
        <f t="array" ref="W581">INDEX(INC_MINVALUES,$V581,$K$1)</f>
        <v>2.5</v>
      </c>
      <c r="X581" s="212">
        <f t="array" ref="X581">INDEX(INC_INCVALUES,$V581,$K$1)</f>
        <v>0.5</v>
      </c>
    </row>
    <row r="582" ht="15.75" customHeight="1">
      <c r="A582" s="435"/>
      <c r="B582" s="436"/>
      <c r="C582" s="95" t="str">
        <f t="array" ref="C582">IF(I582&gt;0,INDEX(DB,I582,8),"")</f>
        <v/>
      </c>
      <c r="D582" s="437">
        <f t="shared" si="1"/>
        <v>0</v>
      </c>
      <c r="F582" s="438">
        <f t="shared" si="2"/>
        <v>0</v>
      </c>
      <c r="G582" t="str">
        <f t="shared" si="3"/>
        <v/>
      </c>
      <c r="H582" t="b">
        <f t="shared" si="4"/>
        <v>0</v>
      </c>
      <c r="I582" s="439">
        <f>IF(OR(ISBLANK(A582),ISNA(MATCH(A582&amp;"",AthleteNumbers,0))),0,MATCH(A582&amp;"",AthleteNumbers,0))</f>
        <v>0</v>
      </c>
      <c r="J582" s="209">
        <f t="array" ref="J582">IF(I582&gt;0,INDEX(DB,$I582,6),0)</f>
        <v>0</v>
      </c>
      <c r="K582" s="446">
        <f t="shared" si="5"/>
        <v>0</v>
      </c>
      <c r="L582" s="446">
        <f t="shared" si="6"/>
        <v>0</v>
      </c>
      <c r="M582" s="441">
        <f>IF(L582&lt;O582,MinPoints,IF(AND(L582&gt;N582,O582&gt;0),100,+INT(($L582-O582)/P582)+MinPoints))</f>
        <v>10</v>
      </c>
      <c r="N582" s="440">
        <f t="shared" si="7"/>
        <v>50</v>
      </c>
      <c r="O582" s="440">
        <f t="shared" si="8"/>
        <v>5</v>
      </c>
      <c r="P582" s="440">
        <f t="shared" si="9"/>
        <v>0.5</v>
      </c>
      <c r="Q582">
        <f t="array" ref="Q582">IF(I582&gt;0,INDEX(DB,I582,9),EventIndex)</f>
        <v>6</v>
      </c>
      <c r="S582" s="442">
        <f t="array" ref="S582">INDEX(MINVALUES,$Q582,$K$1)</f>
        <v>5</v>
      </c>
      <c r="T582">
        <f t="array" ref="T582">INDEX(INCVALUES,$Q582,$K$1)</f>
        <v>0.5</v>
      </c>
      <c r="V582">
        <f t="array" ref="V582">+J582+(4*(INDEX(MatchScoreTable,$Q582,20)-1))</f>
        <v>4</v>
      </c>
      <c r="W582" s="442">
        <f t="array" ref="W582">INDEX(INC_MINVALUES,$V582,$K$1)</f>
        <v>2.5</v>
      </c>
      <c r="X582" s="212">
        <f t="array" ref="X582">INDEX(INC_INCVALUES,$V582,$K$1)</f>
        <v>0.5</v>
      </c>
    </row>
    <row r="583" ht="15.75" customHeight="1">
      <c r="A583" s="435"/>
      <c r="B583" s="436"/>
      <c r="C583" s="95" t="str">
        <f t="array" ref="C583">IF(I583&gt;0,INDEX(DB,I583,8),"")</f>
        <v/>
      </c>
      <c r="D583" s="437">
        <f t="shared" si="1"/>
        <v>0</v>
      </c>
      <c r="F583" s="438">
        <f t="shared" si="2"/>
        <v>0</v>
      </c>
      <c r="G583" t="str">
        <f t="shared" si="3"/>
        <v/>
      </c>
      <c r="H583" t="b">
        <f t="shared" si="4"/>
        <v>0</v>
      </c>
      <c r="I583" s="439">
        <f>IF(OR(ISBLANK(A583),ISNA(MATCH(A583&amp;"",AthleteNumbers,0))),0,MATCH(A583&amp;"",AthleteNumbers,0))</f>
        <v>0</v>
      </c>
      <c r="J583" s="209">
        <f t="array" ref="J583">IF(I583&gt;0,INDEX(DB,$I583,6),0)</f>
        <v>0</v>
      </c>
      <c r="K583" s="446">
        <f t="shared" si="5"/>
        <v>0</v>
      </c>
      <c r="L583" s="446">
        <f t="shared" si="6"/>
        <v>0</v>
      </c>
      <c r="M583" s="441">
        <f>IF(L583&lt;O583,MinPoints,IF(AND(L583&gt;N583,O583&gt;0),100,+INT(($L583-O583)/P583)+MinPoints))</f>
        <v>10</v>
      </c>
      <c r="N583" s="440">
        <f t="shared" si="7"/>
        <v>50</v>
      </c>
      <c r="O583" s="440">
        <f t="shared" si="8"/>
        <v>5</v>
      </c>
      <c r="P583" s="440">
        <f t="shared" si="9"/>
        <v>0.5</v>
      </c>
      <c r="Q583">
        <f t="array" ref="Q583">IF(I583&gt;0,INDEX(DB,I583,9),EventIndex)</f>
        <v>6</v>
      </c>
      <c r="S583" s="442">
        <f t="array" ref="S583">INDEX(MINVALUES,$Q583,$K$1)</f>
        <v>5</v>
      </c>
      <c r="T583">
        <f t="array" ref="T583">INDEX(INCVALUES,$Q583,$K$1)</f>
        <v>0.5</v>
      </c>
      <c r="V583">
        <f t="array" ref="V583">+J583+(4*(INDEX(MatchScoreTable,$Q583,20)-1))</f>
        <v>4</v>
      </c>
      <c r="W583" s="442">
        <f t="array" ref="W583">INDEX(INC_MINVALUES,$V583,$K$1)</f>
        <v>2.5</v>
      </c>
      <c r="X583" s="212">
        <f t="array" ref="X583">INDEX(INC_INCVALUES,$V583,$K$1)</f>
        <v>0.5</v>
      </c>
    </row>
    <row r="584" ht="15.75" customHeight="1">
      <c r="A584" s="435"/>
      <c r="B584" s="436"/>
      <c r="C584" s="95" t="str">
        <f t="array" ref="C584">IF(I584&gt;0,INDEX(DB,I584,8),"")</f>
        <v/>
      </c>
      <c r="D584" s="437">
        <f t="shared" si="1"/>
        <v>0</v>
      </c>
      <c r="F584" s="438">
        <f t="shared" si="2"/>
        <v>0</v>
      </c>
      <c r="G584" t="str">
        <f t="shared" si="3"/>
        <v/>
      </c>
      <c r="H584" t="b">
        <f t="shared" si="4"/>
        <v>0</v>
      </c>
      <c r="I584" s="439">
        <f>IF(OR(ISBLANK(A584),ISNA(MATCH(A584&amp;"",AthleteNumbers,0))),0,MATCH(A584&amp;"",AthleteNumbers,0))</f>
        <v>0</v>
      </c>
      <c r="J584" s="209">
        <f t="array" ref="J584">IF(I584&gt;0,INDEX(DB,$I584,6),0)</f>
        <v>0</v>
      </c>
      <c r="K584" s="446">
        <f t="shared" si="5"/>
        <v>0</v>
      </c>
      <c r="L584" s="446">
        <f t="shared" si="6"/>
        <v>0</v>
      </c>
      <c r="M584" s="441">
        <f>IF(L584&lt;O584,MinPoints,IF(AND(L584&gt;N584,O584&gt;0),100,+INT(($L584-O584)/P584)+MinPoints))</f>
        <v>10</v>
      </c>
      <c r="N584" s="440">
        <f t="shared" si="7"/>
        <v>50</v>
      </c>
      <c r="O584" s="440">
        <f t="shared" si="8"/>
        <v>5</v>
      </c>
      <c r="P584" s="440">
        <f t="shared" si="9"/>
        <v>0.5</v>
      </c>
      <c r="Q584">
        <f t="array" ref="Q584">IF(I584&gt;0,INDEX(DB,I584,9),EventIndex)</f>
        <v>6</v>
      </c>
      <c r="S584" s="442">
        <f t="array" ref="S584">INDEX(MINVALUES,$Q584,$K$1)</f>
        <v>5</v>
      </c>
      <c r="T584">
        <f t="array" ref="T584">INDEX(INCVALUES,$Q584,$K$1)</f>
        <v>0.5</v>
      </c>
      <c r="V584">
        <f t="array" ref="V584">+J584+(4*(INDEX(MatchScoreTable,$Q584,20)-1))</f>
        <v>4</v>
      </c>
      <c r="W584" s="442">
        <f t="array" ref="W584">INDEX(INC_MINVALUES,$V584,$K$1)</f>
        <v>2.5</v>
      </c>
      <c r="X584" s="212">
        <f t="array" ref="X584">INDEX(INC_INCVALUES,$V584,$K$1)</f>
        <v>0.5</v>
      </c>
    </row>
    <row r="585" ht="15.75" customHeight="1">
      <c r="A585" s="435"/>
      <c r="B585" s="436"/>
      <c r="C585" s="95" t="str">
        <f t="array" ref="C585">IF(I585&gt;0,INDEX(DB,I585,8),"")</f>
        <v/>
      </c>
      <c r="D585" s="437">
        <f t="shared" si="1"/>
        <v>0</v>
      </c>
      <c r="F585" s="438">
        <f t="shared" si="2"/>
        <v>0</v>
      </c>
      <c r="G585" t="str">
        <f t="shared" si="3"/>
        <v/>
      </c>
      <c r="H585" t="b">
        <f t="shared" si="4"/>
        <v>0</v>
      </c>
      <c r="I585" s="439">
        <f>IF(OR(ISBLANK(A585),ISNA(MATCH(A585&amp;"",AthleteNumbers,0))),0,MATCH(A585&amp;"",AthleteNumbers,0))</f>
        <v>0</v>
      </c>
      <c r="J585" s="209">
        <f t="array" ref="J585">IF(I585&gt;0,INDEX(DB,$I585,6),0)</f>
        <v>0</v>
      </c>
      <c r="K585" s="446">
        <f t="shared" si="5"/>
        <v>0</v>
      </c>
      <c r="L585" s="446">
        <f t="shared" si="6"/>
        <v>0</v>
      </c>
      <c r="M585" s="441">
        <f>IF(L585&lt;O585,MinPoints,IF(AND(L585&gt;N585,O585&gt;0),100,+INT(($L585-O585)/P585)+MinPoints))</f>
        <v>10</v>
      </c>
      <c r="N585" s="440">
        <f t="shared" si="7"/>
        <v>50</v>
      </c>
      <c r="O585" s="440">
        <f t="shared" si="8"/>
        <v>5</v>
      </c>
      <c r="P585" s="440">
        <f t="shared" si="9"/>
        <v>0.5</v>
      </c>
      <c r="Q585">
        <f t="array" ref="Q585">IF(I585&gt;0,INDEX(DB,I585,9),EventIndex)</f>
        <v>6</v>
      </c>
      <c r="S585" s="442">
        <f t="array" ref="S585">INDEX(MINVALUES,$Q585,$K$1)</f>
        <v>5</v>
      </c>
      <c r="T585">
        <f t="array" ref="T585">INDEX(INCVALUES,$Q585,$K$1)</f>
        <v>0.5</v>
      </c>
      <c r="V585">
        <f t="array" ref="V585">+J585+(4*(INDEX(MatchScoreTable,$Q585,20)-1))</f>
        <v>4</v>
      </c>
      <c r="W585" s="442">
        <f t="array" ref="W585">INDEX(INC_MINVALUES,$V585,$K$1)</f>
        <v>2.5</v>
      </c>
      <c r="X585" s="212">
        <f t="array" ref="X585">INDEX(INC_INCVALUES,$V585,$K$1)</f>
        <v>0.5</v>
      </c>
    </row>
    <row r="586" ht="15.75" customHeight="1">
      <c r="A586" s="435"/>
      <c r="B586" s="436"/>
      <c r="C586" s="95" t="str">
        <f t="array" ref="C586">IF(I586&gt;0,INDEX(DB,I586,8),"")</f>
        <v/>
      </c>
      <c r="D586" s="437">
        <f t="shared" si="1"/>
        <v>0</v>
      </c>
      <c r="F586" s="438">
        <f t="shared" si="2"/>
        <v>0</v>
      </c>
      <c r="G586" t="str">
        <f t="shared" si="3"/>
        <v/>
      </c>
      <c r="H586" t="b">
        <f t="shared" si="4"/>
        <v>0</v>
      </c>
      <c r="I586" s="439">
        <f>IF(OR(ISBLANK(A586),ISNA(MATCH(A586&amp;"",AthleteNumbers,0))),0,MATCH(A586&amp;"",AthleteNumbers,0))</f>
        <v>0</v>
      </c>
      <c r="J586" s="209">
        <f t="array" ref="J586">IF(I586&gt;0,INDEX(DB,$I586,6),0)</f>
        <v>0</v>
      </c>
      <c r="K586" s="446">
        <f t="shared" si="5"/>
        <v>0</v>
      </c>
      <c r="L586" s="446">
        <f t="shared" si="6"/>
        <v>0</v>
      </c>
      <c r="M586" s="441">
        <f>IF(L586&lt;O586,MinPoints,IF(AND(L586&gt;N586,O586&gt;0),100,+INT(($L586-O586)/P586)+MinPoints))</f>
        <v>10</v>
      </c>
      <c r="N586" s="440">
        <f t="shared" si="7"/>
        <v>50</v>
      </c>
      <c r="O586" s="440">
        <f t="shared" si="8"/>
        <v>5</v>
      </c>
      <c r="P586" s="440">
        <f t="shared" si="9"/>
        <v>0.5</v>
      </c>
      <c r="Q586">
        <f t="array" ref="Q586">IF(I586&gt;0,INDEX(DB,I586,9),EventIndex)</f>
        <v>6</v>
      </c>
      <c r="S586" s="442">
        <f t="array" ref="S586">INDEX(MINVALUES,$Q586,$K$1)</f>
        <v>5</v>
      </c>
      <c r="T586">
        <f t="array" ref="T586">INDEX(INCVALUES,$Q586,$K$1)</f>
        <v>0.5</v>
      </c>
      <c r="V586">
        <f t="array" ref="V586">+J586+(4*(INDEX(MatchScoreTable,$Q586,20)-1))</f>
        <v>4</v>
      </c>
      <c r="W586" s="442">
        <f t="array" ref="W586">INDEX(INC_MINVALUES,$V586,$K$1)</f>
        <v>2.5</v>
      </c>
      <c r="X586" s="212">
        <f t="array" ref="X586">INDEX(INC_INCVALUES,$V586,$K$1)</f>
        <v>0.5</v>
      </c>
    </row>
    <row r="587" ht="15.75" customHeight="1">
      <c r="A587" s="435"/>
      <c r="B587" s="436"/>
      <c r="C587" s="95" t="str">
        <f t="array" ref="C587">IF(I587&gt;0,INDEX(DB,I587,8),"")</f>
        <v/>
      </c>
      <c r="D587" s="437">
        <f t="shared" si="1"/>
        <v>0</v>
      </c>
      <c r="F587" s="438">
        <f t="shared" si="2"/>
        <v>0</v>
      </c>
      <c r="G587" t="str">
        <f t="shared" si="3"/>
        <v/>
      </c>
      <c r="H587" t="b">
        <f t="shared" si="4"/>
        <v>0</v>
      </c>
      <c r="I587" s="439">
        <f>IF(OR(ISBLANK(A587),ISNA(MATCH(A587&amp;"",AthleteNumbers,0))),0,MATCH(A587&amp;"",AthleteNumbers,0))</f>
        <v>0</v>
      </c>
      <c r="J587" s="209">
        <f t="array" ref="J587">IF(I587&gt;0,INDEX(DB,$I587,6),0)</f>
        <v>0</v>
      </c>
      <c r="K587" s="446">
        <f t="shared" si="5"/>
        <v>0</v>
      </c>
      <c r="L587" s="446">
        <f t="shared" si="6"/>
        <v>0</v>
      </c>
      <c r="M587" s="441">
        <f>IF(L587&lt;O587,MinPoints,IF(AND(L587&gt;N587,O587&gt;0),100,+INT(($L587-O587)/P587)+MinPoints))</f>
        <v>10</v>
      </c>
      <c r="N587" s="440">
        <f t="shared" si="7"/>
        <v>50</v>
      </c>
      <c r="O587" s="440">
        <f t="shared" si="8"/>
        <v>5</v>
      </c>
      <c r="P587" s="440">
        <f t="shared" si="9"/>
        <v>0.5</v>
      </c>
      <c r="Q587">
        <f t="array" ref="Q587">IF(I587&gt;0,INDEX(DB,I587,9),EventIndex)</f>
        <v>6</v>
      </c>
      <c r="S587" s="442">
        <f t="array" ref="S587">INDEX(MINVALUES,$Q587,$K$1)</f>
        <v>5</v>
      </c>
      <c r="T587">
        <f t="array" ref="T587">INDEX(INCVALUES,$Q587,$K$1)</f>
        <v>0.5</v>
      </c>
      <c r="V587">
        <f t="array" ref="V587">+J587+(4*(INDEX(MatchScoreTable,$Q587,20)-1))</f>
        <v>4</v>
      </c>
      <c r="W587" s="442">
        <f t="array" ref="W587">INDEX(INC_MINVALUES,$V587,$K$1)</f>
        <v>2.5</v>
      </c>
      <c r="X587" s="212">
        <f t="array" ref="X587">INDEX(INC_INCVALUES,$V587,$K$1)</f>
        <v>0.5</v>
      </c>
    </row>
    <row r="588" ht="15.75" customHeight="1">
      <c r="A588" s="435"/>
      <c r="B588" s="436"/>
      <c r="C588" s="95" t="str">
        <f t="array" ref="C588">IF(I588&gt;0,INDEX(DB,I588,8),"")</f>
        <v/>
      </c>
      <c r="D588" s="437">
        <f t="shared" si="1"/>
        <v>0</v>
      </c>
      <c r="F588" s="438">
        <f t="shared" si="2"/>
        <v>0</v>
      </c>
      <c r="G588" t="str">
        <f t="shared" si="3"/>
        <v/>
      </c>
      <c r="H588" t="b">
        <f t="shared" si="4"/>
        <v>0</v>
      </c>
      <c r="I588" s="439">
        <f>IF(OR(ISBLANK(A588),ISNA(MATCH(A588&amp;"",AthleteNumbers,0))),0,MATCH(A588&amp;"",AthleteNumbers,0))</f>
        <v>0</v>
      </c>
      <c r="J588" s="209">
        <f t="array" ref="J588">IF(I588&gt;0,INDEX(DB,$I588,6),0)</f>
        <v>0</v>
      </c>
      <c r="K588" s="446">
        <f t="shared" si="5"/>
        <v>0</v>
      </c>
      <c r="L588" s="446">
        <f t="shared" si="6"/>
        <v>0</v>
      </c>
      <c r="M588" s="441">
        <f>IF(L588&lt;O588,MinPoints,IF(AND(L588&gt;N588,O588&gt;0),100,+INT(($L588-O588)/P588)+MinPoints))</f>
        <v>10</v>
      </c>
      <c r="N588" s="440">
        <f t="shared" si="7"/>
        <v>50</v>
      </c>
      <c r="O588" s="440">
        <f t="shared" si="8"/>
        <v>5</v>
      </c>
      <c r="P588" s="440">
        <f t="shared" si="9"/>
        <v>0.5</v>
      </c>
      <c r="Q588">
        <f t="array" ref="Q588">IF(I588&gt;0,INDEX(DB,I588,9),EventIndex)</f>
        <v>6</v>
      </c>
      <c r="S588" s="442">
        <f t="array" ref="S588">INDEX(MINVALUES,$Q588,$K$1)</f>
        <v>5</v>
      </c>
      <c r="T588">
        <f t="array" ref="T588">INDEX(INCVALUES,$Q588,$K$1)</f>
        <v>0.5</v>
      </c>
      <c r="V588">
        <f t="array" ref="V588">+J588+(4*(INDEX(MatchScoreTable,$Q588,20)-1))</f>
        <v>4</v>
      </c>
      <c r="W588" s="442">
        <f t="array" ref="W588">INDEX(INC_MINVALUES,$V588,$K$1)</f>
        <v>2.5</v>
      </c>
      <c r="X588" s="212">
        <f t="array" ref="X588">INDEX(INC_INCVALUES,$V588,$K$1)</f>
        <v>0.5</v>
      </c>
    </row>
    <row r="589" ht="15.75" customHeight="1">
      <c r="A589" s="435"/>
      <c r="B589" s="436"/>
      <c r="C589" s="95" t="str">
        <f t="array" ref="C589">IF(I589&gt;0,INDEX(DB,I589,8),"")</f>
        <v/>
      </c>
      <c r="D589" s="437">
        <f t="shared" si="1"/>
        <v>0</v>
      </c>
      <c r="F589" s="438">
        <f t="shared" si="2"/>
        <v>0</v>
      </c>
      <c r="G589" t="str">
        <f t="shared" si="3"/>
        <v/>
      </c>
      <c r="H589" t="b">
        <f t="shared" si="4"/>
        <v>0</v>
      </c>
      <c r="I589" s="439">
        <f>IF(OR(ISBLANK(A589),ISNA(MATCH(A589&amp;"",AthleteNumbers,0))),0,MATCH(A589&amp;"",AthleteNumbers,0))</f>
        <v>0</v>
      </c>
      <c r="J589" s="209">
        <f t="array" ref="J589">IF(I589&gt;0,INDEX(DB,$I589,6),0)</f>
        <v>0</v>
      </c>
      <c r="K589" s="446">
        <f t="shared" si="5"/>
        <v>0</v>
      </c>
      <c r="L589" s="446">
        <f t="shared" si="6"/>
        <v>0</v>
      </c>
      <c r="M589" s="441">
        <f>IF(L589&lt;O589,MinPoints,IF(AND(L589&gt;N589,O589&gt;0),100,+INT(($L589-O589)/P589)+MinPoints))</f>
        <v>10</v>
      </c>
      <c r="N589" s="440">
        <f t="shared" si="7"/>
        <v>50</v>
      </c>
      <c r="O589" s="440">
        <f t="shared" si="8"/>
        <v>5</v>
      </c>
      <c r="P589" s="440">
        <f t="shared" si="9"/>
        <v>0.5</v>
      </c>
      <c r="Q589">
        <f t="array" ref="Q589">IF(I589&gt;0,INDEX(DB,I589,9),EventIndex)</f>
        <v>6</v>
      </c>
      <c r="S589" s="442">
        <f t="array" ref="S589">INDEX(MINVALUES,$Q589,$K$1)</f>
        <v>5</v>
      </c>
      <c r="T589">
        <f t="array" ref="T589">INDEX(INCVALUES,$Q589,$K$1)</f>
        <v>0.5</v>
      </c>
      <c r="V589">
        <f t="array" ref="V589">+J589+(4*(INDEX(MatchScoreTable,$Q589,20)-1))</f>
        <v>4</v>
      </c>
      <c r="W589" s="442">
        <f t="array" ref="W589">INDEX(INC_MINVALUES,$V589,$K$1)</f>
        <v>2.5</v>
      </c>
      <c r="X589" s="212">
        <f t="array" ref="X589">INDEX(INC_INCVALUES,$V589,$K$1)</f>
        <v>0.5</v>
      </c>
    </row>
    <row r="590" ht="15.75" customHeight="1">
      <c r="A590" s="435"/>
      <c r="B590" s="436"/>
      <c r="C590" s="95" t="str">
        <f t="array" ref="C590">IF(I590&gt;0,INDEX(DB,I590,8),"")</f>
        <v/>
      </c>
      <c r="D590" s="437">
        <f t="shared" si="1"/>
        <v>0</v>
      </c>
      <c r="F590" s="438">
        <f t="shared" si="2"/>
        <v>0</v>
      </c>
      <c r="G590" t="str">
        <f t="shared" si="3"/>
        <v/>
      </c>
      <c r="H590" t="b">
        <f t="shared" si="4"/>
        <v>0</v>
      </c>
      <c r="I590" s="439">
        <f>IF(OR(ISBLANK(A590),ISNA(MATCH(A590&amp;"",AthleteNumbers,0))),0,MATCH(A590&amp;"",AthleteNumbers,0))</f>
        <v>0</v>
      </c>
      <c r="J590" s="209">
        <f t="array" ref="J590">IF(I590&gt;0,INDEX(DB,$I590,6),0)</f>
        <v>0</v>
      </c>
      <c r="K590" s="446">
        <f t="shared" si="5"/>
        <v>0</v>
      </c>
      <c r="L590" s="446">
        <f t="shared" si="6"/>
        <v>0</v>
      </c>
      <c r="M590" s="441">
        <f>IF(L590&lt;O590,MinPoints,IF(AND(L590&gt;N590,O590&gt;0),100,+INT(($L590-O590)/P590)+MinPoints))</f>
        <v>10</v>
      </c>
      <c r="N590" s="440">
        <f t="shared" si="7"/>
        <v>50</v>
      </c>
      <c r="O590" s="440">
        <f t="shared" si="8"/>
        <v>5</v>
      </c>
      <c r="P590" s="440">
        <f t="shared" si="9"/>
        <v>0.5</v>
      </c>
      <c r="Q590">
        <f t="array" ref="Q590">IF(I590&gt;0,INDEX(DB,I590,9),EventIndex)</f>
        <v>6</v>
      </c>
      <c r="S590" s="442">
        <f t="array" ref="S590">INDEX(MINVALUES,$Q590,$K$1)</f>
        <v>5</v>
      </c>
      <c r="T590">
        <f t="array" ref="T590">INDEX(INCVALUES,$Q590,$K$1)</f>
        <v>0.5</v>
      </c>
      <c r="V590">
        <f t="array" ref="V590">+J590+(4*(INDEX(MatchScoreTable,$Q590,20)-1))</f>
        <v>4</v>
      </c>
      <c r="W590" s="442">
        <f t="array" ref="W590">INDEX(INC_MINVALUES,$V590,$K$1)</f>
        <v>2.5</v>
      </c>
      <c r="X590" s="212">
        <f t="array" ref="X590">INDEX(INC_INCVALUES,$V590,$K$1)</f>
        <v>0.5</v>
      </c>
    </row>
    <row r="591" ht="15.75" customHeight="1">
      <c r="A591" s="435"/>
      <c r="B591" s="436"/>
      <c r="C591" s="95" t="str">
        <f t="array" ref="C591">IF(I591&gt;0,INDEX(DB,I591,8),"")</f>
        <v/>
      </c>
      <c r="D591" s="437">
        <f t="shared" si="1"/>
        <v>0</v>
      </c>
      <c r="F591" s="438">
        <f t="shared" si="2"/>
        <v>0</v>
      </c>
      <c r="G591" t="str">
        <f t="shared" si="3"/>
        <v/>
      </c>
      <c r="H591" t="b">
        <f t="shared" si="4"/>
        <v>0</v>
      </c>
      <c r="I591" s="439">
        <f>IF(OR(ISBLANK(A591),ISNA(MATCH(A591&amp;"",AthleteNumbers,0))),0,MATCH(A591&amp;"",AthleteNumbers,0))</f>
        <v>0</v>
      </c>
      <c r="J591" s="209">
        <f t="array" ref="J591">IF(I591&gt;0,INDEX(DB,$I591,6),0)</f>
        <v>0</v>
      </c>
      <c r="K591" s="446">
        <f t="shared" si="5"/>
        <v>0</v>
      </c>
      <c r="L591" s="446">
        <f t="shared" si="6"/>
        <v>0</v>
      </c>
      <c r="M591" s="441">
        <f>IF(L591&lt;O591,MinPoints,IF(AND(L591&gt;N591,O591&gt;0),100,+INT(($L591-O591)/P591)+MinPoints))</f>
        <v>10</v>
      </c>
      <c r="N591" s="440">
        <f t="shared" si="7"/>
        <v>50</v>
      </c>
      <c r="O591" s="440">
        <f t="shared" si="8"/>
        <v>5</v>
      </c>
      <c r="P591" s="440">
        <f t="shared" si="9"/>
        <v>0.5</v>
      </c>
      <c r="Q591">
        <f t="array" ref="Q591">IF(I591&gt;0,INDEX(DB,I591,9),EventIndex)</f>
        <v>6</v>
      </c>
      <c r="S591" s="442">
        <f t="array" ref="S591">INDEX(MINVALUES,$Q591,$K$1)</f>
        <v>5</v>
      </c>
      <c r="T591">
        <f t="array" ref="T591">INDEX(INCVALUES,$Q591,$K$1)</f>
        <v>0.5</v>
      </c>
      <c r="V591">
        <f t="array" ref="V591">+J591+(4*(INDEX(MatchScoreTable,$Q591,20)-1))</f>
        <v>4</v>
      </c>
      <c r="W591" s="442">
        <f t="array" ref="W591">INDEX(INC_MINVALUES,$V591,$K$1)</f>
        <v>2.5</v>
      </c>
      <c r="X591" s="212">
        <f t="array" ref="X591">INDEX(INC_INCVALUES,$V591,$K$1)</f>
        <v>0.5</v>
      </c>
    </row>
    <row r="592" ht="15.75" customHeight="1">
      <c r="A592" s="435"/>
      <c r="B592" s="436"/>
      <c r="C592" s="95" t="str">
        <f t="array" ref="C592">IF(I592&gt;0,INDEX(DB,I592,8),"")</f>
        <v/>
      </c>
      <c r="D592" s="437">
        <f t="shared" si="1"/>
        <v>0</v>
      </c>
      <c r="F592" s="438">
        <f t="shared" si="2"/>
        <v>0</v>
      </c>
      <c r="G592" t="str">
        <f t="shared" si="3"/>
        <v/>
      </c>
      <c r="H592" t="b">
        <f t="shared" si="4"/>
        <v>0</v>
      </c>
      <c r="I592" s="439">
        <f>IF(OR(ISBLANK(A592),ISNA(MATCH(A592&amp;"",AthleteNumbers,0))),0,MATCH(A592&amp;"",AthleteNumbers,0))</f>
        <v>0</v>
      </c>
      <c r="J592" s="209">
        <f t="array" ref="J592">IF(I592&gt;0,INDEX(DB,$I592,6),0)</f>
        <v>0</v>
      </c>
      <c r="K592" s="446">
        <f t="shared" si="5"/>
        <v>0</v>
      </c>
      <c r="L592" s="446">
        <f t="shared" si="6"/>
        <v>0</v>
      </c>
      <c r="M592" s="441">
        <f>IF(L592&lt;O592,MinPoints,IF(AND(L592&gt;N592,O592&gt;0),100,+INT(($L592-O592)/P592)+MinPoints))</f>
        <v>10</v>
      </c>
      <c r="N592" s="440">
        <f t="shared" si="7"/>
        <v>50</v>
      </c>
      <c r="O592" s="440">
        <f t="shared" si="8"/>
        <v>5</v>
      </c>
      <c r="P592" s="440">
        <f t="shared" si="9"/>
        <v>0.5</v>
      </c>
      <c r="Q592">
        <f t="array" ref="Q592">IF(I592&gt;0,INDEX(DB,I592,9),EventIndex)</f>
        <v>6</v>
      </c>
      <c r="S592" s="442">
        <f t="array" ref="S592">INDEX(MINVALUES,$Q592,$K$1)</f>
        <v>5</v>
      </c>
      <c r="T592">
        <f t="array" ref="T592">INDEX(INCVALUES,$Q592,$K$1)</f>
        <v>0.5</v>
      </c>
      <c r="V592">
        <f t="array" ref="V592">+J592+(4*(INDEX(MatchScoreTable,$Q592,20)-1))</f>
        <v>4</v>
      </c>
      <c r="W592" s="442">
        <f t="array" ref="W592">INDEX(INC_MINVALUES,$V592,$K$1)</f>
        <v>2.5</v>
      </c>
      <c r="X592" s="212">
        <f t="array" ref="X592">INDEX(INC_INCVALUES,$V592,$K$1)</f>
        <v>0.5</v>
      </c>
    </row>
    <row r="593" ht="15.75" customHeight="1">
      <c r="A593" s="435"/>
      <c r="B593" s="436"/>
      <c r="C593" s="95" t="str">
        <f t="array" ref="C593">IF(I593&gt;0,INDEX(DB,I593,8),"")</f>
        <v/>
      </c>
      <c r="D593" s="437">
        <f t="shared" si="1"/>
        <v>0</v>
      </c>
      <c r="F593" s="438">
        <f t="shared" si="2"/>
        <v>0</v>
      </c>
      <c r="G593" t="str">
        <f t="shared" si="3"/>
        <v/>
      </c>
      <c r="H593" t="b">
        <f t="shared" si="4"/>
        <v>0</v>
      </c>
      <c r="I593" s="439">
        <f>IF(OR(ISBLANK(A593),ISNA(MATCH(A593&amp;"",AthleteNumbers,0))),0,MATCH(A593&amp;"",AthleteNumbers,0))</f>
        <v>0</v>
      </c>
      <c r="J593" s="209">
        <f t="array" ref="J593">IF(I593&gt;0,INDEX(DB,$I593,6),0)</f>
        <v>0</v>
      </c>
      <c r="K593" s="446">
        <f t="shared" si="5"/>
        <v>0</v>
      </c>
      <c r="L593" s="446">
        <f t="shared" si="6"/>
        <v>0</v>
      </c>
      <c r="M593" s="441">
        <f>IF(L593&lt;O593,MinPoints,IF(AND(L593&gt;N593,O593&gt;0),100,+INT(($L593-O593)/P593)+MinPoints))</f>
        <v>10</v>
      </c>
      <c r="N593" s="440">
        <f t="shared" si="7"/>
        <v>50</v>
      </c>
      <c r="O593" s="440">
        <f t="shared" si="8"/>
        <v>5</v>
      </c>
      <c r="P593" s="440">
        <f t="shared" si="9"/>
        <v>0.5</v>
      </c>
      <c r="Q593">
        <f t="array" ref="Q593">IF(I593&gt;0,INDEX(DB,I593,9),EventIndex)</f>
        <v>6</v>
      </c>
      <c r="S593" s="442">
        <f t="array" ref="S593">INDEX(MINVALUES,$Q593,$K$1)</f>
        <v>5</v>
      </c>
      <c r="T593">
        <f t="array" ref="T593">INDEX(INCVALUES,$Q593,$K$1)</f>
        <v>0.5</v>
      </c>
      <c r="V593">
        <f t="array" ref="V593">+J593+(4*(INDEX(MatchScoreTable,$Q593,20)-1))</f>
        <v>4</v>
      </c>
      <c r="W593" s="442">
        <f t="array" ref="W593">INDEX(INC_MINVALUES,$V593,$K$1)</f>
        <v>2.5</v>
      </c>
      <c r="X593" s="212">
        <f t="array" ref="X593">INDEX(INC_INCVALUES,$V593,$K$1)</f>
        <v>0.5</v>
      </c>
    </row>
    <row r="594" ht="15.75" customHeight="1">
      <c r="A594" s="435"/>
      <c r="B594" s="436"/>
      <c r="C594" s="95" t="str">
        <f t="array" ref="C594">IF(I594&gt;0,INDEX(DB,I594,8),"")</f>
        <v/>
      </c>
      <c r="D594" s="437">
        <f t="shared" si="1"/>
        <v>0</v>
      </c>
      <c r="F594" s="438">
        <f t="shared" si="2"/>
        <v>0</v>
      </c>
      <c r="G594" t="str">
        <f t="shared" si="3"/>
        <v/>
      </c>
      <c r="H594" t="b">
        <f t="shared" si="4"/>
        <v>0</v>
      </c>
      <c r="I594" s="439">
        <f>IF(OR(ISBLANK(A594),ISNA(MATCH(A594&amp;"",AthleteNumbers,0))),0,MATCH(A594&amp;"",AthleteNumbers,0))</f>
        <v>0</v>
      </c>
      <c r="J594" s="209">
        <f t="array" ref="J594">IF(I594&gt;0,INDEX(DB,$I594,6),0)</f>
        <v>0</v>
      </c>
      <c r="K594" s="446">
        <f t="shared" si="5"/>
        <v>0</v>
      </c>
      <c r="L594" s="446">
        <f t="shared" si="6"/>
        <v>0</v>
      </c>
      <c r="M594" s="441">
        <f>IF(L594&lt;O594,MinPoints,IF(AND(L594&gt;N594,O594&gt;0),100,+INT(($L594-O594)/P594)+MinPoints))</f>
        <v>10</v>
      </c>
      <c r="N594" s="440">
        <f t="shared" si="7"/>
        <v>50</v>
      </c>
      <c r="O594" s="440">
        <f t="shared" si="8"/>
        <v>5</v>
      </c>
      <c r="P594" s="440">
        <f t="shared" si="9"/>
        <v>0.5</v>
      </c>
      <c r="Q594">
        <f t="array" ref="Q594">IF(I594&gt;0,INDEX(DB,I594,9),EventIndex)</f>
        <v>6</v>
      </c>
      <c r="S594" s="442">
        <f t="array" ref="S594">INDEX(MINVALUES,$Q594,$K$1)</f>
        <v>5</v>
      </c>
      <c r="T594">
        <f t="array" ref="T594">INDEX(INCVALUES,$Q594,$K$1)</f>
        <v>0.5</v>
      </c>
      <c r="V594">
        <f t="array" ref="V594">+J594+(4*(INDEX(MatchScoreTable,$Q594,20)-1))</f>
        <v>4</v>
      </c>
      <c r="W594" s="442">
        <f t="array" ref="W594">INDEX(INC_MINVALUES,$V594,$K$1)</f>
        <v>2.5</v>
      </c>
      <c r="X594" s="212">
        <f t="array" ref="X594">INDEX(INC_INCVALUES,$V594,$K$1)</f>
        <v>0.5</v>
      </c>
    </row>
    <row r="595" ht="15.75" customHeight="1">
      <c r="A595" s="435"/>
      <c r="B595" s="436"/>
      <c r="C595" s="95" t="str">
        <f t="array" ref="C595">IF(I595&gt;0,INDEX(DB,I595,8),"")</f>
        <v/>
      </c>
      <c r="D595" s="437">
        <f t="shared" si="1"/>
        <v>0</v>
      </c>
      <c r="F595" s="438">
        <f t="shared" si="2"/>
        <v>0</v>
      </c>
      <c r="G595" t="str">
        <f t="shared" si="3"/>
        <v/>
      </c>
      <c r="H595" t="b">
        <f t="shared" si="4"/>
        <v>0</v>
      </c>
      <c r="I595" s="439">
        <f>IF(OR(ISBLANK(A595),ISNA(MATCH(A595&amp;"",AthleteNumbers,0))),0,MATCH(A595&amp;"",AthleteNumbers,0))</f>
        <v>0</v>
      </c>
      <c r="J595" s="209">
        <f t="array" ref="J595">IF(I595&gt;0,INDEX(DB,$I595,6),0)</f>
        <v>0</v>
      </c>
      <c r="K595" s="446">
        <f t="shared" si="5"/>
        <v>0</v>
      </c>
      <c r="L595" s="446">
        <f t="shared" si="6"/>
        <v>0</v>
      </c>
      <c r="M595" s="441">
        <f>IF(L595&lt;O595,MinPoints,IF(AND(L595&gt;N595,O595&gt;0),100,+INT(($L595-O595)/P595)+MinPoints))</f>
        <v>10</v>
      </c>
      <c r="N595" s="440">
        <f t="shared" si="7"/>
        <v>50</v>
      </c>
      <c r="O595" s="440">
        <f t="shared" si="8"/>
        <v>5</v>
      </c>
      <c r="P595" s="440">
        <f t="shared" si="9"/>
        <v>0.5</v>
      </c>
      <c r="Q595">
        <f t="array" ref="Q595">IF(I595&gt;0,INDEX(DB,I595,9),EventIndex)</f>
        <v>6</v>
      </c>
      <c r="S595" s="442">
        <f t="array" ref="S595">INDEX(MINVALUES,$Q595,$K$1)</f>
        <v>5</v>
      </c>
      <c r="T595">
        <f t="array" ref="T595">INDEX(INCVALUES,$Q595,$K$1)</f>
        <v>0.5</v>
      </c>
      <c r="V595">
        <f t="array" ref="V595">+J595+(4*(INDEX(MatchScoreTable,$Q595,20)-1))</f>
        <v>4</v>
      </c>
      <c r="W595" s="442">
        <f t="array" ref="W595">INDEX(INC_MINVALUES,$V595,$K$1)</f>
        <v>2.5</v>
      </c>
      <c r="X595" s="212">
        <f t="array" ref="X595">INDEX(INC_INCVALUES,$V595,$K$1)</f>
        <v>0.5</v>
      </c>
    </row>
    <row r="596" ht="15.75" customHeight="1">
      <c r="A596" s="435"/>
      <c r="B596" s="436"/>
      <c r="C596" s="95" t="str">
        <f t="array" ref="C596">IF(I596&gt;0,INDEX(DB,I596,8),"")</f>
        <v/>
      </c>
      <c r="D596" s="437">
        <f t="shared" si="1"/>
        <v>0</v>
      </c>
      <c r="F596" s="438">
        <f t="shared" si="2"/>
        <v>0</v>
      </c>
      <c r="G596" t="str">
        <f t="shared" si="3"/>
        <v/>
      </c>
      <c r="H596" t="b">
        <f t="shared" si="4"/>
        <v>0</v>
      </c>
      <c r="I596" s="439">
        <f>IF(OR(ISBLANK(A596),ISNA(MATCH(A596&amp;"",AthleteNumbers,0))),0,MATCH(A596&amp;"",AthleteNumbers,0))</f>
        <v>0</v>
      </c>
      <c r="J596" s="209">
        <f t="array" ref="J596">IF(I596&gt;0,INDEX(DB,$I596,6),0)</f>
        <v>0</v>
      </c>
      <c r="K596" s="446">
        <f t="shared" si="5"/>
        <v>0</v>
      </c>
      <c r="L596" s="446">
        <f t="shared" si="6"/>
        <v>0</v>
      </c>
      <c r="M596" s="441">
        <f>IF(L596&lt;O596,MinPoints,IF(AND(L596&gt;N596,O596&gt;0),100,+INT(($L596-O596)/P596)+MinPoints))</f>
        <v>10</v>
      </c>
      <c r="N596" s="440">
        <f t="shared" si="7"/>
        <v>50</v>
      </c>
      <c r="O596" s="440">
        <f t="shared" si="8"/>
        <v>5</v>
      </c>
      <c r="P596" s="440">
        <f t="shared" si="9"/>
        <v>0.5</v>
      </c>
      <c r="Q596">
        <f t="array" ref="Q596">IF(I596&gt;0,INDEX(DB,I596,9),EventIndex)</f>
        <v>6</v>
      </c>
      <c r="S596" s="442">
        <f t="array" ref="S596">INDEX(MINVALUES,$Q596,$K$1)</f>
        <v>5</v>
      </c>
      <c r="T596">
        <f t="array" ref="T596">INDEX(INCVALUES,$Q596,$K$1)</f>
        <v>0.5</v>
      </c>
      <c r="V596">
        <f t="array" ref="V596">+J596+(4*(INDEX(MatchScoreTable,$Q596,20)-1))</f>
        <v>4</v>
      </c>
      <c r="W596" s="442">
        <f t="array" ref="W596">INDEX(INC_MINVALUES,$V596,$K$1)</f>
        <v>2.5</v>
      </c>
      <c r="X596" s="212">
        <f t="array" ref="X596">INDEX(INC_INCVALUES,$V596,$K$1)</f>
        <v>0.5</v>
      </c>
    </row>
    <row r="597" ht="15.75" customHeight="1">
      <c r="A597" s="435"/>
      <c r="B597" s="436"/>
      <c r="C597" s="95" t="str">
        <f t="array" ref="C597">IF(I597&gt;0,INDEX(DB,I597,8),"")</f>
        <v/>
      </c>
      <c r="D597" s="437">
        <f t="shared" si="1"/>
        <v>0</v>
      </c>
      <c r="F597" s="438">
        <f t="shared" si="2"/>
        <v>0</v>
      </c>
      <c r="G597" t="str">
        <f t="shared" si="3"/>
        <v/>
      </c>
      <c r="H597" t="b">
        <f t="shared" si="4"/>
        <v>0</v>
      </c>
      <c r="I597" s="439">
        <f>IF(OR(ISBLANK(A597),ISNA(MATCH(A597&amp;"",AthleteNumbers,0))),0,MATCH(A597&amp;"",AthleteNumbers,0))</f>
        <v>0</v>
      </c>
      <c r="J597" s="209">
        <f t="array" ref="J597">IF(I597&gt;0,INDEX(DB,$I597,6),0)</f>
        <v>0</v>
      </c>
      <c r="K597" s="446">
        <f t="shared" si="5"/>
        <v>0</v>
      </c>
      <c r="L597" s="446">
        <f t="shared" si="6"/>
        <v>0</v>
      </c>
      <c r="M597" s="441">
        <f>IF(L597&lt;O597,MinPoints,IF(AND(L597&gt;N597,O597&gt;0),100,+INT(($L597-O597)/P597)+MinPoints))</f>
        <v>10</v>
      </c>
      <c r="N597" s="440">
        <f t="shared" si="7"/>
        <v>50</v>
      </c>
      <c r="O597" s="440">
        <f t="shared" si="8"/>
        <v>5</v>
      </c>
      <c r="P597" s="440">
        <f t="shared" si="9"/>
        <v>0.5</v>
      </c>
      <c r="Q597">
        <f t="array" ref="Q597">IF(I597&gt;0,INDEX(DB,I597,9),EventIndex)</f>
        <v>6</v>
      </c>
      <c r="S597" s="442">
        <f t="array" ref="S597">INDEX(MINVALUES,$Q597,$K$1)</f>
        <v>5</v>
      </c>
      <c r="T597">
        <f t="array" ref="T597">INDEX(INCVALUES,$Q597,$K$1)</f>
        <v>0.5</v>
      </c>
      <c r="V597">
        <f t="array" ref="V597">+J597+(4*(INDEX(MatchScoreTable,$Q597,20)-1))</f>
        <v>4</v>
      </c>
      <c r="W597" s="442">
        <f t="array" ref="W597">INDEX(INC_MINVALUES,$V597,$K$1)</f>
        <v>2.5</v>
      </c>
      <c r="X597" s="212">
        <f t="array" ref="X597">INDEX(INC_INCVALUES,$V597,$K$1)</f>
        <v>0.5</v>
      </c>
    </row>
    <row r="598" ht="15.75" customHeight="1">
      <c r="A598" s="435"/>
      <c r="B598" s="436"/>
      <c r="C598" s="95" t="str">
        <f t="array" ref="C598">IF(I598&gt;0,INDEX(DB,I598,8),"")</f>
        <v/>
      </c>
      <c r="D598" s="437">
        <f t="shared" si="1"/>
        <v>0</v>
      </c>
      <c r="F598" s="438">
        <f t="shared" si="2"/>
        <v>0</v>
      </c>
      <c r="G598" t="str">
        <f t="shared" si="3"/>
        <v/>
      </c>
      <c r="H598" t="b">
        <f t="shared" si="4"/>
        <v>0</v>
      </c>
      <c r="I598" s="439">
        <f>IF(OR(ISBLANK(A598),ISNA(MATCH(A598&amp;"",AthleteNumbers,0))),0,MATCH(A598&amp;"",AthleteNumbers,0))</f>
        <v>0</v>
      </c>
      <c r="J598" s="209">
        <f t="array" ref="J598">IF(I598&gt;0,INDEX(DB,$I598,6),0)</f>
        <v>0</v>
      </c>
      <c r="K598" s="446">
        <f t="shared" si="5"/>
        <v>0</v>
      </c>
      <c r="L598" s="446">
        <f t="shared" si="6"/>
        <v>0</v>
      </c>
      <c r="M598" s="441">
        <f>IF(L598&lt;O598,MinPoints,IF(AND(L598&gt;N598,O598&gt;0),100,+INT(($L598-O598)/P598)+MinPoints))</f>
        <v>10</v>
      </c>
      <c r="N598" s="440">
        <f t="shared" si="7"/>
        <v>50</v>
      </c>
      <c r="O598" s="440">
        <f t="shared" si="8"/>
        <v>5</v>
      </c>
      <c r="P598" s="440">
        <f t="shared" si="9"/>
        <v>0.5</v>
      </c>
      <c r="Q598">
        <f t="array" ref="Q598">IF(I598&gt;0,INDEX(DB,I598,9),EventIndex)</f>
        <v>6</v>
      </c>
      <c r="S598" s="442">
        <f t="array" ref="S598">INDEX(MINVALUES,$Q598,$K$1)</f>
        <v>5</v>
      </c>
      <c r="T598">
        <f t="array" ref="T598">INDEX(INCVALUES,$Q598,$K$1)</f>
        <v>0.5</v>
      </c>
      <c r="V598">
        <f t="array" ref="V598">+J598+(4*(INDEX(MatchScoreTable,$Q598,20)-1))</f>
        <v>4</v>
      </c>
      <c r="W598" s="442">
        <f t="array" ref="W598">INDEX(INC_MINVALUES,$V598,$K$1)</f>
        <v>2.5</v>
      </c>
      <c r="X598" s="212">
        <f t="array" ref="X598">INDEX(INC_INCVALUES,$V598,$K$1)</f>
        <v>0.5</v>
      </c>
    </row>
    <row r="599" ht="15.75" customHeight="1">
      <c r="A599" s="435"/>
      <c r="B599" s="436"/>
      <c r="C599" s="95" t="str">
        <f t="array" ref="C599">IF(I599&gt;0,INDEX(DB,I599,8),"")</f>
        <v/>
      </c>
      <c r="D599" s="437">
        <f t="shared" si="1"/>
        <v>0</v>
      </c>
      <c r="F599" s="438">
        <f t="shared" si="2"/>
        <v>0</v>
      </c>
      <c r="G599" t="str">
        <f t="shared" si="3"/>
        <v/>
      </c>
      <c r="H599" t="b">
        <f t="shared" si="4"/>
        <v>0</v>
      </c>
      <c r="I599" s="439">
        <f>IF(OR(ISBLANK(A599),ISNA(MATCH(A599&amp;"",AthleteNumbers,0))),0,MATCH(A599&amp;"",AthleteNumbers,0))</f>
        <v>0</v>
      </c>
      <c r="J599" s="209">
        <f t="array" ref="J599">IF(I599&gt;0,INDEX(DB,$I599,6),0)</f>
        <v>0</v>
      </c>
      <c r="K599" s="446">
        <f t="shared" si="5"/>
        <v>0</v>
      </c>
      <c r="L599" s="446">
        <f t="shared" si="6"/>
        <v>0</v>
      </c>
      <c r="M599" s="441">
        <f>IF(L599&lt;O599,MinPoints,IF(AND(L599&gt;N599,O599&gt;0),100,+INT(($L599-O599)/P599)+MinPoints))</f>
        <v>10</v>
      </c>
      <c r="N599" s="440">
        <f t="shared" si="7"/>
        <v>50</v>
      </c>
      <c r="O599" s="440">
        <f t="shared" si="8"/>
        <v>5</v>
      </c>
      <c r="P599" s="440">
        <f t="shared" si="9"/>
        <v>0.5</v>
      </c>
      <c r="Q599">
        <f t="array" ref="Q599">IF(I599&gt;0,INDEX(DB,I599,9),EventIndex)</f>
        <v>6</v>
      </c>
      <c r="S599" s="442">
        <f t="array" ref="S599">INDEX(MINVALUES,$Q599,$K$1)</f>
        <v>5</v>
      </c>
      <c r="T599">
        <f t="array" ref="T599">INDEX(INCVALUES,$Q599,$K$1)</f>
        <v>0.5</v>
      </c>
      <c r="V599">
        <f t="array" ref="V599">+J599+(4*(INDEX(MatchScoreTable,$Q599,20)-1))</f>
        <v>4</v>
      </c>
      <c r="W599" s="442">
        <f t="array" ref="W599">INDEX(INC_MINVALUES,$V599,$K$1)</f>
        <v>2.5</v>
      </c>
      <c r="X599" s="212">
        <f t="array" ref="X599">INDEX(INC_INCVALUES,$V599,$K$1)</f>
        <v>0.5</v>
      </c>
    </row>
    <row r="600" ht="15.75" customHeight="1">
      <c r="A600" s="435"/>
      <c r="B600" s="436"/>
      <c r="C600" s="95" t="str">
        <f t="array" ref="C600">IF(I600&gt;0,INDEX(DB,I600,8),"")</f>
        <v/>
      </c>
      <c r="D600" s="437">
        <f t="shared" si="1"/>
        <v>0</v>
      </c>
      <c r="F600" s="438">
        <f t="shared" si="2"/>
        <v>0</v>
      </c>
      <c r="G600" t="str">
        <f t="shared" si="3"/>
        <v/>
      </c>
      <c r="H600" t="b">
        <f t="shared" si="4"/>
        <v>0</v>
      </c>
      <c r="I600" s="439">
        <f>IF(OR(ISBLANK(A600),ISNA(MATCH(A600&amp;"",AthleteNumbers,0))),0,MATCH(A600&amp;"",AthleteNumbers,0))</f>
        <v>0</v>
      </c>
      <c r="J600" s="209">
        <f t="array" ref="J600">IF(I600&gt;0,INDEX(DB,$I600,6),0)</f>
        <v>0</v>
      </c>
      <c r="K600" s="446">
        <f t="shared" si="5"/>
        <v>0</v>
      </c>
      <c r="L600" s="446">
        <f t="shared" si="6"/>
        <v>0</v>
      </c>
      <c r="M600" s="441">
        <f>IF(L600&lt;O600,MinPoints,IF(AND(L600&gt;N600,O600&gt;0),100,+INT(($L600-O600)/P600)+MinPoints))</f>
        <v>10</v>
      </c>
      <c r="N600" s="440">
        <f t="shared" si="7"/>
        <v>50</v>
      </c>
      <c r="O600" s="440">
        <f t="shared" si="8"/>
        <v>5</v>
      </c>
      <c r="P600" s="440">
        <f t="shared" si="9"/>
        <v>0.5</v>
      </c>
      <c r="Q600">
        <f t="array" ref="Q600">IF(I600&gt;0,INDEX(DB,I600,9),EventIndex)</f>
        <v>6</v>
      </c>
      <c r="S600" s="442">
        <f t="array" ref="S600">INDEX(MINVALUES,$Q600,$K$1)</f>
        <v>5</v>
      </c>
      <c r="T600">
        <f t="array" ref="T600">INDEX(INCVALUES,$Q600,$K$1)</f>
        <v>0.5</v>
      </c>
      <c r="V600">
        <f t="array" ref="V600">+J600+(4*(INDEX(MatchScoreTable,$Q600,20)-1))</f>
        <v>4</v>
      </c>
      <c r="W600" s="442">
        <f t="array" ref="W600">INDEX(INC_MINVALUES,$V600,$K$1)</f>
        <v>2.5</v>
      </c>
      <c r="X600" s="212">
        <f t="array" ref="X600">INDEX(INC_INCVALUES,$V600,$K$1)</f>
        <v>0.5</v>
      </c>
    </row>
    <row r="601" ht="15.75" customHeight="1">
      <c r="A601" s="435"/>
      <c r="B601" s="436"/>
      <c r="C601" s="95" t="str">
        <f t="array" ref="C601">IF(I601&gt;0,INDEX(DB,I601,8),"")</f>
        <v/>
      </c>
      <c r="D601" s="437">
        <f t="shared" si="1"/>
        <v>0</v>
      </c>
      <c r="F601" s="438">
        <f t="shared" si="2"/>
        <v>0</v>
      </c>
      <c r="G601" t="str">
        <f t="shared" si="3"/>
        <v/>
      </c>
      <c r="H601" t="b">
        <f t="shared" si="4"/>
        <v>0</v>
      </c>
      <c r="I601" s="439">
        <f>IF(OR(ISBLANK(A601),ISNA(MATCH(A601&amp;"",AthleteNumbers,0))),0,MATCH(A601&amp;"",AthleteNumbers,0))</f>
        <v>0</v>
      </c>
      <c r="J601" s="209">
        <f t="array" ref="J601">IF(I601&gt;0,INDEX(DB,$I601,6),0)</f>
        <v>0</v>
      </c>
      <c r="K601" s="446">
        <f t="shared" si="5"/>
        <v>0</v>
      </c>
      <c r="L601" s="446">
        <f t="shared" si="6"/>
        <v>0</v>
      </c>
      <c r="M601" s="441">
        <f>IF(L601&lt;O601,MinPoints,IF(AND(L601&gt;N601,O601&gt;0),100,+INT(($L601-O601)/P601)+MinPoints))</f>
        <v>10</v>
      </c>
      <c r="N601" s="440">
        <f t="shared" si="7"/>
        <v>50</v>
      </c>
      <c r="O601" s="440">
        <f t="shared" si="8"/>
        <v>5</v>
      </c>
      <c r="P601" s="440">
        <f t="shared" si="9"/>
        <v>0.5</v>
      </c>
      <c r="Q601">
        <f t="array" ref="Q601">IF(I601&gt;0,INDEX(DB,I601,9),EventIndex)</f>
        <v>6</v>
      </c>
      <c r="S601" s="442">
        <f t="array" ref="S601">INDEX(MINVALUES,$Q601,$K$1)</f>
        <v>5</v>
      </c>
      <c r="T601">
        <f t="array" ref="T601">INDEX(INCVALUES,$Q601,$K$1)</f>
        <v>0.5</v>
      </c>
      <c r="V601">
        <f t="array" ref="V601">+J601+(4*(INDEX(MatchScoreTable,$Q601,20)-1))</f>
        <v>4</v>
      </c>
      <c r="W601" s="442">
        <f t="array" ref="W601">INDEX(INC_MINVALUES,$V601,$K$1)</f>
        <v>2.5</v>
      </c>
      <c r="X601" s="212">
        <f t="array" ref="X601">INDEX(INC_INCVALUES,$V601,$K$1)</f>
        <v>0.5</v>
      </c>
    </row>
    <row r="602" ht="15.75" customHeight="1">
      <c r="A602" s="435"/>
      <c r="B602" s="436"/>
      <c r="C602" s="95" t="str">
        <f t="array" ref="C602">IF(I602&gt;0,INDEX(DB,I602,8),"")</f>
        <v/>
      </c>
      <c r="D602" s="437">
        <f t="shared" si="1"/>
        <v>0</v>
      </c>
      <c r="F602" s="438">
        <f t="shared" si="2"/>
        <v>0</v>
      </c>
      <c r="G602" t="str">
        <f t="shared" si="3"/>
        <v/>
      </c>
      <c r="H602" t="b">
        <f t="shared" si="4"/>
        <v>0</v>
      </c>
      <c r="I602" s="439">
        <f>IF(OR(ISBLANK(A602),ISNA(MATCH(A602&amp;"",AthleteNumbers,0))),0,MATCH(A602&amp;"",AthleteNumbers,0))</f>
        <v>0</v>
      </c>
      <c r="J602" s="209">
        <f t="array" ref="J602">IF(I602&gt;0,INDEX(DB,$I602,6),0)</f>
        <v>0</v>
      </c>
      <c r="K602" s="446">
        <f t="shared" si="5"/>
        <v>0</v>
      </c>
      <c r="L602" s="446">
        <f t="shared" si="6"/>
        <v>0</v>
      </c>
      <c r="M602" s="441">
        <f>IF(L602&lt;O602,MinPoints,IF(AND(L602&gt;N602,O602&gt;0),100,+INT(($L602-O602)/P602)+MinPoints))</f>
        <v>10</v>
      </c>
      <c r="N602" s="440">
        <f t="shared" si="7"/>
        <v>50</v>
      </c>
      <c r="O602" s="440">
        <f t="shared" si="8"/>
        <v>5</v>
      </c>
      <c r="P602" s="440">
        <f t="shared" si="9"/>
        <v>0.5</v>
      </c>
      <c r="Q602">
        <f t="array" ref="Q602">IF(I602&gt;0,INDEX(DB,I602,9),EventIndex)</f>
        <v>6</v>
      </c>
      <c r="S602" s="442">
        <f t="array" ref="S602">INDEX(MINVALUES,$Q602,$K$1)</f>
        <v>5</v>
      </c>
      <c r="T602">
        <f t="array" ref="T602">INDEX(INCVALUES,$Q602,$K$1)</f>
        <v>0.5</v>
      </c>
      <c r="V602">
        <f t="array" ref="V602">+J602+(4*(INDEX(MatchScoreTable,$Q602,20)-1))</f>
        <v>4</v>
      </c>
      <c r="W602" s="442">
        <f t="array" ref="W602">INDEX(INC_MINVALUES,$V602,$K$1)</f>
        <v>2.5</v>
      </c>
      <c r="X602" s="212">
        <f t="array" ref="X602">INDEX(INC_INCVALUES,$V602,$K$1)</f>
        <v>0.5</v>
      </c>
    </row>
    <row r="603" ht="15.75" customHeight="1">
      <c r="A603" s="435"/>
      <c r="B603" s="436"/>
      <c r="C603" s="95" t="str">
        <f t="array" ref="C603">IF(I603&gt;0,INDEX(DB,I603,8),"")</f>
        <v/>
      </c>
      <c r="D603" s="437">
        <f t="shared" si="1"/>
        <v>0</v>
      </c>
      <c r="F603" s="438">
        <f t="shared" si="2"/>
        <v>0</v>
      </c>
      <c r="G603" t="str">
        <f t="shared" si="3"/>
        <v/>
      </c>
      <c r="H603" t="b">
        <f t="shared" si="4"/>
        <v>0</v>
      </c>
      <c r="I603" s="439">
        <f>IF(OR(ISBLANK(A603),ISNA(MATCH(A603&amp;"",AthleteNumbers,0))),0,MATCH(A603&amp;"",AthleteNumbers,0))</f>
        <v>0</v>
      </c>
      <c r="J603" s="209">
        <f t="array" ref="J603">IF(I603&gt;0,INDEX(DB,$I603,6),0)</f>
        <v>0</v>
      </c>
      <c r="K603" s="446">
        <f t="shared" si="5"/>
        <v>0</v>
      </c>
      <c r="L603" s="446">
        <f t="shared" si="6"/>
        <v>0</v>
      </c>
      <c r="M603" s="441">
        <f>IF(L603&lt;O603,MinPoints,IF(AND(L603&gt;N603,O603&gt;0),100,+INT(($L603-O603)/P603)+MinPoints))</f>
        <v>10</v>
      </c>
      <c r="N603" s="440">
        <f t="shared" si="7"/>
        <v>50</v>
      </c>
      <c r="O603" s="440">
        <f t="shared" si="8"/>
        <v>5</v>
      </c>
      <c r="P603" s="440">
        <f t="shared" si="9"/>
        <v>0.5</v>
      </c>
      <c r="Q603">
        <f t="array" ref="Q603">IF(I603&gt;0,INDEX(DB,I603,9),EventIndex)</f>
        <v>6</v>
      </c>
      <c r="S603" s="442">
        <f t="array" ref="S603">INDEX(MINVALUES,$Q603,$K$1)</f>
        <v>5</v>
      </c>
      <c r="T603">
        <f t="array" ref="T603">INDEX(INCVALUES,$Q603,$K$1)</f>
        <v>0.5</v>
      </c>
      <c r="V603">
        <f t="array" ref="V603">+J603+(4*(INDEX(MatchScoreTable,$Q603,20)-1))</f>
        <v>4</v>
      </c>
      <c r="W603" s="442">
        <f t="array" ref="W603">INDEX(INC_MINVALUES,$V603,$K$1)</f>
        <v>2.5</v>
      </c>
      <c r="X603" s="212">
        <f t="array" ref="X603">INDEX(INC_INCVALUES,$V603,$K$1)</f>
        <v>0.5</v>
      </c>
    </row>
    <row r="604" ht="15.75" customHeight="1">
      <c r="A604" s="435"/>
      <c r="B604" s="436"/>
      <c r="C604" s="95" t="str">
        <f t="array" ref="C604">IF(I604&gt;0,INDEX(DB,I604,8),"")</f>
        <v/>
      </c>
      <c r="D604" s="437">
        <f t="shared" si="1"/>
        <v>0</v>
      </c>
      <c r="F604" s="438">
        <f t="shared" si="2"/>
        <v>0</v>
      </c>
      <c r="G604" t="str">
        <f t="shared" si="3"/>
        <v/>
      </c>
      <c r="H604" t="b">
        <f t="shared" si="4"/>
        <v>0</v>
      </c>
      <c r="I604" s="439">
        <f>IF(OR(ISBLANK(A604),ISNA(MATCH(A604&amp;"",AthleteNumbers,0))),0,MATCH(A604&amp;"",AthleteNumbers,0))</f>
        <v>0</v>
      </c>
      <c r="J604" s="209">
        <f t="array" ref="J604">IF(I604&gt;0,INDEX(DB,$I604,6),0)</f>
        <v>0</v>
      </c>
      <c r="K604" s="446">
        <f t="shared" si="5"/>
        <v>0</v>
      </c>
      <c r="L604" s="446">
        <f t="shared" si="6"/>
        <v>0</v>
      </c>
      <c r="M604" s="441">
        <f>IF(L604&lt;O604,MinPoints,IF(AND(L604&gt;N604,O604&gt;0),100,+INT(($L604-O604)/P604)+MinPoints))</f>
        <v>10</v>
      </c>
      <c r="N604" s="440">
        <f t="shared" si="7"/>
        <v>50</v>
      </c>
      <c r="O604" s="440">
        <f t="shared" si="8"/>
        <v>5</v>
      </c>
      <c r="P604" s="440">
        <f t="shared" si="9"/>
        <v>0.5</v>
      </c>
      <c r="Q604">
        <f t="array" ref="Q604">IF(I604&gt;0,INDEX(DB,I604,9),EventIndex)</f>
        <v>6</v>
      </c>
      <c r="S604" s="442">
        <f t="array" ref="S604">INDEX(MINVALUES,$Q604,$K$1)</f>
        <v>5</v>
      </c>
      <c r="T604">
        <f t="array" ref="T604">INDEX(INCVALUES,$Q604,$K$1)</f>
        <v>0.5</v>
      </c>
      <c r="V604">
        <f t="array" ref="V604">+J604+(4*(INDEX(MatchScoreTable,$Q604,20)-1))</f>
        <v>4</v>
      </c>
      <c r="W604" s="442">
        <f t="array" ref="W604">INDEX(INC_MINVALUES,$V604,$K$1)</f>
        <v>2.5</v>
      </c>
      <c r="X604" s="212">
        <f t="array" ref="X604">INDEX(INC_INCVALUES,$V604,$K$1)</f>
        <v>0.5</v>
      </c>
    </row>
    <row r="605" ht="15.75" customHeight="1">
      <c r="A605" s="435"/>
      <c r="B605" s="436"/>
      <c r="C605" s="95" t="str">
        <f t="array" ref="C605">IF(I605&gt;0,INDEX(DB,I605,8),"")</f>
        <v/>
      </c>
      <c r="D605" s="437">
        <f t="shared" si="1"/>
        <v>0</v>
      </c>
      <c r="F605" s="438">
        <f t="shared" si="2"/>
        <v>0</v>
      </c>
      <c r="G605" t="str">
        <f t="shared" si="3"/>
        <v/>
      </c>
      <c r="H605" t="b">
        <f t="shared" si="4"/>
        <v>0</v>
      </c>
      <c r="I605" s="439">
        <f>IF(OR(ISBLANK(A605),ISNA(MATCH(A605&amp;"",AthleteNumbers,0))),0,MATCH(A605&amp;"",AthleteNumbers,0))</f>
        <v>0</v>
      </c>
      <c r="J605" s="209">
        <f t="array" ref="J605">IF(I605&gt;0,INDEX(DB,$I605,6),0)</f>
        <v>0</v>
      </c>
      <c r="K605" s="446">
        <f t="shared" si="5"/>
        <v>0</v>
      </c>
      <c r="L605" s="446">
        <f t="shared" si="6"/>
        <v>0</v>
      </c>
      <c r="M605" s="441">
        <f>IF(L605&lt;O605,MinPoints,IF(AND(L605&gt;N605,O605&gt;0),100,+INT(($L605-O605)/P605)+MinPoints))</f>
        <v>10</v>
      </c>
      <c r="N605" s="440">
        <f t="shared" si="7"/>
        <v>50</v>
      </c>
      <c r="O605" s="440">
        <f t="shared" si="8"/>
        <v>5</v>
      </c>
      <c r="P605" s="440">
        <f t="shared" si="9"/>
        <v>0.5</v>
      </c>
      <c r="Q605">
        <f t="array" ref="Q605">IF(I605&gt;0,INDEX(DB,I605,9),EventIndex)</f>
        <v>6</v>
      </c>
      <c r="S605" s="442">
        <f t="array" ref="S605">INDEX(MINVALUES,$Q605,$K$1)</f>
        <v>5</v>
      </c>
      <c r="T605">
        <f t="array" ref="T605">INDEX(INCVALUES,$Q605,$K$1)</f>
        <v>0.5</v>
      </c>
      <c r="V605">
        <f t="array" ref="V605">+J605+(4*(INDEX(MatchScoreTable,$Q605,20)-1))</f>
        <v>4</v>
      </c>
      <c r="W605" s="442">
        <f t="array" ref="W605">INDEX(INC_MINVALUES,$V605,$K$1)</f>
        <v>2.5</v>
      </c>
      <c r="X605" s="212">
        <f t="array" ref="X605">INDEX(INC_INCVALUES,$V605,$K$1)</f>
        <v>0.5</v>
      </c>
    </row>
    <row r="606" ht="15.75" customHeight="1">
      <c r="A606" s="435"/>
      <c r="B606" s="436"/>
      <c r="C606" s="95" t="str">
        <f t="array" ref="C606">IF(I606&gt;0,INDEX(DB,I606,8),"")</f>
        <v/>
      </c>
      <c r="D606" s="437">
        <f t="shared" si="1"/>
        <v>0</v>
      </c>
      <c r="F606" s="438">
        <f t="shared" si="2"/>
        <v>0</v>
      </c>
      <c r="G606" t="str">
        <f t="shared" si="3"/>
        <v/>
      </c>
      <c r="H606" t="b">
        <f t="shared" si="4"/>
        <v>0</v>
      </c>
      <c r="I606" s="439">
        <f>IF(OR(ISBLANK(A606),ISNA(MATCH(A606&amp;"",AthleteNumbers,0))),0,MATCH(A606&amp;"",AthleteNumbers,0))</f>
        <v>0</v>
      </c>
      <c r="J606" s="209">
        <f t="array" ref="J606">IF(I606&gt;0,INDEX(DB,$I606,6),0)</f>
        <v>0</v>
      </c>
      <c r="K606" s="446">
        <f t="shared" si="5"/>
        <v>0</v>
      </c>
      <c r="L606" s="446">
        <f t="shared" si="6"/>
        <v>0</v>
      </c>
      <c r="M606" s="441">
        <f>IF(L606&lt;O606,MinPoints,IF(AND(L606&gt;N606,O606&gt;0),100,+INT(($L606-O606)/P606)+MinPoints))</f>
        <v>10</v>
      </c>
      <c r="N606" s="440">
        <f t="shared" si="7"/>
        <v>50</v>
      </c>
      <c r="O606" s="440">
        <f t="shared" si="8"/>
        <v>5</v>
      </c>
      <c r="P606" s="440">
        <f t="shared" si="9"/>
        <v>0.5</v>
      </c>
      <c r="Q606">
        <f t="array" ref="Q606">IF(I606&gt;0,INDEX(DB,I606,9),EventIndex)</f>
        <v>6</v>
      </c>
      <c r="S606" s="442">
        <f t="array" ref="S606">INDEX(MINVALUES,$Q606,$K$1)</f>
        <v>5</v>
      </c>
      <c r="T606">
        <f t="array" ref="T606">INDEX(INCVALUES,$Q606,$K$1)</f>
        <v>0.5</v>
      </c>
      <c r="V606">
        <f t="array" ref="V606">+J606+(4*(INDEX(MatchScoreTable,$Q606,20)-1))</f>
        <v>4</v>
      </c>
      <c r="W606" s="442">
        <f t="array" ref="W606">INDEX(INC_MINVALUES,$V606,$K$1)</f>
        <v>2.5</v>
      </c>
      <c r="X606" s="212">
        <f t="array" ref="X606">INDEX(INC_INCVALUES,$V606,$K$1)</f>
        <v>0.5</v>
      </c>
    </row>
    <row r="607" ht="15.75" customHeight="1">
      <c r="A607" s="435"/>
      <c r="B607" s="436"/>
      <c r="C607" s="95" t="str">
        <f t="array" ref="C607">IF(I607&gt;0,INDEX(DB,I607,8),"")</f>
        <v/>
      </c>
      <c r="D607" s="437">
        <f t="shared" si="1"/>
        <v>0</v>
      </c>
      <c r="F607" s="438">
        <f t="shared" si="2"/>
        <v>0</v>
      </c>
      <c r="G607" t="str">
        <f t="shared" si="3"/>
        <v/>
      </c>
      <c r="H607" t="b">
        <f t="shared" si="4"/>
        <v>0</v>
      </c>
      <c r="I607" s="439">
        <f>IF(OR(ISBLANK(A607),ISNA(MATCH(A607&amp;"",AthleteNumbers,0))),0,MATCH(A607&amp;"",AthleteNumbers,0))</f>
        <v>0</v>
      </c>
      <c r="J607" s="209">
        <f t="array" ref="J607">IF(I607&gt;0,INDEX(DB,$I607,6),0)</f>
        <v>0</v>
      </c>
      <c r="K607" s="446">
        <f t="shared" si="5"/>
        <v>0</v>
      </c>
      <c r="L607" s="446">
        <f t="shared" si="6"/>
        <v>0</v>
      </c>
      <c r="M607" s="441">
        <f>IF(L607&lt;O607,MinPoints,IF(AND(L607&gt;N607,O607&gt;0),100,+INT(($L607-O607)/P607)+MinPoints))</f>
        <v>10</v>
      </c>
      <c r="N607" s="440">
        <f t="shared" si="7"/>
        <v>50</v>
      </c>
      <c r="O607" s="440">
        <f t="shared" si="8"/>
        <v>5</v>
      </c>
      <c r="P607" s="440">
        <f t="shared" si="9"/>
        <v>0.5</v>
      </c>
      <c r="Q607">
        <f t="array" ref="Q607">IF(I607&gt;0,INDEX(DB,I607,9),EventIndex)</f>
        <v>6</v>
      </c>
      <c r="S607" s="442">
        <f t="array" ref="S607">INDEX(MINVALUES,$Q607,$K$1)</f>
        <v>5</v>
      </c>
      <c r="T607">
        <f t="array" ref="T607">INDEX(INCVALUES,$Q607,$K$1)</f>
        <v>0.5</v>
      </c>
      <c r="V607">
        <f t="array" ref="V607">+J607+(4*(INDEX(MatchScoreTable,$Q607,20)-1))</f>
        <v>4</v>
      </c>
      <c r="W607" s="442">
        <f t="array" ref="W607">INDEX(INC_MINVALUES,$V607,$K$1)</f>
        <v>2.5</v>
      </c>
      <c r="X607" s="212">
        <f t="array" ref="X607">INDEX(INC_INCVALUES,$V607,$K$1)</f>
        <v>0.5</v>
      </c>
    </row>
    <row r="608" ht="15.75" customHeight="1">
      <c r="A608" s="435"/>
      <c r="B608" s="436"/>
      <c r="C608" s="95" t="str">
        <f t="array" ref="C608">IF(I608&gt;0,INDEX(DB,I608,8),"")</f>
        <v/>
      </c>
      <c r="D608" s="437">
        <f t="shared" si="1"/>
        <v>0</v>
      </c>
      <c r="F608" s="438">
        <f t="shared" si="2"/>
        <v>0</v>
      </c>
      <c r="G608" t="str">
        <f t="shared" si="3"/>
        <v/>
      </c>
      <c r="H608" t="b">
        <f t="shared" si="4"/>
        <v>0</v>
      </c>
      <c r="I608" s="439">
        <f>IF(OR(ISBLANK(A608),ISNA(MATCH(A608&amp;"",AthleteNumbers,0))),0,MATCH(A608&amp;"",AthleteNumbers,0))</f>
        <v>0</v>
      </c>
      <c r="J608" s="209">
        <f t="array" ref="J608">IF(I608&gt;0,INDEX(DB,$I608,6),0)</f>
        <v>0</v>
      </c>
      <c r="K608" s="446">
        <f t="shared" si="5"/>
        <v>0</v>
      </c>
      <c r="L608" s="446">
        <f t="shared" si="6"/>
        <v>0</v>
      </c>
      <c r="M608" s="441">
        <f>IF(L608&lt;O608,MinPoints,IF(AND(L608&gt;N608,O608&gt;0),100,+INT(($L608-O608)/P608)+MinPoints))</f>
        <v>10</v>
      </c>
      <c r="N608" s="440">
        <f t="shared" si="7"/>
        <v>50</v>
      </c>
      <c r="O608" s="440">
        <f t="shared" si="8"/>
        <v>5</v>
      </c>
      <c r="P608" s="440">
        <f t="shared" si="9"/>
        <v>0.5</v>
      </c>
      <c r="Q608">
        <f t="array" ref="Q608">IF(I608&gt;0,INDEX(DB,I608,9),EventIndex)</f>
        <v>6</v>
      </c>
      <c r="S608" s="442">
        <f t="array" ref="S608">INDEX(MINVALUES,$Q608,$K$1)</f>
        <v>5</v>
      </c>
      <c r="T608">
        <f t="array" ref="T608">INDEX(INCVALUES,$Q608,$K$1)</f>
        <v>0.5</v>
      </c>
      <c r="V608">
        <f t="array" ref="V608">+J608+(4*(INDEX(MatchScoreTable,$Q608,20)-1))</f>
        <v>4</v>
      </c>
      <c r="W608" s="442">
        <f t="array" ref="W608">INDEX(INC_MINVALUES,$V608,$K$1)</f>
        <v>2.5</v>
      </c>
      <c r="X608" s="212">
        <f t="array" ref="X608">INDEX(INC_INCVALUES,$V608,$K$1)</f>
        <v>0.5</v>
      </c>
    </row>
    <row r="609" ht="15.75" customHeight="1">
      <c r="A609" s="435"/>
      <c r="B609" s="436"/>
      <c r="C609" s="95" t="str">
        <f t="array" ref="C609">IF(I609&gt;0,INDEX(DB,I609,8),"")</f>
        <v/>
      </c>
      <c r="D609" s="437">
        <f t="shared" si="1"/>
        <v>0</v>
      </c>
      <c r="F609" s="438">
        <f t="shared" si="2"/>
        <v>0</v>
      </c>
      <c r="G609" t="str">
        <f t="shared" si="3"/>
        <v/>
      </c>
      <c r="H609" t="b">
        <f t="shared" si="4"/>
        <v>0</v>
      </c>
      <c r="I609" s="439">
        <f>IF(OR(ISBLANK(A609),ISNA(MATCH(A609&amp;"",AthleteNumbers,0))),0,MATCH(A609&amp;"",AthleteNumbers,0))</f>
        <v>0</v>
      </c>
      <c r="J609" s="209">
        <f t="array" ref="J609">IF(I609&gt;0,INDEX(DB,$I609,6),0)</f>
        <v>0</v>
      </c>
      <c r="K609" s="446">
        <f t="shared" si="5"/>
        <v>0</v>
      </c>
      <c r="L609" s="446">
        <f t="shared" si="6"/>
        <v>0</v>
      </c>
      <c r="M609" s="441">
        <f>IF(L609&lt;O609,MinPoints,IF(AND(L609&gt;N609,O609&gt;0),100,+INT(($L609-O609)/P609)+MinPoints))</f>
        <v>10</v>
      </c>
      <c r="N609" s="440">
        <f t="shared" si="7"/>
        <v>50</v>
      </c>
      <c r="O609" s="440">
        <f t="shared" si="8"/>
        <v>5</v>
      </c>
      <c r="P609" s="440">
        <f t="shared" si="9"/>
        <v>0.5</v>
      </c>
      <c r="Q609">
        <f t="array" ref="Q609">IF(I609&gt;0,INDEX(DB,I609,9),EventIndex)</f>
        <v>6</v>
      </c>
      <c r="S609" s="442">
        <f t="array" ref="S609">INDEX(MINVALUES,$Q609,$K$1)</f>
        <v>5</v>
      </c>
      <c r="T609">
        <f t="array" ref="T609">INDEX(INCVALUES,$Q609,$K$1)</f>
        <v>0.5</v>
      </c>
      <c r="V609">
        <f t="array" ref="V609">+J609+(4*(INDEX(MatchScoreTable,$Q609,20)-1))</f>
        <v>4</v>
      </c>
      <c r="W609" s="442">
        <f t="array" ref="W609">INDEX(INC_MINVALUES,$V609,$K$1)</f>
        <v>2.5</v>
      </c>
      <c r="X609" s="212">
        <f t="array" ref="X609">INDEX(INC_INCVALUES,$V609,$K$1)</f>
        <v>0.5</v>
      </c>
    </row>
    <row r="610" ht="15.75" customHeight="1">
      <c r="A610" s="435"/>
      <c r="B610" s="436"/>
      <c r="C610" s="95" t="str">
        <f t="array" ref="C610">IF(I610&gt;0,INDEX(DB,I610,8),"")</f>
        <v/>
      </c>
      <c r="D610" s="437">
        <f t="shared" si="1"/>
        <v>0</v>
      </c>
      <c r="F610" s="438">
        <f t="shared" si="2"/>
        <v>0</v>
      </c>
      <c r="G610" t="str">
        <f t="shared" si="3"/>
        <v/>
      </c>
      <c r="H610" t="b">
        <f t="shared" si="4"/>
        <v>0</v>
      </c>
      <c r="I610" s="439">
        <f>IF(OR(ISBLANK(A610),ISNA(MATCH(A610&amp;"",AthleteNumbers,0))),0,MATCH(A610&amp;"",AthleteNumbers,0))</f>
        <v>0</v>
      </c>
      <c r="J610" s="209">
        <f t="array" ref="J610">IF(I610&gt;0,INDEX(DB,$I610,6),0)</f>
        <v>0</v>
      </c>
      <c r="K610" s="446">
        <f t="shared" si="5"/>
        <v>0</v>
      </c>
      <c r="L610" s="446">
        <f t="shared" si="6"/>
        <v>0</v>
      </c>
      <c r="M610" s="441">
        <f>IF(L610&lt;O610,MinPoints,IF(AND(L610&gt;N610,O610&gt;0),100,+INT(($L610-O610)/P610)+MinPoints))</f>
        <v>10</v>
      </c>
      <c r="N610" s="440">
        <f t="shared" si="7"/>
        <v>50</v>
      </c>
      <c r="O610" s="440">
        <f t="shared" si="8"/>
        <v>5</v>
      </c>
      <c r="P610" s="440">
        <f t="shared" si="9"/>
        <v>0.5</v>
      </c>
      <c r="Q610">
        <f t="array" ref="Q610">IF(I610&gt;0,INDEX(DB,I610,9),EventIndex)</f>
        <v>6</v>
      </c>
      <c r="S610" s="442">
        <f t="array" ref="S610">INDEX(MINVALUES,$Q610,$K$1)</f>
        <v>5</v>
      </c>
      <c r="T610">
        <f t="array" ref="T610">INDEX(INCVALUES,$Q610,$K$1)</f>
        <v>0.5</v>
      </c>
      <c r="V610">
        <f t="array" ref="V610">+J610+(4*(INDEX(MatchScoreTable,$Q610,20)-1))</f>
        <v>4</v>
      </c>
      <c r="W610" s="442">
        <f t="array" ref="W610">INDEX(INC_MINVALUES,$V610,$K$1)</f>
        <v>2.5</v>
      </c>
      <c r="X610" s="212">
        <f t="array" ref="X610">INDEX(INC_INCVALUES,$V610,$K$1)</f>
        <v>0.5</v>
      </c>
    </row>
    <row r="611" ht="15.75" customHeight="1">
      <c r="A611" s="435"/>
      <c r="B611" s="436"/>
      <c r="C611" s="95" t="str">
        <f t="array" ref="C611">IF(I611&gt;0,INDEX(DB,I611,8),"")</f>
        <v/>
      </c>
      <c r="D611" s="437">
        <f t="shared" si="1"/>
        <v>0</v>
      </c>
      <c r="F611" s="438">
        <f t="shared" si="2"/>
        <v>0</v>
      </c>
      <c r="G611" t="str">
        <f t="shared" si="3"/>
        <v/>
      </c>
      <c r="H611" t="b">
        <f t="shared" si="4"/>
        <v>0</v>
      </c>
      <c r="I611" s="439">
        <f>IF(OR(ISBLANK(A611),ISNA(MATCH(A611&amp;"",AthleteNumbers,0))),0,MATCH(A611&amp;"",AthleteNumbers,0))</f>
        <v>0</v>
      </c>
      <c r="J611" s="209">
        <f t="array" ref="J611">IF(I611&gt;0,INDEX(DB,$I611,6),0)</f>
        <v>0</v>
      </c>
      <c r="K611" s="446">
        <f t="shared" si="5"/>
        <v>0</v>
      </c>
      <c r="L611" s="446">
        <f t="shared" si="6"/>
        <v>0</v>
      </c>
      <c r="M611" s="441">
        <f>IF(L611&lt;O611,MinPoints,IF(AND(L611&gt;N611,O611&gt;0),100,+INT(($L611-O611)/P611)+MinPoints))</f>
        <v>10</v>
      </c>
      <c r="N611" s="440">
        <f t="shared" si="7"/>
        <v>50</v>
      </c>
      <c r="O611" s="440">
        <f t="shared" si="8"/>
        <v>5</v>
      </c>
      <c r="P611" s="440">
        <f t="shared" si="9"/>
        <v>0.5</v>
      </c>
      <c r="Q611">
        <f t="array" ref="Q611">IF(I611&gt;0,INDEX(DB,I611,9),EventIndex)</f>
        <v>6</v>
      </c>
      <c r="S611" s="442">
        <f t="array" ref="S611">INDEX(MINVALUES,$Q611,$K$1)</f>
        <v>5</v>
      </c>
      <c r="T611">
        <f t="array" ref="T611">INDEX(INCVALUES,$Q611,$K$1)</f>
        <v>0.5</v>
      </c>
      <c r="V611">
        <f t="array" ref="V611">+J611+(4*(INDEX(MatchScoreTable,$Q611,20)-1))</f>
        <v>4</v>
      </c>
      <c r="W611" s="442">
        <f t="array" ref="W611">INDEX(INC_MINVALUES,$V611,$K$1)</f>
        <v>2.5</v>
      </c>
      <c r="X611" s="212">
        <f t="array" ref="X611">INDEX(INC_INCVALUES,$V611,$K$1)</f>
        <v>0.5</v>
      </c>
    </row>
    <row r="612" ht="15.75" customHeight="1">
      <c r="A612" s="435"/>
      <c r="B612" s="436"/>
      <c r="C612" s="95" t="str">
        <f t="array" ref="C612">IF(I612&gt;0,INDEX(DB,I612,8),"")</f>
        <v/>
      </c>
      <c r="D612" s="437">
        <f t="shared" si="1"/>
        <v>0</v>
      </c>
      <c r="F612" s="438">
        <f t="shared" si="2"/>
        <v>0</v>
      </c>
      <c r="G612" t="str">
        <f t="shared" si="3"/>
        <v/>
      </c>
      <c r="H612" t="b">
        <f t="shared" si="4"/>
        <v>0</v>
      </c>
      <c r="I612" s="439">
        <f>IF(OR(ISBLANK(A612),ISNA(MATCH(A612&amp;"",AthleteNumbers,0))),0,MATCH(A612&amp;"",AthleteNumbers,0))</f>
        <v>0</v>
      </c>
      <c r="J612" s="209">
        <f t="array" ref="J612">IF(I612&gt;0,INDEX(DB,$I612,6),0)</f>
        <v>0</v>
      </c>
      <c r="K612" s="446">
        <f t="shared" si="5"/>
        <v>0</v>
      </c>
      <c r="L612" s="446">
        <f t="shared" si="6"/>
        <v>0</v>
      </c>
      <c r="M612" s="441">
        <f>IF(L612&lt;O612,MinPoints,IF(AND(L612&gt;N612,O612&gt;0),100,+INT(($L612-O612)/P612)+MinPoints))</f>
        <v>10</v>
      </c>
      <c r="N612" s="440">
        <f t="shared" si="7"/>
        <v>50</v>
      </c>
      <c r="O612" s="440">
        <f t="shared" si="8"/>
        <v>5</v>
      </c>
      <c r="P612" s="440">
        <f t="shared" si="9"/>
        <v>0.5</v>
      </c>
      <c r="Q612">
        <f t="array" ref="Q612">IF(I612&gt;0,INDEX(DB,I612,9),EventIndex)</f>
        <v>6</v>
      </c>
      <c r="S612" s="442">
        <f t="array" ref="S612">INDEX(MINVALUES,$Q612,$K$1)</f>
        <v>5</v>
      </c>
      <c r="T612">
        <f t="array" ref="T612">INDEX(INCVALUES,$Q612,$K$1)</f>
        <v>0.5</v>
      </c>
      <c r="V612">
        <f t="array" ref="V612">+J612+(4*(INDEX(MatchScoreTable,$Q612,20)-1))</f>
        <v>4</v>
      </c>
      <c r="W612" s="442">
        <f t="array" ref="W612">INDEX(INC_MINVALUES,$V612,$K$1)</f>
        <v>2.5</v>
      </c>
      <c r="X612" s="212">
        <f t="array" ref="X612">INDEX(INC_INCVALUES,$V612,$K$1)</f>
        <v>0.5</v>
      </c>
    </row>
    <row r="613" ht="15.75" customHeight="1">
      <c r="A613" s="435"/>
      <c r="B613" s="436"/>
      <c r="C613" s="95" t="str">
        <f t="array" ref="C613">IF(I613&gt;0,INDEX(DB,I613,8),"")</f>
        <v/>
      </c>
      <c r="D613" s="437">
        <f t="shared" si="1"/>
        <v>0</v>
      </c>
      <c r="F613" s="438">
        <f t="shared" si="2"/>
        <v>0</v>
      </c>
      <c r="G613" t="str">
        <f t="shared" si="3"/>
        <v/>
      </c>
      <c r="H613" t="b">
        <f t="shared" si="4"/>
        <v>0</v>
      </c>
      <c r="I613" s="439">
        <f>IF(OR(ISBLANK(A613),ISNA(MATCH(A613&amp;"",AthleteNumbers,0))),0,MATCH(A613&amp;"",AthleteNumbers,0))</f>
        <v>0</v>
      </c>
      <c r="J613" s="209">
        <f t="array" ref="J613">IF(I613&gt;0,INDEX(DB,$I613,6),0)</f>
        <v>0</v>
      </c>
      <c r="K613" s="446">
        <f t="shared" si="5"/>
        <v>0</v>
      </c>
      <c r="L613" s="446">
        <f t="shared" si="6"/>
        <v>0</v>
      </c>
      <c r="M613" s="441">
        <f>IF(L613&lt;O613,MinPoints,IF(AND(L613&gt;N613,O613&gt;0),100,+INT(($L613-O613)/P613)+MinPoints))</f>
        <v>10</v>
      </c>
      <c r="N613" s="440">
        <f t="shared" si="7"/>
        <v>50</v>
      </c>
      <c r="O613" s="440">
        <f t="shared" si="8"/>
        <v>5</v>
      </c>
      <c r="P613" s="440">
        <f t="shared" si="9"/>
        <v>0.5</v>
      </c>
      <c r="Q613">
        <f t="array" ref="Q613">IF(I613&gt;0,INDEX(DB,I613,9),EventIndex)</f>
        <v>6</v>
      </c>
      <c r="S613" s="442">
        <f t="array" ref="S613">INDEX(MINVALUES,$Q613,$K$1)</f>
        <v>5</v>
      </c>
      <c r="T613">
        <f t="array" ref="T613">INDEX(INCVALUES,$Q613,$K$1)</f>
        <v>0.5</v>
      </c>
      <c r="V613">
        <f t="array" ref="V613">+J613+(4*(INDEX(MatchScoreTable,$Q613,20)-1))</f>
        <v>4</v>
      </c>
      <c r="W613" s="442">
        <f t="array" ref="W613">INDEX(INC_MINVALUES,$V613,$K$1)</f>
        <v>2.5</v>
      </c>
      <c r="X613" s="212">
        <f t="array" ref="X613">INDEX(INC_INCVALUES,$V613,$K$1)</f>
        <v>0.5</v>
      </c>
    </row>
    <row r="614" ht="15.75" customHeight="1">
      <c r="A614" s="435"/>
      <c r="B614" s="436"/>
      <c r="C614" s="95" t="str">
        <f t="array" ref="C614">IF(I614&gt;0,INDEX(DB,I614,8),"")</f>
        <v/>
      </c>
      <c r="D614" s="437">
        <f t="shared" si="1"/>
        <v>0</v>
      </c>
      <c r="F614" s="438">
        <f t="shared" si="2"/>
        <v>0</v>
      </c>
      <c r="G614" t="str">
        <f t="shared" si="3"/>
        <v/>
      </c>
      <c r="H614" t="b">
        <f t="shared" si="4"/>
        <v>0</v>
      </c>
      <c r="I614" s="439">
        <f>IF(OR(ISBLANK(A614),ISNA(MATCH(A614&amp;"",AthleteNumbers,0))),0,MATCH(A614&amp;"",AthleteNumbers,0))</f>
        <v>0</v>
      </c>
      <c r="J614" s="209">
        <f t="array" ref="J614">IF(I614&gt;0,INDEX(DB,$I614,6),0)</f>
        <v>0</v>
      </c>
      <c r="K614" s="446">
        <f t="shared" si="5"/>
        <v>0</v>
      </c>
      <c r="L614" s="446">
        <f t="shared" si="6"/>
        <v>0</v>
      </c>
      <c r="M614" s="441">
        <f>IF(L614&lt;O614,MinPoints,IF(AND(L614&gt;N614,O614&gt;0),100,+INT(($L614-O614)/P614)+MinPoints))</f>
        <v>10</v>
      </c>
      <c r="N614" s="440">
        <f t="shared" si="7"/>
        <v>50</v>
      </c>
      <c r="O614" s="440">
        <f t="shared" si="8"/>
        <v>5</v>
      </c>
      <c r="P614" s="440">
        <f t="shared" si="9"/>
        <v>0.5</v>
      </c>
      <c r="Q614">
        <f t="array" ref="Q614">IF(I614&gt;0,INDEX(DB,I614,9),EventIndex)</f>
        <v>6</v>
      </c>
      <c r="S614" s="442">
        <f t="array" ref="S614">INDEX(MINVALUES,$Q614,$K$1)</f>
        <v>5</v>
      </c>
      <c r="T614">
        <f t="array" ref="T614">INDEX(INCVALUES,$Q614,$K$1)</f>
        <v>0.5</v>
      </c>
      <c r="V614">
        <f t="array" ref="V614">+J614+(4*(INDEX(MatchScoreTable,$Q614,20)-1))</f>
        <v>4</v>
      </c>
      <c r="W614" s="442">
        <f t="array" ref="W614">INDEX(INC_MINVALUES,$V614,$K$1)</f>
        <v>2.5</v>
      </c>
      <c r="X614" s="212">
        <f t="array" ref="X614">INDEX(INC_INCVALUES,$V614,$K$1)</f>
        <v>0.5</v>
      </c>
    </row>
    <row r="615" ht="15.75" customHeight="1">
      <c r="A615" s="435"/>
      <c r="B615" s="436"/>
      <c r="C615" s="95" t="str">
        <f t="array" ref="C615">IF(I615&gt;0,INDEX(DB,I615,8),"")</f>
        <v/>
      </c>
      <c r="D615" s="437">
        <f t="shared" si="1"/>
        <v>0</v>
      </c>
      <c r="F615" s="438">
        <f t="shared" si="2"/>
        <v>0</v>
      </c>
      <c r="G615" t="str">
        <f t="shared" si="3"/>
        <v/>
      </c>
      <c r="H615" t="b">
        <f t="shared" si="4"/>
        <v>0</v>
      </c>
      <c r="I615" s="439">
        <f>IF(OR(ISBLANK(A615),ISNA(MATCH(A615&amp;"",AthleteNumbers,0))),0,MATCH(A615&amp;"",AthleteNumbers,0))</f>
        <v>0</v>
      </c>
      <c r="J615" s="209">
        <f t="array" ref="J615">IF(I615&gt;0,INDEX(DB,$I615,6),0)</f>
        <v>0</v>
      </c>
      <c r="K615" s="446">
        <f t="shared" si="5"/>
        <v>0</v>
      </c>
      <c r="L615" s="446">
        <f t="shared" si="6"/>
        <v>0</v>
      </c>
      <c r="M615" s="441">
        <f>IF(L615&lt;O615,MinPoints,IF(AND(L615&gt;N615,O615&gt;0),100,+INT(($L615-O615)/P615)+MinPoints))</f>
        <v>10</v>
      </c>
      <c r="N615" s="440">
        <f t="shared" si="7"/>
        <v>50</v>
      </c>
      <c r="O615" s="440">
        <f t="shared" si="8"/>
        <v>5</v>
      </c>
      <c r="P615" s="440">
        <f t="shared" si="9"/>
        <v>0.5</v>
      </c>
      <c r="Q615">
        <f t="array" ref="Q615">IF(I615&gt;0,INDEX(DB,I615,9),EventIndex)</f>
        <v>6</v>
      </c>
      <c r="S615" s="442">
        <f t="array" ref="S615">INDEX(MINVALUES,$Q615,$K$1)</f>
        <v>5</v>
      </c>
      <c r="T615">
        <f t="array" ref="T615">INDEX(INCVALUES,$Q615,$K$1)</f>
        <v>0.5</v>
      </c>
      <c r="V615">
        <f t="array" ref="V615">+J615+(4*(INDEX(MatchScoreTable,$Q615,20)-1))</f>
        <v>4</v>
      </c>
      <c r="W615" s="442">
        <f t="array" ref="W615">INDEX(INC_MINVALUES,$V615,$K$1)</f>
        <v>2.5</v>
      </c>
      <c r="X615" s="212">
        <f t="array" ref="X615">INDEX(INC_INCVALUES,$V615,$K$1)</f>
        <v>0.5</v>
      </c>
    </row>
    <row r="616" ht="15.75" customHeight="1">
      <c r="A616" s="435"/>
      <c r="B616" s="436"/>
      <c r="C616" s="95" t="str">
        <f t="array" ref="C616">IF(I616&gt;0,INDEX(DB,I616,8),"")</f>
        <v/>
      </c>
      <c r="D616" s="437">
        <f t="shared" si="1"/>
        <v>0</v>
      </c>
      <c r="F616" s="438">
        <f t="shared" si="2"/>
        <v>0</v>
      </c>
      <c r="G616" t="str">
        <f t="shared" si="3"/>
        <v/>
      </c>
      <c r="H616" t="b">
        <f t="shared" si="4"/>
        <v>0</v>
      </c>
      <c r="I616" s="439">
        <f>IF(OR(ISBLANK(A616),ISNA(MATCH(A616&amp;"",AthleteNumbers,0))),0,MATCH(A616&amp;"",AthleteNumbers,0))</f>
        <v>0</v>
      </c>
      <c r="J616" s="209">
        <f t="array" ref="J616">IF(I616&gt;0,INDEX(DB,$I616,6),0)</f>
        <v>0</v>
      </c>
      <c r="K616" s="446">
        <f t="shared" si="5"/>
        <v>0</v>
      </c>
      <c r="L616" s="446">
        <f t="shared" si="6"/>
        <v>0</v>
      </c>
      <c r="M616" s="441">
        <f>IF(L616&lt;O616,MinPoints,IF(AND(L616&gt;N616,O616&gt;0),100,+INT(($L616-O616)/P616)+MinPoints))</f>
        <v>10</v>
      </c>
      <c r="N616" s="440">
        <f t="shared" si="7"/>
        <v>50</v>
      </c>
      <c r="O616" s="440">
        <f t="shared" si="8"/>
        <v>5</v>
      </c>
      <c r="P616" s="440">
        <f t="shared" si="9"/>
        <v>0.5</v>
      </c>
      <c r="Q616">
        <f t="array" ref="Q616">IF(I616&gt;0,INDEX(DB,I616,9),EventIndex)</f>
        <v>6</v>
      </c>
      <c r="S616" s="442">
        <f t="array" ref="S616">INDEX(MINVALUES,$Q616,$K$1)</f>
        <v>5</v>
      </c>
      <c r="T616">
        <f t="array" ref="T616">INDEX(INCVALUES,$Q616,$K$1)</f>
        <v>0.5</v>
      </c>
      <c r="V616">
        <f t="array" ref="V616">+J616+(4*(INDEX(MatchScoreTable,$Q616,20)-1))</f>
        <v>4</v>
      </c>
      <c r="W616" s="442">
        <f t="array" ref="W616">INDEX(INC_MINVALUES,$V616,$K$1)</f>
        <v>2.5</v>
      </c>
      <c r="X616" s="212">
        <f t="array" ref="X616">INDEX(INC_INCVALUES,$V616,$K$1)</f>
        <v>0.5</v>
      </c>
    </row>
    <row r="617" ht="15.75" customHeight="1">
      <c r="A617" s="435"/>
      <c r="B617" s="436"/>
      <c r="C617" s="95" t="str">
        <f t="array" ref="C617">IF(I617&gt;0,INDEX(DB,I617,8),"")</f>
        <v/>
      </c>
      <c r="D617" s="437">
        <f t="shared" si="1"/>
        <v>0</v>
      </c>
      <c r="F617" s="438">
        <f t="shared" si="2"/>
        <v>0</v>
      </c>
      <c r="G617" t="str">
        <f t="shared" si="3"/>
        <v/>
      </c>
      <c r="H617" t="b">
        <f t="shared" si="4"/>
        <v>0</v>
      </c>
      <c r="I617" s="439">
        <f>IF(OR(ISBLANK(A617),ISNA(MATCH(A617&amp;"",AthleteNumbers,0))),0,MATCH(A617&amp;"",AthleteNumbers,0))</f>
        <v>0</v>
      </c>
      <c r="J617" s="209">
        <f t="array" ref="J617">IF(I617&gt;0,INDEX(DB,$I617,6),0)</f>
        <v>0</v>
      </c>
      <c r="K617" s="446">
        <f t="shared" si="5"/>
        <v>0</v>
      </c>
      <c r="L617" s="446">
        <f t="shared" si="6"/>
        <v>0</v>
      </c>
      <c r="M617" s="441">
        <f>IF(L617&lt;O617,MinPoints,IF(AND(L617&gt;N617,O617&gt;0),100,+INT(($L617-O617)/P617)+MinPoints))</f>
        <v>10</v>
      </c>
      <c r="N617" s="440">
        <f t="shared" si="7"/>
        <v>50</v>
      </c>
      <c r="O617" s="440">
        <f t="shared" si="8"/>
        <v>5</v>
      </c>
      <c r="P617" s="440">
        <f t="shared" si="9"/>
        <v>0.5</v>
      </c>
      <c r="Q617">
        <f t="array" ref="Q617">IF(I617&gt;0,INDEX(DB,I617,9),EventIndex)</f>
        <v>6</v>
      </c>
      <c r="S617" s="442">
        <f t="array" ref="S617">INDEX(MINVALUES,$Q617,$K$1)</f>
        <v>5</v>
      </c>
      <c r="T617">
        <f t="array" ref="T617">INDEX(INCVALUES,$Q617,$K$1)</f>
        <v>0.5</v>
      </c>
      <c r="V617">
        <f t="array" ref="V617">+J617+(4*(INDEX(MatchScoreTable,$Q617,20)-1))</f>
        <v>4</v>
      </c>
      <c r="W617" s="442">
        <f t="array" ref="W617">INDEX(INC_MINVALUES,$V617,$K$1)</f>
        <v>2.5</v>
      </c>
      <c r="X617" s="212">
        <f t="array" ref="X617">INDEX(INC_INCVALUES,$V617,$K$1)</f>
        <v>0.5</v>
      </c>
    </row>
    <row r="618" ht="15.75" customHeight="1">
      <c r="A618" s="435"/>
      <c r="B618" s="436"/>
      <c r="C618" s="95" t="str">
        <f t="array" ref="C618">IF(I618&gt;0,INDEX(DB,I618,8),"")</f>
        <v/>
      </c>
      <c r="D618" s="437">
        <f t="shared" si="1"/>
        <v>0</v>
      </c>
      <c r="F618" s="438">
        <f t="shared" si="2"/>
        <v>0</v>
      </c>
      <c r="G618" t="str">
        <f t="shared" si="3"/>
        <v/>
      </c>
      <c r="H618" t="b">
        <f t="shared" si="4"/>
        <v>0</v>
      </c>
      <c r="I618" s="439">
        <f>IF(OR(ISBLANK(A618),ISNA(MATCH(A618&amp;"",AthleteNumbers,0))),0,MATCH(A618&amp;"",AthleteNumbers,0))</f>
        <v>0</v>
      </c>
      <c r="J618" s="209">
        <f t="array" ref="J618">IF(I618&gt;0,INDEX(DB,$I618,6),0)</f>
        <v>0</v>
      </c>
      <c r="K618" s="446">
        <f t="shared" si="5"/>
        <v>0</v>
      </c>
      <c r="L618" s="446">
        <f t="shared" si="6"/>
        <v>0</v>
      </c>
      <c r="M618" s="441">
        <f>IF(L618&lt;O618,MinPoints,IF(AND(L618&gt;N618,O618&gt;0),100,+INT(($L618-O618)/P618)+MinPoints))</f>
        <v>10</v>
      </c>
      <c r="N618" s="440">
        <f t="shared" si="7"/>
        <v>50</v>
      </c>
      <c r="O618" s="440">
        <f t="shared" si="8"/>
        <v>5</v>
      </c>
      <c r="P618" s="440">
        <f t="shared" si="9"/>
        <v>0.5</v>
      </c>
      <c r="Q618">
        <f t="array" ref="Q618">IF(I618&gt;0,INDEX(DB,I618,9),EventIndex)</f>
        <v>6</v>
      </c>
      <c r="S618" s="442">
        <f t="array" ref="S618">INDEX(MINVALUES,$Q618,$K$1)</f>
        <v>5</v>
      </c>
      <c r="T618">
        <f t="array" ref="T618">INDEX(INCVALUES,$Q618,$K$1)</f>
        <v>0.5</v>
      </c>
      <c r="V618">
        <f t="array" ref="V618">+J618+(4*(INDEX(MatchScoreTable,$Q618,20)-1))</f>
        <v>4</v>
      </c>
      <c r="W618" s="442">
        <f t="array" ref="W618">INDEX(INC_MINVALUES,$V618,$K$1)</f>
        <v>2.5</v>
      </c>
      <c r="X618" s="212">
        <f t="array" ref="X618">INDEX(INC_INCVALUES,$V618,$K$1)</f>
        <v>0.5</v>
      </c>
    </row>
    <row r="619" ht="15.75" customHeight="1">
      <c r="A619" s="435"/>
      <c r="B619" s="436"/>
      <c r="C619" s="95" t="str">
        <f t="array" ref="C619">IF(I619&gt;0,INDEX(DB,I619,8),"")</f>
        <v/>
      </c>
      <c r="D619" s="437">
        <f t="shared" si="1"/>
        <v>0</v>
      </c>
      <c r="F619" s="438">
        <f t="shared" si="2"/>
        <v>0</v>
      </c>
      <c r="G619" t="str">
        <f t="shared" si="3"/>
        <v/>
      </c>
      <c r="H619" t="b">
        <f t="shared" si="4"/>
        <v>0</v>
      </c>
      <c r="I619" s="439">
        <f>IF(OR(ISBLANK(A619),ISNA(MATCH(A619&amp;"",AthleteNumbers,0))),0,MATCH(A619&amp;"",AthleteNumbers,0))</f>
        <v>0</v>
      </c>
      <c r="J619" s="209">
        <f t="array" ref="J619">IF(I619&gt;0,INDEX(DB,$I619,6),0)</f>
        <v>0</v>
      </c>
      <c r="K619" s="446">
        <f t="shared" si="5"/>
        <v>0</v>
      </c>
      <c r="L619" s="446">
        <f t="shared" si="6"/>
        <v>0</v>
      </c>
      <c r="M619" s="441">
        <f>IF(L619&lt;O619,MinPoints,IF(AND(L619&gt;N619,O619&gt;0),100,+INT(($L619-O619)/P619)+MinPoints))</f>
        <v>10</v>
      </c>
      <c r="N619" s="440">
        <f t="shared" si="7"/>
        <v>50</v>
      </c>
      <c r="O619" s="440">
        <f t="shared" si="8"/>
        <v>5</v>
      </c>
      <c r="P619" s="440">
        <f t="shared" si="9"/>
        <v>0.5</v>
      </c>
      <c r="Q619">
        <f t="array" ref="Q619">IF(I619&gt;0,INDEX(DB,I619,9),EventIndex)</f>
        <v>6</v>
      </c>
      <c r="S619" s="442">
        <f t="array" ref="S619">INDEX(MINVALUES,$Q619,$K$1)</f>
        <v>5</v>
      </c>
      <c r="T619">
        <f t="array" ref="T619">INDEX(INCVALUES,$Q619,$K$1)</f>
        <v>0.5</v>
      </c>
      <c r="V619">
        <f t="array" ref="V619">+J619+(4*(INDEX(MatchScoreTable,$Q619,20)-1))</f>
        <v>4</v>
      </c>
      <c r="W619" s="442">
        <f t="array" ref="W619">INDEX(INC_MINVALUES,$V619,$K$1)</f>
        <v>2.5</v>
      </c>
      <c r="X619" s="212">
        <f t="array" ref="X619">INDEX(INC_INCVALUES,$V619,$K$1)</f>
        <v>0.5</v>
      </c>
    </row>
    <row r="620" ht="15.75" customHeight="1">
      <c r="A620" s="435"/>
      <c r="B620" s="436"/>
      <c r="C620" s="95" t="str">
        <f t="array" ref="C620">IF(I620&gt;0,INDEX(DB,I620,8),"")</f>
        <v/>
      </c>
      <c r="D620" s="437">
        <f t="shared" si="1"/>
        <v>0</v>
      </c>
      <c r="F620" s="438">
        <f t="shared" si="2"/>
        <v>0</v>
      </c>
      <c r="G620" t="str">
        <f t="shared" si="3"/>
        <v/>
      </c>
      <c r="H620" t="b">
        <f t="shared" si="4"/>
        <v>0</v>
      </c>
      <c r="I620" s="439">
        <f>IF(OR(ISBLANK(A620),ISNA(MATCH(A620&amp;"",AthleteNumbers,0))),0,MATCH(A620&amp;"",AthleteNumbers,0))</f>
        <v>0</v>
      </c>
      <c r="J620" s="209">
        <f t="array" ref="J620">IF(I620&gt;0,INDEX(DB,$I620,6),0)</f>
        <v>0</v>
      </c>
      <c r="K620" s="446">
        <f t="shared" si="5"/>
        <v>0</v>
      </c>
      <c r="L620" s="446">
        <f t="shared" si="6"/>
        <v>0</v>
      </c>
      <c r="M620" s="441">
        <f>IF(L620&lt;O620,MinPoints,IF(AND(L620&gt;N620,O620&gt;0),100,+INT(($L620-O620)/P620)+MinPoints))</f>
        <v>10</v>
      </c>
      <c r="N620" s="440">
        <f t="shared" si="7"/>
        <v>50</v>
      </c>
      <c r="O620" s="440">
        <f t="shared" si="8"/>
        <v>5</v>
      </c>
      <c r="P620" s="440">
        <f t="shared" si="9"/>
        <v>0.5</v>
      </c>
      <c r="Q620">
        <f t="array" ref="Q620">IF(I620&gt;0,INDEX(DB,I620,9),EventIndex)</f>
        <v>6</v>
      </c>
      <c r="S620" s="442">
        <f t="array" ref="S620">INDEX(MINVALUES,$Q620,$K$1)</f>
        <v>5</v>
      </c>
      <c r="T620">
        <f t="array" ref="T620">INDEX(INCVALUES,$Q620,$K$1)</f>
        <v>0.5</v>
      </c>
      <c r="V620">
        <f t="array" ref="V620">+J620+(4*(INDEX(MatchScoreTable,$Q620,20)-1))</f>
        <v>4</v>
      </c>
      <c r="W620" s="442">
        <f t="array" ref="W620">INDEX(INC_MINVALUES,$V620,$K$1)</f>
        <v>2.5</v>
      </c>
      <c r="X620" s="212">
        <f t="array" ref="X620">INDEX(INC_INCVALUES,$V620,$K$1)</f>
        <v>0.5</v>
      </c>
    </row>
    <row r="621" ht="15.75" customHeight="1">
      <c r="A621" s="435"/>
      <c r="B621" s="436"/>
      <c r="C621" s="95" t="str">
        <f t="array" ref="C621">IF(I621&gt;0,INDEX(DB,I621,8),"")</f>
        <v/>
      </c>
      <c r="D621" s="437">
        <f t="shared" si="1"/>
        <v>0</v>
      </c>
      <c r="F621" s="438">
        <f t="shared" si="2"/>
        <v>0</v>
      </c>
      <c r="G621" t="str">
        <f t="shared" si="3"/>
        <v/>
      </c>
      <c r="H621" t="b">
        <f t="shared" si="4"/>
        <v>0</v>
      </c>
      <c r="I621" s="439">
        <f>IF(OR(ISBLANK(A621),ISNA(MATCH(A621&amp;"",AthleteNumbers,0))),0,MATCH(A621&amp;"",AthleteNumbers,0))</f>
        <v>0</v>
      </c>
      <c r="J621" s="209">
        <f t="array" ref="J621">IF(I621&gt;0,INDEX(DB,$I621,6),0)</f>
        <v>0</v>
      </c>
      <c r="K621" s="446">
        <f t="shared" si="5"/>
        <v>0</v>
      </c>
      <c r="L621" s="446">
        <f t="shared" si="6"/>
        <v>0</v>
      </c>
      <c r="M621" s="441">
        <f>IF(L621&lt;O621,MinPoints,IF(AND(L621&gt;N621,O621&gt;0),100,+INT(($L621-O621)/P621)+MinPoints))</f>
        <v>10</v>
      </c>
      <c r="N621" s="440">
        <f t="shared" si="7"/>
        <v>50</v>
      </c>
      <c r="O621" s="440">
        <f t="shared" si="8"/>
        <v>5</v>
      </c>
      <c r="P621" s="440">
        <f t="shared" si="9"/>
        <v>0.5</v>
      </c>
      <c r="Q621">
        <f t="array" ref="Q621">IF(I621&gt;0,INDEX(DB,I621,9),EventIndex)</f>
        <v>6</v>
      </c>
      <c r="S621" s="442">
        <f t="array" ref="S621">INDEX(MINVALUES,$Q621,$K$1)</f>
        <v>5</v>
      </c>
      <c r="T621">
        <f t="array" ref="T621">INDEX(INCVALUES,$Q621,$K$1)</f>
        <v>0.5</v>
      </c>
      <c r="V621">
        <f t="array" ref="V621">+J621+(4*(INDEX(MatchScoreTable,$Q621,20)-1))</f>
        <v>4</v>
      </c>
      <c r="W621" s="442">
        <f t="array" ref="W621">INDEX(INC_MINVALUES,$V621,$K$1)</f>
        <v>2.5</v>
      </c>
      <c r="X621" s="212">
        <f t="array" ref="X621">INDEX(INC_INCVALUES,$V621,$K$1)</f>
        <v>0.5</v>
      </c>
    </row>
    <row r="622" ht="15.75" customHeight="1">
      <c r="A622" s="435"/>
      <c r="B622" s="436"/>
      <c r="C622" s="95" t="str">
        <f t="array" ref="C622">IF(I622&gt;0,INDEX(DB,I622,8),"")</f>
        <v/>
      </c>
      <c r="D622" s="437">
        <f t="shared" si="1"/>
        <v>0</v>
      </c>
      <c r="F622" s="438">
        <f t="shared" si="2"/>
        <v>0</v>
      </c>
      <c r="G622" t="str">
        <f t="shared" si="3"/>
        <v/>
      </c>
      <c r="H622" t="b">
        <f t="shared" si="4"/>
        <v>0</v>
      </c>
      <c r="I622" s="439">
        <f>IF(OR(ISBLANK(A622),ISNA(MATCH(A622&amp;"",AthleteNumbers,0))),0,MATCH(A622&amp;"",AthleteNumbers,0))</f>
        <v>0</v>
      </c>
      <c r="J622" s="209">
        <f t="array" ref="J622">IF(I622&gt;0,INDEX(DB,$I622,6),0)</f>
        <v>0</v>
      </c>
      <c r="K622" s="446">
        <f t="shared" si="5"/>
        <v>0</v>
      </c>
      <c r="L622" s="446">
        <f t="shared" si="6"/>
        <v>0</v>
      </c>
      <c r="M622" s="441">
        <f>IF(L622&lt;O622,MinPoints,IF(AND(L622&gt;N622,O622&gt;0),100,+INT(($L622-O622)/P622)+MinPoints))</f>
        <v>10</v>
      </c>
      <c r="N622" s="440">
        <f t="shared" si="7"/>
        <v>50</v>
      </c>
      <c r="O622" s="440">
        <f t="shared" si="8"/>
        <v>5</v>
      </c>
      <c r="P622" s="440">
        <f t="shared" si="9"/>
        <v>0.5</v>
      </c>
      <c r="Q622">
        <f t="array" ref="Q622">IF(I622&gt;0,INDEX(DB,I622,9),EventIndex)</f>
        <v>6</v>
      </c>
      <c r="S622" s="442">
        <f t="array" ref="S622">INDEX(MINVALUES,$Q622,$K$1)</f>
        <v>5</v>
      </c>
      <c r="T622">
        <f t="array" ref="T622">INDEX(INCVALUES,$Q622,$K$1)</f>
        <v>0.5</v>
      </c>
      <c r="V622">
        <f t="array" ref="V622">+J622+(4*(INDEX(MatchScoreTable,$Q622,20)-1))</f>
        <v>4</v>
      </c>
      <c r="W622" s="442">
        <f t="array" ref="W622">INDEX(INC_MINVALUES,$V622,$K$1)</f>
        <v>2.5</v>
      </c>
      <c r="X622" s="212">
        <f t="array" ref="X622">INDEX(INC_INCVALUES,$V622,$K$1)</f>
        <v>0.5</v>
      </c>
    </row>
    <row r="623" ht="15.75" customHeight="1">
      <c r="A623" s="435"/>
      <c r="B623" s="436"/>
      <c r="C623" s="95" t="str">
        <f t="array" ref="C623">IF(I623&gt;0,INDEX(DB,I623,8),"")</f>
        <v/>
      </c>
      <c r="D623" s="437">
        <f t="shared" si="1"/>
        <v>0</v>
      </c>
      <c r="F623" s="438">
        <f t="shared" si="2"/>
        <v>0</v>
      </c>
      <c r="G623" t="str">
        <f t="shared" si="3"/>
        <v/>
      </c>
      <c r="H623" t="b">
        <f t="shared" si="4"/>
        <v>0</v>
      </c>
      <c r="I623" s="439">
        <f>IF(OR(ISBLANK(A623),ISNA(MATCH(A623&amp;"",AthleteNumbers,0))),0,MATCH(A623&amp;"",AthleteNumbers,0))</f>
        <v>0</v>
      </c>
      <c r="J623" s="209">
        <f t="array" ref="J623">IF(I623&gt;0,INDEX(DB,$I623,6),0)</f>
        <v>0</v>
      </c>
      <c r="K623" s="446">
        <f t="shared" si="5"/>
        <v>0</v>
      </c>
      <c r="L623" s="446">
        <f t="shared" si="6"/>
        <v>0</v>
      </c>
      <c r="M623" s="441">
        <f>IF(L623&lt;O623,MinPoints,IF(AND(L623&gt;N623,O623&gt;0),100,+INT(($L623-O623)/P623)+MinPoints))</f>
        <v>10</v>
      </c>
      <c r="N623" s="440">
        <f t="shared" si="7"/>
        <v>50</v>
      </c>
      <c r="O623" s="440">
        <f t="shared" si="8"/>
        <v>5</v>
      </c>
      <c r="P623" s="440">
        <f t="shared" si="9"/>
        <v>0.5</v>
      </c>
      <c r="Q623">
        <f t="array" ref="Q623">IF(I623&gt;0,INDEX(DB,I623,9),EventIndex)</f>
        <v>6</v>
      </c>
      <c r="S623" s="442">
        <f t="array" ref="S623">INDEX(MINVALUES,$Q623,$K$1)</f>
        <v>5</v>
      </c>
      <c r="T623">
        <f t="array" ref="T623">INDEX(INCVALUES,$Q623,$K$1)</f>
        <v>0.5</v>
      </c>
      <c r="V623">
        <f t="array" ref="V623">+J623+(4*(INDEX(MatchScoreTable,$Q623,20)-1))</f>
        <v>4</v>
      </c>
      <c r="W623" s="442">
        <f t="array" ref="W623">INDEX(INC_MINVALUES,$V623,$K$1)</f>
        <v>2.5</v>
      </c>
      <c r="X623" s="212">
        <f t="array" ref="X623">INDEX(INC_INCVALUES,$V623,$K$1)</f>
        <v>0.5</v>
      </c>
    </row>
    <row r="624" ht="15.75" customHeight="1">
      <c r="A624" s="435"/>
      <c r="B624" s="436"/>
      <c r="C624" s="95" t="str">
        <f t="array" ref="C624">IF(I624&gt;0,INDEX(DB,I624,8),"")</f>
        <v/>
      </c>
      <c r="D624" s="437">
        <f t="shared" si="1"/>
        <v>0</v>
      </c>
      <c r="F624" s="438">
        <f t="shared" si="2"/>
        <v>0</v>
      </c>
      <c r="G624" t="str">
        <f t="shared" si="3"/>
        <v/>
      </c>
      <c r="H624" t="b">
        <f t="shared" si="4"/>
        <v>0</v>
      </c>
      <c r="I624" s="439">
        <f>IF(OR(ISBLANK(A624),ISNA(MATCH(A624&amp;"",AthleteNumbers,0))),0,MATCH(A624&amp;"",AthleteNumbers,0))</f>
        <v>0</v>
      </c>
      <c r="J624" s="209">
        <f t="array" ref="J624">IF(I624&gt;0,INDEX(DB,$I624,6),0)</f>
        <v>0</v>
      </c>
      <c r="K624" s="446">
        <f t="shared" si="5"/>
        <v>0</v>
      </c>
      <c r="L624" s="446">
        <f t="shared" si="6"/>
        <v>0</v>
      </c>
      <c r="M624" s="441">
        <f>IF(L624&lt;O624,MinPoints,IF(AND(L624&gt;N624,O624&gt;0),100,+INT(($L624-O624)/P624)+MinPoints))</f>
        <v>10</v>
      </c>
      <c r="N624" s="440">
        <f t="shared" si="7"/>
        <v>50</v>
      </c>
      <c r="O624" s="440">
        <f t="shared" si="8"/>
        <v>5</v>
      </c>
      <c r="P624" s="440">
        <f t="shared" si="9"/>
        <v>0.5</v>
      </c>
      <c r="Q624">
        <f t="array" ref="Q624">IF(I624&gt;0,INDEX(DB,I624,9),EventIndex)</f>
        <v>6</v>
      </c>
      <c r="S624" s="442">
        <f t="array" ref="S624">INDEX(MINVALUES,$Q624,$K$1)</f>
        <v>5</v>
      </c>
      <c r="T624">
        <f t="array" ref="T624">INDEX(INCVALUES,$Q624,$K$1)</f>
        <v>0.5</v>
      </c>
      <c r="V624">
        <f t="array" ref="V624">+J624+(4*(INDEX(MatchScoreTable,$Q624,20)-1))</f>
        <v>4</v>
      </c>
      <c r="W624" s="442">
        <f t="array" ref="W624">INDEX(INC_MINVALUES,$V624,$K$1)</f>
        <v>2.5</v>
      </c>
      <c r="X624" s="212">
        <f t="array" ref="X624">INDEX(INC_INCVALUES,$V624,$K$1)</f>
        <v>0.5</v>
      </c>
    </row>
    <row r="625" ht="15.75" customHeight="1">
      <c r="A625" s="435"/>
      <c r="B625" s="436"/>
      <c r="C625" s="95" t="str">
        <f t="array" ref="C625">IF(I625&gt;0,INDEX(DB,I625,8),"")</f>
        <v/>
      </c>
      <c r="D625" s="437">
        <f t="shared" si="1"/>
        <v>0</v>
      </c>
      <c r="F625" s="438">
        <f t="shared" si="2"/>
        <v>0</v>
      </c>
      <c r="G625" t="str">
        <f t="shared" si="3"/>
        <v/>
      </c>
      <c r="H625" t="b">
        <f t="shared" si="4"/>
        <v>0</v>
      </c>
      <c r="I625" s="439">
        <f>IF(OR(ISBLANK(A625),ISNA(MATCH(A625&amp;"",AthleteNumbers,0))),0,MATCH(A625&amp;"",AthleteNumbers,0))</f>
        <v>0</v>
      </c>
      <c r="J625" s="209">
        <f t="array" ref="J625">IF(I625&gt;0,INDEX(DB,$I625,6),0)</f>
        <v>0</v>
      </c>
      <c r="K625" s="446">
        <f t="shared" si="5"/>
        <v>0</v>
      </c>
      <c r="L625" s="446">
        <f t="shared" si="6"/>
        <v>0</v>
      </c>
      <c r="M625" s="441">
        <f>IF(L625&lt;O625,MinPoints,IF(AND(L625&gt;N625,O625&gt;0),100,+INT(($L625-O625)/P625)+MinPoints))</f>
        <v>10</v>
      </c>
      <c r="N625" s="440">
        <f t="shared" si="7"/>
        <v>50</v>
      </c>
      <c r="O625" s="440">
        <f t="shared" si="8"/>
        <v>5</v>
      </c>
      <c r="P625" s="440">
        <f t="shared" si="9"/>
        <v>0.5</v>
      </c>
      <c r="Q625">
        <f t="array" ref="Q625">IF(I625&gt;0,INDEX(DB,I625,9),EventIndex)</f>
        <v>6</v>
      </c>
      <c r="S625" s="442">
        <f t="array" ref="S625">INDEX(MINVALUES,$Q625,$K$1)</f>
        <v>5</v>
      </c>
      <c r="T625">
        <f t="array" ref="T625">INDEX(INCVALUES,$Q625,$K$1)</f>
        <v>0.5</v>
      </c>
      <c r="V625">
        <f t="array" ref="V625">+J625+(4*(INDEX(MatchScoreTable,$Q625,20)-1))</f>
        <v>4</v>
      </c>
      <c r="W625" s="442">
        <f t="array" ref="W625">INDEX(INC_MINVALUES,$V625,$K$1)</f>
        <v>2.5</v>
      </c>
      <c r="X625" s="212">
        <f t="array" ref="X625">INDEX(INC_INCVALUES,$V625,$K$1)</f>
        <v>0.5</v>
      </c>
    </row>
    <row r="626" ht="15.75" customHeight="1">
      <c r="A626" s="435"/>
      <c r="B626" s="436"/>
      <c r="C626" s="95" t="str">
        <f t="array" ref="C626">IF(I626&gt;0,INDEX(DB,I626,8),"")</f>
        <v/>
      </c>
      <c r="D626" s="437">
        <f t="shared" si="1"/>
        <v>0</v>
      </c>
      <c r="F626" s="438">
        <f t="shared" si="2"/>
        <v>0</v>
      </c>
      <c r="G626" t="str">
        <f t="shared" si="3"/>
        <v/>
      </c>
      <c r="H626" t="b">
        <f t="shared" si="4"/>
        <v>0</v>
      </c>
      <c r="I626" s="439">
        <f>IF(OR(ISBLANK(A626),ISNA(MATCH(A626&amp;"",AthleteNumbers,0))),0,MATCH(A626&amp;"",AthleteNumbers,0))</f>
        <v>0</v>
      </c>
      <c r="J626" s="209">
        <f t="array" ref="J626">IF(I626&gt;0,INDEX(DB,$I626,6),0)</f>
        <v>0</v>
      </c>
      <c r="K626" s="446">
        <f t="shared" si="5"/>
        <v>0</v>
      </c>
      <c r="L626" s="446">
        <f t="shared" si="6"/>
        <v>0</v>
      </c>
      <c r="M626" s="441">
        <f>IF(L626&lt;O626,MinPoints,IF(AND(L626&gt;N626,O626&gt;0),100,+INT(($L626-O626)/P626)+MinPoints))</f>
        <v>10</v>
      </c>
      <c r="N626" s="440">
        <f t="shared" si="7"/>
        <v>50</v>
      </c>
      <c r="O626" s="440">
        <f t="shared" si="8"/>
        <v>5</v>
      </c>
      <c r="P626" s="440">
        <f t="shared" si="9"/>
        <v>0.5</v>
      </c>
      <c r="Q626">
        <f t="array" ref="Q626">IF(I626&gt;0,INDEX(DB,I626,9),EventIndex)</f>
        <v>6</v>
      </c>
      <c r="S626" s="442">
        <f t="array" ref="S626">INDEX(MINVALUES,$Q626,$K$1)</f>
        <v>5</v>
      </c>
      <c r="T626">
        <f t="array" ref="T626">INDEX(INCVALUES,$Q626,$K$1)</f>
        <v>0.5</v>
      </c>
      <c r="V626">
        <f t="array" ref="V626">+J626+(4*(INDEX(MatchScoreTable,$Q626,20)-1))</f>
        <v>4</v>
      </c>
      <c r="W626" s="442">
        <f t="array" ref="W626">INDEX(INC_MINVALUES,$V626,$K$1)</f>
        <v>2.5</v>
      </c>
      <c r="X626" s="212">
        <f t="array" ref="X626">INDEX(INC_INCVALUES,$V626,$K$1)</f>
        <v>0.5</v>
      </c>
    </row>
    <row r="627" ht="15.75" customHeight="1">
      <c r="A627" s="435"/>
      <c r="B627" s="436"/>
      <c r="C627" s="95" t="str">
        <f t="array" ref="C627">IF(I627&gt;0,INDEX(DB,I627,8),"")</f>
        <v/>
      </c>
      <c r="D627" s="437">
        <f t="shared" si="1"/>
        <v>0</v>
      </c>
      <c r="F627" s="438">
        <f t="shared" si="2"/>
        <v>0</v>
      </c>
      <c r="G627" t="str">
        <f t="shared" si="3"/>
        <v/>
      </c>
      <c r="H627" t="b">
        <f t="shared" si="4"/>
        <v>0</v>
      </c>
      <c r="I627" s="439">
        <f>IF(OR(ISBLANK(A627),ISNA(MATCH(A627&amp;"",AthleteNumbers,0))),0,MATCH(A627&amp;"",AthleteNumbers,0))</f>
        <v>0</v>
      </c>
      <c r="J627" s="209">
        <f t="array" ref="J627">IF(I627&gt;0,INDEX(DB,$I627,6),0)</f>
        <v>0</v>
      </c>
      <c r="K627" s="446">
        <f t="shared" si="5"/>
        <v>0</v>
      </c>
      <c r="L627" s="446">
        <f t="shared" si="6"/>
        <v>0</v>
      </c>
      <c r="M627" s="441">
        <f>IF(L627&lt;O627,MinPoints,IF(AND(L627&gt;N627,O627&gt;0),100,+INT(($L627-O627)/P627)+MinPoints))</f>
        <v>10</v>
      </c>
      <c r="N627" s="440">
        <f t="shared" si="7"/>
        <v>50</v>
      </c>
      <c r="O627" s="440">
        <f t="shared" si="8"/>
        <v>5</v>
      </c>
      <c r="P627" s="440">
        <f t="shared" si="9"/>
        <v>0.5</v>
      </c>
      <c r="Q627">
        <f t="array" ref="Q627">IF(I627&gt;0,INDEX(DB,I627,9),EventIndex)</f>
        <v>6</v>
      </c>
      <c r="S627" s="442">
        <f t="array" ref="S627">INDEX(MINVALUES,$Q627,$K$1)</f>
        <v>5</v>
      </c>
      <c r="T627">
        <f t="array" ref="T627">INDEX(INCVALUES,$Q627,$K$1)</f>
        <v>0.5</v>
      </c>
      <c r="V627">
        <f t="array" ref="V627">+J627+(4*(INDEX(MatchScoreTable,$Q627,20)-1))</f>
        <v>4</v>
      </c>
      <c r="W627" s="442">
        <f t="array" ref="W627">INDEX(INC_MINVALUES,$V627,$K$1)</f>
        <v>2.5</v>
      </c>
      <c r="X627" s="212">
        <f t="array" ref="X627">INDEX(INC_INCVALUES,$V627,$K$1)</f>
        <v>0.5</v>
      </c>
    </row>
    <row r="628" ht="15.75" customHeight="1">
      <c r="A628" s="435"/>
      <c r="B628" s="436"/>
      <c r="C628" s="95" t="str">
        <f t="array" ref="C628">IF(I628&gt;0,INDEX(DB,I628,8),"")</f>
        <v/>
      </c>
      <c r="D628" s="437">
        <f t="shared" si="1"/>
        <v>0</v>
      </c>
      <c r="F628" s="438">
        <f t="shared" si="2"/>
        <v>0</v>
      </c>
      <c r="G628" t="str">
        <f t="shared" si="3"/>
        <v/>
      </c>
      <c r="H628" t="b">
        <f t="shared" si="4"/>
        <v>0</v>
      </c>
      <c r="I628" s="439">
        <f>IF(OR(ISBLANK(A628),ISNA(MATCH(A628&amp;"",AthleteNumbers,0))),0,MATCH(A628&amp;"",AthleteNumbers,0))</f>
        <v>0</v>
      </c>
      <c r="J628" s="209">
        <f t="array" ref="J628">IF(I628&gt;0,INDEX(DB,$I628,6),0)</f>
        <v>0</v>
      </c>
      <c r="K628" s="446">
        <f t="shared" si="5"/>
        <v>0</v>
      </c>
      <c r="L628" s="446">
        <f t="shared" si="6"/>
        <v>0</v>
      </c>
      <c r="M628" s="441">
        <f>IF(L628&lt;O628,MinPoints,IF(AND(L628&gt;N628,O628&gt;0),100,+INT(($L628-O628)/P628)+MinPoints))</f>
        <v>10</v>
      </c>
      <c r="N628" s="440">
        <f t="shared" si="7"/>
        <v>50</v>
      </c>
      <c r="O628" s="440">
        <f t="shared" si="8"/>
        <v>5</v>
      </c>
      <c r="P628" s="440">
        <f t="shared" si="9"/>
        <v>0.5</v>
      </c>
      <c r="Q628">
        <f t="array" ref="Q628">IF(I628&gt;0,INDEX(DB,I628,9),EventIndex)</f>
        <v>6</v>
      </c>
      <c r="S628" s="442">
        <f t="array" ref="S628">INDEX(MINVALUES,$Q628,$K$1)</f>
        <v>5</v>
      </c>
      <c r="T628">
        <f t="array" ref="T628">INDEX(INCVALUES,$Q628,$K$1)</f>
        <v>0.5</v>
      </c>
      <c r="V628">
        <f t="array" ref="V628">+J628+(4*(INDEX(MatchScoreTable,$Q628,20)-1))</f>
        <v>4</v>
      </c>
      <c r="W628" s="442">
        <f t="array" ref="W628">INDEX(INC_MINVALUES,$V628,$K$1)</f>
        <v>2.5</v>
      </c>
      <c r="X628" s="212">
        <f t="array" ref="X628">INDEX(INC_INCVALUES,$V628,$K$1)</f>
        <v>0.5</v>
      </c>
    </row>
    <row r="629" ht="15.75" customHeight="1">
      <c r="A629" s="435"/>
      <c r="B629" s="436"/>
      <c r="C629" s="95" t="str">
        <f t="array" ref="C629">IF(I629&gt;0,INDEX(DB,I629,8),"")</f>
        <v/>
      </c>
      <c r="D629" s="437">
        <f t="shared" si="1"/>
        <v>0</v>
      </c>
      <c r="F629" s="438">
        <f t="shared" si="2"/>
        <v>0</v>
      </c>
      <c r="G629" t="str">
        <f t="shared" si="3"/>
        <v/>
      </c>
      <c r="H629" t="b">
        <f t="shared" si="4"/>
        <v>0</v>
      </c>
      <c r="I629" s="439">
        <f>IF(OR(ISBLANK(A629),ISNA(MATCH(A629&amp;"",AthleteNumbers,0))),0,MATCH(A629&amp;"",AthleteNumbers,0))</f>
        <v>0</v>
      </c>
      <c r="J629" s="209">
        <f t="array" ref="J629">IF(I629&gt;0,INDEX(DB,$I629,6),0)</f>
        <v>0</v>
      </c>
      <c r="K629" s="446">
        <f t="shared" si="5"/>
        <v>0</v>
      </c>
      <c r="L629" s="446">
        <f t="shared" si="6"/>
        <v>0</v>
      </c>
      <c r="M629" s="441">
        <f>IF(L629&lt;O629,MinPoints,IF(AND(L629&gt;N629,O629&gt;0),100,+INT(($L629-O629)/P629)+MinPoints))</f>
        <v>10</v>
      </c>
      <c r="N629" s="440">
        <f t="shared" si="7"/>
        <v>50</v>
      </c>
      <c r="O629" s="440">
        <f t="shared" si="8"/>
        <v>5</v>
      </c>
      <c r="P629" s="440">
        <f t="shared" si="9"/>
        <v>0.5</v>
      </c>
      <c r="Q629">
        <f t="array" ref="Q629">IF(I629&gt;0,INDEX(DB,I629,9),EventIndex)</f>
        <v>6</v>
      </c>
      <c r="S629" s="442">
        <f t="array" ref="S629">INDEX(MINVALUES,$Q629,$K$1)</f>
        <v>5</v>
      </c>
      <c r="T629">
        <f t="array" ref="T629">INDEX(INCVALUES,$Q629,$K$1)</f>
        <v>0.5</v>
      </c>
      <c r="V629">
        <f t="array" ref="V629">+J629+(4*(INDEX(MatchScoreTable,$Q629,20)-1))</f>
        <v>4</v>
      </c>
      <c r="W629" s="442">
        <f t="array" ref="W629">INDEX(INC_MINVALUES,$V629,$K$1)</f>
        <v>2.5</v>
      </c>
      <c r="X629" s="212">
        <f t="array" ref="X629">INDEX(INC_INCVALUES,$V629,$K$1)</f>
        <v>0.5</v>
      </c>
    </row>
    <row r="630" ht="15.75" customHeight="1">
      <c r="A630" s="435"/>
      <c r="B630" s="436"/>
      <c r="C630" s="95" t="str">
        <f t="array" ref="C630">IF(I630&gt;0,INDEX(DB,I630,8),"")</f>
        <v/>
      </c>
      <c r="D630" s="437">
        <f t="shared" si="1"/>
        <v>0</v>
      </c>
      <c r="F630" s="438">
        <f t="shared" si="2"/>
        <v>0</v>
      </c>
      <c r="G630" t="str">
        <f t="shared" si="3"/>
        <v/>
      </c>
      <c r="H630" t="b">
        <f t="shared" si="4"/>
        <v>0</v>
      </c>
      <c r="I630" s="439">
        <f>IF(OR(ISBLANK(A630),ISNA(MATCH(A630&amp;"",AthleteNumbers,0))),0,MATCH(A630&amp;"",AthleteNumbers,0))</f>
        <v>0</v>
      </c>
      <c r="J630" s="209">
        <f t="array" ref="J630">IF(I630&gt;0,INDEX(DB,$I630,6),0)</f>
        <v>0</v>
      </c>
      <c r="K630" s="446">
        <f t="shared" si="5"/>
        <v>0</v>
      </c>
      <c r="L630" s="446">
        <f t="shared" si="6"/>
        <v>0</v>
      </c>
      <c r="M630" s="441">
        <f>IF(L630&lt;O630,MinPoints,IF(AND(L630&gt;N630,O630&gt;0),100,+INT(($L630-O630)/P630)+MinPoints))</f>
        <v>10</v>
      </c>
      <c r="N630" s="440">
        <f t="shared" si="7"/>
        <v>50</v>
      </c>
      <c r="O630" s="440">
        <f t="shared" si="8"/>
        <v>5</v>
      </c>
      <c r="P630" s="440">
        <f t="shared" si="9"/>
        <v>0.5</v>
      </c>
      <c r="Q630">
        <f t="array" ref="Q630">IF(I630&gt;0,INDEX(DB,I630,9),EventIndex)</f>
        <v>6</v>
      </c>
      <c r="S630" s="442">
        <f t="array" ref="S630">INDEX(MINVALUES,$Q630,$K$1)</f>
        <v>5</v>
      </c>
      <c r="T630">
        <f t="array" ref="T630">INDEX(INCVALUES,$Q630,$K$1)</f>
        <v>0.5</v>
      </c>
      <c r="V630">
        <f t="array" ref="V630">+J630+(4*(INDEX(MatchScoreTable,$Q630,20)-1))</f>
        <v>4</v>
      </c>
      <c r="W630" s="442">
        <f t="array" ref="W630">INDEX(INC_MINVALUES,$V630,$K$1)</f>
        <v>2.5</v>
      </c>
      <c r="X630" s="212">
        <f t="array" ref="X630">INDEX(INC_INCVALUES,$V630,$K$1)</f>
        <v>0.5</v>
      </c>
    </row>
    <row r="631" ht="15.75" customHeight="1">
      <c r="A631" s="435"/>
      <c r="B631" s="436"/>
      <c r="C631" s="95" t="str">
        <f t="array" ref="C631">IF(I631&gt;0,INDEX(DB,I631,8),"")</f>
        <v/>
      </c>
      <c r="D631" s="437">
        <f t="shared" si="1"/>
        <v>0</v>
      </c>
      <c r="F631" s="438">
        <f t="shared" si="2"/>
        <v>0</v>
      </c>
      <c r="G631" t="str">
        <f t="shared" si="3"/>
        <v/>
      </c>
      <c r="H631" t="b">
        <f t="shared" si="4"/>
        <v>0</v>
      </c>
      <c r="I631" s="439">
        <f>IF(OR(ISBLANK(A631),ISNA(MATCH(A631&amp;"",AthleteNumbers,0))),0,MATCH(A631&amp;"",AthleteNumbers,0))</f>
        <v>0</v>
      </c>
      <c r="J631" s="209">
        <f t="array" ref="J631">IF(I631&gt;0,INDEX(DB,$I631,6),0)</f>
        <v>0</v>
      </c>
      <c r="K631" s="446">
        <f t="shared" si="5"/>
        <v>0</v>
      </c>
      <c r="L631" s="446">
        <f t="shared" si="6"/>
        <v>0</v>
      </c>
      <c r="M631" s="441">
        <f>IF(L631&lt;O631,MinPoints,IF(AND(L631&gt;N631,O631&gt;0),100,+INT(($L631-O631)/P631)+MinPoints))</f>
        <v>10</v>
      </c>
      <c r="N631" s="440">
        <f t="shared" si="7"/>
        <v>50</v>
      </c>
      <c r="O631" s="440">
        <f t="shared" si="8"/>
        <v>5</v>
      </c>
      <c r="P631" s="440">
        <f t="shared" si="9"/>
        <v>0.5</v>
      </c>
      <c r="Q631">
        <f t="array" ref="Q631">IF(I631&gt;0,INDEX(DB,I631,9),EventIndex)</f>
        <v>6</v>
      </c>
      <c r="S631" s="442">
        <f t="array" ref="S631">INDEX(MINVALUES,$Q631,$K$1)</f>
        <v>5</v>
      </c>
      <c r="T631">
        <f t="array" ref="T631">INDEX(INCVALUES,$Q631,$K$1)</f>
        <v>0.5</v>
      </c>
      <c r="V631">
        <f t="array" ref="V631">+J631+(4*(INDEX(MatchScoreTable,$Q631,20)-1))</f>
        <v>4</v>
      </c>
      <c r="W631" s="442">
        <f t="array" ref="W631">INDEX(INC_MINVALUES,$V631,$K$1)</f>
        <v>2.5</v>
      </c>
      <c r="X631" s="212">
        <f t="array" ref="X631">INDEX(INC_INCVALUES,$V631,$K$1)</f>
        <v>0.5</v>
      </c>
    </row>
    <row r="632" ht="15.75" customHeight="1">
      <c r="A632" s="435"/>
      <c r="B632" s="436"/>
      <c r="C632" s="95" t="str">
        <f t="array" ref="C632">IF(I632&gt;0,INDEX(DB,I632,8),"")</f>
        <v/>
      </c>
      <c r="D632" s="437">
        <f t="shared" si="1"/>
        <v>0</v>
      </c>
      <c r="F632" s="438">
        <f t="shared" si="2"/>
        <v>0</v>
      </c>
      <c r="G632" t="str">
        <f t="shared" si="3"/>
        <v/>
      </c>
      <c r="H632" t="b">
        <f t="shared" si="4"/>
        <v>0</v>
      </c>
      <c r="I632" s="439">
        <f>IF(OR(ISBLANK(A632),ISNA(MATCH(A632&amp;"",AthleteNumbers,0))),0,MATCH(A632&amp;"",AthleteNumbers,0))</f>
        <v>0</v>
      </c>
      <c r="J632" s="209">
        <f t="array" ref="J632">IF(I632&gt;0,INDEX(DB,$I632,6),0)</f>
        <v>0</v>
      </c>
      <c r="K632" s="446">
        <f t="shared" si="5"/>
        <v>0</v>
      </c>
      <c r="L632" s="446">
        <f t="shared" si="6"/>
        <v>0</v>
      </c>
      <c r="M632" s="441">
        <f>IF(L632&lt;O632,MinPoints,IF(AND(L632&gt;N632,O632&gt;0),100,+INT(($L632-O632)/P632)+MinPoints))</f>
        <v>10</v>
      </c>
      <c r="N632" s="440">
        <f t="shared" si="7"/>
        <v>50</v>
      </c>
      <c r="O632" s="440">
        <f t="shared" si="8"/>
        <v>5</v>
      </c>
      <c r="P632" s="440">
        <f t="shared" si="9"/>
        <v>0.5</v>
      </c>
      <c r="Q632">
        <f t="array" ref="Q632">IF(I632&gt;0,INDEX(DB,I632,9),EventIndex)</f>
        <v>6</v>
      </c>
      <c r="S632" s="442">
        <f t="array" ref="S632">INDEX(MINVALUES,$Q632,$K$1)</f>
        <v>5</v>
      </c>
      <c r="T632">
        <f t="array" ref="T632">INDEX(INCVALUES,$Q632,$K$1)</f>
        <v>0.5</v>
      </c>
      <c r="V632">
        <f t="array" ref="V632">+J632+(4*(INDEX(MatchScoreTable,$Q632,20)-1))</f>
        <v>4</v>
      </c>
      <c r="W632" s="442">
        <f t="array" ref="W632">INDEX(INC_MINVALUES,$V632,$K$1)</f>
        <v>2.5</v>
      </c>
      <c r="X632" s="212">
        <f t="array" ref="X632">INDEX(INC_INCVALUES,$V632,$K$1)</f>
        <v>0.5</v>
      </c>
    </row>
    <row r="633" ht="15.75" customHeight="1">
      <c r="A633" s="435"/>
      <c r="B633" s="436"/>
      <c r="C633" s="95" t="str">
        <f t="array" ref="C633">IF(I633&gt;0,INDEX(DB,I633,8),"")</f>
        <v/>
      </c>
      <c r="D633" s="437">
        <f t="shared" si="1"/>
        <v>0</v>
      </c>
      <c r="F633" s="438">
        <f t="shared" si="2"/>
        <v>0</v>
      </c>
      <c r="G633" t="str">
        <f t="shared" si="3"/>
        <v/>
      </c>
      <c r="H633" t="b">
        <f t="shared" si="4"/>
        <v>0</v>
      </c>
      <c r="I633" s="439">
        <f>IF(OR(ISBLANK(A633),ISNA(MATCH(A633&amp;"",AthleteNumbers,0))),0,MATCH(A633&amp;"",AthleteNumbers,0))</f>
        <v>0</v>
      </c>
      <c r="J633" s="209">
        <f t="array" ref="J633">IF(I633&gt;0,INDEX(DB,$I633,6),0)</f>
        <v>0</v>
      </c>
      <c r="K633" s="446">
        <f t="shared" si="5"/>
        <v>0</v>
      </c>
      <c r="L633" s="446">
        <f t="shared" si="6"/>
        <v>0</v>
      </c>
      <c r="M633" s="441">
        <f>IF(L633&lt;O633,MinPoints,IF(AND(L633&gt;N633,O633&gt;0),100,+INT(($L633-O633)/P633)+MinPoints))</f>
        <v>10</v>
      </c>
      <c r="N633" s="440">
        <f t="shared" si="7"/>
        <v>50</v>
      </c>
      <c r="O633" s="440">
        <f t="shared" si="8"/>
        <v>5</v>
      </c>
      <c r="P633" s="440">
        <f t="shared" si="9"/>
        <v>0.5</v>
      </c>
      <c r="Q633">
        <f t="array" ref="Q633">IF(I633&gt;0,INDEX(DB,I633,9),EventIndex)</f>
        <v>6</v>
      </c>
      <c r="S633" s="442">
        <f t="array" ref="S633">INDEX(MINVALUES,$Q633,$K$1)</f>
        <v>5</v>
      </c>
      <c r="T633">
        <f t="array" ref="T633">INDEX(INCVALUES,$Q633,$K$1)</f>
        <v>0.5</v>
      </c>
      <c r="V633">
        <f t="array" ref="V633">+J633+(4*(INDEX(MatchScoreTable,$Q633,20)-1))</f>
        <v>4</v>
      </c>
      <c r="W633" s="442">
        <f t="array" ref="W633">INDEX(INC_MINVALUES,$V633,$K$1)</f>
        <v>2.5</v>
      </c>
      <c r="X633" s="212">
        <f t="array" ref="X633">INDEX(INC_INCVALUES,$V633,$K$1)</f>
        <v>0.5</v>
      </c>
    </row>
    <row r="634" ht="15.75" customHeight="1">
      <c r="A634" s="435"/>
      <c r="B634" s="436"/>
      <c r="C634" s="95" t="str">
        <f t="array" ref="C634">IF(I634&gt;0,INDEX(DB,I634,8),"")</f>
        <v/>
      </c>
      <c r="D634" s="437">
        <f t="shared" si="1"/>
        <v>0</v>
      </c>
      <c r="F634" s="438">
        <f t="shared" si="2"/>
        <v>0</v>
      </c>
      <c r="G634" t="str">
        <f t="shared" si="3"/>
        <v/>
      </c>
      <c r="H634" t="b">
        <f t="shared" si="4"/>
        <v>0</v>
      </c>
      <c r="I634" s="439">
        <f>IF(OR(ISBLANK(A634),ISNA(MATCH(A634&amp;"",AthleteNumbers,0))),0,MATCH(A634&amp;"",AthleteNumbers,0))</f>
        <v>0</v>
      </c>
      <c r="J634" s="209">
        <f t="array" ref="J634">IF(I634&gt;0,INDEX(DB,$I634,6),0)</f>
        <v>0</v>
      </c>
      <c r="K634" s="446">
        <f t="shared" si="5"/>
        <v>0</v>
      </c>
      <c r="L634" s="446">
        <f t="shared" si="6"/>
        <v>0</v>
      </c>
      <c r="M634" s="441">
        <f>IF(L634&lt;O634,MinPoints,IF(AND(L634&gt;N634,O634&gt;0),100,+INT(($L634-O634)/P634)+MinPoints))</f>
        <v>10</v>
      </c>
      <c r="N634" s="440">
        <f t="shared" si="7"/>
        <v>50</v>
      </c>
      <c r="O634" s="440">
        <f t="shared" si="8"/>
        <v>5</v>
      </c>
      <c r="P634" s="440">
        <f t="shared" si="9"/>
        <v>0.5</v>
      </c>
      <c r="Q634">
        <f t="array" ref="Q634">IF(I634&gt;0,INDEX(DB,I634,9),EventIndex)</f>
        <v>6</v>
      </c>
      <c r="S634" s="442">
        <f t="array" ref="S634">INDEX(MINVALUES,$Q634,$K$1)</f>
        <v>5</v>
      </c>
      <c r="T634">
        <f t="array" ref="T634">INDEX(INCVALUES,$Q634,$K$1)</f>
        <v>0.5</v>
      </c>
      <c r="V634">
        <f t="array" ref="V634">+J634+(4*(INDEX(MatchScoreTable,$Q634,20)-1))</f>
        <v>4</v>
      </c>
      <c r="W634" s="442">
        <f t="array" ref="W634">INDEX(INC_MINVALUES,$V634,$K$1)</f>
        <v>2.5</v>
      </c>
      <c r="X634" s="212">
        <f t="array" ref="X634">INDEX(INC_INCVALUES,$V634,$K$1)</f>
        <v>0.5</v>
      </c>
    </row>
    <row r="635" ht="15.75" customHeight="1">
      <c r="A635" s="435"/>
      <c r="B635" s="436"/>
      <c r="C635" s="95" t="str">
        <f t="array" ref="C635">IF(I635&gt;0,INDEX(DB,I635,8),"")</f>
        <v/>
      </c>
      <c r="D635" s="437">
        <f t="shared" si="1"/>
        <v>0</v>
      </c>
      <c r="F635" s="438">
        <f t="shared" si="2"/>
        <v>0</v>
      </c>
      <c r="G635" t="str">
        <f t="shared" si="3"/>
        <v/>
      </c>
      <c r="H635" t="b">
        <f t="shared" si="4"/>
        <v>0</v>
      </c>
      <c r="I635" s="439">
        <f>IF(OR(ISBLANK(A635),ISNA(MATCH(A635&amp;"",AthleteNumbers,0))),0,MATCH(A635&amp;"",AthleteNumbers,0))</f>
        <v>0</v>
      </c>
      <c r="J635" s="209">
        <f t="array" ref="J635">IF(I635&gt;0,INDEX(DB,$I635,6),0)</f>
        <v>0</v>
      </c>
      <c r="K635" s="446">
        <f t="shared" si="5"/>
        <v>0</v>
      </c>
      <c r="L635" s="446">
        <f t="shared" si="6"/>
        <v>0</v>
      </c>
      <c r="M635" s="441">
        <f>IF(L635&lt;O635,MinPoints,IF(AND(L635&gt;N635,O635&gt;0),100,+INT(($L635-O635)/P635)+MinPoints))</f>
        <v>10</v>
      </c>
      <c r="N635" s="440">
        <f t="shared" si="7"/>
        <v>50</v>
      </c>
      <c r="O635" s="440">
        <f t="shared" si="8"/>
        <v>5</v>
      </c>
      <c r="P635" s="440">
        <f t="shared" si="9"/>
        <v>0.5</v>
      </c>
      <c r="Q635">
        <f t="array" ref="Q635">IF(I635&gt;0,INDEX(DB,I635,9),EventIndex)</f>
        <v>6</v>
      </c>
      <c r="S635" s="442">
        <f t="array" ref="S635">INDEX(MINVALUES,$Q635,$K$1)</f>
        <v>5</v>
      </c>
      <c r="T635">
        <f t="array" ref="T635">INDEX(INCVALUES,$Q635,$K$1)</f>
        <v>0.5</v>
      </c>
      <c r="V635">
        <f t="array" ref="V635">+J635+(4*(INDEX(MatchScoreTable,$Q635,20)-1))</f>
        <v>4</v>
      </c>
      <c r="W635" s="442">
        <f t="array" ref="W635">INDEX(INC_MINVALUES,$V635,$K$1)</f>
        <v>2.5</v>
      </c>
      <c r="X635" s="212">
        <f t="array" ref="X635">INDEX(INC_INCVALUES,$V635,$K$1)</f>
        <v>0.5</v>
      </c>
    </row>
    <row r="636" ht="15.75" customHeight="1">
      <c r="A636" s="435"/>
      <c r="B636" s="436"/>
      <c r="C636" s="95" t="str">
        <f t="array" ref="C636">IF(I636&gt;0,INDEX(DB,I636,8),"")</f>
        <v/>
      </c>
      <c r="D636" s="437">
        <f t="shared" si="1"/>
        <v>0</v>
      </c>
      <c r="F636" s="438">
        <f t="shared" si="2"/>
        <v>0</v>
      </c>
      <c r="G636" t="str">
        <f t="shared" si="3"/>
        <v/>
      </c>
      <c r="H636" t="b">
        <f t="shared" si="4"/>
        <v>0</v>
      </c>
      <c r="I636" s="439">
        <f>IF(OR(ISBLANK(A636),ISNA(MATCH(A636&amp;"",AthleteNumbers,0))),0,MATCH(A636&amp;"",AthleteNumbers,0))</f>
        <v>0</v>
      </c>
      <c r="J636" s="209">
        <f t="array" ref="J636">IF(I636&gt;0,INDEX(DB,$I636,6),0)</f>
        <v>0</v>
      </c>
      <c r="K636" s="446">
        <f t="shared" si="5"/>
        <v>0</v>
      </c>
      <c r="L636" s="446">
        <f t="shared" si="6"/>
        <v>0</v>
      </c>
      <c r="M636" s="441">
        <f>IF(L636&lt;O636,MinPoints,IF(AND(L636&gt;N636,O636&gt;0),100,+INT(($L636-O636)/P636)+MinPoints))</f>
        <v>10</v>
      </c>
      <c r="N636" s="440">
        <f t="shared" si="7"/>
        <v>50</v>
      </c>
      <c r="O636" s="440">
        <f t="shared" si="8"/>
        <v>5</v>
      </c>
      <c r="P636" s="440">
        <f t="shared" si="9"/>
        <v>0.5</v>
      </c>
      <c r="Q636">
        <f t="array" ref="Q636">IF(I636&gt;0,INDEX(DB,I636,9),EventIndex)</f>
        <v>6</v>
      </c>
      <c r="S636" s="442">
        <f t="array" ref="S636">INDEX(MINVALUES,$Q636,$K$1)</f>
        <v>5</v>
      </c>
      <c r="T636">
        <f t="array" ref="T636">INDEX(INCVALUES,$Q636,$K$1)</f>
        <v>0.5</v>
      </c>
      <c r="V636">
        <f t="array" ref="V636">+J636+(4*(INDEX(MatchScoreTable,$Q636,20)-1))</f>
        <v>4</v>
      </c>
      <c r="W636" s="442">
        <f t="array" ref="W636">INDEX(INC_MINVALUES,$V636,$K$1)</f>
        <v>2.5</v>
      </c>
      <c r="X636" s="212">
        <f t="array" ref="X636">INDEX(INC_INCVALUES,$V636,$K$1)</f>
        <v>0.5</v>
      </c>
    </row>
    <row r="637" ht="15.75" customHeight="1">
      <c r="A637" s="435"/>
      <c r="B637" s="436"/>
      <c r="C637" s="95" t="str">
        <f t="array" ref="C637">IF(I637&gt;0,INDEX(DB,I637,8),"")</f>
        <v/>
      </c>
      <c r="D637" s="437">
        <f t="shared" si="1"/>
        <v>0</v>
      </c>
      <c r="F637" s="438">
        <f t="shared" si="2"/>
        <v>0</v>
      </c>
      <c r="G637" t="str">
        <f t="shared" si="3"/>
        <v/>
      </c>
      <c r="H637" t="b">
        <f t="shared" si="4"/>
        <v>0</v>
      </c>
      <c r="I637" s="439">
        <f>IF(OR(ISBLANK(A637),ISNA(MATCH(A637&amp;"",AthleteNumbers,0))),0,MATCH(A637&amp;"",AthleteNumbers,0))</f>
        <v>0</v>
      </c>
      <c r="J637" s="209">
        <f t="array" ref="J637">IF(I637&gt;0,INDEX(DB,$I637,6),0)</f>
        <v>0</v>
      </c>
      <c r="K637" s="446">
        <f t="shared" si="5"/>
        <v>0</v>
      </c>
      <c r="L637" s="446">
        <f t="shared" si="6"/>
        <v>0</v>
      </c>
      <c r="M637" s="441">
        <f>IF(L637&lt;O637,MinPoints,IF(AND(L637&gt;N637,O637&gt;0),100,+INT(($L637-O637)/P637)+MinPoints))</f>
        <v>10</v>
      </c>
      <c r="N637" s="440">
        <f t="shared" si="7"/>
        <v>50</v>
      </c>
      <c r="O637" s="440">
        <f t="shared" si="8"/>
        <v>5</v>
      </c>
      <c r="P637" s="440">
        <f t="shared" si="9"/>
        <v>0.5</v>
      </c>
      <c r="Q637">
        <f t="array" ref="Q637">IF(I637&gt;0,INDEX(DB,I637,9),EventIndex)</f>
        <v>6</v>
      </c>
      <c r="S637" s="442">
        <f t="array" ref="S637">INDEX(MINVALUES,$Q637,$K$1)</f>
        <v>5</v>
      </c>
      <c r="T637">
        <f t="array" ref="T637">INDEX(INCVALUES,$Q637,$K$1)</f>
        <v>0.5</v>
      </c>
      <c r="V637">
        <f t="array" ref="V637">+J637+(4*(INDEX(MatchScoreTable,$Q637,20)-1))</f>
        <v>4</v>
      </c>
      <c r="W637" s="442">
        <f t="array" ref="W637">INDEX(INC_MINVALUES,$V637,$K$1)</f>
        <v>2.5</v>
      </c>
      <c r="X637" s="212">
        <f t="array" ref="X637">INDEX(INC_INCVALUES,$V637,$K$1)</f>
        <v>0.5</v>
      </c>
    </row>
    <row r="638" ht="15.75" customHeight="1">
      <c r="A638" s="435"/>
      <c r="B638" s="436"/>
      <c r="C638" s="95" t="str">
        <f t="array" ref="C638">IF(I638&gt;0,INDEX(DB,I638,8),"")</f>
        <v/>
      </c>
      <c r="D638" s="437">
        <f t="shared" si="1"/>
        <v>0</v>
      </c>
      <c r="F638" s="438">
        <f t="shared" si="2"/>
        <v>0</v>
      </c>
      <c r="G638" t="str">
        <f t="shared" si="3"/>
        <v/>
      </c>
      <c r="H638" t="b">
        <f t="shared" si="4"/>
        <v>0</v>
      </c>
      <c r="I638" s="439">
        <f>IF(OR(ISBLANK(A638),ISNA(MATCH(A638&amp;"",AthleteNumbers,0))),0,MATCH(A638&amp;"",AthleteNumbers,0))</f>
        <v>0</v>
      </c>
      <c r="J638" s="209">
        <f t="array" ref="J638">IF(I638&gt;0,INDEX(DB,$I638,6),0)</f>
        <v>0</v>
      </c>
      <c r="K638" s="446">
        <f t="shared" si="5"/>
        <v>0</v>
      </c>
      <c r="L638" s="446">
        <f t="shared" si="6"/>
        <v>0</v>
      </c>
      <c r="M638" s="441">
        <f>IF(L638&lt;O638,MinPoints,IF(AND(L638&gt;N638,O638&gt;0),100,+INT(($L638-O638)/P638)+MinPoints))</f>
        <v>10</v>
      </c>
      <c r="N638" s="440">
        <f t="shared" si="7"/>
        <v>50</v>
      </c>
      <c r="O638" s="440">
        <f t="shared" si="8"/>
        <v>5</v>
      </c>
      <c r="P638" s="440">
        <f t="shared" si="9"/>
        <v>0.5</v>
      </c>
      <c r="Q638">
        <f t="array" ref="Q638">IF(I638&gt;0,INDEX(DB,I638,9),EventIndex)</f>
        <v>6</v>
      </c>
      <c r="S638" s="442">
        <f t="array" ref="S638">INDEX(MINVALUES,$Q638,$K$1)</f>
        <v>5</v>
      </c>
      <c r="T638">
        <f t="array" ref="T638">INDEX(INCVALUES,$Q638,$K$1)</f>
        <v>0.5</v>
      </c>
      <c r="V638">
        <f t="array" ref="V638">+J638+(4*(INDEX(MatchScoreTable,$Q638,20)-1))</f>
        <v>4</v>
      </c>
      <c r="W638" s="442">
        <f t="array" ref="W638">INDEX(INC_MINVALUES,$V638,$K$1)</f>
        <v>2.5</v>
      </c>
      <c r="X638" s="212">
        <f t="array" ref="X638">INDEX(INC_INCVALUES,$V638,$K$1)</f>
        <v>0.5</v>
      </c>
    </row>
    <row r="639" ht="15.75" customHeight="1">
      <c r="A639" s="435"/>
      <c r="B639" s="436"/>
      <c r="C639" s="95" t="str">
        <f t="array" ref="C639">IF(I639&gt;0,INDEX(DB,I639,8),"")</f>
        <v/>
      </c>
      <c r="D639" s="437">
        <f t="shared" si="1"/>
        <v>0</v>
      </c>
      <c r="F639" s="438">
        <f t="shared" si="2"/>
        <v>0</v>
      </c>
      <c r="G639" t="str">
        <f t="shared" si="3"/>
        <v/>
      </c>
      <c r="H639" t="b">
        <f t="shared" si="4"/>
        <v>0</v>
      </c>
      <c r="I639" s="439">
        <f>IF(OR(ISBLANK(A639),ISNA(MATCH(A639&amp;"",AthleteNumbers,0))),0,MATCH(A639&amp;"",AthleteNumbers,0))</f>
        <v>0</v>
      </c>
      <c r="J639" s="209">
        <f t="array" ref="J639">IF(I639&gt;0,INDEX(DB,$I639,6),0)</f>
        <v>0</v>
      </c>
      <c r="K639" s="446">
        <f t="shared" si="5"/>
        <v>0</v>
      </c>
      <c r="L639" s="446">
        <f t="shared" si="6"/>
        <v>0</v>
      </c>
      <c r="M639" s="441">
        <f>IF(L639&lt;O639,MinPoints,IF(AND(L639&gt;N639,O639&gt;0),100,+INT(($L639-O639)/P639)+MinPoints))</f>
        <v>10</v>
      </c>
      <c r="N639" s="440">
        <f t="shared" si="7"/>
        <v>50</v>
      </c>
      <c r="O639" s="440">
        <f t="shared" si="8"/>
        <v>5</v>
      </c>
      <c r="P639" s="440">
        <f t="shared" si="9"/>
        <v>0.5</v>
      </c>
      <c r="Q639">
        <f t="array" ref="Q639">IF(I639&gt;0,INDEX(DB,I639,9),EventIndex)</f>
        <v>6</v>
      </c>
      <c r="S639" s="442">
        <f t="array" ref="S639">INDEX(MINVALUES,$Q639,$K$1)</f>
        <v>5</v>
      </c>
      <c r="T639">
        <f t="array" ref="T639">INDEX(INCVALUES,$Q639,$K$1)</f>
        <v>0.5</v>
      </c>
      <c r="V639">
        <f t="array" ref="V639">+J639+(4*(INDEX(MatchScoreTable,$Q639,20)-1))</f>
        <v>4</v>
      </c>
      <c r="W639" s="442">
        <f t="array" ref="W639">INDEX(INC_MINVALUES,$V639,$K$1)</f>
        <v>2.5</v>
      </c>
      <c r="X639" s="212">
        <f t="array" ref="X639">INDEX(INC_INCVALUES,$V639,$K$1)</f>
        <v>0.5</v>
      </c>
    </row>
    <row r="640" ht="15.75" customHeight="1">
      <c r="A640" s="435"/>
      <c r="B640" s="436"/>
      <c r="C640" s="95" t="str">
        <f t="array" ref="C640">IF(I640&gt;0,INDEX(DB,I640,8),"")</f>
        <v/>
      </c>
      <c r="D640" s="437">
        <f t="shared" si="1"/>
        <v>0</v>
      </c>
      <c r="F640" s="438">
        <f t="shared" si="2"/>
        <v>0</v>
      </c>
      <c r="G640" t="str">
        <f t="shared" si="3"/>
        <v/>
      </c>
      <c r="H640" t="b">
        <f t="shared" si="4"/>
        <v>0</v>
      </c>
      <c r="I640" s="439">
        <f>IF(OR(ISBLANK(A640),ISNA(MATCH(A640&amp;"",AthleteNumbers,0))),0,MATCH(A640&amp;"",AthleteNumbers,0))</f>
        <v>0</v>
      </c>
      <c r="J640" s="209">
        <f t="array" ref="J640">IF(I640&gt;0,INDEX(DB,$I640,6),0)</f>
        <v>0</v>
      </c>
      <c r="K640" s="446">
        <f t="shared" si="5"/>
        <v>0</v>
      </c>
      <c r="L640" s="446">
        <f t="shared" si="6"/>
        <v>0</v>
      </c>
      <c r="M640" s="441">
        <f>IF(L640&lt;O640,MinPoints,IF(AND(L640&gt;N640,O640&gt;0),100,+INT(($L640-O640)/P640)+MinPoints))</f>
        <v>10</v>
      </c>
      <c r="N640" s="440">
        <f t="shared" si="7"/>
        <v>50</v>
      </c>
      <c r="O640" s="440">
        <f t="shared" si="8"/>
        <v>5</v>
      </c>
      <c r="P640" s="440">
        <f t="shared" si="9"/>
        <v>0.5</v>
      </c>
      <c r="Q640">
        <f t="array" ref="Q640">IF(I640&gt;0,INDEX(DB,I640,9),EventIndex)</f>
        <v>6</v>
      </c>
      <c r="S640" s="442">
        <f t="array" ref="S640">INDEX(MINVALUES,$Q640,$K$1)</f>
        <v>5</v>
      </c>
      <c r="T640">
        <f t="array" ref="T640">INDEX(INCVALUES,$Q640,$K$1)</f>
        <v>0.5</v>
      </c>
      <c r="V640">
        <f t="array" ref="V640">+J640+(4*(INDEX(MatchScoreTable,$Q640,20)-1))</f>
        <v>4</v>
      </c>
      <c r="W640" s="442">
        <f t="array" ref="W640">INDEX(INC_MINVALUES,$V640,$K$1)</f>
        <v>2.5</v>
      </c>
      <c r="X640" s="212">
        <f t="array" ref="X640">INDEX(INC_INCVALUES,$V640,$K$1)</f>
        <v>0.5</v>
      </c>
    </row>
    <row r="641" ht="15.75" customHeight="1">
      <c r="A641" s="435"/>
      <c r="B641" s="436"/>
      <c r="C641" s="95" t="str">
        <f t="array" ref="C641">IF(I641&gt;0,INDEX(DB,I641,8),"")</f>
        <v/>
      </c>
      <c r="D641" s="437">
        <f t="shared" si="1"/>
        <v>0</v>
      </c>
      <c r="F641" s="438">
        <f t="shared" si="2"/>
        <v>0</v>
      </c>
      <c r="G641" t="str">
        <f t="shared" si="3"/>
        <v/>
      </c>
      <c r="H641" t="b">
        <f t="shared" si="4"/>
        <v>0</v>
      </c>
      <c r="I641" s="439">
        <f>IF(OR(ISBLANK(A641),ISNA(MATCH(A641&amp;"",AthleteNumbers,0))),0,MATCH(A641&amp;"",AthleteNumbers,0))</f>
        <v>0</v>
      </c>
      <c r="J641" s="209">
        <f t="array" ref="J641">IF(I641&gt;0,INDEX(DB,$I641,6),0)</f>
        <v>0</v>
      </c>
      <c r="K641" s="446">
        <f t="shared" si="5"/>
        <v>0</v>
      </c>
      <c r="L641" s="446">
        <f t="shared" si="6"/>
        <v>0</v>
      </c>
      <c r="M641" s="441">
        <f>IF(L641&lt;O641,MinPoints,IF(AND(L641&gt;N641,O641&gt;0),100,+INT(($L641-O641)/P641)+MinPoints))</f>
        <v>10</v>
      </c>
      <c r="N641" s="440">
        <f t="shared" si="7"/>
        <v>50</v>
      </c>
      <c r="O641" s="440">
        <f t="shared" si="8"/>
        <v>5</v>
      </c>
      <c r="P641" s="440">
        <f t="shared" si="9"/>
        <v>0.5</v>
      </c>
      <c r="Q641">
        <f t="array" ref="Q641">IF(I641&gt;0,INDEX(DB,I641,9),EventIndex)</f>
        <v>6</v>
      </c>
      <c r="S641" s="442">
        <f t="array" ref="S641">INDEX(MINVALUES,$Q641,$K$1)</f>
        <v>5</v>
      </c>
      <c r="T641">
        <f t="array" ref="T641">INDEX(INCVALUES,$Q641,$K$1)</f>
        <v>0.5</v>
      </c>
      <c r="V641">
        <f t="array" ref="V641">+J641+(4*(INDEX(MatchScoreTable,$Q641,20)-1))</f>
        <v>4</v>
      </c>
      <c r="W641" s="442">
        <f t="array" ref="W641">INDEX(INC_MINVALUES,$V641,$K$1)</f>
        <v>2.5</v>
      </c>
      <c r="X641" s="212">
        <f t="array" ref="X641">INDEX(INC_INCVALUES,$V641,$K$1)</f>
        <v>0.5</v>
      </c>
    </row>
    <row r="642" ht="15.75" customHeight="1">
      <c r="A642" s="435"/>
      <c r="B642" s="436"/>
      <c r="C642" s="95" t="str">
        <f t="array" ref="C642">IF(I642&gt;0,INDEX(DB,I642,8),"")</f>
        <v/>
      </c>
      <c r="D642" s="437">
        <f t="shared" si="1"/>
        <v>0</v>
      </c>
      <c r="F642" s="438">
        <f t="shared" si="2"/>
        <v>0</v>
      </c>
      <c r="G642" t="str">
        <f t="shared" si="3"/>
        <v/>
      </c>
      <c r="H642" t="b">
        <f t="shared" si="4"/>
        <v>0</v>
      </c>
      <c r="I642" s="439">
        <f>IF(OR(ISBLANK(A642),ISNA(MATCH(A642&amp;"",AthleteNumbers,0))),0,MATCH(A642&amp;"",AthleteNumbers,0))</f>
        <v>0</v>
      </c>
      <c r="J642" s="209">
        <f t="array" ref="J642">IF(I642&gt;0,INDEX(DB,$I642,6),0)</f>
        <v>0</v>
      </c>
      <c r="K642" s="446">
        <f t="shared" si="5"/>
        <v>0</v>
      </c>
      <c r="L642" s="446">
        <f t="shared" si="6"/>
        <v>0</v>
      </c>
      <c r="M642" s="441">
        <f>IF(L642&lt;O642,MinPoints,IF(AND(L642&gt;N642,O642&gt;0),100,+INT(($L642-O642)/P642)+MinPoints))</f>
        <v>10</v>
      </c>
      <c r="N642" s="440">
        <f t="shared" si="7"/>
        <v>50</v>
      </c>
      <c r="O642" s="440">
        <f t="shared" si="8"/>
        <v>5</v>
      </c>
      <c r="P642" s="440">
        <f t="shared" si="9"/>
        <v>0.5</v>
      </c>
      <c r="Q642">
        <f t="array" ref="Q642">IF(I642&gt;0,INDEX(DB,I642,9),EventIndex)</f>
        <v>6</v>
      </c>
      <c r="S642" s="442">
        <f t="array" ref="S642">INDEX(MINVALUES,$Q642,$K$1)</f>
        <v>5</v>
      </c>
      <c r="T642">
        <f t="array" ref="T642">INDEX(INCVALUES,$Q642,$K$1)</f>
        <v>0.5</v>
      </c>
      <c r="V642">
        <f t="array" ref="V642">+J642+(4*(INDEX(MatchScoreTable,$Q642,20)-1))</f>
        <v>4</v>
      </c>
      <c r="W642" s="442">
        <f t="array" ref="W642">INDEX(INC_MINVALUES,$V642,$K$1)</f>
        <v>2.5</v>
      </c>
      <c r="X642" s="212">
        <f t="array" ref="X642">INDEX(INC_INCVALUES,$V642,$K$1)</f>
        <v>0.5</v>
      </c>
    </row>
    <row r="643" ht="15.75" customHeight="1">
      <c r="A643" s="435"/>
      <c r="B643" s="436"/>
      <c r="C643" s="95" t="str">
        <f t="array" ref="C643">IF(I643&gt;0,INDEX(DB,I643,8),"")</f>
        <v/>
      </c>
      <c r="D643" s="437">
        <f t="shared" si="1"/>
        <v>0</v>
      </c>
      <c r="F643" s="438">
        <f t="shared" si="2"/>
        <v>0</v>
      </c>
      <c r="G643" t="str">
        <f t="shared" si="3"/>
        <v/>
      </c>
      <c r="H643" t="b">
        <f t="shared" si="4"/>
        <v>0</v>
      </c>
      <c r="I643" s="439">
        <f>IF(OR(ISBLANK(A643),ISNA(MATCH(A643&amp;"",AthleteNumbers,0))),0,MATCH(A643&amp;"",AthleteNumbers,0))</f>
        <v>0</v>
      </c>
      <c r="J643" s="209">
        <f t="array" ref="J643">IF(I643&gt;0,INDEX(DB,$I643,6),0)</f>
        <v>0</v>
      </c>
      <c r="K643" s="446">
        <f t="shared" si="5"/>
        <v>0</v>
      </c>
      <c r="L643" s="446">
        <f t="shared" si="6"/>
        <v>0</v>
      </c>
      <c r="M643" s="441">
        <f>IF(L643&lt;O643,MinPoints,IF(AND(L643&gt;N643,O643&gt;0),100,+INT(($L643-O643)/P643)+MinPoints))</f>
        <v>10</v>
      </c>
      <c r="N643" s="440">
        <f t="shared" si="7"/>
        <v>50</v>
      </c>
      <c r="O643" s="440">
        <f t="shared" si="8"/>
        <v>5</v>
      </c>
      <c r="P643" s="440">
        <f t="shared" si="9"/>
        <v>0.5</v>
      </c>
      <c r="Q643">
        <f t="array" ref="Q643">IF(I643&gt;0,INDEX(DB,I643,9),EventIndex)</f>
        <v>6</v>
      </c>
      <c r="S643" s="442">
        <f t="array" ref="S643">INDEX(MINVALUES,$Q643,$K$1)</f>
        <v>5</v>
      </c>
      <c r="T643">
        <f t="array" ref="T643">INDEX(INCVALUES,$Q643,$K$1)</f>
        <v>0.5</v>
      </c>
      <c r="V643">
        <f t="array" ref="V643">+J643+(4*(INDEX(MatchScoreTable,$Q643,20)-1))</f>
        <v>4</v>
      </c>
      <c r="W643" s="442">
        <f t="array" ref="W643">INDEX(INC_MINVALUES,$V643,$K$1)</f>
        <v>2.5</v>
      </c>
      <c r="X643" s="212">
        <f t="array" ref="X643">INDEX(INC_INCVALUES,$V643,$K$1)</f>
        <v>0.5</v>
      </c>
    </row>
    <row r="644" ht="15.75" customHeight="1">
      <c r="A644" s="435"/>
      <c r="B644" s="436"/>
      <c r="C644" s="95" t="str">
        <f t="array" ref="C644">IF(I644&gt;0,INDEX(DB,I644,8),"")</f>
        <v/>
      </c>
      <c r="D644" s="437">
        <f t="shared" si="1"/>
        <v>0</v>
      </c>
      <c r="F644" s="438">
        <f t="shared" si="2"/>
        <v>0</v>
      </c>
      <c r="G644" t="str">
        <f t="shared" si="3"/>
        <v/>
      </c>
      <c r="H644" t="b">
        <f t="shared" si="4"/>
        <v>0</v>
      </c>
      <c r="I644" s="439">
        <f>IF(OR(ISBLANK(A644),ISNA(MATCH(A644&amp;"",AthleteNumbers,0))),0,MATCH(A644&amp;"",AthleteNumbers,0))</f>
        <v>0</v>
      </c>
      <c r="J644" s="209">
        <f t="array" ref="J644">IF(I644&gt;0,INDEX(DB,$I644,6),0)</f>
        <v>0</v>
      </c>
      <c r="K644" s="446">
        <f t="shared" si="5"/>
        <v>0</v>
      </c>
      <c r="L644" s="446">
        <f t="shared" si="6"/>
        <v>0</v>
      </c>
      <c r="M644" s="441">
        <f>IF(L644&lt;O644,MinPoints,IF(AND(L644&gt;N644,O644&gt;0),100,+INT(($L644-O644)/P644)+MinPoints))</f>
        <v>10</v>
      </c>
      <c r="N644" s="440">
        <f t="shared" si="7"/>
        <v>50</v>
      </c>
      <c r="O644" s="440">
        <f t="shared" si="8"/>
        <v>5</v>
      </c>
      <c r="P644" s="440">
        <f t="shared" si="9"/>
        <v>0.5</v>
      </c>
      <c r="Q644">
        <f t="array" ref="Q644">IF(I644&gt;0,INDEX(DB,I644,9),EventIndex)</f>
        <v>6</v>
      </c>
      <c r="S644" s="442">
        <f t="array" ref="S644">INDEX(MINVALUES,$Q644,$K$1)</f>
        <v>5</v>
      </c>
      <c r="T644">
        <f t="array" ref="T644">INDEX(INCVALUES,$Q644,$K$1)</f>
        <v>0.5</v>
      </c>
      <c r="V644">
        <f t="array" ref="V644">+J644+(4*(INDEX(MatchScoreTable,$Q644,20)-1))</f>
        <v>4</v>
      </c>
      <c r="W644" s="442">
        <f t="array" ref="W644">INDEX(INC_MINVALUES,$V644,$K$1)</f>
        <v>2.5</v>
      </c>
      <c r="X644" s="212">
        <f t="array" ref="X644">INDEX(INC_INCVALUES,$V644,$K$1)</f>
        <v>0.5</v>
      </c>
    </row>
    <row r="645" ht="15.75" customHeight="1">
      <c r="A645" s="435"/>
      <c r="B645" s="436"/>
      <c r="C645" s="95" t="str">
        <f t="array" ref="C645">IF(I645&gt;0,INDEX(DB,I645,8),"")</f>
        <v/>
      </c>
      <c r="D645" s="437">
        <f t="shared" si="1"/>
        <v>0</v>
      </c>
      <c r="F645" s="438">
        <f t="shared" si="2"/>
        <v>0</v>
      </c>
      <c r="G645" t="str">
        <f t="shared" si="3"/>
        <v/>
      </c>
      <c r="H645" t="b">
        <f t="shared" si="4"/>
        <v>0</v>
      </c>
      <c r="I645" s="439">
        <f>IF(OR(ISBLANK(A645),ISNA(MATCH(A645&amp;"",AthleteNumbers,0))),0,MATCH(A645&amp;"",AthleteNumbers,0))</f>
        <v>0</v>
      </c>
      <c r="J645" s="209">
        <f t="array" ref="J645">IF(I645&gt;0,INDEX(DB,$I645,6),0)</f>
        <v>0</v>
      </c>
      <c r="K645" s="446">
        <f t="shared" si="5"/>
        <v>0</v>
      </c>
      <c r="L645" s="446">
        <f t="shared" si="6"/>
        <v>0</v>
      </c>
      <c r="M645" s="441">
        <f>IF(L645&lt;O645,MinPoints,IF(AND(L645&gt;N645,O645&gt;0),100,+INT(($L645-O645)/P645)+MinPoints))</f>
        <v>10</v>
      </c>
      <c r="N645" s="440">
        <f t="shared" si="7"/>
        <v>50</v>
      </c>
      <c r="O645" s="440">
        <f t="shared" si="8"/>
        <v>5</v>
      </c>
      <c r="P645" s="440">
        <f t="shared" si="9"/>
        <v>0.5</v>
      </c>
      <c r="Q645">
        <f t="array" ref="Q645">IF(I645&gt;0,INDEX(DB,I645,9),EventIndex)</f>
        <v>6</v>
      </c>
      <c r="S645" s="442">
        <f t="array" ref="S645">INDEX(MINVALUES,$Q645,$K$1)</f>
        <v>5</v>
      </c>
      <c r="T645">
        <f t="array" ref="T645">INDEX(INCVALUES,$Q645,$K$1)</f>
        <v>0.5</v>
      </c>
      <c r="V645">
        <f t="array" ref="V645">+J645+(4*(INDEX(MatchScoreTable,$Q645,20)-1))</f>
        <v>4</v>
      </c>
      <c r="W645" s="442">
        <f t="array" ref="W645">INDEX(INC_MINVALUES,$V645,$K$1)</f>
        <v>2.5</v>
      </c>
      <c r="X645" s="212">
        <f t="array" ref="X645">INDEX(INC_INCVALUES,$V645,$K$1)</f>
        <v>0.5</v>
      </c>
    </row>
    <row r="646" ht="15.75" customHeight="1">
      <c r="A646" s="435"/>
      <c r="B646" s="436"/>
      <c r="C646" s="95" t="str">
        <f t="array" ref="C646">IF(I646&gt;0,INDEX(DB,I646,8),"")</f>
        <v/>
      </c>
      <c r="D646" s="437">
        <f t="shared" si="1"/>
        <v>0</v>
      </c>
      <c r="F646" s="438">
        <f t="shared" si="2"/>
        <v>0</v>
      </c>
      <c r="G646" t="str">
        <f t="shared" si="3"/>
        <v/>
      </c>
      <c r="H646" t="b">
        <f t="shared" si="4"/>
        <v>0</v>
      </c>
      <c r="I646" s="439">
        <f>IF(OR(ISBLANK(A646),ISNA(MATCH(A646&amp;"",AthleteNumbers,0))),0,MATCH(A646&amp;"",AthleteNumbers,0))</f>
        <v>0</v>
      </c>
      <c r="J646" s="209">
        <f t="array" ref="J646">IF(I646&gt;0,INDEX(DB,$I646,6),0)</f>
        <v>0</v>
      </c>
      <c r="K646" s="446">
        <f t="shared" si="5"/>
        <v>0</v>
      </c>
      <c r="L646" s="446">
        <f t="shared" si="6"/>
        <v>0</v>
      </c>
      <c r="M646" s="441">
        <f>IF(L646&lt;O646,MinPoints,IF(AND(L646&gt;N646,O646&gt;0),100,+INT(($L646-O646)/P646)+MinPoints))</f>
        <v>10</v>
      </c>
      <c r="N646" s="440">
        <f t="shared" si="7"/>
        <v>50</v>
      </c>
      <c r="O646" s="440">
        <f t="shared" si="8"/>
        <v>5</v>
      </c>
      <c r="P646" s="440">
        <f t="shared" si="9"/>
        <v>0.5</v>
      </c>
      <c r="Q646">
        <f t="array" ref="Q646">IF(I646&gt;0,INDEX(DB,I646,9),EventIndex)</f>
        <v>6</v>
      </c>
      <c r="S646" s="442">
        <f t="array" ref="S646">INDEX(MINVALUES,$Q646,$K$1)</f>
        <v>5</v>
      </c>
      <c r="T646">
        <f t="array" ref="T646">INDEX(INCVALUES,$Q646,$K$1)</f>
        <v>0.5</v>
      </c>
      <c r="V646">
        <f t="array" ref="V646">+J646+(4*(INDEX(MatchScoreTable,$Q646,20)-1))</f>
        <v>4</v>
      </c>
      <c r="W646" s="442">
        <f t="array" ref="W646">INDEX(INC_MINVALUES,$V646,$K$1)</f>
        <v>2.5</v>
      </c>
      <c r="X646" s="212">
        <f t="array" ref="X646">INDEX(INC_INCVALUES,$V646,$K$1)</f>
        <v>0.5</v>
      </c>
    </row>
    <row r="647" ht="15.75" customHeight="1">
      <c r="A647" s="435"/>
      <c r="B647" s="436"/>
      <c r="C647" s="95" t="str">
        <f t="array" ref="C647">IF(I647&gt;0,INDEX(DB,I647,8),"")</f>
        <v/>
      </c>
      <c r="D647" s="437">
        <f t="shared" si="1"/>
        <v>0</v>
      </c>
      <c r="F647" s="438">
        <f t="shared" si="2"/>
        <v>0</v>
      </c>
      <c r="G647" t="str">
        <f t="shared" si="3"/>
        <v/>
      </c>
      <c r="H647" t="b">
        <f t="shared" si="4"/>
        <v>0</v>
      </c>
      <c r="I647" s="439">
        <f>IF(OR(ISBLANK(A647),ISNA(MATCH(A647&amp;"",AthleteNumbers,0))),0,MATCH(A647&amp;"",AthleteNumbers,0))</f>
        <v>0</v>
      </c>
      <c r="J647" s="209">
        <f t="array" ref="J647">IF(I647&gt;0,INDEX(DB,$I647,6),0)</f>
        <v>0</v>
      </c>
      <c r="K647" s="446">
        <f t="shared" si="5"/>
        <v>0</v>
      </c>
      <c r="L647" s="446">
        <f t="shared" si="6"/>
        <v>0</v>
      </c>
      <c r="M647" s="441">
        <f>IF(L647&lt;O647,MinPoints,IF(AND(L647&gt;N647,O647&gt;0),100,+INT(($L647-O647)/P647)+MinPoints))</f>
        <v>10</v>
      </c>
      <c r="N647" s="440">
        <f t="shared" si="7"/>
        <v>50</v>
      </c>
      <c r="O647" s="440">
        <f t="shared" si="8"/>
        <v>5</v>
      </c>
      <c r="P647" s="440">
        <f t="shared" si="9"/>
        <v>0.5</v>
      </c>
      <c r="Q647">
        <f t="array" ref="Q647">IF(I647&gt;0,INDEX(DB,I647,9),EventIndex)</f>
        <v>6</v>
      </c>
      <c r="S647" s="442">
        <f t="array" ref="S647">INDEX(MINVALUES,$Q647,$K$1)</f>
        <v>5</v>
      </c>
      <c r="T647">
        <f t="array" ref="T647">INDEX(INCVALUES,$Q647,$K$1)</f>
        <v>0.5</v>
      </c>
      <c r="V647">
        <f t="array" ref="V647">+J647+(4*(INDEX(MatchScoreTable,$Q647,20)-1))</f>
        <v>4</v>
      </c>
      <c r="W647" s="442">
        <f t="array" ref="W647">INDEX(INC_MINVALUES,$V647,$K$1)</f>
        <v>2.5</v>
      </c>
      <c r="X647" s="212">
        <f t="array" ref="X647">INDEX(INC_INCVALUES,$V647,$K$1)</f>
        <v>0.5</v>
      </c>
    </row>
    <row r="648" ht="15.75" customHeight="1">
      <c r="A648" s="435"/>
      <c r="B648" s="436"/>
      <c r="C648" s="95" t="str">
        <f t="array" ref="C648">IF(I648&gt;0,INDEX(DB,I648,8),"")</f>
        <v/>
      </c>
      <c r="D648" s="437">
        <f t="shared" si="1"/>
        <v>0</v>
      </c>
      <c r="F648" s="438">
        <f t="shared" si="2"/>
        <v>0</v>
      </c>
      <c r="G648" t="str">
        <f t="shared" si="3"/>
        <v/>
      </c>
      <c r="H648" t="b">
        <f t="shared" si="4"/>
        <v>0</v>
      </c>
      <c r="I648" s="439">
        <f>IF(OR(ISBLANK(A648),ISNA(MATCH(A648&amp;"",AthleteNumbers,0))),0,MATCH(A648&amp;"",AthleteNumbers,0))</f>
        <v>0</v>
      </c>
      <c r="J648" s="209">
        <f t="array" ref="J648">IF(I648&gt;0,INDEX(DB,$I648,6),0)</f>
        <v>0</v>
      </c>
      <c r="K648" s="446">
        <f t="shared" si="5"/>
        <v>0</v>
      </c>
      <c r="L648" s="446">
        <f t="shared" si="6"/>
        <v>0</v>
      </c>
      <c r="M648" s="441">
        <f>IF(L648&lt;O648,MinPoints,IF(AND(L648&gt;N648,O648&gt;0),100,+INT(($L648-O648)/P648)+MinPoints))</f>
        <v>10</v>
      </c>
      <c r="N648" s="440">
        <f t="shared" si="7"/>
        <v>50</v>
      </c>
      <c r="O648" s="440">
        <f t="shared" si="8"/>
        <v>5</v>
      </c>
      <c r="P648" s="440">
        <f t="shared" si="9"/>
        <v>0.5</v>
      </c>
      <c r="Q648">
        <f t="array" ref="Q648">IF(I648&gt;0,INDEX(DB,I648,9),EventIndex)</f>
        <v>6</v>
      </c>
      <c r="S648" s="442">
        <f t="array" ref="S648">INDEX(MINVALUES,$Q648,$K$1)</f>
        <v>5</v>
      </c>
      <c r="T648">
        <f t="array" ref="T648">INDEX(INCVALUES,$Q648,$K$1)</f>
        <v>0.5</v>
      </c>
      <c r="V648">
        <f t="array" ref="V648">+J648+(4*(INDEX(MatchScoreTable,$Q648,20)-1))</f>
        <v>4</v>
      </c>
      <c r="W648" s="442">
        <f t="array" ref="W648">INDEX(INC_MINVALUES,$V648,$K$1)</f>
        <v>2.5</v>
      </c>
      <c r="X648" s="212">
        <f t="array" ref="X648">INDEX(INC_INCVALUES,$V648,$K$1)</f>
        <v>0.5</v>
      </c>
    </row>
    <row r="649" ht="15.75" customHeight="1">
      <c r="A649" s="435"/>
      <c r="B649" s="436"/>
      <c r="C649" s="95" t="str">
        <f t="array" ref="C649">IF(I649&gt;0,INDEX(DB,I649,8),"")</f>
        <v/>
      </c>
      <c r="D649" s="437">
        <f t="shared" si="1"/>
        <v>0</v>
      </c>
      <c r="F649" s="438">
        <f t="shared" si="2"/>
        <v>0</v>
      </c>
      <c r="G649" t="str">
        <f t="shared" si="3"/>
        <v/>
      </c>
      <c r="H649" t="b">
        <f t="shared" si="4"/>
        <v>0</v>
      </c>
      <c r="I649" s="439">
        <f>IF(OR(ISBLANK(A649),ISNA(MATCH(A649&amp;"",AthleteNumbers,0))),0,MATCH(A649&amp;"",AthleteNumbers,0))</f>
        <v>0</v>
      </c>
      <c r="J649" s="209">
        <f t="array" ref="J649">IF(I649&gt;0,INDEX(DB,$I649,6),0)</f>
        <v>0</v>
      </c>
      <c r="K649" s="446">
        <f t="shared" si="5"/>
        <v>0</v>
      </c>
      <c r="L649" s="446">
        <f t="shared" si="6"/>
        <v>0</v>
      </c>
      <c r="M649" s="441">
        <f>IF(L649&lt;O649,MinPoints,IF(AND(L649&gt;N649,O649&gt;0),100,+INT(($L649-O649)/P649)+MinPoints))</f>
        <v>10</v>
      </c>
      <c r="N649" s="440">
        <f t="shared" si="7"/>
        <v>50</v>
      </c>
      <c r="O649" s="440">
        <f t="shared" si="8"/>
        <v>5</v>
      </c>
      <c r="P649" s="440">
        <f t="shared" si="9"/>
        <v>0.5</v>
      </c>
      <c r="Q649">
        <f t="array" ref="Q649">IF(I649&gt;0,INDEX(DB,I649,9),EventIndex)</f>
        <v>6</v>
      </c>
      <c r="S649" s="442">
        <f t="array" ref="S649">INDEX(MINVALUES,$Q649,$K$1)</f>
        <v>5</v>
      </c>
      <c r="T649">
        <f t="array" ref="T649">INDEX(INCVALUES,$Q649,$K$1)</f>
        <v>0.5</v>
      </c>
      <c r="V649">
        <f t="array" ref="V649">+J649+(4*(INDEX(MatchScoreTable,$Q649,20)-1))</f>
        <v>4</v>
      </c>
      <c r="W649" s="442">
        <f t="array" ref="W649">INDEX(INC_MINVALUES,$V649,$K$1)</f>
        <v>2.5</v>
      </c>
      <c r="X649" s="212">
        <f t="array" ref="X649">INDEX(INC_INCVALUES,$V649,$K$1)</f>
        <v>0.5</v>
      </c>
    </row>
    <row r="650" ht="15.75" customHeight="1">
      <c r="A650" s="435"/>
      <c r="B650" s="436"/>
      <c r="C650" s="95" t="str">
        <f t="array" ref="C650">IF(I650&gt;0,INDEX(DB,I650,8),"")</f>
        <v/>
      </c>
      <c r="D650" s="437">
        <f t="shared" si="1"/>
        <v>0</v>
      </c>
      <c r="F650" s="438">
        <f t="shared" si="2"/>
        <v>0</v>
      </c>
      <c r="G650" t="str">
        <f t="shared" si="3"/>
        <v/>
      </c>
      <c r="H650" t="b">
        <f t="shared" si="4"/>
        <v>0</v>
      </c>
      <c r="I650" s="439">
        <f>IF(OR(ISBLANK(A650),ISNA(MATCH(A650&amp;"",AthleteNumbers,0))),0,MATCH(A650&amp;"",AthleteNumbers,0))</f>
        <v>0</v>
      </c>
      <c r="J650" s="209">
        <f t="array" ref="J650">IF(I650&gt;0,INDEX(DB,$I650,6),0)</f>
        <v>0</v>
      </c>
      <c r="K650" s="446">
        <f t="shared" si="5"/>
        <v>0</v>
      </c>
      <c r="L650" s="446">
        <f t="shared" si="6"/>
        <v>0</v>
      </c>
      <c r="M650" s="441">
        <f>IF(L650&lt;O650,MinPoints,IF(AND(L650&gt;N650,O650&gt;0),100,+INT(($L650-O650)/P650)+MinPoints))</f>
        <v>10</v>
      </c>
      <c r="N650" s="440">
        <f t="shared" si="7"/>
        <v>50</v>
      </c>
      <c r="O650" s="440">
        <f t="shared" si="8"/>
        <v>5</v>
      </c>
      <c r="P650" s="440">
        <f t="shared" si="9"/>
        <v>0.5</v>
      </c>
      <c r="Q650">
        <f t="array" ref="Q650">IF(I650&gt;0,INDEX(DB,I650,9),EventIndex)</f>
        <v>6</v>
      </c>
      <c r="S650" s="442">
        <f t="array" ref="S650">INDEX(MINVALUES,$Q650,$K$1)</f>
        <v>5</v>
      </c>
      <c r="T650">
        <f t="array" ref="T650">INDEX(INCVALUES,$Q650,$K$1)</f>
        <v>0.5</v>
      </c>
      <c r="V650">
        <f t="array" ref="V650">+J650+(4*(INDEX(MatchScoreTable,$Q650,20)-1))</f>
        <v>4</v>
      </c>
      <c r="W650" s="442">
        <f t="array" ref="W650">INDEX(INC_MINVALUES,$V650,$K$1)</f>
        <v>2.5</v>
      </c>
      <c r="X650" s="212">
        <f t="array" ref="X650">INDEX(INC_INCVALUES,$V650,$K$1)</f>
        <v>0.5</v>
      </c>
    </row>
    <row r="651" ht="15.75" customHeight="1">
      <c r="A651" s="435"/>
      <c r="B651" s="436"/>
      <c r="C651" s="95" t="str">
        <f t="array" ref="C651">IF(I651&gt;0,INDEX(DB,I651,8),"")</f>
        <v/>
      </c>
      <c r="D651" s="437">
        <f t="shared" si="1"/>
        <v>0</v>
      </c>
      <c r="F651" s="438">
        <f t="shared" si="2"/>
        <v>0</v>
      </c>
      <c r="G651" t="str">
        <f t="shared" si="3"/>
        <v/>
      </c>
      <c r="H651" t="b">
        <f t="shared" si="4"/>
        <v>0</v>
      </c>
      <c r="I651" s="439">
        <f>IF(OR(ISBLANK(A651),ISNA(MATCH(A651&amp;"",AthleteNumbers,0))),0,MATCH(A651&amp;"",AthleteNumbers,0))</f>
        <v>0</v>
      </c>
      <c r="J651" s="209">
        <f t="array" ref="J651">IF(I651&gt;0,INDEX(DB,$I651,6),0)</f>
        <v>0</v>
      </c>
      <c r="K651" s="446">
        <f t="shared" si="5"/>
        <v>0</v>
      </c>
      <c r="L651" s="446">
        <f t="shared" si="6"/>
        <v>0</v>
      </c>
      <c r="M651" s="441">
        <f>IF(L651&lt;O651,MinPoints,IF(AND(L651&gt;N651,O651&gt;0),100,+INT(($L651-O651)/P651)+MinPoints))</f>
        <v>10</v>
      </c>
      <c r="N651" s="440">
        <f t="shared" si="7"/>
        <v>50</v>
      </c>
      <c r="O651" s="440">
        <f t="shared" si="8"/>
        <v>5</v>
      </c>
      <c r="P651" s="440">
        <f t="shared" si="9"/>
        <v>0.5</v>
      </c>
      <c r="Q651">
        <f t="array" ref="Q651">IF(I651&gt;0,INDEX(DB,I651,9),EventIndex)</f>
        <v>6</v>
      </c>
      <c r="S651" s="442">
        <f t="array" ref="S651">INDEX(MINVALUES,$Q651,$K$1)</f>
        <v>5</v>
      </c>
      <c r="T651">
        <f t="array" ref="T651">INDEX(INCVALUES,$Q651,$K$1)</f>
        <v>0.5</v>
      </c>
      <c r="V651">
        <f t="array" ref="V651">+J651+(4*(INDEX(MatchScoreTable,$Q651,20)-1))</f>
        <v>4</v>
      </c>
      <c r="W651" s="442">
        <f t="array" ref="W651">INDEX(INC_MINVALUES,$V651,$K$1)</f>
        <v>2.5</v>
      </c>
      <c r="X651" s="212">
        <f t="array" ref="X651">INDEX(INC_INCVALUES,$V651,$K$1)</f>
        <v>0.5</v>
      </c>
    </row>
    <row r="652" ht="15.75" customHeight="1">
      <c r="A652" s="435"/>
      <c r="B652" s="436"/>
      <c r="C652" s="95" t="str">
        <f t="array" ref="C652">IF(I652&gt;0,INDEX(DB,I652,8),"")</f>
        <v/>
      </c>
      <c r="D652" s="437">
        <f t="shared" si="1"/>
        <v>0</v>
      </c>
      <c r="F652" s="438">
        <f t="shared" si="2"/>
        <v>0</v>
      </c>
      <c r="G652" t="str">
        <f t="shared" si="3"/>
        <v/>
      </c>
      <c r="H652" t="b">
        <f t="shared" si="4"/>
        <v>0</v>
      </c>
      <c r="I652" s="439">
        <f>IF(OR(ISBLANK(A652),ISNA(MATCH(A652&amp;"",AthleteNumbers,0))),0,MATCH(A652&amp;"",AthleteNumbers,0))</f>
        <v>0</v>
      </c>
      <c r="J652" s="209">
        <f t="array" ref="J652">IF(I652&gt;0,INDEX(DB,$I652,6),0)</f>
        <v>0</v>
      </c>
      <c r="K652" s="446">
        <f t="shared" si="5"/>
        <v>0</v>
      </c>
      <c r="L652" s="446">
        <f t="shared" si="6"/>
        <v>0</v>
      </c>
      <c r="M652" s="441">
        <f>IF(L652&lt;O652,MinPoints,IF(AND(L652&gt;N652,O652&gt;0),100,+INT(($L652-O652)/P652)+MinPoints))</f>
        <v>10</v>
      </c>
      <c r="N652" s="440">
        <f t="shared" si="7"/>
        <v>50</v>
      </c>
      <c r="O652" s="440">
        <f t="shared" si="8"/>
        <v>5</v>
      </c>
      <c r="P652" s="440">
        <f t="shared" si="9"/>
        <v>0.5</v>
      </c>
      <c r="Q652">
        <f t="array" ref="Q652">IF(I652&gt;0,INDEX(DB,I652,9),EventIndex)</f>
        <v>6</v>
      </c>
      <c r="S652" s="442">
        <f t="array" ref="S652">INDEX(MINVALUES,$Q652,$K$1)</f>
        <v>5</v>
      </c>
      <c r="T652">
        <f t="array" ref="T652">INDEX(INCVALUES,$Q652,$K$1)</f>
        <v>0.5</v>
      </c>
      <c r="V652">
        <f t="array" ref="V652">+J652+(4*(INDEX(MatchScoreTable,$Q652,20)-1))</f>
        <v>4</v>
      </c>
      <c r="W652" s="442">
        <f t="array" ref="W652">INDEX(INC_MINVALUES,$V652,$K$1)</f>
        <v>2.5</v>
      </c>
      <c r="X652" s="212">
        <f t="array" ref="X652">INDEX(INC_INCVALUES,$V652,$K$1)</f>
        <v>0.5</v>
      </c>
    </row>
    <row r="653" ht="15.75" customHeight="1">
      <c r="A653" s="435"/>
      <c r="B653" s="436"/>
      <c r="C653" s="95" t="str">
        <f t="array" ref="C653">IF(I653&gt;0,INDEX(DB,I653,8),"")</f>
        <v/>
      </c>
      <c r="D653" s="437">
        <f t="shared" si="1"/>
        <v>0</v>
      </c>
      <c r="F653" s="438">
        <f t="shared" si="2"/>
        <v>0</v>
      </c>
      <c r="G653" t="str">
        <f t="shared" si="3"/>
        <v/>
      </c>
      <c r="H653" t="b">
        <f t="shared" si="4"/>
        <v>0</v>
      </c>
      <c r="I653" s="439">
        <f>IF(OR(ISBLANK(A653),ISNA(MATCH(A653&amp;"",AthleteNumbers,0))),0,MATCH(A653&amp;"",AthleteNumbers,0))</f>
        <v>0</v>
      </c>
      <c r="J653" s="209">
        <f t="array" ref="J653">IF(I653&gt;0,INDEX(DB,$I653,6),0)</f>
        <v>0</v>
      </c>
      <c r="K653" s="446">
        <f t="shared" si="5"/>
        <v>0</v>
      </c>
      <c r="L653" s="446">
        <f t="shared" si="6"/>
        <v>0</v>
      </c>
      <c r="M653" s="441">
        <f>IF(L653&lt;O653,MinPoints,IF(AND(L653&gt;N653,O653&gt;0),100,+INT(($L653-O653)/P653)+MinPoints))</f>
        <v>10</v>
      </c>
      <c r="N653" s="440">
        <f t="shared" si="7"/>
        <v>50</v>
      </c>
      <c r="O653" s="440">
        <f t="shared" si="8"/>
        <v>5</v>
      </c>
      <c r="P653" s="440">
        <f t="shared" si="9"/>
        <v>0.5</v>
      </c>
      <c r="Q653">
        <f t="array" ref="Q653">IF(I653&gt;0,INDEX(DB,I653,9),EventIndex)</f>
        <v>6</v>
      </c>
      <c r="S653" s="442">
        <f t="array" ref="S653">INDEX(MINVALUES,$Q653,$K$1)</f>
        <v>5</v>
      </c>
      <c r="T653">
        <f t="array" ref="T653">INDEX(INCVALUES,$Q653,$K$1)</f>
        <v>0.5</v>
      </c>
      <c r="V653">
        <f t="array" ref="V653">+J653+(4*(INDEX(MatchScoreTable,$Q653,20)-1))</f>
        <v>4</v>
      </c>
      <c r="W653" s="442">
        <f t="array" ref="W653">INDEX(INC_MINVALUES,$V653,$K$1)</f>
        <v>2.5</v>
      </c>
      <c r="X653" s="212">
        <f t="array" ref="X653">INDEX(INC_INCVALUES,$V653,$K$1)</f>
        <v>0.5</v>
      </c>
    </row>
    <row r="654" ht="15.75" customHeight="1">
      <c r="A654" s="435"/>
      <c r="B654" s="436"/>
      <c r="C654" s="95" t="str">
        <f t="array" ref="C654">IF(I654&gt;0,INDEX(DB,I654,8),"")</f>
        <v/>
      </c>
      <c r="D654" s="437">
        <f t="shared" si="1"/>
        <v>0</v>
      </c>
      <c r="F654" s="438">
        <f t="shared" si="2"/>
        <v>0</v>
      </c>
      <c r="G654" t="str">
        <f t="shared" si="3"/>
        <v/>
      </c>
      <c r="H654" t="b">
        <f t="shared" si="4"/>
        <v>0</v>
      </c>
      <c r="I654" s="439">
        <f>IF(OR(ISBLANK(A654),ISNA(MATCH(A654&amp;"",AthleteNumbers,0))),0,MATCH(A654&amp;"",AthleteNumbers,0))</f>
        <v>0</v>
      </c>
      <c r="J654" s="209">
        <f t="array" ref="J654">IF(I654&gt;0,INDEX(DB,$I654,6),0)</f>
        <v>0</v>
      </c>
      <c r="K654" s="446">
        <f t="shared" si="5"/>
        <v>0</v>
      </c>
      <c r="L654" s="446">
        <f t="shared" si="6"/>
        <v>0</v>
      </c>
      <c r="M654" s="441">
        <f>IF(L654&lt;O654,MinPoints,IF(AND(L654&gt;N654,O654&gt;0),100,+INT(($L654-O654)/P654)+MinPoints))</f>
        <v>10</v>
      </c>
      <c r="N654" s="440">
        <f t="shared" si="7"/>
        <v>50</v>
      </c>
      <c r="O654" s="440">
        <f t="shared" si="8"/>
        <v>5</v>
      </c>
      <c r="P654" s="440">
        <f t="shared" si="9"/>
        <v>0.5</v>
      </c>
      <c r="Q654">
        <f t="array" ref="Q654">IF(I654&gt;0,INDEX(DB,I654,9),EventIndex)</f>
        <v>6</v>
      </c>
      <c r="S654" s="442">
        <f t="array" ref="S654">INDEX(MINVALUES,$Q654,$K$1)</f>
        <v>5</v>
      </c>
      <c r="T654">
        <f t="array" ref="T654">INDEX(INCVALUES,$Q654,$K$1)</f>
        <v>0.5</v>
      </c>
      <c r="V654">
        <f t="array" ref="V654">+J654+(4*(INDEX(MatchScoreTable,$Q654,20)-1))</f>
        <v>4</v>
      </c>
      <c r="W654" s="442">
        <f t="array" ref="W654">INDEX(INC_MINVALUES,$V654,$K$1)</f>
        <v>2.5</v>
      </c>
      <c r="X654" s="212">
        <f t="array" ref="X654">INDEX(INC_INCVALUES,$V654,$K$1)</f>
        <v>0.5</v>
      </c>
    </row>
    <row r="655" ht="15.75" customHeight="1">
      <c r="A655" s="435"/>
      <c r="B655" s="436"/>
      <c r="C655" s="95" t="str">
        <f t="array" ref="C655">IF(I655&gt;0,INDEX(DB,I655,8),"")</f>
        <v/>
      </c>
      <c r="D655" s="437">
        <f t="shared" si="1"/>
        <v>0</v>
      </c>
      <c r="F655" s="438">
        <f t="shared" si="2"/>
        <v>0</v>
      </c>
      <c r="G655" t="str">
        <f t="shared" si="3"/>
        <v/>
      </c>
      <c r="H655" t="b">
        <f t="shared" si="4"/>
        <v>0</v>
      </c>
      <c r="I655" s="439">
        <f>IF(OR(ISBLANK(A655),ISNA(MATCH(A655&amp;"",AthleteNumbers,0))),0,MATCH(A655&amp;"",AthleteNumbers,0))</f>
        <v>0</v>
      </c>
      <c r="J655" s="209">
        <f t="array" ref="J655">IF(I655&gt;0,INDEX(DB,$I655,6),0)</f>
        <v>0</v>
      </c>
      <c r="K655" s="446">
        <f t="shared" si="5"/>
        <v>0</v>
      </c>
      <c r="L655" s="446">
        <f t="shared" si="6"/>
        <v>0</v>
      </c>
      <c r="M655" s="441">
        <f>IF(L655&lt;O655,MinPoints,IF(AND(L655&gt;N655,O655&gt;0),100,+INT(($L655-O655)/P655)+MinPoints))</f>
        <v>10</v>
      </c>
      <c r="N655" s="440">
        <f t="shared" si="7"/>
        <v>50</v>
      </c>
      <c r="O655" s="440">
        <f t="shared" si="8"/>
        <v>5</v>
      </c>
      <c r="P655" s="440">
        <f t="shared" si="9"/>
        <v>0.5</v>
      </c>
      <c r="Q655">
        <f t="array" ref="Q655">IF(I655&gt;0,INDEX(DB,I655,9),EventIndex)</f>
        <v>6</v>
      </c>
      <c r="S655" s="442">
        <f t="array" ref="S655">INDEX(MINVALUES,$Q655,$K$1)</f>
        <v>5</v>
      </c>
      <c r="T655">
        <f t="array" ref="T655">INDEX(INCVALUES,$Q655,$K$1)</f>
        <v>0.5</v>
      </c>
      <c r="V655">
        <f t="array" ref="V655">+J655+(4*(INDEX(MatchScoreTable,$Q655,20)-1))</f>
        <v>4</v>
      </c>
      <c r="W655" s="442">
        <f t="array" ref="W655">INDEX(INC_MINVALUES,$V655,$K$1)</f>
        <v>2.5</v>
      </c>
      <c r="X655" s="212">
        <f t="array" ref="X655">INDEX(INC_INCVALUES,$V655,$K$1)</f>
        <v>0.5</v>
      </c>
    </row>
    <row r="656" ht="15.75" customHeight="1">
      <c r="A656" s="435"/>
      <c r="B656" s="436"/>
      <c r="C656" s="95" t="str">
        <f t="array" ref="C656">IF(I656&gt;0,INDEX(DB,I656,8),"")</f>
        <v/>
      </c>
      <c r="D656" s="437">
        <f t="shared" si="1"/>
        <v>0</v>
      </c>
      <c r="F656" s="438">
        <f t="shared" si="2"/>
        <v>0</v>
      </c>
      <c r="G656" t="str">
        <f t="shared" si="3"/>
        <v/>
      </c>
      <c r="H656" t="b">
        <f t="shared" si="4"/>
        <v>0</v>
      </c>
      <c r="I656" s="439">
        <f>IF(OR(ISBLANK(A656),ISNA(MATCH(A656&amp;"",AthleteNumbers,0))),0,MATCH(A656&amp;"",AthleteNumbers,0))</f>
        <v>0</v>
      </c>
      <c r="J656" s="209">
        <f t="array" ref="J656">IF(I656&gt;0,INDEX(DB,$I656,6),0)</f>
        <v>0</v>
      </c>
      <c r="K656" s="446">
        <f t="shared" si="5"/>
        <v>0</v>
      </c>
      <c r="L656" s="446">
        <f t="shared" si="6"/>
        <v>0</v>
      </c>
      <c r="M656" s="441">
        <f>IF(L656&lt;O656,MinPoints,IF(AND(L656&gt;N656,O656&gt;0),100,+INT(($L656-O656)/P656)+MinPoints))</f>
        <v>10</v>
      </c>
      <c r="N656" s="440">
        <f t="shared" si="7"/>
        <v>50</v>
      </c>
      <c r="O656" s="440">
        <f t="shared" si="8"/>
        <v>5</v>
      </c>
      <c r="P656" s="440">
        <f t="shared" si="9"/>
        <v>0.5</v>
      </c>
      <c r="Q656">
        <f t="array" ref="Q656">IF(I656&gt;0,INDEX(DB,I656,9),EventIndex)</f>
        <v>6</v>
      </c>
      <c r="S656" s="442">
        <f t="array" ref="S656">INDEX(MINVALUES,$Q656,$K$1)</f>
        <v>5</v>
      </c>
      <c r="T656">
        <f t="array" ref="T656">INDEX(INCVALUES,$Q656,$K$1)</f>
        <v>0.5</v>
      </c>
      <c r="V656">
        <f t="array" ref="V656">+J656+(4*(INDEX(MatchScoreTable,$Q656,20)-1))</f>
        <v>4</v>
      </c>
      <c r="W656" s="442">
        <f t="array" ref="W656">INDEX(INC_MINVALUES,$V656,$K$1)</f>
        <v>2.5</v>
      </c>
      <c r="X656" s="212">
        <f t="array" ref="X656">INDEX(INC_INCVALUES,$V656,$K$1)</f>
        <v>0.5</v>
      </c>
    </row>
    <row r="657" ht="15.75" customHeight="1">
      <c r="A657" s="435"/>
      <c r="B657" s="436"/>
      <c r="C657" s="95" t="str">
        <f t="array" ref="C657">IF(I657&gt;0,INDEX(DB,I657,8),"")</f>
        <v/>
      </c>
      <c r="D657" s="437">
        <f t="shared" si="1"/>
        <v>0</v>
      </c>
      <c r="F657" s="438">
        <f t="shared" si="2"/>
        <v>0</v>
      </c>
      <c r="G657" t="str">
        <f t="shared" si="3"/>
        <v/>
      </c>
      <c r="H657" t="b">
        <f t="shared" si="4"/>
        <v>0</v>
      </c>
      <c r="I657" s="439">
        <f>IF(OR(ISBLANK(A657),ISNA(MATCH(A657&amp;"",AthleteNumbers,0))),0,MATCH(A657&amp;"",AthleteNumbers,0))</f>
        <v>0</v>
      </c>
      <c r="J657" s="209">
        <f t="array" ref="J657">IF(I657&gt;0,INDEX(DB,$I657,6),0)</f>
        <v>0</v>
      </c>
      <c r="K657" s="446">
        <f t="shared" si="5"/>
        <v>0</v>
      </c>
      <c r="L657" s="446">
        <f t="shared" si="6"/>
        <v>0</v>
      </c>
      <c r="M657" s="441">
        <f>IF(L657&lt;O657,MinPoints,IF(AND(L657&gt;N657,O657&gt;0),100,+INT(($L657-O657)/P657)+MinPoints))</f>
        <v>10</v>
      </c>
      <c r="N657" s="440">
        <f t="shared" si="7"/>
        <v>50</v>
      </c>
      <c r="O657" s="440">
        <f t="shared" si="8"/>
        <v>5</v>
      </c>
      <c r="P657" s="440">
        <f t="shared" si="9"/>
        <v>0.5</v>
      </c>
      <c r="Q657">
        <f t="array" ref="Q657">IF(I657&gt;0,INDEX(DB,I657,9),EventIndex)</f>
        <v>6</v>
      </c>
      <c r="S657" s="442">
        <f t="array" ref="S657">INDEX(MINVALUES,$Q657,$K$1)</f>
        <v>5</v>
      </c>
      <c r="T657">
        <f t="array" ref="T657">INDEX(INCVALUES,$Q657,$K$1)</f>
        <v>0.5</v>
      </c>
      <c r="V657">
        <f t="array" ref="V657">+J657+(4*(INDEX(MatchScoreTable,$Q657,20)-1))</f>
        <v>4</v>
      </c>
      <c r="W657" s="442">
        <f t="array" ref="W657">INDEX(INC_MINVALUES,$V657,$K$1)</f>
        <v>2.5</v>
      </c>
      <c r="X657" s="212">
        <f t="array" ref="X657">INDEX(INC_INCVALUES,$V657,$K$1)</f>
        <v>0.5</v>
      </c>
    </row>
    <row r="658" ht="15.75" customHeight="1">
      <c r="A658" s="435"/>
      <c r="B658" s="436"/>
      <c r="C658" s="95" t="str">
        <f t="array" ref="C658">IF(I658&gt;0,INDEX(DB,I658,8),"")</f>
        <v/>
      </c>
      <c r="D658" s="437">
        <f t="shared" si="1"/>
        <v>0</v>
      </c>
      <c r="F658" s="438">
        <f t="shared" si="2"/>
        <v>0</v>
      </c>
      <c r="G658" t="str">
        <f t="shared" si="3"/>
        <v/>
      </c>
      <c r="H658" t="b">
        <f t="shared" si="4"/>
        <v>0</v>
      </c>
      <c r="I658" s="439">
        <f>IF(OR(ISBLANK(A658),ISNA(MATCH(A658&amp;"",AthleteNumbers,0))),0,MATCH(A658&amp;"",AthleteNumbers,0))</f>
        <v>0</v>
      </c>
      <c r="J658" s="209">
        <f t="array" ref="J658">IF(I658&gt;0,INDEX(DB,$I658,6),0)</f>
        <v>0</v>
      </c>
      <c r="K658" s="446">
        <f t="shared" si="5"/>
        <v>0</v>
      </c>
      <c r="L658" s="446">
        <f t="shared" si="6"/>
        <v>0</v>
      </c>
      <c r="M658" s="441">
        <f>IF(L658&lt;O658,MinPoints,IF(AND(L658&gt;N658,O658&gt;0),100,+INT(($L658-O658)/P658)+MinPoints))</f>
        <v>10</v>
      </c>
      <c r="N658" s="440">
        <f t="shared" si="7"/>
        <v>50</v>
      </c>
      <c r="O658" s="440">
        <f t="shared" si="8"/>
        <v>5</v>
      </c>
      <c r="P658" s="440">
        <f t="shared" si="9"/>
        <v>0.5</v>
      </c>
      <c r="Q658">
        <f t="array" ref="Q658">IF(I658&gt;0,INDEX(DB,I658,9),EventIndex)</f>
        <v>6</v>
      </c>
      <c r="S658" s="442">
        <f t="array" ref="S658">INDEX(MINVALUES,$Q658,$K$1)</f>
        <v>5</v>
      </c>
      <c r="T658">
        <f t="array" ref="T658">INDEX(INCVALUES,$Q658,$K$1)</f>
        <v>0.5</v>
      </c>
      <c r="V658">
        <f t="array" ref="V658">+J658+(4*(INDEX(MatchScoreTable,$Q658,20)-1))</f>
        <v>4</v>
      </c>
      <c r="W658" s="442">
        <f t="array" ref="W658">INDEX(INC_MINVALUES,$V658,$K$1)</f>
        <v>2.5</v>
      </c>
      <c r="X658" s="212">
        <f t="array" ref="X658">INDEX(INC_INCVALUES,$V658,$K$1)</f>
        <v>0.5</v>
      </c>
    </row>
    <row r="659" ht="15.75" customHeight="1">
      <c r="A659" s="435"/>
      <c r="B659" s="436"/>
      <c r="C659" s="95" t="str">
        <f t="array" ref="C659">IF(I659&gt;0,INDEX(DB,I659,8),"")</f>
        <v/>
      </c>
      <c r="D659" s="437">
        <f t="shared" si="1"/>
        <v>0</v>
      </c>
      <c r="F659" s="438">
        <f t="shared" si="2"/>
        <v>0</v>
      </c>
      <c r="G659" t="str">
        <f t="shared" si="3"/>
        <v/>
      </c>
      <c r="H659" t="b">
        <f t="shared" si="4"/>
        <v>0</v>
      </c>
      <c r="I659" s="439">
        <f>IF(OR(ISBLANK(A659),ISNA(MATCH(A659&amp;"",AthleteNumbers,0))),0,MATCH(A659&amp;"",AthleteNumbers,0))</f>
        <v>0</v>
      </c>
      <c r="J659" s="209">
        <f t="array" ref="J659">IF(I659&gt;0,INDEX(DB,$I659,6),0)</f>
        <v>0</v>
      </c>
      <c r="K659" s="446">
        <f t="shared" si="5"/>
        <v>0</v>
      </c>
      <c r="L659" s="446">
        <f t="shared" si="6"/>
        <v>0</v>
      </c>
      <c r="M659" s="441">
        <f>IF(L659&lt;O659,MinPoints,IF(AND(L659&gt;N659,O659&gt;0),100,+INT(($L659-O659)/P659)+MinPoints))</f>
        <v>10</v>
      </c>
      <c r="N659" s="440">
        <f t="shared" si="7"/>
        <v>50</v>
      </c>
      <c r="O659" s="440">
        <f t="shared" si="8"/>
        <v>5</v>
      </c>
      <c r="P659" s="440">
        <f t="shared" si="9"/>
        <v>0.5</v>
      </c>
      <c r="Q659">
        <f t="array" ref="Q659">IF(I659&gt;0,INDEX(DB,I659,9),EventIndex)</f>
        <v>6</v>
      </c>
      <c r="S659" s="442">
        <f t="array" ref="S659">INDEX(MINVALUES,$Q659,$K$1)</f>
        <v>5</v>
      </c>
      <c r="T659">
        <f t="array" ref="T659">INDEX(INCVALUES,$Q659,$K$1)</f>
        <v>0.5</v>
      </c>
      <c r="V659">
        <f t="array" ref="V659">+J659+(4*(INDEX(MatchScoreTable,$Q659,20)-1))</f>
        <v>4</v>
      </c>
      <c r="W659" s="442">
        <f t="array" ref="W659">INDEX(INC_MINVALUES,$V659,$K$1)</f>
        <v>2.5</v>
      </c>
      <c r="X659" s="212">
        <f t="array" ref="X659">INDEX(INC_INCVALUES,$V659,$K$1)</f>
        <v>0.5</v>
      </c>
    </row>
    <row r="660" ht="15.75" customHeight="1">
      <c r="A660" s="435"/>
      <c r="B660" s="436"/>
      <c r="C660" s="95" t="str">
        <f t="array" ref="C660">IF(I660&gt;0,INDEX(DB,I660,8),"")</f>
        <v/>
      </c>
      <c r="D660" s="437">
        <f t="shared" si="1"/>
        <v>0</v>
      </c>
      <c r="F660" s="438">
        <f t="shared" si="2"/>
        <v>0</v>
      </c>
      <c r="G660" t="str">
        <f t="shared" si="3"/>
        <v/>
      </c>
      <c r="H660" t="b">
        <f t="shared" si="4"/>
        <v>0</v>
      </c>
      <c r="I660" s="439">
        <f>IF(OR(ISBLANK(A660),ISNA(MATCH(A660&amp;"",AthleteNumbers,0))),0,MATCH(A660&amp;"",AthleteNumbers,0))</f>
        <v>0</v>
      </c>
      <c r="J660" s="209">
        <f t="array" ref="J660">IF(I660&gt;0,INDEX(DB,$I660,6),0)</f>
        <v>0</v>
      </c>
      <c r="K660" s="446">
        <f t="shared" si="5"/>
        <v>0</v>
      </c>
      <c r="L660" s="446">
        <f t="shared" si="6"/>
        <v>0</v>
      </c>
      <c r="M660" s="441">
        <f>IF(L660&lt;O660,MinPoints,IF(AND(L660&gt;N660,O660&gt;0),100,+INT(($L660-O660)/P660)+MinPoints))</f>
        <v>10</v>
      </c>
      <c r="N660" s="440">
        <f t="shared" si="7"/>
        <v>50</v>
      </c>
      <c r="O660" s="440">
        <f t="shared" si="8"/>
        <v>5</v>
      </c>
      <c r="P660" s="440">
        <f t="shared" si="9"/>
        <v>0.5</v>
      </c>
      <c r="Q660">
        <f t="array" ref="Q660">IF(I660&gt;0,INDEX(DB,I660,9),EventIndex)</f>
        <v>6</v>
      </c>
      <c r="S660" s="442">
        <f t="array" ref="S660">INDEX(MINVALUES,$Q660,$K$1)</f>
        <v>5</v>
      </c>
      <c r="T660">
        <f t="array" ref="T660">INDEX(INCVALUES,$Q660,$K$1)</f>
        <v>0.5</v>
      </c>
      <c r="V660">
        <f t="array" ref="V660">+J660+(4*(INDEX(MatchScoreTable,$Q660,20)-1))</f>
        <v>4</v>
      </c>
      <c r="W660" s="442">
        <f t="array" ref="W660">INDEX(INC_MINVALUES,$V660,$K$1)</f>
        <v>2.5</v>
      </c>
      <c r="X660" s="212">
        <f t="array" ref="X660">INDEX(INC_INCVALUES,$V660,$K$1)</f>
        <v>0.5</v>
      </c>
    </row>
    <row r="661" ht="15.75" customHeight="1">
      <c r="A661" s="435"/>
      <c r="B661" s="436"/>
      <c r="C661" s="95" t="str">
        <f t="array" ref="C661">IF(I661&gt;0,INDEX(DB,I661,8),"")</f>
        <v/>
      </c>
      <c r="D661" s="437">
        <f t="shared" si="1"/>
        <v>0</v>
      </c>
      <c r="F661" s="438">
        <f t="shared" si="2"/>
        <v>0</v>
      </c>
      <c r="G661" t="str">
        <f t="shared" si="3"/>
        <v/>
      </c>
      <c r="H661" t="b">
        <f t="shared" si="4"/>
        <v>0</v>
      </c>
      <c r="I661" s="439">
        <f>IF(OR(ISBLANK(A661),ISNA(MATCH(A661&amp;"",AthleteNumbers,0))),0,MATCH(A661&amp;"",AthleteNumbers,0))</f>
        <v>0</v>
      </c>
      <c r="J661" s="209">
        <f t="array" ref="J661">IF(I661&gt;0,INDEX(DB,$I661,6),0)</f>
        <v>0</v>
      </c>
      <c r="K661" s="446">
        <f t="shared" si="5"/>
        <v>0</v>
      </c>
      <c r="L661" s="446">
        <f t="shared" si="6"/>
        <v>0</v>
      </c>
      <c r="M661" s="441">
        <f>IF(L661&lt;O661,MinPoints,IF(AND(L661&gt;N661,O661&gt;0),100,+INT(($L661-O661)/P661)+MinPoints))</f>
        <v>10</v>
      </c>
      <c r="N661" s="440">
        <f t="shared" si="7"/>
        <v>50</v>
      </c>
      <c r="O661" s="440">
        <f t="shared" si="8"/>
        <v>5</v>
      </c>
      <c r="P661" s="440">
        <f t="shared" si="9"/>
        <v>0.5</v>
      </c>
      <c r="Q661">
        <f t="array" ref="Q661">IF(I661&gt;0,INDEX(DB,I661,9),EventIndex)</f>
        <v>6</v>
      </c>
      <c r="S661" s="442">
        <f t="array" ref="S661">INDEX(MINVALUES,$Q661,$K$1)</f>
        <v>5</v>
      </c>
      <c r="T661">
        <f t="array" ref="T661">INDEX(INCVALUES,$Q661,$K$1)</f>
        <v>0.5</v>
      </c>
      <c r="V661">
        <f t="array" ref="V661">+J661+(4*(INDEX(MatchScoreTable,$Q661,20)-1))</f>
        <v>4</v>
      </c>
      <c r="W661" s="442">
        <f t="array" ref="W661">INDEX(INC_MINVALUES,$V661,$K$1)</f>
        <v>2.5</v>
      </c>
      <c r="X661" s="212">
        <f t="array" ref="X661">INDEX(INC_INCVALUES,$V661,$K$1)</f>
        <v>0.5</v>
      </c>
    </row>
    <row r="662" ht="15.75" customHeight="1">
      <c r="A662" s="435"/>
      <c r="B662" s="436"/>
      <c r="C662" s="95" t="str">
        <f t="array" ref="C662">IF(I662&gt;0,INDEX(DB,I662,8),"")</f>
        <v/>
      </c>
      <c r="D662" s="437">
        <f t="shared" si="1"/>
        <v>0</v>
      </c>
      <c r="F662" s="438">
        <f t="shared" si="2"/>
        <v>0</v>
      </c>
      <c r="G662" t="str">
        <f t="shared" si="3"/>
        <v/>
      </c>
      <c r="H662" t="b">
        <f t="shared" si="4"/>
        <v>0</v>
      </c>
      <c r="I662" s="439">
        <f>IF(OR(ISBLANK(A662),ISNA(MATCH(A662&amp;"",AthleteNumbers,0))),0,MATCH(A662&amp;"",AthleteNumbers,0))</f>
        <v>0</v>
      </c>
      <c r="J662" s="209">
        <f t="array" ref="J662">IF(I662&gt;0,INDEX(DB,$I662,6),0)</f>
        <v>0</v>
      </c>
      <c r="K662" s="446">
        <f t="shared" si="5"/>
        <v>0</v>
      </c>
      <c r="L662" s="446">
        <f t="shared" si="6"/>
        <v>0</v>
      </c>
      <c r="M662" s="441">
        <f>IF(L662&lt;O662,MinPoints,IF(AND(L662&gt;N662,O662&gt;0),100,+INT(($L662-O662)/P662)+MinPoints))</f>
        <v>10</v>
      </c>
      <c r="N662" s="440">
        <f t="shared" si="7"/>
        <v>50</v>
      </c>
      <c r="O662" s="440">
        <f t="shared" si="8"/>
        <v>5</v>
      </c>
      <c r="P662" s="440">
        <f t="shared" si="9"/>
        <v>0.5</v>
      </c>
      <c r="Q662">
        <f t="array" ref="Q662">IF(I662&gt;0,INDEX(DB,I662,9),EventIndex)</f>
        <v>6</v>
      </c>
      <c r="S662" s="442">
        <f t="array" ref="S662">INDEX(MINVALUES,$Q662,$K$1)</f>
        <v>5</v>
      </c>
      <c r="T662">
        <f t="array" ref="T662">INDEX(INCVALUES,$Q662,$K$1)</f>
        <v>0.5</v>
      </c>
      <c r="V662">
        <f t="array" ref="V662">+J662+(4*(INDEX(MatchScoreTable,$Q662,20)-1))</f>
        <v>4</v>
      </c>
      <c r="W662" s="442">
        <f t="array" ref="W662">INDEX(INC_MINVALUES,$V662,$K$1)</f>
        <v>2.5</v>
      </c>
      <c r="X662" s="212">
        <f t="array" ref="X662">INDEX(INC_INCVALUES,$V662,$K$1)</f>
        <v>0.5</v>
      </c>
    </row>
    <row r="663" ht="15.75" customHeight="1">
      <c r="A663" s="435"/>
      <c r="B663" s="436"/>
      <c r="C663" s="95" t="str">
        <f t="array" ref="C663">IF(I663&gt;0,INDEX(DB,I663,8),"")</f>
        <v/>
      </c>
      <c r="D663" s="437">
        <f t="shared" si="1"/>
        <v>0</v>
      </c>
      <c r="F663" s="438">
        <f t="shared" si="2"/>
        <v>0</v>
      </c>
      <c r="G663" t="str">
        <f t="shared" si="3"/>
        <v/>
      </c>
      <c r="H663" t="b">
        <f t="shared" si="4"/>
        <v>0</v>
      </c>
      <c r="I663" s="439">
        <f>IF(OR(ISBLANK(A663),ISNA(MATCH(A663&amp;"",AthleteNumbers,0))),0,MATCH(A663&amp;"",AthleteNumbers,0))</f>
        <v>0</v>
      </c>
      <c r="J663" s="209">
        <f t="array" ref="J663">IF(I663&gt;0,INDEX(DB,$I663,6),0)</f>
        <v>0</v>
      </c>
      <c r="K663" s="446">
        <f t="shared" si="5"/>
        <v>0</v>
      </c>
      <c r="L663" s="446">
        <f t="shared" si="6"/>
        <v>0</v>
      </c>
      <c r="M663" s="441">
        <f>IF(L663&lt;O663,MinPoints,IF(AND(L663&gt;N663,O663&gt;0),100,+INT(($L663-O663)/P663)+MinPoints))</f>
        <v>10</v>
      </c>
      <c r="N663" s="440">
        <f t="shared" si="7"/>
        <v>50</v>
      </c>
      <c r="O663" s="440">
        <f t="shared" si="8"/>
        <v>5</v>
      </c>
      <c r="P663" s="440">
        <f t="shared" si="9"/>
        <v>0.5</v>
      </c>
      <c r="Q663">
        <f t="array" ref="Q663">IF(I663&gt;0,INDEX(DB,I663,9),EventIndex)</f>
        <v>6</v>
      </c>
      <c r="S663" s="442">
        <f t="array" ref="S663">INDEX(MINVALUES,$Q663,$K$1)</f>
        <v>5</v>
      </c>
      <c r="T663">
        <f t="array" ref="T663">INDEX(INCVALUES,$Q663,$K$1)</f>
        <v>0.5</v>
      </c>
      <c r="V663">
        <f t="array" ref="V663">+J663+(4*(INDEX(MatchScoreTable,$Q663,20)-1))</f>
        <v>4</v>
      </c>
      <c r="W663" s="442">
        <f t="array" ref="W663">INDEX(INC_MINVALUES,$V663,$K$1)</f>
        <v>2.5</v>
      </c>
      <c r="X663" s="212">
        <f t="array" ref="X663">INDEX(INC_INCVALUES,$V663,$K$1)</f>
        <v>0.5</v>
      </c>
    </row>
    <row r="664" ht="15.75" customHeight="1">
      <c r="A664" s="435"/>
      <c r="B664" s="436"/>
      <c r="C664" s="95" t="str">
        <f t="array" ref="C664">IF(I664&gt;0,INDEX(DB,I664,8),"")</f>
        <v/>
      </c>
      <c r="D664" s="437">
        <f t="shared" si="1"/>
        <v>0</v>
      </c>
      <c r="F664" s="438">
        <f t="shared" si="2"/>
        <v>0</v>
      </c>
      <c r="G664" t="str">
        <f t="shared" si="3"/>
        <v/>
      </c>
      <c r="H664" t="b">
        <f t="shared" si="4"/>
        <v>0</v>
      </c>
      <c r="I664" s="439">
        <f>IF(OR(ISBLANK(A664),ISNA(MATCH(A664&amp;"",AthleteNumbers,0))),0,MATCH(A664&amp;"",AthleteNumbers,0))</f>
        <v>0</v>
      </c>
      <c r="J664" s="209">
        <f t="array" ref="J664">IF(I664&gt;0,INDEX(DB,$I664,6),0)</f>
        <v>0</v>
      </c>
      <c r="K664" s="446">
        <f t="shared" si="5"/>
        <v>0</v>
      </c>
      <c r="L664" s="446">
        <f t="shared" si="6"/>
        <v>0</v>
      </c>
      <c r="M664" s="441">
        <f>IF(L664&lt;O664,MinPoints,IF(AND(L664&gt;N664,O664&gt;0),100,+INT(($L664-O664)/P664)+MinPoints))</f>
        <v>10</v>
      </c>
      <c r="N664" s="440">
        <f t="shared" si="7"/>
        <v>50</v>
      </c>
      <c r="O664" s="440">
        <f t="shared" si="8"/>
        <v>5</v>
      </c>
      <c r="P664" s="440">
        <f t="shared" si="9"/>
        <v>0.5</v>
      </c>
      <c r="Q664">
        <f t="array" ref="Q664">IF(I664&gt;0,INDEX(DB,I664,9),EventIndex)</f>
        <v>6</v>
      </c>
      <c r="S664" s="442">
        <f t="array" ref="S664">INDEX(MINVALUES,$Q664,$K$1)</f>
        <v>5</v>
      </c>
      <c r="T664">
        <f t="array" ref="T664">INDEX(INCVALUES,$Q664,$K$1)</f>
        <v>0.5</v>
      </c>
      <c r="V664">
        <f t="array" ref="V664">+J664+(4*(INDEX(MatchScoreTable,$Q664,20)-1))</f>
        <v>4</v>
      </c>
      <c r="W664" s="442">
        <f t="array" ref="W664">INDEX(INC_MINVALUES,$V664,$K$1)</f>
        <v>2.5</v>
      </c>
      <c r="X664" s="212">
        <f t="array" ref="X664">INDEX(INC_INCVALUES,$V664,$K$1)</f>
        <v>0.5</v>
      </c>
    </row>
    <row r="665" ht="15.75" customHeight="1">
      <c r="A665" s="435"/>
      <c r="B665" s="436"/>
      <c r="C665" s="95" t="str">
        <f t="array" ref="C665">IF(I665&gt;0,INDEX(DB,I665,8),"")</f>
        <v/>
      </c>
      <c r="D665" s="437">
        <f t="shared" si="1"/>
        <v>0</v>
      </c>
      <c r="F665" s="438">
        <f t="shared" si="2"/>
        <v>0</v>
      </c>
      <c r="G665" t="str">
        <f t="shared" si="3"/>
        <v/>
      </c>
      <c r="H665" t="b">
        <f t="shared" si="4"/>
        <v>0</v>
      </c>
      <c r="I665" s="439">
        <f>IF(OR(ISBLANK(A665),ISNA(MATCH(A665&amp;"",AthleteNumbers,0))),0,MATCH(A665&amp;"",AthleteNumbers,0))</f>
        <v>0</v>
      </c>
      <c r="J665" s="209">
        <f t="array" ref="J665">IF(I665&gt;0,INDEX(DB,$I665,6),0)</f>
        <v>0</v>
      </c>
      <c r="K665" s="446">
        <f t="shared" si="5"/>
        <v>0</v>
      </c>
      <c r="L665" s="446">
        <f t="shared" si="6"/>
        <v>0</v>
      </c>
      <c r="M665" s="441">
        <f>IF(L665&lt;O665,MinPoints,IF(AND(L665&gt;N665,O665&gt;0),100,+INT(($L665-O665)/P665)+MinPoints))</f>
        <v>10</v>
      </c>
      <c r="N665" s="440">
        <f t="shared" si="7"/>
        <v>50</v>
      </c>
      <c r="O665" s="440">
        <f t="shared" si="8"/>
        <v>5</v>
      </c>
      <c r="P665" s="440">
        <f t="shared" si="9"/>
        <v>0.5</v>
      </c>
      <c r="Q665">
        <f t="array" ref="Q665">IF(I665&gt;0,INDEX(DB,I665,9),EventIndex)</f>
        <v>6</v>
      </c>
      <c r="S665" s="442">
        <f t="array" ref="S665">INDEX(MINVALUES,$Q665,$K$1)</f>
        <v>5</v>
      </c>
      <c r="T665">
        <f t="array" ref="T665">INDEX(INCVALUES,$Q665,$K$1)</f>
        <v>0.5</v>
      </c>
      <c r="V665">
        <f t="array" ref="V665">+J665+(4*(INDEX(MatchScoreTable,$Q665,20)-1))</f>
        <v>4</v>
      </c>
      <c r="W665" s="442">
        <f t="array" ref="W665">INDEX(INC_MINVALUES,$V665,$K$1)</f>
        <v>2.5</v>
      </c>
      <c r="X665" s="212">
        <f t="array" ref="X665">INDEX(INC_INCVALUES,$V665,$K$1)</f>
        <v>0.5</v>
      </c>
    </row>
    <row r="666" ht="15.75" customHeight="1">
      <c r="A666" s="435"/>
      <c r="B666" s="436"/>
      <c r="C666" s="95" t="str">
        <f t="array" ref="C666">IF(I666&gt;0,INDEX(DB,I666,8),"")</f>
        <v/>
      </c>
      <c r="D666" s="437">
        <f t="shared" si="1"/>
        <v>0</v>
      </c>
      <c r="F666" s="438">
        <f t="shared" si="2"/>
        <v>0</v>
      </c>
      <c r="G666" t="str">
        <f t="shared" si="3"/>
        <v/>
      </c>
      <c r="H666" t="b">
        <f t="shared" si="4"/>
        <v>0</v>
      </c>
      <c r="I666" s="439">
        <f>IF(OR(ISBLANK(A666),ISNA(MATCH(A666&amp;"",AthleteNumbers,0))),0,MATCH(A666&amp;"",AthleteNumbers,0))</f>
        <v>0</v>
      </c>
      <c r="J666" s="209">
        <f t="array" ref="J666">IF(I666&gt;0,INDEX(DB,$I666,6),0)</f>
        <v>0</v>
      </c>
      <c r="K666" s="446">
        <f t="shared" si="5"/>
        <v>0</v>
      </c>
      <c r="L666" s="446">
        <f t="shared" si="6"/>
        <v>0</v>
      </c>
      <c r="M666" s="441">
        <f>IF(L666&lt;O666,MinPoints,IF(AND(L666&gt;N666,O666&gt;0),100,+INT(($L666-O666)/P666)+MinPoints))</f>
        <v>10</v>
      </c>
      <c r="N666" s="440">
        <f t="shared" si="7"/>
        <v>50</v>
      </c>
      <c r="O666" s="440">
        <f t="shared" si="8"/>
        <v>5</v>
      </c>
      <c r="P666" s="440">
        <f t="shared" si="9"/>
        <v>0.5</v>
      </c>
      <c r="Q666">
        <f t="array" ref="Q666">IF(I666&gt;0,INDEX(DB,I666,9),EventIndex)</f>
        <v>6</v>
      </c>
      <c r="S666" s="442">
        <f t="array" ref="S666">INDEX(MINVALUES,$Q666,$K$1)</f>
        <v>5</v>
      </c>
      <c r="T666">
        <f t="array" ref="T666">INDEX(INCVALUES,$Q666,$K$1)</f>
        <v>0.5</v>
      </c>
      <c r="V666">
        <f t="array" ref="V666">+J666+(4*(INDEX(MatchScoreTable,$Q666,20)-1))</f>
        <v>4</v>
      </c>
      <c r="W666" s="442">
        <f t="array" ref="W666">INDEX(INC_MINVALUES,$V666,$K$1)</f>
        <v>2.5</v>
      </c>
      <c r="X666" s="212">
        <f t="array" ref="X666">INDEX(INC_INCVALUES,$V666,$K$1)</f>
        <v>0.5</v>
      </c>
    </row>
    <row r="667" ht="15.75" customHeight="1">
      <c r="A667" s="435"/>
      <c r="B667" s="436"/>
      <c r="C667" s="95" t="str">
        <f t="array" ref="C667">IF(I667&gt;0,INDEX(DB,I667,8),"")</f>
        <v/>
      </c>
      <c r="D667" s="437">
        <f t="shared" si="1"/>
        <v>0</v>
      </c>
      <c r="F667" s="438">
        <f t="shared" si="2"/>
        <v>0</v>
      </c>
      <c r="G667" t="str">
        <f t="shared" si="3"/>
        <v/>
      </c>
      <c r="H667" t="b">
        <f t="shared" si="4"/>
        <v>0</v>
      </c>
      <c r="I667" s="439">
        <f>IF(OR(ISBLANK(A667),ISNA(MATCH(A667&amp;"",AthleteNumbers,0))),0,MATCH(A667&amp;"",AthleteNumbers,0))</f>
        <v>0</v>
      </c>
      <c r="J667" s="209">
        <f t="array" ref="J667">IF(I667&gt;0,INDEX(DB,$I667,6),0)</f>
        <v>0</v>
      </c>
      <c r="K667" s="446">
        <f t="shared" si="5"/>
        <v>0</v>
      </c>
      <c r="L667" s="446">
        <f t="shared" si="6"/>
        <v>0</v>
      </c>
      <c r="M667" s="441">
        <f>IF(L667&lt;O667,MinPoints,IF(AND(L667&gt;N667,O667&gt;0),100,+INT(($L667-O667)/P667)+MinPoints))</f>
        <v>10</v>
      </c>
      <c r="N667" s="440">
        <f t="shared" si="7"/>
        <v>50</v>
      </c>
      <c r="O667" s="440">
        <f t="shared" si="8"/>
        <v>5</v>
      </c>
      <c r="P667" s="440">
        <f t="shared" si="9"/>
        <v>0.5</v>
      </c>
      <c r="Q667">
        <f t="array" ref="Q667">IF(I667&gt;0,INDEX(DB,I667,9),EventIndex)</f>
        <v>6</v>
      </c>
      <c r="S667" s="442">
        <f t="array" ref="S667">INDEX(MINVALUES,$Q667,$K$1)</f>
        <v>5</v>
      </c>
      <c r="T667">
        <f t="array" ref="T667">INDEX(INCVALUES,$Q667,$K$1)</f>
        <v>0.5</v>
      </c>
      <c r="V667">
        <f t="array" ref="V667">+J667+(4*(INDEX(MatchScoreTable,$Q667,20)-1))</f>
        <v>4</v>
      </c>
      <c r="W667" s="442">
        <f t="array" ref="W667">INDEX(INC_MINVALUES,$V667,$K$1)</f>
        <v>2.5</v>
      </c>
      <c r="X667" s="212">
        <f t="array" ref="X667">INDEX(INC_INCVALUES,$V667,$K$1)</f>
        <v>0.5</v>
      </c>
    </row>
    <row r="668" ht="15.75" customHeight="1">
      <c r="A668" s="435"/>
      <c r="B668" s="436"/>
      <c r="C668" s="95" t="str">
        <f t="array" ref="C668">IF(I668&gt;0,INDEX(DB,I668,8),"")</f>
        <v/>
      </c>
      <c r="D668" s="437">
        <f t="shared" si="1"/>
        <v>0</v>
      </c>
      <c r="F668" s="438">
        <f t="shared" si="2"/>
        <v>0</v>
      </c>
      <c r="G668" t="str">
        <f t="shared" si="3"/>
        <v/>
      </c>
      <c r="H668" t="b">
        <f t="shared" si="4"/>
        <v>0</v>
      </c>
      <c r="I668" s="439">
        <f>IF(OR(ISBLANK(A668),ISNA(MATCH(A668&amp;"",AthleteNumbers,0))),0,MATCH(A668&amp;"",AthleteNumbers,0))</f>
        <v>0</v>
      </c>
      <c r="J668" s="209">
        <f t="array" ref="J668">IF(I668&gt;0,INDEX(DB,$I668,6),0)</f>
        <v>0</v>
      </c>
      <c r="K668" s="446">
        <f t="shared" si="5"/>
        <v>0</v>
      </c>
      <c r="L668" s="446">
        <f t="shared" si="6"/>
        <v>0</v>
      </c>
      <c r="M668" s="441">
        <f>IF(L668&lt;O668,MinPoints,IF(AND(L668&gt;N668,O668&gt;0),100,+INT(($L668-O668)/P668)+MinPoints))</f>
        <v>10</v>
      </c>
      <c r="N668" s="440">
        <f t="shared" si="7"/>
        <v>50</v>
      </c>
      <c r="O668" s="440">
        <f t="shared" si="8"/>
        <v>5</v>
      </c>
      <c r="P668" s="440">
        <f t="shared" si="9"/>
        <v>0.5</v>
      </c>
      <c r="Q668">
        <f t="array" ref="Q668">IF(I668&gt;0,INDEX(DB,I668,9),EventIndex)</f>
        <v>6</v>
      </c>
      <c r="S668" s="442">
        <f t="array" ref="S668">INDEX(MINVALUES,$Q668,$K$1)</f>
        <v>5</v>
      </c>
      <c r="T668">
        <f t="array" ref="T668">INDEX(INCVALUES,$Q668,$K$1)</f>
        <v>0.5</v>
      </c>
      <c r="V668">
        <f t="array" ref="V668">+J668+(4*(INDEX(MatchScoreTable,$Q668,20)-1))</f>
        <v>4</v>
      </c>
      <c r="W668" s="442">
        <f t="array" ref="W668">INDEX(INC_MINVALUES,$V668,$K$1)</f>
        <v>2.5</v>
      </c>
      <c r="X668" s="212">
        <f t="array" ref="X668">INDEX(INC_INCVALUES,$V668,$K$1)</f>
        <v>0.5</v>
      </c>
    </row>
    <row r="669" ht="15.75" customHeight="1">
      <c r="A669" s="435"/>
      <c r="B669" s="436"/>
      <c r="C669" s="95" t="str">
        <f t="array" ref="C669">IF(I669&gt;0,INDEX(DB,I669,8),"")</f>
        <v/>
      </c>
      <c r="D669" s="437">
        <f t="shared" si="1"/>
        <v>0</v>
      </c>
      <c r="F669" s="438">
        <f t="shared" si="2"/>
        <v>0</v>
      </c>
      <c r="G669" t="str">
        <f t="shared" si="3"/>
        <v/>
      </c>
      <c r="H669" t="b">
        <f t="shared" si="4"/>
        <v>0</v>
      </c>
      <c r="I669" s="439">
        <f>IF(OR(ISBLANK(A669),ISNA(MATCH(A669&amp;"",AthleteNumbers,0))),0,MATCH(A669&amp;"",AthleteNumbers,0))</f>
        <v>0</v>
      </c>
      <c r="J669" s="209">
        <f t="array" ref="J669">IF(I669&gt;0,INDEX(DB,$I669,6),0)</f>
        <v>0</v>
      </c>
      <c r="K669" s="446">
        <f t="shared" si="5"/>
        <v>0</v>
      </c>
      <c r="L669" s="446">
        <f t="shared" si="6"/>
        <v>0</v>
      </c>
      <c r="M669" s="441">
        <f>IF(L669&lt;O669,MinPoints,IF(AND(L669&gt;N669,O669&gt;0),100,+INT(($L669-O669)/P669)+MinPoints))</f>
        <v>10</v>
      </c>
      <c r="N669" s="440">
        <f t="shared" si="7"/>
        <v>50</v>
      </c>
      <c r="O669" s="440">
        <f t="shared" si="8"/>
        <v>5</v>
      </c>
      <c r="P669" s="440">
        <f t="shared" si="9"/>
        <v>0.5</v>
      </c>
      <c r="Q669">
        <f t="array" ref="Q669">IF(I669&gt;0,INDEX(DB,I669,9),EventIndex)</f>
        <v>6</v>
      </c>
      <c r="S669" s="442">
        <f t="array" ref="S669">INDEX(MINVALUES,$Q669,$K$1)</f>
        <v>5</v>
      </c>
      <c r="T669">
        <f t="array" ref="T669">INDEX(INCVALUES,$Q669,$K$1)</f>
        <v>0.5</v>
      </c>
      <c r="V669">
        <f t="array" ref="V669">+J669+(4*(INDEX(MatchScoreTable,$Q669,20)-1))</f>
        <v>4</v>
      </c>
      <c r="W669" s="442">
        <f t="array" ref="W669">INDEX(INC_MINVALUES,$V669,$K$1)</f>
        <v>2.5</v>
      </c>
      <c r="X669" s="212">
        <f t="array" ref="X669">INDEX(INC_INCVALUES,$V669,$K$1)</f>
        <v>0.5</v>
      </c>
    </row>
    <row r="670" ht="15.75" customHeight="1">
      <c r="A670" s="435"/>
      <c r="B670" s="436"/>
      <c r="C670" s="95" t="str">
        <f t="array" ref="C670">IF(I670&gt;0,INDEX(DB,I670,8),"")</f>
        <v/>
      </c>
      <c r="D670" s="437">
        <f t="shared" si="1"/>
        <v>0</v>
      </c>
      <c r="F670" s="438">
        <f t="shared" si="2"/>
        <v>0</v>
      </c>
      <c r="G670" t="str">
        <f t="shared" si="3"/>
        <v/>
      </c>
      <c r="H670" t="b">
        <f t="shared" si="4"/>
        <v>0</v>
      </c>
      <c r="I670" s="439">
        <f>IF(OR(ISBLANK(A670),ISNA(MATCH(A670&amp;"",AthleteNumbers,0))),0,MATCH(A670&amp;"",AthleteNumbers,0))</f>
        <v>0</v>
      </c>
      <c r="J670" s="209">
        <f t="array" ref="J670">IF(I670&gt;0,INDEX(DB,$I670,6),0)</f>
        <v>0</v>
      </c>
      <c r="K670" s="446">
        <f t="shared" si="5"/>
        <v>0</v>
      </c>
      <c r="L670" s="446">
        <f t="shared" si="6"/>
        <v>0</v>
      </c>
      <c r="M670" s="441">
        <f>IF(L670&lt;O670,MinPoints,IF(AND(L670&gt;N670,O670&gt;0),100,+INT(($L670-O670)/P670)+MinPoints))</f>
        <v>10</v>
      </c>
      <c r="N670" s="440">
        <f t="shared" si="7"/>
        <v>50</v>
      </c>
      <c r="O670" s="440">
        <f t="shared" si="8"/>
        <v>5</v>
      </c>
      <c r="P670" s="440">
        <f t="shared" si="9"/>
        <v>0.5</v>
      </c>
      <c r="Q670">
        <f t="array" ref="Q670">IF(I670&gt;0,INDEX(DB,I670,9),EventIndex)</f>
        <v>6</v>
      </c>
      <c r="S670" s="442">
        <f t="array" ref="S670">INDEX(MINVALUES,$Q670,$K$1)</f>
        <v>5</v>
      </c>
      <c r="T670">
        <f t="array" ref="T670">INDEX(INCVALUES,$Q670,$K$1)</f>
        <v>0.5</v>
      </c>
      <c r="V670">
        <f t="array" ref="V670">+J670+(4*(INDEX(MatchScoreTable,$Q670,20)-1))</f>
        <v>4</v>
      </c>
      <c r="W670" s="442">
        <f t="array" ref="W670">INDEX(INC_MINVALUES,$V670,$K$1)</f>
        <v>2.5</v>
      </c>
      <c r="X670" s="212">
        <f t="array" ref="X670">INDEX(INC_INCVALUES,$V670,$K$1)</f>
        <v>0.5</v>
      </c>
    </row>
    <row r="671" ht="15.75" customHeight="1">
      <c r="A671" s="435"/>
      <c r="B671" s="436"/>
      <c r="C671" s="95" t="str">
        <f t="array" ref="C671">IF(I671&gt;0,INDEX(DB,I671,8),"")</f>
        <v/>
      </c>
      <c r="D671" s="437">
        <f t="shared" si="1"/>
        <v>0</v>
      </c>
      <c r="F671" s="438">
        <f t="shared" si="2"/>
        <v>0</v>
      </c>
      <c r="G671" t="str">
        <f t="shared" si="3"/>
        <v/>
      </c>
      <c r="H671" t="b">
        <f t="shared" si="4"/>
        <v>0</v>
      </c>
      <c r="I671" s="439">
        <f>IF(OR(ISBLANK(A671),ISNA(MATCH(A671&amp;"",AthleteNumbers,0))),0,MATCH(A671&amp;"",AthleteNumbers,0))</f>
        <v>0</v>
      </c>
      <c r="J671" s="209">
        <f t="array" ref="J671">IF(I671&gt;0,INDEX(DB,$I671,6),0)</f>
        <v>0</v>
      </c>
      <c r="K671" s="446">
        <f t="shared" si="5"/>
        <v>0</v>
      </c>
      <c r="L671" s="446">
        <f t="shared" si="6"/>
        <v>0</v>
      </c>
      <c r="M671" s="441">
        <f>IF(L671&lt;O671,MinPoints,IF(AND(L671&gt;N671,O671&gt;0),100,+INT(($L671-O671)/P671)+MinPoints))</f>
        <v>10</v>
      </c>
      <c r="N671" s="440">
        <f t="shared" si="7"/>
        <v>50</v>
      </c>
      <c r="O671" s="440">
        <f t="shared" si="8"/>
        <v>5</v>
      </c>
      <c r="P671" s="440">
        <f t="shared" si="9"/>
        <v>0.5</v>
      </c>
      <c r="Q671">
        <f t="array" ref="Q671">IF(I671&gt;0,INDEX(DB,I671,9),EventIndex)</f>
        <v>6</v>
      </c>
      <c r="S671" s="442">
        <f t="array" ref="S671">INDEX(MINVALUES,$Q671,$K$1)</f>
        <v>5</v>
      </c>
      <c r="T671">
        <f t="array" ref="T671">INDEX(INCVALUES,$Q671,$K$1)</f>
        <v>0.5</v>
      </c>
      <c r="V671">
        <f t="array" ref="V671">+J671+(4*(INDEX(MatchScoreTable,$Q671,20)-1))</f>
        <v>4</v>
      </c>
      <c r="W671" s="442">
        <f t="array" ref="W671">INDEX(INC_MINVALUES,$V671,$K$1)</f>
        <v>2.5</v>
      </c>
      <c r="X671" s="212">
        <f t="array" ref="X671">INDEX(INC_INCVALUES,$V671,$K$1)</f>
        <v>0.5</v>
      </c>
    </row>
    <row r="672" ht="15.75" customHeight="1">
      <c r="A672" s="435"/>
      <c r="B672" s="436"/>
      <c r="C672" s="95" t="str">
        <f t="array" ref="C672">IF(I672&gt;0,INDEX(DB,I672,8),"")</f>
        <v/>
      </c>
      <c r="D672" s="437">
        <f t="shared" si="1"/>
        <v>0</v>
      </c>
      <c r="F672" s="438">
        <f t="shared" si="2"/>
        <v>0</v>
      </c>
      <c r="G672" t="str">
        <f t="shared" si="3"/>
        <v/>
      </c>
      <c r="H672" t="b">
        <f t="shared" si="4"/>
        <v>0</v>
      </c>
      <c r="I672" s="439">
        <f>IF(OR(ISBLANK(A672),ISNA(MATCH(A672&amp;"",AthleteNumbers,0))),0,MATCH(A672&amp;"",AthleteNumbers,0))</f>
        <v>0</v>
      </c>
      <c r="J672" s="209">
        <f t="array" ref="J672">IF(I672&gt;0,INDEX(DB,$I672,6),0)</f>
        <v>0</v>
      </c>
      <c r="K672" s="446">
        <f t="shared" si="5"/>
        <v>0</v>
      </c>
      <c r="L672" s="446">
        <f t="shared" si="6"/>
        <v>0</v>
      </c>
      <c r="M672" s="441">
        <f>IF(L672&lt;O672,MinPoints,IF(AND(L672&gt;N672,O672&gt;0),100,+INT(($L672-O672)/P672)+MinPoints))</f>
        <v>10</v>
      </c>
      <c r="N672" s="440">
        <f t="shared" si="7"/>
        <v>50</v>
      </c>
      <c r="O672" s="440">
        <f t="shared" si="8"/>
        <v>5</v>
      </c>
      <c r="P672" s="440">
        <f t="shared" si="9"/>
        <v>0.5</v>
      </c>
      <c r="Q672">
        <f t="array" ref="Q672">IF(I672&gt;0,INDEX(DB,I672,9),EventIndex)</f>
        <v>6</v>
      </c>
      <c r="S672" s="442">
        <f t="array" ref="S672">INDEX(MINVALUES,$Q672,$K$1)</f>
        <v>5</v>
      </c>
      <c r="T672">
        <f t="array" ref="T672">INDEX(INCVALUES,$Q672,$K$1)</f>
        <v>0.5</v>
      </c>
      <c r="V672">
        <f t="array" ref="V672">+J672+(4*(INDEX(MatchScoreTable,$Q672,20)-1))</f>
        <v>4</v>
      </c>
      <c r="W672" s="442">
        <f t="array" ref="W672">INDEX(INC_MINVALUES,$V672,$K$1)</f>
        <v>2.5</v>
      </c>
      <c r="X672" s="212">
        <f t="array" ref="X672">INDEX(INC_INCVALUES,$V672,$K$1)</f>
        <v>0.5</v>
      </c>
    </row>
    <row r="673" ht="15.75" customHeight="1">
      <c r="A673" s="435"/>
      <c r="B673" s="436"/>
      <c r="C673" s="95" t="str">
        <f t="array" ref="C673">IF(I673&gt;0,INDEX(DB,I673,8),"")</f>
        <v/>
      </c>
      <c r="D673" s="437">
        <f t="shared" si="1"/>
        <v>0</v>
      </c>
      <c r="F673" s="438">
        <f t="shared" si="2"/>
        <v>0</v>
      </c>
      <c r="G673" t="str">
        <f t="shared" si="3"/>
        <v/>
      </c>
      <c r="H673" t="b">
        <f t="shared" si="4"/>
        <v>0</v>
      </c>
      <c r="I673" s="439">
        <f>IF(OR(ISBLANK(A673),ISNA(MATCH(A673&amp;"",AthleteNumbers,0))),0,MATCH(A673&amp;"",AthleteNumbers,0))</f>
        <v>0</v>
      </c>
      <c r="J673" s="209">
        <f t="array" ref="J673">IF(I673&gt;0,INDEX(DB,$I673,6),0)</f>
        <v>0</v>
      </c>
      <c r="K673" s="446">
        <f t="shared" si="5"/>
        <v>0</v>
      </c>
      <c r="L673" s="446">
        <f t="shared" si="6"/>
        <v>0</v>
      </c>
      <c r="M673" s="441">
        <f>IF(L673&lt;O673,MinPoints,IF(AND(L673&gt;N673,O673&gt;0),100,+INT(($L673-O673)/P673)+MinPoints))</f>
        <v>10</v>
      </c>
      <c r="N673" s="440">
        <f t="shared" si="7"/>
        <v>50</v>
      </c>
      <c r="O673" s="440">
        <f t="shared" si="8"/>
        <v>5</v>
      </c>
      <c r="P673" s="440">
        <f t="shared" si="9"/>
        <v>0.5</v>
      </c>
      <c r="Q673">
        <f t="array" ref="Q673">IF(I673&gt;0,INDEX(DB,I673,9),EventIndex)</f>
        <v>6</v>
      </c>
      <c r="S673" s="442">
        <f t="array" ref="S673">INDEX(MINVALUES,$Q673,$K$1)</f>
        <v>5</v>
      </c>
      <c r="T673">
        <f t="array" ref="T673">INDEX(INCVALUES,$Q673,$K$1)</f>
        <v>0.5</v>
      </c>
      <c r="V673">
        <f t="array" ref="V673">+J673+(4*(INDEX(MatchScoreTable,$Q673,20)-1))</f>
        <v>4</v>
      </c>
      <c r="W673" s="442">
        <f t="array" ref="W673">INDEX(INC_MINVALUES,$V673,$K$1)</f>
        <v>2.5</v>
      </c>
      <c r="X673" s="212">
        <f t="array" ref="X673">INDEX(INC_INCVALUES,$V673,$K$1)</f>
        <v>0.5</v>
      </c>
    </row>
    <row r="674" ht="15.75" customHeight="1">
      <c r="A674" s="435"/>
      <c r="B674" s="436"/>
      <c r="C674" s="95" t="str">
        <f t="array" ref="C674">IF(I674&gt;0,INDEX(DB,I674,8),"")</f>
        <v/>
      </c>
      <c r="D674" s="437">
        <f t="shared" si="1"/>
        <v>0</v>
      </c>
      <c r="F674" s="438">
        <f t="shared" si="2"/>
        <v>0</v>
      </c>
      <c r="G674" t="str">
        <f t="shared" si="3"/>
        <v/>
      </c>
      <c r="H674" t="b">
        <f t="shared" si="4"/>
        <v>0</v>
      </c>
      <c r="I674" s="439">
        <f>IF(OR(ISBLANK(A674),ISNA(MATCH(A674&amp;"",AthleteNumbers,0))),0,MATCH(A674&amp;"",AthleteNumbers,0))</f>
        <v>0</v>
      </c>
      <c r="J674" s="209">
        <f t="array" ref="J674">IF(I674&gt;0,INDEX(DB,$I674,6),0)</f>
        <v>0</v>
      </c>
      <c r="K674" s="446">
        <f t="shared" si="5"/>
        <v>0</v>
      </c>
      <c r="L674" s="446">
        <f t="shared" si="6"/>
        <v>0</v>
      </c>
      <c r="M674" s="441">
        <f>IF(L674&lt;O674,MinPoints,IF(AND(L674&gt;N674,O674&gt;0),100,+INT(($L674-O674)/P674)+MinPoints))</f>
        <v>10</v>
      </c>
      <c r="N674" s="440">
        <f t="shared" si="7"/>
        <v>50</v>
      </c>
      <c r="O674" s="440">
        <f t="shared" si="8"/>
        <v>5</v>
      </c>
      <c r="P674" s="440">
        <f t="shared" si="9"/>
        <v>0.5</v>
      </c>
      <c r="Q674">
        <f t="array" ref="Q674">IF(I674&gt;0,INDEX(DB,I674,9),EventIndex)</f>
        <v>6</v>
      </c>
      <c r="S674" s="442">
        <f t="array" ref="S674">INDEX(MINVALUES,$Q674,$K$1)</f>
        <v>5</v>
      </c>
      <c r="T674">
        <f t="array" ref="T674">INDEX(INCVALUES,$Q674,$K$1)</f>
        <v>0.5</v>
      </c>
      <c r="V674">
        <f t="array" ref="V674">+J674+(4*(INDEX(MatchScoreTable,$Q674,20)-1))</f>
        <v>4</v>
      </c>
      <c r="W674" s="442">
        <f t="array" ref="W674">INDEX(INC_MINVALUES,$V674,$K$1)</f>
        <v>2.5</v>
      </c>
      <c r="X674" s="212">
        <f t="array" ref="X674">INDEX(INC_INCVALUES,$V674,$K$1)</f>
        <v>0.5</v>
      </c>
    </row>
    <row r="675" ht="15.75" customHeight="1">
      <c r="A675" s="435"/>
      <c r="B675" s="436"/>
      <c r="C675" s="95" t="str">
        <f t="array" ref="C675">IF(I675&gt;0,INDEX(DB,I675,8),"")</f>
        <v/>
      </c>
      <c r="D675" s="437">
        <f t="shared" si="1"/>
        <v>0</v>
      </c>
      <c r="F675" s="438">
        <f t="shared" si="2"/>
        <v>0</v>
      </c>
      <c r="G675" t="str">
        <f t="shared" si="3"/>
        <v/>
      </c>
      <c r="H675" t="b">
        <f t="shared" si="4"/>
        <v>0</v>
      </c>
      <c r="I675" s="439">
        <f>IF(OR(ISBLANK(A675),ISNA(MATCH(A675&amp;"",AthleteNumbers,0))),0,MATCH(A675&amp;"",AthleteNumbers,0))</f>
        <v>0</v>
      </c>
      <c r="J675" s="209">
        <f t="array" ref="J675">IF(I675&gt;0,INDEX(DB,$I675,6),0)</f>
        <v>0</v>
      </c>
      <c r="K675" s="446">
        <f t="shared" si="5"/>
        <v>0</v>
      </c>
      <c r="L675" s="446">
        <f t="shared" si="6"/>
        <v>0</v>
      </c>
      <c r="M675" s="441">
        <f>IF(L675&lt;O675,MinPoints,IF(AND(L675&gt;N675,O675&gt;0),100,+INT(($L675-O675)/P675)+MinPoints))</f>
        <v>10</v>
      </c>
      <c r="N675" s="440">
        <f t="shared" si="7"/>
        <v>50</v>
      </c>
      <c r="O675" s="440">
        <f t="shared" si="8"/>
        <v>5</v>
      </c>
      <c r="P675" s="440">
        <f t="shared" si="9"/>
        <v>0.5</v>
      </c>
      <c r="Q675">
        <f t="array" ref="Q675">IF(I675&gt;0,INDEX(DB,I675,9),EventIndex)</f>
        <v>6</v>
      </c>
      <c r="S675" s="442">
        <f t="array" ref="S675">INDEX(MINVALUES,$Q675,$K$1)</f>
        <v>5</v>
      </c>
      <c r="T675">
        <f t="array" ref="T675">INDEX(INCVALUES,$Q675,$K$1)</f>
        <v>0.5</v>
      </c>
      <c r="V675">
        <f t="array" ref="V675">+J675+(4*(INDEX(MatchScoreTable,$Q675,20)-1))</f>
        <v>4</v>
      </c>
      <c r="W675" s="442">
        <f t="array" ref="W675">INDEX(INC_MINVALUES,$V675,$K$1)</f>
        <v>2.5</v>
      </c>
      <c r="X675" s="212">
        <f t="array" ref="X675">INDEX(INC_INCVALUES,$V675,$K$1)</f>
        <v>0.5</v>
      </c>
    </row>
    <row r="676" ht="15.75" customHeight="1">
      <c r="A676" s="435"/>
      <c r="B676" s="436"/>
      <c r="C676" s="95" t="str">
        <f t="array" ref="C676">IF(I676&gt;0,INDEX(DB,I676,8),"")</f>
        <v/>
      </c>
      <c r="D676" s="437">
        <f t="shared" si="1"/>
        <v>0</v>
      </c>
      <c r="F676" s="438">
        <f t="shared" si="2"/>
        <v>0</v>
      </c>
      <c r="G676" t="str">
        <f t="shared" si="3"/>
        <v/>
      </c>
      <c r="H676" t="b">
        <f t="shared" si="4"/>
        <v>0</v>
      </c>
      <c r="I676" s="439">
        <f>IF(OR(ISBLANK(A676),ISNA(MATCH(A676&amp;"",AthleteNumbers,0))),0,MATCH(A676&amp;"",AthleteNumbers,0))</f>
        <v>0</v>
      </c>
      <c r="J676" s="209">
        <f t="array" ref="J676">IF(I676&gt;0,INDEX(DB,$I676,6),0)</f>
        <v>0</v>
      </c>
      <c r="K676" s="446">
        <f t="shared" si="5"/>
        <v>0</v>
      </c>
      <c r="L676" s="446">
        <f t="shared" si="6"/>
        <v>0</v>
      </c>
      <c r="M676" s="441">
        <f>IF(L676&lt;O676,MinPoints,IF(AND(L676&gt;N676,O676&gt;0),100,+INT(($L676-O676)/P676)+MinPoints))</f>
        <v>10</v>
      </c>
      <c r="N676" s="440">
        <f t="shared" si="7"/>
        <v>50</v>
      </c>
      <c r="O676" s="440">
        <f t="shared" si="8"/>
        <v>5</v>
      </c>
      <c r="P676" s="440">
        <f t="shared" si="9"/>
        <v>0.5</v>
      </c>
      <c r="Q676">
        <f t="array" ref="Q676">IF(I676&gt;0,INDEX(DB,I676,9),EventIndex)</f>
        <v>6</v>
      </c>
      <c r="S676" s="442">
        <f t="array" ref="S676">INDEX(MINVALUES,$Q676,$K$1)</f>
        <v>5</v>
      </c>
      <c r="T676">
        <f t="array" ref="T676">INDEX(INCVALUES,$Q676,$K$1)</f>
        <v>0.5</v>
      </c>
      <c r="V676">
        <f t="array" ref="V676">+J676+(4*(INDEX(MatchScoreTable,$Q676,20)-1))</f>
        <v>4</v>
      </c>
      <c r="W676" s="442">
        <f t="array" ref="W676">INDEX(INC_MINVALUES,$V676,$K$1)</f>
        <v>2.5</v>
      </c>
      <c r="X676" s="212">
        <f t="array" ref="X676">INDEX(INC_INCVALUES,$V676,$K$1)</f>
        <v>0.5</v>
      </c>
    </row>
    <row r="677" ht="15.75" customHeight="1">
      <c r="A677" s="435"/>
      <c r="B677" s="436"/>
      <c r="C677" s="95" t="str">
        <f t="array" ref="C677">IF(I677&gt;0,INDEX(DB,I677,8),"")</f>
        <v/>
      </c>
      <c r="D677" s="437">
        <f t="shared" si="1"/>
        <v>0</v>
      </c>
      <c r="F677" s="438">
        <f t="shared" si="2"/>
        <v>0</v>
      </c>
      <c r="G677" t="str">
        <f t="shared" si="3"/>
        <v/>
      </c>
      <c r="H677" t="b">
        <f t="shared" si="4"/>
        <v>0</v>
      </c>
      <c r="I677" s="439">
        <f>IF(OR(ISBLANK(A677),ISNA(MATCH(A677&amp;"",AthleteNumbers,0))),0,MATCH(A677&amp;"",AthleteNumbers,0))</f>
        <v>0</v>
      </c>
      <c r="J677" s="209">
        <f t="array" ref="J677">IF(I677&gt;0,INDEX(DB,$I677,6),0)</f>
        <v>0</v>
      </c>
      <c r="K677" s="446">
        <f t="shared" si="5"/>
        <v>0</v>
      </c>
      <c r="L677" s="446">
        <f t="shared" si="6"/>
        <v>0</v>
      </c>
      <c r="M677" s="441">
        <f>IF(L677&lt;O677,MinPoints,IF(AND(L677&gt;N677,O677&gt;0),100,+INT(($L677-O677)/P677)+MinPoints))</f>
        <v>10</v>
      </c>
      <c r="N677" s="440">
        <f t="shared" si="7"/>
        <v>50</v>
      </c>
      <c r="O677" s="440">
        <f t="shared" si="8"/>
        <v>5</v>
      </c>
      <c r="P677" s="440">
        <f t="shared" si="9"/>
        <v>0.5</v>
      </c>
      <c r="Q677">
        <f t="array" ref="Q677">IF(I677&gt;0,INDEX(DB,I677,9),EventIndex)</f>
        <v>6</v>
      </c>
      <c r="S677" s="442">
        <f t="array" ref="S677">INDEX(MINVALUES,$Q677,$K$1)</f>
        <v>5</v>
      </c>
      <c r="T677">
        <f t="array" ref="T677">INDEX(INCVALUES,$Q677,$K$1)</f>
        <v>0.5</v>
      </c>
      <c r="V677">
        <f t="array" ref="V677">+J677+(4*(INDEX(MatchScoreTable,$Q677,20)-1))</f>
        <v>4</v>
      </c>
      <c r="W677" s="442">
        <f t="array" ref="W677">INDEX(INC_MINVALUES,$V677,$K$1)</f>
        <v>2.5</v>
      </c>
      <c r="X677" s="212">
        <f t="array" ref="X677">INDEX(INC_INCVALUES,$V677,$K$1)</f>
        <v>0.5</v>
      </c>
    </row>
    <row r="678" ht="15.75" customHeight="1">
      <c r="A678" s="435"/>
      <c r="B678" s="436"/>
      <c r="C678" s="95" t="str">
        <f t="array" ref="C678">IF(I678&gt;0,INDEX(DB,I678,8),"")</f>
        <v/>
      </c>
      <c r="D678" s="437">
        <f t="shared" si="1"/>
        <v>0</v>
      </c>
      <c r="F678" s="438">
        <f t="shared" si="2"/>
        <v>0</v>
      </c>
      <c r="G678" t="str">
        <f t="shared" si="3"/>
        <v/>
      </c>
      <c r="H678" t="b">
        <f t="shared" si="4"/>
        <v>0</v>
      </c>
      <c r="I678" s="439">
        <f>IF(OR(ISBLANK(A678),ISNA(MATCH(A678&amp;"",AthleteNumbers,0))),0,MATCH(A678&amp;"",AthleteNumbers,0))</f>
        <v>0</v>
      </c>
      <c r="J678" s="209">
        <f t="array" ref="J678">IF(I678&gt;0,INDEX(DB,$I678,6),0)</f>
        <v>0</v>
      </c>
      <c r="K678" s="446">
        <f t="shared" si="5"/>
        <v>0</v>
      </c>
      <c r="L678" s="446">
        <f t="shared" si="6"/>
        <v>0</v>
      </c>
      <c r="M678" s="441">
        <f>IF(L678&lt;O678,MinPoints,IF(AND(L678&gt;N678,O678&gt;0),100,+INT(($L678-O678)/P678)+MinPoints))</f>
        <v>10</v>
      </c>
      <c r="N678" s="440">
        <f t="shared" si="7"/>
        <v>50</v>
      </c>
      <c r="O678" s="440">
        <f t="shared" si="8"/>
        <v>5</v>
      </c>
      <c r="P678" s="440">
        <f t="shared" si="9"/>
        <v>0.5</v>
      </c>
      <c r="Q678">
        <f t="array" ref="Q678">IF(I678&gt;0,INDEX(DB,I678,9),EventIndex)</f>
        <v>6</v>
      </c>
      <c r="S678" s="442">
        <f t="array" ref="S678">INDEX(MINVALUES,$Q678,$K$1)</f>
        <v>5</v>
      </c>
      <c r="T678">
        <f t="array" ref="T678">INDEX(INCVALUES,$Q678,$K$1)</f>
        <v>0.5</v>
      </c>
      <c r="V678">
        <f t="array" ref="V678">+J678+(4*(INDEX(MatchScoreTable,$Q678,20)-1))</f>
        <v>4</v>
      </c>
      <c r="W678" s="442">
        <f t="array" ref="W678">INDEX(INC_MINVALUES,$V678,$K$1)</f>
        <v>2.5</v>
      </c>
      <c r="X678" s="212">
        <f t="array" ref="X678">INDEX(INC_INCVALUES,$V678,$K$1)</f>
        <v>0.5</v>
      </c>
    </row>
    <row r="679" ht="15.75" customHeight="1">
      <c r="A679" s="435"/>
      <c r="B679" s="436"/>
      <c r="C679" s="95" t="str">
        <f t="array" ref="C679">IF(I679&gt;0,INDEX(DB,I679,8),"")</f>
        <v/>
      </c>
      <c r="D679" s="437">
        <f t="shared" si="1"/>
        <v>0</v>
      </c>
      <c r="F679" s="438">
        <f t="shared" si="2"/>
        <v>0</v>
      </c>
      <c r="G679" t="str">
        <f t="shared" si="3"/>
        <v/>
      </c>
      <c r="H679" t="b">
        <f t="shared" si="4"/>
        <v>0</v>
      </c>
      <c r="I679" s="439">
        <f>IF(OR(ISBLANK(A679),ISNA(MATCH(A679&amp;"",AthleteNumbers,0))),0,MATCH(A679&amp;"",AthleteNumbers,0))</f>
        <v>0</v>
      </c>
      <c r="J679" s="209">
        <f t="array" ref="J679">IF(I679&gt;0,INDEX(DB,$I679,6),0)</f>
        <v>0</v>
      </c>
      <c r="K679" s="446">
        <f t="shared" si="5"/>
        <v>0</v>
      </c>
      <c r="L679" s="446">
        <f t="shared" si="6"/>
        <v>0</v>
      </c>
      <c r="M679" s="441">
        <f>IF(L679&lt;O679,MinPoints,IF(AND(L679&gt;N679,O679&gt;0),100,+INT(($L679-O679)/P679)+MinPoints))</f>
        <v>10</v>
      </c>
      <c r="N679" s="440">
        <f t="shared" si="7"/>
        <v>50</v>
      </c>
      <c r="O679" s="440">
        <f t="shared" si="8"/>
        <v>5</v>
      </c>
      <c r="P679" s="440">
        <f t="shared" si="9"/>
        <v>0.5</v>
      </c>
      <c r="Q679">
        <f t="array" ref="Q679">IF(I679&gt;0,INDEX(DB,I679,9),EventIndex)</f>
        <v>6</v>
      </c>
      <c r="S679" s="442">
        <f t="array" ref="S679">INDEX(MINVALUES,$Q679,$K$1)</f>
        <v>5</v>
      </c>
      <c r="T679">
        <f t="array" ref="T679">INDEX(INCVALUES,$Q679,$K$1)</f>
        <v>0.5</v>
      </c>
      <c r="V679">
        <f t="array" ref="V679">+J679+(4*(INDEX(MatchScoreTable,$Q679,20)-1))</f>
        <v>4</v>
      </c>
      <c r="W679" s="442">
        <f t="array" ref="W679">INDEX(INC_MINVALUES,$V679,$K$1)</f>
        <v>2.5</v>
      </c>
      <c r="X679" s="212">
        <f t="array" ref="X679">INDEX(INC_INCVALUES,$V679,$K$1)</f>
        <v>0.5</v>
      </c>
    </row>
    <row r="680" ht="15.75" customHeight="1">
      <c r="A680" s="435"/>
      <c r="B680" s="436"/>
      <c r="C680" s="95" t="str">
        <f t="array" ref="C680">IF(I680&gt;0,INDEX(DB,I680,8),"")</f>
        <v/>
      </c>
      <c r="D680" s="437">
        <f t="shared" si="1"/>
        <v>0</v>
      </c>
      <c r="F680" s="438">
        <f t="shared" si="2"/>
        <v>0</v>
      </c>
      <c r="G680" t="str">
        <f t="shared" si="3"/>
        <v/>
      </c>
      <c r="H680" t="b">
        <f t="shared" si="4"/>
        <v>0</v>
      </c>
      <c r="I680" s="439">
        <f>IF(OR(ISBLANK(A680),ISNA(MATCH(A680&amp;"",AthleteNumbers,0))),0,MATCH(A680&amp;"",AthleteNumbers,0))</f>
        <v>0</v>
      </c>
      <c r="J680" s="209">
        <f t="array" ref="J680">IF(I680&gt;0,INDEX(DB,$I680,6),0)</f>
        <v>0</v>
      </c>
      <c r="K680" s="446">
        <f t="shared" si="5"/>
        <v>0</v>
      </c>
      <c r="L680" s="446">
        <f t="shared" si="6"/>
        <v>0</v>
      </c>
      <c r="M680" s="441">
        <f>IF(L680&lt;O680,MinPoints,IF(AND(L680&gt;N680,O680&gt;0),100,+INT(($L680-O680)/P680)+MinPoints))</f>
        <v>10</v>
      </c>
      <c r="N680" s="440">
        <f t="shared" si="7"/>
        <v>50</v>
      </c>
      <c r="O680" s="440">
        <f t="shared" si="8"/>
        <v>5</v>
      </c>
      <c r="P680" s="440">
        <f t="shared" si="9"/>
        <v>0.5</v>
      </c>
      <c r="Q680">
        <f t="array" ref="Q680">IF(I680&gt;0,INDEX(DB,I680,9),EventIndex)</f>
        <v>6</v>
      </c>
      <c r="S680" s="442">
        <f t="array" ref="S680">INDEX(MINVALUES,$Q680,$K$1)</f>
        <v>5</v>
      </c>
      <c r="T680">
        <f t="array" ref="T680">INDEX(INCVALUES,$Q680,$K$1)</f>
        <v>0.5</v>
      </c>
      <c r="V680">
        <f t="array" ref="V680">+J680+(4*(INDEX(MatchScoreTable,$Q680,20)-1))</f>
        <v>4</v>
      </c>
      <c r="W680" s="442">
        <f t="array" ref="W680">INDEX(INC_MINVALUES,$V680,$K$1)</f>
        <v>2.5</v>
      </c>
      <c r="X680" s="212">
        <f t="array" ref="X680">INDEX(INC_INCVALUES,$V680,$K$1)</f>
        <v>0.5</v>
      </c>
    </row>
    <row r="681" ht="15.75" customHeight="1">
      <c r="A681" s="435"/>
      <c r="B681" s="436"/>
      <c r="C681" s="95" t="str">
        <f t="array" ref="C681">IF(I681&gt;0,INDEX(DB,I681,8),"")</f>
        <v/>
      </c>
      <c r="D681" s="437">
        <f t="shared" si="1"/>
        <v>0</v>
      </c>
      <c r="F681" s="438">
        <f t="shared" si="2"/>
        <v>0</v>
      </c>
      <c r="G681" t="str">
        <f t="shared" si="3"/>
        <v/>
      </c>
      <c r="H681" t="b">
        <f t="shared" si="4"/>
        <v>0</v>
      </c>
      <c r="I681" s="439">
        <f>IF(OR(ISBLANK(A681),ISNA(MATCH(A681&amp;"",AthleteNumbers,0))),0,MATCH(A681&amp;"",AthleteNumbers,0))</f>
        <v>0</v>
      </c>
      <c r="J681" s="209">
        <f t="array" ref="J681">IF(I681&gt;0,INDEX(DB,$I681,6),0)</f>
        <v>0</v>
      </c>
      <c r="K681" s="446">
        <f t="shared" si="5"/>
        <v>0</v>
      </c>
      <c r="L681" s="446">
        <f t="shared" si="6"/>
        <v>0</v>
      </c>
      <c r="M681" s="441">
        <f>IF(L681&lt;O681,MinPoints,IF(AND(L681&gt;N681,O681&gt;0),100,+INT(($L681-O681)/P681)+MinPoints))</f>
        <v>10</v>
      </c>
      <c r="N681" s="440">
        <f t="shared" si="7"/>
        <v>50</v>
      </c>
      <c r="O681" s="440">
        <f t="shared" si="8"/>
        <v>5</v>
      </c>
      <c r="P681" s="440">
        <f t="shared" si="9"/>
        <v>0.5</v>
      </c>
      <c r="Q681">
        <f t="array" ref="Q681">IF(I681&gt;0,INDEX(DB,I681,9),EventIndex)</f>
        <v>6</v>
      </c>
      <c r="S681" s="442">
        <f t="array" ref="S681">INDEX(MINVALUES,$Q681,$K$1)</f>
        <v>5</v>
      </c>
      <c r="T681">
        <f t="array" ref="T681">INDEX(INCVALUES,$Q681,$K$1)</f>
        <v>0.5</v>
      </c>
      <c r="V681">
        <f t="array" ref="V681">+J681+(4*(INDEX(MatchScoreTable,$Q681,20)-1))</f>
        <v>4</v>
      </c>
      <c r="W681" s="442">
        <f t="array" ref="W681">INDEX(INC_MINVALUES,$V681,$K$1)</f>
        <v>2.5</v>
      </c>
      <c r="X681" s="212">
        <f t="array" ref="X681">INDEX(INC_INCVALUES,$V681,$K$1)</f>
        <v>0.5</v>
      </c>
    </row>
    <row r="682" ht="15.75" customHeight="1">
      <c r="A682" s="435"/>
      <c r="B682" s="436"/>
      <c r="C682" s="95" t="str">
        <f t="array" ref="C682">IF(I682&gt;0,INDEX(DB,I682,8),"")</f>
        <v/>
      </c>
      <c r="D682" s="437">
        <f t="shared" si="1"/>
        <v>0</v>
      </c>
      <c r="F682" s="438">
        <f t="shared" si="2"/>
        <v>0</v>
      </c>
      <c r="G682" t="str">
        <f t="shared" si="3"/>
        <v/>
      </c>
      <c r="H682" t="b">
        <f t="shared" si="4"/>
        <v>0</v>
      </c>
      <c r="I682" s="439">
        <f>IF(OR(ISBLANK(A682),ISNA(MATCH(A682&amp;"",AthleteNumbers,0))),0,MATCH(A682&amp;"",AthleteNumbers,0))</f>
        <v>0</v>
      </c>
      <c r="J682" s="209">
        <f t="array" ref="J682">IF(I682&gt;0,INDEX(DB,$I682,6),0)</f>
        <v>0</v>
      </c>
      <c r="K682" s="446">
        <f t="shared" si="5"/>
        <v>0</v>
      </c>
      <c r="L682" s="446">
        <f t="shared" si="6"/>
        <v>0</v>
      </c>
      <c r="M682" s="441">
        <f>IF(L682&lt;O682,MinPoints,IF(AND(L682&gt;N682,O682&gt;0),100,+INT(($L682-O682)/P682)+MinPoints))</f>
        <v>10</v>
      </c>
      <c r="N682" s="440">
        <f t="shared" si="7"/>
        <v>50</v>
      </c>
      <c r="O682" s="440">
        <f t="shared" si="8"/>
        <v>5</v>
      </c>
      <c r="P682" s="440">
        <f t="shared" si="9"/>
        <v>0.5</v>
      </c>
      <c r="Q682">
        <f t="array" ref="Q682">IF(I682&gt;0,INDEX(DB,I682,9),EventIndex)</f>
        <v>6</v>
      </c>
      <c r="S682" s="442">
        <f t="array" ref="S682">INDEX(MINVALUES,$Q682,$K$1)</f>
        <v>5</v>
      </c>
      <c r="T682">
        <f t="array" ref="T682">INDEX(INCVALUES,$Q682,$K$1)</f>
        <v>0.5</v>
      </c>
      <c r="V682">
        <f t="array" ref="V682">+J682+(4*(INDEX(MatchScoreTable,$Q682,20)-1))</f>
        <v>4</v>
      </c>
      <c r="W682" s="442">
        <f t="array" ref="W682">INDEX(INC_MINVALUES,$V682,$K$1)</f>
        <v>2.5</v>
      </c>
      <c r="X682" s="212">
        <f t="array" ref="X682">INDEX(INC_INCVALUES,$V682,$K$1)</f>
        <v>0.5</v>
      </c>
    </row>
    <row r="683" ht="15.75" customHeight="1">
      <c r="A683" s="435"/>
      <c r="B683" s="436"/>
      <c r="C683" s="95" t="str">
        <f t="array" ref="C683">IF(I683&gt;0,INDEX(DB,I683,8),"")</f>
        <v/>
      </c>
      <c r="D683" s="437">
        <f t="shared" si="1"/>
        <v>0</v>
      </c>
      <c r="F683" s="438">
        <f t="shared" si="2"/>
        <v>0</v>
      </c>
      <c r="G683" t="str">
        <f t="shared" si="3"/>
        <v/>
      </c>
      <c r="H683" t="b">
        <f t="shared" si="4"/>
        <v>0</v>
      </c>
      <c r="I683" s="439">
        <f>IF(OR(ISBLANK(A683),ISNA(MATCH(A683&amp;"",AthleteNumbers,0))),0,MATCH(A683&amp;"",AthleteNumbers,0))</f>
        <v>0</v>
      </c>
      <c r="J683" s="209">
        <f t="array" ref="J683">IF(I683&gt;0,INDEX(DB,$I683,6),0)</f>
        <v>0</v>
      </c>
      <c r="K683" s="446">
        <f t="shared" si="5"/>
        <v>0</v>
      </c>
      <c r="L683" s="446">
        <f t="shared" si="6"/>
        <v>0</v>
      </c>
      <c r="M683" s="441">
        <f>IF(L683&lt;O683,MinPoints,IF(AND(L683&gt;N683,O683&gt;0),100,+INT(($L683-O683)/P683)+MinPoints))</f>
        <v>10</v>
      </c>
      <c r="N683" s="440">
        <f t="shared" si="7"/>
        <v>50</v>
      </c>
      <c r="O683" s="440">
        <f t="shared" si="8"/>
        <v>5</v>
      </c>
      <c r="P683" s="440">
        <f t="shared" si="9"/>
        <v>0.5</v>
      </c>
      <c r="Q683">
        <f t="array" ref="Q683">IF(I683&gt;0,INDEX(DB,I683,9),EventIndex)</f>
        <v>6</v>
      </c>
      <c r="S683" s="442">
        <f t="array" ref="S683">INDEX(MINVALUES,$Q683,$K$1)</f>
        <v>5</v>
      </c>
      <c r="T683">
        <f t="array" ref="T683">INDEX(INCVALUES,$Q683,$K$1)</f>
        <v>0.5</v>
      </c>
      <c r="V683">
        <f t="array" ref="V683">+J683+(4*(INDEX(MatchScoreTable,$Q683,20)-1))</f>
        <v>4</v>
      </c>
      <c r="W683" s="442">
        <f t="array" ref="W683">INDEX(INC_MINVALUES,$V683,$K$1)</f>
        <v>2.5</v>
      </c>
      <c r="X683" s="212">
        <f t="array" ref="X683">INDEX(INC_INCVALUES,$V683,$K$1)</f>
        <v>0.5</v>
      </c>
    </row>
    <row r="684" ht="15.75" customHeight="1">
      <c r="A684" s="435"/>
      <c r="B684" s="436"/>
      <c r="C684" s="95" t="str">
        <f t="array" ref="C684">IF(I684&gt;0,INDEX(DB,I684,8),"")</f>
        <v/>
      </c>
      <c r="D684" s="437">
        <f t="shared" si="1"/>
        <v>0</v>
      </c>
      <c r="F684" s="438">
        <f t="shared" si="2"/>
        <v>0</v>
      </c>
      <c r="G684" t="str">
        <f t="shared" si="3"/>
        <v/>
      </c>
      <c r="H684" t="b">
        <f t="shared" si="4"/>
        <v>0</v>
      </c>
      <c r="I684" s="439">
        <f>IF(OR(ISBLANK(A684),ISNA(MATCH(A684&amp;"",AthleteNumbers,0))),0,MATCH(A684&amp;"",AthleteNumbers,0))</f>
        <v>0</v>
      </c>
      <c r="J684" s="209">
        <f t="array" ref="J684">IF(I684&gt;0,INDEX(DB,$I684,6),0)</f>
        <v>0</v>
      </c>
      <c r="K684" s="446">
        <f t="shared" si="5"/>
        <v>0</v>
      </c>
      <c r="L684" s="446">
        <f t="shared" si="6"/>
        <v>0</v>
      </c>
      <c r="M684" s="441">
        <f>IF(L684&lt;O684,MinPoints,IF(AND(L684&gt;N684,O684&gt;0),100,+INT(($L684-O684)/P684)+MinPoints))</f>
        <v>10</v>
      </c>
      <c r="N684" s="440">
        <f t="shared" si="7"/>
        <v>50</v>
      </c>
      <c r="O684" s="440">
        <f t="shared" si="8"/>
        <v>5</v>
      </c>
      <c r="P684" s="440">
        <f t="shared" si="9"/>
        <v>0.5</v>
      </c>
      <c r="Q684">
        <f t="array" ref="Q684">IF(I684&gt;0,INDEX(DB,I684,9),EventIndex)</f>
        <v>6</v>
      </c>
      <c r="S684" s="442">
        <f t="array" ref="S684">INDEX(MINVALUES,$Q684,$K$1)</f>
        <v>5</v>
      </c>
      <c r="T684">
        <f t="array" ref="T684">INDEX(INCVALUES,$Q684,$K$1)</f>
        <v>0.5</v>
      </c>
      <c r="V684">
        <f t="array" ref="V684">+J684+(4*(INDEX(MatchScoreTable,$Q684,20)-1))</f>
        <v>4</v>
      </c>
      <c r="W684" s="442">
        <f t="array" ref="W684">INDEX(INC_MINVALUES,$V684,$K$1)</f>
        <v>2.5</v>
      </c>
      <c r="X684" s="212">
        <f t="array" ref="X684">INDEX(INC_INCVALUES,$V684,$K$1)</f>
        <v>0.5</v>
      </c>
    </row>
    <row r="685" ht="15.75" customHeight="1">
      <c r="A685" s="435"/>
      <c r="B685" s="436"/>
      <c r="C685" s="95" t="str">
        <f t="array" ref="C685">IF(I685&gt;0,INDEX(DB,I685,8),"")</f>
        <v/>
      </c>
      <c r="D685" s="437">
        <f t="shared" si="1"/>
        <v>0</v>
      </c>
      <c r="F685" s="438">
        <f t="shared" si="2"/>
        <v>0</v>
      </c>
      <c r="G685" t="str">
        <f t="shared" si="3"/>
        <v/>
      </c>
      <c r="H685" t="b">
        <f t="shared" si="4"/>
        <v>0</v>
      </c>
      <c r="I685" s="439">
        <f>IF(OR(ISBLANK(A685),ISNA(MATCH(A685&amp;"",AthleteNumbers,0))),0,MATCH(A685&amp;"",AthleteNumbers,0))</f>
        <v>0</v>
      </c>
      <c r="J685" s="209">
        <f t="array" ref="J685">IF(I685&gt;0,INDEX(DB,$I685,6),0)</f>
        <v>0</v>
      </c>
      <c r="K685" s="446">
        <f t="shared" si="5"/>
        <v>0</v>
      </c>
      <c r="L685" s="446">
        <f t="shared" si="6"/>
        <v>0</v>
      </c>
      <c r="M685" s="441">
        <f>IF(L685&lt;O685,MinPoints,IF(AND(L685&gt;N685,O685&gt;0),100,+INT(($L685-O685)/P685)+MinPoints))</f>
        <v>10</v>
      </c>
      <c r="N685" s="440">
        <f t="shared" si="7"/>
        <v>50</v>
      </c>
      <c r="O685" s="440">
        <f t="shared" si="8"/>
        <v>5</v>
      </c>
      <c r="P685" s="440">
        <f t="shared" si="9"/>
        <v>0.5</v>
      </c>
      <c r="Q685">
        <f t="array" ref="Q685">IF(I685&gt;0,INDEX(DB,I685,9),EventIndex)</f>
        <v>6</v>
      </c>
      <c r="S685" s="442">
        <f t="array" ref="S685">INDEX(MINVALUES,$Q685,$K$1)</f>
        <v>5</v>
      </c>
      <c r="T685">
        <f t="array" ref="T685">INDEX(INCVALUES,$Q685,$K$1)</f>
        <v>0.5</v>
      </c>
      <c r="V685">
        <f t="array" ref="V685">+J685+(4*(INDEX(MatchScoreTable,$Q685,20)-1))</f>
        <v>4</v>
      </c>
      <c r="W685" s="442">
        <f t="array" ref="W685">INDEX(INC_MINVALUES,$V685,$K$1)</f>
        <v>2.5</v>
      </c>
      <c r="X685" s="212">
        <f t="array" ref="X685">INDEX(INC_INCVALUES,$V685,$K$1)</f>
        <v>0.5</v>
      </c>
    </row>
    <row r="686" ht="15.75" customHeight="1">
      <c r="A686" s="435"/>
      <c r="B686" s="436"/>
      <c r="C686" s="95" t="str">
        <f t="array" ref="C686">IF(I686&gt;0,INDEX(DB,I686,8),"")</f>
        <v/>
      </c>
      <c r="D686" s="437">
        <f t="shared" si="1"/>
        <v>0</v>
      </c>
      <c r="F686" s="438">
        <f t="shared" si="2"/>
        <v>0</v>
      </c>
      <c r="G686" t="str">
        <f t="shared" si="3"/>
        <v/>
      </c>
      <c r="H686" t="b">
        <f t="shared" si="4"/>
        <v>0</v>
      </c>
      <c r="I686" s="439">
        <f>IF(OR(ISBLANK(A686),ISNA(MATCH(A686&amp;"",AthleteNumbers,0))),0,MATCH(A686&amp;"",AthleteNumbers,0))</f>
        <v>0</v>
      </c>
      <c r="J686" s="209">
        <f t="array" ref="J686">IF(I686&gt;0,INDEX(DB,$I686,6),0)</f>
        <v>0</v>
      </c>
      <c r="K686" s="446">
        <f t="shared" si="5"/>
        <v>0</v>
      </c>
      <c r="L686" s="446">
        <f t="shared" si="6"/>
        <v>0</v>
      </c>
      <c r="M686" s="441">
        <f>IF(L686&lt;O686,MinPoints,IF(AND(L686&gt;N686,O686&gt;0),100,+INT(($L686-O686)/P686)+MinPoints))</f>
        <v>10</v>
      </c>
      <c r="N686" s="440">
        <f t="shared" si="7"/>
        <v>50</v>
      </c>
      <c r="O686" s="440">
        <f t="shared" si="8"/>
        <v>5</v>
      </c>
      <c r="P686" s="440">
        <f t="shared" si="9"/>
        <v>0.5</v>
      </c>
      <c r="Q686">
        <f t="array" ref="Q686">IF(I686&gt;0,INDEX(DB,I686,9),EventIndex)</f>
        <v>6</v>
      </c>
      <c r="S686" s="442">
        <f t="array" ref="S686">INDEX(MINVALUES,$Q686,$K$1)</f>
        <v>5</v>
      </c>
      <c r="T686">
        <f t="array" ref="T686">INDEX(INCVALUES,$Q686,$K$1)</f>
        <v>0.5</v>
      </c>
      <c r="V686">
        <f t="array" ref="V686">+J686+(4*(INDEX(MatchScoreTable,$Q686,20)-1))</f>
        <v>4</v>
      </c>
      <c r="W686" s="442">
        <f t="array" ref="W686">INDEX(INC_MINVALUES,$V686,$K$1)</f>
        <v>2.5</v>
      </c>
      <c r="X686" s="212">
        <f t="array" ref="X686">INDEX(INC_INCVALUES,$V686,$K$1)</f>
        <v>0.5</v>
      </c>
    </row>
    <row r="687" ht="15.75" customHeight="1">
      <c r="A687" s="435"/>
      <c r="B687" s="436"/>
      <c r="C687" s="95" t="str">
        <f t="array" ref="C687">IF(I687&gt;0,INDEX(DB,I687,8),"")</f>
        <v/>
      </c>
      <c r="D687" s="437">
        <f t="shared" si="1"/>
        <v>0</v>
      </c>
      <c r="F687" s="438">
        <f t="shared" si="2"/>
        <v>0</v>
      </c>
      <c r="G687" t="str">
        <f t="shared" si="3"/>
        <v/>
      </c>
      <c r="H687" t="b">
        <f t="shared" si="4"/>
        <v>0</v>
      </c>
      <c r="I687" s="439">
        <f>IF(OR(ISBLANK(A687),ISNA(MATCH(A687&amp;"",AthleteNumbers,0))),0,MATCH(A687&amp;"",AthleteNumbers,0))</f>
        <v>0</v>
      </c>
      <c r="J687" s="209">
        <f t="array" ref="J687">IF(I687&gt;0,INDEX(DB,$I687,6),0)</f>
        <v>0</v>
      </c>
      <c r="K687" s="446">
        <f t="shared" si="5"/>
        <v>0</v>
      </c>
      <c r="L687" s="446">
        <f t="shared" si="6"/>
        <v>0</v>
      </c>
      <c r="M687" s="441">
        <f>IF(L687&lt;O687,MinPoints,IF(AND(L687&gt;N687,O687&gt;0),100,+INT(($L687-O687)/P687)+MinPoints))</f>
        <v>10</v>
      </c>
      <c r="N687" s="440">
        <f t="shared" si="7"/>
        <v>50</v>
      </c>
      <c r="O687" s="440">
        <f t="shared" si="8"/>
        <v>5</v>
      </c>
      <c r="P687" s="440">
        <f t="shared" si="9"/>
        <v>0.5</v>
      </c>
      <c r="Q687">
        <f t="array" ref="Q687">IF(I687&gt;0,INDEX(DB,I687,9),EventIndex)</f>
        <v>6</v>
      </c>
      <c r="S687" s="442">
        <f t="array" ref="S687">INDEX(MINVALUES,$Q687,$K$1)</f>
        <v>5</v>
      </c>
      <c r="T687">
        <f t="array" ref="T687">INDEX(INCVALUES,$Q687,$K$1)</f>
        <v>0.5</v>
      </c>
      <c r="V687">
        <f t="array" ref="V687">+J687+(4*(INDEX(MatchScoreTable,$Q687,20)-1))</f>
        <v>4</v>
      </c>
      <c r="W687" s="442">
        <f t="array" ref="W687">INDEX(INC_MINVALUES,$V687,$K$1)</f>
        <v>2.5</v>
      </c>
      <c r="X687" s="212">
        <f t="array" ref="X687">INDEX(INC_INCVALUES,$V687,$K$1)</f>
        <v>0.5</v>
      </c>
    </row>
    <row r="688" ht="15.75" customHeight="1">
      <c r="A688" s="435"/>
      <c r="B688" s="436"/>
      <c r="C688" s="95" t="str">
        <f t="array" ref="C688">IF(I688&gt;0,INDEX(DB,I688,8),"")</f>
        <v/>
      </c>
      <c r="D688" s="437">
        <f t="shared" si="1"/>
        <v>0</v>
      </c>
      <c r="F688" s="438">
        <f t="shared" si="2"/>
        <v>0</v>
      </c>
      <c r="G688" t="str">
        <f t="shared" si="3"/>
        <v/>
      </c>
      <c r="H688" t="b">
        <f t="shared" si="4"/>
        <v>0</v>
      </c>
      <c r="I688" s="439">
        <f>IF(OR(ISBLANK(A688),ISNA(MATCH(A688&amp;"",AthleteNumbers,0))),0,MATCH(A688&amp;"",AthleteNumbers,0))</f>
        <v>0</v>
      </c>
      <c r="J688" s="209">
        <f t="array" ref="J688">IF(I688&gt;0,INDEX(DB,$I688,6),0)</f>
        <v>0</v>
      </c>
      <c r="K688" s="446">
        <f t="shared" si="5"/>
        <v>0</v>
      </c>
      <c r="L688" s="446">
        <f t="shared" si="6"/>
        <v>0</v>
      </c>
      <c r="M688" s="441">
        <f>IF(L688&lt;O688,MinPoints,IF(AND(L688&gt;N688,O688&gt;0),100,+INT(($L688-O688)/P688)+MinPoints))</f>
        <v>10</v>
      </c>
      <c r="N688" s="440">
        <f t="shared" si="7"/>
        <v>50</v>
      </c>
      <c r="O688" s="440">
        <f t="shared" si="8"/>
        <v>5</v>
      </c>
      <c r="P688" s="440">
        <f t="shared" si="9"/>
        <v>0.5</v>
      </c>
      <c r="Q688">
        <f t="array" ref="Q688">IF(I688&gt;0,INDEX(DB,I688,9),EventIndex)</f>
        <v>6</v>
      </c>
      <c r="S688" s="442">
        <f t="array" ref="S688">INDEX(MINVALUES,$Q688,$K$1)</f>
        <v>5</v>
      </c>
      <c r="T688">
        <f t="array" ref="T688">INDEX(INCVALUES,$Q688,$K$1)</f>
        <v>0.5</v>
      </c>
      <c r="V688">
        <f t="array" ref="V688">+J688+(4*(INDEX(MatchScoreTable,$Q688,20)-1))</f>
        <v>4</v>
      </c>
      <c r="W688" s="442">
        <f t="array" ref="W688">INDEX(INC_MINVALUES,$V688,$K$1)</f>
        <v>2.5</v>
      </c>
      <c r="X688" s="212">
        <f t="array" ref="X688">INDEX(INC_INCVALUES,$V688,$K$1)</f>
        <v>0.5</v>
      </c>
    </row>
    <row r="689" ht="15.75" customHeight="1">
      <c r="A689" s="435"/>
      <c r="B689" s="436"/>
      <c r="C689" s="95" t="str">
        <f t="array" ref="C689">IF(I689&gt;0,INDEX(DB,I689,8),"")</f>
        <v/>
      </c>
      <c r="D689" s="437">
        <f t="shared" si="1"/>
        <v>0</v>
      </c>
      <c r="F689" s="438">
        <f t="shared" si="2"/>
        <v>0</v>
      </c>
      <c r="G689" t="str">
        <f t="shared" si="3"/>
        <v/>
      </c>
      <c r="H689" t="b">
        <f t="shared" si="4"/>
        <v>0</v>
      </c>
      <c r="I689" s="439">
        <f>IF(OR(ISBLANK(A689),ISNA(MATCH(A689&amp;"",AthleteNumbers,0))),0,MATCH(A689&amp;"",AthleteNumbers,0))</f>
        <v>0</v>
      </c>
      <c r="J689" s="209">
        <f t="array" ref="J689">IF(I689&gt;0,INDEX(DB,$I689,6),0)</f>
        <v>0</v>
      </c>
      <c r="K689" s="446">
        <f t="shared" si="5"/>
        <v>0</v>
      </c>
      <c r="L689" s="446">
        <f t="shared" si="6"/>
        <v>0</v>
      </c>
      <c r="M689" s="441">
        <f>IF(L689&lt;O689,MinPoints,IF(AND(L689&gt;N689,O689&gt;0),100,+INT(($L689-O689)/P689)+MinPoints))</f>
        <v>10</v>
      </c>
      <c r="N689" s="440">
        <f t="shared" si="7"/>
        <v>50</v>
      </c>
      <c r="O689" s="440">
        <f t="shared" si="8"/>
        <v>5</v>
      </c>
      <c r="P689" s="440">
        <f t="shared" si="9"/>
        <v>0.5</v>
      </c>
      <c r="Q689">
        <f t="array" ref="Q689">IF(I689&gt;0,INDEX(DB,I689,9),EventIndex)</f>
        <v>6</v>
      </c>
      <c r="S689" s="442">
        <f t="array" ref="S689">INDEX(MINVALUES,$Q689,$K$1)</f>
        <v>5</v>
      </c>
      <c r="T689">
        <f t="array" ref="T689">INDEX(INCVALUES,$Q689,$K$1)</f>
        <v>0.5</v>
      </c>
      <c r="V689">
        <f t="array" ref="V689">+J689+(4*(INDEX(MatchScoreTable,$Q689,20)-1))</f>
        <v>4</v>
      </c>
      <c r="W689" s="442">
        <f t="array" ref="W689">INDEX(INC_MINVALUES,$V689,$K$1)</f>
        <v>2.5</v>
      </c>
      <c r="X689" s="212">
        <f t="array" ref="X689">INDEX(INC_INCVALUES,$V689,$K$1)</f>
        <v>0.5</v>
      </c>
    </row>
    <row r="690" ht="15.75" customHeight="1">
      <c r="A690" s="435"/>
      <c r="B690" s="436"/>
      <c r="C690" s="95" t="str">
        <f t="array" ref="C690">IF(I690&gt;0,INDEX(DB,I690,8),"")</f>
        <v/>
      </c>
      <c r="D690" s="437">
        <f t="shared" si="1"/>
        <v>0</v>
      </c>
      <c r="F690" s="438">
        <f t="shared" si="2"/>
        <v>0</v>
      </c>
      <c r="G690" t="str">
        <f t="shared" si="3"/>
        <v/>
      </c>
      <c r="H690" t="b">
        <f t="shared" si="4"/>
        <v>0</v>
      </c>
      <c r="I690" s="439">
        <f>IF(OR(ISBLANK(A690),ISNA(MATCH(A690&amp;"",AthleteNumbers,0))),0,MATCH(A690&amp;"",AthleteNumbers,0))</f>
        <v>0</v>
      </c>
      <c r="J690" s="209">
        <f t="array" ref="J690">IF(I690&gt;0,INDEX(DB,$I690,6),0)</f>
        <v>0</v>
      </c>
      <c r="K690" s="446">
        <f t="shared" si="5"/>
        <v>0</v>
      </c>
      <c r="L690" s="446">
        <f t="shared" si="6"/>
        <v>0</v>
      </c>
      <c r="M690" s="441">
        <f>IF(L690&lt;O690,MinPoints,IF(AND(L690&gt;N690,O690&gt;0),100,+INT(($L690-O690)/P690)+MinPoints))</f>
        <v>10</v>
      </c>
      <c r="N690" s="440">
        <f t="shared" si="7"/>
        <v>50</v>
      </c>
      <c r="O690" s="440">
        <f t="shared" si="8"/>
        <v>5</v>
      </c>
      <c r="P690" s="440">
        <f t="shared" si="9"/>
        <v>0.5</v>
      </c>
      <c r="Q690">
        <f t="array" ref="Q690">IF(I690&gt;0,INDEX(DB,I690,9),EventIndex)</f>
        <v>6</v>
      </c>
      <c r="S690" s="442">
        <f t="array" ref="S690">INDEX(MINVALUES,$Q690,$K$1)</f>
        <v>5</v>
      </c>
      <c r="T690">
        <f t="array" ref="T690">INDEX(INCVALUES,$Q690,$K$1)</f>
        <v>0.5</v>
      </c>
      <c r="V690">
        <f t="array" ref="V690">+J690+(4*(INDEX(MatchScoreTable,$Q690,20)-1))</f>
        <v>4</v>
      </c>
      <c r="W690" s="442">
        <f t="array" ref="W690">INDEX(INC_MINVALUES,$V690,$K$1)</f>
        <v>2.5</v>
      </c>
      <c r="X690" s="212">
        <f t="array" ref="X690">INDEX(INC_INCVALUES,$V690,$K$1)</f>
        <v>0.5</v>
      </c>
    </row>
    <row r="691" ht="15.75" customHeight="1">
      <c r="A691" s="435"/>
      <c r="B691" s="436"/>
      <c r="C691" s="95" t="str">
        <f t="array" ref="C691">IF(I691&gt;0,INDEX(DB,I691,8),"")</f>
        <v/>
      </c>
      <c r="D691" s="437">
        <f t="shared" si="1"/>
        <v>0</v>
      </c>
      <c r="F691" s="438">
        <f t="shared" si="2"/>
        <v>0</v>
      </c>
      <c r="G691" t="str">
        <f t="shared" si="3"/>
        <v/>
      </c>
      <c r="H691" t="b">
        <f t="shared" si="4"/>
        <v>0</v>
      </c>
      <c r="I691" s="439">
        <f>IF(OR(ISBLANK(A691),ISNA(MATCH(A691&amp;"",AthleteNumbers,0))),0,MATCH(A691&amp;"",AthleteNumbers,0))</f>
        <v>0</v>
      </c>
      <c r="J691" s="209">
        <f t="array" ref="J691">IF(I691&gt;0,INDEX(DB,$I691,6),0)</f>
        <v>0</v>
      </c>
      <c r="K691" s="446">
        <f t="shared" si="5"/>
        <v>0</v>
      </c>
      <c r="L691" s="446">
        <f t="shared" si="6"/>
        <v>0</v>
      </c>
      <c r="M691" s="441">
        <f>IF(L691&lt;O691,MinPoints,IF(AND(L691&gt;N691,O691&gt;0),100,+INT(($L691-O691)/P691)+MinPoints))</f>
        <v>10</v>
      </c>
      <c r="N691" s="440">
        <f t="shared" si="7"/>
        <v>50</v>
      </c>
      <c r="O691" s="440">
        <f t="shared" si="8"/>
        <v>5</v>
      </c>
      <c r="P691" s="440">
        <f t="shared" si="9"/>
        <v>0.5</v>
      </c>
      <c r="Q691">
        <f t="array" ref="Q691">IF(I691&gt;0,INDEX(DB,I691,9),EventIndex)</f>
        <v>6</v>
      </c>
      <c r="S691" s="442">
        <f t="array" ref="S691">INDEX(MINVALUES,$Q691,$K$1)</f>
        <v>5</v>
      </c>
      <c r="T691">
        <f t="array" ref="T691">INDEX(INCVALUES,$Q691,$K$1)</f>
        <v>0.5</v>
      </c>
      <c r="V691">
        <f t="array" ref="V691">+J691+(4*(INDEX(MatchScoreTable,$Q691,20)-1))</f>
        <v>4</v>
      </c>
      <c r="W691" s="442">
        <f t="array" ref="W691">INDEX(INC_MINVALUES,$V691,$K$1)</f>
        <v>2.5</v>
      </c>
      <c r="X691" s="212">
        <f t="array" ref="X691">INDEX(INC_INCVALUES,$V691,$K$1)</f>
        <v>0.5</v>
      </c>
    </row>
    <row r="692" ht="15.75" customHeight="1">
      <c r="A692" s="435"/>
      <c r="B692" s="436"/>
      <c r="C692" s="95" t="str">
        <f t="array" ref="C692">IF(I692&gt;0,INDEX(DB,I692,8),"")</f>
        <v/>
      </c>
      <c r="D692" s="437">
        <f t="shared" si="1"/>
        <v>0</v>
      </c>
      <c r="F692" s="438">
        <f t="shared" si="2"/>
        <v>0</v>
      </c>
      <c r="G692" t="str">
        <f t="shared" si="3"/>
        <v/>
      </c>
      <c r="H692" t="b">
        <f t="shared" si="4"/>
        <v>0</v>
      </c>
      <c r="I692" s="439">
        <f>IF(OR(ISBLANK(A692),ISNA(MATCH(A692&amp;"",AthleteNumbers,0))),0,MATCH(A692&amp;"",AthleteNumbers,0))</f>
        <v>0</v>
      </c>
      <c r="J692" s="209">
        <f t="array" ref="J692">IF(I692&gt;0,INDEX(DB,$I692,6),0)</f>
        <v>0</v>
      </c>
      <c r="K692" s="446">
        <f t="shared" si="5"/>
        <v>0</v>
      </c>
      <c r="L692" s="446">
        <f t="shared" si="6"/>
        <v>0</v>
      </c>
      <c r="M692" s="441">
        <f>IF(L692&lt;O692,MinPoints,IF(AND(L692&gt;N692,O692&gt;0),100,+INT(($L692-O692)/P692)+MinPoints))</f>
        <v>10</v>
      </c>
      <c r="N692" s="440">
        <f t="shared" si="7"/>
        <v>50</v>
      </c>
      <c r="O692" s="440">
        <f t="shared" si="8"/>
        <v>5</v>
      </c>
      <c r="P692" s="440">
        <f t="shared" si="9"/>
        <v>0.5</v>
      </c>
      <c r="Q692">
        <f t="array" ref="Q692">IF(I692&gt;0,INDEX(DB,I692,9),EventIndex)</f>
        <v>6</v>
      </c>
      <c r="S692" s="442">
        <f t="array" ref="S692">INDEX(MINVALUES,$Q692,$K$1)</f>
        <v>5</v>
      </c>
      <c r="T692">
        <f t="array" ref="T692">INDEX(INCVALUES,$Q692,$K$1)</f>
        <v>0.5</v>
      </c>
      <c r="V692">
        <f t="array" ref="V692">+J692+(4*(INDEX(MatchScoreTable,$Q692,20)-1))</f>
        <v>4</v>
      </c>
      <c r="W692" s="442">
        <f t="array" ref="W692">INDEX(INC_MINVALUES,$V692,$K$1)</f>
        <v>2.5</v>
      </c>
      <c r="X692" s="212">
        <f t="array" ref="X692">INDEX(INC_INCVALUES,$V692,$K$1)</f>
        <v>0.5</v>
      </c>
    </row>
    <row r="693" ht="15.75" customHeight="1">
      <c r="A693" s="435"/>
      <c r="B693" s="436"/>
      <c r="C693" s="95" t="str">
        <f t="array" ref="C693">IF(I693&gt;0,INDEX(DB,I693,8),"")</f>
        <v/>
      </c>
      <c r="D693" s="437">
        <f t="shared" si="1"/>
        <v>0</v>
      </c>
      <c r="F693" s="438">
        <f t="shared" si="2"/>
        <v>0</v>
      </c>
      <c r="G693" t="str">
        <f t="shared" si="3"/>
        <v/>
      </c>
      <c r="H693" t="b">
        <f t="shared" si="4"/>
        <v>0</v>
      </c>
      <c r="I693" s="439">
        <f>IF(OR(ISBLANK(A693),ISNA(MATCH(A693&amp;"",AthleteNumbers,0))),0,MATCH(A693&amp;"",AthleteNumbers,0))</f>
        <v>0</v>
      </c>
      <c r="J693" s="209">
        <f t="array" ref="J693">IF(I693&gt;0,INDEX(DB,$I693,6),0)</f>
        <v>0</v>
      </c>
      <c r="K693" s="446">
        <f t="shared" si="5"/>
        <v>0</v>
      </c>
      <c r="L693" s="446">
        <f t="shared" si="6"/>
        <v>0</v>
      </c>
      <c r="M693" s="441">
        <f>IF(L693&lt;O693,MinPoints,IF(AND(L693&gt;N693,O693&gt;0),100,+INT(($L693-O693)/P693)+MinPoints))</f>
        <v>10</v>
      </c>
      <c r="N693" s="440">
        <f t="shared" si="7"/>
        <v>50</v>
      </c>
      <c r="O693" s="440">
        <f t="shared" si="8"/>
        <v>5</v>
      </c>
      <c r="P693" s="440">
        <f t="shared" si="9"/>
        <v>0.5</v>
      </c>
      <c r="Q693">
        <f t="array" ref="Q693">IF(I693&gt;0,INDEX(DB,I693,9),EventIndex)</f>
        <v>6</v>
      </c>
      <c r="S693" s="442">
        <f t="array" ref="S693">INDEX(MINVALUES,$Q693,$K$1)</f>
        <v>5</v>
      </c>
      <c r="T693">
        <f t="array" ref="T693">INDEX(INCVALUES,$Q693,$K$1)</f>
        <v>0.5</v>
      </c>
      <c r="V693">
        <f t="array" ref="V693">+J693+(4*(INDEX(MatchScoreTable,$Q693,20)-1))</f>
        <v>4</v>
      </c>
      <c r="W693" s="442">
        <f t="array" ref="W693">INDEX(INC_MINVALUES,$V693,$K$1)</f>
        <v>2.5</v>
      </c>
      <c r="X693" s="212">
        <f t="array" ref="X693">INDEX(INC_INCVALUES,$V693,$K$1)</f>
        <v>0.5</v>
      </c>
    </row>
    <row r="694" ht="15.75" customHeight="1">
      <c r="A694" s="435"/>
      <c r="B694" s="436"/>
      <c r="C694" s="95" t="str">
        <f t="array" ref="C694">IF(I694&gt;0,INDEX(DB,I694,8),"")</f>
        <v/>
      </c>
      <c r="D694" s="437">
        <f t="shared" si="1"/>
        <v>0</v>
      </c>
      <c r="F694" s="438">
        <f t="shared" si="2"/>
        <v>0</v>
      </c>
      <c r="G694" t="str">
        <f t="shared" si="3"/>
        <v/>
      </c>
      <c r="H694" t="b">
        <f t="shared" si="4"/>
        <v>0</v>
      </c>
      <c r="I694" s="439">
        <f>IF(OR(ISBLANK(A694),ISNA(MATCH(A694&amp;"",AthleteNumbers,0))),0,MATCH(A694&amp;"",AthleteNumbers,0))</f>
        <v>0</v>
      </c>
      <c r="J694" s="209">
        <f t="array" ref="J694">IF(I694&gt;0,INDEX(DB,$I694,6),0)</f>
        <v>0</v>
      </c>
      <c r="K694" s="446">
        <f t="shared" si="5"/>
        <v>0</v>
      </c>
      <c r="L694" s="446">
        <f t="shared" si="6"/>
        <v>0</v>
      </c>
      <c r="M694" s="441">
        <f>IF(L694&lt;O694,MinPoints,IF(AND(L694&gt;N694,O694&gt;0),100,+INT(($L694-O694)/P694)+MinPoints))</f>
        <v>10</v>
      </c>
      <c r="N694" s="440">
        <f t="shared" si="7"/>
        <v>50</v>
      </c>
      <c r="O694" s="440">
        <f t="shared" si="8"/>
        <v>5</v>
      </c>
      <c r="P694" s="440">
        <f t="shared" si="9"/>
        <v>0.5</v>
      </c>
      <c r="Q694">
        <f t="array" ref="Q694">IF(I694&gt;0,INDEX(DB,I694,9),EventIndex)</f>
        <v>6</v>
      </c>
      <c r="S694" s="442">
        <f t="array" ref="S694">INDEX(MINVALUES,$Q694,$K$1)</f>
        <v>5</v>
      </c>
      <c r="T694">
        <f t="array" ref="T694">INDEX(INCVALUES,$Q694,$K$1)</f>
        <v>0.5</v>
      </c>
      <c r="V694">
        <f t="array" ref="V694">+J694+(4*(INDEX(MatchScoreTable,$Q694,20)-1))</f>
        <v>4</v>
      </c>
      <c r="W694" s="442">
        <f t="array" ref="W694">INDEX(INC_MINVALUES,$V694,$K$1)</f>
        <v>2.5</v>
      </c>
      <c r="X694" s="212">
        <f t="array" ref="X694">INDEX(INC_INCVALUES,$V694,$K$1)</f>
        <v>0.5</v>
      </c>
    </row>
    <row r="695" ht="15.75" customHeight="1">
      <c r="A695" s="435"/>
      <c r="B695" s="436"/>
      <c r="C695" s="95" t="str">
        <f t="array" ref="C695">IF(I695&gt;0,INDEX(DB,I695,8),"")</f>
        <v/>
      </c>
      <c r="D695" s="437">
        <f t="shared" si="1"/>
        <v>0</v>
      </c>
      <c r="F695" s="438">
        <f t="shared" si="2"/>
        <v>0</v>
      </c>
      <c r="G695" t="str">
        <f t="shared" si="3"/>
        <v/>
      </c>
      <c r="H695" t="b">
        <f t="shared" si="4"/>
        <v>0</v>
      </c>
      <c r="I695" s="439">
        <f>IF(OR(ISBLANK(A695),ISNA(MATCH(A695&amp;"",AthleteNumbers,0))),0,MATCH(A695&amp;"",AthleteNumbers,0))</f>
        <v>0</v>
      </c>
      <c r="J695" s="209">
        <f t="array" ref="J695">IF(I695&gt;0,INDEX(DB,$I695,6),0)</f>
        <v>0</v>
      </c>
      <c r="K695" s="446">
        <f t="shared" si="5"/>
        <v>0</v>
      </c>
      <c r="L695" s="446">
        <f t="shared" si="6"/>
        <v>0</v>
      </c>
      <c r="M695" s="441">
        <f>IF(L695&lt;O695,MinPoints,IF(AND(L695&gt;N695,O695&gt;0),100,+INT(($L695-O695)/P695)+MinPoints))</f>
        <v>10</v>
      </c>
      <c r="N695" s="440">
        <f t="shared" si="7"/>
        <v>50</v>
      </c>
      <c r="O695" s="440">
        <f t="shared" si="8"/>
        <v>5</v>
      </c>
      <c r="P695" s="440">
        <f t="shared" si="9"/>
        <v>0.5</v>
      </c>
      <c r="Q695">
        <f t="array" ref="Q695">IF(I695&gt;0,INDEX(DB,I695,9),EventIndex)</f>
        <v>6</v>
      </c>
      <c r="S695" s="442">
        <f t="array" ref="S695">INDEX(MINVALUES,$Q695,$K$1)</f>
        <v>5</v>
      </c>
      <c r="T695">
        <f t="array" ref="T695">INDEX(INCVALUES,$Q695,$K$1)</f>
        <v>0.5</v>
      </c>
      <c r="V695">
        <f t="array" ref="V695">+J695+(4*(INDEX(MatchScoreTable,$Q695,20)-1))</f>
        <v>4</v>
      </c>
      <c r="W695" s="442">
        <f t="array" ref="W695">INDEX(INC_MINVALUES,$V695,$K$1)</f>
        <v>2.5</v>
      </c>
      <c r="X695" s="212">
        <f t="array" ref="X695">INDEX(INC_INCVALUES,$V695,$K$1)</f>
        <v>0.5</v>
      </c>
    </row>
    <row r="696" ht="15.75" customHeight="1">
      <c r="A696" s="435"/>
      <c r="B696" s="436"/>
      <c r="C696" s="95" t="str">
        <f t="array" ref="C696">IF(I696&gt;0,INDEX(DB,I696,8),"")</f>
        <v/>
      </c>
      <c r="D696" s="437">
        <f t="shared" si="1"/>
        <v>0</v>
      </c>
      <c r="F696" s="438">
        <f t="shared" si="2"/>
        <v>0</v>
      </c>
      <c r="G696" t="str">
        <f t="shared" si="3"/>
        <v/>
      </c>
      <c r="H696" t="b">
        <f t="shared" si="4"/>
        <v>0</v>
      </c>
      <c r="I696" s="439">
        <f>IF(OR(ISBLANK(A696),ISNA(MATCH(A696&amp;"",AthleteNumbers,0))),0,MATCH(A696&amp;"",AthleteNumbers,0))</f>
        <v>0</v>
      </c>
      <c r="J696" s="209">
        <f t="array" ref="J696">IF(I696&gt;0,INDEX(DB,$I696,6),0)</f>
        <v>0</v>
      </c>
      <c r="K696" s="446">
        <f t="shared" si="5"/>
        <v>0</v>
      </c>
      <c r="L696" s="446">
        <f t="shared" si="6"/>
        <v>0</v>
      </c>
      <c r="M696" s="441">
        <f>IF(L696&lt;O696,MinPoints,IF(AND(L696&gt;N696,O696&gt;0),100,+INT(($L696-O696)/P696)+MinPoints))</f>
        <v>10</v>
      </c>
      <c r="N696" s="440">
        <f t="shared" si="7"/>
        <v>50</v>
      </c>
      <c r="O696" s="440">
        <f t="shared" si="8"/>
        <v>5</v>
      </c>
      <c r="P696" s="440">
        <f t="shared" si="9"/>
        <v>0.5</v>
      </c>
      <c r="Q696">
        <f t="array" ref="Q696">IF(I696&gt;0,INDEX(DB,I696,9),EventIndex)</f>
        <v>6</v>
      </c>
      <c r="S696" s="442">
        <f t="array" ref="S696">INDEX(MINVALUES,$Q696,$K$1)</f>
        <v>5</v>
      </c>
      <c r="T696">
        <f t="array" ref="T696">INDEX(INCVALUES,$Q696,$K$1)</f>
        <v>0.5</v>
      </c>
      <c r="V696">
        <f t="array" ref="V696">+J696+(4*(INDEX(MatchScoreTable,$Q696,20)-1))</f>
        <v>4</v>
      </c>
      <c r="W696" s="442">
        <f t="array" ref="W696">INDEX(INC_MINVALUES,$V696,$K$1)</f>
        <v>2.5</v>
      </c>
      <c r="X696" s="212">
        <f t="array" ref="X696">INDEX(INC_INCVALUES,$V696,$K$1)</f>
        <v>0.5</v>
      </c>
    </row>
    <row r="697" ht="15.75" customHeight="1">
      <c r="A697" s="435"/>
      <c r="B697" s="436"/>
      <c r="C697" s="95" t="str">
        <f t="array" ref="C697">IF(I697&gt;0,INDEX(DB,I697,8),"")</f>
        <v/>
      </c>
      <c r="D697" s="437">
        <f t="shared" si="1"/>
        <v>0</v>
      </c>
      <c r="F697" s="438">
        <f t="shared" si="2"/>
        <v>0</v>
      </c>
      <c r="G697" t="str">
        <f t="shared" si="3"/>
        <v/>
      </c>
      <c r="H697" t="b">
        <f t="shared" si="4"/>
        <v>0</v>
      </c>
      <c r="I697" s="439">
        <f>IF(OR(ISBLANK(A697),ISNA(MATCH(A697&amp;"",AthleteNumbers,0))),0,MATCH(A697&amp;"",AthleteNumbers,0))</f>
        <v>0</v>
      </c>
      <c r="J697" s="209">
        <f t="array" ref="J697">IF(I697&gt;0,INDEX(DB,$I697,6),0)</f>
        <v>0</v>
      </c>
      <c r="K697" s="446">
        <f t="shared" si="5"/>
        <v>0</v>
      </c>
      <c r="L697" s="446">
        <f t="shared" si="6"/>
        <v>0</v>
      </c>
      <c r="M697" s="441">
        <f>IF(L697&lt;O697,MinPoints,IF(AND(L697&gt;N697,O697&gt;0),100,+INT(($L697-O697)/P697)+MinPoints))</f>
        <v>10</v>
      </c>
      <c r="N697" s="440">
        <f t="shared" si="7"/>
        <v>50</v>
      </c>
      <c r="O697" s="440">
        <f t="shared" si="8"/>
        <v>5</v>
      </c>
      <c r="P697" s="440">
        <f t="shared" si="9"/>
        <v>0.5</v>
      </c>
      <c r="Q697">
        <f t="array" ref="Q697">IF(I697&gt;0,INDEX(DB,I697,9),EventIndex)</f>
        <v>6</v>
      </c>
      <c r="S697" s="442">
        <f t="array" ref="S697">INDEX(MINVALUES,$Q697,$K$1)</f>
        <v>5</v>
      </c>
      <c r="T697">
        <f t="array" ref="T697">INDEX(INCVALUES,$Q697,$K$1)</f>
        <v>0.5</v>
      </c>
      <c r="V697">
        <f t="array" ref="V697">+J697+(4*(INDEX(MatchScoreTable,$Q697,20)-1))</f>
        <v>4</v>
      </c>
      <c r="W697" s="442">
        <f t="array" ref="W697">INDEX(INC_MINVALUES,$V697,$K$1)</f>
        <v>2.5</v>
      </c>
      <c r="X697" s="212">
        <f t="array" ref="X697">INDEX(INC_INCVALUES,$V697,$K$1)</f>
        <v>0.5</v>
      </c>
    </row>
    <row r="698" ht="15.75" customHeight="1">
      <c r="A698" s="435"/>
      <c r="B698" s="436"/>
      <c r="C698" s="95" t="str">
        <f t="array" ref="C698">IF(I698&gt;0,INDEX(DB,I698,8),"")</f>
        <v/>
      </c>
      <c r="D698" s="437">
        <f t="shared" si="1"/>
        <v>0</v>
      </c>
      <c r="F698" s="438">
        <f t="shared" si="2"/>
        <v>0</v>
      </c>
      <c r="G698" t="str">
        <f t="shared" si="3"/>
        <v/>
      </c>
      <c r="H698" t="b">
        <f t="shared" si="4"/>
        <v>0</v>
      </c>
      <c r="I698" s="439">
        <f>IF(OR(ISBLANK(A698),ISNA(MATCH(A698&amp;"",AthleteNumbers,0))),0,MATCH(A698&amp;"",AthleteNumbers,0))</f>
        <v>0</v>
      </c>
      <c r="J698" s="209">
        <f t="array" ref="J698">IF(I698&gt;0,INDEX(DB,$I698,6),0)</f>
        <v>0</v>
      </c>
      <c r="K698" s="446">
        <f t="shared" si="5"/>
        <v>0</v>
      </c>
      <c r="L698" s="446">
        <f t="shared" si="6"/>
        <v>0</v>
      </c>
      <c r="M698" s="441">
        <f>IF(L698&lt;O698,MinPoints,IF(AND(L698&gt;N698,O698&gt;0),100,+INT(($L698-O698)/P698)+MinPoints))</f>
        <v>10</v>
      </c>
      <c r="N698" s="440">
        <f t="shared" si="7"/>
        <v>50</v>
      </c>
      <c r="O698" s="440">
        <f t="shared" si="8"/>
        <v>5</v>
      </c>
      <c r="P698" s="440">
        <f t="shared" si="9"/>
        <v>0.5</v>
      </c>
      <c r="Q698">
        <f t="array" ref="Q698">IF(I698&gt;0,INDEX(DB,I698,9),EventIndex)</f>
        <v>6</v>
      </c>
      <c r="S698" s="442">
        <f t="array" ref="S698">INDEX(MINVALUES,$Q698,$K$1)</f>
        <v>5</v>
      </c>
      <c r="T698">
        <f t="array" ref="T698">INDEX(INCVALUES,$Q698,$K$1)</f>
        <v>0.5</v>
      </c>
      <c r="V698">
        <f t="array" ref="V698">+J698+(4*(INDEX(MatchScoreTable,$Q698,20)-1))</f>
        <v>4</v>
      </c>
      <c r="W698" s="442">
        <f t="array" ref="W698">INDEX(INC_MINVALUES,$V698,$K$1)</f>
        <v>2.5</v>
      </c>
      <c r="X698" s="212">
        <f t="array" ref="X698">INDEX(INC_INCVALUES,$V698,$K$1)</f>
        <v>0.5</v>
      </c>
    </row>
    <row r="699" ht="15.75" customHeight="1">
      <c r="A699" s="435"/>
      <c r="B699" s="436"/>
      <c r="C699" s="95" t="str">
        <f t="array" ref="C699">IF(I699&gt;0,INDEX(DB,I699,8),"")</f>
        <v/>
      </c>
      <c r="D699" s="437">
        <f t="shared" si="1"/>
        <v>0</v>
      </c>
      <c r="F699" s="438">
        <f t="shared" si="2"/>
        <v>0</v>
      </c>
      <c r="G699" t="str">
        <f t="shared" si="3"/>
        <v/>
      </c>
      <c r="H699" t="b">
        <f t="shared" si="4"/>
        <v>0</v>
      </c>
      <c r="I699" s="439">
        <f>IF(OR(ISBLANK(A699),ISNA(MATCH(A699&amp;"",AthleteNumbers,0))),0,MATCH(A699&amp;"",AthleteNumbers,0))</f>
        <v>0</v>
      </c>
      <c r="J699" s="209">
        <f t="array" ref="J699">IF(I699&gt;0,INDEX(DB,$I699,6),0)</f>
        <v>0</v>
      </c>
      <c r="K699" s="446">
        <f t="shared" si="5"/>
        <v>0</v>
      </c>
      <c r="L699" s="446">
        <f t="shared" si="6"/>
        <v>0</v>
      </c>
      <c r="M699" s="441">
        <f>IF(L699&lt;O699,MinPoints,IF(AND(L699&gt;N699,O699&gt;0),100,+INT(($L699-O699)/P699)+MinPoints))</f>
        <v>10</v>
      </c>
      <c r="N699" s="440">
        <f t="shared" si="7"/>
        <v>50</v>
      </c>
      <c r="O699" s="440">
        <f t="shared" si="8"/>
        <v>5</v>
      </c>
      <c r="P699" s="440">
        <f t="shared" si="9"/>
        <v>0.5</v>
      </c>
      <c r="Q699">
        <f t="array" ref="Q699">IF(I699&gt;0,INDEX(DB,I699,9),EventIndex)</f>
        <v>6</v>
      </c>
      <c r="S699" s="442">
        <f t="array" ref="S699">INDEX(MINVALUES,$Q699,$K$1)</f>
        <v>5</v>
      </c>
      <c r="T699">
        <f t="array" ref="T699">INDEX(INCVALUES,$Q699,$K$1)</f>
        <v>0.5</v>
      </c>
      <c r="V699">
        <f t="array" ref="V699">+J699+(4*(INDEX(MatchScoreTable,$Q699,20)-1))</f>
        <v>4</v>
      </c>
      <c r="W699" s="442">
        <f t="array" ref="W699">INDEX(INC_MINVALUES,$V699,$K$1)</f>
        <v>2.5</v>
      </c>
      <c r="X699" s="212">
        <f t="array" ref="X699">INDEX(INC_INCVALUES,$V699,$K$1)</f>
        <v>0.5</v>
      </c>
    </row>
    <row r="700" ht="15.75" customHeight="1">
      <c r="A700" s="435"/>
      <c r="B700" s="436"/>
      <c r="C700" s="95" t="str">
        <f t="array" ref="C700">IF(I700&gt;0,INDEX(DB,I700,8),"")</f>
        <v/>
      </c>
      <c r="D700" s="437">
        <f t="shared" si="1"/>
        <v>0</v>
      </c>
      <c r="F700" s="438">
        <f t="shared" si="2"/>
        <v>0</v>
      </c>
      <c r="G700" t="str">
        <f t="shared" si="3"/>
        <v/>
      </c>
      <c r="H700" t="b">
        <f t="shared" si="4"/>
        <v>0</v>
      </c>
      <c r="I700" s="439">
        <f>IF(OR(ISBLANK(A700),ISNA(MATCH(A700&amp;"",AthleteNumbers,0))),0,MATCH(A700&amp;"",AthleteNumbers,0))</f>
        <v>0</v>
      </c>
      <c r="J700" s="209">
        <f t="array" ref="J700">IF(I700&gt;0,INDEX(DB,$I700,6),0)</f>
        <v>0</v>
      </c>
      <c r="K700" s="446">
        <f t="shared" si="5"/>
        <v>0</v>
      </c>
      <c r="L700" s="446">
        <f t="shared" si="6"/>
        <v>0</v>
      </c>
      <c r="M700" s="441">
        <f>IF(L700&lt;O700,MinPoints,IF(AND(L700&gt;N700,O700&gt;0),100,+INT(($L700-O700)/P700)+MinPoints))</f>
        <v>10</v>
      </c>
      <c r="N700" s="440">
        <f t="shared" si="7"/>
        <v>50</v>
      </c>
      <c r="O700" s="440">
        <f t="shared" si="8"/>
        <v>5</v>
      </c>
      <c r="P700" s="440">
        <f t="shared" si="9"/>
        <v>0.5</v>
      </c>
      <c r="Q700">
        <f t="array" ref="Q700">IF(I700&gt;0,INDEX(DB,I700,9),EventIndex)</f>
        <v>6</v>
      </c>
      <c r="S700" s="442">
        <f t="array" ref="S700">INDEX(MINVALUES,$Q700,$K$1)</f>
        <v>5</v>
      </c>
      <c r="T700">
        <f t="array" ref="T700">INDEX(INCVALUES,$Q700,$K$1)</f>
        <v>0.5</v>
      </c>
      <c r="V700">
        <f t="array" ref="V700">+J700+(4*(INDEX(MatchScoreTable,$Q700,20)-1))</f>
        <v>4</v>
      </c>
      <c r="W700" s="442">
        <f t="array" ref="W700">INDEX(INC_MINVALUES,$V700,$K$1)</f>
        <v>2.5</v>
      </c>
      <c r="X700" s="212">
        <f t="array" ref="X700">INDEX(INC_INCVALUES,$V700,$K$1)</f>
        <v>0.5</v>
      </c>
    </row>
    <row r="701" ht="15.75" customHeight="1">
      <c r="A701" s="435"/>
      <c r="B701" s="436"/>
      <c r="C701" s="95" t="str">
        <f t="array" ref="C701">IF(I701&gt;0,INDEX(DB,I701,8),"")</f>
        <v/>
      </c>
      <c r="D701" s="437">
        <f t="shared" si="1"/>
        <v>0</v>
      </c>
      <c r="F701" s="438">
        <f t="shared" si="2"/>
        <v>0</v>
      </c>
      <c r="G701" t="str">
        <f t="shared" si="3"/>
        <v/>
      </c>
      <c r="H701" t="b">
        <f t="shared" si="4"/>
        <v>0</v>
      </c>
      <c r="I701" s="439">
        <f>IF(OR(ISBLANK(A701),ISNA(MATCH(A701&amp;"",AthleteNumbers,0))),0,MATCH(A701&amp;"",AthleteNumbers,0))</f>
        <v>0</v>
      </c>
      <c r="J701" s="209">
        <f t="array" ref="J701">IF(I701&gt;0,INDEX(DB,$I701,6),0)</f>
        <v>0</v>
      </c>
      <c r="K701" s="446">
        <f t="shared" si="5"/>
        <v>0</v>
      </c>
      <c r="L701" s="446">
        <f t="shared" si="6"/>
        <v>0</v>
      </c>
      <c r="M701" s="441">
        <f>IF(L701&lt;O701,MinPoints,IF(AND(L701&gt;N701,O701&gt;0),100,+INT(($L701-O701)/P701)+MinPoints))</f>
        <v>10</v>
      </c>
      <c r="N701" s="440">
        <f t="shared" si="7"/>
        <v>50</v>
      </c>
      <c r="O701" s="440">
        <f t="shared" si="8"/>
        <v>5</v>
      </c>
      <c r="P701" s="440">
        <f t="shared" si="9"/>
        <v>0.5</v>
      </c>
      <c r="Q701">
        <f t="array" ref="Q701">IF(I701&gt;0,INDEX(DB,I701,9),EventIndex)</f>
        <v>6</v>
      </c>
      <c r="S701" s="442">
        <f t="array" ref="S701">INDEX(MINVALUES,$Q701,$K$1)</f>
        <v>5</v>
      </c>
      <c r="T701">
        <f t="array" ref="T701">INDEX(INCVALUES,$Q701,$K$1)</f>
        <v>0.5</v>
      </c>
      <c r="V701">
        <f t="array" ref="V701">+J701+(4*(INDEX(MatchScoreTable,$Q701,20)-1))</f>
        <v>4</v>
      </c>
      <c r="W701" s="442">
        <f t="array" ref="W701">INDEX(INC_MINVALUES,$V701,$K$1)</f>
        <v>2.5</v>
      </c>
      <c r="X701" s="212">
        <f t="array" ref="X701">INDEX(INC_INCVALUES,$V701,$K$1)</f>
        <v>0.5</v>
      </c>
    </row>
    <row r="702" ht="15.75" customHeight="1">
      <c r="A702" s="435"/>
      <c r="B702" s="436"/>
      <c r="C702" s="95" t="str">
        <f t="array" ref="C702">IF(I702&gt;0,INDEX(DB,I702,8),"")</f>
        <v/>
      </c>
      <c r="D702" s="437">
        <f t="shared" si="1"/>
        <v>0</v>
      </c>
      <c r="F702" s="438">
        <f t="shared" si="2"/>
        <v>0</v>
      </c>
      <c r="G702" t="str">
        <f t="shared" si="3"/>
        <v/>
      </c>
      <c r="H702" t="b">
        <f t="shared" si="4"/>
        <v>0</v>
      </c>
      <c r="I702" s="439">
        <f>IF(OR(ISBLANK(A702),ISNA(MATCH(A702&amp;"",AthleteNumbers,0))),0,MATCH(A702&amp;"",AthleteNumbers,0))</f>
        <v>0</v>
      </c>
      <c r="J702" s="209">
        <f t="array" ref="J702">IF(I702&gt;0,INDEX(DB,$I702,6),0)</f>
        <v>0</v>
      </c>
      <c r="K702" s="446">
        <f t="shared" si="5"/>
        <v>0</v>
      </c>
      <c r="L702" s="446">
        <f t="shared" si="6"/>
        <v>0</v>
      </c>
      <c r="M702" s="441">
        <f>IF(L702&lt;O702,MinPoints,IF(AND(L702&gt;N702,O702&gt;0),100,+INT(($L702-O702)/P702)+MinPoints))</f>
        <v>10</v>
      </c>
      <c r="N702" s="440">
        <f t="shared" si="7"/>
        <v>50</v>
      </c>
      <c r="O702" s="440">
        <f t="shared" si="8"/>
        <v>5</v>
      </c>
      <c r="P702" s="440">
        <f t="shared" si="9"/>
        <v>0.5</v>
      </c>
      <c r="Q702">
        <f t="array" ref="Q702">IF(I702&gt;0,INDEX(DB,I702,9),EventIndex)</f>
        <v>6</v>
      </c>
      <c r="S702" s="442">
        <f t="array" ref="S702">INDEX(MINVALUES,$Q702,$K$1)</f>
        <v>5</v>
      </c>
      <c r="T702">
        <f t="array" ref="T702">INDEX(INCVALUES,$Q702,$K$1)</f>
        <v>0.5</v>
      </c>
      <c r="V702">
        <f t="array" ref="V702">+J702+(4*(INDEX(MatchScoreTable,$Q702,20)-1))</f>
        <v>4</v>
      </c>
      <c r="W702" s="442">
        <f t="array" ref="W702">INDEX(INC_MINVALUES,$V702,$K$1)</f>
        <v>2.5</v>
      </c>
      <c r="X702" s="212">
        <f t="array" ref="X702">INDEX(INC_INCVALUES,$V702,$K$1)</f>
        <v>0.5</v>
      </c>
    </row>
    <row r="703" ht="15.75" customHeight="1">
      <c r="A703" s="435"/>
      <c r="B703" s="436"/>
      <c r="C703" s="95" t="str">
        <f t="array" ref="C703">IF(I703&gt;0,INDEX(DB,I703,8),"")</f>
        <v/>
      </c>
      <c r="D703" s="437">
        <f t="shared" si="1"/>
        <v>0</v>
      </c>
      <c r="F703" s="438">
        <f t="shared" si="2"/>
        <v>0</v>
      </c>
      <c r="G703" t="str">
        <f t="shared" si="3"/>
        <v/>
      </c>
      <c r="H703" t="b">
        <f t="shared" si="4"/>
        <v>0</v>
      </c>
      <c r="I703" s="439">
        <f>IF(OR(ISBLANK(A703),ISNA(MATCH(A703&amp;"",AthleteNumbers,0))),0,MATCH(A703&amp;"",AthleteNumbers,0))</f>
        <v>0</v>
      </c>
      <c r="J703" s="209">
        <f t="array" ref="J703">IF(I703&gt;0,INDEX(DB,$I703,6),0)</f>
        <v>0</v>
      </c>
      <c r="K703" s="446">
        <f t="shared" si="5"/>
        <v>0</v>
      </c>
      <c r="L703" s="446">
        <f t="shared" si="6"/>
        <v>0</v>
      </c>
      <c r="M703" s="441">
        <f>IF(L703&lt;O703,MinPoints,IF(AND(L703&gt;N703,O703&gt;0),100,+INT(($L703-O703)/P703)+MinPoints))</f>
        <v>10</v>
      </c>
      <c r="N703" s="440">
        <f t="shared" si="7"/>
        <v>50</v>
      </c>
      <c r="O703" s="440">
        <f t="shared" si="8"/>
        <v>5</v>
      </c>
      <c r="P703" s="440">
        <f t="shared" si="9"/>
        <v>0.5</v>
      </c>
      <c r="Q703">
        <f t="array" ref="Q703">IF(I703&gt;0,INDEX(DB,I703,9),EventIndex)</f>
        <v>6</v>
      </c>
      <c r="S703" s="442">
        <f t="array" ref="S703">INDEX(MINVALUES,$Q703,$K$1)</f>
        <v>5</v>
      </c>
      <c r="T703">
        <f t="array" ref="T703">INDEX(INCVALUES,$Q703,$K$1)</f>
        <v>0.5</v>
      </c>
      <c r="V703">
        <f t="array" ref="V703">+J703+(4*(INDEX(MatchScoreTable,$Q703,20)-1))</f>
        <v>4</v>
      </c>
      <c r="W703" s="442">
        <f t="array" ref="W703">INDEX(INC_MINVALUES,$V703,$K$1)</f>
        <v>2.5</v>
      </c>
      <c r="X703" s="212">
        <f t="array" ref="X703">INDEX(INC_INCVALUES,$V703,$K$1)</f>
        <v>0.5</v>
      </c>
    </row>
    <row r="704" ht="15.75" customHeight="1">
      <c r="A704" s="435"/>
      <c r="B704" s="436"/>
      <c r="C704" s="95" t="str">
        <f t="array" ref="C704">IF(I704&gt;0,INDEX(DB,I704,8),"")</f>
        <v/>
      </c>
      <c r="D704" s="437">
        <f t="shared" si="1"/>
        <v>0</v>
      </c>
      <c r="F704" s="438">
        <f t="shared" si="2"/>
        <v>0</v>
      </c>
      <c r="G704" t="str">
        <f t="shared" si="3"/>
        <v/>
      </c>
      <c r="H704" t="b">
        <f t="shared" si="4"/>
        <v>0</v>
      </c>
      <c r="I704" s="439">
        <f>IF(OR(ISBLANK(A704),ISNA(MATCH(A704&amp;"",AthleteNumbers,0))),0,MATCH(A704&amp;"",AthleteNumbers,0))</f>
        <v>0</v>
      </c>
      <c r="J704" s="209">
        <f t="array" ref="J704">IF(I704&gt;0,INDEX(DB,$I704,6),0)</f>
        <v>0</v>
      </c>
      <c r="K704" s="446">
        <f t="shared" si="5"/>
        <v>0</v>
      </c>
      <c r="L704" s="446">
        <f t="shared" si="6"/>
        <v>0</v>
      </c>
      <c r="M704" s="441">
        <f>IF(L704&lt;O704,MinPoints,IF(AND(L704&gt;N704,O704&gt;0),100,+INT(($L704-O704)/P704)+MinPoints))</f>
        <v>10</v>
      </c>
      <c r="N704" s="440">
        <f t="shared" si="7"/>
        <v>50</v>
      </c>
      <c r="O704" s="440">
        <f t="shared" si="8"/>
        <v>5</v>
      </c>
      <c r="P704" s="440">
        <f t="shared" si="9"/>
        <v>0.5</v>
      </c>
      <c r="Q704">
        <f t="array" ref="Q704">IF(I704&gt;0,INDEX(DB,I704,9),EventIndex)</f>
        <v>6</v>
      </c>
      <c r="S704" s="442">
        <f t="array" ref="S704">INDEX(MINVALUES,$Q704,$K$1)</f>
        <v>5</v>
      </c>
      <c r="T704">
        <f t="array" ref="T704">INDEX(INCVALUES,$Q704,$K$1)</f>
        <v>0.5</v>
      </c>
      <c r="V704">
        <f t="array" ref="V704">+J704+(4*(INDEX(MatchScoreTable,$Q704,20)-1))</f>
        <v>4</v>
      </c>
      <c r="W704" s="442">
        <f t="array" ref="W704">INDEX(INC_MINVALUES,$V704,$K$1)</f>
        <v>2.5</v>
      </c>
      <c r="X704" s="212">
        <f t="array" ref="X704">INDEX(INC_INCVALUES,$V704,$K$1)</f>
        <v>0.5</v>
      </c>
    </row>
    <row r="705" ht="15.75" customHeight="1">
      <c r="A705" s="435"/>
      <c r="B705" s="436"/>
      <c r="C705" s="95" t="str">
        <f t="array" ref="C705">IF(I705&gt;0,INDEX(DB,I705,8),"")</f>
        <v/>
      </c>
      <c r="D705" s="437">
        <f t="shared" si="1"/>
        <v>0</v>
      </c>
      <c r="F705" s="438">
        <f t="shared" si="2"/>
        <v>0</v>
      </c>
      <c r="G705" t="str">
        <f t="shared" si="3"/>
        <v/>
      </c>
      <c r="H705" t="b">
        <f t="shared" si="4"/>
        <v>0</v>
      </c>
      <c r="I705" s="439">
        <f>IF(OR(ISBLANK(A705),ISNA(MATCH(A705&amp;"",AthleteNumbers,0))),0,MATCH(A705&amp;"",AthleteNumbers,0))</f>
        <v>0</v>
      </c>
      <c r="J705" s="209">
        <f t="array" ref="J705">IF(I705&gt;0,INDEX(DB,$I705,6),0)</f>
        <v>0</v>
      </c>
      <c r="K705" s="446">
        <f t="shared" si="5"/>
        <v>0</v>
      </c>
      <c r="L705" s="446">
        <f t="shared" si="6"/>
        <v>0</v>
      </c>
      <c r="M705" s="441">
        <f>IF(L705&lt;O705,MinPoints,IF(AND(L705&gt;N705,O705&gt;0),100,+INT(($L705-O705)/P705)+MinPoints))</f>
        <v>10</v>
      </c>
      <c r="N705" s="440">
        <f t="shared" si="7"/>
        <v>50</v>
      </c>
      <c r="O705" s="440">
        <f t="shared" si="8"/>
        <v>5</v>
      </c>
      <c r="P705" s="440">
        <f t="shared" si="9"/>
        <v>0.5</v>
      </c>
      <c r="Q705">
        <f t="array" ref="Q705">IF(I705&gt;0,INDEX(DB,I705,9),EventIndex)</f>
        <v>6</v>
      </c>
      <c r="S705" s="442">
        <f t="array" ref="S705">INDEX(MINVALUES,$Q705,$K$1)</f>
        <v>5</v>
      </c>
      <c r="T705">
        <f t="array" ref="T705">INDEX(INCVALUES,$Q705,$K$1)</f>
        <v>0.5</v>
      </c>
      <c r="V705">
        <f t="array" ref="V705">+J705+(4*(INDEX(MatchScoreTable,$Q705,20)-1))</f>
        <v>4</v>
      </c>
      <c r="W705" s="442">
        <f t="array" ref="W705">INDEX(INC_MINVALUES,$V705,$K$1)</f>
        <v>2.5</v>
      </c>
      <c r="X705" s="212">
        <f t="array" ref="X705">INDEX(INC_INCVALUES,$V705,$K$1)</f>
        <v>0.5</v>
      </c>
    </row>
    <row r="706" ht="15.75" customHeight="1">
      <c r="A706" s="435"/>
      <c r="B706" s="436"/>
      <c r="C706" s="95" t="str">
        <f t="array" ref="C706">IF(I706&gt;0,INDEX(DB,I706,8),"")</f>
        <v/>
      </c>
      <c r="D706" s="437">
        <f t="shared" si="1"/>
        <v>0</v>
      </c>
      <c r="F706" s="438">
        <f t="shared" si="2"/>
        <v>0</v>
      </c>
      <c r="G706" t="str">
        <f t="shared" si="3"/>
        <v/>
      </c>
      <c r="H706" t="b">
        <f t="shared" si="4"/>
        <v>0</v>
      </c>
      <c r="I706" s="439">
        <f>IF(OR(ISBLANK(A706),ISNA(MATCH(A706&amp;"",AthleteNumbers,0))),0,MATCH(A706&amp;"",AthleteNumbers,0))</f>
        <v>0</v>
      </c>
      <c r="J706" s="209">
        <f t="array" ref="J706">IF(I706&gt;0,INDEX(DB,$I706,6),0)</f>
        <v>0</v>
      </c>
      <c r="K706" s="446">
        <f t="shared" si="5"/>
        <v>0</v>
      </c>
      <c r="L706" s="446">
        <f t="shared" si="6"/>
        <v>0</v>
      </c>
      <c r="M706" s="441">
        <f>IF(L706&lt;O706,MinPoints,IF(AND(L706&gt;N706,O706&gt;0),100,+INT(($L706-O706)/P706)+MinPoints))</f>
        <v>10</v>
      </c>
      <c r="N706" s="440">
        <f t="shared" si="7"/>
        <v>50</v>
      </c>
      <c r="O706" s="440">
        <f t="shared" si="8"/>
        <v>5</v>
      </c>
      <c r="P706" s="440">
        <f t="shared" si="9"/>
        <v>0.5</v>
      </c>
      <c r="Q706">
        <f t="array" ref="Q706">IF(I706&gt;0,INDEX(DB,I706,9),EventIndex)</f>
        <v>6</v>
      </c>
      <c r="S706" s="442">
        <f t="array" ref="S706">INDEX(MINVALUES,$Q706,$K$1)</f>
        <v>5</v>
      </c>
      <c r="T706">
        <f t="array" ref="T706">INDEX(INCVALUES,$Q706,$K$1)</f>
        <v>0.5</v>
      </c>
      <c r="V706">
        <f t="array" ref="V706">+J706+(4*(INDEX(MatchScoreTable,$Q706,20)-1))</f>
        <v>4</v>
      </c>
      <c r="W706" s="442">
        <f t="array" ref="W706">INDEX(INC_MINVALUES,$V706,$K$1)</f>
        <v>2.5</v>
      </c>
      <c r="X706" s="212">
        <f t="array" ref="X706">INDEX(INC_INCVALUES,$V706,$K$1)</f>
        <v>0.5</v>
      </c>
    </row>
    <row r="707" ht="15.75" customHeight="1">
      <c r="A707" s="435"/>
      <c r="B707" s="436"/>
      <c r="C707" s="95" t="str">
        <f t="array" ref="C707">IF(I707&gt;0,INDEX(DB,I707,8),"")</f>
        <v/>
      </c>
      <c r="D707" s="437">
        <f t="shared" si="1"/>
        <v>0</v>
      </c>
      <c r="F707" s="438">
        <f t="shared" si="2"/>
        <v>0</v>
      </c>
      <c r="G707" t="str">
        <f t="shared" si="3"/>
        <v/>
      </c>
      <c r="H707" t="b">
        <f t="shared" si="4"/>
        <v>0</v>
      </c>
      <c r="I707" s="439">
        <f>IF(OR(ISBLANK(A707),ISNA(MATCH(A707&amp;"",AthleteNumbers,0))),0,MATCH(A707&amp;"",AthleteNumbers,0))</f>
        <v>0</v>
      </c>
      <c r="J707" s="209">
        <f t="array" ref="J707">IF(I707&gt;0,INDEX(DB,$I707,6),0)</f>
        <v>0</v>
      </c>
      <c r="K707" s="446">
        <f t="shared" si="5"/>
        <v>0</v>
      </c>
      <c r="L707" s="446">
        <f t="shared" si="6"/>
        <v>0</v>
      </c>
      <c r="M707" s="441">
        <f>IF(L707&lt;O707,MinPoints,IF(AND(L707&gt;N707,O707&gt;0),100,+INT(($L707-O707)/P707)+MinPoints))</f>
        <v>10</v>
      </c>
      <c r="N707" s="440">
        <f t="shared" si="7"/>
        <v>50</v>
      </c>
      <c r="O707" s="440">
        <f t="shared" si="8"/>
        <v>5</v>
      </c>
      <c r="P707" s="440">
        <f t="shared" si="9"/>
        <v>0.5</v>
      </c>
      <c r="Q707">
        <f t="array" ref="Q707">IF(I707&gt;0,INDEX(DB,I707,9),EventIndex)</f>
        <v>6</v>
      </c>
      <c r="S707" s="442">
        <f t="array" ref="S707">INDEX(MINVALUES,$Q707,$K$1)</f>
        <v>5</v>
      </c>
      <c r="T707">
        <f t="array" ref="T707">INDEX(INCVALUES,$Q707,$K$1)</f>
        <v>0.5</v>
      </c>
      <c r="V707">
        <f t="array" ref="V707">+J707+(4*(INDEX(MatchScoreTable,$Q707,20)-1))</f>
        <v>4</v>
      </c>
      <c r="W707" s="442">
        <f t="array" ref="W707">INDEX(INC_MINVALUES,$V707,$K$1)</f>
        <v>2.5</v>
      </c>
      <c r="X707" s="212">
        <f t="array" ref="X707">INDEX(INC_INCVALUES,$V707,$K$1)</f>
        <v>0.5</v>
      </c>
    </row>
    <row r="708" ht="15.75" customHeight="1">
      <c r="A708" s="435"/>
      <c r="B708" s="436"/>
      <c r="C708" s="95" t="str">
        <f t="array" ref="C708">IF(I708&gt;0,INDEX(DB,I708,8),"")</f>
        <v/>
      </c>
      <c r="D708" s="437">
        <f t="shared" si="1"/>
        <v>0</v>
      </c>
      <c r="F708" s="438">
        <f t="shared" si="2"/>
        <v>0</v>
      </c>
      <c r="G708" t="str">
        <f t="shared" si="3"/>
        <v/>
      </c>
      <c r="H708" t="b">
        <f t="shared" si="4"/>
        <v>0</v>
      </c>
      <c r="I708" s="439">
        <f>IF(OR(ISBLANK(A708),ISNA(MATCH(A708&amp;"",AthleteNumbers,0))),0,MATCH(A708&amp;"",AthleteNumbers,0))</f>
        <v>0</v>
      </c>
      <c r="J708" s="209">
        <f t="array" ref="J708">IF(I708&gt;0,INDEX(DB,$I708,6),0)</f>
        <v>0</v>
      </c>
      <c r="K708" s="446">
        <f t="shared" si="5"/>
        <v>0</v>
      </c>
      <c r="L708" s="446">
        <f t="shared" si="6"/>
        <v>0</v>
      </c>
      <c r="M708" s="441">
        <f>IF(L708&lt;O708,MinPoints,IF(AND(L708&gt;N708,O708&gt;0),100,+INT(($L708-O708)/P708)+MinPoints))</f>
        <v>10</v>
      </c>
      <c r="N708" s="440">
        <f t="shared" si="7"/>
        <v>50</v>
      </c>
      <c r="O708" s="440">
        <f t="shared" si="8"/>
        <v>5</v>
      </c>
      <c r="P708" s="440">
        <f t="shared" si="9"/>
        <v>0.5</v>
      </c>
      <c r="Q708">
        <f t="array" ref="Q708">IF(I708&gt;0,INDEX(DB,I708,9),EventIndex)</f>
        <v>6</v>
      </c>
      <c r="S708" s="442">
        <f t="array" ref="S708">INDEX(MINVALUES,$Q708,$K$1)</f>
        <v>5</v>
      </c>
      <c r="T708">
        <f t="array" ref="T708">INDEX(INCVALUES,$Q708,$K$1)</f>
        <v>0.5</v>
      </c>
      <c r="V708">
        <f t="array" ref="V708">+J708+(4*(INDEX(MatchScoreTable,$Q708,20)-1))</f>
        <v>4</v>
      </c>
      <c r="W708" s="442">
        <f t="array" ref="W708">INDEX(INC_MINVALUES,$V708,$K$1)</f>
        <v>2.5</v>
      </c>
      <c r="X708" s="212">
        <f t="array" ref="X708">INDEX(INC_INCVALUES,$V708,$K$1)</f>
        <v>0.5</v>
      </c>
    </row>
    <row r="709" ht="15.75" customHeight="1">
      <c r="A709" s="435"/>
      <c r="B709" s="436"/>
      <c r="C709" s="95" t="str">
        <f t="array" ref="C709">IF(I709&gt;0,INDEX(DB,I709,8),"")</f>
        <v/>
      </c>
      <c r="D709" s="437">
        <f t="shared" si="1"/>
        <v>0</v>
      </c>
      <c r="F709" s="438">
        <f t="shared" si="2"/>
        <v>0</v>
      </c>
      <c r="G709" t="str">
        <f t="shared" si="3"/>
        <v/>
      </c>
      <c r="H709" t="b">
        <f t="shared" si="4"/>
        <v>0</v>
      </c>
      <c r="I709" s="439">
        <f>IF(OR(ISBLANK(A709),ISNA(MATCH(A709&amp;"",AthleteNumbers,0))),0,MATCH(A709&amp;"",AthleteNumbers,0))</f>
        <v>0</v>
      </c>
      <c r="J709" s="209">
        <f t="array" ref="J709">IF(I709&gt;0,INDEX(DB,$I709,6),0)</f>
        <v>0</v>
      </c>
      <c r="K709" s="446">
        <f t="shared" si="5"/>
        <v>0</v>
      </c>
      <c r="L709" s="446">
        <f t="shared" si="6"/>
        <v>0</v>
      </c>
      <c r="M709" s="441">
        <f>IF(L709&lt;O709,MinPoints,IF(AND(L709&gt;N709,O709&gt;0),100,+INT(($L709-O709)/P709)+MinPoints))</f>
        <v>10</v>
      </c>
      <c r="N709" s="440">
        <f t="shared" si="7"/>
        <v>50</v>
      </c>
      <c r="O709" s="440">
        <f t="shared" si="8"/>
        <v>5</v>
      </c>
      <c r="P709" s="440">
        <f t="shared" si="9"/>
        <v>0.5</v>
      </c>
      <c r="Q709">
        <f t="array" ref="Q709">IF(I709&gt;0,INDEX(DB,I709,9),EventIndex)</f>
        <v>6</v>
      </c>
      <c r="S709" s="442">
        <f t="array" ref="S709">INDEX(MINVALUES,$Q709,$K$1)</f>
        <v>5</v>
      </c>
      <c r="T709">
        <f t="array" ref="T709">INDEX(INCVALUES,$Q709,$K$1)</f>
        <v>0.5</v>
      </c>
      <c r="V709">
        <f t="array" ref="V709">+J709+(4*(INDEX(MatchScoreTable,$Q709,20)-1))</f>
        <v>4</v>
      </c>
      <c r="W709" s="442">
        <f t="array" ref="W709">INDEX(INC_MINVALUES,$V709,$K$1)</f>
        <v>2.5</v>
      </c>
      <c r="X709" s="212">
        <f t="array" ref="X709">INDEX(INC_INCVALUES,$V709,$K$1)</f>
        <v>0.5</v>
      </c>
    </row>
    <row r="710" ht="15.75" customHeight="1">
      <c r="A710" s="435"/>
      <c r="B710" s="436"/>
      <c r="C710" s="95" t="str">
        <f t="array" ref="C710">IF(I710&gt;0,INDEX(DB,I710,8),"")</f>
        <v/>
      </c>
      <c r="D710" s="437">
        <f t="shared" si="1"/>
        <v>0</v>
      </c>
      <c r="F710" s="438">
        <f t="shared" si="2"/>
        <v>0</v>
      </c>
      <c r="G710" t="str">
        <f t="shared" si="3"/>
        <v/>
      </c>
      <c r="H710" t="b">
        <f t="shared" si="4"/>
        <v>0</v>
      </c>
      <c r="I710" s="439">
        <f>IF(OR(ISBLANK(A710),ISNA(MATCH(A710&amp;"",AthleteNumbers,0))),0,MATCH(A710&amp;"",AthleteNumbers,0))</f>
        <v>0</v>
      </c>
      <c r="J710" s="209">
        <f t="array" ref="J710">IF(I710&gt;0,INDEX(DB,$I710,6),0)</f>
        <v>0</v>
      </c>
      <c r="K710" s="446">
        <f t="shared" si="5"/>
        <v>0</v>
      </c>
      <c r="L710" s="446">
        <f t="shared" si="6"/>
        <v>0</v>
      </c>
      <c r="M710" s="441">
        <f>IF(L710&lt;O710,MinPoints,IF(AND(L710&gt;N710,O710&gt;0),100,+INT(($L710-O710)/P710)+MinPoints))</f>
        <v>10</v>
      </c>
      <c r="N710" s="440">
        <f t="shared" si="7"/>
        <v>50</v>
      </c>
      <c r="O710" s="440">
        <f t="shared" si="8"/>
        <v>5</v>
      </c>
      <c r="P710" s="440">
        <f t="shared" si="9"/>
        <v>0.5</v>
      </c>
      <c r="Q710">
        <f t="array" ref="Q710">IF(I710&gt;0,INDEX(DB,I710,9),EventIndex)</f>
        <v>6</v>
      </c>
      <c r="S710" s="442">
        <f t="array" ref="S710">INDEX(MINVALUES,$Q710,$K$1)</f>
        <v>5</v>
      </c>
      <c r="T710">
        <f t="array" ref="T710">INDEX(INCVALUES,$Q710,$K$1)</f>
        <v>0.5</v>
      </c>
      <c r="V710">
        <f t="array" ref="V710">+J710+(4*(INDEX(MatchScoreTable,$Q710,20)-1))</f>
        <v>4</v>
      </c>
      <c r="W710" s="442">
        <f t="array" ref="W710">INDEX(INC_MINVALUES,$V710,$K$1)</f>
        <v>2.5</v>
      </c>
      <c r="X710" s="212">
        <f t="array" ref="X710">INDEX(INC_INCVALUES,$V710,$K$1)</f>
        <v>0.5</v>
      </c>
    </row>
    <row r="711" ht="15.75" customHeight="1">
      <c r="A711" s="435"/>
      <c r="B711" s="436"/>
      <c r="C711" s="95" t="str">
        <f t="array" ref="C711">IF(I711&gt;0,INDEX(DB,I711,8),"")</f>
        <v/>
      </c>
      <c r="D711" s="437">
        <f t="shared" si="1"/>
        <v>0</v>
      </c>
      <c r="F711" s="438">
        <f t="shared" si="2"/>
        <v>0</v>
      </c>
      <c r="G711" t="str">
        <f t="shared" si="3"/>
        <v/>
      </c>
      <c r="H711" t="b">
        <f t="shared" si="4"/>
        <v>0</v>
      </c>
      <c r="I711" s="439">
        <f>IF(OR(ISBLANK(A711),ISNA(MATCH(A711&amp;"",AthleteNumbers,0))),0,MATCH(A711&amp;"",AthleteNumbers,0))</f>
        <v>0</v>
      </c>
      <c r="J711" s="209">
        <f t="array" ref="J711">IF(I711&gt;0,INDEX(DB,$I711,6),0)</f>
        <v>0</v>
      </c>
      <c r="K711" s="446">
        <f t="shared" si="5"/>
        <v>0</v>
      </c>
      <c r="L711" s="446">
        <f t="shared" si="6"/>
        <v>0</v>
      </c>
      <c r="M711" s="441">
        <f>IF(L711&lt;O711,MinPoints,IF(AND(L711&gt;N711,O711&gt;0),100,+INT(($L711-O711)/P711)+MinPoints))</f>
        <v>10</v>
      </c>
      <c r="N711" s="440">
        <f t="shared" si="7"/>
        <v>50</v>
      </c>
      <c r="O711" s="440">
        <f t="shared" si="8"/>
        <v>5</v>
      </c>
      <c r="P711" s="440">
        <f t="shared" si="9"/>
        <v>0.5</v>
      </c>
      <c r="Q711">
        <f t="array" ref="Q711">IF(I711&gt;0,INDEX(DB,I711,9),EventIndex)</f>
        <v>6</v>
      </c>
      <c r="S711" s="442">
        <f t="array" ref="S711">INDEX(MINVALUES,$Q711,$K$1)</f>
        <v>5</v>
      </c>
      <c r="T711">
        <f t="array" ref="T711">INDEX(INCVALUES,$Q711,$K$1)</f>
        <v>0.5</v>
      </c>
      <c r="V711">
        <f t="array" ref="V711">+J711+(4*(INDEX(MatchScoreTable,$Q711,20)-1))</f>
        <v>4</v>
      </c>
      <c r="W711" s="442">
        <f t="array" ref="W711">INDEX(INC_MINVALUES,$V711,$K$1)</f>
        <v>2.5</v>
      </c>
      <c r="X711" s="212">
        <f t="array" ref="X711">INDEX(INC_INCVALUES,$V711,$K$1)</f>
        <v>0.5</v>
      </c>
    </row>
    <row r="712" ht="15.75" customHeight="1">
      <c r="A712" s="435"/>
      <c r="B712" s="436"/>
      <c r="C712" s="95" t="str">
        <f t="array" ref="C712">IF(I712&gt;0,INDEX(DB,I712,8),"")</f>
        <v/>
      </c>
      <c r="D712" s="437">
        <f t="shared" si="1"/>
        <v>0</v>
      </c>
      <c r="F712" s="438">
        <f t="shared" si="2"/>
        <v>0</v>
      </c>
      <c r="G712" t="str">
        <f t="shared" si="3"/>
        <v/>
      </c>
      <c r="H712" t="b">
        <f t="shared" si="4"/>
        <v>0</v>
      </c>
      <c r="I712" s="439">
        <f>IF(OR(ISBLANK(A712),ISNA(MATCH(A712&amp;"",AthleteNumbers,0))),0,MATCH(A712&amp;"",AthleteNumbers,0))</f>
        <v>0</v>
      </c>
      <c r="J712" s="209">
        <f t="array" ref="J712">IF(I712&gt;0,INDEX(DB,$I712,6),0)</f>
        <v>0</v>
      </c>
      <c r="K712" s="446">
        <f t="shared" si="5"/>
        <v>0</v>
      </c>
      <c r="L712" s="446">
        <f t="shared" si="6"/>
        <v>0</v>
      </c>
      <c r="M712" s="441">
        <f>IF(L712&lt;O712,MinPoints,IF(AND(L712&gt;N712,O712&gt;0),100,+INT(($L712-O712)/P712)+MinPoints))</f>
        <v>10</v>
      </c>
      <c r="N712" s="440">
        <f t="shared" si="7"/>
        <v>50</v>
      </c>
      <c r="O712" s="440">
        <f t="shared" si="8"/>
        <v>5</v>
      </c>
      <c r="P712" s="440">
        <f t="shared" si="9"/>
        <v>0.5</v>
      </c>
      <c r="Q712">
        <f t="array" ref="Q712">IF(I712&gt;0,INDEX(DB,I712,9),EventIndex)</f>
        <v>6</v>
      </c>
      <c r="S712" s="442">
        <f t="array" ref="S712">INDEX(MINVALUES,$Q712,$K$1)</f>
        <v>5</v>
      </c>
      <c r="T712">
        <f t="array" ref="T712">INDEX(INCVALUES,$Q712,$K$1)</f>
        <v>0.5</v>
      </c>
      <c r="V712">
        <f t="array" ref="V712">+J712+(4*(INDEX(MatchScoreTable,$Q712,20)-1))</f>
        <v>4</v>
      </c>
      <c r="W712" s="442">
        <f t="array" ref="W712">INDEX(INC_MINVALUES,$V712,$K$1)</f>
        <v>2.5</v>
      </c>
      <c r="X712" s="212">
        <f t="array" ref="X712">INDEX(INC_INCVALUES,$V712,$K$1)</f>
        <v>0.5</v>
      </c>
    </row>
    <row r="713" ht="15.75" customHeight="1">
      <c r="A713" s="435"/>
      <c r="B713" s="436"/>
      <c r="C713" s="95" t="str">
        <f t="array" ref="C713">IF(I713&gt;0,INDEX(DB,I713,8),"")</f>
        <v/>
      </c>
      <c r="D713" s="437">
        <f t="shared" si="1"/>
        <v>0</v>
      </c>
      <c r="F713" s="438">
        <f t="shared" si="2"/>
        <v>0</v>
      </c>
      <c r="G713" t="str">
        <f t="shared" si="3"/>
        <v/>
      </c>
      <c r="H713" t="b">
        <f t="shared" si="4"/>
        <v>0</v>
      </c>
      <c r="I713" s="439">
        <f>IF(OR(ISBLANK(A713),ISNA(MATCH(A713&amp;"",AthleteNumbers,0))),0,MATCH(A713&amp;"",AthleteNumbers,0))</f>
        <v>0</v>
      </c>
      <c r="J713" s="209">
        <f t="array" ref="J713">IF(I713&gt;0,INDEX(DB,$I713,6),0)</f>
        <v>0</v>
      </c>
      <c r="K713" s="446">
        <f t="shared" si="5"/>
        <v>0</v>
      </c>
      <c r="L713" s="446">
        <f t="shared" si="6"/>
        <v>0</v>
      </c>
      <c r="M713" s="441">
        <f>IF(L713&lt;O713,MinPoints,IF(AND(L713&gt;N713,O713&gt;0),100,+INT(($L713-O713)/P713)+MinPoints))</f>
        <v>10</v>
      </c>
      <c r="N713" s="440">
        <f t="shared" si="7"/>
        <v>50</v>
      </c>
      <c r="O713" s="440">
        <f t="shared" si="8"/>
        <v>5</v>
      </c>
      <c r="P713" s="440">
        <f t="shared" si="9"/>
        <v>0.5</v>
      </c>
      <c r="Q713">
        <f t="array" ref="Q713">IF(I713&gt;0,INDEX(DB,I713,9),EventIndex)</f>
        <v>6</v>
      </c>
      <c r="S713" s="442">
        <f t="array" ref="S713">INDEX(MINVALUES,$Q713,$K$1)</f>
        <v>5</v>
      </c>
      <c r="T713">
        <f t="array" ref="T713">INDEX(INCVALUES,$Q713,$K$1)</f>
        <v>0.5</v>
      </c>
      <c r="V713">
        <f t="array" ref="V713">+J713+(4*(INDEX(MatchScoreTable,$Q713,20)-1))</f>
        <v>4</v>
      </c>
      <c r="W713" s="442">
        <f t="array" ref="W713">INDEX(INC_MINVALUES,$V713,$K$1)</f>
        <v>2.5</v>
      </c>
      <c r="X713" s="212">
        <f t="array" ref="X713">INDEX(INC_INCVALUES,$V713,$K$1)</f>
        <v>0.5</v>
      </c>
    </row>
    <row r="714" ht="15.75" customHeight="1">
      <c r="A714" s="435"/>
      <c r="B714" s="436"/>
      <c r="C714" s="95" t="str">
        <f t="array" ref="C714">IF(I714&gt;0,INDEX(DB,I714,8),"")</f>
        <v/>
      </c>
      <c r="D714" s="437">
        <f t="shared" si="1"/>
        <v>0</v>
      </c>
      <c r="F714" s="438">
        <f t="shared" si="2"/>
        <v>0</v>
      </c>
      <c r="G714" t="str">
        <f t="shared" si="3"/>
        <v/>
      </c>
      <c r="H714" t="b">
        <f t="shared" si="4"/>
        <v>0</v>
      </c>
      <c r="I714" s="439">
        <f>IF(OR(ISBLANK(A714),ISNA(MATCH(A714&amp;"",AthleteNumbers,0))),0,MATCH(A714&amp;"",AthleteNumbers,0))</f>
        <v>0</v>
      </c>
      <c r="J714" s="209">
        <f t="array" ref="J714">IF(I714&gt;0,INDEX(DB,$I714,6),0)</f>
        <v>0</v>
      </c>
      <c r="K714" s="446">
        <f t="shared" si="5"/>
        <v>0</v>
      </c>
      <c r="L714" s="446">
        <f t="shared" si="6"/>
        <v>0</v>
      </c>
      <c r="M714" s="441">
        <f>IF(L714&lt;O714,MinPoints,IF(AND(L714&gt;N714,O714&gt;0),100,+INT(($L714-O714)/P714)+MinPoints))</f>
        <v>10</v>
      </c>
      <c r="N714" s="440">
        <f t="shared" si="7"/>
        <v>50</v>
      </c>
      <c r="O714" s="440">
        <f t="shared" si="8"/>
        <v>5</v>
      </c>
      <c r="P714" s="440">
        <f t="shared" si="9"/>
        <v>0.5</v>
      </c>
      <c r="Q714">
        <f t="array" ref="Q714">IF(I714&gt;0,INDEX(DB,I714,9),EventIndex)</f>
        <v>6</v>
      </c>
      <c r="S714" s="442">
        <f t="array" ref="S714">INDEX(MINVALUES,$Q714,$K$1)</f>
        <v>5</v>
      </c>
      <c r="T714">
        <f t="array" ref="T714">INDEX(INCVALUES,$Q714,$K$1)</f>
        <v>0.5</v>
      </c>
      <c r="V714">
        <f t="array" ref="V714">+J714+(4*(INDEX(MatchScoreTable,$Q714,20)-1))</f>
        <v>4</v>
      </c>
      <c r="W714" s="442">
        <f t="array" ref="W714">INDEX(INC_MINVALUES,$V714,$K$1)</f>
        <v>2.5</v>
      </c>
      <c r="X714" s="212">
        <f t="array" ref="X714">INDEX(INC_INCVALUES,$V714,$K$1)</f>
        <v>0.5</v>
      </c>
    </row>
    <row r="715" ht="15.75" customHeight="1">
      <c r="A715" s="435"/>
      <c r="B715" s="436"/>
      <c r="C715" s="95" t="str">
        <f t="array" ref="C715">IF(I715&gt;0,INDEX(DB,I715,8),"")</f>
        <v/>
      </c>
      <c r="D715" s="437">
        <f t="shared" si="1"/>
        <v>0</v>
      </c>
      <c r="F715" s="438">
        <f t="shared" si="2"/>
        <v>0</v>
      </c>
      <c r="G715" t="str">
        <f t="shared" si="3"/>
        <v/>
      </c>
      <c r="H715" t="b">
        <f t="shared" si="4"/>
        <v>0</v>
      </c>
      <c r="I715" s="439">
        <f>IF(OR(ISBLANK(A715),ISNA(MATCH(A715&amp;"",AthleteNumbers,0))),0,MATCH(A715&amp;"",AthleteNumbers,0))</f>
        <v>0</v>
      </c>
      <c r="J715" s="209">
        <f t="array" ref="J715">IF(I715&gt;0,INDEX(DB,$I715,6),0)</f>
        <v>0</v>
      </c>
      <c r="K715" s="446">
        <f t="shared" si="5"/>
        <v>0</v>
      </c>
      <c r="L715" s="446">
        <f t="shared" si="6"/>
        <v>0</v>
      </c>
      <c r="M715" s="441">
        <f>IF(L715&lt;O715,MinPoints,IF(AND(L715&gt;N715,O715&gt;0),100,+INT(($L715-O715)/P715)+MinPoints))</f>
        <v>10</v>
      </c>
      <c r="N715" s="440">
        <f t="shared" si="7"/>
        <v>50</v>
      </c>
      <c r="O715" s="440">
        <f t="shared" si="8"/>
        <v>5</v>
      </c>
      <c r="P715" s="440">
        <f t="shared" si="9"/>
        <v>0.5</v>
      </c>
      <c r="Q715">
        <f t="array" ref="Q715">IF(I715&gt;0,INDEX(DB,I715,9),EventIndex)</f>
        <v>6</v>
      </c>
      <c r="S715" s="442">
        <f t="array" ref="S715">INDEX(MINVALUES,$Q715,$K$1)</f>
        <v>5</v>
      </c>
      <c r="T715">
        <f t="array" ref="T715">INDEX(INCVALUES,$Q715,$K$1)</f>
        <v>0.5</v>
      </c>
      <c r="V715">
        <f t="array" ref="V715">+J715+(4*(INDEX(MatchScoreTable,$Q715,20)-1))</f>
        <v>4</v>
      </c>
      <c r="W715" s="442">
        <f t="array" ref="W715">INDEX(INC_MINVALUES,$V715,$K$1)</f>
        <v>2.5</v>
      </c>
      <c r="X715" s="212">
        <f t="array" ref="X715">INDEX(INC_INCVALUES,$V715,$K$1)</f>
        <v>0.5</v>
      </c>
    </row>
    <row r="716" ht="15.75" customHeight="1">
      <c r="A716" s="435"/>
      <c r="B716" s="436"/>
      <c r="C716" s="95" t="str">
        <f t="array" ref="C716">IF(I716&gt;0,INDEX(DB,I716,8),"")</f>
        <v/>
      </c>
      <c r="D716" s="437">
        <f t="shared" si="1"/>
        <v>0</v>
      </c>
      <c r="F716" s="438">
        <f t="shared" si="2"/>
        <v>0</v>
      </c>
      <c r="G716" t="str">
        <f t="shared" si="3"/>
        <v/>
      </c>
      <c r="H716" t="b">
        <f t="shared" si="4"/>
        <v>0</v>
      </c>
      <c r="I716" s="439">
        <f>IF(OR(ISBLANK(A716),ISNA(MATCH(A716&amp;"",AthleteNumbers,0))),0,MATCH(A716&amp;"",AthleteNumbers,0))</f>
        <v>0</v>
      </c>
      <c r="J716" s="209">
        <f t="array" ref="J716">IF(I716&gt;0,INDEX(DB,$I716,6),0)</f>
        <v>0</v>
      </c>
      <c r="K716" s="446">
        <f t="shared" si="5"/>
        <v>0</v>
      </c>
      <c r="L716" s="446">
        <f t="shared" si="6"/>
        <v>0</v>
      </c>
      <c r="M716" s="441">
        <f>IF(L716&lt;O716,MinPoints,IF(AND(L716&gt;N716,O716&gt;0),100,+INT(($L716-O716)/P716)+MinPoints))</f>
        <v>10</v>
      </c>
      <c r="N716" s="440">
        <f t="shared" si="7"/>
        <v>50</v>
      </c>
      <c r="O716" s="440">
        <f t="shared" si="8"/>
        <v>5</v>
      </c>
      <c r="P716" s="440">
        <f t="shared" si="9"/>
        <v>0.5</v>
      </c>
      <c r="Q716">
        <f t="array" ref="Q716">IF(I716&gt;0,INDEX(DB,I716,9),EventIndex)</f>
        <v>6</v>
      </c>
      <c r="S716" s="442">
        <f t="array" ref="S716">INDEX(MINVALUES,$Q716,$K$1)</f>
        <v>5</v>
      </c>
      <c r="T716">
        <f t="array" ref="T716">INDEX(INCVALUES,$Q716,$K$1)</f>
        <v>0.5</v>
      </c>
      <c r="V716">
        <f t="array" ref="V716">+J716+(4*(INDEX(MatchScoreTable,$Q716,20)-1))</f>
        <v>4</v>
      </c>
      <c r="W716" s="442">
        <f t="array" ref="W716">INDEX(INC_MINVALUES,$V716,$K$1)</f>
        <v>2.5</v>
      </c>
      <c r="X716" s="212">
        <f t="array" ref="X716">INDEX(INC_INCVALUES,$V716,$K$1)</f>
        <v>0.5</v>
      </c>
    </row>
    <row r="717" ht="15.75" customHeight="1">
      <c r="A717" s="435"/>
      <c r="B717" s="436"/>
      <c r="C717" s="95" t="str">
        <f t="array" ref="C717">IF(I717&gt;0,INDEX(DB,I717,8),"")</f>
        <v/>
      </c>
      <c r="D717" s="437">
        <f t="shared" si="1"/>
        <v>0</v>
      </c>
      <c r="F717" s="438">
        <f t="shared" si="2"/>
        <v>0</v>
      </c>
      <c r="G717" t="str">
        <f t="shared" si="3"/>
        <v/>
      </c>
      <c r="H717" t="b">
        <f t="shared" si="4"/>
        <v>0</v>
      </c>
      <c r="I717" s="439">
        <f>IF(OR(ISBLANK(A717),ISNA(MATCH(A717&amp;"",AthleteNumbers,0))),0,MATCH(A717&amp;"",AthleteNumbers,0))</f>
        <v>0</v>
      </c>
      <c r="J717" s="209">
        <f t="array" ref="J717">IF(I717&gt;0,INDEX(DB,$I717,6),0)</f>
        <v>0</v>
      </c>
      <c r="K717" s="446">
        <f t="shared" si="5"/>
        <v>0</v>
      </c>
      <c r="L717" s="446">
        <f t="shared" si="6"/>
        <v>0</v>
      </c>
      <c r="M717" s="441">
        <f>IF(L717&lt;O717,MinPoints,IF(AND(L717&gt;N717,O717&gt;0),100,+INT(($L717-O717)/P717)+MinPoints))</f>
        <v>10</v>
      </c>
      <c r="N717" s="440">
        <f t="shared" si="7"/>
        <v>50</v>
      </c>
      <c r="O717" s="440">
        <f t="shared" si="8"/>
        <v>5</v>
      </c>
      <c r="P717" s="440">
        <f t="shared" si="9"/>
        <v>0.5</v>
      </c>
      <c r="Q717">
        <f t="array" ref="Q717">IF(I717&gt;0,INDEX(DB,I717,9),EventIndex)</f>
        <v>6</v>
      </c>
      <c r="S717" s="442">
        <f t="array" ref="S717">INDEX(MINVALUES,$Q717,$K$1)</f>
        <v>5</v>
      </c>
      <c r="T717">
        <f t="array" ref="T717">INDEX(INCVALUES,$Q717,$K$1)</f>
        <v>0.5</v>
      </c>
      <c r="V717">
        <f t="array" ref="V717">+J717+(4*(INDEX(MatchScoreTable,$Q717,20)-1))</f>
        <v>4</v>
      </c>
      <c r="W717" s="442">
        <f t="array" ref="W717">INDEX(INC_MINVALUES,$V717,$K$1)</f>
        <v>2.5</v>
      </c>
      <c r="X717" s="212">
        <f t="array" ref="X717">INDEX(INC_INCVALUES,$V717,$K$1)</f>
        <v>0.5</v>
      </c>
    </row>
    <row r="718" ht="15.75" customHeight="1">
      <c r="A718" s="435"/>
      <c r="B718" s="436"/>
      <c r="C718" s="95" t="str">
        <f t="array" ref="C718">IF(I718&gt;0,INDEX(DB,I718,8),"")</f>
        <v/>
      </c>
      <c r="D718" s="437">
        <f t="shared" si="1"/>
        <v>0</v>
      </c>
      <c r="F718" s="438">
        <f t="shared" si="2"/>
        <v>0</v>
      </c>
      <c r="G718" t="str">
        <f t="shared" si="3"/>
        <v/>
      </c>
      <c r="H718" t="b">
        <f t="shared" si="4"/>
        <v>0</v>
      </c>
      <c r="I718" s="439">
        <f>IF(OR(ISBLANK(A718),ISNA(MATCH(A718&amp;"",AthleteNumbers,0))),0,MATCH(A718&amp;"",AthleteNumbers,0))</f>
        <v>0</v>
      </c>
      <c r="J718" s="209">
        <f t="array" ref="J718">IF(I718&gt;0,INDEX(DB,$I718,6),0)</f>
        <v>0</v>
      </c>
      <c r="K718" s="446">
        <f t="shared" si="5"/>
        <v>0</v>
      </c>
      <c r="L718" s="446">
        <f t="shared" si="6"/>
        <v>0</v>
      </c>
      <c r="M718" s="441">
        <f>IF(L718&lt;O718,MinPoints,IF(AND(L718&gt;N718,O718&gt;0),100,+INT(($L718-O718)/P718)+MinPoints))</f>
        <v>10</v>
      </c>
      <c r="N718" s="440">
        <f t="shared" si="7"/>
        <v>50</v>
      </c>
      <c r="O718" s="440">
        <f t="shared" si="8"/>
        <v>5</v>
      </c>
      <c r="P718" s="440">
        <f t="shared" si="9"/>
        <v>0.5</v>
      </c>
      <c r="Q718">
        <f t="array" ref="Q718">IF(I718&gt;0,INDEX(DB,I718,9),EventIndex)</f>
        <v>6</v>
      </c>
      <c r="S718" s="442">
        <f t="array" ref="S718">INDEX(MINVALUES,$Q718,$K$1)</f>
        <v>5</v>
      </c>
      <c r="T718">
        <f t="array" ref="T718">INDEX(INCVALUES,$Q718,$K$1)</f>
        <v>0.5</v>
      </c>
      <c r="V718">
        <f t="array" ref="V718">+J718+(4*(INDEX(MatchScoreTable,$Q718,20)-1))</f>
        <v>4</v>
      </c>
      <c r="W718" s="442">
        <f t="array" ref="W718">INDEX(INC_MINVALUES,$V718,$K$1)</f>
        <v>2.5</v>
      </c>
      <c r="X718" s="212">
        <f t="array" ref="X718">INDEX(INC_INCVALUES,$V718,$K$1)</f>
        <v>0.5</v>
      </c>
    </row>
    <row r="719" ht="15.75" customHeight="1">
      <c r="A719" s="435"/>
      <c r="B719" s="436"/>
      <c r="C719" s="95" t="str">
        <f t="array" ref="C719">IF(I719&gt;0,INDEX(DB,I719,8),"")</f>
        <v/>
      </c>
      <c r="D719" s="437">
        <f t="shared" si="1"/>
        <v>0</v>
      </c>
      <c r="F719" s="438">
        <f t="shared" si="2"/>
        <v>0</v>
      </c>
      <c r="G719" t="str">
        <f t="shared" si="3"/>
        <v/>
      </c>
      <c r="H719" t="b">
        <f t="shared" si="4"/>
        <v>0</v>
      </c>
      <c r="I719" s="439">
        <f>IF(OR(ISBLANK(A719),ISNA(MATCH(A719&amp;"",AthleteNumbers,0))),0,MATCH(A719&amp;"",AthleteNumbers,0))</f>
        <v>0</v>
      </c>
      <c r="J719" s="209">
        <f t="array" ref="J719">IF(I719&gt;0,INDEX(DB,$I719,6),0)</f>
        <v>0</v>
      </c>
      <c r="K719" s="446">
        <f t="shared" si="5"/>
        <v>0</v>
      </c>
      <c r="L719" s="446">
        <f t="shared" si="6"/>
        <v>0</v>
      </c>
      <c r="M719" s="441">
        <f>IF(L719&lt;O719,MinPoints,IF(AND(L719&gt;N719,O719&gt;0),100,+INT(($L719-O719)/P719)+MinPoints))</f>
        <v>10</v>
      </c>
      <c r="N719" s="440">
        <f t="shared" si="7"/>
        <v>50</v>
      </c>
      <c r="O719" s="440">
        <f t="shared" si="8"/>
        <v>5</v>
      </c>
      <c r="P719" s="440">
        <f t="shared" si="9"/>
        <v>0.5</v>
      </c>
      <c r="Q719">
        <f t="array" ref="Q719">IF(I719&gt;0,INDEX(DB,I719,9),EventIndex)</f>
        <v>6</v>
      </c>
      <c r="S719" s="442">
        <f t="array" ref="S719">INDEX(MINVALUES,$Q719,$K$1)</f>
        <v>5</v>
      </c>
      <c r="T719">
        <f t="array" ref="T719">INDEX(INCVALUES,$Q719,$K$1)</f>
        <v>0.5</v>
      </c>
      <c r="V719">
        <f t="array" ref="V719">+J719+(4*(INDEX(MatchScoreTable,$Q719,20)-1))</f>
        <v>4</v>
      </c>
      <c r="W719" s="442">
        <f t="array" ref="W719">INDEX(INC_MINVALUES,$V719,$K$1)</f>
        <v>2.5</v>
      </c>
      <c r="X719" s="212">
        <f t="array" ref="X719">INDEX(INC_INCVALUES,$V719,$K$1)</f>
        <v>0.5</v>
      </c>
    </row>
    <row r="720" ht="15.75" customHeight="1">
      <c r="A720" s="435"/>
      <c r="B720" s="436"/>
      <c r="C720" s="95" t="str">
        <f t="array" ref="C720">IF(I720&gt;0,INDEX(DB,I720,8),"")</f>
        <v/>
      </c>
      <c r="D720" s="437">
        <f t="shared" si="1"/>
        <v>0</v>
      </c>
      <c r="F720" s="438">
        <f t="shared" si="2"/>
        <v>0</v>
      </c>
      <c r="G720" t="str">
        <f t="shared" si="3"/>
        <v/>
      </c>
      <c r="H720" t="b">
        <f t="shared" si="4"/>
        <v>0</v>
      </c>
      <c r="I720" s="439">
        <f>IF(OR(ISBLANK(A720),ISNA(MATCH(A720&amp;"",AthleteNumbers,0))),0,MATCH(A720&amp;"",AthleteNumbers,0))</f>
        <v>0</v>
      </c>
      <c r="J720" s="209">
        <f t="array" ref="J720">IF(I720&gt;0,INDEX(DB,$I720,6),0)</f>
        <v>0</v>
      </c>
      <c r="K720" s="446">
        <f t="shared" si="5"/>
        <v>0</v>
      </c>
      <c r="L720" s="446">
        <f t="shared" si="6"/>
        <v>0</v>
      </c>
      <c r="M720" s="441">
        <f>IF(L720&lt;O720,MinPoints,IF(AND(L720&gt;N720,O720&gt;0),100,+INT(($L720-O720)/P720)+MinPoints))</f>
        <v>10</v>
      </c>
      <c r="N720" s="440">
        <f t="shared" si="7"/>
        <v>50</v>
      </c>
      <c r="O720" s="440">
        <f t="shared" si="8"/>
        <v>5</v>
      </c>
      <c r="P720" s="440">
        <f t="shared" si="9"/>
        <v>0.5</v>
      </c>
      <c r="Q720">
        <f t="array" ref="Q720">IF(I720&gt;0,INDEX(DB,I720,9),EventIndex)</f>
        <v>6</v>
      </c>
      <c r="S720" s="442">
        <f t="array" ref="S720">INDEX(MINVALUES,$Q720,$K$1)</f>
        <v>5</v>
      </c>
      <c r="T720">
        <f t="array" ref="T720">INDEX(INCVALUES,$Q720,$K$1)</f>
        <v>0.5</v>
      </c>
      <c r="V720">
        <f t="array" ref="V720">+J720+(4*(INDEX(MatchScoreTable,$Q720,20)-1))</f>
        <v>4</v>
      </c>
      <c r="W720" s="442">
        <f t="array" ref="W720">INDEX(INC_MINVALUES,$V720,$K$1)</f>
        <v>2.5</v>
      </c>
      <c r="X720" s="212">
        <f t="array" ref="X720">INDEX(INC_INCVALUES,$V720,$K$1)</f>
        <v>0.5</v>
      </c>
    </row>
    <row r="721" ht="15.75" customHeight="1">
      <c r="A721" s="435"/>
      <c r="B721" s="436"/>
      <c r="C721" s="95" t="str">
        <f t="array" ref="C721">IF(I721&gt;0,INDEX(DB,I721,8),"")</f>
        <v/>
      </c>
      <c r="D721" s="437">
        <f t="shared" si="1"/>
        <v>0</v>
      </c>
      <c r="F721" s="438">
        <f t="shared" si="2"/>
        <v>0</v>
      </c>
      <c r="G721" t="str">
        <f t="shared" si="3"/>
        <v/>
      </c>
      <c r="H721" t="b">
        <f t="shared" si="4"/>
        <v>0</v>
      </c>
      <c r="I721" s="439">
        <f>IF(OR(ISBLANK(A721),ISNA(MATCH(A721&amp;"",AthleteNumbers,0))),0,MATCH(A721&amp;"",AthleteNumbers,0))</f>
        <v>0</v>
      </c>
      <c r="J721" s="209">
        <f t="array" ref="J721">IF(I721&gt;0,INDEX(DB,$I721,6),0)</f>
        <v>0</v>
      </c>
      <c r="K721" s="446">
        <f t="shared" si="5"/>
        <v>0</v>
      </c>
      <c r="L721" s="446">
        <f t="shared" si="6"/>
        <v>0</v>
      </c>
      <c r="M721" s="441">
        <f>IF(L721&lt;O721,MinPoints,IF(AND(L721&gt;N721,O721&gt;0),100,+INT(($L721-O721)/P721)+MinPoints))</f>
        <v>10</v>
      </c>
      <c r="N721" s="440">
        <f t="shared" si="7"/>
        <v>50</v>
      </c>
      <c r="O721" s="440">
        <f t="shared" si="8"/>
        <v>5</v>
      </c>
      <c r="P721" s="440">
        <f t="shared" si="9"/>
        <v>0.5</v>
      </c>
      <c r="Q721">
        <f t="array" ref="Q721">IF(I721&gt;0,INDEX(DB,I721,9),EventIndex)</f>
        <v>6</v>
      </c>
      <c r="S721" s="442">
        <f t="array" ref="S721">INDEX(MINVALUES,$Q721,$K$1)</f>
        <v>5</v>
      </c>
      <c r="T721">
        <f t="array" ref="T721">INDEX(INCVALUES,$Q721,$K$1)</f>
        <v>0.5</v>
      </c>
      <c r="V721">
        <f t="array" ref="V721">+J721+(4*(INDEX(MatchScoreTable,$Q721,20)-1))</f>
        <v>4</v>
      </c>
      <c r="W721" s="442">
        <f t="array" ref="W721">INDEX(INC_MINVALUES,$V721,$K$1)</f>
        <v>2.5</v>
      </c>
      <c r="X721" s="212">
        <f t="array" ref="X721">INDEX(INC_INCVALUES,$V721,$K$1)</f>
        <v>0.5</v>
      </c>
    </row>
    <row r="722" ht="15.75" customHeight="1">
      <c r="A722" s="435"/>
      <c r="B722" s="436"/>
      <c r="C722" s="95" t="str">
        <f t="array" ref="C722">IF(I722&gt;0,INDEX(DB,I722,8),"")</f>
        <v/>
      </c>
      <c r="D722" s="437">
        <f t="shared" si="1"/>
        <v>0</v>
      </c>
      <c r="F722" s="438">
        <f t="shared" si="2"/>
        <v>0</v>
      </c>
      <c r="G722" t="str">
        <f t="shared" si="3"/>
        <v/>
      </c>
      <c r="H722" t="b">
        <f t="shared" si="4"/>
        <v>0</v>
      </c>
      <c r="I722" s="439">
        <f>IF(OR(ISBLANK(A722),ISNA(MATCH(A722&amp;"",AthleteNumbers,0))),0,MATCH(A722&amp;"",AthleteNumbers,0))</f>
        <v>0</v>
      </c>
      <c r="J722" s="209">
        <f t="array" ref="J722">IF(I722&gt;0,INDEX(DB,$I722,6),0)</f>
        <v>0</v>
      </c>
      <c r="K722" s="446">
        <f t="shared" si="5"/>
        <v>0</v>
      </c>
      <c r="L722" s="446">
        <f t="shared" si="6"/>
        <v>0</v>
      </c>
      <c r="M722" s="441">
        <f>IF(L722&lt;O722,MinPoints,IF(AND(L722&gt;N722,O722&gt;0),100,+INT(($L722-O722)/P722)+MinPoints))</f>
        <v>10</v>
      </c>
      <c r="N722" s="440">
        <f t="shared" si="7"/>
        <v>50</v>
      </c>
      <c r="O722" s="440">
        <f t="shared" si="8"/>
        <v>5</v>
      </c>
      <c r="P722" s="440">
        <f t="shared" si="9"/>
        <v>0.5</v>
      </c>
      <c r="Q722">
        <f t="array" ref="Q722">IF(I722&gt;0,INDEX(DB,I722,9),EventIndex)</f>
        <v>6</v>
      </c>
      <c r="S722" s="442">
        <f t="array" ref="S722">INDEX(MINVALUES,$Q722,$K$1)</f>
        <v>5</v>
      </c>
      <c r="T722">
        <f t="array" ref="T722">INDEX(INCVALUES,$Q722,$K$1)</f>
        <v>0.5</v>
      </c>
      <c r="V722">
        <f t="array" ref="V722">+J722+(4*(INDEX(MatchScoreTable,$Q722,20)-1))</f>
        <v>4</v>
      </c>
      <c r="W722" s="442">
        <f t="array" ref="W722">INDEX(INC_MINVALUES,$V722,$K$1)</f>
        <v>2.5</v>
      </c>
      <c r="X722" s="212">
        <f t="array" ref="X722">INDEX(INC_INCVALUES,$V722,$K$1)</f>
        <v>0.5</v>
      </c>
    </row>
    <row r="723" ht="15.75" customHeight="1">
      <c r="A723" s="435"/>
      <c r="B723" s="436"/>
      <c r="C723" s="95" t="str">
        <f t="array" ref="C723">IF(I723&gt;0,INDEX(DB,I723,8),"")</f>
        <v/>
      </c>
      <c r="D723" s="437">
        <f t="shared" si="1"/>
        <v>0</v>
      </c>
      <c r="F723" s="438">
        <f t="shared" si="2"/>
        <v>0</v>
      </c>
      <c r="G723" t="str">
        <f t="shared" si="3"/>
        <v/>
      </c>
      <c r="H723" t="b">
        <f t="shared" si="4"/>
        <v>0</v>
      </c>
      <c r="I723" s="439">
        <f>IF(OR(ISBLANK(A723),ISNA(MATCH(A723&amp;"",AthleteNumbers,0))),0,MATCH(A723&amp;"",AthleteNumbers,0))</f>
        <v>0</v>
      </c>
      <c r="J723" s="209">
        <f t="array" ref="J723">IF(I723&gt;0,INDEX(DB,$I723,6),0)</f>
        <v>0</v>
      </c>
      <c r="K723" s="446">
        <f t="shared" si="5"/>
        <v>0</v>
      </c>
      <c r="L723" s="446">
        <f t="shared" si="6"/>
        <v>0</v>
      </c>
      <c r="M723" s="441">
        <f>IF(L723&lt;O723,MinPoints,IF(AND(L723&gt;N723,O723&gt;0),100,+INT(($L723-O723)/P723)+MinPoints))</f>
        <v>10</v>
      </c>
      <c r="N723" s="440">
        <f t="shared" si="7"/>
        <v>50</v>
      </c>
      <c r="O723" s="440">
        <f t="shared" si="8"/>
        <v>5</v>
      </c>
      <c r="P723" s="440">
        <f t="shared" si="9"/>
        <v>0.5</v>
      </c>
      <c r="Q723">
        <f t="array" ref="Q723">IF(I723&gt;0,INDEX(DB,I723,9),EventIndex)</f>
        <v>6</v>
      </c>
      <c r="S723" s="442">
        <f t="array" ref="S723">INDEX(MINVALUES,$Q723,$K$1)</f>
        <v>5</v>
      </c>
      <c r="T723">
        <f t="array" ref="T723">INDEX(INCVALUES,$Q723,$K$1)</f>
        <v>0.5</v>
      </c>
      <c r="V723">
        <f t="array" ref="V723">+J723+(4*(INDEX(MatchScoreTable,$Q723,20)-1))</f>
        <v>4</v>
      </c>
      <c r="W723" s="442">
        <f t="array" ref="W723">INDEX(INC_MINVALUES,$V723,$K$1)</f>
        <v>2.5</v>
      </c>
      <c r="X723" s="212">
        <f t="array" ref="X723">INDEX(INC_INCVALUES,$V723,$K$1)</f>
        <v>0.5</v>
      </c>
    </row>
    <row r="724" ht="15.75" customHeight="1">
      <c r="A724" s="435"/>
      <c r="B724" s="436"/>
      <c r="C724" s="95" t="str">
        <f t="array" ref="C724">IF(I724&gt;0,INDEX(DB,I724,8),"")</f>
        <v/>
      </c>
      <c r="D724" s="437">
        <f t="shared" si="1"/>
        <v>0</v>
      </c>
      <c r="F724" s="438">
        <f t="shared" si="2"/>
        <v>0</v>
      </c>
      <c r="G724" t="str">
        <f t="shared" si="3"/>
        <v/>
      </c>
      <c r="H724" t="b">
        <f t="shared" si="4"/>
        <v>0</v>
      </c>
      <c r="I724" s="439">
        <f>IF(OR(ISBLANK(A724),ISNA(MATCH(A724&amp;"",AthleteNumbers,0))),0,MATCH(A724&amp;"",AthleteNumbers,0))</f>
        <v>0</v>
      </c>
      <c r="J724" s="209">
        <f t="array" ref="J724">IF(I724&gt;0,INDEX(DB,$I724,6),0)</f>
        <v>0</v>
      </c>
      <c r="K724" s="446">
        <f t="shared" si="5"/>
        <v>0</v>
      </c>
      <c r="L724" s="446">
        <f t="shared" si="6"/>
        <v>0</v>
      </c>
      <c r="M724" s="441">
        <f>IF(L724&lt;O724,MinPoints,IF(AND(L724&gt;N724,O724&gt;0),100,+INT(($L724-O724)/P724)+MinPoints))</f>
        <v>10</v>
      </c>
      <c r="N724" s="440">
        <f t="shared" si="7"/>
        <v>50</v>
      </c>
      <c r="O724" s="440">
        <f t="shared" si="8"/>
        <v>5</v>
      </c>
      <c r="P724" s="440">
        <f t="shared" si="9"/>
        <v>0.5</v>
      </c>
      <c r="Q724">
        <f t="array" ref="Q724">IF(I724&gt;0,INDEX(DB,I724,9),EventIndex)</f>
        <v>6</v>
      </c>
      <c r="S724" s="442">
        <f t="array" ref="S724">INDEX(MINVALUES,$Q724,$K$1)</f>
        <v>5</v>
      </c>
      <c r="T724">
        <f t="array" ref="T724">INDEX(INCVALUES,$Q724,$K$1)</f>
        <v>0.5</v>
      </c>
      <c r="V724">
        <f t="array" ref="V724">+J724+(4*(INDEX(MatchScoreTable,$Q724,20)-1))</f>
        <v>4</v>
      </c>
      <c r="W724" s="442">
        <f t="array" ref="W724">INDEX(INC_MINVALUES,$V724,$K$1)</f>
        <v>2.5</v>
      </c>
      <c r="X724" s="212">
        <f t="array" ref="X724">INDEX(INC_INCVALUES,$V724,$K$1)</f>
        <v>0.5</v>
      </c>
    </row>
    <row r="725" ht="15.75" customHeight="1">
      <c r="A725" s="435"/>
      <c r="B725" s="436"/>
      <c r="C725" s="95" t="str">
        <f t="array" ref="C725">IF(I725&gt;0,INDEX(DB,I725,8),"")</f>
        <v/>
      </c>
      <c r="D725" s="437">
        <f t="shared" si="1"/>
        <v>0</v>
      </c>
      <c r="F725" s="438">
        <f t="shared" si="2"/>
        <v>0</v>
      </c>
      <c r="G725" t="str">
        <f t="shared" si="3"/>
        <v/>
      </c>
      <c r="H725" t="b">
        <f t="shared" si="4"/>
        <v>0</v>
      </c>
      <c r="I725" s="439">
        <f>IF(OR(ISBLANK(A725),ISNA(MATCH(A725&amp;"",AthleteNumbers,0))),0,MATCH(A725&amp;"",AthleteNumbers,0))</f>
        <v>0</v>
      </c>
      <c r="J725" s="209">
        <f t="array" ref="J725">IF(I725&gt;0,INDEX(DB,$I725,6),0)</f>
        <v>0</v>
      </c>
      <c r="K725" s="446">
        <f t="shared" si="5"/>
        <v>0</v>
      </c>
      <c r="L725" s="446">
        <f t="shared" si="6"/>
        <v>0</v>
      </c>
      <c r="M725" s="441">
        <f>IF(L725&lt;O725,MinPoints,IF(AND(L725&gt;N725,O725&gt;0),100,+INT(($L725-O725)/P725)+MinPoints))</f>
        <v>10</v>
      </c>
      <c r="N725" s="440">
        <f t="shared" si="7"/>
        <v>50</v>
      </c>
      <c r="O725" s="440">
        <f t="shared" si="8"/>
        <v>5</v>
      </c>
      <c r="P725" s="440">
        <f t="shared" si="9"/>
        <v>0.5</v>
      </c>
      <c r="Q725">
        <f t="array" ref="Q725">IF(I725&gt;0,INDEX(DB,I725,9),EventIndex)</f>
        <v>6</v>
      </c>
      <c r="S725" s="442">
        <f t="array" ref="S725">INDEX(MINVALUES,$Q725,$K$1)</f>
        <v>5</v>
      </c>
      <c r="T725">
        <f t="array" ref="T725">INDEX(INCVALUES,$Q725,$K$1)</f>
        <v>0.5</v>
      </c>
      <c r="V725">
        <f t="array" ref="V725">+J725+(4*(INDEX(MatchScoreTable,$Q725,20)-1))</f>
        <v>4</v>
      </c>
      <c r="W725" s="442">
        <f t="array" ref="W725">INDEX(INC_MINVALUES,$V725,$K$1)</f>
        <v>2.5</v>
      </c>
      <c r="X725" s="212">
        <f t="array" ref="X725">INDEX(INC_INCVALUES,$V725,$K$1)</f>
        <v>0.5</v>
      </c>
    </row>
    <row r="726" ht="15.75" customHeight="1">
      <c r="A726" s="435"/>
      <c r="B726" s="436"/>
      <c r="C726" s="95" t="str">
        <f t="array" ref="C726">IF(I726&gt;0,INDEX(DB,I726,8),"")</f>
        <v/>
      </c>
      <c r="D726" s="437">
        <f t="shared" si="1"/>
        <v>0</v>
      </c>
      <c r="F726" s="438">
        <f t="shared" si="2"/>
        <v>0</v>
      </c>
      <c r="G726" t="str">
        <f t="shared" si="3"/>
        <v/>
      </c>
      <c r="H726" t="b">
        <f t="shared" si="4"/>
        <v>0</v>
      </c>
      <c r="I726" s="439">
        <f>IF(OR(ISBLANK(A726),ISNA(MATCH(A726&amp;"",AthleteNumbers,0))),0,MATCH(A726&amp;"",AthleteNumbers,0))</f>
        <v>0</v>
      </c>
      <c r="J726" s="209">
        <f t="array" ref="J726">IF(I726&gt;0,INDEX(DB,$I726,6),0)</f>
        <v>0</v>
      </c>
      <c r="K726" s="446">
        <f t="shared" si="5"/>
        <v>0</v>
      </c>
      <c r="L726" s="446">
        <f t="shared" si="6"/>
        <v>0</v>
      </c>
      <c r="M726" s="441">
        <f>IF(L726&lt;O726,MinPoints,IF(AND(L726&gt;N726,O726&gt;0),100,+INT(($L726-O726)/P726)+MinPoints))</f>
        <v>10</v>
      </c>
      <c r="N726" s="440">
        <f t="shared" si="7"/>
        <v>50</v>
      </c>
      <c r="O726" s="440">
        <f t="shared" si="8"/>
        <v>5</v>
      </c>
      <c r="P726" s="440">
        <f t="shared" si="9"/>
        <v>0.5</v>
      </c>
      <c r="Q726">
        <f t="array" ref="Q726">IF(I726&gt;0,INDEX(DB,I726,9),EventIndex)</f>
        <v>6</v>
      </c>
      <c r="S726" s="442">
        <f t="array" ref="S726">INDEX(MINVALUES,$Q726,$K$1)</f>
        <v>5</v>
      </c>
      <c r="T726">
        <f t="array" ref="T726">INDEX(INCVALUES,$Q726,$K$1)</f>
        <v>0.5</v>
      </c>
      <c r="V726">
        <f t="array" ref="V726">+J726+(4*(INDEX(MatchScoreTable,$Q726,20)-1))</f>
        <v>4</v>
      </c>
      <c r="W726" s="442">
        <f t="array" ref="W726">INDEX(INC_MINVALUES,$V726,$K$1)</f>
        <v>2.5</v>
      </c>
      <c r="X726" s="212">
        <f t="array" ref="X726">INDEX(INC_INCVALUES,$V726,$K$1)</f>
        <v>0.5</v>
      </c>
    </row>
    <row r="727" ht="15.75" customHeight="1">
      <c r="A727" s="435"/>
      <c r="B727" s="436"/>
      <c r="C727" s="95" t="str">
        <f t="array" ref="C727">IF(I727&gt;0,INDEX(DB,I727,8),"")</f>
        <v/>
      </c>
      <c r="D727" s="437">
        <f t="shared" si="1"/>
        <v>0</v>
      </c>
      <c r="F727" s="438">
        <f t="shared" si="2"/>
        <v>0</v>
      </c>
      <c r="G727" t="str">
        <f t="shared" si="3"/>
        <v/>
      </c>
      <c r="H727" t="b">
        <f t="shared" si="4"/>
        <v>0</v>
      </c>
      <c r="I727" s="439">
        <f>IF(OR(ISBLANK(A727),ISNA(MATCH(A727&amp;"",AthleteNumbers,0))),0,MATCH(A727&amp;"",AthleteNumbers,0))</f>
        <v>0</v>
      </c>
      <c r="J727" s="209">
        <f t="array" ref="J727">IF(I727&gt;0,INDEX(DB,$I727,6),0)</f>
        <v>0</v>
      </c>
      <c r="K727" s="446">
        <f t="shared" si="5"/>
        <v>0</v>
      </c>
      <c r="L727" s="446">
        <f t="shared" si="6"/>
        <v>0</v>
      </c>
      <c r="M727" s="441">
        <f>IF(L727&lt;O727,MinPoints,IF(AND(L727&gt;N727,O727&gt;0),100,+INT(($L727-O727)/P727)+MinPoints))</f>
        <v>10</v>
      </c>
      <c r="N727" s="440">
        <f t="shared" si="7"/>
        <v>50</v>
      </c>
      <c r="O727" s="440">
        <f t="shared" si="8"/>
        <v>5</v>
      </c>
      <c r="P727" s="440">
        <f t="shared" si="9"/>
        <v>0.5</v>
      </c>
      <c r="Q727">
        <f t="array" ref="Q727">IF(I727&gt;0,INDEX(DB,I727,9),EventIndex)</f>
        <v>6</v>
      </c>
      <c r="S727" s="442">
        <f t="array" ref="S727">INDEX(MINVALUES,$Q727,$K$1)</f>
        <v>5</v>
      </c>
      <c r="T727">
        <f t="array" ref="T727">INDEX(INCVALUES,$Q727,$K$1)</f>
        <v>0.5</v>
      </c>
      <c r="V727">
        <f t="array" ref="V727">+J727+(4*(INDEX(MatchScoreTable,$Q727,20)-1))</f>
        <v>4</v>
      </c>
      <c r="W727" s="442">
        <f t="array" ref="W727">INDEX(INC_MINVALUES,$V727,$K$1)</f>
        <v>2.5</v>
      </c>
      <c r="X727" s="212">
        <f t="array" ref="X727">INDEX(INC_INCVALUES,$V727,$K$1)</f>
        <v>0.5</v>
      </c>
    </row>
    <row r="728" ht="15.75" customHeight="1">
      <c r="A728" s="435"/>
      <c r="B728" s="436"/>
      <c r="C728" s="95" t="str">
        <f t="array" ref="C728">IF(I728&gt;0,INDEX(DB,I728,8),"")</f>
        <v/>
      </c>
      <c r="D728" s="437">
        <f t="shared" si="1"/>
        <v>0</v>
      </c>
      <c r="F728" s="438">
        <f t="shared" si="2"/>
        <v>0</v>
      </c>
      <c r="G728" t="str">
        <f t="shared" si="3"/>
        <v/>
      </c>
      <c r="H728" t="b">
        <f t="shared" si="4"/>
        <v>0</v>
      </c>
      <c r="I728" s="439">
        <f>IF(OR(ISBLANK(A728),ISNA(MATCH(A728&amp;"",AthleteNumbers,0))),0,MATCH(A728&amp;"",AthleteNumbers,0))</f>
        <v>0</v>
      </c>
      <c r="J728" s="209">
        <f t="array" ref="J728">IF(I728&gt;0,INDEX(DB,$I728,6),0)</f>
        <v>0</v>
      </c>
      <c r="K728" s="446">
        <f t="shared" si="5"/>
        <v>0</v>
      </c>
      <c r="L728" s="446">
        <f t="shared" si="6"/>
        <v>0</v>
      </c>
      <c r="M728" s="441">
        <f>IF(L728&lt;O728,MinPoints,IF(AND(L728&gt;N728,O728&gt;0),100,+INT(($L728-O728)/P728)+MinPoints))</f>
        <v>10</v>
      </c>
      <c r="N728" s="440">
        <f t="shared" si="7"/>
        <v>50</v>
      </c>
      <c r="O728" s="440">
        <f t="shared" si="8"/>
        <v>5</v>
      </c>
      <c r="P728" s="440">
        <f t="shared" si="9"/>
        <v>0.5</v>
      </c>
      <c r="Q728">
        <f t="array" ref="Q728">IF(I728&gt;0,INDEX(DB,I728,9),EventIndex)</f>
        <v>6</v>
      </c>
      <c r="S728" s="442">
        <f t="array" ref="S728">INDEX(MINVALUES,$Q728,$K$1)</f>
        <v>5</v>
      </c>
      <c r="T728">
        <f t="array" ref="T728">INDEX(INCVALUES,$Q728,$K$1)</f>
        <v>0.5</v>
      </c>
      <c r="V728">
        <f t="array" ref="V728">+J728+(4*(INDEX(MatchScoreTable,$Q728,20)-1))</f>
        <v>4</v>
      </c>
      <c r="W728" s="442">
        <f t="array" ref="W728">INDEX(INC_MINVALUES,$V728,$K$1)</f>
        <v>2.5</v>
      </c>
      <c r="X728" s="212">
        <f t="array" ref="X728">INDEX(INC_INCVALUES,$V728,$K$1)</f>
        <v>0.5</v>
      </c>
    </row>
    <row r="729" ht="15.75" customHeight="1">
      <c r="A729" s="435"/>
      <c r="B729" s="436"/>
      <c r="C729" s="95" t="str">
        <f t="array" ref="C729">IF(I729&gt;0,INDEX(DB,I729,8),"")</f>
        <v/>
      </c>
      <c r="D729" s="437">
        <f t="shared" si="1"/>
        <v>0</v>
      </c>
      <c r="F729" s="438">
        <f t="shared" si="2"/>
        <v>0</v>
      </c>
      <c r="G729" t="str">
        <f t="shared" si="3"/>
        <v/>
      </c>
      <c r="H729" t="b">
        <f t="shared" si="4"/>
        <v>0</v>
      </c>
      <c r="I729" s="439">
        <f>IF(OR(ISBLANK(A729),ISNA(MATCH(A729&amp;"",AthleteNumbers,0))),0,MATCH(A729&amp;"",AthleteNumbers,0))</f>
        <v>0</v>
      </c>
      <c r="J729" s="209">
        <f t="array" ref="J729">IF(I729&gt;0,INDEX(DB,$I729,6),0)</f>
        <v>0</v>
      </c>
      <c r="K729" s="446">
        <f t="shared" si="5"/>
        <v>0</v>
      </c>
      <c r="L729" s="446">
        <f t="shared" si="6"/>
        <v>0</v>
      </c>
      <c r="M729" s="441">
        <f>IF(L729&lt;O729,MinPoints,IF(AND(L729&gt;N729,O729&gt;0),100,+INT(($L729-O729)/P729)+MinPoints))</f>
        <v>10</v>
      </c>
      <c r="N729" s="440">
        <f t="shared" si="7"/>
        <v>50</v>
      </c>
      <c r="O729" s="440">
        <f t="shared" si="8"/>
        <v>5</v>
      </c>
      <c r="P729" s="440">
        <f t="shared" si="9"/>
        <v>0.5</v>
      </c>
      <c r="Q729">
        <f t="array" ref="Q729">IF(I729&gt;0,INDEX(DB,I729,9),EventIndex)</f>
        <v>6</v>
      </c>
      <c r="S729" s="442">
        <f t="array" ref="S729">INDEX(MINVALUES,$Q729,$K$1)</f>
        <v>5</v>
      </c>
      <c r="T729">
        <f t="array" ref="T729">INDEX(INCVALUES,$Q729,$K$1)</f>
        <v>0.5</v>
      </c>
      <c r="V729">
        <f t="array" ref="V729">+J729+(4*(INDEX(MatchScoreTable,$Q729,20)-1))</f>
        <v>4</v>
      </c>
      <c r="W729" s="442">
        <f t="array" ref="W729">INDEX(INC_MINVALUES,$V729,$K$1)</f>
        <v>2.5</v>
      </c>
      <c r="X729" s="212">
        <f t="array" ref="X729">INDEX(INC_INCVALUES,$V729,$K$1)</f>
        <v>0.5</v>
      </c>
    </row>
    <row r="730" ht="15.75" customHeight="1">
      <c r="A730" s="435"/>
      <c r="B730" s="436"/>
      <c r="C730" s="95" t="str">
        <f t="array" ref="C730">IF(I730&gt;0,INDEX(DB,I730,8),"")</f>
        <v/>
      </c>
      <c r="D730" s="437">
        <f t="shared" si="1"/>
        <v>0</v>
      </c>
      <c r="F730" s="438">
        <f t="shared" si="2"/>
        <v>0</v>
      </c>
      <c r="G730" t="str">
        <f t="shared" si="3"/>
        <v/>
      </c>
      <c r="H730" t="b">
        <f t="shared" si="4"/>
        <v>0</v>
      </c>
      <c r="I730" s="439">
        <f>IF(OR(ISBLANK(A730),ISNA(MATCH(A730&amp;"",AthleteNumbers,0))),0,MATCH(A730&amp;"",AthleteNumbers,0))</f>
        <v>0</v>
      </c>
      <c r="J730" s="209">
        <f t="array" ref="J730">IF(I730&gt;0,INDEX(DB,$I730,6),0)</f>
        <v>0</v>
      </c>
      <c r="K730" s="446">
        <f t="shared" si="5"/>
        <v>0</v>
      </c>
      <c r="L730" s="446">
        <f t="shared" si="6"/>
        <v>0</v>
      </c>
      <c r="M730" s="441">
        <f>IF(L730&lt;O730,MinPoints,IF(AND(L730&gt;N730,O730&gt;0),100,+INT(($L730-O730)/P730)+MinPoints))</f>
        <v>10</v>
      </c>
      <c r="N730" s="440">
        <f t="shared" si="7"/>
        <v>50</v>
      </c>
      <c r="O730" s="440">
        <f t="shared" si="8"/>
        <v>5</v>
      </c>
      <c r="P730" s="440">
        <f t="shared" si="9"/>
        <v>0.5</v>
      </c>
      <c r="Q730">
        <f t="array" ref="Q730">IF(I730&gt;0,INDEX(DB,I730,9),EventIndex)</f>
        <v>6</v>
      </c>
      <c r="S730" s="442">
        <f t="array" ref="S730">INDEX(MINVALUES,$Q730,$K$1)</f>
        <v>5</v>
      </c>
      <c r="T730">
        <f t="array" ref="T730">INDEX(INCVALUES,$Q730,$K$1)</f>
        <v>0.5</v>
      </c>
      <c r="V730">
        <f t="array" ref="V730">+J730+(4*(INDEX(MatchScoreTable,$Q730,20)-1))</f>
        <v>4</v>
      </c>
      <c r="W730" s="442">
        <f t="array" ref="W730">INDEX(INC_MINVALUES,$V730,$K$1)</f>
        <v>2.5</v>
      </c>
      <c r="X730" s="212">
        <f t="array" ref="X730">INDEX(INC_INCVALUES,$V730,$K$1)</f>
        <v>0.5</v>
      </c>
    </row>
    <row r="731" ht="15.75" customHeight="1">
      <c r="A731" s="435"/>
      <c r="B731" s="436"/>
      <c r="C731" s="95" t="str">
        <f t="array" ref="C731">IF(I731&gt;0,INDEX(DB,I731,8),"")</f>
        <v/>
      </c>
      <c r="D731" s="437">
        <f t="shared" si="1"/>
        <v>0</v>
      </c>
      <c r="F731" s="438">
        <f t="shared" si="2"/>
        <v>0</v>
      </c>
      <c r="G731" t="str">
        <f t="shared" si="3"/>
        <v/>
      </c>
      <c r="H731" t="b">
        <f t="shared" si="4"/>
        <v>0</v>
      </c>
      <c r="I731" s="439">
        <f>IF(OR(ISBLANK(A731),ISNA(MATCH(A731&amp;"",AthleteNumbers,0))),0,MATCH(A731&amp;"",AthleteNumbers,0))</f>
        <v>0</v>
      </c>
      <c r="J731" s="209">
        <f t="array" ref="J731">IF(I731&gt;0,INDEX(DB,$I731,6),0)</f>
        <v>0</v>
      </c>
      <c r="K731" s="446">
        <f t="shared" si="5"/>
        <v>0</v>
      </c>
      <c r="L731" s="446">
        <f t="shared" si="6"/>
        <v>0</v>
      </c>
      <c r="M731" s="441">
        <f>IF(L731&lt;O731,MinPoints,IF(AND(L731&gt;N731,O731&gt;0),100,+INT(($L731-O731)/P731)+MinPoints))</f>
        <v>10</v>
      </c>
      <c r="N731" s="440">
        <f t="shared" si="7"/>
        <v>50</v>
      </c>
      <c r="O731" s="440">
        <f t="shared" si="8"/>
        <v>5</v>
      </c>
      <c r="P731" s="440">
        <f t="shared" si="9"/>
        <v>0.5</v>
      </c>
      <c r="Q731">
        <f t="array" ref="Q731">IF(I731&gt;0,INDEX(DB,I731,9),EventIndex)</f>
        <v>6</v>
      </c>
      <c r="S731" s="442">
        <f t="array" ref="S731">INDEX(MINVALUES,$Q731,$K$1)</f>
        <v>5</v>
      </c>
      <c r="T731">
        <f t="array" ref="T731">INDEX(INCVALUES,$Q731,$K$1)</f>
        <v>0.5</v>
      </c>
      <c r="V731">
        <f t="array" ref="V731">+J731+(4*(INDEX(MatchScoreTable,$Q731,20)-1))</f>
        <v>4</v>
      </c>
      <c r="W731" s="442">
        <f t="array" ref="W731">INDEX(INC_MINVALUES,$V731,$K$1)</f>
        <v>2.5</v>
      </c>
      <c r="X731" s="212">
        <f t="array" ref="X731">INDEX(INC_INCVALUES,$V731,$K$1)</f>
        <v>0.5</v>
      </c>
    </row>
    <row r="732" ht="15.75" customHeight="1">
      <c r="A732" s="435"/>
      <c r="B732" s="436"/>
      <c r="C732" s="95" t="str">
        <f t="array" ref="C732">IF(I732&gt;0,INDEX(DB,I732,8),"")</f>
        <v/>
      </c>
      <c r="D732" s="437">
        <f t="shared" si="1"/>
        <v>0</v>
      </c>
      <c r="F732" s="438">
        <f t="shared" si="2"/>
        <v>0</v>
      </c>
      <c r="G732" t="str">
        <f t="shared" si="3"/>
        <v/>
      </c>
      <c r="H732" t="b">
        <f t="shared" si="4"/>
        <v>0</v>
      </c>
      <c r="I732" s="439">
        <f>IF(OR(ISBLANK(A732),ISNA(MATCH(A732&amp;"",AthleteNumbers,0))),0,MATCH(A732&amp;"",AthleteNumbers,0))</f>
        <v>0</v>
      </c>
      <c r="J732" s="209">
        <f t="array" ref="J732">IF(I732&gt;0,INDEX(DB,$I732,6),0)</f>
        <v>0</v>
      </c>
      <c r="K732" s="446">
        <f t="shared" si="5"/>
        <v>0</v>
      </c>
      <c r="L732" s="446">
        <f t="shared" si="6"/>
        <v>0</v>
      </c>
      <c r="M732" s="441">
        <f>IF(L732&lt;O732,MinPoints,IF(AND(L732&gt;N732,O732&gt;0),100,+INT(($L732-O732)/P732)+MinPoints))</f>
        <v>10</v>
      </c>
      <c r="N732" s="440">
        <f t="shared" si="7"/>
        <v>50</v>
      </c>
      <c r="O732" s="440">
        <f t="shared" si="8"/>
        <v>5</v>
      </c>
      <c r="P732" s="440">
        <f t="shared" si="9"/>
        <v>0.5</v>
      </c>
      <c r="Q732">
        <f t="array" ref="Q732">IF(I732&gt;0,INDEX(DB,I732,9),EventIndex)</f>
        <v>6</v>
      </c>
      <c r="S732" s="442">
        <f t="array" ref="S732">INDEX(MINVALUES,$Q732,$K$1)</f>
        <v>5</v>
      </c>
      <c r="T732">
        <f t="array" ref="T732">INDEX(INCVALUES,$Q732,$K$1)</f>
        <v>0.5</v>
      </c>
      <c r="V732">
        <f t="array" ref="V732">+J732+(4*(INDEX(MatchScoreTable,$Q732,20)-1))</f>
        <v>4</v>
      </c>
      <c r="W732" s="442">
        <f t="array" ref="W732">INDEX(INC_MINVALUES,$V732,$K$1)</f>
        <v>2.5</v>
      </c>
      <c r="X732" s="212">
        <f t="array" ref="X732">INDEX(INC_INCVALUES,$V732,$K$1)</f>
        <v>0.5</v>
      </c>
    </row>
    <row r="733" ht="15.75" customHeight="1">
      <c r="A733" s="435"/>
      <c r="B733" s="436"/>
      <c r="C733" s="95" t="str">
        <f t="array" ref="C733">IF(I733&gt;0,INDEX(DB,I733,8),"")</f>
        <v/>
      </c>
      <c r="D733" s="437">
        <f t="shared" si="1"/>
        <v>0</v>
      </c>
      <c r="F733" s="438">
        <f t="shared" si="2"/>
        <v>0</v>
      </c>
      <c r="G733" t="str">
        <f t="shared" si="3"/>
        <v/>
      </c>
      <c r="H733" t="b">
        <f t="shared" si="4"/>
        <v>0</v>
      </c>
      <c r="I733" s="439">
        <f>IF(OR(ISBLANK(A733),ISNA(MATCH(A733&amp;"",AthleteNumbers,0))),0,MATCH(A733&amp;"",AthleteNumbers,0))</f>
        <v>0</v>
      </c>
      <c r="J733" s="209">
        <f t="array" ref="J733">IF(I733&gt;0,INDEX(DB,$I733,6),0)</f>
        <v>0</v>
      </c>
      <c r="K733" s="446">
        <f t="shared" si="5"/>
        <v>0</v>
      </c>
      <c r="L733" s="446">
        <f t="shared" si="6"/>
        <v>0</v>
      </c>
      <c r="M733" s="441">
        <f>IF(L733&lt;O733,MinPoints,IF(AND(L733&gt;N733,O733&gt;0),100,+INT(($L733-O733)/P733)+MinPoints))</f>
        <v>10</v>
      </c>
      <c r="N733" s="440">
        <f t="shared" si="7"/>
        <v>50</v>
      </c>
      <c r="O733" s="440">
        <f t="shared" si="8"/>
        <v>5</v>
      </c>
      <c r="P733" s="440">
        <f t="shared" si="9"/>
        <v>0.5</v>
      </c>
      <c r="Q733">
        <f t="array" ref="Q733">IF(I733&gt;0,INDEX(DB,I733,9),EventIndex)</f>
        <v>6</v>
      </c>
      <c r="S733" s="442">
        <f t="array" ref="S733">INDEX(MINVALUES,$Q733,$K$1)</f>
        <v>5</v>
      </c>
      <c r="T733">
        <f t="array" ref="T733">INDEX(INCVALUES,$Q733,$K$1)</f>
        <v>0.5</v>
      </c>
      <c r="V733">
        <f t="array" ref="V733">+J733+(4*(INDEX(MatchScoreTable,$Q733,20)-1))</f>
        <v>4</v>
      </c>
      <c r="W733" s="442">
        <f t="array" ref="W733">INDEX(INC_MINVALUES,$V733,$K$1)</f>
        <v>2.5</v>
      </c>
      <c r="X733" s="212">
        <f t="array" ref="X733">INDEX(INC_INCVALUES,$V733,$K$1)</f>
        <v>0.5</v>
      </c>
    </row>
    <row r="734" ht="15.75" customHeight="1">
      <c r="A734" s="435"/>
      <c r="B734" s="436"/>
      <c r="C734" s="95" t="str">
        <f t="array" ref="C734">IF(I734&gt;0,INDEX(DB,I734,8),"")</f>
        <v/>
      </c>
      <c r="D734" s="437">
        <f t="shared" si="1"/>
        <v>0</v>
      </c>
      <c r="F734" s="438">
        <f t="shared" si="2"/>
        <v>0</v>
      </c>
      <c r="G734" t="str">
        <f t="shared" si="3"/>
        <v/>
      </c>
      <c r="H734" t="b">
        <f t="shared" si="4"/>
        <v>0</v>
      </c>
      <c r="I734" s="439">
        <f>IF(OR(ISBLANK(A734),ISNA(MATCH(A734&amp;"",AthleteNumbers,0))),0,MATCH(A734&amp;"",AthleteNumbers,0))</f>
        <v>0</v>
      </c>
      <c r="J734" s="209">
        <f t="array" ref="J734">IF(I734&gt;0,INDEX(DB,$I734,6),0)</f>
        <v>0</v>
      </c>
      <c r="K734" s="446">
        <f t="shared" si="5"/>
        <v>0</v>
      </c>
      <c r="L734" s="446">
        <f t="shared" si="6"/>
        <v>0</v>
      </c>
      <c r="M734" s="441">
        <f>IF(L734&lt;O734,MinPoints,IF(AND(L734&gt;N734,O734&gt;0),100,+INT(($L734-O734)/P734)+MinPoints))</f>
        <v>10</v>
      </c>
      <c r="N734" s="440">
        <f t="shared" si="7"/>
        <v>50</v>
      </c>
      <c r="O734" s="440">
        <f t="shared" si="8"/>
        <v>5</v>
      </c>
      <c r="P734" s="440">
        <f t="shared" si="9"/>
        <v>0.5</v>
      </c>
      <c r="Q734">
        <f t="array" ref="Q734">IF(I734&gt;0,INDEX(DB,I734,9),EventIndex)</f>
        <v>6</v>
      </c>
      <c r="S734" s="442">
        <f t="array" ref="S734">INDEX(MINVALUES,$Q734,$K$1)</f>
        <v>5</v>
      </c>
      <c r="T734">
        <f t="array" ref="T734">INDEX(INCVALUES,$Q734,$K$1)</f>
        <v>0.5</v>
      </c>
      <c r="V734">
        <f t="array" ref="V734">+J734+(4*(INDEX(MatchScoreTable,$Q734,20)-1))</f>
        <v>4</v>
      </c>
      <c r="W734" s="442">
        <f t="array" ref="W734">INDEX(INC_MINVALUES,$V734,$K$1)</f>
        <v>2.5</v>
      </c>
      <c r="X734" s="212">
        <f t="array" ref="X734">INDEX(INC_INCVALUES,$V734,$K$1)</f>
        <v>0.5</v>
      </c>
    </row>
    <row r="735" ht="15.75" customHeight="1">
      <c r="A735" s="435"/>
      <c r="B735" s="436"/>
      <c r="C735" s="95" t="str">
        <f t="array" ref="C735">IF(I735&gt;0,INDEX(DB,I735,8),"")</f>
        <v/>
      </c>
      <c r="D735" s="437">
        <f t="shared" si="1"/>
        <v>0</v>
      </c>
      <c r="F735" s="438">
        <f t="shared" si="2"/>
        <v>0</v>
      </c>
      <c r="G735" t="str">
        <f t="shared" si="3"/>
        <v/>
      </c>
      <c r="H735" t="b">
        <f t="shared" si="4"/>
        <v>0</v>
      </c>
      <c r="I735" s="439">
        <f>IF(OR(ISBLANK(A735),ISNA(MATCH(A735&amp;"",AthleteNumbers,0))),0,MATCH(A735&amp;"",AthleteNumbers,0))</f>
        <v>0</v>
      </c>
      <c r="J735" s="209">
        <f t="array" ref="J735">IF(I735&gt;0,INDEX(DB,$I735,6),0)</f>
        <v>0</v>
      </c>
      <c r="K735" s="446">
        <f t="shared" si="5"/>
        <v>0</v>
      </c>
      <c r="L735" s="446">
        <f t="shared" si="6"/>
        <v>0</v>
      </c>
      <c r="M735" s="441">
        <f>IF(L735&lt;O735,MinPoints,IF(AND(L735&gt;N735,O735&gt;0),100,+INT(($L735-O735)/P735)+MinPoints))</f>
        <v>10</v>
      </c>
      <c r="N735" s="440">
        <f t="shared" si="7"/>
        <v>50</v>
      </c>
      <c r="O735" s="440">
        <f t="shared" si="8"/>
        <v>5</v>
      </c>
      <c r="P735" s="440">
        <f t="shared" si="9"/>
        <v>0.5</v>
      </c>
      <c r="Q735">
        <f t="array" ref="Q735">IF(I735&gt;0,INDEX(DB,I735,9),EventIndex)</f>
        <v>6</v>
      </c>
      <c r="S735" s="442">
        <f t="array" ref="S735">INDEX(MINVALUES,$Q735,$K$1)</f>
        <v>5</v>
      </c>
      <c r="T735">
        <f t="array" ref="T735">INDEX(INCVALUES,$Q735,$K$1)</f>
        <v>0.5</v>
      </c>
      <c r="V735">
        <f t="array" ref="V735">+J735+(4*(INDEX(MatchScoreTable,$Q735,20)-1))</f>
        <v>4</v>
      </c>
      <c r="W735" s="442">
        <f t="array" ref="W735">INDEX(INC_MINVALUES,$V735,$K$1)</f>
        <v>2.5</v>
      </c>
      <c r="X735" s="212">
        <f t="array" ref="X735">INDEX(INC_INCVALUES,$V735,$K$1)</f>
        <v>0.5</v>
      </c>
    </row>
    <row r="736" ht="15.75" customHeight="1">
      <c r="A736" s="435"/>
      <c r="B736" s="436"/>
      <c r="C736" s="95" t="str">
        <f t="array" ref="C736">IF(I736&gt;0,INDEX(DB,I736,8),"")</f>
        <v/>
      </c>
      <c r="D736" s="437">
        <f t="shared" si="1"/>
        <v>0</v>
      </c>
      <c r="F736" s="438">
        <f t="shared" si="2"/>
        <v>0</v>
      </c>
      <c r="G736" t="str">
        <f t="shared" si="3"/>
        <v/>
      </c>
      <c r="H736" t="b">
        <f t="shared" si="4"/>
        <v>0</v>
      </c>
      <c r="I736" s="439">
        <f>IF(OR(ISBLANK(A736),ISNA(MATCH(A736&amp;"",AthleteNumbers,0))),0,MATCH(A736&amp;"",AthleteNumbers,0))</f>
        <v>0</v>
      </c>
      <c r="J736" s="209">
        <f t="array" ref="J736">IF(I736&gt;0,INDEX(DB,$I736,6),0)</f>
        <v>0</v>
      </c>
      <c r="K736" s="446">
        <f t="shared" si="5"/>
        <v>0</v>
      </c>
      <c r="L736" s="446">
        <f t="shared" si="6"/>
        <v>0</v>
      </c>
      <c r="M736" s="441">
        <f>IF(L736&lt;O736,MinPoints,IF(AND(L736&gt;N736,O736&gt;0),100,+INT(($L736-O736)/P736)+MinPoints))</f>
        <v>10</v>
      </c>
      <c r="N736" s="440">
        <f t="shared" si="7"/>
        <v>50</v>
      </c>
      <c r="O736" s="440">
        <f t="shared" si="8"/>
        <v>5</v>
      </c>
      <c r="P736" s="440">
        <f t="shared" si="9"/>
        <v>0.5</v>
      </c>
      <c r="Q736">
        <f t="array" ref="Q736">IF(I736&gt;0,INDEX(DB,I736,9),EventIndex)</f>
        <v>6</v>
      </c>
      <c r="S736" s="442">
        <f t="array" ref="S736">INDEX(MINVALUES,$Q736,$K$1)</f>
        <v>5</v>
      </c>
      <c r="T736">
        <f t="array" ref="T736">INDEX(INCVALUES,$Q736,$K$1)</f>
        <v>0.5</v>
      </c>
      <c r="V736">
        <f t="array" ref="V736">+J736+(4*(INDEX(MatchScoreTable,$Q736,20)-1))</f>
        <v>4</v>
      </c>
      <c r="W736" s="442">
        <f t="array" ref="W736">INDEX(INC_MINVALUES,$V736,$K$1)</f>
        <v>2.5</v>
      </c>
      <c r="X736" s="212">
        <f t="array" ref="X736">INDEX(INC_INCVALUES,$V736,$K$1)</f>
        <v>0.5</v>
      </c>
    </row>
    <row r="737" ht="15.75" customHeight="1">
      <c r="A737" s="435"/>
      <c r="B737" s="436"/>
      <c r="C737" s="95" t="str">
        <f t="array" ref="C737">IF(I737&gt;0,INDEX(DB,I737,8),"")</f>
        <v/>
      </c>
      <c r="D737" s="437">
        <f t="shared" si="1"/>
        <v>0</v>
      </c>
      <c r="F737" s="438">
        <f t="shared" si="2"/>
        <v>0</v>
      </c>
      <c r="G737" t="str">
        <f t="shared" si="3"/>
        <v/>
      </c>
      <c r="H737" t="b">
        <f t="shared" si="4"/>
        <v>0</v>
      </c>
      <c r="I737" s="439">
        <f>IF(OR(ISBLANK(A737),ISNA(MATCH(A737&amp;"",AthleteNumbers,0))),0,MATCH(A737&amp;"",AthleteNumbers,0))</f>
        <v>0</v>
      </c>
      <c r="J737" s="209">
        <f t="array" ref="J737">IF(I737&gt;0,INDEX(DB,$I737,6),0)</f>
        <v>0</v>
      </c>
      <c r="K737" s="446">
        <f t="shared" si="5"/>
        <v>0</v>
      </c>
      <c r="L737" s="446">
        <f t="shared" si="6"/>
        <v>0</v>
      </c>
      <c r="M737" s="441">
        <f>IF(L737&lt;O737,MinPoints,IF(AND(L737&gt;N737,O737&gt;0),100,+INT(($L737-O737)/P737)+MinPoints))</f>
        <v>10</v>
      </c>
      <c r="N737" s="440">
        <f t="shared" si="7"/>
        <v>50</v>
      </c>
      <c r="O737" s="440">
        <f t="shared" si="8"/>
        <v>5</v>
      </c>
      <c r="P737" s="440">
        <f t="shared" si="9"/>
        <v>0.5</v>
      </c>
      <c r="Q737">
        <f t="array" ref="Q737">IF(I737&gt;0,INDEX(DB,I737,9),EventIndex)</f>
        <v>6</v>
      </c>
      <c r="S737" s="442">
        <f t="array" ref="S737">INDEX(MINVALUES,$Q737,$K$1)</f>
        <v>5</v>
      </c>
      <c r="T737">
        <f t="array" ref="T737">INDEX(INCVALUES,$Q737,$K$1)</f>
        <v>0.5</v>
      </c>
      <c r="V737">
        <f t="array" ref="V737">+J737+(4*(INDEX(MatchScoreTable,$Q737,20)-1))</f>
        <v>4</v>
      </c>
      <c r="W737" s="442">
        <f t="array" ref="W737">INDEX(INC_MINVALUES,$V737,$K$1)</f>
        <v>2.5</v>
      </c>
      <c r="X737" s="212">
        <f t="array" ref="X737">INDEX(INC_INCVALUES,$V737,$K$1)</f>
        <v>0.5</v>
      </c>
    </row>
    <row r="738" ht="15.75" customHeight="1">
      <c r="A738" s="435"/>
      <c r="B738" s="436"/>
      <c r="C738" s="95" t="str">
        <f t="array" ref="C738">IF(I738&gt;0,INDEX(DB,I738,8),"")</f>
        <v/>
      </c>
      <c r="D738" s="437">
        <f t="shared" si="1"/>
        <v>0</v>
      </c>
      <c r="F738" s="438">
        <f t="shared" si="2"/>
        <v>0</v>
      </c>
      <c r="G738" t="str">
        <f t="shared" si="3"/>
        <v/>
      </c>
      <c r="H738" t="b">
        <f t="shared" si="4"/>
        <v>0</v>
      </c>
      <c r="I738" s="439">
        <f>IF(OR(ISBLANK(A738),ISNA(MATCH(A738&amp;"",AthleteNumbers,0))),0,MATCH(A738&amp;"",AthleteNumbers,0))</f>
        <v>0</v>
      </c>
      <c r="J738" s="209">
        <f t="array" ref="J738">IF(I738&gt;0,INDEX(DB,$I738,6),0)</f>
        <v>0</v>
      </c>
      <c r="K738" s="446">
        <f t="shared" si="5"/>
        <v>0</v>
      </c>
      <c r="L738" s="446">
        <f t="shared" si="6"/>
        <v>0</v>
      </c>
      <c r="M738" s="441">
        <f>IF(L738&lt;O738,MinPoints,IF(AND(L738&gt;N738,O738&gt;0),100,+INT(($L738-O738)/P738)+MinPoints))</f>
        <v>10</v>
      </c>
      <c r="N738" s="440">
        <f t="shared" si="7"/>
        <v>50</v>
      </c>
      <c r="O738" s="440">
        <f t="shared" si="8"/>
        <v>5</v>
      </c>
      <c r="P738" s="440">
        <f t="shared" si="9"/>
        <v>0.5</v>
      </c>
      <c r="Q738">
        <f t="array" ref="Q738">IF(I738&gt;0,INDEX(DB,I738,9),EventIndex)</f>
        <v>6</v>
      </c>
      <c r="S738" s="442">
        <f t="array" ref="S738">INDEX(MINVALUES,$Q738,$K$1)</f>
        <v>5</v>
      </c>
      <c r="T738">
        <f t="array" ref="T738">INDEX(INCVALUES,$Q738,$K$1)</f>
        <v>0.5</v>
      </c>
      <c r="V738">
        <f t="array" ref="V738">+J738+(4*(INDEX(MatchScoreTable,$Q738,20)-1))</f>
        <v>4</v>
      </c>
      <c r="W738" s="442">
        <f t="array" ref="W738">INDEX(INC_MINVALUES,$V738,$K$1)</f>
        <v>2.5</v>
      </c>
      <c r="X738" s="212">
        <f t="array" ref="X738">INDEX(INC_INCVALUES,$V738,$K$1)</f>
        <v>0.5</v>
      </c>
    </row>
    <row r="739" ht="15.75" customHeight="1">
      <c r="A739" s="435"/>
      <c r="B739" s="436"/>
      <c r="C739" s="95" t="str">
        <f t="array" ref="C739">IF(I739&gt;0,INDEX(DB,I739,8),"")</f>
        <v/>
      </c>
      <c r="D739" s="437">
        <f t="shared" si="1"/>
        <v>0</v>
      </c>
      <c r="F739" s="438">
        <f t="shared" si="2"/>
        <v>0</v>
      </c>
      <c r="G739" t="str">
        <f t="shared" si="3"/>
        <v/>
      </c>
      <c r="H739" t="b">
        <f t="shared" si="4"/>
        <v>0</v>
      </c>
      <c r="I739" s="439">
        <f>IF(OR(ISBLANK(A739),ISNA(MATCH(A739&amp;"",AthleteNumbers,0))),0,MATCH(A739&amp;"",AthleteNumbers,0))</f>
        <v>0</v>
      </c>
      <c r="J739" s="209">
        <f t="array" ref="J739">IF(I739&gt;0,INDEX(DB,$I739,6),0)</f>
        <v>0</v>
      </c>
      <c r="K739" s="446">
        <f t="shared" si="5"/>
        <v>0</v>
      </c>
      <c r="L739" s="446">
        <f t="shared" si="6"/>
        <v>0</v>
      </c>
      <c r="M739" s="441">
        <f>IF(L739&lt;O739,MinPoints,IF(AND(L739&gt;N739,O739&gt;0),100,+INT(($L739-O739)/P739)+MinPoints))</f>
        <v>10</v>
      </c>
      <c r="N739" s="440">
        <f t="shared" si="7"/>
        <v>50</v>
      </c>
      <c r="O739" s="440">
        <f t="shared" si="8"/>
        <v>5</v>
      </c>
      <c r="P739" s="440">
        <f t="shared" si="9"/>
        <v>0.5</v>
      </c>
      <c r="Q739">
        <f t="array" ref="Q739">IF(I739&gt;0,INDEX(DB,I739,9),EventIndex)</f>
        <v>6</v>
      </c>
      <c r="S739" s="442">
        <f t="array" ref="S739">INDEX(MINVALUES,$Q739,$K$1)</f>
        <v>5</v>
      </c>
      <c r="T739">
        <f t="array" ref="T739">INDEX(INCVALUES,$Q739,$K$1)</f>
        <v>0.5</v>
      </c>
      <c r="V739">
        <f t="array" ref="V739">+J739+(4*(INDEX(MatchScoreTable,$Q739,20)-1))</f>
        <v>4</v>
      </c>
      <c r="W739" s="442">
        <f t="array" ref="W739">INDEX(INC_MINVALUES,$V739,$K$1)</f>
        <v>2.5</v>
      </c>
      <c r="X739" s="212">
        <f t="array" ref="X739">INDEX(INC_INCVALUES,$V739,$K$1)</f>
        <v>0.5</v>
      </c>
    </row>
    <row r="740" ht="15.75" customHeight="1">
      <c r="A740" s="435"/>
      <c r="B740" s="436"/>
      <c r="C740" s="95" t="str">
        <f t="array" ref="C740">IF(I740&gt;0,INDEX(DB,I740,8),"")</f>
        <v/>
      </c>
      <c r="D740" s="437">
        <f t="shared" si="1"/>
        <v>0</v>
      </c>
      <c r="F740" s="438">
        <f t="shared" si="2"/>
        <v>0</v>
      </c>
      <c r="G740" t="str">
        <f t="shared" si="3"/>
        <v/>
      </c>
      <c r="H740" t="b">
        <f t="shared" si="4"/>
        <v>0</v>
      </c>
      <c r="I740" s="439">
        <f>IF(OR(ISBLANK(A740),ISNA(MATCH(A740&amp;"",AthleteNumbers,0))),0,MATCH(A740&amp;"",AthleteNumbers,0))</f>
        <v>0</v>
      </c>
      <c r="J740" s="209">
        <f t="array" ref="J740">IF(I740&gt;0,INDEX(DB,$I740,6),0)</f>
        <v>0</v>
      </c>
      <c r="K740" s="446">
        <f t="shared" si="5"/>
        <v>0</v>
      </c>
      <c r="L740" s="446">
        <f t="shared" si="6"/>
        <v>0</v>
      </c>
      <c r="M740" s="441">
        <f>IF(L740&lt;O740,MinPoints,IF(AND(L740&gt;N740,O740&gt;0),100,+INT(($L740-O740)/P740)+MinPoints))</f>
        <v>10</v>
      </c>
      <c r="N740" s="440">
        <f t="shared" si="7"/>
        <v>50</v>
      </c>
      <c r="O740" s="440">
        <f t="shared" si="8"/>
        <v>5</v>
      </c>
      <c r="P740" s="440">
        <f t="shared" si="9"/>
        <v>0.5</v>
      </c>
      <c r="Q740">
        <f t="array" ref="Q740">IF(I740&gt;0,INDEX(DB,I740,9),EventIndex)</f>
        <v>6</v>
      </c>
      <c r="S740" s="442">
        <f t="array" ref="S740">INDEX(MINVALUES,$Q740,$K$1)</f>
        <v>5</v>
      </c>
      <c r="T740">
        <f t="array" ref="T740">INDEX(INCVALUES,$Q740,$K$1)</f>
        <v>0.5</v>
      </c>
      <c r="V740">
        <f t="array" ref="V740">+J740+(4*(INDEX(MatchScoreTable,$Q740,20)-1))</f>
        <v>4</v>
      </c>
      <c r="W740" s="442">
        <f t="array" ref="W740">INDEX(INC_MINVALUES,$V740,$K$1)</f>
        <v>2.5</v>
      </c>
      <c r="X740" s="212">
        <f t="array" ref="X740">INDEX(INC_INCVALUES,$V740,$K$1)</f>
        <v>0.5</v>
      </c>
    </row>
    <row r="741" ht="15.75" customHeight="1">
      <c r="A741" s="435"/>
      <c r="B741" s="436"/>
      <c r="C741" s="95" t="str">
        <f t="array" ref="C741">IF(I741&gt;0,INDEX(DB,I741,8),"")</f>
        <v/>
      </c>
      <c r="D741" s="437">
        <f t="shared" si="1"/>
        <v>0</v>
      </c>
      <c r="F741" s="438">
        <f t="shared" si="2"/>
        <v>0</v>
      </c>
      <c r="G741" t="str">
        <f t="shared" si="3"/>
        <v/>
      </c>
      <c r="H741" t="b">
        <f t="shared" si="4"/>
        <v>0</v>
      </c>
      <c r="I741" s="439">
        <f>IF(OR(ISBLANK(A741),ISNA(MATCH(A741&amp;"",AthleteNumbers,0))),0,MATCH(A741&amp;"",AthleteNumbers,0))</f>
        <v>0</v>
      </c>
      <c r="J741" s="209">
        <f t="array" ref="J741">IF(I741&gt;0,INDEX(DB,$I741,6),0)</f>
        <v>0</v>
      </c>
      <c r="K741" s="446">
        <f t="shared" si="5"/>
        <v>0</v>
      </c>
      <c r="L741" s="446">
        <f t="shared" si="6"/>
        <v>0</v>
      </c>
      <c r="M741" s="441">
        <f>IF(L741&lt;O741,MinPoints,IF(AND(L741&gt;N741,O741&gt;0),100,+INT(($L741-O741)/P741)+MinPoints))</f>
        <v>10</v>
      </c>
      <c r="N741" s="440">
        <f t="shared" si="7"/>
        <v>50</v>
      </c>
      <c r="O741" s="440">
        <f t="shared" si="8"/>
        <v>5</v>
      </c>
      <c r="P741" s="440">
        <f t="shared" si="9"/>
        <v>0.5</v>
      </c>
      <c r="Q741">
        <f t="array" ref="Q741">IF(I741&gt;0,INDEX(DB,I741,9),EventIndex)</f>
        <v>6</v>
      </c>
      <c r="S741" s="442">
        <f t="array" ref="S741">INDEX(MINVALUES,$Q741,$K$1)</f>
        <v>5</v>
      </c>
      <c r="T741">
        <f t="array" ref="T741">INDEX(INCVALUES,$Q741,$K$1)</f>
        <v>0.5</v>
      </c>
      <c r="V741">
        <f t="array" ref="V741">+J741+(4*(INDEX(MatchScoreTable,$Q741,20)-1))</f>
        <v>4</v>
      </c>
      <c r="W741" s="442">
        <f t="array" ref="W741">INDEX(INC_MINVALUES,$V741,$K$1)</f>
        <v>2.5</v>
      </c>
      <c r="X741" s="212">
        <f t="array" ref="X741">INDEX(INC_INCVALUES,$V741,$K$1)</f>
        <v>0.5</v>
      </c>
    </row>
    <row r="742" ht="15.75" customHeight="1">
      <c r="A742" s="435"/>
      <c r="B742" s="436"/>
      <c r="C742" s="95" t="str">
        <f t="array" ref="C742">IF(I742&gt;0,INDEX(DB,I742,8),"")</f>
        <v/>
      </c>
      <c r="D742" s="437">
        <f t="shared" si="1"/>
        <v>0</v>
      </c>
      <c r="F742" s="438">
        <f t="shared" si="2"/>
        <v>0</v>
      </c>
      <c r="G742" t="str">
        <f t="shared" si="3"/>
        <v/>
      </c>
      <c r="H742" t="b">
        <f t="shared" si="4"/>
        <v>0</v>
      </c>
      <c r="I742" s="439">
        <f>IF(OR(ISBLANK(A742),ISNA(MATCH(A742&amp;"",AthleteNumbers,0))),0,MATCH(A742&amp;"",AthleteNumbers,0))</f>
        <v>0</v>
      </c>
      <c r="J742" s="209">
        <f t="array" ref="J742">IF(I742&gt;0,INDEX(DB,$I742,6),0)</f>
        <v>0</v>
      </c>
      <c r="K742" s="446">
        <f t="shared" si="5"/>
        <v>0</v>
      </c>
      <c r="L742" s="446">
        <f t="shared" si="6"/>
        <v>0</v>
      </c>
      <c r="M742" s="441">
        <f>IF(L742&lt;O742,MinPoints,IF(AND(L742&gt;N742,O742&gt;0),100,+INT(($L742-O742)/P742)+MinPoints))</f>
        <v>10</v>
      </c>
      <c r="N742" s="440">
        <f t="shared" si="7"/>
        <v>50</v>
      </c>
      <c r="O742" s="440">
        <f t="shared" si="8"/>
        <v>5</v>
      </c>
      <c r="P742" s="440">
        <f t="shared" si="9"/>
        <v>0.5</v>
      </c>
      <c r="Q742">
        <f t="array" ref="Q742">IF(I742&gt;0,INDEX(DB,I742,9),EventIndex)</f>
        <v>6</v>
      </c>
      <c r="S742" s="442">
        <f t="array" ref="S742">INDEX(MINVALUES,$Q742,$K$1)</f>
        <v>5</v>
      </c>
      <c r="T742">
        <f t="array" ref="T742">INDEX(INCVALUES,$Q742,$K$1)</f>
        <v>0.5</v>
      </c>
      <c r="V742">
        <f t="array" ref="V742">+J742+(4*(INDEX(MatchScoreTable,$Q742,20)-1))</f>
        <v>4</v>
      </c>
      <c r="W742" s="442">
        <f t="array" ref="W742">INDEX(INC_MINVALUES,$V742,$K$1)</f>
        <v>2.5</v>
      </c>
      <c r="X742" s="212">
        <f t="array" ref="X742">INDEX(INC_INCVALUES,$V742,$K$1)</f>
        <v>0.5</v>
      </c>
    </row>
    <row r="743" ht="15.75" customHeight="1">
      <c r="A743" s="435"/>
      <c r="B743" s="436"/>
      <c r="C743" s="95" t="str">
        <f t="array" ref="C743">IF(I743&gt;0,INDEX(DB,I743,8),"")</f>
        <v/>
      </c>
      <c r="D743" s="437">
        <f t="shared" si="1"/>
        <v>0</v>
      </c>
      <c r="F743" s="438">
        <f t="shared" si="2"/>
        <v>0</v>
      </c>
      <c r="G743" t="str">
        <f t="shared" si="3"/>
        <v/>
      </c>
      <c r="H743" t="b">
        <f t="shared" si="4"/>
        <v>0</v>
      </c>
      <c r="I743" s="439">
        <f>IF(OR(ISBLANK(A743),ISNA(MATCH(A743&amp;"",AthleteNumbers,0))),0,MATCH(A743&amp;"",AthleteNumbers,0))</f>
        <v>0</v>
      </c>
      <c r="J743" s="209">
        <f t="array" ref="J743">IF(I743&gt;0,INDEX(DB,$I743,6),0)</f>
        <v>0</v>
      </c>
      <c r="K743" s="446">
        <f t="shared" si="5"/>
        <v>0</v>
      </c>
      <c r="L743" s="446">
        <f t="shared" si="6"/>
        <v>0</v>
      </c>
      <c r="M743" s="441">
        <f>IF(L743&lt;O743,MinPoints,IF(AND(L743&gt;N743,O743&gt;0),100,+INT(($L743-O743)/P743)+MinPoints))</f>
        <v>10</v>
      </c>
      <c r="N743" s="440">
        <f t="shared" si="7"/>
        <v>50</v>
      </c>
      <c r="O743" s="440">
        <f t="shared" si="8"/>
        <v>5</v>
      </c>
      <c r="P743" s="440">
        <f t="shared" si="9"/>
        <v>0.5</v>
      </c>
      <c r="Q743">
        <f t="array" ref="Q743">IF(I743&gt;0,INDEX(DB,I743,9),EventIndex)</f>
        <v>6</v>
      </c>
      <c r="S743" s="442">
        <f t="array" ref="S743">INDEX(MINVALUES,$Q743,$K$1)</f>
        <v>5</v>
      </c>
      <c r="T743">
        <f t="array" ref="T743">INDEX(INCVALUES,$Q743,$K$1)</f>
        <v>0.5</v>
      </c>
      <c r="V743">
        <f t="array" ref="V743">+J743+(4*(INDEX(MatchScoreTable,$Q743,20)-1))</f>
        <v>4</v>
      </c>
      <c r="W743" s="442">
        <f t="array" ref="W743">INDEX(INC_MINVALUES,$V743,$K$1)</f>
        <v>2.5</v>
      </c>
      <c r="X743" s="212">
        <f t="array" ref="X743">INDEX(INC_INCVALUES,$V743,$K$1)</f>
        <v>0.5</v>
      </c>
    </row>
    <row r="744" ht="15.75" customHeight="1">
      <c r="A744" s="435"/>
      <c r="B744" s="436"/>
      <c r="C744" s="95" t="str">
        <f t="array" ref="C744">IF(I744&gt;0,INDEX(DB,I744,8),"")</f>
        <v/>
      </c>
      <c r="D744" s="437">
        <f t="shared" si="1"/>
        <v>0</v>
      </c>
      <c r="F744" s="438">
        <f t="shared" si="2"/>
        <v>0</v>
      </c>
      <c r="G744" t="str">
        <f t="shared" si="3"/>
        <v/>
      </c>
      <c r="H744" t="b">
        <f t="shared" si="4"/>
        <v>0</v>
      </c>
      <c r="I744" s="439">
        <f>IF(OR(ISBLANK(A744),ISNA(MATCH(A744&amp;"",AthleteNumbers,0))),0,MATCH(A744&amp;"",AthleteNumbers,0))</f>
        <v>0</v>
      </c>
      <c r="J744" s="209">
        <f t="array" ref="J744">IF(I744&gt;0,INDEX(DB,$I744,6),0)</f>
        <v>0</v>
      </c>
      <c r="K744" s="446">
        <f t="shared" si="5"/>
        <v>0</v>
      </c>
      <c r="L744" s="446">
        <f t="shared" si="6"/>
        <v>0</v>
      </c>
      <c r="M744" s="441">
        <f>IF(L744&lt;O744,MinPoints,IF(AND(L744&gt;N744,O744&gt;0),100,+INT(($L744-O744)/P744)+MinPoints))</f>
        <v>10</v>
      </c>
      <c r="N744" s="440">
        <f t="shared" si="7"/>
        <v>50</v>
      </c>
      <c r="O744" s="440">
        <f t="shared" si="8"/>
        <v>5</v>
      </c>
      <c r="P744" s="440">
        <f t="shared" si="9"/>
        <v>0.5</v>
      </c>
      <c r="Q744">
        <f t="array" ref="Q744">IF(I744&gt;0,INDEX(DB,I744,9),EventIndex)</f>
        <v>6</v>
      </c>
      <c r="S744" s="442">
        <f t="array" ref="S744">INDEX(MINVALUES,$Q744,$K$1)</f>
        <v>5</v>
      </c>
      <c r="T744">
        <f t="array" ref="T744">INDEX(INCVALUES,$Q744,$K$1)</f>
        <v>0.5</v>
      </c>
      <c r="V744">
        <f t="array" ref="V744">+J744+(4*(INDEX(MatchScoreTable,$Q744,20)-1))</f>
        <v>4</v>
      </c>
      <c r="W744" s="442">
        <f t="array" ref="W744">INDEX(INC_MINVALUES,$V744,$K$1)</f>
        <v>2.5</v>
      </c>
      <c r="X744" s="212">
        <f t="array" ref="X744">INDEX(INC_INCVALUES,$V744,$K$1)</f>
        <v>0.5</v>
      </c>
    </row>
    <row r="745" ht="15.75" customHeight="1">
      <c r="A745" s="435"/>
      <c r="B745" s="436"/>
      <c r="C745" s="95" t="str">
        <f t="array" ref="C745">IF(I745&gt;0,INDEX(DB,I745,8),"")</f>
        <v/>
      </c>
      <c r="D745" s="437">
        <f t="shared" si="1"/>
        <v>0</v>
      </c>
      <c r="F745" s="438">
        <f t="shared" si="2"/>
        <v>0</v>
      </c>
      <c r="G745" t="str">
        <f t="shared" si="3"/>
        <v/>
      </c>
      <c r="H745" t="b">
        <f t="shared" si="4"/>
        <v>0</v>
      </c>
      <c r="I745" s="439">
        <f>IF(OR(ISBLANK(A745),ISNA(MATCH(A745&amp;"",AthleteNumbers,0))),0,MATCH(A745&amp;"",AthleteNumbers,0))</f>
        <v>0</v>
      </c>
      <c r="J745" s="209">
        <f t="array" ref="J745">IF(I745&gt;0,INDEX(DB,$I745,6),0)</f>
        <v>0</v>
      </c>
      <c r="K745" s="446">
        <f t="shared" si="5"/>
        <v>0</v>
      </c>
      <c r="L745" s="446">
        <f t="shared" si="6"/>
        <v>0</v>
      </c>
      <c r="M745" s="441">
        <f>IF(L745&lt;O745,MinPoints,IF(AND(L745&gt;N745,O745&gt;0),100,+INT(($L745-O745)/P745)+MinPoints))</f>
        <v>10</v>
      </c>
      <c r="N745" s="440">
        <f t="shared" si="7"/>
        <v>50</v>
      </c>
      <c r="O745" s="440">
        <f t="shared" si="8"/>
        <v>5</v>
      </c>
      <c r="P745" s="440">
        <f t="shared" si="9"/>
        <v>0.5</v>
      </c>
      <c r="Q745">
        <f t="array" ref="Q745">IF(I745&gt;0,INDEX(DB,I745,9),EventIndex)</f>
        <v>6</v>
      </c>
      <c r="S745" s="442">
        <f t="array" ref="S745">INDEX(MINVALUES,$Q745,$K$1)</f>
        <v>5</v>
      </c>
      <c r="T745">
        <f t="array" ref="T745">INDEX(INCVALUES,$Q745,$K$1)</f>
        <v>0.5</v>
      </c>
      <c r="V745">
        <f t="array" ref="V745">+J745+(4*(INDEX(MatchScoreTable,$Q745,20)-1))</f>
        <v>4</v>
      </c>
      <c r="W745" s="442">
        <f t="array" ref="W745">INDEX(INC_MINVALUES,$V745,$K$1)</f>
        <v>2.5</v>
      </c>
      <c r="X745" s="212">
        <f t="array" ref="X745">INDEX(INC_INCVALUES,$V745,$K$1)</f>
        <v>0.5</v>
      </c>
    </row>
    <row r="746" ht="15.75" customHeight="1">
      <c r="A746" s="435"/>
      <c r="B746" s="436"/>
      <c r="C746" s="95" t="str">
        <f t="array" ref="C746">IF(I746&gt;0,INDEX(DB,I746,8),"")</f>
        <v/>
      </c>
      <c r="D746" s="437">
        <f t="shared" si="1"/>
        <v>0</v>
      </c>
      <c r="F746" s="438">
        <f t="shared" si="2"/>
        <v>0</v>
      </c>
      <c r="G746" t="str">
        <f t="shared" si="3"/>
        <v/>
      </c>
      <c r="H746" t="b">
        <f t="shared" si="4"/>
        <v>0</v>
      </c>
      <c r="I746" s="439">
        <f>IF(OR(ISBLANK(A746),ISNA(MATCH(A746&amp;"",AthleteNumbers,0))),0,MATCH(A746&amp;"",AthleteNumbers,0))</f>
        <v>0</v>
      </c>
      <c r="J746" s="209">
        <f t="array" ref="J746">IF(I746&gt;0,INDEX(DB,$I746,6),0)</f>
        <v>0</v>
      </c>
      <c r="K746" s="446">
        <f t="shared" si="5"/>
        <v>0</v>
      </c>
      <c r="L746" s="446">
        <f t="shared" si="6"/>
        <v>0</v>
      </c>
      <c r="M746" s="441">
        <f>IF(L746&lt;O746,MinPoints,IF(AND(L746&gt;N746,O746&gt;0),100,+INT(($L746-O746)/P746)+MinPoints))</f>
        <v>10</v>
      </c>
      <c r="N746" s="440">
        <f t="shared" si="7"/>
        <v>50</v>
      </c>
      <c r="O746" s="440">
        <f t="shared" si="8"/>
        <v>5</v>
      </c>
      <c r="P746" s="440">
        <f t="shared" si="9"/>
        <v>0.5</v>
      </c>
      <c r="Q746">
        <f t="array" ref="Q746">IF(I746&gt;0,INDEX(DB,I746,9),EventIndex)</f>
        <v>6</v>
      </c>
      <c r="S746" s="442">
        <f t="array" ref="S746">INDEX(MINVALUES,$Q746,$K$1)</f>
        <v>5</v>
      </c>
      <c r="T746">
        <f t="array" ref="T746">INDEX(INCVALUES,$Q746,$K$1)</f>
        <v>0.5</v>
      </c>
      <c r="V746">
        <f t="array" ref="V746">+J746+(4*(INDEX(MatchScoreTable,$Q746,20)-1))</f>
        <v>4</v>
      </c>
      <c r="W746" s="442">
        <f t="array" ref="W746">INDEX(INC_MINVALUES,$V746,$K$1)</f>
        <v>2.5</v>
      </c>
      <c r="X746" s="212">
        <f t="array" ref="X746">INDEX(INC_INCVALUES,$V746,$K$1)</f>
        <v>0.5</v>
      </c>
    </row>
    <row r="747" ht="15.75" customHeight="1">
      <c r="A747" s="435"/>
      <c r="B747" s="436"/>
      <c r="C747" s="95" t="str">
        <f t="array" ref="C747">IF(I747&gt;0,INDEX(DB,I747,8),"")</f>
        <v/>
      </c>
      <c r="D747" s="437">
        <f t="shared" si="1"/>
        <v>0</v>
      </c>
      <c r="F747" s="438">
        <f t="shared" si="2"/>
        <v>0</v>
      </c>
      <c r="G747" t="str">
        <f t="shared" si="3"/>
        <v/>
      </c>
      <c r="H747" t="b">
        <f t="shared" si="4"/>
        <v>0</v>
      </c>
      <c r="I747" s="439">
        <f>IF(OR(ISBLANK(A747),ISNA(MATCH(A747&amp;"",AthleteNumbers,0))),0,MATCH(A747&amp;"",AthleteNumbers,0))</f>
        <v>0</v>
      </c>
      <c r="J747" s="209">
        <f t="array" ref="J747">IF(I747&gt;0,INDEX(DB,$I747,6),0)</f>
        <v>0</v>
      </c>
      <c r="K747" s="446">
        <f t="shared" si="5"/>
        <v>0</v>
      </c>
      <c r="L747" s="446">
        <f t="shared" si="6"/>
        <v>0</v>
      </c>
      <c r="M747" s="441">
        <f>IF(L747&lt;O747,MinPoints,IF(AND(L747&gt;N747,O747&gt;0),100,+INT(($L747-O747)/P747)+MinPoints))</f>
        <v>10</v>
      </c>
      <c r="N747" s="440">
        <f t="shared" si="7"/>
        <v>50</v>
      </c>
      <c r="O747" s="440">
        <f t="shared" si="8"/>
        <v>5</v>
      </c>
      <c r="P747" s="440">
        <f t="shared" si="9"/>
        <v>0.5</v>
      </c>
      <c r="Q747">
        <f t="array" ref="Q747">IF(I747&gt;0,INDEX(DB,I747,9),EventIndex)</f>
        <v>6</v>
      </c>
      <c r="S747" s="442">
        <f t="array" ref="S747">INDEX(MINVALUES,$Q747,$K$1)</f>
        <v>5</v>
      </c>
      <c r="T747">
        <f t="array" ref="T747">INDEX(INCVALUES,$Q747,$K$1)</f>
        <v>0.5</v>
      </c>
      <c r="V747">
        <f t="array" ref="V747">+J747+(4*(INDEX(MatchScoreTable,$Q747,20)-1))</f>
        <v>4</v>
      </c>
      <c r="W747" s="442">
        <f t="array" ref="W747">INDEX(INC_MINVALUES,$V747,$K$1)</f>
        <v>2.5</v>
      </c>
      <c r="X747" s="212">
        <f t="array" ref="X747">INDEX(INC_INCVALUES,$V747,$K$1)</f>
        <v>0.5</v>
      </c>
    </row>
    <row r="748" ht="15.75" customHeight="1">
      <c r="A748" s="435"/>
      <c r="B748" s="436"/>
      <c r="C748" s="95" t="str">
        <f t="array" ref="C748">IF(I748&gt;0,INDEX(DB,I748,8),"")</f>
        <v/>
      </c>
      <c r="D748" s="437">
        <f t="shared" si="1"/>
        <v>0</v>
      </c>
      <c r="F748" s="438">
        <f t="shared" si="2"/>
        <v>0</v>
      </c>
      <c r="G748" t="str">
        <f t="shared" si="3"/>
        <v/>
      </c>
      <c r="H748" t="b">
        <f t="shared" si="4"/>
        <v>0</v>
      </c>
      <c r="I748" s="439">
        <f>IF(OR(ISBLANK(A748),ISNA(MATCH(A748&amp;"",AthleteNumbers,0))),0,MATCH(A748&amp;"",AthleteNumbers,0))</f>
        <v>0</v>
      </c>
      <c r="J748" s="209">
        <f t="array" ref="J748">IF(I748&gt;0,INDEX(DB,$I748,6),0)</f>
        <v>0</v>
      </c>
      <c r="K748" s="446">
        <f t="shared" si="5"/>
        <v>0</v>
      </c>
      <c r="L748" s="446">
        <f t="shared" si="6"/>
        <v>0</v>
      </c>
      <c r="M748" s="441">
        <f>IF(L748&lt;O748,MinPoints,IF(AND(L748&gt;N748,O748&gt;0),100,+INT(($L748-O748)/P748)+MinPoints))</f>
        <v>10</v>
      </c>
      <c r="N748" s="440">
        <f t="shared" si="7"/>
        <v>50</v>
      </c>
      <c r="O748" s="440">
        <f t="shared" si="8"/>
        <v>5</v>
      </c>
      <c r="P748" s="440">
        <f t="shared" si="9"/>
        <v>0.5</v>
      </c>
      <c r="Q748">
        <f t="array" ref="Q748">IF(I748&gt;0,INDEX(DB,I748,9),EventIndex)</f>
        <v>6</v>
      </c>
      <c r="S748" s="442">
        <f t="array" ref="S748">INDEX(MINVALUES,$Q748,$K$1)</f>
        <v>5</v>
      </c>
      <c r="T748">
        <f t="array" ref="T748">INDEX(INCVALUES,$Q748,$K$1)</f>
        <v>0.5</v>
      </c>
      <c r="V748">
        <f t="array" ref="V748">+J748+(4*(INDEX(MatchScoreTable,$Q748,20)-1))</f>
        <v>4</v>
      </c>
      <c r="W748" s="442">
        <f t="array" ref="W748">INDEX(INC_MINVALUES,$V748,$K$1)</f>
        <v>2.5</v>
      </c>
      <c r="X748" s="212">
        <f t="array" ref="X748">INDEX(INC_INCVALUES,$V748,$K$1)</f>
        <v>0.5</v>
      </c>
    </row>
    <row r="749" ht="15.75" customHeight="1">
      <c r="A749" s="435"/>
      <c r="B749" s="436"/>
      <c r="C749" s="95" t="str">
        <f t="array" ref="C749">IF(I749&gt;0,INDEX(DB,I749,8),"")</f>
        <v/>
      </c>
      <c r="D749" s="437">
        <f t="shared" si="1"/>
        <v>0</v>
      </c>
      <c r="F749" s="438">
        <f t="shared" si="2"/>
        <v>0</v>
      </c>
      <c r="G749" t="str">
        <f t="shared" si="3"/>
        <v/>
      </c>
      <c r="H749" t="b">
        <f t="shared" si="4"/>
        <v>0</v>
      </c>
      <c r="I749" s="439">
        <f>IF(OR(ISBLANK(A749),ISNA(MATCH(A749&amp;"",AthleteNumbers,0))),0,MATCH(A749&amp;"",AthleteNumbers,0))</f>
        <v>0</v>
      </c>
      <c r="J749" s="209">
        <f t="array" ref="J749">IF(I749&gt;0,INDEX(DB,$I749,6),0)</f>
        <v>0</v>
      </c>
      <c r="K749" s="446">
        <f t="shared" si="5"/>
        <v>0</v>
      </c>
      <c r="L749" s="446">
        <f t="shared" si="6"/>
        <v>0</v>
      </c>
      <c r="M749" s="441">
        <f>IF(L749&lt;O749,MinPoints,IF(AND(L749&gt;N749,O749&gt;0),100,+INT(($L749-O749)/P749)+MinPoints))</f>
        <v>10</v>
      </c>
      <c r="N749" s="440">
        <f t="shared" si="7"/>
        <v>50</v>
      </c>
      <c r="O749" s="440">
        <f t="shared" si="8"/>
        <v>5</v>
      </c>
      <c r="P749" s="440">
        <f t="shared" si="9"/>
        <v>0.5</v>
      </c>
      <c r="Q749">
        <f t="array" ref="Q749">IF(I749&gt;0,INDEX(DB,I749,9),EventIndex)</f>
        <v>6</v>
      </c>
      <c r="S749" s="442">
        <f t="array" ref="S749">INDEX(MINVALUES,$Q749,$K$1)</f>
        <v>5</v>
      </c>
      <c r="T749">
        <f t="array" ref="T749">INDEX(INCVALUES,$Q749,$K$1)</f>
        <v>0.5</v>
      </c>
      <c r="V749">
        <f t="array" ref="V749">+J749+(4*(INDEX(MatchScoreTable,$Q749,20)-1))</f>
        <v>4</v>
      </c>
      <c r="W749" s="442">
        <f t="array" ref="W749">INDEX(INC_MINVALUES,$V749,$K$1)</f>
        <v>2.5</v>
      </c>
      <c r="X749" s="212">
        <f t="array" ref="X749">INDEX(INC_INCVALUES,$V749,$K$1)</f>
        <v>0.5</v>
      </c>
    </row>
    <row r="750" ht="15.75" customHeight="1">
      <c r="A750" s="435"/>
      <c r="B750" s="436"/>
      <c r="C750" s="95" t="str">
        <f t="array" ref="C750">IF(I750&gt;0,INDEX(DB,I750,8),"")</f>
        <v/>
      </c>
      <c r="D750" s="437">
        <f t="shared" si="1"/>
        <v>0</v>
      </c>
      <c r="F750" s="438">
        <f t="shared" si="2"/>
        <v>0</v>
      </c>
      <c r="G750" t="str">
        <f t="shared" si="3"/>
        <v/>
      </c>
      <c r="H750" t="b">
        <f t="shared" si="4"/>
        <v>0</v>
      </c>
      <c r="I750" s="439">
        <f>IF(OR(ISBLANK(A750),ISNA(MATCH(A750&amp;"",AthleteNumbers,0))),0,MATCH(A750&amp;"",AthleteNumbers,0))</f>
        <v>0</v>
      </c>
      <c r="J750" s="209">
        <f t="array" ref="J750">IF(I750&gt;0,INDEX(DB,$I750,6),0)</f>
        <v>0</v>
      </c>
      <c r="K750" s="446">
        <f t="shared" si="5"/>
        <v>0</v>
      </c>
      <c r="L750" s="446">
        <f t="shared" si="6"/>
        <v>0</v>
      </c>
      <c r="M750" s="441">
        <f>IF(L750&lt;O750,MinPoints,IF(AND(L750&gt;N750,O750&gt;0),100,+INT(($L750-O750)/P750)+MinPoints))</f>
        <v>10</v>
      </c>
      <c r="N750" s="440">
        <f t="shared" si="7"/>
        <v>50</v>
      </c>
      <c r="O750" s="440">
        <f t="shared" si="8"/>
        <v>5</v>
      </c>
      <c r="P750" s="440">
        <f t="shared" si="9"/>
        <v>0.5</v>
      </c>
      <c r="Q750">
        <f t="array" ref="Q750">IF(I750&gt;0,INDEX(DB,I750,9),EventIndex)</f>
        <v>6</v>
      </c>
      <c r="S750" s="442">
        <f t="array" ref="S750">INDEX(MINVALUES,$Q750,$K$1)</f>
        <v>5</v>
      </c>
      <c r="T750">
        <f t="array" ref="T750">INDEX(INCVALUES,$Q750,$K$1)</f>
        <v>0.5</v>
      </c>
      <c r="V750">
        <f t="array" ref="V750">+J750+(4*(INDEX(MatchScoreTable,$Q750,20)-1))</f>
        <v>4</v>
      </c>
      <c r="W750" s="442">
        <f t="array" ref="W750">INDEX(INC_MINVALUES,$V750,$K$1)</f>
        <v>2.5</v>
      </c>
      <c r="X750" s="212">
        <f t="array" ref="X750">INDEX(INC_INCVALUES,$V750,$K$1)</f>
        <v>0.5</v>
      </c>
    </row>
    <row r="751" ht="15.75" customHeight="1">
      <c r="A751" s="435"/>
      <c r="B751" s="436"/>
      <c r="C751" s="95" t="str">
        <f t="array" ref="C751">IF(I751&gt;0,INDEX(DB,I751,8),"")</f>
        <v/>
      </c>
      <c r="D751" s="437">
        <f t="shared" si="1"/>
        <v>0</v>
      </c>
      <c r="F751" s="438">
        <f t="shared" si="2"/>
        <v>0</v>
      </c>
      <c r="G751" t="str">
        <f t="shared" si="3"/>
        <v/>
      </c>
      <c r="H751" t="b">
        <f t="shared" si="4"/>
        <v>0</v>
      </c>
      <c r="I751" s="439">
        <f>IF(OR(ISBLANK(A751),ISNA(MATCH(A751&amp;"",AthleteNumbers,0))),0,MATCH(A751&amp;"",AthleteNumbers,0))</f>
        <v>0</v>
      </c>
      <c r="J751" s="209">
        <f t="array" ref="J751">IF(I751&gt;0,INDEX(DB,$I751,6),0)</f>
        <v>0</v>
      </c>
      <c r="K751" s="446">
        <f t="shared" si="5"/>
        <v>0</v>
      </c>
      <c r="L751" s="446">
        <f t="shared" si="6"/>
        <v>0</v>
      </c>
      <c r="M751" s="441">
        <f>IF(L751&lt;O751,MinPoints,IF(AND(L751&gt;N751,O751&gt;0),100,+INT(($L751-O751)/P751)+MinPoints))</f>
        <v>10</v>
      </c>
      <c r="N751" s="440">
        <f t="shared" si="7"/>
        <v>50</v>
      </c>
      <c r="O751" s="440">
        <f t="shared" si="8"/>
        <v>5</v>
      </c>
      <c r="P751" s="440">
        <f t="shared" si="9"/>
        <v>0.5</v>
      </c>
      <c r="Q751">
        <f t="array" ref="Q751">IF(I751&gt;0,INDEX(DB,I751,9),EventIndex)</f>
        <v>6</v>
      </c>
      <c r="S751" s="442">
        <f t="array" ref="S751">INDEX(MINVALUES,$Q751,$K$1)</f>
        <v>5</v>
      </c>
      <c r="T751">
        <f t="array" ref="T751">INDEX(INCVALUES,$Q751,$K$1)</f>
        <v>0.5</v>
      </c>
      <c r="V751">
        <f t="array" ref="V751">+J751+(4*(INDEX(MatchScoreTable,$Q751,20)-1))</f>
        <v>4</v>
      </c>
      <c r="W751" s="442">
        <f t="array" ref="W751">INDEX(INC_MINVALUES,$V751,$K$1)</f>
        <v>2.5</v>
      </c>
      <c r="X751" s="212">
        <f t="array" ref="X751">INDEX(INC_INCVALUES,$V751,$K$1)</f>
        <v>0.5</v>
      </c>
    </row>
    <row r="752" ht="15.75" customHeight="1">
      <c r="A752" s="435"/>
      <c r="B752" s="436"/>
      <c r="C752" s="95" t="str">
        <f t="array" ref="C752">IF(I752&gt;0,INDEX(DB,I752,8),"")</f>
        <v/>
      </c>
      <c r="D752" s="437">
        <f t="shared" si="1"/>
        <v>0</v>
      </c>
      <c r="F752" s="438">
        <f t="shared" si="2"/>
        <v>0</v>
      </c>
      <c r="G752" t="str">
        <f t="shared" si="3"/>
        <v/>
      </c>
      <c r="H752" t="b">
        <f t="shared" si="4"/>
        <v>0</v>
      </c>
      <c r="I752" s="439">
        <f>IF(OR(ISBLANK(A752),ISNA(MATCH(A752&amp;"",AthleteNumbers,0))),0,MATCH(A752&amp;"",AthleteNumbers,0))</f>
        <v>0</v>
      </c>
      <c r="J752" s="209">
        <f t="array" ref="J752">IF(I752&gt;0,INDEX(DB,$I752,6),0)</f>
        <v>0</v>
      </c>
      <c r="K752" s="446">
        <f t="shared" si="5"/>
        <v>0</v>
      </c>
      <c r="L752" s="446">
        <f t="shared" si="6"/>
        <v>0</v>
      </c>
      <c r="M752" s="441">
        <f>IF(L752&lt;O752,MinPoints,IF(AND(L752&gt;N752,O752&gt;0),100,+INT(($L752-O752)/P752)+MinPoints))</f>
        <v>10</v>
      </c>
      <c r="N752" s="440">
        <f t="shared" si="7"/>
        <v>50</v>
      </c>
      <c r="O752" s="440">
        <f t="shared" si="8"/>
        <v>5</v>
      </c>
      <c r="P752" s="440">
        <f t="shared" si="9"/>
        <v>0.5</v>
      </c>
      <c r="Q752">
        <f t="array" ref="Q752">IF(I752&gt;0,INDEX(DB,I752,9),EventIndex)</f>
        <v>6</v>
      </c>
      <c r="S752" s="442">
        <f t="array" ref="S752">INDEX(MINVALUES,$Q752,$K$1)</f>
        <v>5</v>
      </c>
      <c r="T752">
        <f t="array" ref="T752">INDEX(INCVALUES,$Q752,$K$1)</f>
        <v>0.5</v>
      </c>
      <c r="V752">
        <f t="array" ref="V752">+J752+(4*(INDEX(MatchScoreTable,$Q752,20)-1))</f>
        <v>4</v>
      </c>
      <c r="W752" s="442">
        <f t="array" ref="W752">INDEX(INC_MINVALUES,$V752,$K$1)</f>
        <v>2.5</v>
      </c>
      <c r="X752" s="212">
        <f t="array" ref="X752">INDEX(INC_INCVALUES,$V752,$K$1)</f>
        <v>0.5</v>
      </c>
    </row>
    <row r="753" ht="15.75" customHeight="1">
      <c r="A753" s="435"/>
      <c r="B753" s="436"/>
      <c r="C753" s="95" t="str">
        <f t="array" ref="C753">IF(I753&gt;0,INDEX(DB,I753,8),"")</f>
        <v/>
      </c>
      <c r="D753" s="437">
        <f t="shared" si="1"/>
        <v>0</v>
      </c>
      <c r="F753" s="438">
        <f t="shared" si="2"/>
        <v>0</v>
      </c>
      <c r="G753" t="str">
        <f t="shared" si="3"/>
        <v/>
      </c>
      <c r="H753" t="b">
        <f t="shared" si="4"/>
        <v>0</v>
      </c>
      <c r="I753" s="439">
        <f>IF(OR(ISBLANK(A753),ISNA(MATCH(A753&amp;"",AthleteNumbers,0))),0,MATCH(A753&amp;"",AthleteNumbers,0))</f>
        <v>0</v>
      </c>
      <c r="J753" s="209">
        <f t="array" ref="J753">IF(I753&gt;0,INDEX(DB,$I753,6),0)</f>
        <v>0</v>
      </c>
      <c r="K753" s="446">
        <f t="shared" si="5"/>
        <v>0</v>
      </c>
      <c r="L753" s="446">
        <f t="shared" si="6"/>
        <v>0</v>
      </c>
      <c r="M753" s="441">
        <f>IF(L753&lt;O753,MinPoints,IF(AND(L753&gt;N753,O753&gt;0),100,+INT(($L753-O753)/P753)+MinPoints))</f>
        <v>10</v>
      </c>
      <c r="N753" s="440">
        <f t="shared" si="7"/>
        <v>50</v>
      </c>
      <c r="O753" s="440">
        <f t="shared" si="8"/>
        <v>5</v>
      </c>
      <c r="P753" s="440">
        <f t="shared" si="9"/>
        <v>0.5</v>
      </c>
      <c r="Q753">
        <f t="array" ref="Q753">IF(I753&gt;0,INDEX(DB,I753,9),EventIndex)</f>
        <v>6</v>
      </c>
      <c r="S753" s="442">
        <f t="array" ref="S753">INDEX(MINVALUES,$Q753,$K$1)</f>
        <v>5</v>
      </c>
      <c r="T753">
        <f t="array" ref="T753">INDEX(INCVALUES,$Q753,$K$1)</f>
        <v>0.5</v>
      </c>
      <c r="V753">
        <f t="array" ref="V753">+J753+(4*(INDEX(MatchScoreTable,$Q753,20)-1))</f>
        <v>4</v>
      </c>
      <c r="W753" s="442">
        <f t="array" ref="W753">INDEX(INC_MINVALUES,$V753,$K$1)</f>
        <v>2.5</v>
      </c>
      <c r="X753" s="212">
        <f t="array" ref="X753">INDEX(INC_INCVALUES,$V753,$K$1)</f>
        <v>0.5</v>
      </c>
    </row>
    <row r="754" ht="15.75" customHeight="1">
      <c r="A754" s="435"/>
      <c r="B754" s="436"/>
      <c r="C754" s="95" t="str">
        <f t="array" ref="C754">IF(I754&gt;0,INDEX(DB,I754,8),"")</f>
        <v/>
      </c>
      <c r="D754" s="437">
        <f t="shared" si="1"/>
        <v>0</v>
      </c>
      <c r="F754" s="438">
        <f t="shared" si="2"/>
        <v>0</v>
      </c>
      <c r="G754" t="str">
        <f t="shared" si="3"/>
        <v/>
      </c>
      <c r="H754" t="b">
        <f t="shared" si="4"/>
        <v>0</v>
      </c>
      <c r="I754" s="439">
        <f>IF(OR(ISBLANK(A754),ISNA(MATCH(A754&amp;"",AthleteNumbers,0))),0,MATCH(A754&amp;"",AthleteNumbers,0))</f>
        <v>0</v>
      </c>
      <c r="J754" s="209">
        <f t="array" ref="J754">IF(I754&gt;0,INDEX(DB,$I754,6),0)</f>
        <v>0</v>
      </c>
      <c r="K754" s="446">
        <f t="shared" si="5"/>
        <v>0</v>
      </c>
      <c r="L754" s="446">
        <f t="shared" si="6"/>
        <v>0</v>
      </c>
      <c r="M754" s="441">
        <f>IF(L754&lt;O754,MinPoints,IF(AND(L754&gt;N754,O754&gt;0),100,+INT(($L754-O754)/P754)+MinPoints))</f>
        <v>10</v>
      </c>
      <c r="N754" s="440">
        <f t="shared" si="7"/>
        <v>50</v>
      </c>
      <c r="O754" s="440">
        <f t="shared" si="8"/>
        <v>5</v>
      </c>
      <c r="P754" s="440">
        <f t="shared" si="9"/>
        <v>0.5</v>
      </c>
      <c r="Q754">
        <f t="array" ref="Q754">IF(I754&gt;0,INDEX(DB,I754,9),EventIndex)</f>
        <v>6</v>
      </c>
      <c r="S754" s="442">
        <f t="array" ref="S754">INDEX(MINVALUES,$Q754,$K$1)</f>
        <v>5</v>
      </c>
      <c r="T754">
        <f t="array" ref="T754">INDEX(INCVALUES,$Q754,$K$1)</f>
        <v>0.5</v>
      </c>
      <c r="V754">
        <f t="array" ref="V754">+J754+(4*(INDEX(MatchScoreTable,$Q754,20)-1))</f>
        <v>4</v>
      </c>
      <c r="W754" s="442">
        <f t="array" ref="W754">INDEX(INC_MINVALUES,$V754,$K$1)</f>
        <v>2.5</v>
      </c>
      <c r="X754" s="212">
        <f t="array" ref="X754">INDEX(INC_INCVALUES,$V754,$K$1)</f>
        <v>0.5</v>
      </c>
    </row>
    <row r="755" ht="15.75" customHeight="1">
      <c r="A755" s="435"/>
      <c r="B755" s="436"/>
      <c r="C755" s="95" t="str">
        <f t="array" ref="C755">IF(I755&gt;0,INDEX(DB,I755,8),"")</f>
        <v/>
      </c>
      <c r="D755" s="437">
        <f t="shared" si="1"/>
        <v>0</v>
      </c>
      <c r="F755" s="438">
        <f t="shared" si="2"/>
        <v>0</v>
      </c>
      <c r="G755" t="str">
        <f t="shared" si="3"/>
        <v/>
      </c>
      <c r="H755" t="b">
        <f t="shared" si="4"/>
        <v>0</v>
      </c>
      <c r="I755" s="439">
        <f>IF(OR(ISBLANK(A755),ISNA(MATCH(A755&amp;"",AthleteNumbers,0))),0,MATCH(A755&amp;"",AthleteNumbers,0))</f>
        <v>0</v>
      </c>
      <c r="J755" s="209">
        <f t="array" ref="J755">IF(I755&gt;0,INDEX(DB,$I755,6),0)</f>
        <v>0</v>
      </c>
      <c r="K755" s="446">
        <f t="shared" si="5"/>
        <v>0</v>
      </c>
      <c r="L755" s="446">
        <f t="shared" si="6"/>
        <v>0</v>
      </c>
      <c r="M755" s="441">
        <f>IF(L755&lt;O755,MinPoints,IF(AND(L755&gt;N755,O755&gt;0),100,+INT(($L755-O755)/P755)+MinPoints))</f>
        <v>10</v>
      </c>
      <c r="N755" s="440">
        <f t="shared" si="7"/>
        <v>50</v>
      </c>
      <c r="O755" s="440">
        <f t="shared" si="8"/>
        <v>5</v>
      </c>
      <c r="P755" s="440">
        <f t="shared" si="9"/>
        <v>0.5</v>
      </c>
      <c r="Q755">
        <f t="array" ref="Q755">IF(I755&gt;0,INDEX(DB,I755,9),EventIndex)</f>
        <v>6</v>
      </c>
      <c r="S755" s="442">
        <f t="array" ref="S755">INDEX(MINVALUES,$Q755,$K$1)</f>
        <v>5</v>
      </c>
      <c r="T755">
        <f t="array" ref="T755">INDEX(INCVALUES,$Q755,$K$1)</f>
        <v>0.5</v>
      </c>
      <c r="V755">
        <f t="array" ref="V755">+J755+(4*(INDEX(MatchScoreTable,$Q755,20)-1))</f>
        <v>4</v>
      </c>
      <c r="W755" s="442">
        <f t="array" ref="W755">INDEX(INC_MINVALUES,$V755,$K$1)</f>
        <v>2.5</v>
      </c>
      <c r="X755" s="212">
        <f t="array" ref="X755">INDEX(INC_INCVALUES,$V755,$K$1)</f>
        <v>0.5</v>
      </c>
    </row>
    <row r="756" ht="15.75" customHeight="1">
      <c r="A756" s="435"/>
      <c r="B756" s="436"/>
      <c r="C756" s="95" t="str">
        <f t="array" ref="C756">IF(I756&gt;0,INDEX(DB,I756,8),"")</f>
        <v/>
      </c>
      <c r="D756" s="437">
        <f t="shared" si="1"/>
        <v>0</v>
      </c>
      <c r="F756" s="438">
        <f t="shared" si="2"/>
        <v>0</v>
      </c>
      <c r="G756" t="str">
        <f t="shared" si="3"/>
        <v/>
      </c>
      <c r="H756" t="b">
        <f t="shared" si="4"/>
        <v>0</v>
      </c>
      <c r="I756" s="439">
        <f>IF(OR(ISBLANK(A756),ISNA(MATCH(A756&amp;"",AthleteNumbers,0))),0,MATCH(A756&amp;"",AthleteNumbers,0))</f>
        <v>0</v>
      </c>
      <c r="J756" s="209">
        <f t="array" ref="J756">IF(I756&gt;0,INDEX(DB,$I756,6),0)</f>
        <v>0</v>
      </c>
      <c r="K756" s="446">
        <f t="shared" si="5"/>
        <v>0</v>
      </c>
      <c r="L756" s="446">
        <f t="shared" si="6"/>
        <v>0</v>
      </c>
      <c r="M756" s="441">
        <f>IF(L756&lt;O756,MinPoints,IF(AND(L756&gt;N756,O756&gt;0),100,+INT(($L756-O756)/P756)+MinPoints))</f>
        <v>10</v>
      </c>
      <c r="N756" s="440">
        <f t="shared" si="7"/>
        <v>50</v>
      </c>
      <c r="O756" s="440">
        <f t="shared" si="8"/>
        <v>5</v>
      </c>
      <c r="P756" s="440">
        <f t="shared" si="9"/>
        <v>0.5</v>
      </c>
      <c r="Q756">
        <f t="array" ref="Q756">IF(I756&gt;0,INDEX(DB,I756,9),EventIndex)</f>
        <v>6</v>
      </c>
      <c r="S756" s="442">
        <f t="array" ref="S756">INDEX(MINVALUES,$Q756,$K$1)</f>
        <v>5</v>
      </c>
      <c r="T756">
        <f t="array" ref="T756">INDEX(INCVALUES,$Q756,$K$1)</f>
        <v>0.5</v>
      </c>
      <c r="V756">
        <f t="array" ref="V756">+J756+(4*(INDEX(MatchScoreTable,$Q756,20)-1))</f>
        <v>4</v>
      </c>
      <c r="W756" s="442">
        <f t="array" ref="W756">INDEX(INC_MINVALUES,$V756,$K$1)</f>
        <v>2.5</v>
      </c>
      <c r="X756" s="212">
        <f t="array" ref="X756">INDEX(INC_INCVALUES,$V756,$K$1)</f>
        <v>0.5</v>
      </c>
    </row>
    <row r="757" ht="15.75" customHeight="1">
      <c r="A757" s="435"/>
      <c r="B757" s="436"/>
      <c r="C757" s="95" t="str">
        <f t="array" ref="C757">IF(I757&gt;0,INDEX(DB,I757,8),"")</f>
        <v/>
      </c>
      <c r="D757" s="437">
        <f t="shared" si="1"/>
        <v>0</v>
      </c>
      <c r="F757" s="438">
        <f t="shared" si="2"/>
        <v>0</v>
      </c>
      <c r="G757" t="str">
        <f t="shared" si="3"/>
        <v/>
      </c>
      <c r="H757" t="b">
        <f t="shared" si="4"/>
        <v>0</v>
      </c>
      <c r="I757" s="439">
        <f>IF(OR(ISBLANK(A757),ISNA(MATCH(A757&amp;"",AthleteNumbers,0))),0,MATCH(A757&amp;"",AthleteNumbers,0))</f>
        <v>0</v>
      </c>
      <c r="J757" s="209">
        <f t="array" ref="J757">IF(I757&gt;0,INDEX(DB,$I757,6),0)</f>
        <v>0</v>
      </c>
      <c r="K757" s="446">
        <f t="shared" si="5"/>
        <v>0</v>
      </c>
      <c r="L757" s="446">
        <f t="shared" si="6"/>
        <v>0</v>
      </c>
      <c r="M757" s="441">
        <f>IF(L757&lt;O757,MinPoints,IF(AND(L757&gt;N757,O757&gt;0),100,+INT(($L757-O757)/P757)+MinPoints))</f>
        <v>10</v>
      </c>
      <c r="N757" s="440">
        <f t="shared" si="7"/>
        <v>50</v>
      </c>
      <c r="O757" s="440">
        <f t="shared" si="8"/>
        <v>5</v>
      </c>
      <c r="P757" s="440">
        <f t="shared" si="9"/>
        <v>0.5</v>
      </c>
      <c r="Q757">
        <f t="array" ref="Q757">IF(I757&gt;0,INDEX(DB,I757,9),EventIndex)</f>
        <v>6</v>
      </c>
      <c r="S757" s="442">
        <f t="array" ref="S757">INDEX(MINVALUES,$Q757,$K$1)</f>
        <v>5</v>
      </c>
      <c r="T757">
        <f t="array" ref="T757">INDEX(INCVALUES,$Q757,$K$1)</f>
        <v>0.5</v>
      </c>
      <c r="V757">
        <f t="array" ref="V757">+J757+(4*(INDEX(MatchScoreTable,$Q757,20)-1))</f>
        <v>4</v>
      </c>
      <c r="W757" s="442">
        <f t="array" ref="W757">INDEX(INC_MINVALUES,$V757,$K$1)</f>
        <v>2.5</v>
      </c>
      <c r="X757" s="212">
        <f t="array" ref="X757">INDEX(INC_INCVALUES,$V757,$K$1)</f>
        <v>0.5</v>
      </c>
    </row>
    <row r="758" ht="15.75" customHeight="1">
      <c r="A758" s="435"/>
      <c r="B758" s="436"/>
      <c r="C758" s="95" t="str">
        <f t="array" ref="C758">IF(I758&gt;0,INDEX(DB,I758,8),"")</f>
        <v/>
      </c>
      <c r="D758" s="437">
        <f t="shared" si="1"/>
        <v>0</v>
      </c>
      <c r="F758" s="438">
        <f t="shared" si="2"/>
        <v>0</v>
      </c>
      <c r="G758" t="str">
        <f t="shared" si="3"/>
        <v/>
      </c>
      <c r="H758" t="b">
        <f t="shared" si="4"/>
        <v>0</v>
      </c>
      <c r="I758" s="439">
        <f>IF(OR(ISBLANK(A758),ISNA(MATCH(A758&amp;"",AthleteNumbers,0))),0,MATCH(A758&amp;"",AthleteNumbers,0))</f>
        <v>0</v>
      </c>
      <c r="J758" s="209">
        <f t="array" ref="J758">IF(I758&gt;0,INDEX(DB,$I758,6),0)</f>
        <v>0</v>
      </c>
      <c r="K758" s="446">
        <f t="shared" si="5"/>
        <v>0</v>
      </c>
      <c r="L758" s="446">
        <f t="shared" si="6"/>
        <v>0</v>
      </c>
      <c r="M758" s="441">
        <f>IF(L758&lt;O758,MinPoints,IF(AND(L758&gt;N758,O758&gt;0),100,+INT(($L758-O758)/P758)+MinPoints))</f>
        <v>10</v>
      </c>
      <c r="N758" s="440">
        <f t="shared" si="7"/>
        <v>50</v>
      </c>
      <c r="O758" s="440">
        <f t="shared" si="8"/>
        <v>5</v>
      </c>
      <c r="P758" s="440">
        <f t="shared" si="9"/>
        <v>0.5</v>
      </c>
      <c r="Q758">
        <f t="array" ref="Q758">IF(I758&gt;0,INDEX(DB,I758,9),EventIndex)</f>
        <v>6</v>
      </c>
      <c r="S758" s="442">
        <f t="array" ref="S758">INDEX(MINVALUES,$Q758,$K$1)</f>
        <v>5</v>
      </c>
      <c r="T758">
        <f t="array" ref="T758">INDEX(INCVALUES,$Q758,$K$1)</f>
        <v>0.5</v>
      </c>
      <c r="V758">
        <f t="array" ref="V758">+J758+(4*(INDEX(MatchScoreTable,$Q758,20)-1))</f>
        <v>4</v>
      </c>
      <c r="W758" s="442">
        <f t="array" ref="W758">INDEX(INC_MINVALUES,$V758,$K$1)</f>
        <v>2.5</v>
      </c>
      <c r="X758" s="212">
        <f t="array" ref="X758">INDEX(INC_INCVALUES,$V758,$K$1)</f>
        <v>0.5</v>
      </c>
    </row>
    <row r="759" ht="15.75" customHeight="1">
      <c r="A759" s="435"/>
      <c r="B759" s="436"/>
      <c r="C759" s="95" t="str">
        <f t="array" ref="C759">IF(I759&gt;0,INDEX(DB,I759,8),"")</f>
        <v/>
      </c>
      <c r="D759" s="437">
        <f t="shared" si="1"/>
        <v>0</v>
      </c>
      <c r="F759" s="438">
        <f t="shared" si="2"/>
        <v>0</v>
      </c>
      <c r="G759" t="str">
        <f t="shared" si="3"/>
        <v/>
      </c>
      <c r="H759" t="b">
        <f t="shared" si="4"/>
        <v>0</v>
      </c>
      <c r="I759" s="439">
        <f>IF(OR(ISBLANK(A759),ISNA(MATCH(A759&amp;"",AthleteNumbers,0))),0,MATCH(A759&amp;"",AthleteNumbers,0))</f>
        <v>0</v>
      </c>
      <c r="J759" s="209">
        <f t="array" ref="J759">IF(I759&gt;0,INDEX(DB,$I759,6),0)</f>
        <v>0</v>
      </c>
      <c r="K759" s="446">
        <f t="shared" si="5"/>
        <v>0</v>
      </c>
      <c r="L759" s="446">
        <f t="shared" si="6"/>
        <v>0</v>
      </c>
      <c r="M759" s="441">
        <f>IF(L759&lt;O759,MinPoints,IF(AND(L759&gt;N759,O759&gt;0),100,+INT(($L759-O759)/P759)+MinPoints))</f>
        <v>10</v>
      </c>
      <c r="N759" s="440">
        <f t="shared" si="7"/>
        <v>50</v>
      </c>
      <c r="O759" s="440">
        <f t="shared" si="8"/>
        <v>5</v>
      </c>
      <c r="P759" s="440">
        <f t="shared" si="9"/>
        <v>0.5</v>
      </c>
      <c r="Q759">
        <f t="array" ref="Q759">IF(I759&gt;0,INDEX(DB,I759,9),EventIndex)</f>
        <v>6</v>
      </c>
      <c r="S759" s="442">
        <f t="array" ref="S759">INDEX(MINVALUES,$Q759,$K$1)</f>
        <v>5</v>
      </c>
      <c r="T759">
        <f t="array" ref="T759">INDEX(INCVALUES,$Q759,$K$1)</f>
        <v>0.5</v>
      </c>
      <c r="V759">
        <f t="array" ref="V759">+J759+(4*(INDEX(MatchScoreTable,$Q759,20)-1))</f>
        <v>4</v>
      </c>
      <c r="W759" s="442">
        <f t="array" ref="W759">INDEX(INC_MINVALUES,$V759,$K$1)</f>
        <v>2.5</v>
      </c>
      <c r="X759" s="212">
        <f t="array" ref="X759">INDEX(INC_INCVALUES,$V759,$K$1)</f>
        <v>0.5</v>
      </c>
    </row>
    <row r="760" ht="15.75" customHeight="1">
      <c r="A760" s="435"/>
      <c r="B760" s="436"/>
      <c r="C760" s="95" t="str">
        <f t="array" ref="C760">IF(I760&gt;0,INDEX(DB,I760,8),"")</f>
        <v/>
      </c>
      <c r="D760" s="437">
        <f t="shared" si="1"/>
        <v>0</v>
      </c>
      <c r="F760" s="438">
        <f t="shared" si="2"/>
        <v>0</v>
      </c>
      <c r="G760" t="str">
        <f t="shared" si="3"/>
        <v/>
      </c>
      <c r="H760" t="b">
        <f t="shared" si="4"/>
        <v>0</v>
      </c>
      <c r="I760" s="439">
        <f>IF(OR(ISBLANK(A760),ISNA(MATCH(A760&amp;"",AthleteNumbers,0))),0,MATCH(A760&amp;"",AthleteNumbers,0))</f>
        <v>0</v>
      </c>
      <c r="J760" s="209">
        <f t="array" ref="J760">IF(I760&gt;0,INDEX(DB,$I760,6),0)</f>
        <v>0</v>
      </c>
      <c r="K760" s="446">
        <f t="shared" si="5"/>
        <v>0</v>
      </c>
      <c r="L760" s="446">
        <f t="shared" si="6"/>
        <v>0</v>
      </c>
      <c r="M760" s="441">
        <f>IF(L760&lt;O760,MinPoints,IF(AND(L760&gt;N760,O760&gt;0),100,+INT(($L760-O760)/P760)+MinPoints))</f>
        <v>10</v>
      </c>
      <c r="N760" s="440">
        <f t="shared" si="7"/>
        <v>50</v>
      </c>
      <c r="O760" s="440">
        <f t="shared" si="8"/>
        <v>5</v>
      </c>
      <c r="P760" s="440">
        <f t="shared" si="9"/>
        <v>0.5</v>
      </c>
      <c r="Q760">
        <f t="array" ref="Q760">IF(I760&gt;0,INDEX(DB,I760,9),EventIndex)</f>
        <v>6</v>
      </c>
      <c r="S760" s="442">
        <f t="array" ref="S760">INDEX(MINVALUES,$Q760,$K$1)</f>
        <v>5</v>
      </c>
      <c r="T760">
        <f t="array" ref="T760">INDEX(INCVALUES,$Q760,$K$1)</f>
        <v>0.5</v>
      </c>
      <c r="V760">
        <f t="array" ref="V760">+J760+(4*(INDEX(MatchScoreTable,$Q760,20)-1))</f>
        <v>4</v>
      </c>
      <c r="W760" s="442">
        <f t="array" ref="W760">INDEX(INC_MINVALUES,$V760,$K$1)</f>
        <v>2.5</v>
      </c>
      <c r="X760" s="212">
        <f t="array" ref="X760">INDEX(INC_INCVALUES,$V760,$K$1)</f>
        <v>0.5</v>
      </c>
    </row>
    <row r="761" ht="15.75" customHeight="1">
      <c r="A761" s="435"/>
      <c r="B761" s="436"/>
      <c r="C761" s="95" t="str">
        <f t="array" ref="C761">IF(I761&gt;0,INDEX(DB,I761,8),"")</f>
        <v/>
      </c>
      <c r="D761" s="437">
        <f t="shared" si="1"/>
        <v>0</v>
      </c>
      <c r="F761" s="438">
        <f t="shared" si="2"/>
        <v>0</v>
      </c>
      <c r="G761" t="str">
        <f t="shared" si="3"/>
        <v/>
      </c>
      <c r="H761" t="b">
        <f t="shared" si="4"/>
        <v>0</v>
      </c>
      <c r="I761" s="439">
        <f>IF(OR(ISBLANK(A761),ISNA(MATCH(A761&amp;"",AthleteNumbers,0))),0,MATCH(A761&amp;"",AthleteNumbers,0))</f>
        <v>0</v>
      </c>
      <c r="J761" s="209">
        <f t="array" ref="J761">IF(I761&gt;0,INDEX(DB,$I761,6),0)</f>
        <v>0</v>
      </c>
      <c r="K761" s="446">
        <f t="shared" si="5"/>
        <v>0</v>
      </c>
      <c r="L761" s="446">
        <f t="shared" si="6"/>
        <v>0</v>
      </c>
      <c r="M761" s="441">
        <f>IF(L761&lt;O761,MinPoints,IF(AND(L761&gt;N761,O761&gt;0),100,+INT(($L761-O761)/P761)+MinPoints))</f>
        <v>10</v>
      </c>
      <c r="N761" s="440">
        <f t="shared" si="7"/>
        <v>50</v>
      </c>
      <c r="O761" s="440">
        <f t="shared" si="8"/>
        <v>5</v>
      </c>
      <c r="P761" s="440">
        <f t="shared" si="9"/>
        <v>0.5</v>
      </c>
      <c r="Q761">
        <f t="array" ref="Q761">IF(I761&gt;0,INDEX(DB,I761,9),EventIndex)</f>
        <v>6</v>
      </c>
      <c r="S761" s="442">
        <f t="array" ref="S761">INDEX(MINVALUES,$Q761,$K$1)</f>
        <v>5</v>
      </c>
      <c r="T761">
        <f t="array" ref="T761">INDEX(INCVALUES,$Q761,$K$1)</f>
        <v>0.5</v>
      </c>
      <c r="V761">
        <f t="array" ref="V761">+J761+(4*(INDEX(MatchScoreTable,$Q761,20)-1))</f>
        <v>4</v>
      </c>
      <c r="W761" s="442">
        <f t="array" ref="W761">INDEX(INC_MINVALUES,$V761,$K$1)</f>
        <v>2.5</v>
      </c>
      <c r="X761" s="212">
        <f t="array" ref="X761">INDEX(INC_INCVALUES,$V761,$K$1)</f>
        <v>0.5</v>
      </c>
    </row>
    <row r="762" ht="15.75" customHeight="1">
      <c r="A762" s="435"/>
      <c r="B762" s="436"/>
      <c r="C762" s="95" t="str">
        <f t="array" ref="C762">IF(I762&gt;0,INDEX(DB,I762,8),"")</f>
        <v/>
      </c>
      <c r="D762" s="437">
        <f t="shared" si="1"/>
        <v>0</v>
      </c>
      <c r="F762" s="438">
        <f t="shared" si="2"/>
        <v>0</v>
      </c>
      <c r="G762" t="str">
        <f t="shared" si="3"/>
        <v/>
      </c>
      <c r="H762" t="b">
        <f t="shared" si="4"/>
        <v>0</v>
      </c>
      <c r="I762" s="439">
        <f>IF(OR(ISBLANK(A762),ISNA(MATCH(A762&amp;"",AthleteNumbers,0))),0,MATCH(A762&amp;"",AthleteNumbers,0))</f>
        <v>0</v>
      </c>
      <c r="J762" s="209">
        <f t="array" ref="J762">IF(I762&gt;0,INDEX(DB,$I762,6),0)</f>
        <v>0</v>
      </c>
      <c r="K762" s="446">
        <f t="shared" si="5"/>
        <v>0</v>
      </c>
      <c r="L762" s="446">
        <f t="shared" si="6"/>
        <v>0</v>
      </c>
      <c r="M762" s="441">
        <f>IF(L762&lt;O762,MinPoints,IF(AND(L762&gt;N762,O762&gt;0),100,+INT(($L762-O762)/P762)+MinPoints))</f>
        <v>10</v>
      </c>
      <c r="N762" s="440">
        <f t="shared" si="7"/>
        <v>50</v>
      </c>
      <c r="O762" s="440">
        <f t="shared" si="8"/>
        <v>5</v>
      </c>
      <c r="P762" s="440">
        <f t="shared" si="9"/>
        <v>0.5</v>
      </c>
      <c r="Q762">
        <f t="array" ref="Q762">IF(I762&gt;0,INDEX(DB,I762,9),EventIndex)</f>
        <v>6</v>
      </c>
      <c r="S762" s="442">
        <f t="array" ref="S762">INDEX(MINVALUES,$Q762,$K$1)</f>
        <v>5</v>
      </c>
      <c r="T762">
        <f t="array" ref="T762">INDEX(INCVALUES,$Q762,$K$1)</f>
        <v>0.5</v>
      </c>
      <c r="V762">
        <f t="array" ref="V762">+J762+(4*(INDEX(MatchScoreTable,$Q762,20)-1))</f>
        <v>4</v>
      </c>
      <c r="W762" s="442">
        <f t="array" ref="W762">INDEX(INC_MINVALUES,$V762,$K$1)</f>
        <v>2.5</v>
      </c>
      <c r="X762" s="212">
        <f t="array" ref="X762">INDEX(INC_INCVALUES,$V762,$K$1)</f>
        <v>0.5</v>
      </c>
    </row>
    <row r="763" ht="15.75" customHeight="1">
      <c r="A763" s="435"/>
      <c r="B763" s="436"/>
      <c r="C763" s="95" t="str">
        <f t="array" ref="C763">IF(I763&gt;0,INDEX(DB,I763,8),"")</f>
        <v/>
      </c>
      <c r="D763" s="437">
        <f t="shared" si="1"/>
        <v>0</v>
      </c>
      <c r="F763" s="438">
        <f t="shared" si="2"/>
        <v>0</v>
      </c>
      <c r="G763" t="str">
        <f t="shared" si="3"/>
        <v/>
      </c>
      <c r="H763" t="b">
        <f t="shared" si="4"/>
        <v>0</v>
      </c>
      <c r="I763" s="439">
        <f>IF(OR(ISBLANK(A763),ISNA(MATCH(A763&amp;"",AthleteNumbers,0))),0,MATCH(A763&amp;"",AthleteNumbers,0))</f>
        <v>0</v>
      </c>
      <c r="J763" s="209">
        <f t="array" ref="J763">IF(I763&gt;0,INDEX(DB,$I763,6),0)</f>
        <v>0</v>
      </c>
      <c r="K763" s="446">
        <f t="shared" si="5"/>
        <v>0</v>
      </c>
      <c r="L763" s="446">
        <f t="shared" si="6"/>
        <v>0</v>
      </c>
      <c r="M763" s="441">
        <f>IF(L763&lt;O763,MinPoints,IF(AND(L763&gt;N763,O763&gt;0),100,+INT(($L763-O763)/P763)+MinPoints))</f>
        <v>10</v>
      </c>
      <c r="N763" s="440">
        <f t="shared" si="7"/>
        <v>50</v>
      </c>
      <c r="O763" s="440">
        <f t="shared" si="8"/>
        <v>5</v>
      </c>
      <c r="P763" s="440">
        <f t="shared" si="9"/>
        <v>0.5</v>
      </c>
      <c r="Q763">
        <f t="array" ref="Q763">IF(I763&gt;0,INDEX(DB,I763,9),EventIndex)</f>
        <v>6</v>
      </c>
      <c r="S763" s="442">
        <f t="array" ref="S763">INDEX(MINVALUES,$Q763,$K$1)</f>
        <v>5</v>
      </c>
      <c r="T763">
        <f t="array" ref="T763">INDEX(INCVALUES,$Q763,$K$1)</f>
        <v>0.5</v>
      </c>
      <c r="V763">
        <f t="array" ref="V763">+J763+(4*(INDEX(MatchScoreTable,$Q763,20)-1))</f>
        <v>4</v>
      </c>
      <c r="W763" s="442">
        <f t="array" ref="W763">INDEX(INC_MINVALUES,$V763,$K$1)</f>
        <v>2.5</v>
      </c>
      <c r="X763" s="212">
        <f t="array" ref="X763">INDEX(INC_INCVALUES,$V763,$K$1)</f>
        <v>0.5</v>
      </c>
    </row>
    <row r="764" ht="15.75" customHeight="1">
      <c r="A764" s="435"/>
      <c r="B764" s="436"/>
      <c r="C764" s="95" t="str">
        <f t="array" ref="C764">IF(I764&gt;0,INDEX(DB,I764,8),"")</f>
        <v/>
      </c>
      <c r="D764" s="437">
        <f t="shared" si="1"/>
        <v>0</v>
      </c>
      <c r="F764" s="438">
        <f t="shared" si="2"/>
        <v>0</v>
      </c>
      <c r="G764" t="str">
        <f t="shared" si="3"/>
        <v/>
      </c>
      <c r="H764" t="b">
        <f t="shared" si="4"/>
        <v>0</v>
      </c>
      <c r="I764" s="439">
        <f>IF(OR(ISBLANK(A764),ISNA(MATCH(A764&amp;"",AthleteNumbers,0))),0,MATCH(A764&amp;"",AthleteNumbers,0))</f>
        <v>0</v>
      </c>
      <c r="J764" s="209">
        <f t="array" ref="J764">IF(I764&gt;0,INDEX(DB,$I764,6),0)</f>
        <v>0</v>
      </c>
      <c r="K764" s="446">
        <f t="shared" si="5"/>
        <v>0</v>
      </c>
      <c r="L764" s="446">
        <f t="shared" si="6"/>
        <v>0</v>
      </c>
      <c r="M764" s="441">
        <f>IF(L764&lt;O764,MinPoints,IF(AND(L764&gt;N764,O764&gt;0),100,+INT(($L764-O764)/P764)+MinPoints))</f>
        <v>10</v>
      </c>
      <c r="N764" s="440">
        <f t="shared" si="7"/>
        <v>50</v>
      </c>
      <c r="O764" s="440">
        <f t="shared" si="8"/>
        <v>5</v>
      </c>
      <c r="P764" s="440">
        <f t="shared" si="9"/>
        <v>0.5</v>
      </c>
      <c r="Q764">
        <f t="array" ref="Q764">IF(I764&gt;0,INDEX(DB,I764,9),EventIndex)</f>
        <v>6</v>
      </c>
      <c r="S764" s="442">
        <f t="array" ref="S764">INDEX(MINVALUES,$Q764,$K$1)</f>
        <v>5</v>
      </c>
      <c r="T764">
        <f t="array" ref="T764">INDEX(INCVALUES,$Q764,$K$1)</f>
        <v>0.5</v>
      </c>
      <c r="V764">
        <f t="array" ref="V764">+J764+(4*(INDEX(MatchScoreTable,$Q764,20)-1))</f>
        <v>4</v>
      </c>
      <c r="W764" s="442">
        <f t="array" ref="W764">INDEX(INC_MINVALUES,$V764,$K$1)</f>
        <v>2.5</v>
      </c>
      <c r="X764" s="212">
        <f t="array" ref="X764">INDEX(INC_INCVALUES,$V764,$K$1)</f>
        <v>0.5</v>
      </c>
    </row>
    <row r="765" ht="15.75" customHeight="1">
      <c r="A765" s="435"/>
      <c r="B765" s="436"/>
      <c r="C765" s="95" t="str">
        <f t="array" ref="C765">IF(I765&gt;0,INDEX(DB,I765,8),"")</f>
        <v/>
      </c>
      <c r="D765" s="437">
        <f t="shared" si="1"/>
        <v>0</v>
      </c>
      <c r="F765" s="438">
        <f t="shared" si="2"/>
        <v>0</v>
      </c>
      <c r="G765" t="str">
        <f t="shared" si="3"/>
        <v/>
      </c>
      <c r="H765" t="b">
        <f t="shared" si="4"/>
        <v>0</v>
      </c>
      <c r="I765" s="439">
        <f>IF(OR(ISBLANK(A765),ISNA(MATCH(A765&amp;"",AthleteNumbers,0))),0,MATCH(A765&amp;"",AthleteNumbers,0))</f>
        <v>0</v>
      </c>
      <c r="J765" s="209">
        <f t="array" ref="J765">IF(I765&gt;0,INDEX(DB,$I765,6),0)</f>
        <v>0</v>
      </c>
      <c r="K765" s="446">
        <f t="shared" si="5"/>
        <v>0</v>
      </c>
      <c r="L765" s="446">
        <f t="shared" si="6"/>
        <v>0</v>
      </c>
      <c r="M765" s="441">
        <f>IF(L765&lt;O765,MinPoints,IF(AND(L765&gt;N765,O765&gt;0),100,+INT(($L765-O765)/P765)+MinPoints))</f>
        <v>10</v>
      </c>
      <c r="N765" s="440">
        <f t="shared" si="7"/>
        <v>50</v>
      </c>
      <c r="O765" s="440">
        <f t="shared" si="8"/>
        <v>5</v>
      </c>
      <c r="P765" s="440">
        <f t="shared" si="9"/>
        <v>0.5</v>
      </c>
      <c r="Q765">
        <f t="array" ref="Q765">IF(I765&gt;0,INDEX(DB,I765,9),EventIndex)</f>
        <v>6</v>
      </c>
      <c r="S765" s="442">
        <f t="array" ref="S765">INDEX(MINVALUES,$Q765,$K$1)</f>
        <v>5</v>
      </c>
      <c r="T765">
        <f t="array" ref="T765">INDEX(INCVALUES,$Q765,$K$1)</f>
        <v>0.5</v>
      </c>
      <c r="V765">
        <f t="array" ref="V765">+J765+(4*(INDEX(MatchScoreTable,$Q765,20)-1))</f>
        <v>4</v>
      </c>
      <c r="W765" s="442">
        <f t="array" ref="W765">INDEX(INC_MINVALUES,$V765,$K$1)</f>
        <v>2.5</v>
      </c>
      <c r="X765" s="212">
        <f t="array" ref="X765">INDEX(INC_INCVALUES,$V765,$K$1)</f>
        <v>0.5</v>
      </c>
    </row>
    <row r="766" ht="15.75" customHeight="1">
      <c r="A766" s="435"/>
      <c r="B766" s="436"/>
      <c r="C766" s="95" t="str">
        <f t="array" ref="C766">IF(I766&gt;0,INDEX(DB,I766,8),"")</f>
        <v/>
      </c>
      <c r="D766" s="437">
        <f t="shared" si="1"/>
        <v>0</v>
      </c>
      <c r="F766" s="438">
        <f t="shared" si="2"/>
        <v>0</v>
      </c>
      <c r="G766" t="str">
        <f t="shared" si="3"/>
        <v/>
      </c>
      <c r="H766" t="b">
        <f t="shared" si="4"/>
        <v>0</v>
      </c>
      <c r="I766" s="439">
        <f>IF(OR(ISBLANK(A766),ISNA(MATCH(A766&amp;"",AthleteNumbers,0))),0,MATCH(A766&amp;"",AthleteNumbers,0))</f>
        <v>0</v>
      </c>
      <c r="J766" s="209">
        <f t="array" ref="J766">IF(I766&gt;0,INDEX(DB,$I766,6),0)</f>
        <v>0</v>
      </c>
      <c r="K766" s="446">
        <f t="shared" si="5"/>
        <v>0</v>
      </c>
      <c r="L766" s="446">
        <f t="shared" si="6"/>
        <v>0</v>
      </c>
      <c r="M766" s="441">
        <f>IF(L766&lt;O766,MinPoints,IF(AND(L766&gt;N766,O766&gt;0),100,+INT(($L766-O766)/P766)+MinPoints))</f>
        <v>10</v>
      </c>
      <c r="N766" s="440">
        <f t="shared" si="7"/>
        <v>50</v>
      </c>
      <c r="O766" s="440">
        <f t="shared" si="8"/>
        <v>5</v>
      </c>
      <c r="P766" s="440">
        <f t="shared" si="9"/>
        <v>0.5</v>
      </c>
      <c r="Q766">
        <f t="array" ref="Q766">IF(I766&gt;0,INDEX(DB,I766,9),EventIndex)</f>
        <v>6</v>
      </c>
      <c r="S766" s="442">
        <f t="array" ref="S766">INDEX(MINVALUES,$Q766,$K$1)</f>
        <v>5</v>
      </c>
      <c r="T766">
        <f t="array" ref="T766">INDEX(INCVALUES,$Q766,$K$1)</f>
        <v>0.5</v>
      </c>
      <c r="V766">
        <f t="array" ref="V766">+J766+(4*(INDEX(MatchScoreTable,$Q766,20)-1))</f>
        <v>4</v>
      </c>
      <c r="W766" s="442">
        <f t="array" ref="W766">INDEX(INC_MINVALUES,$V766,$K$1)</f>
        <v>2.5</v>
      </c>
      <c r="X766" s="212">
        <f t="array" ref="X766">INDEX(INC_INCVALUES,$V766,$K$1)</f>
        <v>0.5</v>
      </c>
    </row>
    <row r="767" ht="15.75" customHeight="1">
      <c r="A767" s="435"/>
      <c r="B767" s="436"/>
      <c r="C767" s="95" t="str">
        <f t="array" ref="C767">IF(I767&gt;0,INDEX(DB,I767,8),"")</f>
        <v/>
      </c>
      <c r="D767" s="437">
        <f t="shared" si="1"/>
        <v>0</v>
      </c>
      <c r="F767" s="438">
        <f t="shared" si="2"/>
        <v>0</v>
      </c>
      <c r="G767" t="str">
        <f t="shared" si="3"/>
        <v/>
      </c>
      <c r="H767" t="b">
        <f t="shared" si="4"/>
        <v>0</v>
      </c>
      <c r="I767" s="439">
        <f>IF(OR(ISBLANK(A767),ISNA(MATCH(A767&amp;"",AthleteNumbers,0))),0,MATCH(A767&amp;"",AthleteNumbers,0))</f>
        <v>0</v>
      </c>
      <c r="J767" s="209">
        <f t="array" ref="J767">IF(I767&gt;0,INDEX(DB,$I767,6),0)</f>
        <v>0</v>
      </c>
      <c r="K767" s="446">
        <f t="shared" si="5"/>
        <v>0</v>
      </c>
      <c r="L767" s="446">
        <f t="shared" si="6"/>
        <v>0</v>
      </c>
      <c r="M767" s="441">
        <f>IF(L767&lt;O767,MinPoints,IF(AND(L767&gt;N767,O767&gt;0),100,+INT(($L767-O767)/P767)+MinPoints))</f>
        <v>10</v>
      </c>
      <c r="N767" s="440">
        <f t="shared" si="7"/>
        <v>50</v>
      </c>
      <c r="O767" s="440">
        <f t="shared" si="8"/>
        <v>5</v>
      </c>
      <c r="P767" s="440">
        <f t="shared" si="9"/>
        <v>0.5</v>
      </c>
      <c r="Q767">
        <f t="array" ref="Q767">IF(I767&gt;0,INDEX(DB,I767,9),EventIndex)</f>
        <v>6</v>
      </c>
      <c r="S767" s="442">
        <f t="array" ref="S767">INDEX(MINVALUES,$Q767,$K$1)</f>
        <v>5</v>
      </c>
      <c r="T767">
        <f t="array" ref="T767">INDEX(INCVALUES,$Q767,$K$1)</f>
        <v>0.5</v>
      </c>
      <c r="V767">
        <f t="array" ref="V767">+J767+(4*(INDEX(MatchScoreTable,$Q767,20)-1))</f>
        <v>4</v>
      </c>
      <c r="W767" s="442">
        <f t="array" ref="W767">INDEX(INC_MINVALUES,$V767,$K$1)</f>
        <v>2.5</v>
      </c>
      <c r="X767" s="212">
        <f t="array" ref="X767">INDEX(INC_INCVALUES,$V767,$K$1)</f>
        <v>0.5</v>
      </c>
    </row>
    <row r="768" ht="15.75" customHeight="1">
      <c r="A768" s="435"/>
      <c r="B768" s="436"/>
      <c r="C768" s="95" t="str">
        <f t="array" ref="C768">IF(I768&gt;0,INDEX(DB,I768,8),"")</f>
        <v/>
      </c>
      <c r="D768" s="437">
        <f t="shared" si="1"/>
        <v>0</v>
      </c>
      <c r="F768" s="438">
        <f t="shared" si="2"/>
        <v>0</v>
      </c>
      <c r="G768" t="str">
        <f t="shared" si="3"/>
        <v/>
      </c>
      <c r="H768" t="b">
        <f t="shared" si="4"/>
        <v>0</v>
      </c>
      <c r="I768" s="439">
        <f>IF(OR(ISBLANK(A768),ISNA(MATCH(A768&amp;"",AthleteNumbers,0))),0,MATCH(A768&amp;"",AthleteNumbers,0))</f>
        <v>0</v>
      </c>
      <c r="J768" s="209">
        <f t="array" ref="J768">IF(I768&gt;0,INDEX(DB,$I768,6),0)</f>
        <v>0</v>
      </c>
      <c r="K768" s="446">
        <f t="shared" si="5"/>
        <v>0</v>
      </c>
      <c r="L768" s="446">
        <f t="shared" si="6"/>
        <v>0</v>
      </c>
      <c r="M768" s="441">
        <f>IF(L768&lt;O768,MinPoints,IF(AND(L768&gt;N768,O768&gt;0),100,+INT(($L768-O768)/P768)+MinPoints))</f>
        <v>10</v>
      </c>
      <c r="N768" s="440">
        <f t="shared" si="7"/>
        <v>50</v>
      </c>
      <c r="O768" s="440">
        <f t="shared" si="8"/>
        <v>5</v>
      </c>
      <c r="P768" s="440">
        <f t="shared" si="9"/>
        <v>0.5</v>
      </c>
      <c r="Q768">
        <f t="array" ref="Q768">IF(I768&gt;0,INDEX(DB,I768,9),EventIndex)</f>
        <v>6</v>
      </c>
      <c r="S768" s="442">
        <f t="array" ref="S768">INDEX(MINVALUES,$Q768,$K$1)</f>
        <v>5</v>
      </c>
      <c r="T768">
        <f t="array" ref="T768">INDEX(INCVALUES,$Q768,$K$1)</f>
        <v>0.5</v>
      </c>
      <c r="V768">
        <f t="array" ref="V768">+J768+(4*(INDEX(MatchScoreTable,$Q768,20)-1))</f>
        <v>4</v>
      </c>
      <c r="W768" s="442">
        <f t="array" ref="W768">INDEX(INC_MINVALUES,$V768,$K$1)</f>
        <v>2.5</v>
      </c>
      <c r="X768" s="212">
        <f t="array" ref="X768">INDEX(INC_INCVALUES,$V768,$K$1)</f>
        <v>0.5</v>
      </c>
    </row>
    <row r="769" ht="15.75" customHeight="1">
      <c r="A769" s="435"/>
      <c r="B769" s="436"/>
      <c r="C769" s="95" t="str">
        <f t="array" ref="C769">IF(I769&gt;0,INDEX(DB,I769,8),"")</f>
        <v/>
      </c>
      <c r="D769" s="437">
        <f t="shared" si="1"/>
        <v>0</v>
      </c>
      <c r="F769" s="438">
        <f t="shared" si="2"/>
        <v>0</v>
      </c>
      <c r="G769" t="str">
        <f t="shared" si="3"/>
        <v/>
      </c>
      <c r="H769" t="b">
        <f t="shared" si="4"/>
        <v>0</v>
      </c>
      <c r="I769" s="439">
        <f>IF(OR(ISBLANK(A769),ISNA(MATCH(A769&amp;"",AthleteNumbers,0))),0,MATCH(A769&amp;"",AthleteNumbers,0))</f>
        <v>0</v>
      </c>
      <c r="J769" s="209">
        <f t="array" ref="J769">IF(I769&gt;0,INDEX(DB,$I769,6),0)</f>
        <v>0</v>
      </c>
      <c r="K769" s="446">
        <f t="shared" si="5"/>
        <v>0</v>
      </c>
      <c r="L769" s="446">
        <f t="shared" si="6"/>
        <v>0</v>
      </c>
      <c r="M769" s="441">
        <f>IF(L769&lt;O769,MinPoints,IF(AND(L769&gt;N769,O769&gt;0),100,+INT(($L769-O769)/P769)+MinPoints))</f>
        <v>10</v>
      </c>
      <c r="N769" s="440">
        <f t="shared" si="7"/>
        <v>50</v>
      </c>
      <c r="O769" s="440">
        <f t="shared" si="8"/>
        <v>5</v>
      </c>
      <c r="P769" s="440">
        <f t="shared" si="9"/>
        <v>0.5</v>
      </c>
      <c r="Q769">
        <f t="array" ref="Q769">IF(I769&gt;0,INDEX(DB,I769,9),EventIndex)</f>
        <v>6</v>
      </c>
      <c r="S769" s="442">
        <f t="array" ref="S769">INDEX(MINVALUES,$Q769,$K$1)</f>
        <v>5</v>
      </c>
      <c r="T769">
        <f t="array" ref="T769">INDEX(INCVALUES,$Q769,$K$1)</f>
        <v>0.5</v>
      </c>
      <c r="V769">
        <f t="array" ref="V769">+J769+(4*(INDEX(MatchScoreTable,$Q769,20)-1))</f>
        <v>4</v>
      </c>
      <c r="W769" s="442">
        <f t="array" ref="W769">INDEX(INC_MINVALUES,$V769,$K$1)</f>
        <v>2.5</v>
      </c>
      <c r="X769" s="212">
        <f t="array" ref="X769">INDEX(INC_INCVALUES,$V769,$K$1)</f>
        <v>0.5</v>
      </c>
    </row>
    <row r="770" ht="15.75" customHeight="1">
      <c r="A770" s="435"/>
      <c r="B770" s="436"/>
      <c r="C770" s="95" t="str">
        <f t="array" ref="C770">IF(I770&gt;0,INDEX(DB,I770,8),"")</f>
        <v/>
      </c>
      <c r="D770" s="437">
        <f t="shared" si="1"/>
        <v>0</v>
      </c>
      <c r="F770" s="438">
        <f t="shared" si="2"/>
        <v>0</v>
      </c>
      <c r="G770" t="str">
        <f t="shared" si="3"/>
        <v/>
      </c>
      <c r="H770" t="b">
        <f t="shared" si="4"/>
        <v>0</v>
      </c>
      <c r="I770" s="439">
        <f>IF(OR(ISBLANK(A770),ISNA(MATCH(A770&amp;"",AthleteNumbers,0))),0,MATCH(A770&amp;"",AthleteNumbers,0))</f>
        <v>0</v>
      </c>
      <c r="J770" s="209">
        <f t="array" ref="J770">IF(I770&gt;0,INDEX(DB,$I770,6),0)</f>
        <v>0</v>
      </c>
      <c r="K770" s="446">
        <f t="shared" si="5"/>
        <v>0</v>
      </c>
      <c r="L770" s="446">
        <f t="shared" si="6"/>
        <v>0</v>
      </c>
      <c r="M770" s="441">
        <f>IF(L770&lt;O770,MinPoints,IF(AND(L770&gt;N770,O770&gt;0),100,+INT(($L770-O770)/P770)+MinPoints))</f>
        <v>10</v>
      </c>
      <c r="N770" s="440">
        <f t="shared" si="7"/>
        <v>50</v>
      </c>
      <c r="O770" s="440">
        <f t="shared" si="8"/>
        <v>5</v>
      </c>
      <c r="P770" s="440">
        <f t="shared" si="9"/>
        <v>0.5</v>
      </c>
      <c r="Q770">
        <f t="array" ref="Q770">IF(I770&gt;0,INDEX(DB,I770,9),EventIndex)</f>
        <v>6</v>
      </c>
      <c r="S770" s="442">
        <f t="array" ref="S770">INDEX(MINVALUES,$Q770,$K$1)</f>
        <v>5</v>
      </c>
      <c r="T770">
        <f t="array" ref="T770">INDEX(INCVALUES,$Q770,$K$1)</f>
        <v>0.5</v>
      </c>
      <c r="V770">
        <f t="array" ref="V770">+J770+(4*(INDEX(MatchScoreTable,$Q770,20)-1))</f>
        <v>4</v>
      </c>
      <c r="W770" s="442">
        <f t="array" ref="W770">INDEX(INC_MINVALUES,$V770,$K$1)</f>
        <v>2.5</v>
      </c>
      <c r="X770" s="212">
        <f t="array" ref="X770">INDEX(INC_INCVALUES,$V770,$K$1)</f>
        <v>0.5</v>
      </c>
    </row>
    <row r="771" ht="15.75" customHeight="1">
      <c r="A771" s="435"/>
      <c r="B771" s="436"/>
      <c r="C771" s="95" t="str">
        <f t="array" ref="C771">IF(I771&gt;0,INDEX(DB,I771,8),"")</f>
        <v/>
      </c>
      <c r="D771" s="437">
        <f t="shared" si="1"/>
        <v>0</v>
      </c>
      <c r="F771" s="438">
        <f t="shared" si="2"/>
        <v>0</v>
      </c>
      <c r="G771" t="str">
        <f t="shared" si="3"/>
        <v/>
      </c>
      <c r="H771" t="b">
        <f t="shared" si="4"/>
        <v>0</v>
      </c>
      <c r="I771" s="439">
        <f>IF(OR(ISBLANK(A771),ISNA(MATCH(A771&amp;"",AthleteNumbers,0))),0,MATCH(A771&amp;"",AthleteNumbers,0))</f>
        <v>0</v>
      </c>
      <c r="J771" s="209">
        <f t="array" ref="J771">IF(I771&gt;0,INDEX(DB,$I771,6),0)</f>
        <v>0</v>
      </c>
      <c r="K771" s="446">
        <f t="shared" si="5"/>
        <v>0</v>
      </c>
      <c r="L771" s="446">
        <f t="shared" si="6"/>
        <v>0</v>
      </c>
      <c r="M771" s="441">
        <f>IF(L771&lt;O771,MinPoints,IF(AND(L771&gt;N771,O771&gt;0),100,+INT(($L771-O771)/P771)+MinPoints))</f>
        <v>10</v>
      </c>
      <c r="N771" s="440">
        <f t="shared" si="7"/>
        <v>50</v>
      </c>
      <c r="O771" s="440">
        <f t="shared" si="8"/>
        <v>5</v>
      </c>
      <c r="P771" s="440">
        <f t="shared" si="9"/>
        <v>0.5</v>
      </c>
      <c r="Q771">
        <f t="array" ref="Q771">IF(I771&gt;0,INDEX(DB,I771,9),EventIndex)</f>
        <v>6</v>
      </c>
      <c r="S771" s="442">
        <f t="array" ref="S771">INDEX(MINVALUES,$Q771,$K$1)</f>
        <v>5</v>
      </c>
      <c r="T771">
        <f t="array" ref="T771">INDEX(INCVALUES,$Q771,$K$1)</f>
        <v>0.5</v>
      </c>
      <c r="V771">
        <f t="array" ref="V771">+J771+(4*(INDEX(MatchScoreTable,$Q771,20)-1))</f>
        <v>4</v>
      </c>
      <c r="W771" s="442">
        <f t="array" ref="W771">INDEX(INC_MINVALUES,$V771,$K$1)</f>
        <v>2.5</v>
      </c>
      <c r="X771" s="212">
        <f t="array" ref="X771">INDEX(INC_INCVALUES,$V771,$K$1)</f>
        <v>0.5</v>
      </c>
    </row>
    <row r="772" ht="15.75" customHeight="1">
      <c r="A772" s="435"/>
      <c r="B772" s="436"/>
      <c r="C772" s="95" t="str">
        <f t="array" ref="C772">IF(I772&gt;0,INDEX(DB,I772,8),"")</f>
        <v/>
      </c>
      <c r="D772" s="437">
        <f t="shared" si="1"/>
        <v>0</v>
      </c>
      <c r="F772" s="438">
        <f t="shared" si="2"/>
        <v>0</v>
      </c>
      <c r="G772" t="str">
        <f t="shared" si="3"/>
        <v/>
      </c>
      <c r="H772" t="b">
        <f t="shared" si="4"/>
        <v>0</v>
      </c>
      <c r="I772" s="439">
        <f>IF(OR(ISBLANK(A772),ISNA(MATCH(A772&amp;"",AthleteNumbers,0))),0,MATCH(A772&amp;"",AthleteNumbers,0))</f>
        <v>0</v>
      </c>
      <c r="J772" s="209">
        <f t="array" ref="J772">IF(I772&gt;0,INDEX(DB,$I772,6),0)</f>
        <v>0</v>
      </c>
      <c r="K772" s="446">
        <f t="shared" si="5"/>
        <v>0</v>
      </c>
      <c r="L772" s="446">
        <f t="shared" si="6"/>
        <v>0</v>
      </c>
      <c r="M772" s="441">
        <f>IF(L772&lt;O772,MinPoints,IF(AND(L772&gt;N772,O772&gt;0),100,+INT(($L772-O772)/P772)+MinPoints))</f>
        <v>10</v>
      </c>
      <c r="N772" s="440">
        <f t="shared" si="7"/>
        <v>50</v>
      </c>
      <c r="O772" s="440">
        <f t="shared" si="8"/>
        <v>5</v>
      </c>
      <c r="P772" s="440">
        <f t="shared" si="9"/>
        <v>0.5</v>
      </c>
      <c r="Q772">
        <f t="array" ref="Q772">IF(I772&gt;0,INDEX(DB,I772,9),EventIndex)</f>
        <v>6</v>
      </c>
      <c r="S772" s="442">
        <f t="array" ref="S772">INDEX(MINVALUES,$Q772,$K$1)</f>
        <v>5</v>
      </c>
      <c r="T772">
        <f t="array" ref="T772">INDEX(INCVALUES,$Q772,$K$1)</f>
        <v>0.5</v>
      </c>
      <c r="V772">
        <f t="array" ref="V772">+J772+(4*(INDEX(MatchScoreTable,$Q772,20)-1))</f>
        <v>4</v>
      </c>
      <c r="W772" s="442">
        <f t="array" ref="W772">INDEX(INC_MINVALUES,$V772,$K$1)</f>
        <v>2.5</v>
      </c>
      <c r="X772" s="212">
        <f t="array" ref="X772">INDEX(INC_INCVALUES,$V772,$K$1)</f>
        <v>0.5</v>
      </c>
    </row>
    <row r="773" ht="15.75" customHeight="1">
      <c r="A773" s="435"/>
      <c r="B773" s="436"/>
      <c r="C773" s="95" t="str">
        <f t="array" ref="C773">IF(I773&gt;0,INDEX(DB,I773,8),"")</f>
        <v/>
      </c>
      <c r="D773" s="437">
        <f t="shared" si="1"/>
        <v>0</v>
      </c>
      <c r="F773" s="438">
        <f t="shared" si="2"/>
        <v>0</v>
      </c>
      <c r="G773" t="str">
        <f t="shared" si="3"/>
        <v/>
      </c>
      <c r="H773" t="b">
        <f t="shared" si="4"/>
        <v>0</v>
      </c>
      <c r="I773" s="439">
        <f>IF(OR(ISBLANK(A773),ISNA(MATCH(A773&amp;"",AthleteNumbers,0))),0,MATCH(A773&amp;"",AthleteNumbers,0))</f>
        <v>0</v>
      </c>
      <c r="J773" s="209">
        <f t="array" ref="J773">IF(I773&gt;0,INDEX(DB,$I773,6),0)</f>
        <v>0</v>
      </c>
      <c r="K773" s="446">
        <f t="shared" si="5"/>
        <v>0</v>
      </c>
      <c r="L773" s="446">
        <f t="shared" si="6"/>
        <v>0</v>
      </c>
      <c r="M773" s="441">
        <f>IF(L773&lt;O773,MinPoints,IF(AND(L773&gt;N773,O773&gt;0),100,+INT(($L773-O773)/P773)+MinPoints))</f>
        <v>10</v>
      </c>
      <c r="N773" s="440">
        <f t="shared" si="7"/>
        <v>50</v>
      </c>
      <c r="O773" s="440">
        <f t="shared" si="8"/>
        <v>5</v>
      </c>
      <c r="P773" s="440">
        <f t="shared" si="9"/>
        <v>0.5</v>
      </c>
      <c r="Q773">
        <f t="array" ref="Q773">IF(I773&gt;0,INDEX(DB,I773,9),EventIndex)</f>
        <v>6</v>
      </c>
      <c r="S773" s="442">
        <f t="array" ref="S773">INDEX(MINVALUES,$Q773,$K$1)</f>
        <v>5</v>
      </c>
      <c r="T773">
        <f t="array" ref="T773">INDEX(INCVALUES,$Q773,$K$1)</f>
        <v>0.5</v>
      </c>
      <c r="V773">
        <f t="array" ref="V773">+J773+(4*(INDEX(MatchScoreTable,$Q773,20)-1))</f>
        <v>4</v>
      </c>
      <c r="W773" s="442">
        <f t="array" ref="W773">INDEX(INC_MINVALUES,$V773,$K$1)</f>
        <v>2.5</v>
      </c>
      <c r="X773" s="212">
        <f t="array" ref="X773">INDEX(INC_INCVALUES,$V773,$K$1)</f>
        <v>0.5</v>
      </c>
    </row>
    <row r="774" ht="15.75" customHeight="1">
      <c r="A774" s="435"/>
      <c r="B774" s="436"/>
      <c r="C774" s="95" t="str">
        <f t="array" ref="C774">IF(I774&gt;0,INDEX(DB,I774,8),"")</f>
        <v/>
      </c>
      <c r="D774" s="437">
        <f t="shared" si="1"/>
        <v>0</v>
      </c>
      <c r="F774" s="438">
        <f t="shared" si="2"/>
        <v>0</v>
      </c>
      <c r="G774" t="str">
        <f t="shared" si="3"/>
        <v/>
      </c>
      <c r="H774" t="b">
        <f t="shared" si="4"/>
        <v>0</v>
      </c>
      <c r="I774" s="439">
        <f>IF(OR(ISBLANK(A774),ISNA(MATCH(A774&amp;"",AthleteNumbers,0))),0,MATCH(A774&amp;"",AthleteNumbers,0))</f>
        <v>0</v>
      </c>
      <c r="J774" s="209">
        <f t="array" ref="J774">IF(I774&gt;0,INDEX(DB,$I774,6),0)</f>
        <v>0</v>
      </c>
      <c r="K774" s="446">
        <f t="shared" si="5"/>
        <v>0</v>
      </c>
      <c r="L774" s="446">
        <f t="shared" si="6"/>
        <v>0</v>
      </c>
      <c r="M774" s="441">
        <f>IF(L774&lt;O774,MinPoints,IF(AND(L774&gt;N774,O774&gt;0),100,+INT(($L774-O774)/P774)+MinPoints))</f>
        <v>10</v>
      </c>
      <c r="N774" s="440">
        <f t="shared" si="7"/>
        <v>50</v>
      </c>
      <c r="O774" s="440">
        <f t="shared" si="8"/>
        <v>5</v>
      </c>
      <c r="P774" s="440">
        <f t="shared" si="9"/>
        <v>0.5</v>
      </c>
      <c r="Q774">
        <f t="array" ref="Q774">IF(I774&gt;0,INDEX(DB,I774,9),EventIndex)</f>
        <v>6</v>
      </c>
      <c r="S774" s="442">
        <f t="array" ref="S774">INDEX(MINVALUES,$Q774,$K$1)</f>
        <v>5</v>
      </c>
      <c r="T774">
        <f t="array" ref="T774">INDEX(INCVALUES,$Q774,$K$1)</f>
        <v>0.5</v>
      </c>
      <c r="V774">
        <f t="array" ref="V774">+J774+(4*(INDEX(MatchScoreTable,$Q774,20)-1))</f>
        <v>4</v>
      </c>
      <c r="W774" s="442">
        <f t="array" ref="W774">INDEX(INC_MINVALUES,$V774,$K$1)</f>
        <v>2.5</v>
      </c>
      <c r="X774" s="212">
        <f t="array" ref="X774">INDEX(INC_INCVALUES,$V774,$K$1)</f>
        <v>0.5</v>
      </c>
    </row>
    <row r="775" ht="15.75" customHeight="1">
      <c r="A775" s="435"/>
      <c r="B775" s="436"/>
      <c r="C775" s="95" t="str">
        <f t="array" ref="C775">IF(I775&gt;0,INDEX(DB,I775,8),"")</f>
        <v/>
      </c>
      <c r="D775" s="437">
        <f t="shared" si="1"/>
        <v>0</v>
      </c>
      <c r="F775" s="438">
        <f t="shared" si="2"/>
        <v>0</v>
      </c>
      <c r="G775" t="str">
        <f t="shared" si="3"/>
        <v/>
      </c>
      <c r="H775" t="b">
        <f t="shared" si="4"/>
        <v>0</v>
      </c>
      <c r="I775" s="439">
        <f>IF(OR(ISBLANK(A775),ISNA(MATCH(A775&amp;"",AthleteNumbers,0))),0,MATCH(A775&amp;"",AthleteNumbers,0))</f>
        <v>0</v>
      </c>
      <c r="J775" s="209">
        <f t="array" ref="J775">IF(I775&gt;0,INDEX(DB,$I775,6),0)</f>
        <v>0</v>
      </c>
      <c r="K775" s="446">
        <f t="shared" si="5"/>
        <v>0</v>
      </c>
      <c r="L775" s="446">
        <f t="shared" si="6"/>
        <v>0</v>
      </c>
      <c r="M775" s="441">
        <f>IF(L775&lt;O775,MinPoints,IF(AND(L775&gt;N775,O775&gt;0),100,+INT(($L775-O775)/P775)+MinPoints))</f>
        <v>10</v>
      </c>
      <c r="N775" s="440">
        <f t="shared" si="7"/>
        <v>50</v>
      </c>
      <c r="O775" s="440">
        <f t="shared" si="8"/>
        <v>5</v>
      </c>
      <c r="P775" s="440">
        <f t="shared" si="9"/>
        <v>0.5</v>
      </c>
      <c r="Q775">
        <f t="array" ref="Q775">IF(I775&gt;0,INDEX(DB,I775,9),EventIndex)</f>
        <v>6</v>
      </c>
      <c r="S775" s="442">
        <f t="array" ref="S775">INDEX(MINVALUES,$Q775,$K$1)</f>
        <v>5</v>
      </c>
      <c r="T775">
        <f t="array" ref="T775">INDEX(INCVALUES,$Q775,$K$1)</f>
        <v>0.5</v>
      </c>
      <c r="V775">
        <f t="array" ref="V775">+J775+(4*(INDEX(MatchScoreTable,$Q775,20)-1))</f>
        <v>4</v>
      </c>
      <c r="W775" s="442">
        <f t="array" ref="W775">INDEX(INC_MINVALUES,$V775,$K$1)</f>
        <v>2.5</v>
      </c>
      <c r="X775" s="212">
        <f t="array" ref="X775">INDEX(INC_INCVALUES,$V775,$K$1)</f>
        <v>0.5</v>
      </c>
    </row>
    <row r="776" ht="15.75" customHeight="1">
      <c r="A776" s="435"/>
      <c r="B776" s="436"/>
      <c r="C776" s="95" t="str">
        <f t="array" ref="C776">IF(I776&gt;0,INDEX(DB,I776,8),"")</f>
        <v/>
      </c>
      <c r="D776" s="437">
        <f t="shared" si="1"/>
        <v>0</v>
      </c>
      <c r="F776" s="438">
        <f t="shared" si="2"/>
        <v>0</v>
      </c>
      <c r="G776" t="str">
        <f t="shared" si="3"/>
        <v/>
      </c>
      <c r="H776" t="b">
        <f t="shared" si="4"/>
        <v>0</v>
      </c>
      <c r="I776" s="439">
        <f>IF(OR(ISBLANK(A776),ISNA(MATCH(A776&amp;"",AthleteNumbers,0))),0,MATCH(A776&amp;"",AthleteNumbers,0))</f>
        <v>0</v>
      </c>
      <c r="J776" s="209">
        <f t="array" ref="J776">IF(I776&gt;0,INDEX(DB,$I776,6),0)</f>
        <v>0</v>
      </c>
      <c r="K776" s="446">
        <f t="shared" si="5"/>
        <v>0</v>
      </c>
      <c r="L776" s="446">
        <f t="shared" si="6"/>
        <v>0</v>
      </c>
      <c r="M776" s="441">
        <f>IF(L776&lt;O776,MinPoints,IF(AND(L776&gt;N776,O776&gt;0),100,+INT(($L776-O776)/P776)+MinPoints))</f>
        <v>10</v>
      </c>
      <c r="N776" s="440">
        <f t="shared" si="7"/>
        <v>50</v>
      </c>
      <c r="O776" s="440">
        <f t="shared" si="8"/>
        <v>5</v>
      </c>
      <c r="P776" s="440">
        <f t="shared" si="9"/>
        <v>0.5</v>
      </c>
      <c r="Q776">
        <f t="array" ref="Q776">IF(I776&gt;0,INDEX(DB,I776,9),EventIndex)</f>
        <v>6</v>
      </c>
      <c r="S776" s="442">
        <f t="array" ref="S776">INDEX(MINVALUES,$Q776,$K$1)</f>
        <v>5</v>
      </c>
      <c r="T776">
        <f t="array" ref="T776">INDEX(INCVALUES,$Q776,$K$1)</f>
        <v>0.5</v>
      </c>
      <c r="V776">
        <f t="array" ref="V776">+J776+(4*(INDEX(MatchScoreTable,$Q776,20)-1))</f>
        <v>4</v>
      </c>
      <c r="W776" s="442">
        <f t="array" ref="W776">INDEX(INC_MINVALUES,$V776,$K$1)</f>
        <v>2.5</v>
      </c>
      <c r="X776" s="212">
        <f t="array" ref="X776">INDEX(INC_INCVALUES,$V776,$K$1)</f>
        <v>0.5</v>
      </c>
    </row>
    <row r="777" ht="15.75" customHeight="1">
      <c r="A777" s="435"/>
      <c r="B777" s="436"/>
      <c r="C777" s="95" t="str">
        <f t="array" ref="C777">IF(I777&gt;0,INDEX(DB,I777,8),"")</f>
        <v/>
      </c>
      <c r="D777" s="437">
        <f t="shared" si="1"/>
        <v>0</v>
      </c>
      <c r="F777" s="438">
        <f t="shared" si="2"/>
        <v>0</v>
      </c>
      <c r="G777" t="str">
        <f t="shared" si="3"/>
        <v/>
      </c>
      <c r="H777" t="b">
        <f t="shared" si="4"/>
        <v>0</v>
      </c>
      <c r="I777" s="439">
        <f>IF(OR(ISBLANK(A777),ISNA(MATCH(A777&amp;"",AthleteNumbers,0))),0,MATCH(A777&amp;"",AthleteNumbers,0))</f>
        <v>0</v>
      </c>
      <c r="J777" s="209">
        <f t="array" ref="J777">IF(I777&gt;0,INDEX(DB,$I777,6),0)</f>
        <v>0</v>
      </c>
      <c r="K777" s="446">
        <f t="shared" si="5"/>
        <v>0</v>
      </c>
      <c r="L777" s="446">
        <f t="shared" si="6"/>
        <v>0</v>
      </c>
      <c r="M777" s="441">
        <f>IF(L777&lt;O777,MinPoints,IF(AND(L777&gt;N777,O777&gt;0),100,+INT(($L777-O777)/P777)+MinPoints))</f>
        <v>10</v>
      </c>
      <c r="N777" s="440">
        <f t="shared" si="7"/>
        <v>50</v>
      </c>
      <c r="O777" s="440">
        <f t="shared" si="8"/>
        <v>5</v>
      </c>
      <c r="P777" s="440">
        <f t="shared" si="9"/>
        <v>0.5</v>
      </c>
      <c r="Q777">
        <f t="array" ref="Q777">IF(I777&gt;0,INDEX(DB,I777,9),EventIndex)</f>
        <v>6</v>
      </c>
      <c r="S777" s="442">
        <f t="array" ref="S777">INDEX(MINVALUES,$Q777,$K$1)</f>
        <v>5</v>
      </c>
      <c r="T777">
        <f t="array" ref="T777">INDEX(INCVALUES,$Q777,$K$1)</f>
        <v>0.5</v>
      </c>
      <c r="V777">
        <f t="array" ref="V777">+J777+(4*(INDEX(MatchScoreTable,$Q777,20)-1))</f>
        <v>4</v>
      </c>
      <c r="W777" s="442">
        <f t="array" ref="W777">INDEX(INC_MINVALUES,$V777,$K$1)</f>
        <v>2.5</v>
      </c>
      <c r="X777" s="212">
        <f t="array" ref="X777">INDEX(INC_INCVALUES,$V777,$K$1)</f>
        <v>0.5</v>
      </c>
    </row>
    <row r="778" ht="15.75" customHeight="1">
      <c r="A778" s="435"/>
      <c r="B778" s="436"/>
      <c r="C778" s="95" t="str">
        <f t="array" ref="C778">IF(I778&gt;0,INDEX(DB,I778,8),"")</f>
        <v/>
      </c>
      <c r="D778" s="437">
        <f t="shared" si="1"/>
        <v>0</v>
      </c>
      <c r="F778" s="438">
        <f t="shared" si="2"/>
        <v>0</v>
      </c>
      <c r="G778" t="str">
        <f t="shared" si="3"/>
        <v/>
      </c>
      <c r="H778" t="b">
        <f t="shared" si="4"/>
        <v>0</v>
      </c>
      <c r="I778" s="439">
        <f>IF(OR(ISBLANK(A778),ISNA(MATCH(A778&amp;"",AthleteNumbers,0))),0,MATCH(A778&amp;"",AthleteNumbers,0))</f>
        <v>0</v>
      </c>
      <c r="J778" s="209">
        <f t="array" ref="J778">IF(I778&gt;0,INDEX(DB,$I778,6),0)</f>
        <v>0</v>
      </c>
      <c r="K778" s="446">
        <f t="shared" si="5"/>
        <v>0</v>
      </c>
      <c r="L778" s="446">
        <f t="shared" si="6"/>
        <v>0</v>
      </c>
      <c r="M778" s="441">
        <f>IF(L778&lt;O778,MinPoints,IF(AND(L778&gt;N778,O778&gt;0),100,+INT(($L778-O778)/P778)+MinPoints))</f>
        <v>10</v>
      </c>
      <c r="N778" s="440">
        <f t="shared" si="7"/>
        <v>50</v>
      </c>
      <c r="O778" s="440">
        <f t="shared" si="8"/>
        <v>5</v>
      </c>
      <c r="P778" s="440">
        <f t="shared" si="9"/>
        <v>0.5</v>
      </c>
      <c r="Q778">
        <f t="array" ref="Q778">IF(I778&gt;0,INDEX(DB,I778,9),EventIndex)</f>
        <v>6</v>
      </c>
      <c r="S778" s="442">
        <f t="array" ref="S778">INDEX(MINVALUES,$Q778,$K$1)</f>
        <v>5</v>
      </c>
      <c r="T778">
        <f t="array" ref="T778">INDEX(INCVALUES,$Q778,$K$1)</f>
        <v>0.5</v>
      </c>
      <c r="V778">
        <f t="array" ref="V778">+J778+(4*(INDEX(MatchScoreTable,$Q778,20)-1))</f>
        <v>4</v>
      </c>
      <c r="W778" s="442">
        <f t="array" ref="W778">INDEX(INC_MINVALUES,$V778,$K$1)</f>
        <v>2.5</v>
      </c>
      <c r="X778" s="212">
        <f t="array" ref="X778">INDEX(INC_INCVALUES,$V778,$K$1)</f>
        <v>0.5</v>
      </c>
    </row>
    <row r="779" ht="15.75" customHeight="1">
      <c r="A779" s="435"/>
      <c r="B779" s="436"/>
      <c r="C779" s="95" t="str">
        <f t="array" ref="C779">IF(I779&gt;0,INDEX(DB,I779,8),"")</f>
        <v/>
      </c>
      <c r="D779" s="437">
        <f t="shared" si="1"/>
        <v>0</v>
      </c>
      <c r="F779" s="438">
        <f t="shared" si="2"/>
        <v>0</v>
      </c>
      <c r="G779" t="str">
        <f t="shared" si="3"/>
        <v/>
      </c>
      <c r="H779" t="b">
        <f t="shared" si="4"/>
        <v>0</v>
      </c>
      <c r="I779" s="439">
        <f>IF(OR(ISBLANK(A779),ISNA(MATCH(A779&amp;"",AthleteNumbers,0))),0,MATCH(A779&amp;"",AthleteNumbers,0))</f>
        <v>0</v>
      </c>
      <c r="J779" s="209">
        <f t="array" ref="J779">IF(I779&gt;0,INDEX(DB,$I779,6),0)</f>
        <v>0</v>
      </c>
      <c r="K779" s="446">
        <f t="shared" si="5"/>
        <v>0</v>
      </c>
      <c r="L779" s="446">
        <f t="shared" si="6"/>
        <v>0</v>
      </c>
      <c r="M779" s="441">
        <f>IF(L779&lt;O779,MinPoints,IF(AND(L779&gt;N779,O779&gt;0),100,+INT(($L779-O779)/P779)+MinPoints))</f>
        <v>10</v>
      </c>
      <c r="N779" s="440">
        <f t="shared" si="7"/>
        <v>50</v>
      </c>
      <c r="O779" s="440">
        <f t="shared" si="8"/>
        <v>5</v>
      </c>
      <c r="P779" s="440">
        <f t="shared" si="9"/>
        <v>0.5</v>
      </c>
      <c r="Q779">
        <f t="array" ref="Q779">IF(I779&gt;0,INDEX(DB,I779,9),EventIndex)</f>
        <v>6</v>
      </c>
      <c r="S779" s="442">
        <f t="array" ref="S779">INDEX(MINVALUES,$Q779,$K$1)</f>
        <v>5</v>
      </c>
      <c r="T779">
        <f t="array" ref="T779">INDEX(INCVALUES,$Q779,$K$1)</f>
        <v>0.5</v>
      </c>
      <c r="V779">
        <f t="array" ref="V779">+J779+(4*(INDEX(MatchScoreTable,$Q779,20)-1))</f>
        <v>4</v>
      </c>
      <c r="W779" s="442">
        <f t="array" ref="W779">INDEX(INC_MINVALUES,$V779,$K$1)</f>
        <v>2.5</v>
      </c>
      <c r="X779" s="212">
        <f t="array" ref="X779">INDEX(INC_INCVALUES,$V779,$K$1)</f>
        <v>0.5</v>
      </c>
    </row>
    <row r="780" ht="15.75" customHeight="1">
      <c r="A780" s="435"/>
      <c r="B780" s="436"/>
      <c r="C780" s="95" t="str">
        <f t="array" ref="C780">IF(I780&gt;0,INDEX(DB,I780,8),"")</f>
        <v/>
      </c>
      <c r="D780" s="437">
        <f t="shared" si="1"/>
        <v>0</v>
      </c>
      <c r="F780" s="438">
        <f t="shared" si="2"/>
        <v>0</v>
      </c>
      <c r="G780" t="str">
        <f t="shared" si="3"/>
        <v/>
      </c>
      <c r="H780" t="b">
        <f t="shared" si="4"/>
        <v>0</v>
      </c>
      <c r="I780" s="439">
        <f>IF(OR(ISBLANK(A780),ISNA(MATCH(A780&amp;"",AthleteNumbers,0))),0,MATCH(A780&amp;"",AthleteNumbers,0))</f>
        <v>0</v>
      </c>
      <c r="J780" s="209">
        <f t="array" ref="J780">IF(I780&gt;0,INDEX(DB,$I780,6),0)</f>
        <v>0</v>
      </c>
      <c r="K780" s="446">
        <f t="shared" si="5"/>
        <v>0</v>
      </c>
      <c r="L780" s="446">
        <f t="shared" si="6"/>
        <v>0</v>
      </c>
      <c r="M780" s="441">
        <f>IF(L780&lt;O780,MinPoints,IF(AND(L780&gt;N780,O780&gt;0),100,+INT(($L780-O780)/P780)+MinPoints))</f>
        <v>10</v>
      </c>
      <c r="N780" s="440">
        <f t="shared" si="7"/>
        <v>50</v>
      </c>
      <c r="O780" s="440">
        <f t="shared" si="8"/>
        <v>5</v>
      </c>
      <c r="P780" s="440">
        <f t="shared" si="9"/>
        <v>0.5</v>
      </c>
      <c r="Q780">
        <f t="array" ref="Q780">IF(I780&gt;0,INDEX(DB,I780,9),EventIndex)</f>
        <v>6</v>
      </c>
      <c r="S780" s="442">
        <f t="array" ref="S780">INDEX(MINVALUES,$Q780,$K$1)</f>
        <v>5</v>
      </c>
      <c r="T780">
        <f t="array" ref="T780">INDEX(INCVALUES,$Q780,$K$1)</f>
        <v>0.5</v>
      </c>
      <c r="V780">
        <f t="array" ref="V780">+J780+(4*(INDEX(MatchScoreTable,$Q780,20)-1))</f>
        <v>4</v>
      </c>
      <c r="W780" s="442">
        <f t="array" ref="W780">INDEX(INC_MINVALUES,$V780,$K$1)</f>
        <v>2.5</v>
      </c>
      <c r="X780" s="212">
        <f t="array" ref="X780">INDEX(INC_INCVALUES,$V780,$K$1)</f>
        <v>0.5</v>
      </c>
    </row>
    <row r="781" ht="15.75" customHeight="1">
      <c r="A781" s="435"/>
      <c r="B781" s="436"/>
      <c r="C781" s="95" t="str">
        <f t="array" ref="C781">IF(I781&gt;0,INDEX(DB,I781,8),"")</f>
        <v/>
      </c>
      <c r="D781" s="437">
        <f t="shared" si="1"/>
        <v>0</v>
      </c>
      <c r="F781" s="438">
        <f t="shared" si="2"/>
        <v>0</v>
      </c>
      <c r="G781" t="str">
        <f t="shared" si="3"/>
        <v/>
      </c>
      <c r="H781" t="b">
        <f t="shared" si="4"/>
        <v>0</v>
      </c>
      <c r="I781" s="439">
        <f>IF(OR(ISBLANK(A781),ISNA(MATCH(A781&amp;"",AthleteNumbers,0))),0,MATCH(A781&amp;"",AthleteNumbers,0))</f>
        <v>0</v>
      </c>
      <c r="J781" s="209">
        <f t="array" ref="J781">IF(I781&gt;0,INDEX(DB,$I781,6),0)</f>
        <v>0</v>
      </c>
      <c r="K781" s="446">
        <f t="shared" si="5"/>
        <v>0</v>
      </c>
      <c r="L781" s="446">
        <f t="shared" si="6"/>
        <v>0</v>
      </c>
      <c r="M781" s="441">
        <f>IF(L781&lt;O781,MinPoints,IF(AND(L781&gt;N781,O781&gt;0),100,+INT(($L781-O781)/P781)+MinPoints))</f>
        <v>10</v>
      </c>
      <c r="N781" s="440">
        <f t="shared" si="7"/>
        <v>50</v>
      </c>
      <c r="O781" s="440">
        <f t="shared" si="8"/>
        <v>5</v>
      </c>
      <c r="P781" s="440">
        <f t="shared" si="9"/>
        <v>0.5</v>
      </c>
      <c r="Q781">
        <f t="array" ref="Q781">IF(I781&gt;0,INDEX(DB,I781,9),EventIndex)</f>
        <v>6</v>
      </c>
      <c r="S781" s="442">
        <f t="array" ref="S781">INDEX(MINVALUES,$Q781,$K$1)</f>
        <v>5</v>
      </c>
      <c r="T781">
        <f t="array" ref="T781">INDEX(INCVALUES,$Q781,$K$1)</f>
        <v>0.5</v>
      </c>
      <c r="V781">
        <f t="array" ref="V781">+J781+(4*(INDEX(MatchScoreTable,$Q781,20)-1))</f>
        <v>4</v>
      </c>
      <c r="W781" s="442">
        <f t="array" ref="W781">INDEX(INC_MINVALUES,$V781,$K$1)</f>
        <v>2.5</v>
      </c>
      <c r="X781" s="212">
        <f t="array" ref="X781">INDEX(INC_INCVALUES,$V781,$K$1)</f>
        <v>0.5</v>
      </c>
    </row>
    <row r="782" ht="15.75" customHeight="1">
      <c r="A782" s="435"/>
      <c r="B782" s="436"/>
      <c r="C782" s="95" t="str">
        <f t="array" ref="C782">IF(I782&gt;0,INDEX(DB,I782,8),"")</f>
        <v/>
      </c>
      <c r="D782" s="437">
        <f t="shared" si="1"/>
        <v>0</v>
      </c>
      <c r="F782" s="438">
        <f t="shared" si="2"/>
        <v>0</v>
      </c>
      <c r="G782" t="str">
        <f t="shared" si="3"/>
        <v/>
      </c>
      <c r="H782" t="b">
        <f t="shared" si="4"/>
        <v>0</v>
      </c>
      <c r="I782" s="439">
        <f>IF(OR(ISBLANK(A782),ISNA(MATCH(A782&amp;"",AthleteNumbers,0))),0,MATCH(A782&amp;"",AthleteNumbers,0))</f>
        <v>0</v>
      </c>
      <c r="J782" s="209">
        <f t="array" ref="J782">IF(I782&gt;0,INDEX(DB,$I782,6),0)</f>
        <v>0</v>
      </c>
      <c r="K782" s="446">
        <f t="shared" si="5"/>
        <v>0</v>
      </c>
      <c r="L782" s="446">
        <f t="shared" si="6"/>
        <v>0</v>
      </c>
      <c r="M782" s="441">
        <f>IF(L782&lt;O782,MinPoints,IF(AND(L782&gt;N782,O782&gt;0),100,+INT(($L782-O782)/P782)+MinPoints))</f>
        <v>10</v>
      </c>
      <c r="N782" s="440">
        <f t="shared" si="7"/>
        <v>50</v>
      </c>
      <c r="O782" s="440">
        <f t="shared" si="8"/>
        <v>5</v>
      </c>
      <c r="P782" s="440">
        <f t="shared" si="9"/>
        <v>0.5</v>
      </c>
      <c r="Q782">
        <f t="array" ref="Q782">IF(I782&gt;0,INDEX(DB,I782,9),EventIndex)</f>
        <v>6</v>
      </c>
      <c r="S782" s="442">
        <f t="array" ref="S782">INDEX(MINVALUES,$Q782,$K$1)</f>
        <v>5</v>
      </c>
      <c r="T782">
        <f t="array" ref="T782">INDEX(INCVALUES,$Q782,$K$1)</f>
        <v>0.5</v>
      </c>
      <c r="V782">
        <f t="array" ref="V782">+J782+(4*(INDEX(MatchScoreTable,$Q782,20)-1))</f>
        <v>4</v>
      </c>
      <c r="W782" s="442">
        <f t="array" ref="W782">INDEX(INC_MINVALUES,$V782,$K$1)</f>
        <v>2.5</v>
      </c>
      <c r="X782" s="212">
        <f t="array" ref="X782">INDEX(INC_INCVALUES,$V782,$K$1)</f>
        <v>0.5</v>
      </c>
    </row>
    <row r="783" ht="15.75" customHeight="1">
      <c r="A783" s="435"/>
      <c r="B783" s="436"/>
      <c r="C783" s="95" t="str">
        <f t="array" ref="C783">IF(I783&gt;0,INDEX(DB,I783,8),"")</f>
        <v/>
      </c>
      <c r="D783" s="437">
        <f t="shared" si="1"/>
        <v>0</v>
      </c>
      <c r="F783" s="438">
        <f t="shared" si="2"/>
        <v>0</v>
      </c>
      <c r="G783" t="str">
        <f t="shared" si="3"/>
        <v/>
      </c>
      <c r="H783" t="b">
        <f t="shared" si="4"/>
        <v>0</v>
      </c>
      <c r="I783" s="439">
        <f>IF(OR(ISBLANK(A783),ISNA(MATCH(A783&amp;"",AthleteNumbers,0))),0,MATCH(A783&amp;"",AthleteNumbers,0))</f>
        <v>0</v>
      </c>
      <c r="J783" s="209">
        <f t="array" ref="J783">IF(I783&gt;0,INDEX(DB,$I783,6),0)</f>
        <v>0</v>
      </c>
      <c r="K783" s="446">
        <f t="shared" si="5"/>
        <v>0</v>
      </c>
      <c r="L783" s="446">
        <f t="shared" si="6"/>
        <v>0</v>
      </c>
      <c r="M783" s="441">
        <f>IF(L783&lt;O783,MinPoints,IF(AND(L783&gt;N783,O783&gt;0),100,+INT(($L783-O783)/P783)+MinPoints))</f>
        <v>10</v>
      </c>
      <c r="N783" s="440">
        <f t="shared" si="7"/>
        <v>50</v>
      </c>
      <c r="O783" s="440">
        <f t="shared" si="8"/>
        <v>5</v>
      </c>
      <c r="P783" s="440">
        <f t="shared" si="9"/>
        <v>0.5</v>
      </c>
      <c r="Q783">
        <f t="array" ref="Q783">IF(I783&gt;0,INDEX(DB,I783,9),EventIndex)</f>
        <v>6</v>
      </c>
      <c r="S783" s="442">
        <f t="array" ref="S783">INDEX(MINVALUES,$Q783,$K$1)</f>
        <v>5</v>
      </c>
      <c r="T783">
        <f t="array" ref="T783">INDEX(INCVALUES,$Q783,$K$1)</f>
        <v>0.5</v>
      </c>
      <c r="V783">
        <f t="array" ref="V783">+J783+(4*(INDEX(MatchScoreTable,$Q783,20)-1))</f>
        <v>4</v>
      </c>
      <c r="W783" s="442">
        <f t="array" ref="W783">INDEX(INC_MINVALUES,$V783,$K$1)</f>
        <v>2.5</v>
      </c>
      <c r="X783" s="212">
        <f t="array" ref="X783">INDEX(INC_INCVALUES,$V783,$K$1)</f>
        <v>0.5</v>
      </c>
    </row>
    <row r="784" ht="15.75" customHeight="1">
      <c r="A784" s="435"/>
      <c r="B784" s="436"/>
      <c r="C784" s="95" t="str">
        <f t="array" ref="C784">IF(I784&gt;0,INDEX(DB,I784,8),"")</f>
        <v/>
      </c>
      <c r="D784" s="437">
        <f t="shared" si="1"/>
        <v>0</v>
      </c>
      <c r="F784" s="438">
        <f t="shared" si="2"/>
        <v>0</v>
      </c>
      <c r="G784" t="str">
        <f t="shared" si="3"/>
        <v/>
      </c>
      <c r="H784" t="b">
        <f t="shared" si="4"/>
        <v>0</v>
      </c>
      <c r="I784" s="439">
        <f>IF(OR(ISBLANK(A784),ISNA(MATCH(A784&amp;"",AthleteNumbers,0))),0,MATCH(A784&amp;"",AthleteNumbers,0))</f>
        <v>0</v>
      </c>
      <c r="J784" s="209">
        <f t="array" ref="J784">IF(I784&gt;0,INDEX(DB,$I784,6),0)</f>
        <v>0</v>
      </c>
      <c r="K784" s="446">
        <f t="shared" si="5"/>
        <v>0</v>
      </c>
      <c r="L784" s="446">
        <f t="shared" si="6"/>
        <v>0</v>
      </c>
      <c r="M784" s="441">
        <f>IF(L784&lt;O784,MinPoints,IF(AND(L784&gt;N784,O784&gt;0),100,+INT(($L784-O784)/P784)+MinPoints))</f>
        <v>10</v>
      </c>
      <c r="N784" s="440">
        <f t="shared" si="7"/>
        <v>50</v>
      </c>
      <c r="O784" s="440">
        <f t="shared" si="8"/>
        <v>5</v>
      </c>
      <c r="P784" s="440">
        <f t="shared" si="9"/>
        <v>0.5</v>
      </c>
      <c r="Q784">
        <f t="array" ref="Q784">IF(I784&gt;0,INDEX(DB,I784,9),EventIndex)</f>
        <v>6</v>
      </c>
      <c r="S784" s="442">
        <f t="array" ref="S784">INDEX(MINVALUES,$Q784,$K$1)</f>
        <v>5</v>
      </c>
      <c r="T784">
        <f t="array" ref="T784">INDEX(INCVALUES,$Q784,$K$1)</f>
        <v>0.5</v>
      </c>
      <c r="V784">
        <f t="array" ref="V784">+J784+(4*(INDEX(MatchScoreTable,$Q784,20)-1))</f>
        <v>4</v>
      </c>
      <c r="W784" s="442">
        <f t="array" ref="W784">INDEX(INC_MINVALUES,$V784,$K$1)</f>
        <v>2.5</v>
      </c>
      <c r="X784" s="212">
        <f t="array" ref="X784">INDEX(INC_INCVALUES,$V784,$K$1)</f>
        <v>0.5</v>
      </c>
    </row>
    <row r="785" ht="15.75" customHeight="1">
      <c r="A785" s="435"/>
      <c r="B785" s="436"/>
      <c r="C785" s="95" t="str">
        <f t="array" ref="C785">IF(I785&gt;0,INDEX(DB,I785,8),"")</f>
        <v/>
      </c>
      <c r="D785" s="437">
        <f t="shared" si="1"/>
        <v>0</v>
      </c>
      <c r="F785" s="438">
        <f t="shared" si="2"/>
        <v>0</v>
      </c>
      <c r="G785" t="str">
        <f t="shared" si="3"/>
        <v/>
      </c>
      <c r="H785" t="b">
        <f t="shared" si="4"/>
        <v>0</v>
      </c>
      <c r="I785" s="439">
        <f>IF(OR(ISBLANK(A785),ISNA(MATCH(A785&amp;"",AthleteNumbers,0))),0,MATCH(A785&amp;"",AthleteNumbers,0))</f>
        <v>0</v>
      </c>
      <c r="J785" s="209">
        <f t="array" ref="J785">IF(I785&gt;0,INDEX(DB,$I785,6),0)</f>
        <v>0</v>
      </c>
      <c r="K785" s="446">
        <f t="shared" si="5"/>
        <v>0</v>
      </c>
      <c r="L785" s="446">
        <f t="shared" si="6"/>
        <v>0</v>
      </c>
      <c r="M785" s="441">
        <f>IF(L785&lt;O785,MinPoints,IF(AND(L785&gt;N785,O785&gt;0),100,+INT(($L785-O785)/P785)+MinPoints))</f>
        <v>10</v>
      </c>
      <c r="N785" s="440">
        <f t="shared" si="7"/>
        <v>50</v>
      </c>
      <c r="O785" s="440">
        <f t="shared" si="8"/>
        <v>5</v>
      </c>
      <c r="P785" s="440">
        <f t="shared" si="9"/>
        <v>0.5</v>
      </c>
      <c r="Q785">
        <f t="array" ref="Q785">IF(I785&gt;0,INDEX(DB,I785,9),EventIndex)</f>
        <v>6</v>
      </c>
      <c r="S785" s="442">
        <f t="array" ref="S785">INDEX(MINVALUES,$Q785,$K$1)</f>
        <v>5</v>
      </c>
      <c r="T785">
        <f t="array" ref="T785">INDEX(INCVALUES,$Q785,$K$1)</f>
        <v>0.5</v>
      </c>
      <c r="V785">
        <f t="array" ref="V785">+J785+(4*(INDEX(MatchScoreTable,$Q785,20)-1))</f>
        <v>4</v>
      </c>
      <c r="W785" s="442">
        <f t="array" ref="W785">INDEX(INC_MINVALUES,$V785,$K$1)</f>
        <v>2.5</v>
      </c>
      <c r="X785" s="212">
        <f t="array" ref="X785">INDEX(INC_INCVALUES,$V785,$K$1)</f>
        <v>0.5</v>
      </c>
    </row>
    <row r="786" ht="15.75" customHeight="1">
      <c r="A786" s="435"/>
      <c r="B786" s="436"/>
      <c r="C786" s="95" t="str">
        <f t="array" ref="C786">IF(I786&gt;0,INDEX(DB,I786,8),"")</f>
        <v/>
      </c>
      <c r="D786" s="437">
        <f t="shared" si="1"/>
        <v>0</v>
      </c>
      <c r="F786" s="438">
        <f t="shared" si="2"/>
        <v>0</v>
      </c>
      <c r="G786" t="str">
        <f t="shared" si="3"/>
        <v/>
      </c>
      <c r="H786" t="b">
        <f t="shared" si="4"/>
        <v>0</v>
      </c>
      <c r="I786" s="439">
        <f>IF(OR(ISBLANK(A786),ISNA(MATCH(A786&amp;"",AthleteNumbers,0))),0,MATCH(A786&amp;"",AthleteNumbers,0))</f>
        <v>0</v>
      </c>
      <c r="J786" s="209">
        <f t="array" ref="J786">IF(I786&gt;0,INDEX(DB,$I786,6),0)</f>
        <v>0</v>
      </c>
      <c r="K786" s="446">
        <f t="shared" si="5"/>
        <v>0</v>
      </c>
      <c r="L786" s="446">
        <f t="shared" si="6"/>
        <v>0</v>
      </c>
      <c r="M786" s="441">
        <f>IF(L786&lt;O786,MinPoints,IF(AND(L786&gt;N786,O786&gt;0),100,+INT(($L786-O786)/P786)+MinPoints))</f>
        <v>10</v>
      </c>
      <c r="N786" s="440">
        <f t="shared" si="7"/>
        <v>50</v>
      </c>
      <c r="O786" s="440">
        <f t="shared" si="8"/>
        <v>5</v>
      </c>
      <c r="P786" s="440">
        <f t="shared" si="9"/>
        <v>0.5</v>
      </c>
      <c r="Q786">
        <f t="array" ref="Q786">IF(I786&gt;0,INDEX(DB,I786,9),EventIndex)</f>
        <v>6</v>
      </c>
      <c r="S786" s="442">
        <f t="array" ref="S786">INDEX(MINVALUES,$Q786,$K$1)</f>
        <v>5</v>
      </c>
      <c r="T786">
        <f t="array" ref="T786">INDEX(INCVALUES,$Q786,$K$1)</f>
        <v>0.5</v>
      </c>
      <c r="V786">
        <f t="array" ref="V786">+J786+(4*(INDEX(MatchScoreTable,$Q786,20)-1))</f>
        <v>4</v>
      </c>
      <c r="W786" s="442">
        <f t="array" ref="W786">INDEX(INC_MINVALUES,$V786,$K$1)</f>
        <v>2.5</v>
      </c>
      <c r="X786" s="212">
        <f t="array" ref="X786">INDEX(INC_INCVALUES,$V786,$K$1)</f>
        <v>0.5</v>
      </c>
    </row>
    <row r="787" ht="15.75" customHeight="1">
      <c r="A787" s="435"/>
      <c r="B787" s="436"/>
      <c r="C787" s="95" t="str">
        <f t="array" ref="C787">IF(I787&gt;0,INDEX(DB,I787,8),"")</f>
        <v/>
      </c>
      <c r="D787" s="437">
        <f t="shared" si="1"/>
        <v>0</v>
      </c>
      <c r="F787" s="438">
        <f t="shared" si="2"/>
        <v>0</v>
      </c>
      <c r="G787" t="str">
        <f t="shared" si="3"/>
        <v/>
      </c>
      <c r="H787" t="b">
        <f t="shared" si="4"/>
        <v>0</v>
      </c>
      <c r="I787" s="439">
        <f>IF(OR(ISBLANK(A787),ISNA(MATCH(A787&amp;"",AthleteNumbers,0))),0,MATCH(A787&amp;"",AthleteNumbers,0))</f>
        <v>0</v>
      </c>
      <c r="J787" s="209">
        <f t="array" ref="J787">IF(I787&gt;0,INDEX(DB,$I787,6),0)</f>
        <v>0</v>
      </c>
      <c r="K787" s="446">
        <f t="shared" si="5"/>
        <v>0</v>
      </c>
      <c r="L787" s="446">
        <f t="shared" si="6"/>
        <v>0</v>
      </c>
      <c r="M787" s="441">
        <f>IF(L787&lt;O787,MinPoints,IF(AND(L787&gt;N787,O787&gt;0),100,+INT(($L787-O787)/P787)+MinPoints))</f>
        <v>10</v>
      </c>
      <c r="N787" s="440">
        <f t="shared" si="7"/>
        <v>50</v>
      </c>
      <c r="O787" s="440">
        <f t="shared" si="8"/>
        <v>5</v>
      </c>
      <c r="P787" s="440">
        <f t="shared" si="9"/>
        <v>0.5</v>
      </c>
      <c r="Q787">
        <f t="array" ref="Q787">IF(I787&gt;0,INDEX(DB,I787,9),EventIndex)</f>
        <v>6</v>
      </c>
      <c r="S787" s="442">
        <f t="array" ref="S787">INDEX(MINVALUES,$Q787,$K$1)</f>
        <v>5</v>
      </c>
      <c r="T787">
        <f t="array" ref="T787">INDEX(INCVALUES,$Q787,$K$1)</f>
        <v>0.5</v>
      </c>
      <c r="V787">
        <f t="array" ref="V787">+J787+(4*(INDEX(MatchScoreTable,$Q787,20)-1))</f>
        <v>4</v>
      </c>
      <c r="W787" s="442">
        <f t="array" ref="W787">INDEX(INC_MINVALUES,$V787,$K$1)</f>
        <v>2.5</v>
      </c>
      <c r="X787" s="212">
        <f t="array" ref="X787">INDEX(INC_INCVALUES,$V787,$K$1)</f>
        <v>0.5</v>
      </c>
    </row>
    <row r="788" ht="15.75" customHeight="1">
      <c r="A788" s="435"/>
      <c r="B788" s="436"/>
      <c r="C788" s="95" t="str">
        <f t="array" ref="C788">IF(I788&gt;0,INDEX(DB,I788,8),"")</f>
        <v/>
      </c>
      <c r="D788" s="437">
        <f t="shared" si="1"/>
        <v>0</v>
      </c>
      <c r="F788" s="438">
        <f t="shared" si="2"/>
        <v>0</v>
      </c>
      <c r="G788" t="str">
        <f t="shared" si="3"/>
        <v/>
      </c>
      <c r="H788" t="b">
        <f t="shared" si="4"/>
        <v>0</v>
      </c>
      <c r="I788" s="439">
        <f>IF(OR(ISBLANK(A788),ISNA(MATCH(A788&amp;"",AthleteNumbers,0))),0,MATCH(A788&amp;"",AthleteNumbers,0))</f>
        <v>0</v>
      </c>
      <c r="J788" s="209">
        <f t="array" ref="J788">IF(I788&gt;0,INDEX(DB,$I788,6),0)</f>
        <v>0</v>
      </c>
      <c r="K788" s="446">
        <f t="shared" si="5"/>
        <v>0</v>
      </c>
      <c r="L788" s="446">
        <f t="shared" si="6"/>
        <v>0</v>
      </c>
      <c r="M788" s="441">
        <f>IF(L788&lt;O788,MinPoints,IF(AND(L788&gt;N788,O788&gt;0),100,+INT(($L788-O788)/P788)+MinPoints))</f>
        <v>10</v>
      </c>
      <c r="N788" s="440">
        <f t="shared" si="7"/>
        <v>50</v>
      </c>
      <c r="O788" s="440">
        <f t="shared" si="8"/>
        <v>5</v>
      </c>
      <c r="P788" s="440">
        <f t="shared" si="9"/>
        <v>0.5</v>
      </c>
      <c r="Q788">
        <f t="array" ref="Q788">IF(I788&gt;0,INDEX(DB,I788,9),EventIndex)</f>
        <v>6</v>
      </c>
      <c r="S788" s="442">
        <f t="array" ref="S788">INDEX(MINVALUES,$Q788,$K$1)</f>
        <v>5</v>
      </c>
      <c r="T788">
        <f t="array" ref="T788">INDEX(INCVALUES,$Q788,$K$1)</f>
        <v>0.5</v>
      </c>
      <c r="V788">
        <f t="array" ref="V788">+J788+(4*(INDEX(MatchScoreTable,$Q788,20)-1))</f>
        <v>4</v>
      </c>
      <c r="W788" s="442">
        <f t="array" ref="W788">INDEX(INC_MINVALUES,$V788,$K$1)</f>
        <v>2.5</v>
      </c>
      <c r="X788" s="212">
        <f t="array" ref="X788">INDEX(INC_INCVALUES,$V788,$K$1)</f>
        <v>0.5</v>
      </c>
    </row>
    <row r="789" ht="15.75" customHeight="1">
      <c r="A789" s="435"/>
      <c r="B789" s="436"/>
      <c r="C789" s="95" t="str">
        <f t="array" ref="C789">IF(I789&gt;0,INDEX(DB,I789,8),"")</f>
        <v/>
      </c>
      <c r="D789" s="437">
        <f t="shared" si="1"/>
        <v>0</v>
      </c>
      <c r="F789" s="438">
        <f t="shared" si="2"/>
        <v>0</v>
      </c>
      <c r="G789" t="str">
        <f t="shared" si="3"/>
        <v/>
      </c>
      <c r="H789" t="b">
        <f t="shared" si="4"/>
        <v>0</v>
      </c>
      <c r="I789" s="439">
        <f>IF(OR(ISBLANK(A789),ISNA(MATCH(A789&amp;"",AthleteNumbers,0))),0,MATCH(A789&amp;"",AthleteNumbers,0))</f>
        <v>0</v>
      </c>
      <c r="J789" s="209">
        <f t="array" ref="J789">IF(I789&gt;0,INDEX(DB,$I789,6),0)</f>
        <v>0</v>
      </c>
      <c r="K789" s="446">
        <f t="shared" si="5"/>
        <v>0</v>
      </c>
      <c r="L789" s="446">
        <f t="shared" si="6"/>
        <v>0</v>
      </c>
      <c r="M789" s="441">
        <f>IF(L789&lt;O789,MinPoints,IF(AND(L789&gt;N789,O789&gt;0),100,+INT(($L789-O789)/P789)+MinPoints))</f>
        <v>10</v>
      </c>
      <c r="N789" s="440">
        <f t="shared" si="7"/>
        <v>50</v>
      </c>
      <c r="O789" s="440">
        <f t="shared" si="8"/>
        <v>5</v>
      </c>
      <c r="P789" s="440">
        <f t="shared" si="9"/>
        <v>0.5</v>
      </c>
      <c r="Q789">
        <f t="array" ref="Q789">IF(I789&gt;0,INDEX(DB,I789,9),EventIndex)</f>
        <v>6</v>
      </c>
      <c r="S789" s="442">
        <f t="array" ref="S789">INDEX(MINVALUES,$Q789,$K$1)</f>
        <v>5</v>
      </c>
      <c r="T789">
        <f t="array" ref="T789">INDEX(INCVALUES,$Q789,$K$1)</f>
        <v>0.5</v>
      </c>
      <c r="V789">
        <f t="array" ref="V789">+J789+(4*(INDEX(MatchScoreTable,$Q789,20)-1))</f>
        <v>4</v>
      </c>
      <c r="W789" s="442">
        <f t="array" ref="W789">INDEX(INC_MINVALUES,$V789,$K$1)</f>
        <v>2.5</v>
      </c>
      <c r="X789" s="212">
        <f t="array" ref="X789">INDEX(INC_INCVALUES,$V789,$K$1)</f>
        <v>0.5</v>
      </c>
    </row>
    <row r="790" ht="15.75" customHeight="1">
      <c r="A790" s="435"/>
      <c r="B790" s="436"/>
      <c r="C790" s="95" t="str">
        <f t="array" ref="C790">IF(I790&gt;0,INDEX(DB,I790,8),"")</f>
        <v/>
      </c>
      <c r="D790" s="437">
        <f t="shared" si="1"/>
        <v>0</v>
      </c>
      <c r="F790" s="438">
        <f t="shared" si="2"/>
        <v>0</v>
      </c>
      <c r="G790" t="str">
        <f t="shared" si="3"/>
        <v/>
      </c>
      <c r="H790" t="b">
        <f t="shared" si="4"/>
        <v>0</v>
      </c>
      <c r="I790" s="439">
        <f>IF(OR(ISBLANK(A790),ISNA(MATCH(A790&amp;"",AthleteNumbers,0))),0,MATCH(A790&amp;"",AthleteNumbers,0))</f>
        <v>0</v>
      </c>
      <c r="J790" s="209">
        <f t="array" ref="J790">IF(I790&gt;0,INDEX(DB,$I790,6),0)</f>
        <v>0</v>
      </c>
      <c r="K790" s="446">
        <f t="shared" si="5"/>
        <v>0</v>
      </c>
      <c r="L790" s="446">
        <f t="shared" si="6"/>
        <v>0</v>
      </c>
      <c r="M790" s="441">
        <f>IF(L790&lt;O790,MinPoints,IF(AND(L790&gt;N790,O790&gt;0),100,+INT(($L790-O790)/P790)+MinPoints))</f>
        <v>10</v>
      </c>
      <c r="N790" s="440">
        <f t="shared" si="7"/>
        <v>50</v>
      </c>
      <c r="O790" s="440">
        <f t="shared" si="8"/>
        <v>5</v>
      </c>
      <c r="P790" s="440">
        <f t="shared" si="9"/>
        <v>0.5</v>
      </c>
      <c r="Q790">
        <f t="array" ref="Q790">IF(I790&gt;0,INDEX(DB,I790,9),EventIndex)</f>
        <v>6</v>
      </c>
      <c r="S790" s="442">
        <f t="array" ref="S790">INDEX(MINVALUES,$Q790,$K$1)</f>
        <v>5</v>
      </c>
      <c r="T790">
        <f t="array" ref="T790">INDEX(INCVALUES,$Q790,$K$1)</f>
        <v>0.5</v>
      </c>
      <c r="V790">
        <f t="array" ref="V790">+J790+(4*(INDEX(MatchScoreTable,$Q790,20)-1))</f>
        <v>4</v>
      </c>
      <c r="W790" s="442">
        <f t="array" ref="W790">INDEX(INC_MINVALUES,$V790,$K$1)</f>
        <v>2.5</v>
      </c>
      <c r="X790" s="212">
        <f t="array" ref="X790">INDEX(INC_INCVALUES,$V790,$K$1)</f>
        <v>0.5</v>
      </c>
    </row>
    <row r="791" ht="15.75" customHeight="1">
      <c r="A791" s="435"/>
      <c r="B791" s="436"/>
      <c r="C791" s="95" t="str">
        <f t="array" ref="C791">IF(I791&gt;0,INDEX(DB,I791,8),"")</f>
        <v/>
      </c>
      <c r="D791" s="437">
        <f t="shared" si="1"/>
        <v>0</v>
      </c>
      <c r="F791" s="438">
        <f t="shared" si="2"/>
        <v>0</v>
      </c>
      <c r="G791" t="str">
        <f t="shared" si="3"/>
        <v/>
      </c>
      <c r="H791" t="b">
        <f t="shared" si="4"/>
        <v>0</v>
      </c>
      <c r="I791" s="439">
        <f>IF(OR(ISBLANK(A791),ISNA(MATCH(A791&amp;"",AthleteNumbers,0))),0,MATCH(A791&amp;"",AthleteNumbers,0))</f>
        <v>0</v>
      </c>
      <c r="J791" s="209">
        <f t="array" ref="J791">IF(I791&gt;0,INDEX(DB,$I791,6),0)</f>
        <v>0</v>
      </c>
      <c r="K791" s="446">
        <f t="shared" si="5"/>
        <v>0</v>
      </c>
      <c r="L791" s="446">
        <f t="shared" si="6"/>
        <v>0</v>
      </c>
      <c r="M791" s="441">
        <f>IF(L791&lt;O791,MinPoints,IF(AND(L791&gt;N791,O791&gt;0),100,+INT(($L791-O791)/P791)+MinPoints))</f>
        <v>10</v>
      </c>
      <c r="N791" s="440">
        <f t="shared" si="7"/>
        <v>50</v>
      </c>
      <c r="O791" s="440">
        <f t="shared" si="8"/>
        <v>5</v>
      </c>
      <c r="P791" s="440">
        <f t="shared" si="9"/>
        <v>0.5</v>
      </c>
      <c r="Q791">
        <f t="array" ref="Q791">IF(I791&gt;0,INDEX(DB,I791,9),EventIndex)</f>
        <v>6</v>
      </c>
      <c r="S791" s="442">
        <f t="array" ref="S791">INDEX(MINVALUES,$Q791,$K$1)</f>
        <v>5</v>
      </c>
      <c r="T791">
        <f t="array" ref="T791">INDEX(INCVALUES,$Q791,$K$1)</f>
        <v>0.5</v>
      </c>
      <c r="V791">
        <f t="array" ref="V791">+J791+(4*(INDEX(MatchScoreTable,$Q791,20)-1))</f>
        <v>4</v>
      </c>
      <c r="W791" s="442">
        <f t="array" ref="W791">INDEX(INC_MINVALUES,$V791,$K$1)</f>
        <v>2.5</v>
      </c>
      <c r="X791" s="212">
        <f t="array" ref="X791">INDEX(INC_INCVALUES,$V791,$K$1)</f>
        <v>0.5</v>
      </c>
    </row>
    <row r="792" ht="15.75" customHeight="1">
      <c r="A792" s="435"/>
      <c r="B792" s="436"/>
      <c r="C792" s="95" t="str">
        <f t="array" ref="C792">IF(I792&gt;0,INDEX(DB,I792,8),"")</f>
        <v/>
      </c>
      <c r="D792" s="437">
        <f t="shared" si="1"/>
        <v>0</v>
      </c>
      <c r="F792" s="438">
        <f t="shared" si="2"/>
        <v>0</v>
      </c>
      <c r="G792" t="str">
        <f t="shared" si="3"/>
        <v/>
      </c>
      <c r="H792" t="b">
        <f t="shared" si="4"/>
        <v>0</v>
      </c>
      <c r="I792" s="439">
        <f>IF(OR(ISBLANK(A792),ISNA(MATCH(A792&amp;"",AthleteNumbers,0))),0,MATCH(A792&amp;"",AthleteNumbers,0))</f>
        <v>0</v>
      </c>
      <c r="J792" s="209">
        <f t="array" ref="J792">IF(I792&gt;0,INDEX(DB,$I792,6),0)</f>
        <v>0</v>
      </c>
      <c r="K792" s="446">
        <f t="shared" si="5"/>
        <v>0</v>
      </c>
      <c r="L792" s="446">
        <f t="shared" si="6"/>
        <v>0</v>
      </c>
      <c r="M792" s="441">
        <f>IF(L792&lt;O792,MinPoints,IF(AND(L792&gt;N792,O792&gt;0),100,+INT(($L792-O792)/P792)+MinPoints))</f>
        <v>10</v>
      </c>
      <c r="N792" s="440">
        <f t="shared" si="7"/>
        <v>50</v>
      </c>
      <c r="O792" s="440">
        <f t="shared" si="8"/>
        <v>5</v>
      </c>
      <c r="P792" s="440">
        <f t="shared" si="9"/>
        <v>0.5</v>
      </c>
      <c r="Q792">
        <f t="array" ref="Q792">IF(I792&gt;0,INDEX(DB,I792,9),EventIndex)</f>
        <v>6</v>
      </c>
      <c r="S792" s="442">
        <f t="array" ref="S792">INDEX(MINVALUES,$Q792,$K$1)</f>
        <v>5</v>
      </c>
      <c r="T792">
        <f t="array" ref="T792">INDEX(INCVALUES,$Q792,$K$1)</f>
        <v>0.5</v>
      </c>
      <c r="V792">
        <f t="array" ref="V792">+J792+(4*(INDEX(MatchScoreTable,$Q792,20)-1))</f>
        <v>4</v>
      </c>
      <c r="W792" s="442">
        <f t="array" ref="W792">INDEX(INC_MINVALUES,$V792,$K$1)</f>
        <v>2.5</v>
      </c>
      <c r="X792" s="212">
        <f t="array" ref="X792">INDEX(INC_INCVALUES,$V792,$K$1)</f>
        <v>0.5</v>
      </c>
    </row>
    <row r="793" ht="15.75" customHeight="1">
      <c r="A793" s="435"/>
      <c r="B793" s="436"/>
      <c r="C793" s="95" t="str">
        <f t="array" ref="C793">IF(I793&gt;0,INDEX(DB,I793,8),"")</f>
        <v/>
      </c>
      <c r="D793" s="437">
        <f t="shared" si="1"/>
        <v>0</v>
      </c>
      <c r="F793" s="438">
        <f t="shared" si="2"/>
        <v>0</v>
      </c>
      <c r="G793" t="str">
        <f t="shared" si="3"/>
        <v/>
      </c>
      <c r="H793" t="b">
        <f t="shared" si="4"/>
        <v>0</v>
      </c>
      <c r="I793" s="439">
        <f>IF(OR(ISBLANK(A793),ISNA(MATCH(A793&amp;"",AthleteNumbers,0))),0,MATCH(A793&amp;"",AthleteNumbers,0))</f>
        <v>0</v>
      </c>
      <c r="J793" s="209">
        <f t="array" ref="J793">IF(I793&gt;0,INDEX(DB,$I793,6),0)</f>
        <v>0</v>
      </c>
      <c r="K793" s="446">
        <f t="shared" si="5"/>
        <v>0</v>
      </c>
      <c r="L793" s="446">
        <f t="shared" si="6"/>
        <v>0</v>
      </c>
      <c r="M793" s="441">
        <f>IF(L793&lt;O793,MinPoints,IF(AND(L793&gt;N793,O793&gt;0),100,+INT(($L793-O793)/P793)+MinPoints))</f>
        <v>10</v>
      </c>
      <c r="N793" s="440">
        <f t="shared" si="7"/>
        <v>50</v>
      </c>
      <c r="O793" s="440">
        <f t="shared" si="8"/>
        <v>5</v>
      </c>
      <c r="P793" s="440">
        <f t="shared" si="9"/>
        <v>0.5</v>
      </c>
      <c r="Q793">
        <f t="array" ref="Q793">IF(I793&gt;0,INDEX(DB,I793,9),EventIndex)</f>
        <v>6</v>
      </c>
      <c r="S793" s="442">
        <f t="array" ref="S793">INDEX(MINVALUES,$Q793,$K$1)</f>
        <v>5</v>
      </c>
      <c r="T793">
        <f t="array" ref="T793">INDEX(INCVALUES,$Q793,$K$1)</f>
        <v>0.5</v>
      </c>
      <c r="V793">
        <f t="array" ref="V793">+J793+(4*(INDEX(MatchScoreTable,$Q793,20)-1))</f>
        <v>4</v>
      </c>
      <c r="W793" s="442">
        <f t="array" ref="W793">INDEX(INC_MINVALUES,$V793,$K$1)</f>
        <v>2.5</v>
      </c>
      <c r="X793" s="212">
        <f t="array" ref="X793">INDEX(INC_INCVALUES,$V793,$K$1)</f>
        <v>0.5</v>
      </c>
    </row>
    <row r="794" ht="15.75" customHeight="1">
      <c r="A794" s="435"/>
      <c r="B794" s="436"/>
      <c r="C794" s="95" t="str">
        <f t="array" ref="C794">IF(I794&gt;0,INDEX(DB,I794,8),"")</f>
        <v/>
      </c>
      <c r="D794" s="437">
        <f t="shared" si="1"/>
        <v>0</v>
      </c>
      <c r="F794" s="438">
        <f t="shared" si="2"/>
        <v>0</v>
      </c>
      <c r="G794" t="str">
        <f t="shared" si="3"/>
        <v/>
      </c>
      <c r="H794" t="b">
        <f t="shared" si="4"/>
        <v>0</v>
      </c>
      <c r="I794" s="439">
        <f>IF(OR(ISBLANK(A794),ISNA(MATCH(A794&amp;"",AthleteNumbers,0))),0,MATCH(A794&amp;"",AthleteNumbers,0))</f>
        <v>0</v>
      </c>
      <c r="J794" s="209">
        <f t="array" ref="J794">IF(I794&gt;0,INDEX(DB,$I794,6),0)</f>
        <v>0</v>
      </c>
      <c r="K794" s="446">
        <f t="shared" si="5"/>
        <v>0</v>
      </c>
      <c r="L794" s="446">
        <f t="shared" si="6"/>
        <v>0</v>
      </c>
      <c r="M794" s="441">
        <f>IF(L794&lt;O794,MinPoints,IF(AND(L794&gt;N794,O794&gt;0),100,+INT(($L794-O794)/P794)+MinPoints))</f>
        <v>10</v>
      </c>
      <c r="N794" s="440">
        <f t="shared" si="7"/>
        <v>50</v>
      </c>
      <c r="O794" s="440">
        <f t="shared" si="8"/>
        <v>5</v>
      </c>
      <c r="P794" s="440">
        <f t="shared" si="9"/>
        <v>0.5</v>
      </c>
      <c r="Q794">
        <f t="array" ref="Q794">IF(I794&gt;0,INDEX(DB,I794,9),EventIndex)</f>
        <v>6</v>
      </c>
      <c r="S794" s="442">
        <f t="array" ref="S794">INDEX(MINVALUES,$Q794,$K$1)</f>
        <v>5</v>
      </c>
      <c r="T794">
        <f t="array" ref="T794">INDEX(INCVALUES,$Q794,$K$1)</f>
        <v>0.5</v>
      </c>
      <c r="V794">
        <f t="array" ref="V794">+J794+(4*(INDEX(MatchScoreTable,$Q794,20)-1))</f>
        <v>4</v>
      </c>
      <c r="W794" s="442">
        <f t="array" ref="W794">INDEX(INC_MINVALUES,$V794,$K$1)</f>
        <v>2.5</v>
      </c>
      <c r="X794" s="212">
        <f t="array" ref="X794">INDEX(INC_INCVALUES,$V794,$K$1)</f>
        <v>0.5</v>
      </c>
    </row>
    <row r="795" ht="15.75" customHeight="1">
      <c r="A795" s="435"/>
      <c r="B795" s="436"/>
      <c r="C795" s="95" t="str">
        <f t="array" ref="C795">IF(I795&gt;0,INDEX(DB,I795,8),"")</f>
        <v/>
      </c>
      <c r="D795" s="437">
        <f t="shared" si="1"/>
        <v>0</v>
      </c>
      <c r="F795" s="438">
        <f t="shared" si="2"/>
        <v>0</v>
      </c>
      <c r="G795" t="str">
        <f t="shared" si="3"/>
        <v/>
      </c>
      <c r="H795" t="b">
        <f t="shared" si="4"/>
        <v>0</v>
      </c>
      <c r="I795" s="439">
        <f>IF(OR(ISBLANK(A795),ISNA(MATCH(A795&amp;"",AthleteNumbers,0))),0,MATCH(A795&amp;"",AthleteNumbers,0))</f>
        <v>0</v>
      </c>
      <c r="J795" s="209">
        <f t="array" ref="J795">IF(I795&gt;0,INDEX(DB,$I795,6),0)</f>
        <v>0</v>
      </c>
      <c r="K795" s="446">
        <f t="shared" si="5"/>
        <v>0</v>
      </c>
      <c r="L795" s="446">
        <f t="shared" si="6"/>
        <v>0</v>
      </c>
      <c r="M795" s="441">
        <f>IF(L795&lt;O795,MinPoints,IF(AND(L795&gt;N795,O795&gt;0),100,+INT(($L795-O795)/P795)+MinPoints))</f>
        <v>10</v>
      </c>
      <c r="N795" s="440">
        <f t="shared" si="7"/>
        <v>50</v>
      </c>
      <c r="O795" s="440">
        <f t="shared" si="8"/>
        <v>5</v>
      </c>
      <c r="P795" s="440">
        <f t="shared" si="9"/>
        <v>0.5</v>
      </c>
      <c r="Q795">
        <f t="array" ref="Q795">IF(I795&gt;0,INDEX(DB,I795,9),EventIndex)</f>
        <v>6</v>
      </c>
      <c r="S795" s="442">
        <f t="array" ref="S795">INDEX(MINVALUES,$Q795,$K$1)</f>
        <v>5</v>
      </c>
      <c r="T795">
        <f t="array" ref="T795">INDEX(INCVALUES,$Q795,$K$1)</f>
        <v>0.5</v>
      </c>
      <c r="V795">
        <f t="array" ref="V795">+J795+(4*(INDEX(MatchScoreTable,$Q795,20)-1))</f>
        <v>4</v>
      </c>
      <c r="W795" s="442">
        <f t="array" ref="W795">INDEX(INC_MINVALUES,$V795,$K$1)</f>
        <v>2.5</v>
      </c>
      <c r="X795" s="212">
        <f t="array" ref="X795">INDEX(INC_INCVALUES,$V795,$K$1)</f>
        <v>0.5</v>
      </c>
    </row>
    <row r="796" ht="15.75" customHeight="1">
      <c r="A796" s="435"/>
      <c r="B796" s="436"/>
      <c r="C796" s="95" t="str">
        <f t="array" ref="C796">IF(I796&gt;0,INDEX(DB,I796,8),"")</f>
        <v/>
      </c>
      <c r="D796" s="437">
        <f t="shared" si="1"/>
        <v>0</v>
      </c>
      <c r="F796" s="438">
        <f t="shared" si="2"/>
        <v>0</v>
      </c>
      <c r="G796" t="str">
        <f t="shared" si="3"/>
        <v/>
      </c>
      <c r="H796" t="b">
        <f t="shared" si="4"/>
        <v>0</v>
      </c>
      <c r="I796" s="439">
        <f>IF(OR(ISBLANK(A796),ISNA(MATCH(A796&amp;"",AthleteNumbers,0))),0,MATCH(A796&amp;"",AthleteNumbers,0))</f>
        <v>0</v>
      </c>
      <c r="J796" s="209">
        <f t="array" ref="J796">IF(I796&gt;0,INDEX(DB,$I796,6),0)</f>
        <v>0</v>
      </c>
      <c r="K796" s="446">
        <f t="shared" si="5"/>
        <v>0</v>
      </c>
      <c r="L796" s="446">
        <f t="shared" si="6"/>
        <v>0</v>
      </c>
      <c r="M796" s="441">
        <f>IF(L796&lt;O796,MinPoints,IF(AND(L796&gt;N796,O796&gt;0),100,+INT(($L796-O796)/P796)+MinPoints))</f>
        <v>10</v>
      </c>
      <c r="N796" s="440">
        <f t="shared" si="7"/>
        <v>50</v>
      </c>
      <c r="O796" s="440">
        <f t="shared" si="8"/>
        <v>5</v>
      </c>
      <c r="P796" s="440">
        <f t="shared" si="9"/>
        <v>0.5</v>
      </c>
      <c r="Q796">
        <f t="array" ref="Q796">IF(I796&gt;0,INDEX(DB,I796,9),EventIndex)</f>
        <v>6</v>
      </c>
      <c r="S796" s="442">
        <f t="array" ref="S796">INDEX(MINVALUES,$Q796,$K$1)</f>
        <v>5</v>
      </c>
      <c r="T796">
        <f t="array" ref="T796">INDEX(INCVALUES,$Q796,$K$1)</f>
        <v>0.5</v>
      </c>
      <c r="V796">
        <f t="array" ref="V796">+J796+(4*(INDEX(MatchScoreTable,$Q796,20)-1))</f>
        <v>4</v>
      </c>
      <c r="W796" s="442">
        <f t="array" ref="W796">INDEX(INC_MINVALUES,$V796,$K$1)</f>
        <v>2.5</v>
      </c>
      <c r="X796" s="212">
        <f t="array" ref="X796">INDEX(INC_INCVALUES,$V796,$K$1)</f>
        <v>0.5</v>
      </c>
    </row>
    <row r="797" ht="15.75" customHeight="1">
      <c r="A797" s="435"/>
      <c r="B797" s="436"/>
      <c r="C797" s="95" t="str">
        <f t="array" ref="C797">IF(I797&gt;0,INDEX(DB,I797,8),"")</f>
        <v/>
      </c>
      <c r="D797" s="437">
        <f t="shared" si="1"/>
        <v>0</v>
      </c>
      <c r="F797" s="438">
        <f t="shared" si="2"/>
        <v>0</v>
      </c>
      <c r="G797" t="str">
        <f t="shared" si="3"/>
        <v/>
      </c>
      <c r="H797" t="b">
        <f t="shared" si="4"/>
        <v>0</v>
      </c>
      <c r="I797" s="439">
        <f>IF(OR(ISBLANK(A797),ISNA(MATCH(A797&amp;"",AthleteNumbers,0))),0,MATCH(A797&amp;"",AthleteNumbers,0))</f>
        <v>0</v>
      </c>
      <c r="J797" s="209">
        <f t="array" ref="J797">IF(I797&gt;0,INDEX(DB,$I797,6),0)</f>
        <v>0</v>
      </c>
      <c r="K797" s="446">
        <f t="shared" si="5"/>
        <v>0</v>
      </c>
      <c r="L797" s="446">
        <f t="shared" si="6"/>
        <v>0</v>
      </c>
      <c r="M797" s="441">
        <f>IF(L797&lt;O797,MinPoints,IF(AND(L797&gt;N797,O797&gt;0),100,+INT(($L797-O797)/P797)+MinPoints))</f>
        <v>10</v>
      </c>
      <c r="N797" s="440">
        <f t="shared" si="7"/>
        <v>50</v>
      </c>
      <c r="O797" s="440">
        <f t="shared" si="8"/>
        <v>5</v>
      </c>
      <c r="P797" s="440">
        <f t="shared" si="9"/>
        <v>0.5</v>
      </c>
      <c r="Q797">
        <f t="array" ref="Q797">IF(I797&gt;0,INDEX(DB,I797,9),EventIndex)</f>
        <v>6</v>
      </c>
      <c r="S797" s="442">
        <f t="array" ref="S797">INDEX(MINVALUES,$Q797,$K$1)</f>
        <v>5</v>
      </c>
      <c r="T797">
        <f t="array" ref="T797">INDEX(INCVALUES,$Q797,$K$1)</f>
        <v>0.5</v>
      </c>
      <c r="V797">
        <f t="array" ref="V797">+J797+(4*(INDEX(MatchScoreTable,$Q797,20)-1))</f>
        <v>4</v>
      </c>
      <c r="W797" s="442">
        <f t="array" ref="W797">INDEX(INC_MINVALUES,$V797,$K$1)</f>
        <v>2.5</v>
      </c>
      <c r="X797" s="212">
        <f t="array" ref="X797">INDEX(INC_INCVALUES,$V797,$K$1)</f>
        <v>0.5</v>
      </c>
    </row>
    <row r="798" ht="15.75" customHeight="1">
      <c r="A798" s="435"/>
      <c r="B798" s="436"/>
      <c r="C798" s="95" t="str">
        <f t="array" ref="C798">IF(I798&gt;0,INDEX(DB,I798,8),"")</f>
        <v/>
      </c>
      <c r="D798" s="437">
        <f t="shared" si="1"/>
        <v>0</v>
      </c>
      <c r="F798" s="438">
        <f t="shared" si="2"/>
        <v>0</v>
      </c>
      <c r="G798" t="str">
        <f t="shared" si="3"/>
        <v/>
      </c>
      <c r="H798" t="b">
        <f t="shared" si="4"/>
        <v>0</v>
      </c>
      <c r="I798" s="439">
        <f>IF(OR(ISBLANK(A798),ISNA(MATCH(A798&amp;"",AthleteNumbers,0))),0,MATCH(A798&amp;"",AthleteNumbers,0))</f>
        <v>0</v>
      </c>
      <c r="J798" s="209">
        <f t="array" ref="J798">IF(I798&gt;0,INDEX(DB,$I798,6),0)</f>
        <v>0</v>
      </c>
      <c r="K798" s="446">
        <f t="shared" si="5"/>
        <v>0</v>
      </c>
      <c r="L798" s="446">
        <f t="shared" si="6"/>
        <v>0</v>
      </c>
      <c r="M798" s="441">
        <f>IF(L798&lt;O798,MinPoints,IF(AND(L798&gt;N798,O798&gt;0),100,+INT(($L798-O798)/P798)+MinPoints))</f>
        <v>10</v>
      </c>
      <c r="N798" s="440">
        <f t="shared" si="7"/>
        <v>50</v>
      </c>
      <c r="O798" s="440">
        <f t="shared" si="8"/>
        <v>5</v>
      </c>
      <c r="P798" s="440">
        <f t="shared" si="9"/>
        <v>0.5</v>
      </c>
      <c r="Q798">
        <f t="array" ref="Q798">IF(I798&gt;0,INDEX(DB,I798,9),EventIndex)</f>
        <v>6</v>
      </c>
      <c r="S798" s="442">
        <f t="array" ref="S798">INDEX(MINVALUES,$Q798,$K$1)</f>
        <v>5</v>
      </c>
      <c r="T798">
        <f t="array" ref="T798">INDEX(INCVALUES,$Q798,$K$1)</f>
        <v>0.5</v>
      </c>
      <c r="V798">
        <f t="array" ref="V798">+J798+(4*(INDEX(MatchScoreTable,$Q798,20)-1))</f>
        <v>4</v>
      </c>
      <c r="W798" s="442">
        <f t="array" ref="W798">INDEX(INC_MINVALUES,$V798,$K$1)</f>
        <v>2.5</v>
      </c>
      <c r="X798" s="212">
        <f t="array" ref="X798">INDEX(INC_INCVALUES,$V798,$K$1)</f>
        <v>0.5</v>
      </c>
    </row>
    <row r="799" ht="15.75" customHeight="1">
      <c r="A799" s="435"/>
      <c r="B799" s="436"/>
      <c r="C799" s="95" t="str">
        <f t="array" ref="C799">IF(I799&gt;0,INDEX(DB,I799,8),"")</f>
        <v/>
      </c>
      <c r="D799" s="437">
        <f t="shared" si="1"/>
        <v>0</v>
      </c>
      <c r="F799" s="438">
        <f t="shared" si="2"/>
        <v>0</v>
      </c>
      <c r="G799" t="str">
        <f t="shared" si="3"/>
        <v/>
      </c>
      <c r="H799" t="b">
        <f t="shared" si="4"/>
        <v>0</v>
      </c>
      <c r="I799" s="439">
        <f>IF(OR(ISBLANK(A799),ISNA(MATCH(A799&amp;"",AthleteNumbers,0))),0,MATCH(A799&amp;"",AthleteNumbers,0))</f>
        <v>0</v>
      </c>
      <c r="J799" s="209">
        <f t="array" ref="J799">IF(I799&gt;0,INDEX(DB,$I799,6),0)</f>
        <v>0</v>
      </c>
      <c r="K799" s="446">
        <f t="shared" si="5"/>
        <v>0</v>
      </c>
      <c r="L799" s="446">
        <f t="shared" si="6"/>
        <v>0</v>
      </c>
      <c r="M799" s="441">
        <f>IF(L799&lt;O799,MinPoints,IF(AND(L799&gt;N799,O799&gt;0),100,+INT(($L799-O799)/P799)+MinPoints))</f>
        <v>10</v>
      </c>
      <c r="N799" s="440">
        <f t="shared" si="7"/>
        <v>50</v>
      </c>
      <c r="O799" s="440">
        <f t="shared" si="8"/>
        <v>5</v>
      </c>
      <c r="P799" s="440">
        <f t="shared" si="9"/>
        <v>0.5</v>
      </c>
      <c r="Q799">
        <f t="array" ref="Q799">IF(I799&gt;0,INDEX(DB,I799,9),EventIndex)</f>
        <v>6</v>
      </c>
      <c r="S799" s="442">
        <f t="array" ref="S799">INDEX(MINVALUES,$Q799,$K$1)</f>
        <v>5</v>
      </c>
      <c r="T799">
        <f t="array" ref="T799">INDEX(INCVALUES,$Q799,$K$1)</f>
        <v>0.5</v>
      </c>
      <c r="V799">
        <f t="array" ref="V799">+J799+(4*(INDEX(MatchScoreTable,$Q799,20)-1))</f>
        <v>4</v>
      </c>
      <c r="W799" s="442">
        <f t="array" ref="W799">INDEX(INC_MINVALUES,$V799,$K$1)</f>
        <v>2.5</v>
      </c>
      <c r="X799" s="212">
        <f t="array" ref="X799">INDEX(INC_INCVALUES,$V799,$K$1)</f>
        <v>0.5</v>
      </c>
    </row>
    <row r="800" ht="15.75" customHeight="1">
      <c r="A800" s="435"/>
      <c r="B800" s="436"/>
      <c r="C800" s="95" t="str">
        <f t="array" ref="C800">IF(I800&gt;0,INDEX(DB,I800,8),"")</f>
        <v/>
      </c>
      <c r="D800" s="437">
        <f t="shared" si="1"/>
        <v>0</v>
      </c>
      <c r="F800" s="438">
        <f t="shared" si="2"/>
        <v>0</v>
      </c>
      <c r="G800" t="str">
        <f t="shared" si="3"/>
        <v/>
      </c>
      <c r="H800" t="b">
        <f t="shared" si="4"/>
        <v>0</v>
      </c>
      <c r="I800" s="439">
        <f>IF(OR(ISBLANK(A800),ISNA(MATCH(A800&amp;"",AthleteNumbers,0))),0,MATCH(A800&amp;"",AthleteNumbers,0))</f>
        <v>0</v>
      </c>
      <c r="J800" s="209">
        <f t="array" ref="J800">IF(I800&gt;0,INDEX(DB,$I800,6),0)</f>
        <v>0</v>
      </c>
      <c r="K800" s="446">
        <f t="shared" si="5"/>
        <v>0</v>
      </c>
      <c r="L800" s="446">
        <f t="shared" si="6"/>
        <v>0</v>
      </c>
      <c r="M800" s="441">
        <f>IF(L800&lt;O800,MinPoints,IF(AND(L800&gt;N800,O800&gt;0),100,+INT(($L800-O800)/P800)+MinPoints))</f>
        <v>10</v>
      </c>
      <c r="N800" s="440">
        <f t="shared" si="7"/>
        <v>50</v>
      </c>
      <c r="O800" s="440">
        <f t="shared" si="8"/>
        <v>5</v>
      </c>
      <c r="P800" s="440">
        <f t="shared" si="9"/>
        <v>0.5</v>
      </c>
      <c r="Q800">
        <f t="array" ref="Q800">IF(I800&gt;0,INDEX(DB,I800,9),EventIndex)</f>
        <v>6</v>
      </c>
      <c r="S800" s="442">
        <f t="array" ref="S800">INDEX(MINVALUES,$Q800,$K$1)</f>
        <v>5</v>
      </c>
      <c r="T800">
        <f t="array" ref="T800">INDEX(INCVALUES,$Q800,$K$1)</f>
        <v>0.5</v>
      </c>
      <c r="V800">
        <f t="array" ref="V800">+J800+(4*(INDEX(MatchScoreTable,$Q800,20)-1))</f>
        <v>4</v>
      </c>
      <c r="W800" s="442">
        <f t="array" ref="W800">INDEX(INC_MINVALUES,$V800,$K$1)</f>
        <v>2.5</v>
      </c>
      <c r="X800" s="212">
        <f t="array" ref="X800">INDEX(INC_INCVALUES,$V800,$K$1)</f>
        <v>0.5</v>
      </c>
    </row>
    <row r="801" ht="15.75" customHeight="1">
      <c r="A801" s="435"/>
      <c r="B801" s="436"/>
      <c r="C801" s="95" t="str">
        <f t="array" ref="C801">IF(I801&gt;0,INDEX(DB,I801,8),"")</f>
        <v/>
      </c>
      <c r="D801" s="437">
        <f t="shared" si="1"/>
        <v>0</v>
      </c>
      <c r="F801" s="438">
        <f t="shared" si="2"/>
        <v>0</v>
      </c>
      <c r="G801" t="str">
        <f t="shared" si="3"/>
        <v/>
      </c>
      <c r="H801" t="b">
        <f t="shared" si="4"/>
        <v>0</v>
      </c>
      <c r="I801" s="439">
        <f>IF(OR(ISBLANK(A801),ISNA(MATCH(A801&amp;"",AthleteNumbers,0))),0,MATCH(A801&amp;"",AthleteNumbers,0))</f>
        <v>0</v>
      </c>
      <c r="J801" s="209">
        <f t="array" ref="J801">IF(I801&gt;0,INDEX(DB,$I801,6),0)</f>
        <v>0</v>
      </c>
      <c r="K801" s="446">
        <f t="shared" si="5"/>
        <v>0</v>
      </c>
      <c r="L801" s="446">
        <f t="shared" si="6"/>
        <v>0</v>
      </c>
      <c r="M801" s="441">
        <f>IF(L801&lt;O801,MinPoints,IF(AND(L801&gt;N801,O801&gt;0),100,+INT(($L801-O801)/P801)+MinPoints))</f>
        <v>10</v>
      </c>
      <c r="N801" s="440">
        <f t="shared" si="7"/>
        <v>50</v>
      </c>
      <c r="O801" s="440">
        <f t="shared" si="8"/>
        <v>5</v>
      </c>
      <c r="P801" s="440">
        <f t="shared" si="9"/>
        <v>0.5</v>
      </c>
      <c r="Q801">
        <f t="array" ref="Q801">IF(I801&gt;0,INDEX(DB,I801,9),EventIndex)</f>
        <v>6</v>
      </c>
      <c r="S801" s="442">
        <f t="array" ref="S801">INDEX(MINVALUES,$Q801,$K$1)</f>
        <v>5</v>
      </c>
      <c r="T801">
        <f t="array" ref="T801">INDEX(INCVALUES,$Q801,$K$1)</f>
        <v>0.5</v>
      </c>
      <c r="V801">
        <f t="array" ref="V801">+J801+(4*(INDEX(MatchScoreTable,$Q801,20)-1))</f>
        <v>4</v>
      </c>
      <c r="W801" s="442">
        <f t="array" ref="W801">INDEX(INC_MINVALUES,$V801,$K$1)</f>
        <v>2.5</v>
      </c>
      <c r="X801" s="212">
        <f t="array" ref="X801">INDEX(INC_INCVALUES,$V801,$K$1)</f>
        <v>0.5</v>
      </c>
    </row>
    <row r="802" ht="15.75" customHeight="1">
      <c r="A802" s="435"/>
      <c r="B802" s="436"/>
      <c r="C802" s="95" t="str">
        <f t="array" ref="C802">IF(I802&gt;0,INDEX(DB,I802,8),"")</f>
        <v/>
      </c>
      <c r="D802" s="437">
        <f t="shared" si="1"/>
        <v>0</v>
      </c>
      <c r="F802" s="438">
        <f t="shared" si="2"/>
        <v>0</v>
      </c>
      <c r="G802" t="str">
        <f t="shared" si="3"/>
        <v/>
      </c>
      <c r="H802" t="b">
        <f t="shared" si="4"/>
        <v>0</v>
      </c>
      <c r="I802" s="439">
        <f>IF(OR(ISBLANK(A802),ISNA(MATCH(A802&amp;"",AthleteNumbers,0))),0,MATCH(A802&amp;"",AthleteNumbers,0))</f>
        <v>0</v>
      </c>
      <c r="J802" s="209">
        <f t="array" ref="J802">IF(I802&gt;0,INDEX(DB,$I802,6),0)</f>
        <v>0</v>
      </c>
      <c r="K802" s="446">
        <f t="shared" si="5"/>
        <v>0</v>
      </c>
      <c r="L802" s="446">
        <f t="shared" si="6"/>
        <v>0</v>
      </c>
      <c r="M802" s="441">
        <f>IF(L802&lt;O802,MinPoints,IF(AND(L802&gt;N802,O802&gt;0),100,+INT(($L802-O802)/P802)+MinPoints))</f>
        <v>10</v>
      </c>
      <c r="N802" s="440">
        <f t="shared" si="7"/>
        <v>50</v>
      </c>
      <c r="O802" s="440">
        <f t="shared" si="8"/>
        <v>5</v>
      </c>
      <c r="P802" s="440">
        <f t="shared" si="9"/>
        <v>0.5</v>
      </c>
      <c r="Q802">
        <f t="array" ref="Q802">IF(I802&gt;0,INDEX(DB,I802,9),EventIndex)</f>
        <v>6</v>
      </c>
      <c r="S802" s="442">
        <f t="array" ref="S802">INDEX(MINVALUES,$Q802,$K$1)</f>
        <v>5</v>
      </c>
      <c r="T802">
        <f t="array" ref="T802">INDEX(INCVALUES,$Q802,$K$1)</f>
        <v>0.5</v>
      </c>
      <c r="V802">
        <f t="array" ref="V802">+J802+(4*(INDEX(MatchScoreTable,$Q802,20)-1))</f>
        <v>4</v>
      </c>
      <c r="W802" s="442">
        <f t="array" ref="W802">INDEX(INC_MINVALUES,$V802,$K$1)</f>
        <v>2.5</v>
      </c>
      <c r="X802" s="212">
        <f t="array" ref="X802">INDEX(INC_INCVALUES,$V802,$K$1)</f>
        <v>0.5</v>
      </c>
    </row>
    <row r="803" ht="15.75" customHeight="1">
      <c r="A803" s="435"/>
      <c r="B803" s="436"/>
      <c r="C803" s="95" t="str">
        <f t="array" ref="C803">IF(I803&gt;0,INDEX(DB,I803,8),"")</f>
        <v/>
      </c>
      <c r="D803" s="437">
        <f t="shared" si="1"/>
        <v>0</v>
      </c>
      <c r="F803" s="438">
        <f t="shared" si="2"/>
        <v>0</v>
      </c>
      <c r="G803" t="str">
        <f t="shared" si="3"/>
        <v/>
      </c>
      <c r="H803" t="b">
        <f t="shared" si="4"/>
        <v>0</v>
      </c>
      <c r="I803" s="439">
        <f>IF(OR(ISBLANK(A803),ISNA(MATCH(A803&amp;"",AthleteNumbers,0))),0,MATCH(A803&amp;"",AthleteNumbers,0))</f>
        <v>0</v>
      </c>
      <c r="J803" s="209">
        <f t="array" ref="J803">IF(I803&gt;0,INDEX(DB,$I803,6),0)</f>
        <v>0</v>
      </c>
      <c r="K803" s="446">
        <f t="shared" si="5"/>
        <v>0</v>
      </c>
      <c r="L803" s="446">
        <f t="shared" si="6"/>
        <v>0</v>
      </c>
      <c r="M803" s="441">
        <f>IF(L803&lt;O803,MinPoints,IF(AND(L803&gt;N803,O803&gt;0),100,+INT(($L803-O803)/P803)+MinPoints))</f>
        <v>10</v>
      </c>
      <c r="N803" s="440">
        <f t="shared" si="7"/>
        <v>50</v>
      </c>
      <c r="O803" s="440">
        <f t="shared" si="8"/>
        <v>5</v>
      </c>
      <c r="P803" s="440">
        <f t="shared" si="9"/>
        <v>0.5</v>
      </c>
      <c r="Q803">
        <f t="array" ref="Q803">IF(I803&gt;0,INDEX(DB,I803,9),EventIndex)</f>
        <v>6</v>
      </c>
      <c r="S803" s="442">
        <f t="array" ref="S803">INDEX(MINVALUES,$Q803,$K$1)</f>
        <v>5</v>
      </c>
      <c r="T803">
        <f t="array" ref="T803">INDEX(INCVALUES,$Q803,$K$1)</f>
        <v>0.5</v>
      </c>
      <c r="V803">
        <f t="array" ref="V803">+J803+(4*(INDEX(MatchScoreTable,$Q803,20)-1))</f>
        <v>4</v>
      </c>
      <c r="W803" s="442">
        <f t="array" ref="W803">INDEX(INC_MINVALUES,$V803,$K$1)</f>
        <v>2.5</v>
      </c>
      <c r="X803" s="212">
        <f t="array" ref="X803">INDEX(INC_INCVALUES,$V803,$K$1)</f>
        <v>0.5</v>
      </c>
    </row>
    <row r="804" ht="15.75" customHeight="1">
      <c r="A804" s="435"/>
      <c r="B804" s="436"/>
      <c r="C804" s="95" t="str">
        <f t="array" ref="C804">IF(I804&gt;0,INDEX(DB,I804,8),"")</f>
        <v/>
      </c>
      <c r="D804" s="437">
        <f t="shared" si="1"/>
        <v>0</v>
      </c>
      <c r="F804" s="438">
        <f t="shared" si="2"/>
        <v>0</v>
      </c>
      <c r="G804" t="str">
        <f t="shared" si="3"/>
        <v/>
      </c>
      <c r="H804" t="b">
        <f t="shared" si="4"/>
        <v>0</v>
      </c>
      <c r="I804" s="439">
        <f>IF(OR(ISBLANK(A804),ISNA(MATCH(A804&amp;"",AthleteNumbers,0))),0,MATCH(A804&amp;"",AthleteNumbers,0))</f>
        <v>0</v>
      </c>
      <c r="J804" s="209">
        <f t="array" ref="J804">IF(I804&gt;0,INDEX(DB,$I804,6),0)</f>
        <v>0</v>
      </c>
      <c r="K804" s="446">
        <f t="shared" si="5"/>
        <v>0</v>
      </c>
      <c r="L804" s="446">
        <f t="shared" si="6"/>
        <v>0</v>
      </c>
      <c r="M804" s="441">
        <f>IF(L804&lt;O804,MinPoints,IF(AND(L804&gt;N804,O804&gt;0),100,+INT(($L804-O804)/P804)+MinPoints))</f>
        <v>10</v>
      </c>
      <c r="N804" s="440">
        <f t="shared" si="7"/>
        <v>50</v>
      </c>
      <c r="O804" s="440">
        <f t="shared" si="8"/>
        <v>5</v>
      </c>
      <c r="P804" s="440">
        <f t="shared" si="9"/>
        <v>0.5</v>
      </c>
      <c r="Q804">
        <f t="array" ref="Q804">IF(I804&gt;0,INDEX(DB,I804,9),EventIndex)</f>
        <v>6</v>
      </c>
      <c r="S804" s="442">
        <f t="array" ref="S804">INDEX(MINVALUES,$Q804,$K$1)</f>
        <v>5</v>
      </c>
      <c r="T804">
        <f t="array" ref="T804">INDEX(INCVALUES,$Q804,$K$1)</f>
        <v>0.5</v>
      </c>
      <c r="V804">
        <f t="array" ref="V804">+J804+(4*(INDEX(MatchScoreTable,$Q804,20)-1))</f>
        <v>4</v>
      </c>
      <c r="W804" s="442">
        <f t="array" ref="W804">INDEX(INC_MINVALUES,$V804,$K$1)</f>
        <v>2.5</v>
      </c>
      <c r="X804" s="212">
        <f t="array" ref="X804">INDEX(INC_INCVALUES,$V804,$K$1)</f>
        <v>0.5</v>
      </c>
    </row>
    <row r="805" ht="15.75" customHeight="1">
      <c r="A805" s="435"/>
      <c r="B805" s="436"/>
      <c r="C805" s="95" t="str">
        <f t="array" ref="C805">IF(I805&gt;0,INDEX(DB,I805,8),"")</f>
        <v/>
      </c>
      <c r="D805" s="437">
        <f t="shared" si="1"/>
        <v>0</v>
      </c>
      <c r="F805" s="438">
        <f t="shared" si="2"/>
        <v>0</v>
      </c>
      <c r="G805" t="str">
        <f t="shared" si="3"/>
        <v/>
      </c>
      <c r="H805" t="b">
        <f t="shared" si="4"/>
        <v>0</v>
      </c>
      <c r="I805" s="439">
        <f>IF(OR(ISBLANK(A805),ISNA(MATCH(A805&amp;"",AthleteNumbers,0))),0,MATCH(A805&amp;"",AthleteNumbers,0))</f>
        <v>0</v>
      </c>
      <c r="J805" s="209">
        <f t="array" ref="J805">IF(I805&gt;0,INDEX(DB,$I805,6),0)</f>
        <v>0</v>
      </c>
      <c r="K805" s="446">
        <f t="shared" si="5"/>
        <v>0</v>
      </c>
      <c r="L805" s="446">
        <f t="shared" si="6"/>
        <v>0</v>
      </c>
      <c r="M805" s="441">
        <f>IF(L805&lt;O805,MinPoints,IF(AND(L805&gt;N805,O805&gt;0),100,+INT(($L805-O805)/P805)+MinPoints))</f>
        <v>10</v>
      </c>
      <c r="N805" s="440">
        <f t="shared" si="7"/>
        <v>50</v>
      </c>
      <c r="O805" s="440">
        <f t="shared" si="8"/>
        <v>5</v>
      </c>
      <c r="P805" s="440">
        <f t="shared" si="9"/>
        <v>0.5</v>
      </c>
      <c r="Q805">
        <f t="array" ref="Q805">IF(I805&gt;0,INDEX(DB,I805,9),EventIndex)</f>
        <v>6</v>
      </c>
      <c r="S805" s="442">
        <f t="array" ref="S805">INDEX(MINVALUES,$Q805,$K$1)</f>
        <v>5</v>
      </c>
      <c r="T805">
        <f t="array" ref="T805">INDEX(INCVALUES,$Q805,$K$1)</f>
        <v>0.5</v>
      </c>
      <c r="V805">
        <f t="array" ref="V805">+J805+(4*(INDEX(MatchScoreTable,$Q805,20)-1))</f>
        <v>4</v>
      </c>
      <c r="W805" s="442">
        <f t="array" ref="W805">INDEX(INC_MINVALUES,$V805,$K$1)</f>
        <v>2.5</v>
      </c>
      <c r="X805" s="212">
        <f t="array" ref="X805">INDEX(INC_INCVALUES,$V805,$K$1)</f>
        <v>0.5</v>
      </c>
    </row>
    <row r="806" ht="15.75" customHeight="1">
      <c r="A806" s="435"/>
      <c r="B806" s="436"/>
      <c r="C806" s="95" t="str">
        <f t="array" ref="C806">IF(I806&gt;0,INDEX(DB,I806,8),"")</f>
        <v/>
      </c>
      <c r="D806" s="437">
        <f t="shared" si="1"/>
        <v>0</v>
      </c>
      <c r="F806" s="438">
        <f t="shared" si="2"/>
        <v>0</v>
      </c>
      <c r="G806" t="str">
        <f t="shared" si="3"/>
        <v/>
      </c>
      <c r="H806" t="b">
        <f t="shared" si="4"/>
        <v>0</v>
      </c>
      <c r="I806" s="439">
        <f>IF(OR(ISBLANK(A806),ISNA(MATCH(A806&amp;"",AthleteNumbers,0))),0,MATCH(A806&amp;"",AthleteNumbers,0))</f>
        <v>0</v>
      </c>
      <c r="J806" s="209">
        <f t="array" ref="J806">IF(I806&gt;0,INDEX(DB,$I806,6),0)</f>
        <v>0</v>
      </c>
      <c r="K806" s="446">
        <f t="shared" si="5"/>
        <v>0</v>
      </c>
      <c r="L806" s="446">
        <f t="shared" si="6"/>
        <v>0</v>
      </c>
      <c r="M806" s="441">
        <f>IF(L806&lt;O806,MinPoints,IF(AND(L806&gt;N806,O806&gt;0),100,+INT(($L806-O806)/P806)+MinPoints))</f>
        <v>10</v>
      </c>
      <c r="N806" s="440">
        <f t="shared" si="7"/>
        <v>50</v>
      </c>
      <c r="O806" s="440">
        <f t="shared" si="8"/>
        <v>5</v>
      </c>
      <c r="P806" s="440">
        <f t="shared" si="9"/>
        <v>0.5</v>
      </c>
      <c r="Q806">
        <f t="array" ref="Q806">IF(I806&gt;0,INDEX(DB,I806,9),EventIndex)</f>
        <v>6</v>
      </c>
      <c r="S806" s="442">
        <f t="array" ref="S806">INDEX(MINVALUES,$Q806,$K$1)</f>
        <v>5</v>
      </c>
      <c r="T806">
        <f t="array" ref="T806">INDEX(INCVALUES,$Q806,$K$1)</f>
        <v>0.5</v>
      </c>
      <c r="V806">
        <f t="array" ref="V806">+J806+(4*(INDEX(MatchScoreTable,$Q806,20)-1))</f>
        <v>4</v>
      </c>
      <c r="W806" s="442">
        <f t="array" ref="W806">INDEX(INC_MINVALUES,$V806,$K$1)</f>
        <v>2.5</v>
      </c>
      <c r="X806" s="212">
        <f t="array" ref="X806">INDEX(INC_INCVALUES,$V806,$K$1)</f>
        <v>0.5</v>
      </c>
    </row>
    <row r="807" ht="15.75" customHeight="1">
      <c r="A807" s="435"/>
      <c r="B807" s="436"/>
      <c r="C807" s="95" t="str">
        <f t="array" ref="C807">IF(I807&gt;0,INDEX(DB,I807,8),"")</f>
        <v/>
      </c>
      <c r="D807" s="437">
        <f t="shared" si="1"/>
        <v>0</v>
      </c>
      <c r="F807" s="438">
        <f t="shared" si="2"/>
        <v>0</v>
      </c>
      <c r="G807" t="str">
        <f t="shared" si="3"/>
        <v/>
      </c>
      <c r="H807" t="b">
        <f t="shared" si="4"/>
        <v>0</v>
      </c>
      <c r="I807" s="439">
        <f>IF(OR(ISBLANK(A807),ISNA(MATCH(A807&amp;"",AthleteNumbers,0))),0,MATCH(A807&amp;"",AthleteNumbers,0))</f>
        <v>0</v>
      </c>
      <c r="J807" s="209">
        <f t="array" ref="J807">IF(I807&gt;0,INDEX(DB,$I807,6),0)</f>
        <v>0</v>
      </c>
      <c r="K807" s="446">
        <f t="shared" si="5"/>
        <v>0</v>
      </c>
      <c r="L807" s="446">
        <f t="shared" si="6"/>
        <v>0</v>
      </c>
      <c r="M807" s="441">
        <f>IF(L807&lt;O807,MinPoints,IF(AND(L807&gt;N807,O807&gt;0),100,+INT(($L807-O807)/P807)+MinPoints))</f>
        <v>10</v>
      </c>
      <c r="N807" s="440">
        <f t="shared" si="7"/>
        <v>50</v>
      </c>
      <c r="O807" s="440">
        <f t="shared" si="8"/>
        <v>5</v>
      </c>
      <c r="P807" s="440">
        <f t="shared" si="9"/>
        <v>0.5</v>
      </c>
      <c r="Q807">
        <f t="array" ref="Q807">IF(I807&gt;0,INDEX(DB,I807,9),EventIndex)</f>
        <v>6</v>
      </c>
      <c r="S807" s="442">
        <f t="array" ref="S807">INDEX(MINVALUES,$Q807,$K$1)</f>
        <v>5</v>
      </c>
      <c r="T807">
        <f t="array" ref="T807">INDEX(INCVALUES,$Q807,$K$1)</f>
        <v>0.5</v>
      </c>
      <c r="V807">
        <f t="array" ref="V807">+J807+(4*(INDEX(MatchScoreTable,$Q807,20)-1))</f>
        <v>4</v>
      </c>
      <c r="W807" s="442">
        <f t="array" ref="W807">INDEX(INC_MINVALUES,$V807,$K$1)</f>
        <v>2.5</v>
      </c>
      <c r="X807" s="212">
        <f t="array" ref="X807">INDEX(INC_INCVALUES,$V807,$K$1)</f>
        <v>0.5</v>
      </c>
    </row>
    <row r="808" ht="15.75" customHeight="1">
      <c r="A808" s="435"/>
      <c r="B808" s="436"/>
      <c r="C808" s="95" t="str">
        <f t="array" ref="C808">IF(I808&gt;0,INDEX(DB,I808,8),"")</f>
        <v/>
      </c>
      <c r="D808" s="437">
        <f t="shared" si="1"/>
        <v>0</v>
      </c>
      <c r="F808" s="438">
        <f t="shared" si="2"/>
        <v>0</v>
      </c>
      <c r="G808" t="str">
        <f t="shared" si="3"/>
        <v/>
      </c>
      <c r="H808" t="b">
        <f t="shared" si="4"/>
        <v>0</v>
      </c>
      <c r="I808" s="439">
        <f>IF(OR(ISBLANK(A808),ISNA(MATCH(A808&amp;"",AthleteNumbers,0))),0,MATCH(A808&amp;"",AthleteNumbers,0))</f>
        <v>0</v>
      </c>
      <c r="J808" s="209">
        <f t="array" ref="J808">IF(I808&gt;0,INDEX(DB,$I808,6),0)</f>
        <v>0</v>
      </c>
      <c r="K808" s="446">
        <f t="shared" si="5"/>
        <v>0</v>
      </c>
      <c r="L808" s="446">
        <f t="shared" si="6"/>
        <v>0</v>
      </c>
      <c r="M808" s="441">
        <f>IF(L808&lt;O808,MinPoints,IF(AND(L808&gt;N808,O808&gt;0),100,+INT(($L808-O808)/P808)+MinPoints))</f>
        <v>10</v>
      </c>
      <c r="N808" s="440">
        <f t="shared" si="7"/>
        <v>50</v>
      </c>
      <c r="O808" s="440">
        <f t="shared" si="8"/>
        <v>5</v>
      </c>
      <c r="P808" s="440">
        <f t="shared" si="9"/>
        <v>0.5</v>
      </c>
      <c r="Q808">
        <f t="array" ref="Q808">IF(I808&gt;0,INDEX(DB,I808,9),EventIndex)</f>
        <v>6</v>
      </c>
      <c r="S808" s="442">
        <f t="array" ref="S808">INDEX(MINVALUES,$Q808,$K$1)</f>
        <v>5</v>
      </c>
      <c r="T808">
        <f t="array" ref="T808">INDEX(INCVALUES,$Q808,$K$1)</f>
        <v>0.5</v>
      </c>
      <c r="V808">
        <f t="array" ref="V808">+J808+(4*(INDEX(MatchScoreTable,$Q808,20)-1))</f>
        <v>4</v>
      </c>
      <c r="W808" s="442">
        <f t="array" ref="W808">INDEX(INC_MINVALUES,$V808,$K$1)</f>
        <v>2.5</v>
      </c>
      <c r="X808" s="212">
        <f t="array" ref="X808">INDEX(INC_INCVALUES,$V808,$K$1)</f>
        <v>0.5</v>
      </c>
    </row>
    <row r="809" ht="15.75" customHeight="1">
      <c r="A809" s="435"/>
      <c r="B809" s="436"/>
      <c r="C809" s="95" t="str">
        <f t="array" ref="C809">IF(I809&gt;0,INDEX(DB,I809,8),"")</f>
        <v/>
      </c>
      <c r="D809" s="437">
        <f t="shared" si="1"/>
        <v>0</v>
      </c>
      <c r="F809" s="438">
        <f t="shared" si="2"/>
        <v>0</v>
      </c>
      <c r="G809" t="str">
        <f t="shared" si="3"/>
        <v/>
      </c>
      <c r="H809" t="b">
        <f t="shared" si="4"/>
        <v>0</v>
      </c>
      <c r="I809" s="439">
        <f>IF(OR(ISBLANK(A809),ISNA(MATCH(A809&amp;"",AthleteNumbers,0))),0,MATCH(A809&amp;"",AthleteNumbers,0))</f>
        <v>0</v>
      </c>
      <c r="J809" s="209">
        <f t="array" ref="J809">IF(I809&gt;0,INDEX(DB,$I809,6),0)</f>
        <v>0</v>
      </c>
      <c r="K809" s="446">
        <f t="shared" si="5"/>
        <v>0</v>
      </c>
      <c r="L809" s="446">
        <f t="shared" si="6"/>
        <v>0</v>
      </c>
      <c r="M809" s="441">
        <f>IF(L809&lt;O809,MinPoints,IF(AND(L809&gt;N809,O809&gt;0),100,+INT(($L809-O809)/P809)+MinPoints))</f>
        <v>10</v>
      </c>
      <c r="N809" s="440">
        <f t="shared" si="7"/>
        <v>50</v>
      </c>
      <c r="O809" s="440">
        <f t="shared" si="8"/>
        <v>5</v>
      </c>
      <c r="P809" s="440">
        <f t="shared" si="9"/>
        <v>0.5</v>
      </c>
      <c r="Q809">
        <f t="array" ref="Q809">IF(I809&gt;0,INDEX(DB,I809,9),EventIndex)</f>
        <v>6</v>
      </c>
      <c r="S809" s="442">
        <f t="array" ref="S809">INDEX(MINVALUES,$Q809,$K$1)</f>
        <v>5</v>
      </c>
      <c r="T809">
        <f t="array" ref="T809">INDEX(INCVALUES,$Q809,$K$1)</f>
        <v>0.5</v>
      </c>
      <c r="V809">
        <f t="array" ref="V809">+J809+(4*(INDEX(MatchScoreTable,$Q809,20)-1))</f>
        <v>4</v>
      </c>
      <c r="W809" s="442">
        <f t="array" ref="W809">INDEX(INC_MINVALUES,$V809,$K$1)</f>
        <v>2.5</v>
      </c>
      <c r="X809" s="212">
        <f t="array" ref="X809">INDEX(INC_INCVALUES,$V809,$K$1)</f>
        <v>0.5</v>
      </c>
    </row>
    <row r="810" ht="15.75" customHeight="1">
      <c r="A810" s="435"/>
      <c r="B810" s="436"/>
      <c r="C810" s="95" t="str">
        <f t="array" ref="C810">IF(I810&gt;0,INDEX(DB,I810,8),"")</f>
        <v/>
      </c>
      <c r="D810" s="437">
        <f t="shared" si="1"/>
        <v>0</v>
      </c>
      <c r="F810" s="438">
        <f t="shared" si="2"/>
        <v>0</v>
      </c>
      <c r="G810" t="str">
        <f t="shared" si="3"/>
        <v/>
      </c>
      <c r="H810" t="b">
        <f t="shared" si="4"/>
        <v>0</v>
      </c>
      <c r="I810" s="439">
        <f>IF(OR(ISBLANK(A810),ISNA(MATCH(A810&amp;"",AthleteNumbers,0))),0,MATCH(A810&amp;"",AthleteNumbers,0))</f>
        <v>0</v>
      </c>
      <c r="J810" s="209">
        <f t="array" ref="J810">IF(I810&gt;0,INDEX(DB,$I810,6),0)</f>
        <v>0</v>
      </c>
      <c r="K810" s="446">
        <f t="shared" si="5"/>
        <v>0</v>
      </c>
      <c r="L810" s="446">
        <f t="shared" si="6"/>
        <v>0</v>
      </c>
      <c r="M810" s="441">
        <f>IF(L810&lt;O810,MinPoints,IF(AND(L810&gt;N810,O810&gt;0),100,+INT(($L810-O810)/P810)+MinPoints))</f>
        <v>10</v>
      </c>
      <c r="N810" s="440">
        <f t="shared" si="7"/>
        <v>50</v>
      </c>
      <c r="O810" s="440">
        <f t="shared" si="8"/>
        <v>5</v>
      </c>
      <c r="P810" s="440">
        <f t="shared" si="9"/>
        <v>0.5</v>
      </c>
      <c r="Q810">
        <f t="array" ref="Q810">IF(I810&gt;0,INDEX(DB,I810,9),EventIndex)</f>
        <v>6</v>
      </c>
      <c r="S810" s="442">
        <f t="array" ref="S810">INDEX(MINVALUES,$Q810,$K$1)</f>
        <v>5</v>
      </c>
      <c r="T810">
        <f t="array" ref="T810">INDEX(INCVALUES,$Q810,$K$1)</f>
        <v>0.5</v>
      </c>
      <c r="V810">
        <f t="array" ref="V810">+J810+(4*(INDEX(MatchScoreTable,$Q810,20)-1))</f>
        <v>4</v>
      </c>
      <c r="W810" s="442">
        <f t="array" ref="W810">INDEX(INC_MINVALUES,$V810,$K$1)</f>
        <v>2.5</v>
      </c>
      <c r="X810" s="212">
        <f t="array" ref="X810">INDEX(INC_INCVALUES,$V810,$K$1)</f>
        <v>0.5</v>
      </c>
    </row>
    <row r="811" ht="15.75" customHeight="1">
      <c r="A811" s="435"/>
      <c r="B811" s="436"/>
      <c r="C811" s="95" t="str">
        <f t="array" ref="C811">IF(I811&gt;0,INDEX(DB,I811,8),"")</f>
        <v/>
      </c>
      <c r="D811" s="437">
        <f t="shared" si="1"/>
        <v>0</v>
      </c>
      <c r="F811" s="438">
        <f t="shared" si="2"/>
        <v>0</v>
      </c>
      <c r="G811" t="str">
        <f t="shared" si="3"/>
        <v/>
      </c>
      <c r="H811" t="b">
        <f t="shared" si="4"/>
        <v>0</v>
      </c>
      <c r="I811" s="439">
        <f>IF(OR(ISBLANK(A811),ISNA(MATCH(A811&amp;"",AthleteNumbers,0))),0,MATCH(A811&amp;"",AthleteNumbers,0))</f>
        <v>0</v>
      </c>
      <c r="J811" s="209">
        <f t="array" ref="J811">IF(I811&gt;0,INDEX(DB,$I811,6),0)</f>
        <v>0</v>
      </c>
      <c r="K811" s="446">
        <f t="shared" si="5"/>
        <v>0</v>
      </c>
      <c r="L811" s="446">
        <f t="shared" si="6"/>
        <v>0</v>
      </c>
      <c r="M811" s="441">
        <f>IF(L811&lt;O811,MinPoints,IF(AND(L811&gt;N811,O811&gt;0),100,+INT(($L811-O811)/P811)+MinPoints))</f>
        <v>10</v>
      </c>
      <c r="N811" s="440">
        <f t="shared" si="7"/>
        <v>50</v>
      </c>
      <c r="O811" s="440">
        <f t="shared" si="8"/>
        <v>5</v>
      </c>
      <c r="P811" s="440">
        <f t="shared" si="9"/>
        <v>0.5</v>
      </c>
      <c r="Q811">
        <f t="array" ref="Q811">IF(I811&gt;0,INDEX(DB,I811,9),EventIndex)</f>
        <v>6</v>
      </c>
      <c r="S811" s="442">
        <f t="array" ref="S811">INDEX(MINVALUES,$Q811,$K$1)</f>
        <v>5</v>
      </c>
      <c r="T811">
        <f t="array" ref="T811">INDEX(INCVALUES,$Q811,$K$1)</f>
        <v>0.5</v>
      </c>
      <c r="V811">
        <f t="array" ref="V811">+J811+(4*(INDEX(MatchScoreTable,$Q811,20)-1))</f>
        <v>4</v>
      </c>
      <c r="W811" s="442">
        <f t="array" ref="W811">INDEX(INC_MINVALUES,$V811,$K$1)</f>
        <v>2.5</v>
      </c>
      <c r="X811" s="212">
        <f t="array" ref="X811">INDEX(INC_INCVALUES,$V811,$K$1)</f>
        <v>0.5</v>
      </c>
    </row>
    <row r="812" ht="15.75" customHeight="1">
      <c r="A812" s="435"/>
      <c r="B812" s="436"/>
      <c r="C812" s="95" t="str">
        <f t="array" ref="C812">IF(I812&gt;0,INDEX(DB,I812,8),"")</f>
        <v/>
      </c>
      <c r="D812" s="437">
        <f t="shared" si="1"/>
        <v>0</v>
      </c>
      <c r="F812" s="438">
        <f t="shared" si="2"/>
        <v>0</v>
      </c>
      <c r="G812" t="str">
        <f t="shared" si="3"/>
        <v/>
      </c>
      <c r="H812" t="b">
        <f t="shared" si="4"/>
        <v>0</v>
      </c>
      <c r="I812" s="439">
        <f>IF(OR(ISBLANK(A812),ISNA(MATCH(A812&amp;"",AthleteNumbers,0))),0,MATCH(A812&amp;"",AthleteNumbers,0))</f>
        <v>0</v>
      </c>
      <c r="J812" s="209">
        <f t="array" ref="J812">IF(I812&gt;0,INDEX(DB,$I812,6),0)</f>
        <v>0</v>
      </c>
      <c r="K812" s="446">
        <f t="shared" si="5"/>
        <v>0</v>
      </c>
      <c r="L812" s="446">
        <f t="shared" si="6"/>
        <v>0</v>
      </c>
      <c r="M812" s="441">
        <f>IF(L812&lt;O812,MinPoints,IF(AND(L812&gt;N812,O812&gt;0),100,+INT(($L812-O812)/P812)+MinPoints))</f>
        <v>10</v>
      </c>
      <c r="N812" s="440">
        <f t="shared" si="7"/>
        <v>50</v>
      </c>
      <c r="O812" s="440">
        <f t="shared" si="8"/>
        <v>5</v>
      </c>
      <c r="P812" s="440">
        <f t="shared" si="9"/>
        <v>0.5</v>
      </c>
      <c r="Q812">
        <f t="array" ref="Q812">IF(I812&gt;0,INDEX(DB,I812,9),EventIndex)</f>
        <v>6</v>
      </c>
      <c r="S812" s="442">
        <f t="array" ref="S812">INDEX(MINVALUES,$Q812,$K$1)</f>
        <v>5</v>
      </c>
      <c r="T812">
        <f t="array" ref="T812">INDEX(INCVALUES,$Q812,$K$1)</f>
        <v>0.5</v>
      </c>
      <c r="V812">
        <f t="array" ref="V812">+J812+(4*(INDEX(MatchScoreTable,$Q812,20)-1))</f>
        <v>4</v>
      </c>
      <c r="W812" s="442">
        <f t="array" ref="W812">INDEX(INC_MINVALUES,$V812,$K$1)</f>
        <v>2.5</v>
      </c>
      <c r="X812" s="212">
        <f t="array" ref="X812">INDEX(INC_INCVALUES,$V812,$K$1)</f>
        <v>0.5</v>
      </c>
    </row>
    <row r="813" ht="15.75" customHeight="1">
      <c r="A813" s="435"/>
      <c r="B813" s="436"/>
      <c r="C813" s="95" t="str">
        <f t="array" ref="C813">IF(I813&gt;0,INDEX(DB,I813,8),"")</f>
        <v/>
      </c>
      <c r="D813" s="437">
        <f t="shared" si="1"/>
        <v>0</v>
      </c>
      <c r="F813" s="438">
        <f t="shared" si="2"/>
        <v>0</v>
      </c>
      <c r="G813" t="str">
        <f t="shared" si="3"/>
        <v/>
      </c>
      <c r="H813" t="b">
        <f t="shared" si="4"/>
        <v>0</v>
      </c>
      <c r="I813" s="439">
        <f>IF(OR(ISBLANK(A813),ISNA(MATCH(A813&amp;"",AthleteNumbers,0))),0,MATCH(A813&amp;"",AthleteNumbers,0))</f>
        <v>0</v>
      </c>
      <c r="J813" s="209">
        <f t="array" ref="J813">IF(I813&gt;0,INDEX(DB,$I813,6),0)</f>
        <v>0</v>
      </c>
      <c r="K813" s="446">
        <f t="shared" si="5"/>
        <v>0</v>
      </c>
      <c r="L813" s="446">
        <f t="shared" si="6"/>
        <v>0</v>
      </c>
      <c r="M813" s="441">
        <f>IF(L813&lt;O813,MinPoints,IF(AND(L813&gt;N813,O813&gt;0),100,+INT(($L813-O813)/P813)+MinPoints))</f>
        <v>10</v>
      </c>
      <c r="N813" s="440">
        <f t="shared" si="7"/>
        <v>50</v>
      </c>
      <c r="O813" s="440">
        <f t="shared" si="8"/>
        <v>5</v>
      </c>
      <c r="P813" s="440">
        <f t="shared" si="9"/>
        <v>0.5</v>
      </c>
      <c r="Q813">
        <f t="array" ref="Q813">IF(I813&gt;0,INDEX(DB,I813,9),EventIndex)</f>
        <v>6</v>
      </c>
      <c r="S813" s="442">
        <f t="array" ref="S813">INDEX(MINVALUES,$Q813,$K$1)</f>
        <v>5</v>
      </c>
      <c r="T813">
        <f t="array" ref="T813">INDEX(INCVALUES,$Q813,$K$1)</f>
        <v>0.5</v>
      </c>
      <c r="V813">
        <f t="array" ref="V813">+J813+(4*(INDEX(MatchScoreTable,$Q813,20)-1))</f>
        <v>4</v>
      </c>
      <c r="W813" s="442">
        <f t="array" ref="W813">INDEX(INC_MINVALUES,$V813,$K$1)</f>
        <v>2.5</v>
      </c>
      <c r="X813" s="212">
        <f t="array" ref="X813">INDEX(INC_INCVALUES,$V813,$K$1)</f>
        <v>0.5</v>
      </c>
    </row>
    <row r="814" ht="15.75" customHeight="1">
      <c r="A814" s="435"/>
      <c r="B814" s="436"/>
      <c r="C814" s="95" t="str">
        <f t="array" ref="C814">IF(I814&gt;0,INDEX(DB,I814,8),"")</f>
        <v/>
      </c>
      <c r="D814" s="437">
        <f t="shared" si="1"/>
        <v>0</v>
      </c>
      <c r="F814" s="438">
        <f t="shared" si="2"/>
        <v>0</v>
      </c>
      <c r="G814" t="str">
        <f t="shared" si="3"/>
        <v/>
      </c>
      <c r="H814" t="b">
        <f t="shared" si="4"/>
        <v>0</v>
      </c>
      <c r="I814" s="439">
        <f>IF(OR(ISBLANK(A814),ISNA(MATCH(A814&amp;"",AthleteNumbers,0))),0,MATCH(A814&amp;"",AthleteNumbers,0))</f>
        <v>0</v>
      </c>
      <c r="J814" s="209">
        <f t="array" ref="J814">IF(I814&gt;0,INDEX(DB,$I814,6),0)</f>
        <v>0</v>
      </c>
      <c r="K814" s="446">
        <f t="shared" si="5"/>
        <v>0</v>
      </c>
      <c r="L814" s="446">
        <f t="shared" si="6"/>
        <v>0</v>
      </c>
      <c r="M814" s="441">
        <f>IF(L814&lt;O814,MinPoints,IF(AND(L814&gt;N814,O814&gt;0),100,+INT(($L814-O814)/P814)+MinPoints))</f>
        <v>10</v>
      </c>
      <c r="N814" s="440">
        <f t="shared" si="7"/>
        <v>50</v>
      </c>
      <c r="O814" s="440">
        <f t="shared" si="8"/>
        <v>5</v>
      </c>
      <c r="P814" s="440">
        <f t="shared" si="9"/>
        <v>0.5</v>
      </c>
      <c r="Q814">
        <f t="array" ref="Q814">IF(I814&gt;0,INDEX(DB,I814,9),EventIndex)</f>
        <v>6</v>
      </c>
      <c r="S814" s="442">
        <f t="array" ref="S814">INDEX(MINVALUES,$Q814,$K$1)</f>
        <v>5</v>
      </c>
      <c r="T814">
        <f t="array" ref="T814">INDEX(INCVALUES,$Q814,$K$1)</f>
        <v>0.5</v>
      </c>
      <c r="V814">
        <f t="array" ref="V814">+J814+(4*(INDEX(MatchScoreTable,$Q814,20)-1))</f>
        <v>4</v>
      </c>
      <c r="W814" s="442">
        <f t="array" ref="W814">INDEX(INC_MINVALUES,$V814,$K$1)</f>
        <v>2.5</v>
      </c>
      <c r="X814" s="212">
        <f t="array" ref="X814">INDEX(INC_INCVALUES,$V814,$K$1)</f>
        <v>0.5</v>
      </c>
    </row>
    <row r="815" ht="15.75" customHeight="1">
      <c r="A815" s="435"/>
      <c r="B815" s="436"/>
      <c r="C815" s="95" t="str">
        <f t="array" ref="C815">IF(I815&gt;0,INDEX(DB,I815,8),"")</f>
        <v/>
      </c>
      <c r="D815" s="437">
        <f t="shared" si="1"/>
        <v>0</v>
      </c>
      <c r="F815" s="438">
        <f t="shared" si="2"/>
        <v>0</v>
      </c>
      <c r="G815" t="str">
        <f t="shared" si="3"/>
        <v/>
      </c>
      <c r="H815" t="b">
        <f t="shared" si="4"/>
        <v>0</v>
      </c>
      <c r="I815" s="439">
        <f>IF(OR(ISBLANK(A815),ISNA(MATCH(A815&amp;"",AthleteNumbers,0))),0,MATCH(A815&amp;"",AthleteNumbers,0))</f>
        <v>0</v>
      </c>
      <c r="J815" s="209">
        <f t="array" ref="J815">IF(I815&gt;0,INDEX(DB,$I815,6),0)</f>
        <v>0</v>
      </c>
      <c r="K815" s="446">
        <f t="shared" si="5"/>
        <v>0</v>
      </c>
      <c r="L815" s="446">
        <f t="shared" si="6"/>
        <v>0</v>
      </c>
      <c r="M815" s="441">
        <f>IF(L815&lt;O815,MinPoints,IF(AND(L815&gt;N815,O815&gt;0),100,+INT(($L815-O815)/P815)+MinPoints))</f>
        <v>10</v>
      </c>
      <c r="N815" s="440">
        <f t="shared" si="7"/>
        <v>50</v>
      </c>
      <c r="O815" s="440">
        <f t="shared" si="8"/>
        <v>5</v>
      </c>
      <c r="P815" s="440">
        <f t="shared" si="9"/>
        <v>0.5</v>
      </c>
      <c r="Q815">
        <f t="array" ref="Q815">IF(I815&gt;0,INDEX(DB,I815,9),EventIndex)</f>
        <v>6</v>
      </c>
      <c r="S815" s="442">
        <f t="array" ref="S815">INDEX(MINVALUES,$Q815,$K$1)</f>
        <v>5</v>
      </c>
      <c r="T815">
        <f t="array" ref="T815">INDEX(INCVALUES,$Q815,$K$1)</f>
        <v>0.5</v>
      </c>
      <c r="V815">
        <f t="array" ref="V815">+J815+(4*(INDEX(MatchScoreTable,$Q815,20)-1))</f>
        <v>4</v>
      </c>
      <c r="W815" s="442">
        <f t="array" ref="W815">INDEX(INC_MINVALUES,$V815,$K$1)</f>
        <v>2.5</v>
      </c>
      <c r="X815" s="212">
        <f t="array" ref="X815">INDEX(INC_INCVALUES,$V815,$K$1)</f>
        <v>0.5</v>
      </c>
    </row>
    <row r="816" ht="15.75" customHeight="1">
      <c r="A816" s="435"/>
      <c r="B816" s="436"/>
      <c r="C816" s="95" t="str">
        <f t="array" ref="C816">IF(I816&gt;0,INDEX(DB,I816,8),"")</f>
        <v/>
      </c>
      <c r="D816" s="437">
        <f t="shared" si="1"/>
        <v>0</v>
      </c>
      <c r="F816" s="438">
        <f t="shared" si="2"/>
        <v>0</v>
      </c>
      <c r="G816" t="str">
        <f t="shared" si="3"/>
        <v/>
      </c>
      <c r="H816" t="b">
        <f t="shared" si="4"/>
        <v>0</v>
      </c>
      <c r="I816" s="439">
        <f>IF(OR(ISBLANK(A816),ISNA(MATCH(A816&amp;"",AthleteNumbers,0))),0,MATCH(A816&amp;"",AthleteNumbers,0))</f>
        <v>0</v>
      </c>
      <c r="J816" s="209">
        <f t="array" ref="J816">IF(I816&gt;0,INDEX(DB,$I816,6),0)</f>
        <v>0</v>
      </c>
      <c r="K816" s="446">
        <f t="shared" si="5"/>
        <v>0</v>
      </c>
      <c r="L816" s="446">
        <f t="shared" si="6"/>
        <v>0</v>
      </c>
      <c r="M816" s="441">
        <f>IF(L816&lt;O816,MinPoints,IF(AND(L816&gt;N816,O816&gt;0),100,+INT(($L816-O816)/P816)+MinPoints))</f>
        <v>10</v>
      </c>
      <c r="N816" s="440">
        <f t="shared" si="7"/>
        <v>50</v>
      </c>
      <c r="O816" s="440">
        <f t="shared" si="8"/>
        <v>5</v>
      </c>
      <c r="P816" s="440">
        <f t="shared" si="9"/>
        <v>0.5</v>
      </c>
      <c r="Q816">
        <f t="array" ref="Q816">IF(I816&gt;0,INDEX(DB,I816,9),EventIndex)</f>
        <v>6</v>
      </c>
      <c r="S816" s="442">
        <f t="array" ref="S816">INDEX(MINVALUES,$Q816,$K$1)</f>
        <v>5</v>
      </c>
      <c r="T816">
        <f t="array" ref="T816">INDEX(INCVALUES,$Q816,$K$1)</f>
        <v>0.5</v>
      </c>
      <c r="V816">
        <f t="array" ref="V816">+J816+(4*(INDEX(MatchScoreTable,$Q816,20)-1))</f>
        <v>4</v>
      </c>
      <c r="W816" s="442">
        <f t="array" ref="W816">INDEX(INC_MINVALUES,$V816,$K$1)</f>
        <v>2.5</v>
      </c>
      <c r="X816" s="212">
        <f t="array" ref="X816">INDEX(INC_INCVALUES,$V816,$K$1)</f>
        <v>0.5</v>
      </c>
    </row>
    <row r="817" ht="15.75" customHeight="1">
      <c r="A817" s="435"/>
      <c r="B817" s="436"/>
      <c r="C817" s="95" t="str">
        <f t="array" ref="C817">IF(I817&gt;0,INDEX(DB,I817,8),"")</f>
        <v/>
      </c>
      <c r="D817" s="437">
        <f t="shared" si="1"/>
        <v>0</v>
      </c>
      <c r="F817" s="438">
        <f t="shared" si="2"/>
        <v>0</v>
      </c>
      <c r="G817" t="str">
        <f t="shared" si="3"/>
        <v/>
      </c>
      <c r="H817" t="b">
        <f t="shared" si="4"/>
        <v>0</v>
      </c>
      <c r="I817" s="439">
        <f>IF(OR(ISBLANK(A817),ISNA(MATCH(A817&amp;"",AthleteNumbers,0))),0,MATCH(A817&amp;"",AthleteNumbers,0))</f>
        <v>0</v>
      </c>
      <c r="J817" s="209">
        <f t="array" ref="J817">IF(I817&gt;0,INDEX(DB,$I817,6),0)</f>
        <v>0</v>
      </c>
      <c r="K817" s="446">
        <f t="shared" si="5"/>
        <v>0</v>
      </c>
      <c r="L817" s="446">
        <f t="shared" si="6"/>
        <v>0</v>
      </c>
      <c r="M817" s="441">
        <f>IF(L817&lt;O817,MinPoints,IF(AND(L817&gt;N817,O817&gt;0),100,+INT(($L817-O817)/P817)+MinPoints))</f>
        <v>10</v>
      </c>
      <c r="N817" s="440">
        <f t="shared" si="7"/>
        <v>50</v>
      </c>
      <c r="O817" s="440">
        <f t="shared" si="8"/>
        <v>5</v>
      </c>
      <c r="P817" s="440">
        <f t="shared" si="9"/>
        <v>0.5</v>
      </c>
      <c r="Q817">
        <f t="array" ref="Q817">IF(I817&gt;0,INDEX(DB,I817,9),EventIndex)</f>
        <v>6</v>
      </c>
      <c r="S817" s="442">
        <f t="array" ref="S817">INDEX(MINVALUES,$Q817,$K$1)</f>
        <v>5</v>
      </c>
      <c r="T817">
        <f t="array" ref="T817">INDEX(INCVALUES,$Q817,$K$1)</f>
        <v>0.5</v>
      </c>
      <c r="V817">
        <f t="array" ref="V817">+J817+(4*(INDEX(MatchScoreTable,$Q817,20)-1))</f>
        <v>4</v>
      </c>
      <c r="W817" s="442">
        <f t="array" ref="W817">INDEX(INC_MINVALUES,$V817,$K$1)</f>
        <v>2.5</v>
      </c>
      <c r="X817" s="212">
        <f t="array" ref="X817">INDEX(INC_INCVALUES,$V817,$K$1)</f>
        <v>0.5</v>
      </c>
    </row>
    <row r="818" ht="15.75" customHeight="1">
      <c r="A818" s="435"/>
      <c r="B818" s="436"/>
      <c r="C818" s="95" t="str">
        <f t="array" ref="C818">IF(I818&gt;0,INDEX(DB,I818,8),"")</f>
        <v/>
      </c>
      <c r="D818" s="437">
        <f t="shared" si="1"/>
        <v>0</v>
      </c>
      <c r="F818" s="438">
        <f t="shared" si="2"/>
        <v>0</v>
      </c>
      <c r="G818" t="str">
        <f t="shared" si="3"/>
        <v/>
      </c>
      <c r="H818" t="b">
        <f t="shared" si="4"/>
        <v>0</v>
      </c>
      <c r="I818" s="439">
        <f>IF(OR(ISBLANK(A818),ISNA(MATCH(A818&amp;"",AthleteNumbers,0))),0,MATCH(A818&amp;"",AthleteNumbers,0))</f>
        <v>0</v>
      </c>
      <c r="J818" s="209">
        <f t="array" ref="J818">IF(I818&gt;0,INDEX(DB,$I818,6),0)</f>
        <v>0</v>
      </c>
      <c r="K818" s="446">
        <f t="shared" si="5"/>
        <v>0</v>
      </c>
      <c r="L818" s="446">
        <f t="shared" si="6"/>
        <v>0</v>
      </c>
      <c r="M818" s="441">
        <f>IF(L818&lt;O818,MinPoints,IF(AND(L818&gt;N818,O818&gt;0),100,+INT(($L818-O818)/P818)+MinPoints))</f>
        <v>10</v>
      </c>
      <c r="N818" s="440">
        <f t="shared" si="7"/>
        <v>50</v>
      </c>
      <c r="O818" s="440">
        <f t="shared" si="8"/>
        <v>5</v>
      </c>
      <c r="P818" s="440">
        <f t="shared" si="9"/>
        <v>0.5</v>
      </c>
      <c r="Q818">
        <f t="array" ref="Q818">IF(I818&gt;0,INDEX(DB,I818,9),EventIndex)</f>
        <v>6</v>
      </c>
      <c r="S818" s="442">
        <f t="array" ref="S818">INDEX(MINVALUES,$Q818,$K$1)</f>
        <v>5</v>
      </c>
      <c r="T818">
        <f t="array" ref="T818">INDEX(INCVALUES,$Q818,$K$1)</f>
        <v>0.5</v>
      </c>
      <c r="V818">
        <f t="array" ref="V818">+J818+(4*(INDEX(MatchScoreTable,$Q818,20)-1))</f>
        <v>4</v>
      </c>
      <c r="W818" s="442">
        <f t="array" ref="W818">INDEX(INC_MINVALUES,$V818,$K$1)</f>
        <v>2.5</v>
      </c>
      <c r="X818" s="212">
        <f t="array" ref="X818">INDEX(INC_INCVALUES,$V818,$K$1)</f>
        <v>0.5</v>
      </c>
    </row>
    <row r="819" ht="15.75" customHeight="1">
      <c r="A819" s="435"/>
      <c r="B819" s="436"/>
      <c r="C819" s="95" t="str">
        <f t="array" ref="C819">IF(I819&gt;0,INDEX(DB,I819,8),"")</f>
        <v/>
      </c>
      <c r="D819" s="437">
        <f t="shared" si="1"/>
        <v>0</v>
      </c>
      <c r="F819" s="438">
        <f t="shared" si="2"/>
        <v>0</v>
      </c>
      <c r="G819" t="str">
        <f t="shared" si="3"/>
        <v/>
      </c>
      <c r="H819" t="b">
        <f t="shared" si="4"/>
        <v>0</v>
      </c>
      <c r="I819" s="439">
        <f>IF(OR(ISBLANK(A819),ISNA(MATCH(A819&amp;"",AthleteNumbers,0))),0,MATCH(A819&amp;"",AthleteNumbers,0))</f>
        <v>0</v>
      </c>
      <c r="J819" s="209">
        <f t="array" ref="J819">IF(I819&gt;0,INDEX(DB,$I819,6),0)</f>
        <v>0</v>
      </c>
      <c r="K819" s="446">
        <f t="shared" si="5"/>
        <v>0</v>
      </c>
      <c r="L819" s="446">
        <f t="shared" si="6"/>
        <v>0</v>
      </c>
      <c r="M819" s="441">
        <f>IF(L819&lt;O819,MinPoints,IF(AND(L819&gt;N819,O819&gt;0),100,+INT(($L819-O819)/P819)+MinPoints))</f>
        <v>10</v>
      </c>
      <c r="N819" s="440">
        <f t="shared" si="7"/>
        <v>50</v>
      </c>
      <c r="O819" s="440">
        <f t="shared" si="8"/>
        <v>5</v>
      </c>
      <c r="P819" s="440">
        <f t="shared" si="9"/>
        <v>0.5</v>
      </c>
      <c r="Q819">
        <f t="array" ref="Q819">IF(I819&gt;0,INDEX(DB,I819,9),EventIndex)</f>
        <v>6</v>
      </c>
      <c r="S819" s="442">
        <f t="array" ref="S819">INDEX(MINVALUES,$Q819,$K$1)</f>
        <v>5</v>
      </c>
      <c r="T819">
        <f t="array" ref="T819">INDEX(INCVALUES,$Q819,$K$1)</f>
        <v>0.5</v>
      </c>
      <c r="V819">
        <f t="array" ref="V819">+J819+(4*(INDEX(MatchScoreTable,$Q819,20)-1))</f>
        <v>4</v>
      </c>
      <c r="W819" s="442">
        <f t="array" ref="W819">INDEX(INC_MINVALUES,$V819,$K$1)</f>
        <v>2.5</v>
      </c>
      <c r="X819" s="212">
        <f t="array" ref="X819">INDEX(INC_INCVALUES,$V819,$K$1)</f>
        <v>0.5</v>
      </c>
    </row>
    <row r="820" ht="15.75" customHeight="1">
      <c r="A820" s="435"/>
      <c r="B820" s="436"/>
      <c r="C820" s="95" t="str">
        <f t="array" ref="C820">IF(I820&gt;0,INDEX(DB,I820,8),"")</f>
        <v/>
      </c>
      <c r="D820" s="437">
        <f t="shared" si="1"/>
        <v>0</v>
      </c>
      <c r="F820" s="438">
        <f t="shared" si="2"/>
        <v>0</v>
      </c>
      <c r="G820" t="str">
        <f t="shared" si="3"/>
        <v/>
      </c>
      <c r="H820" t="b">
        <f t="shared" si="4"/>
        <v>0</v>
      </c>
      <c r="I820" s="439">
        <f>IF(OR(ISBLANK(A820),ISNA(MATCH(A820&amp;"",AthleteNumbers,0))),0,MATCH(A820&amp;"",AthleteNumbers,0))</f>
        <v>0</v>
      </c>
      <c r="J820" s="209">
        <f t="array" ref="J820">IF(I820&gt;0,INDEX(DB,$I820,6),0)</f>
        <v>0</v>
      </c>
      <c r="K820" s="446">
        <f t="shared" si="5"/>
        <v>0</v>
      </c>
      <c r="L820" s="446">
        <f t="shared" si="6"/>
        <v>0</v>
      </c>
      <c r="M820" s="441">
        <f>IF(L820&lt;O820,MinPoints,IF(AND(L820&gt;N820,O820&gt;0),100,+INT(($L820-O820)/P820)+MinPoints))</f>
        <v>10</v>
      </c>
      <c r="N820" s="440">
        <f t="shared" si="7"/>
        <v>50</v>
      </c>
      <c r="O820" s="440">
        <f t="shared" si="8"/>
        <v>5</v>
      </c>
      <c r="P820" s="440">
        <f t="shared" si="9"/>
        <v>0.5</v>
      </c>
      <c r="Q820">
        <f t="array" ref="Q820">IF(I820&gt;0,INDEX(DB,I820,9),EventIndex)</f>
        <v>6</v>
      </c>
      <c r="S820" s="442">
        <f t="array" ref="S820">INDEX(MINVALUES,$Q820,$K$1)</f>
        <v>5</v>
      </c>
      <c r="T820">
        <f t="array" ref="T820">INDEX(INCVALUES,$Q820,$K$1)</f>
        <v>0.5</v>
      </c>
      <c r="V820">
        <f t="array" ref="V820">+J820+(4*(INDEX(MatchScoreTable,$Q820,20)-1))</f>
        <v>4</v>
      </c>
      <c r="W820" s="442">
        <f t="array" ref="W820">INDEX(INC_MINVALUES,$V820,$K$1)</f>
        <v>2.5</v>
      </c>
      <c r="X820" s="212">
        <f t="array" ref="X820">INDEX(INC_INCVALUES,$V820,$K$1)</f>
        <v>0.5</v>
      </c>
    </row>
    <row r="821" ht="15.75" customHeight="1">
      <c r="A821" s="435"/>
      <c r="B821" s="436"/>
      <c r="C821" s="95" t="str">
        <f t="array" ref="C821">IF(I821&gt;0,INDEX(DB,I821,8),"")</f>
        <v/>
      </c>
      <c r="D821" s="437">
        <f t="shared" si="1"/>
        <v>0</v>
      </c>
      <c r="F821" s="438">
        <f t="shared" si="2"/>
        <v>0</v>
      </c>
      <c r="G821" t="str">
        <f t="shared" si="3"/>
        <v/>
      </c>
      <c r="H821" t="b">
        <f t="shared" si="4"/>
        <v>0</v>
      </c>
      <c r="I821" s="439">
        <f>IF(OR(ISBLANK(A821),ISNA(MATCH(A821&amp;"",AthleteNumbers,0))),0,MATCH(A821&amp;"",AthleteNumbers,0))</f>
        <v>0</v>
      </c>
      <c r="J821" s="209">
        <f t="array" ref="J821">IF(I821&gt;0,INDEX(DB,$I821,6),0)</f>
        <v>0</v>
      </c>
      <c r="K821" s="446">
        <f t="shared" si="5"/>
        <v>0</v>
      </c>
      <c r="L821" s="446">
        <f t="shared" si="6"/>
        <v>0</v>
      </c>
      <c r="M821" s="441">
        <f>IF(L821&lt;O821,MinPoints,IF(AND(L821&gt;N821,O821&gt;0),100,+INT(($L821-O821)/P821)+MinPoints))</f>
        <v>10</v>
      </c>
      <c r="N821" s="440">
        <f t="shared" si="7"/>
        <v>50</v>
      </c>
      <c r="O821" s="440">
        <f t="shared" si="8"/>
        <v>5</v>
      </c>
      <c r="P821" s="440">
        <f t="shared" si="9"/>
        <v>0.5</v>
      </c>
      <c r="Q821">
        <f t="array" ref="Q821">IF(I821&gt;0,INDEX(DB,I821,9),EventIndex)</f>
        <v>6</v>
      </c>
      <c r="S821" s="442">
        <f t="array" ref="S821">INDEX(MINVALUES,$Q821,$K$1)</f>
        <v>5</v>
      </c>
      <c r="T821">
        <f t="array" ref="T821">INDEX(INCVALUES,$Q821,$K$1)</f>
        <v>0.5</v>
      </c>
      <c r="V821">
        <f t="array" ref="V821">+J821+(4*(INDEX(MatchScoreTable,$Q821,20)-1))</f>
        <v>4</v>
      </c>
      <c r="W821" s="442">
        <f t="array" ref="W821">INDEX(INC_MINVALUES,$V821,$K$1)</f>
        <v>2.5</v>
      </c>
      <c r="X821" s="212">
        <f t="array" ref="X821">INDEX(INC_INCVALUES,$V821,$K$1)</f>
        <v>0.5</v>
      </c>
    </row>
    <row r="822" ht="15.75" customHeight="1">
      <c r="A822" s="435"/>
      <c r="B822" s="436"/>
      <c r="C822" s="95" t="str">
        <f t="array" ref="C822">IF(I822&gt;0,INDEX(DB,I822,8),"")</f>
        <v/>
      </c>
      <c r="D822" s="437">
        <f t="shared" si="1"/>
        <v>0</v>
      </c>
      <c r="F822" s="438">
        <f t="shared" si="2"/>
        <v>0</v>
      </c>
      <c r="G822" t="str">
        <f t="shared" si="3"/>
        <v/>
      </c>
      <c r="H822" t="b">
        <f t="shared" si="4"/>
        <v>0</v>
      </c>
      <c r="I822" s="439">
        <f>IF(OR(ISBLANK(A822),ISNA(MATCH(A822&amp;"",AthleteNumbers,0))),0,MATCH(A822&amp;"",AthleteNumbers,0))</f>
        <v>0</v>
      </c>
      <c r="J822" s="209">
        <f t="array" ref="J822">IF(I822&gt;0,INDEX(DB,$I822,6),0)</f>
        <v>0</v>
      </c>
      <c r="K822" s="446">
        <f t="shared" si="5"/>
        <v>0</v>
      </c>
      <c r="L822" s="446">
        <f t="shared" si="6"/>
        <v>0</v>
      </c>
      <c r="M822" s="441">
        <f>IF(L822&lt;O822,MinPoints,IF(AND(L822&gt;N822,O822&gt;0),100,+INT(($L822-O822)/P822)+MinPoints))</f>
        <v>10</v>
      </c>
      <c r="N822" s="440">
        <f t="shared" si="7"/>
        <v>50</v>
      </c>
      <c r="O822" s="440">
        <f t="shared" si="8"/>
        <v>5</v>
      </c>
      <c r="P822" s="440">
        <f t="shared" si="9"/>
        <v>0.5</v>
      </c>
      <c r="Q822">
        <f t="array" ref="Q822">IF(I822&gt;0,INDEX(DB,I822,9),EventIndex)</f>
        <v>6</v>
      </c>
      <c r="S822" s="442">
        <f t="array" ref="S822">INDEX(MINVALUES,$Q822,$K$1)</f>
        <v>5</v>
      </c>
      <c r="T822">
        <f t="array" ref="T822">INDEX(INCVALUES,$Q822,$K$1)</f>
        <v>0.5</v>
      </c>
      <c r="V822">
        <f t="array" ref="V822">+J822+(4*(INDEX(MatchScoreTable,$Q822,20)-1))</f>
        <v>4</v>
      </c>
      <c r="W822" s="442">
        <f t="array" ref="W822">INDEX(INC_MINVALUES,$V822,$K$1)</f>
        <v>2.5</v>
      </c>
      <c r="X822" s="212">
        <f t="array" ref="X822">INDEX(INC_INCVALUES,$V822,$K$1)</f>
        <v>0.5</v>
      </c>
    </row>
    <row r="823" ht="15.75" customHeight="1">
      <c r="A823" s="435"/>
      <c r="B823" s="436"/>
      <c r="C823" s="95" t="str">
        <f t="array" ref="C823">IF(I823&gt;0,INDEX(DB,I823,8),"")</f>
        <v/>
      </c>
      <c r="D823" s="437">
        <f t="shared" si="1"/>
        <v>0</v>
      </c>
      <c r="F823" s="438">
        <f t="shared" si="2"/>
        <v>0</v>
      </c>
      <c r="G823" t="str">
        <f t="shared" si="3"/>
        <v/>
      </c>
      <c r="H823" t="b">
        <f t="shared" si="4"/>
        <v>0</v>
      </c>
      <c r="I823" s="439">
        <f>IF(OR(ISBLANK(A823),ISNA(MATCH(A823&amp;"",AthleteNumbers,0))),0,MATCH(A823&amp;"",AthleteNumbers,0))</f>
        <v>0</v>
      </c>
      <c r="J823" s="209">
        <f t="array" ref="J823">IF(I823&gt;0,INDEX(DB,$I823,6),0)</f>
        <v>0</v>
      </c>
      <c r="K823" s="446">
        <f t="shared" si="5"/>
        <v>0</v>
      </c>
      <c r="L823" s="446">
        <f t="shared" si="6"/>
        <v>0</v>
      </c>
      <c r="M823" s="441">
        <f>IF(L823&lt;O823,MinPoints,IF(AND(L823&gt;N823,O823&gt;0),100,+INT(($L823-O823)/P823)+MinPoints))</f>
        <v>10</v>
      </c>
      <c r="N823" s="440">
        <f t="shared" si="7"/>
        <v>50</v>
      </c>
      <c r="O823" s="440">
        <f t="shared" si="8"/>
        <v>5</v>
      </c>
      <c r="P823" s="440">
        <f t="shared" si="9"/>
        <v>0.5</v>
      </c>
      <c r="Q823">
        <f t="array" ref="Q823">IF(I823&gt;0,INDEX(DB,I823,9),EventIndex)</f>
        <v>6</v>
      </c>
      <c r="S823" s="442">
        <f t="array" ref="S823">INDEX(MINVALUES,$Q823,$K$1)</f>
        <v>5</v>
      </c>
      <c r="T823">
        <f t="array" ref="T823">INDEX(INCVALUES,$Q823,$K$1)</f>
        <v>0.5</v>
      </c>
      <c r="V823">
        <f t="array" ref="V823">+J823+(4*(INDEX(MatchScoreTable,$Q823,20)-1))</f>
        <v>4</v>
      </c>
      <c r="W823" s="442">
        <f t="array" ref="W823">INDEX(INC_MINVALUES,$V823,$K$1)</f>
        <v>2.5</v>
      </c>
      <c r="X823" s="212">
        <f t="array" ref="X823">INDEX(INC_INCVALUES,$V823,$K$1)</f>
        <v>0.5</v>
      </c>
    </row>
    <row r="824" ht="15.75" customHeight="1">
      <c r="A824" s="435"/>
      <c r="B824" s="436"/>
      <c r="C824" s="95" t="str">
        <f t="array" ref="C824">IF(I824&gt;0,INDEX(DB,I824,8),"")</f>
        <v/>
      </c>
      <c r="D824" s="437">
        <f t="shared" si="1"/>
        <v>0</v>
      </c>
      <c r="F824" s="438">
        <f t="shared" si="2"/>
        <v>0</v>
      </c>
      <c r="G824" t="str">
        <f t="shared" si="3"/>
        <v/>
      </c>
      <c r="H824" t="b">
        <f t="shared" si="4"/>
        <v>0</v>
      </c>
      <c r="I824" s="439">
        <f>IF(OR(ISBLANK(A824),ISNA(MATCH(A824&amp;"",AthleteNumbers,0))),0,MATCH(A824&amp;"",AthleteNumbers,0))</f>
        <v>0</v>
      </c>
      <c r="J824" s="209">
        <f t="array" ref="J824">IF(I824&gt;0,INDEX(DB,$I824,6),0)</f>
        <v>0</v>
      </c>
      <c r="K824" s="446">
        <f t="shared" si="5"/>
        <v>0</v>
      </c>
      <c r="L824" s="446">
        <f t="shared" si="6"/>
        <v>0</v>
      </c>
      <c r="M824" s="441">
        <f>IF(L824&lt;O824,MinPoints,IF(AND(L824&gt;N824,O824&gt;0),100,+INT(($L824-O824)/P824)+MinPoints))</f>
        <v>10</v>
      </c>
      <c r="N824" s="440">
        <f t="shared" si="7"/>
        <v>50</v>
      </c>
      <c r="O824" s="440">
        <f t="shared" si="8"/>
        <v>5</v>
      </c>
      <c r="P824" s="440">
        <f t="shared" si="9"/>
        <v>0.5</v>
      </c>
      <c r="Q824">
        <f t="array" ref="Q824">IF(I824&gt;0,INDEX(DB,I824,9),EventIndex)</f>
        <v>6</v>
      </c>
      <c r="S824" s="442">
        <f t="array" ref="S824">INDEX(MINVALUES,$Q824,$K$1)</f>
        <v>5</v>
      </c>
      <c r="T824">
        <f t="array" ref="T824">INDEX(INCVALUES,$Q824,$K$1)</f>
        <v>0.5</v>
      </c>
      <c r="V824">
        <f t="array" ref="V824">+J824+(4*(INDEX(MatchScoreTable,$Q824,20)-1))</f>
        <v>4</v>
      </c>
      <c r="W824" s="442">
        <f t="array" ref="W824">INDEX(INC_MINVALUES,$V824,$K$1)</f>
        <v>2.5</v>
      </c>
      <c r="X824" s="212">
        <f t="array" ref="X824">INDEX(INC_INCVALUES,$V824,$K$1)</f>
        <v>0.5</v>
      </c>
    </row>
    <row r="825" ht="15.75" customHeight="1">
      <c r="A825" s="435"/>
      <c r="B825" s="436"/>
      <c r="C825" s="95" t="str">
        <f t="array" ref="C825">IF(I825&gt;0,INDEX(DB,I825,8),"")</f>
        <v/>
      </c>
      <c r="D825" s="437">
        <f t="shared" si="1"/>
        <v>0</v>
      </c>
      <c r="F825" s="438">
        <f t="shared" si="2"/>
        <v>0</v>
      </c>
      <c r="G825" t="str">
        <f t="shared" si="3"/>
        <v/>
      </c>
      <c r="H825" t="b">
        <f t="shared" si="4"/>
        <v>0</v>
      </c>
      <c r="I825" s="439">
        <f>IF(OR(ISBLANK(A825),ISNA(MATCH(A825&amp;"",AthleteNumbers,0))),0,MATCH(A825&amp;"",AthleteNumbers,0))</f>
        <v>0</v>
      </c>
      <c r="J825" s="209">
        <f t="array" ref="J825">IF(I825&gt;0,INDEX(DB,$I825,6),0)</f>
        <v>0</v>
      </c>
      <c r="K825" s="446">
        <f t="shared" si="5"/>
        <v>0</v>
      </c>
      <c r="L825" s="446">
        <f t="shared" si="6"/>
        <v>0</v>
      </c>
      <c r="M825" s="441">
        <f>IF(L825&lt;O825,MinPoints,IF(AND(L825&gt;N825,O825&gt;0),100,+INT(($L825-O825)/P825)+MinPoints))</f>
        <v>10</v>
      </c>
      <c r="N825" s="440">
        <f t="shared" si="7"/>
        <v>50</v>
      </c>
      <c r="O825" s="440">
        <f t="shared" si="8"/>
        <v>5</v>
      </c>
      <c r="P825" s="440">
        <f t="shared" si="9"/>
        <v>0.5</v>
      </c>
      <c r="Q825">
        <f t="array" ref="Q825">IF(I825&gt;0,INDEX(DB,I825,9),EventIndex)</f>
        <v>6</v>
      </c>
      <c r="S825" s="442">
        <f t="array" ref="S825">INDEX(MINVALUES,$Q825,$K$1)</f>
        <v>5</v>
      </c>
      <c r="T825">
        <f t="array" ref="T825">INDEX(INCVALUES,$Q825,$K$1)</f>
        <v>0.5</v>
      </c>
      <c r="V825">
        <f t="array" ref="V825">+J825+(4*(INDEX(MatchScoreTable,$Q825,20)-1))</f>
        <v>4</v>
      </c>
      <c r="W825" s="442">
        <f t="array" ref="W825">INDEX(INC_MINVALUES,$V825,$K$1)</f>
        <v>2.5</v>
      </c>
      <c r="X825" s="212">
        <f t="array" ref="X825">INDEX(INC_INCVALUES,$V825,$K$1)</f>
        <v>0.5</v>
      </c>
    </row>
    <row r="826" ht="15.75" customHeight="1">
      <c r="A826" s="435"/>
      <c r="B826" s="436"/>
      <c r="C826" s="95" t="str">
        <f t="array" ref="C826">IF(I826&gt;0,INDEX(DB,I826,8),"")</f>
        <v/>
      </c>
      <c r="D826" s="437">
        <f t="shared" si="1"/>
        <v>0</v>
      </c>
      <c r="F826" s="438">
        <f t="shared" si="2"/>
        <v>0</v>
      </c>
      <c r="G826" t="str">
        <f t="shared" si="3"/>
        <v/>
      </c>
      <c r="H826" t="b">
        <f t="shared" si="4"/>
        <v>0</v>
      </c>
      <c r="I826" s="439">
        <f>IF(OR(ISBLANK(A826),ISNA(MATCH(A826&amp;"",AthleteNumbers,0))),0,MATCH(A826&amp;"",AthleteNumbers,0))</f>
        <v>0</v>
      </c>
      <c r="J826" s="209">
        <f t="array" ref="J826">IF(I826&gt;0,INDEX(DB,$I826,6),0)</f>
        <v>0</v>
      </c>
      <c r="K826" s="446">
        <f t="shared" si="5"/>
        <v>0</v>
      </c>
      <c r="L826" s="446">
        <f t="shared" si="6"/>
        <v>0</v>
      </c>
      <c r="M826" s="441">
        <f>IF(L826&lt;O826,MinPoints,IF(AND(L826&gt;N826,O826&gt;0),100,+INT(($L826-O826)/P826)+MinPoints))</f>
        <v>10</v>
      </c>
      <c r="N826" s="440">
        <f t="shared" si="7"/>
        <v>50</v>
      </c>
      <c r="O826" s="440">
        <f t="shared" si="8"/>
        <v>5</v>
      </c>
      <c r="P826" s="440">
        <f t="shared" si="9"/>
        <v>0.5</v>
      </c>
      <c r="Q826">
        <f t="array" ref="Q826">IF(I826&gt;0,INDEX(DB,I826,9),EventIndex)</f>
        <v>6</v>
      </c>
      <c r="S826" s="442">
        <f t="array" ref="S826">INDEX(MINVALUES,$Q826,$K$1)</f>
        <v>5</v>
      </c>
      <c r="T826">
        <f t="array" ref="T826">INDEX(INCVALUES,$Q826,$K$1)</f>
        <v>0.5</v>
      </c>
      <c r="V826">
        <f t="array" ref="V826">+J826+(4*(INDEX(MatchScoreTable,$Q826,20)-1))</f>
        <v>4</v>
      </c>
      <c r="W826" s="442">
        <f t="array" ref="W826">INDEX(INC_MINVALUES,$V826,$K$1)</f>
        <v>2.5</v>
      </c>
      <c r="X826" s="212">
        <f t="array" ref="X826">INDEX(INC_INCVALUES,$V826,$K$1)</f>
        <v>0.5</v>
      </c>
    </row>
    <row r="827" ht="15.75" customHeight="1">
      <c r="A827" s="435"/>
      <c r="B827" s="436"/>
      <c r="C827" s="95" t="str">
        <f t="array" ref="C827">IF(I827&gt;0,INDEX(DB,I827,8),"")</f>
        <v/>
      </c>
      <c r="D827" s="437">
        <f t="shared" si="1"/>
        <v>0</v>
      </c>
      <c r="F827" s="438">
        <f t="shared" si="2"/>
        <v>0</v>
      </c>
      <c r="G827" t="str">
        <f t="shared" si="3"/>
        <v/>
      </c>
      <c r="H827" t="b">
        <f t="shared" si="4"/>
        <v>0</v>
      </c>
      <c r="I827" s="439">
        <f>IF(OR(ISBLANK(A827),ISNA(MATCH(A827&amp;"",AthleteNumbers,0))),0,MATCH(A827&amp;"",AthleteNumbers,0))</f>
        <v>0</v>
      </c>
      <c r="J827" s="209">
        <f t="array" ref="J827">IF(I827&gt;0,INDEX(DB,$I827,6),0)</f>
        <v>0</v>
      </c>
      <c r="K827" s="446">
        <f t="shared" si="5"/>
        <v>0</v>
      </c>
      <c r="L827" s="446">
        <f t="shared" si="6"/>
        <v>0</v>
      </c>
      <c r="M827" s="441">
        <f>IF(L827&lt;O827,MinPoints,IF(AND(L827&gt;N827,O827&gt;0),100,+INT(($L827-O827)/P827)+MinPoints))</f>
        <v>10</v>
      </c>
      <c r="N827" s="440">
        <f t="shared" si="7"/>
        <v>50</v>
      </c>
      <c r="O827" s="440">
        <f t="shared" si="8"/>
        <v>5</v>
      </c>
      <c r="P827" s="440">
        <f t="shared" si="9"/>
        <v>0.5</v>
      </c>
      <c r="Q827">
        <f t="array" ref="Q827">IF(I827&gt;0,INDEX(DB,I827,9),EventIndex)</f>
        <v>6</v>
      </c>
      <c r="S827" s="442">
        <f t="array" ref="S827">INDEX(MINVALUES,$Q827,$K$1)</f>
        <v>5</v>
      </c>
      <c r="T827">
        <f t="array" ref="T827">INDEX(INCVALUES,$Q827,$K$1)</f>
        <v>0.5</v>
      </c>
      <c r="V827">
        <f t="array" ref="V827">+J827+(4*(INDEX(MatchScoreTable,$Q827,20)-1))</f>
        <v>4</v>
      </c>
      <c r="W827" s="442">
        <f t="array" ref="W827">INDEX(INC_MINVALUES,$V827,$K$1)</f>
        <v>2.5</v>
      </c>
      <c r="X827" s="212">
        <f t="array" ref="X827">INDEX(INC_INCVALUES,$V827,$K$1)</f>
        <v>0.5</v>
      </c>
    </row>
    <row r="828" ht="15.75" customHeight="1">
      <c r="A828" s="435"/>
      <c r="B828" s="436"/>
      <c r="C828" s="95" t="str">
        <f t="array" ref="C828">IF(I828&gt;0,INDEX(DB,I828,8),"")</f>
        <v/>
      </c>
      <c r="D828" s="437">
        <f t="shared" si="1"/>
        <v>0</v>
      </c>
      <c r="F828" s="438">
        <f t="shared" si="2"/>
        <v>0</v>
      </c>
      <c r="G828" t="str">
        <f t="shared" si="3"/>
        <v/>
      </c>
      <c r="H828" t="b">
        <f t="shared" si="4"/>
        <v>0</v>
      </c>
      <c r="I828" s="439">
        <f>IF(OR(ISBLANK(A828),ISNA(MATCH(A828&amp;"",AthleteNumbers,0))),0,MATCH(A828&amp;"",AthleteNumbers,0))</f>
        <v>0</v>
      </c>
      <c r="J828" s="209">
        <f t="array" ref="J828">IF(I828&gt;0,INDEX(DB,$I828,6),0)</f>
        <v>0</v>
      </c>
      <c r="K828" s="446">
        <f t="shared" si="5"/>
        <v>0</v>
      </c>
      <c r="L828" s="446">
        <f t="shared" si="6"/>
        <v>0</v>
      </c>
      <c r="M828" s="441">
        <f>IF(L828&lt;O828,MinPoints,IF(AND(L828&gt;N828,O828&gt;0),100,+INT(($L828-O828)/P828)+MinPoints))</f>
        <v>10</v>
      </c>
      <c r="N828" s="440">
        <f t="shared" si="7"/>
        <v>50</v>
      </c>
      <c r="O828" s="440">
        <f t="shared" si="8"/>
        <v>5</v>
      </c>
      <c r="P828" s="440">
        <f t="shared" si="9"/>
        <v>0.5</v>
      </c>
      <c r="Q828">
        <f t="array" ref="Q828">IF(I828&gt;0,INDEX(DB,I828,9),EventIndex)</f>
        <v>6</v>
      </c>
      <c r="S828" s="442">
        <f t="array" ref="S828">INDEX(MINVALUES,$Q828,$K$1)</f>
        <v>5</v>
      </c>
      <c r="T828">
        <f t="array" ref="T828">INDEX(INCVALUES,$Q828,$K$1)</f>
        <v>0.5</v>
      </c>
      <c r="V828">
        <f t="array" ref="V828">+J828+(4*(INDEX(MatchScoreTable,$Q828,20)-1))</f>
        <v>4</v>
      </c>
      <c r="W828" s="442">
        <f t="array" ref="W828">INDEX(INC_MINVALUES,$V828,$K$1)</f>
        <v>2.5</v>
      </c>
      <c r="X828" s="212">
        <f t="array" ref="X828">INDEX(INC_INCVALUES,$V828,$K$1)</f>
        <v>0.5</v>
      </c>
    </row>
    <row r="829" ht="15.75" customHeight="1">
      <c r="A829" s="435"/>
      <c r="B829" s="436"/>
      <c r="C829" s="95" t="str">
        <f t="array" ref="C829">IF(I829&gt;0,INDEX(DB,I829,8),"")</f>
        <v/>
      </c>
      <c r="D829" s="437">
        <f t="shared" si="1"/>
        <v>0</v>
      </c>
      <c r="F829" s="438">
        <f t="shared" si="2"/>
        <v>0</v>
      </c>
      <c r="G829" t="str">
        <f t="shared" si="3"/>
        <v/>
      </c>
      <c r="H829" t="b">
        <f t="shared" si="4"/>
        <v>0</v>
      </c>
      <c r="I829" s="439">
        <f>IF(OR(ISBLANK(A829),ISNA(MATCH(A829&amp;"",AthleteNumbers,0))),0,MATCH(A829&amp;"",AthleteNumbers,0))</f>
        <v>0</v>
      </c>
      <c r="J829" s="209">
        <f t="array" ref="J829">IF(I829&gt;0,INDEX(DB,$I829,6),0)</f>
        <v>0</v>
      </c>
      <c r="K829" s="446">
        <f t="shared" si="5"/>
        <v>0</v>
      </c>
      <c r="L829" s="446">
        <f t="shared" si="6"/>
        <v>0</v>
      </c>
      <c r="M829" s="441">
        <f>IF(L829&lt;O829,MinPoints,IF(AND(L829&gt;N829,O829&gt;0),100,+INT(($L829-O829)/P829)+MinPoints))</f>
        <v>10</v>
      </c>
      <c r="N829" s="440">
        <f t="shared" si="7"/>
        <v>50</v>
      </c>
      <c r="O829" s="440">
        <f t="shared" si="8"/>
        <v>5</v>
      </c>
      <c r="P829" s="440">
        <f t="shared" si="9"/>
        <v>0.5</v>
      </c>
      <c r="Q829">
        <f t="array" ref="Q829">IF(I829&gt;0,INDEX(DB,I829,9),EventIndex)</f>
        <v>6</v>
      </c>
      <c r="S829" s="442">
        <f t="array" ref="S829">INDEX(MINVALUES,$Q829,$K$1)</f>
        <v>5</v>
      </c>
      <c r="T829">
        <f t="array" ref="T829">INDEX(INCVALUES,$Q829,$K$1)</f>
        <v>0.5</v>
      </c>
      <c r="V829">
        <f t="array" ref="V829">+J829+(4*(INDEX(MatchScoreTable,$Q829,20)-1))</f>
        <v>4</v>
      </c>
      <c r="W829" s="442">
        <f t="array" ref="W829">INDEX(INC_MINVALUES,$V829,$K$1)</f>
        <v>2.5</v>
      </c>
      <c r="X829" s="212">
        <f t="array" ref="X829">INDEX(INC_INCVALUES,$V829,$K$1)</f>
        <v>0.5</v>
      </c>
    </row>
    <row r="830" ht="15.75" customHeight="1">
      <c r="A830" s="435"/>
      <c r="B830" s="436"/>
      <c r="C830" s="95" t="str">
        <f t="array" ref="C830">IF(I830&gt;0,INDEX(DB,I830,8),"")</f>
        <v/>
      </c>
      <c r="D830" s="437">
        <f t="shared" si="1"/>
        <v>0</v>
      </c>
      <c r="F830" s="438">
        <f t="shared" si="2"/>
        <v>0</v>
      </c>
      <c r="G830" t="str">
        <f t="shared" si="3"/>
        <v/>
      </c>
      <c r="H830" t="b">
        <f t="shared" si="4"/>
        <v>0</v>
      </c>
      <c r="I830" s="439">
        <f>IF(OR(ISBLANK(A830),ISNA(MATCH(A830&amp;"",AthleteNumbers,0))),0,MATCH(A830&amp;"",AthleteNumbers,0))</f>
        <v>0</v>
      </c>
      <c r="J830" s="209">
        <f t="array" ref="J830">IF(I830&gt;0,INDEX(DB,$I830,6),0)</f>
        <v>0</v>
      </c>
      <c r="K830" s="446">
        <f t="shared" si="5"/>
        <v>0</v>
      </c>
      <c r="L830" s="446">
        <f t="shared" si="6"/>
        <v>0</v>
      </c>
      <c r="M830" s="441">
        <f>IF(L830&lt;O830,MinPoints,IF(AND(L830&gt;N830,O830&gt;0),100,+INT(($L830-O830)/P830)+MinPoints))</f>
        <v>10</v>
      </c>
      <c r="N830" s="440">
        <f t="shared" si="7"/>
        <v>50</v>
      </c>
      <c r="O830" s="440">
        <f t="shared" si="8"/>
        <v>5</v>
      </c>
      <c r="P830" s="440">
        <f t="shared" si="9"/>
        <v>0.5</v>
      </c>
      <c r="Q830">
        <f t="array" ref="Q830">IF(I830&gt;0,INDEX(DB,I830,9),EventIndex)</f>
        <v>6</v>
      </c>
      <c r="S830" s="442">
        <f t="array" ref="S830">INDEX(MINVALUES,$Q830,$K$1)</f>
        <v>5</v>
      </c>
      <c r="T830">
        <f t="array" ref="T830">INDEX(INCVALUES,$Q830,$K$1)</f>
        <v>0.5</v>
      </c>
      <c r="V830">
        <f t="array" ref="V830">+J830+(4*(INDEX(MatchScoreTable,$Q830,20)-1))</f>
        <v>4</v>
      </c>
      <c r="W830" s="442">
        <f t="array" ref="W830">INDEX(INC_MINVALUES,$V830,$K$1)</f>
        <v>2.5</v>
      </c>
      <c r="X830" s="212">
        <f t="array" ref="X830">INDEX(INC_INCVALUES,$V830,$K$1)</f>
        <v>0.5</v>
      </c>
    </row>
    <row r="831" ht="15.75" customHeight="1">
      <c r="A831" s="435"/>
      <c r="B831" s="436"/>
      <c r="C831" s="95" t="str">
        <f t="array" ref="C831">IF(I831&gt;0,INDEX(DB,I831,8),"")</f>
        <v/>
      </c>
      <c r="D831" s="437">
        <f t="shared" si="1"/>
        <v>0</v>
      </c>
      <c r="F831" s="438">
        <f t="shared" si="2"/>
        <v>0</v>
      </c>
      <c r="G831" t="str">
        <f t="shared" si="3"/>
        <v/>
      </c>
      <c r="H831" t="b">
        <f t="shared" si="4"/>
        <v>0</v>
      </c>
      <c r="I831" s="439">
        <f>IF(OR(ISBLANK(A831),ISNA(MATCH(A831&amp;"",AthleteNumbers,0))),0,MATCH(A831&amp;"",AthleteNumbers,0))</f>
        <v>0</v>
      </c>
      <c r="J831" s="209">
        <f t="array" ref="J831">IF(I831&gt;0,INDEX(DB,$I831,6),0)</f>
        <v>0</v>
      </c>
      <c r="K831" s="446">
        <f t="shared" si="5"/>
        <v>0</v>
      </c>
      <c r="L831" s="446">
        <f t="shared" si="6"/>
        <v>0</v>
      </c>
      <c r="M831" s="441">
        <f>IF(L831&lt;O831,MinPoints,IF(AND(L831&gt;N831,O831&gt;0),100,+INT(($L831-O831)/P831)+MinPoints))</f>
        <v>10</v>
      </c>
      <c r="N831" s="440">
        <f t="shared" si="7"/>
        <v>50</v>
      </c>
      <c r="O831" s="440">
        <f t="shared" si="8"/>
        <v>5</v>
      </c>
      <c r="P831" s="440">
        <f t="shared" si="9"/>
        <v>0.5</v>
      </c>
      <c r="Q831">
        <f t="array" ref="Q831">IF(I831&gt;0,INDEX(DB,I831,9),EventIndex)</f>
        <v>6</v>
      </c>
      <c r="S831" s="442">
        <f t="array" ref="S831">INDEX(MINVALUES,$Q831,$K$1)</f>
        <v>5</v>
      </c>
      <c r="T831">
        <f t="array" ref="T831">INDEX(INCVALUES,$Q831,$K$1)</f>
        <v>0.5</v>
      </c>
      <c r="V831">
        <f t="array" ref="V831">+J831+(4*(INDEX(MatchScoreTable,$Q831,20)-1))</f>
        <v>4</v>
      </c>
      <c r="W831" s="442">
        <f t="array" ref="W831">INDEX(INC_MINVALUES,$V831,$K$1)</f>
        <v>2.5</v>
      </c>
      <c r="X831" s="212">
        <f t="array" ref="X831">INDEX(INC_INCVALUES,$V831,$K$1)</f>
        <v>0.5</v>
      </c>
    </row>
    <row r="832" ht="15.75" customHeight="1">
      <c r="A832" s="435"/>
      <c r="B832" s="436"/>
      <c r="C832" s="95" t="str">
        <f t="array" ref="C832">IF(I832&gt;0,INDEX(DB,I832,8),"")</f>
        <v/>
      </c>
      <c r="D832" s="437">
        <f t="shared" si="1"/>
        <v>0</v>
      </c>
      <c r="F832" s="438">
        <f t="shared" si="2"/>
        <v>0</v>
      </c>
      <c r="G832" t="str">
        <f t="shared" si="3"/>
        <v/>
      </c>
      <c r="H832" t="b">
        <f t="shared" si="4"/>
        <v>0</v>
      </c>
      <c r="I832" s="439">
        <f>IF(OR(ISBLANK(A832),ISNA(MATCH(A832&amp;"",AthleteNumbers,0))),0,MATCH(A832&amp;"",AthleteNumbers,0))</f>
        <v>0</v>
      </c>
      <c r="J832" s="209">
        <f t="array" ref="J832">IF(I832&gt;0,INDEX(DB,$I832,6),0)</f>
        <v>0</v>
      </c>
      <c r="K832" s="446">
        <f t="shared" si="5"/>
        <v>0</v>
      </c>
      <c r="L832" s="446">
        <f t="shared" si="6"/>
        <v>0</v>
      </c>
      <c r="M832" s="441">
        <f>IF(L832&lt;O832,MinPoints,IF(AND(L832&gt;N832,O832&gt;0),100,+INT(($L832-O832)/P832)+MinPoints))</f>
        <v>10</v>
      </c>
      <c r="N832" s="440">
        <f t="shared" si="7"/>
        <v>50</v>
      </c>
      <c r="O832" s="440">
        <f t="shared" si="8"/>
        <v>5</v>
      </c>
      <c r="P832" s="440">
        <f t="shared" si="9"/>
        <v>0.5</v>
      </c>
      <c r="Q832">
        <f t="array" ref="Q832">IF(I832&gt;0,INDEX(DB,I832,9),EventIndex)</f>
        <v>6</v>
      </c>
      <c r="S832" s="442">
        <f t="array" ref="S832">INDEX(MINVALUES,$Q832,$K$1)</f>
        <v>5</v>
      </c>
      <c r="T832">
        <f t="array" ref="T832">INDEX(INCVALUES,$Q832,$K$1)</f>
        <v>0.5</v>
      </c>
      <c r="V832">
        <f t="array" ref="V832">+J832+(4*(INDEX(MatchScoreTable,$Q832,20)-1))</f>
        <v>4</v>
      </c>
      <c r="W832" s="442">
        <f t="array" ref="W832">INDEX(INC_MINVALUES,$V832,$K$1)</f>
        <v>2.5</v>
      </c>
      <c r="X832" s="212">
        <f t="array" ref="X832">INDEX(INC_INCVALUES,$V832,$K$1)</f>
        <v>0.5</v>
      </c>
    </row>
    <row r="833" ht="15.75" customHeight="1">
      <c r="A833" s="435"/>
      <c r="B833" s="436"/>
      <c r="C833" s="95" t="str">
        <f t="array" ref="C833">IF(I833&gt;0,INDEX(DB,I833,8),"")</f>
        <v/>
      </c>
      <c r="D833" s="437">
        <f t="shared" si="1"/>
        <v>0</v>
      </c>
      <c r="F833" s="438">
        <f t="shared" si="2"/>
        <v>0</v>
      </c>
      <c r="G833" t="str">
        <f t="shared" si="3"/>
        <v/>
      </c>
      <c r="H833" t="b">
        <f t="shared" si="4"/>
        <v>0</v>
      </c>
      <c r="I833" s="439">
        <f>IF(OR(ISBLANK(A833),ISNA(MATCH(A833&amp;"",AthleteNumbers,0))),0,MATCH(A833&amp;"",AthleteNumbers,0))</f>
        <v>0</v>
      </c>
      <c r="J833" s="209">
        <f t="array" ref="J833">IF(I833&gt;0,INDEX(DB,$I833,6),0)</f>
        <v>0</v>
      </c>
      <c r="K833" s="446">
        <f t="shared" si="5"/>
        <v>0</v>
      </c>
      <c r="L833" s="446">
        <f t="shared" si="6"/>
        <v>0</v>
      </c>
      <c r="M833" s="441">
        <f>IF(L833&lt;O833,MinPoints,IF(AND(L833&gt;N833,O833&gt;0),100,+INT(($L833-O833)/P833)+MinPoints))</f>
        <v>10</v>
      </c>
      <c r="N833" s="440">
        <f t="shared" si="7"/>
        <v>50</v>
      </c>
      <c r="O833" s="440">
        <f t="shared" si="8"/>
        <v>5</v>
      </c>
      <c r="P833" s="440">
        <f t="shared" si="9"/>
        <v>0.5</v>
      </c>
      <c r="Q833">
        <f t="array" ref="Q833">IF(I833&gt;0,INDEX(DB,I833,9),EventIndex)</f>
        <v>6</v>
      </c>
      <c r="S833" s="442">
        <f t="array" ref="S833">INDEX(MINVALUES,$Q833,$K$1)</f>
        <v>5</v>
      </c>
      <c r="T833">
        <f t="array" ref="T833">INDEX(INCVALUES,$Q833,$K$1)</f>
        <v>0.5</v>
      </c>
      <c r="V833">
        <f t="array" ref="V833">+J833+(4*(INDEX(MatchScoreTable,$Q833,20)-1))</f>
        <v>4</v>
      </c>
      <c r="W833" s="442">
        <f t="array" ref="W833">INDEX(INC_MINVALUES,$V833,$K$1)</f>
        <v>2.5</v>
      </c>
      <c r="X833" s="212">
        <f t="array" ref="X833">INDEX(INC_INCVALUES,$V833,$K$1)</f>
        <v>0.5</v>
      </c>
    </row>
    <row r="834" ht="15.75" customHeight="1">
      <c r="A834" s="435"/>
      <c r="B834" s="436"/>
      <c r="C834" s="95" t="str">
        <f t="array" ref="C834">IF(I834&gt;0,INDEX(DB,I834,8),"")</f>
        <v/>
      </c>
      <c r="D834" s="437">
        <f t="shared" si="1"/>
        <v>0</v>
      </c>
      <c r="F834" s="438">
        <f t="shared" si="2"/>
        <v>0</v>
      </c>
      <c r="G834" t="str">
        <f t="shared" si="3"/>
        <v/>
      </c>
      <c r="H834" t="b">
        <f t="shared" si="4"/>
        <v>0</v>
      </c>
      <c r="I834" s="439">
        <f>IF(OR(ISBLANK(A834),ISNA(MATCH(A834&amp;"",AthleteNumbers,0))),0,MATCH(A834&amp;"",AthleteNumbers,0))</f>
        <v>0</v>
      </c>
      <c r="J834" s="209">
        <f t="array" ref="J834">IF(I834&gt;0,INDEX(DB,$I834,6),0)</f>
        <v>0</v>
      </c>
      <c r="K834" s="446">
        <f t="shared" si="5"/>
        <v>0</v>
      </c>
      <c r="L834" s="446">
        <f t="shared" si="6"/>
        <v>0</v>
      </c>
      <c r="M834" s="441">
        <f>IF(L834&lt;O834,MinPoints,IF(AND(L834&gt;N834,O834&gt;0),100,+INT(($L834-O834)/P834)+MinPoints))</f>
        <v>10</v>
      </c>
      <c r="N834" s="440">
        <f t="shared" si="7"/>
        <v>50</v>
      </c>
      <c r="O834" s="440">
        <f t="shared" si="8"/>
        <v>5</v>
      </c>
      <c r="P834" s="440">
        <f t="shared" si="9"/>
        <v>0.5</v>
      </c>
      <c r="Q834">
        <f t="array" ref="Q834">IF(I834&gt;0,INDEX(DB,I834,9),EventIndex)</f>
        <v>6</v>
      </c>
      <c r="S834" s="442">
        <f t="array" ref="S834">INDEX(MINVALUES,$Q834,$K$1)</f>
        <v>5</v>
      </c>
      <c r="T834">
        <f t="array" ref="T834">INDEX(INCVALUES,$Q834,$K$1)</f>
        <v>0.5</v>
      </c>
      <c r="V834">
        <f t="array" ref="V834">+J834+(4*(INDEX(MatchScoreTable,$Q834,20)-1))</f>
        <v>4</v>
      </c>
      <c r="W834" s="442">
        <f t="array" ref="W834">INDEX(INC_MINVALUES,$V834,$K$1)</f>
        <v>2.5</v>
      </c>
      <c r="X834" s="212">
        <f t="array" ref="X834">INDEX(INC_INCVALUES,$V834,$K$1)</f>
        <v>0.5</v>
      </c>
    </row>
    <row r="835" ht="15.75" customHeight="1">
      <c r="A835" s="435"/>
      <c r="B835" s="436"/>
      <c r="C835" s="95" t="str">
        <f t="array" ref="C835">IF(I835&gt;0,INDEX(DB,I835,8),"")</f>
        <v/>
      </c>
      <c r="D835" s="437">
        <f t="shared" si="1"/>
        <v>0</v>
      </c>
      <c r="F835" s="438">
        <f t="shared" si="2"/>
        <v>0</v>
      </c>
      <c r="G835" t="str">
        <f t="shared" si="3"/>
        <v/>
      </c>
      <c r="H835" t="b">
        <f t="shared" si="4"/>
        <v>0</v>
      </c>
      <c r="I835" s="439">
        <f>IF(OR(ISBLANK(A835),ISNA(MATCH(A835&amp;"",AthleteNumbers,0))),0,MATCH(A835&amp;"",AthleteNumbers,0))</f>
        <v>0</v>
      </c>
      <c r="J835" s="209">
        <f t="array" ref="J835">IF(I835&gt;0,INDEX(DB,$I835,6),0)</f>
        <v>0</v>
      </c>
      <c r="K835" s="446">
        <f t="shared" si="5"/>
        <v>0</v>
      </c>
      <c r="L835" s="446">
        <f t="shared" si="6"/>
        <v>0</v>
      </c>
      <c r="M835" s="441">
        <f>IF(L835&lt;O835,MinPoints,IF(AND(L835&gt;N835,O835&gt;0),100,+INT(($L835-O835)/P835)+MinPoints))</f>
        <v>10</v>
      </c>
      <c r="N835" s="440">
        <f t="shared" si="7"/>
        <v>50</v>
      </c>
      <c r="O835" s="440">
        <f t="shared" si="8"/>
        <v>5</v>
      </c>
      <c r="P835" s="440">
        <f t="shared" si="9"/>
        <v>0.5</v>
      </c>
      <c r="Q835">
        <f t="array" ref="Q835">IF(I835&gt;0,INDEX(DB,I835,9),EventIndex)</f>
        <v>6</v>
      </c>
      <c r="S835" s="442">
        <f t="array" ref="S835">INDEX(MINVALUES,$Q835,$K$1)</f>
        <v>5</v>
      </c>
      <c r="T835">
        <f t="array" ref="T835">INDEX(INCVALUES,$Q835,$K$1)</f>
        <v>0.5</v>
      </c>
      <c r="V835">
        <f t="array" ref="V835">+J835+(4*(INDEX(MatchScoreTable,$Q835,20)-1))</f>
        <v>4</v>
      </c>
      <c r="W835" s="442">
        <f t="array" ref="W835">INDEX(INC_MINVALUES,$V835,$K$1)</f>
        <v>2.5</v>
      </c>
      <c r="X835" s="212">
        <f t="array" ref="X835">INDEX(INC_INCVALUES,$V835,$K$1)</f>
        <v>0.5</v>
      </c>
    </row>
    <row r="836" ht="15.75" customHeight="1">
      <c r="A836" s="435"/>
      <c r="B836" s="436"/>
      <c r="C836" s="95" t="str">
        <f t="array" ref="C836">IF(I836&gt;0,INDEX(DB,I836,8),"")</f>
        <v/>
      </c>
      <c r="D836" s="437">
        <f t="shared" si="1"/>
        <v>0</v>
      </c>
      <c r="F836" s="438">
        <f t="shared" si="2"/>
        <v>0</v>
      </c>
      <c r="G836" t="str">
        <f t="shared" si="3"/>
        <v/>
      </c>
      <c r="H836" t="b">
        <f t="shared" si="4"/>
        <v>0</v>
      </c>
      <c r="I836" s="439">
        <f>IF(OR(ISBLANK(A836),ISNA(MATCH(A836&amp;"",AthleteNumbers,0))),0,MATCH(A836&amp;"",AthleteNumbers,0))</f>
        <v>0</v>
      </c>
      <c r="J836" s="209">
        <f t="array" ref="J836">IF(I836&gt;0,INDEX(DB,$I836,6),0)</f>
        <v>0</v>
      </c>
      <c r="K836" s="446">
        <f t="shared" si="5"/>
        <v>0</v>
      </c>
      <c r="L836" s="446">
        <f t="shared" si="6"/>
        <v>0</v>
      </c>
      <c r="M836" s="441">
        <f>IF(L836&lt;O836,MinPoints,IF(AND(L836&gt;N836,O836&gt;0),100,+INT(($L836-O836)/P836)+MinPoints))</f>
        <v>10</v>
      </c>
      <c r="N836" s="440">
        <f t="shared" si="7"/>
        <v>50</v>
      </c>
      <c r="O836" s="440">
        <f t="shared" si="8"/>
        <v>5</v>
      </c>
      <c r="P836" s="440">
        <f t="shared" si="9"/>
        <v>0.5</v>
      </c>
      <c r="Q836">
        <f t="array" ref="Q836">IF(I836&gt;0,INDEX(DB,I836,9),EventIndex)</f>
        <v>6</v>
      </c>
      <c r="S836" s="442">
        <f t="array" ref="S836">INDEX(MINVALUES,$Q836,$K$1)</f>
        <v>5</v>
      </c>
      <c r="T836">
        <f t="array" ref="T836">INDEX(INCVALUES,$Q836,$K$1)</f>
        <v>0.5</v>
      </c>
      <c r="V836">
        <f t="array" ref="V836">+J836+(4*(INDEX(MatchScoreTable,$Q836,20)-1))</f>
        <v>4</v>
      </c>
      <c r="W836" s="442">
        <f t="array" ref="W836">INDEX(INC_MINVALUES,$V836,$K$1)</f>
        <v>2.5</v>
      </c>
      <c r="X836" s="212">
        <f t="array" ref="X836">INDEX(INC_INCVALUES,$V836,$K$1)</f>
        <v>0.5</v>
      </c>
    </row>
    <row r="837" ht="15.75" customHeight="1">
      <c r="A837" s="435"/>
      <c r="B837" s="436"/>
      <c r="C837" s="95" t="str">
        <f t="array" ref="C837">IF(I837&gt;0,INDEX(DB,I837,8),"")</f>
        <v/>
      </c>
      <c r="D837" s="437">
        <f t="shared" si="1"/>
        <v>0</v>
      </c>
      <c r="F837" s="438">
        <f t="shared" si="2"/>
        <v>0</v>
      </c>
      <c r="G837" t="str">
        <f t="shared" si="3"/>
        <v/>
      </c>
      <c r="H837" t="b">
        <f t="shared" si="4"/>
        <v>0</v>
      </c>
      <c r="I837" s="439">
        <f>IF(OR(ISBLANK(A837),ISNA(MATCH(A837&amp;"",AthleteNumbers,0))),0,MATCH(A837&amp;"",AthleteNumbers,0))</f>
        <v>0</v>
      </c>
      <c r="J837" s="209">
        <f t="array" ref="J837">IF(I837&gt;0,INDEX(DB,$I837,6),0)</f>
        <v>0</v>
      </c>
      <c r="K837" s="446">
        <f t="shared" si="5"/>
        <v>0</v>
      </c>
      <c r="L837" s="446">
        <f t="shared" si="6"/>
        <v>0</v>
      </c>
      <c r="M837" s="441">
        <f>IF(L837&lt;O837,MinPoints,IF(AND(L837&gt;N837,O837&gt;0),100,+INT(($L837-O837)/P837)+MinPoints))</f>
        <v>10</v>
      </c>
      <c r="N837" s="440">
        <f t="shared" si="7"/>
        <v>50</v>
      </c>
      <c r="O837" s="440">
        <f t="shared" si="8"/>
        <v>5</v>
      </c>
      <c r="P837" s="440">
        <f t="shared" si="9"/>
        <v>0.5</v>
      </c>
      <c r="Q837">
        <f t="array" ref="Q837">IF(I837&gt;0,INDEX(DB,I837,9),EventIndex)</f>
        <v>6</v>
      </c>
      <c r="S837" s="442">
        <f t="array" ref="S837">INDEX(MINVALUES,$Q837,$K$1)</f>
        <v>5</v>
      </c>
      <c r="T837">
        <f t="array" ref="T837">INDEX(INCVALUES,$Q837,$K$1)</f>
        <v>0.5</v>
      </c>
      <c r="V837">
        <f t="array" ref="V837">+J837+(4*(INDEX(MatchScoreTable,$Q837,20)-1))</f>
        <v>4</v>
      </c>
      <c r="W837" s="442">
        <f t="array" ref="W837">INDEX(INC_MINVALUES,$V837,$K$1)</f>
        <v>2.5</v>
      </c>
      <c r="X837" s="212">
        <f t="array" ref="X837">INDEX(INC_INCVALUES,$V837,$K$1)</f>
        <v>0.5</v>
      </c>
    </row>
    <row r="838" ht="15.75" customHeight="1">
      <c r="A838" s="435"/>
      <c r="B838" s="436"/>
      <c r="C838" s="95" t="str">
        <f t="array" ref="C838">IF(I838&gt;0,INDEX(DB,I838,8),"")</f>
        <v/>
      </c>
      <c r="D838" s="437">
        <f t="shared" si="1"/>
        <v>0</v>
      </c>
      <c r="F838" s="438">
        <f t="shared" si="2"/>
        <v>0</v>
      </c>
      <c r="G838" t="str">
        <f t="shared" si="3"/>
        <v/>
      </c>
      <c r="H838" t="b">
        <f t="shared" si="4"/>
        <v>0</v>
      </c>
      <c r="I838" s="439">
        <f>IF(OR(ISBLANK(A838),ISNA(MATCH(A838&amp;"",AthleteNumbers,0))),0,MATCH(A838&amp;"",AthleteNumbers,0))</f>
        <v>0</v>
      </c>
      <c r="J838" s="209">
        <f t="array" ref="J838">IF(I838&gt;0,INDEX(DB,$I838,6),0)</f>
        <v>0</v>
      </c>
      <c r="K838" s="446">
        <f t="shared" si="5"/>
        <v>0</v>
      </c>
      <c r="L838" s="446">
        <f t="shared" si="6"/>
        <v>0</v>
      </c>
      <c r="M838" s="441">
        <f>IF(L838&lt;O838,MinPoints,IF(AND(L838&gt;N838,O838&gt;0),100,+INT(($L838-O838)/P838)+MinPoints))</f>
        <v>10</v>
      </c>
      <c r="N838" s="440">
        <f t="shared" si="7"/>
        <v>50</v>
      </c>
      <c r="O838" s="440">
        <f t="shared" si="8"/>
        <v>5</v>
      </c>
      <c r="P838" s="440">
        <f t="shared" si="9"/>
        <v>0.5</v>
      </c>
      <c r="Q838">
        <f t="array" ref="Q838">IF(I838&gt;0,INDEX(DB,I838,9),EventIndex)</f>
        <v>6</v>
      </c>
      <c r="S838" s="442">
        <f t="array" ref="S838">INDEX(MINVALUES,$Q838,$K$1)</f>
        <v>5</v>
      </c>
      <c r="T838">
        <f t="array" ref="T838">INDEX(INCVALUES,$Q838,$K$1)</f>
        <v>0.5</v>
      </c>
      <c r="V838">
        <f t="array" ref="V838">+J838+(4*(INDEX(MatchScoreTable,$Q838,20)-1))</f>
        <v>4</v>
      </c>
      <c r="W838" s="442">
        <f t="array" ref="W838">INDEX(INC_MINVALUES,$V838,$K$1)</f>
        <v>2.5</v>
      </c>
      <c r="X838" s="212">
        <f t="array" ref="X838">INDEX(INC_INCVALUES,$V838,$K$1)</f>
        <v>0.5</v>
      </c>
    </row>
    <row r="839" ht="15.75" customHeight="1">
      <c r="A839" s="435"/>
      <c r="B839" s="436"/>
      <c r="C839" s="95" t="str">
        <f t="array" ref="C839">IF(I839&gt;0,INDEX(DB,I839,8),"")</f>
        <v/>
      </c>
      <c r="D839" s="437">
        <f t="shared" si="1"/>
        <v>0</v>
      </c>
      <c r="F839" s="438">
        <f t="shared" si="2"/>
        <v>0</v>
      </c>
      <c r="G839" t="str">
        <f t="shared" si="3"/>
        <v/>
      </c>
      <c r="H839" t="b">
        <f t="shared" si="4"/>
        <v>0</v>
      </c>
      <c r="I839" s="439">
        <f>IF(OR(ISBLANK(A839),ISNA(MATCH(A839&amp;"",AthleteNumbers,0))),0,MATCH(A839&amp;"",AthleteNumbers,0))</f>
        <v>0</v>
      </c>
      <c r="J839" s="209">
        <f t="array" ref="J839">IF(I839&gt;0,INDEX(DB,$I839,6),0)</f>
        <v>0</v>
      </c>
      <c r="K839" s="446">
        <f t="shared" si="5"/>
        <v>0</v>
      </c>
      <c r="L839" s="446">
        <f t="shared" si="6"/>
        <v>0</v>
      </c>
      <c r="M839" s="441">
        <f>IF(L839&lt;O839,MinPoints,IF(AND(L839&gt;N839,O839&gt;0),100,+INT(($L839-O839)/P839)+MinPoints))</f>
        <v>10</v>
      </c>
      <c r="N839" s="440">
        <f t="shared" si="7"/>
        <v>50</v>
      </c>
      <c r="O839" s="440">
        <f t="shared" si="8"/>
        <v>5</v>
      </c>
      <c r="P839" s="440">
        <f t="shared" si="9"/>
        <v>0.5</v>
      </c>
      <c r="Q839">
        <f t="array" ref="Q839">IF(I839&gt;0,INDEX(DB,I839,9),EventIndex)</f>
        <v>6</v>
      </c>
      <c r="S839" s="442">
        <f t="array" ref="S839">INDEX(MINVALUES,$Q839,$K$1)</f>
        <v>5</v>
      </c>
      <c r="T839">
        <f t="array" ref="T839">INDEX(INCVALUES,$Q839,$K$1)</f>
        <v>0.5</v>
      </c>
      <c r="V839">
        <f t="array" ref="V839">+J839+(4*(INDEX(MatchScoreTable,$Q839,20)-1))</f>
        <v>4</v>
      </c>
      <c r="W839" s="442">
        <f t="array" ref="W839">INDEX(INC_MINVALUES,$V839,$K$1)</f>
        <v>2.5</v>
      </c>
      <c r="X839" s="212">
        <f t="array" ref="X839">INDEX(INC_INCVALUES,$V839,$K$1)</f>
        <v>0.5</v>
      </c>
    </row>
    <row r="840" ht="15.75" customHeight="1">
      <c r="A840" s="435"/>
      <c r="B840" s="436"/>
      <c r="C840" s="95" t="str">
        <f t="array" ref="C840">IF(I840&gt;0,INDEX(DB,I840,8),"")</f>
        <v/>
      </c>
      <c r="D840" s="437">
        <f t="shared" si="1"/>
        <v>0</v>
      </c>
      <c r="F840" s="438">
        <f t="shared" si="2"/>
        <v>0</v>
      </c>
      <c r="G840" t="str">
        <f t="shared" si="3"/>
        <v/>
      </c>
      <c r="H840" t="b">
        <f t="shared" si="4"/>
        <v>0</v>
      </c>
      <c r="I840" s="439">
        <f>IF(OR(ISBLANK(A840),ISNA(MATCH(A840&amp;"",AthleteNumbers,0))),0,MATCH(A840&amp;"",AthleteNumbers,0))</f>
        <v>0</v>
      </c>
      <c r="J840" s="209">
        <f t="array" ref="J840">IF(I840&gt;0,INDEX(DB,$I840,6),0)</f>
        <v>0</v>
      </c>
      <c r="K840" s="446">
        <f t="shared" si="5"/>
        <v>0</v>
      </c>
      <c r="L840" s="446">
        <f t="shared" si="6"/>
        <v>0</v>
      </c>
      <c r="M840" s="441">
        <f>IF(L840&lt;O840,MinPoints,IF(AND(L840&gt;N840,O840&gt;0),100,+INT(($L840-O840)/P840)+MinPoints))</f>
        <v>10</v>
      </c>
      <c r="N840" s="440">
        <f t="shared" si="7"/>
        <v>50</v>
      </c>
      <c r="O840" s="440">
        <f t="shared" si="8"/>
        <v>5</v>
      </c>
      <c r="P840" s="440">
        <f t="shared" si="9"/>
        <v>0.5</v>
      </c>
      <c r="Q840">
        <f t="array" ref="Q840">IF(I840&gt;0,INDEX(DB,I840,9),EventIndex)</f>
        <v>6</v>
      </c>
      <c r="S840" s="442">
        <f t="array" ref="S840">INDEX(MINVALUES,$Q840,$K$1)</f>
        <v>5</v>
      </c>
      <c r="T840">
        <f t="array" ref="T840">INDEX(INCVALUES,$Q840,$K$1)</f>
        <v>0.5</v>
      </c>
      <c r="V840">
        <f t="array" ref="V840">+J840+(4*(INDEX(MatchScoreTable,$Q840,20)-1))</f>
        <v>4</v>
      </c>
      <c r="W840" s="442">
        <f t="array" ref="W840">INDEX(INC_MINVALUES,$V840,$K$1)</f>
        <v>2.5</v>
      </c>
      <c r="X840" s="212">
        <f t="array" ref="X840">INDEX(INC_INCVALUES,$V840,$K$1)</f>
        <v>0.5</v>
      </c>
    </row>
    <row r="841" ht="15.75" customHeight="1">
      <c r="A841" s="435"/>
      <c r="B841" s="436"/>
      <c r="C841" s="95" t="str">
        <f t="array" ref="C841">IF(I841&gt;0,INDEX(DB,I841,8),"")</f>
        <v/>
      </c>
      <c r="D841" s="437">
        <f t="shared" si="1"/>
        <v>0</v>
      </c>
      <c r="F841" s="438">
        <f t="shared" si="2"/>
        <v>0</v>
      </c>
      <c r="G841" t="str">
        <f t="shared" si="3"/>
        <v/>
      </c>
      <c r="H841" t="b">
        <f t="shared" si="4"/>
        <v>0</v>
      </c>
      <c r="I841" s="439">
        <f>IF(OR(ISBLANK(A841),ISNA(MATCH(A841&amp;"",AthleteNumbers,0))),0,MATCH(A841&amp;"",AthleteNumbers,0))</f>
        <v>0</v>
      </c>
      <c r="J841" s="209">
        <f t="array" ref="J841">IF(I841&gt;0,INDEX(DB,$I841,6),0)</f>
        <v>0</v>
      </c>
      <c r="K841" s="446">
        <f t="shared" si="5"/>
        <v>0</v>
      </c>
      <c r="L841" s="446">
        <f t="shared" si="6"/>
        <v>0</v>
      </c>
      <c r="M841" s="441">
        <f>IF(L841&lt;O841,MinPoints,IF(AND(L841&gt;N841,O841&gt;0),100,+INT(($L841-O841)/P841)+MinPoints))</f>
        <v>10</v>
      </c>
      <c r="N841" s="440">
        <f t="shared" si="7"/>
        <v>50</v>
      </c>
      <c r="O841" s="440">
        <f t="shared" si="8"/>
        <v>5</v>
      </c>
      <c r="P841" s="440">
        <f t="shared" si="9"/>
        <v>0.5</v>
      </c>
      <c r="Q841">
        <f t="array" ref="Q841">IF(I841&gt;0,INDEX(DB,I841,9),EventIndex)</f>
        <v>6</v>
      </c>
      <c r="S841" s="442">
        <f t="array" ref="S841">INDEX(MINVALUES,$Q841,$K$1)</f>
        <v>5</v>
      </c>
      <c r="T841">
        <f t="array" ref="T841">INDEX(INCVALUES,$Q841,$K$1)</f>
        <v>0.5</v>
      </c>
      <c r="V841">
        <f t="array" ref="V841">+J841+(4*(INDEX(MatchScoreTable,$Q841,20)-1))</f>
        <v>4</v>
      </c>
      <c r="W841" s="442">
        <f t="array" ref="W841">INDEX(INC_MINVALUES,$V841,$K$1)</f>
        <v>2.5</v>
      </c>
      <c r="X841" s="212">
        <f t="array" ref="X841">INDEX(INC_INCVALUES,$V841,$K$1)</f>
        <v>0.5</v>
      </c>
    </row>
    <row r="842" ht="15.75" customHeight="1">
      <c r="A842" s="435"/>
      <c r="B842" s="436"/>
      <c r="C842" s="95" t="str">
        <f t="array" ref="C842">IF(I842&gt;0,INDEX(DB,I842,8),"")</f>
        <v/>
      </c>
      <c r="D842" s="437">
        <f t="shared" si="1"/>
        <v>0</v>
      </c>
      <c r="F842" s="438">
        <f t="shared" si="2"/>
        <v>0</v>
      </c>
      <c r="G842" t="str">
        <f t="shared" si="3"/>
        <v/>
      </c>
      <c r="H842" t="b">
        <f t="shared" si="4"/>
        <v>0</v>
      </c>
      <c r="I842" s="439">
        <f>IF(OR(ISBLANK(A842),ISNA(MATCH(A842&amp;"",AthleteNumbers,0))),0,MATCH(A842&amp;"",AthleteNumbers,0))</f>
        <v>0</v>
      </c>
      <c r="J842" s="209">
        <f t="array" ref="J842">IF(I842&gt;0,INDEX(DB,$I842,6),0)</f>
        <v>0</v>
      </c>
      <c r="K842" s="446">
        <f t="shared" si="5"/>
        <v>0</v>
      </c>
      <c r="L842" s="446">
        <f t="shared" si="6"/>
        <v>0</v>
      </c>
      <c r="M842" s="441">
        <f>IF(L842&lt;O842,MinPoints,IF(AND(L842&gt;N842,O842&gt;0),100,+INT(($L842-O842)/P842)+MinPoints))</f>
        <v>10</v>
      </c>
      <c r="N842" s="440">
        <f t="shared" si="7"/>
        <v>50</v>
      </c>
      <c r="O842" s="440">
        <f t="shared" si="8"/>
        <v>5</v>
      </c>
      <c r="P842" s="440">
        <f t="shared" si="9"/>
        <v>0.5</v>
      </c>
      <c r="Q842">
        <f t="array" ref="Q842">IF(I842&gt;0,INDEX(DB,I842,9),EventIndex)</f>
        <v>6</v>
      </c>
      <c r="S842" s="442">
        <f t="array" ref="S842">INDEX(MINVALUES,$Q842,$K$1)</f>
        <v>5</v>
      </c>
      <c r="T842">
        <f t="array" ref="T842">INDEX(INCVALUES,$Q842,$K$1)</f>
        <v>0.5</v>
      </c>
      <c r="V842">
        <f t="array" ref="V842">+J842+(4*(INDEX(MatchScoreTable,$Q842,20)-1))</f>
        <v>4</v>
      </c>
      <c r="W842" s="442">
        <f t="array" ref="W842">INDEX(INC_MINVALUES,$V842,$K$1)</f>
        <v>2.5</v>
      </c>
      <c r="X842" s="212">
        <f t="array" ref="X842">INDEX(INC_INCVALUES,$V842,$K$1)</f>
        <v>0.5</v>
      </c>
    </row>
    <row r="843" ht="15.75" customHeight="1">
      <c r="A843" s="435"/>
      <c r="B843" s="436"/>
      <c r="C843" s="95" t="str">
        <f t="array" ref="C843">IF(I843&gt;0,INDEX(DB,I843,8),"")</f>
        <v/>
      </c>
      <c r="D843" s="437">
        <f t="shared" si="1"/>
        <v>0</v>
      </c>
      <c r="F843" s="438">
        <f t="shared" si="2"/>
        <v>0</v>
      </c>
      <c r="G843" t="str">
        <f t="shared" si="3"/>
        <v/>
      </c>
      <c r="H843" t="b">
        <f t="shared" si="4"/>
        <v>0</v>
      </c>
      <c r="I843" s="439">
        <f>IF(OR(ISBLANK(A843),ISNA(MATCH(A843&amp;"",AthleteNumbers,0))),0,MATCH(A843&amp;"",AthleteNumbers,0))</f>
        <v>0</v>
      </c>
      <c r="J843" s="209">
        <f t="array" ref="J843">IF(I843&gt;0,INDEX(DB,$I843,6),0)</f>
        <v>0</v>
      </c>
      <c r="K843" s="446">
        <f t="shared" si="5"/>
        <v>0</v>
      </c>
      <c r="L843" s="446">
        <f t="shared" si="6"/>
        <v>0</v>
      </c>
      <c r="M843" s="441">
        <f>IF(L843&lt;O843,MinPoints,IF(AND(L843&gt;N843,O843&gt;0),100,+INT(($L843-O843)/P843)+MinPoints))</f>
        <v>10</v>
      </c>
      <c r="N843" s="440">
        <f t="shared" si="7"/>
        <v>50</v>
      </c>
      <c r="O843" s="440">
        <f t="shared" si="8"/>
        <v>5</v>
      </c>
      <c r="P843" s="440">
        <f t="shared" si="9"/>
        <v>0.5</v>
      </c>
      <c r="Q843">
        <f t="array" ref="Q843">IF(I843&gt;0,INDEX(DB,I843,9),EventIndex)</f>
        <v>6</v>
      </c>
      <c r="S843" s="442">
        <f t="array" ref="S843">INDEX(MINVALUES,$Q843,$K$1)</f>
        <v>5</v>
      </c>
      <c r="T843">
        <f t="array" ref="T843">INDEX(INCVALUES,$Q843,$K$1)</f>
        <v>0.5</v>
      </c>
      <c r="V843">
        <f t="array" ref="V843">+J843+(4*(INDEX(MatchScoreTable,$Q843,20)-1))</f>
        <v>4</v>
      </c>
      <c r="W843" s="442">
        <f t="array" ref="W843">INDEX(INC_MINVALUES,$V843,$K$1)</f>
        <v>2.5</v>
      </c>
      <c r="X843" s="212">
        <f t="array" ref="X843">INDEX(INC_INCVALUES,$V843,$K$1)</f>
        <v>0.5</v>
      </c>
    </row>
    <row r="844" ht="15.75" customHeight="1">
      <c r="A844" s="435"/>
      <c r="B844" s="436"/>
      <c r="C844" s="95" t="str">
        <f t="array" ref="C844">IF(I844&gt;0,INDEX(DB,I844,8),"")</f>
        <v/>
      </c>
      <c r="D844" s="437">
        <f t="shared" si="1"/>
        <v>0</v>
      </c>
      <c r="F844" s="438">
        <f t="shared" si="2"/>
        <v>0</v>
      </c>
      <c r="G844" t="str">
        <f t="shared" si="3"/>
        <v/>
      </c>
      <c r="H844" t="b">
        <f t="shared" si="4"/>
        <v>0</v>
      </c>
      <c r="I844" s="439">
        <f>IF(OR(ISBLANK(A844),ISNA(MATCH(A844&amp;"",AthleteNumbers,0))),0,MATCH(A844&amp;"",AthleteNumbers,0))</f>
        <v>0</v>
      </c>
      <c r="J844" s="209">
        <f t="array" ref="J844">IF(I844&gt;0,INDEX(DB,$I844,6),0)</f>
        <v>0</v>
      </c>
      <c r="K844" s="446">
        <f t="shared" si="5"/>
        <v>0</v>
      </c>
      <c r="L844" s="446">
        <f t="shared" si="6"/>
        <v>0</v>
      </c>
      <c r="M844" s="441">
        <f>IF(L844&lt;O844,MinPoints,IF(AND(L844&gt;N844,O844&gt;0),100,+INT(($L844-O844)/P844)+MinPoints))</f>
        <v>10</v>
      </c>
      <c r="N844" s="440">
        <f t="shared" si="7"/>
        <v>50</v>
      </c>
      <c r="O844" s="440">
        <f t="shared" si="8"/>
        <v>5</v>
      </c>
      <c r="P844" s="440">
        <f t="shared" si="9"/>
        <v>0.5</v>
      </c>
      <c r="Q844">
        <f t="array" ref="Q844">IF(I844&gt;0,INDEX(DB,I844,9),EventIndex)</f>
        <v>6</v>
      </c>
      <c r="S844" s="442">
        <f t="array" ref="S844">INDEX(MINVALUES,$Q844,$K$1)</f>
        <v>5</v>
      </c>
      <c r="T844">
        <f t="array" ref="T844">INDEX(INCVALUES,$Q844,$K$1)</f>
        <v>0.5</v>
      </c>
      <c r="V844">
        <f t="array" ref="V844">+J844+(4*(INDEX(MatchScoreTable,$Q844,20)-1))</f>
        <v>4</v>
      </c>
      <c r="W844" s="442">
        <f t="array" ref="W844">INDEX(INC_MINVALUES,$V844,$K$1)</f>
        <v>2.5</v>
      </c>
      <c r="X844" s="212">
        <f t="array" ref="X844">INDEX(INC_INCVALUES,$V844,$K$1)</f>
        <v>0.5</v>
      </c>
    </row>
    <row r="845" ht="15.75" customHeight="1">
      <c r="A845" s="435"/>
      <c r="B845" s="436"/>
      <c r="C845" s="95" t="str">
        <f t="array" ref="C845">IF(I845&gt;0,INDEX(DB,I845,8),"")</f>
        <v/>
      </c>
      <c r="D845" s="437">
        <f t="shared" si="1"/>
        <v>0</v>
      </c>
      <c r="F845" s="438">
        <f t="shared" si="2"/>
        <v>0</v>
      </c>
      <c r="G845" t="str">
        <f t="shared" si="3"/>
        <v/>
      </c>
      <c r="H845" t="b">
        <f t="shared" si="4"/>
        <v>0</v>
      </c>
      <c r="I845" s="439">
        <f>IF(OR(ISBLANK(A845),ISNA(MATCH(A845&amp;"",AthleteNumbers,0))),0,MATCH(A845&amp;"",AthleteNumbers,0))</f>
        <v>0</v>
      </c>
      <c r="J845" s="209">
        <f t="array" ref="J845">IF(I845&gt;0,INDEX(DB,$I845,6),0)</f>
        <v>0</v>
      </c>
      <c r="K845" s="446">
        <f t="shared" si="5"/>
        <v>0</v>
      </c>
      <c r="L845" s="446">
        <f t="shared" si="6"/>
        <v>0</v>
      </c>
      <c r="M845" s="441">
        <f>IF(L845&lt;O845,MinPoints,IF(AND(L845&gt;N845,O845&gt;0),100,+INT(($L845-O845)/P845)+MinPoints))</f>
        <v>10</v>
      </c>
      <c r="N845" s="440">
        <f t="shared" si="7"/>
        <v>50</v>
      </c>
      <c r="O845" s="440">
        <f t="shared" si="8"/>
        <v>5</v>
      </c>
      <c r="P845" s="440">
        <f t="shared" si="9"/>
        <v>0.5</v>
      </c>
      <c r="Q845">
        <f t="array" ref="Q845">IF(I845&gt;0,INDEX(DB,I845,9),EventIndex)</f>
        <v>6</v>
      </c>
      <c r="S845" s="442">
        <f t="array" ref="S845">INDEX(MINVALUES,$Q845,$K$1)</f>
        <v>5</v>
      </c>
      <c r="T845">
        <f t="array" ref="T845">INDEX(INCVALUES,$Q845,$K$1)</f>
        <v>0.5</v>
      </c>
      <c r="V845">
        <f t="array" ref="V845">+J845+(4*(INDEX(MatchScoreTable,$Q845,20)-1))</f>
        <v>4</v>
      </c>
      <c r="W845" s="442">
        <f t="array" ref="W845">INDEX(INC_MINVALUES,$V845,$K$1)</f>
        <v>2.5</v>
      </c>
      <c r="X845" s="212">
        <f t="array" ref="X845">INDEX(INC_INCVALUES,$V845,$K$1)</f>
        <v>0.5</v>
      </c>
    </row>
    <row r="846" ht="15.75" customHeight="1">
      <c r="A846" s="435"/>
      <c r="B846" s="436"/>
      <c r="C846" s="95" t="str">
        <f t="array" ref="C846">IF(I846&gt;0,INDEX(DB,I846,8),"")</f>
        <v/>
      </c>
      <c r="D846" s="437">
        <f t="shared" si="1"/>
        <v>0</v>
      </c>
      <c r="F846" s="438">
        <f t="shared" si="2"/>
        <v>0</v>
      </c>
      <c r="G846" t="str">
        <f t="shared" si="3"/>
        <v/>
      </c>
      <c r="H846" t="b">
        <f t="shared" si="4"/>
        <v>0</v>
      </c>
      <c r="I846" s="439">
        <f>IF(OR(ISBLANK(A846),ISNA(MATCH(A846&amp;"",AthleteNumbers,0))),0,MATCH(A846&amp;"",AthleteNumbers,0))</f>
        <v>0</v>
      </c>
      <c r="J846" s="209">
        <f t="array" ref="J846">IF(I846&gt;0,INDEX(DB,$I846,6),0)</f>
        <v>0</v>
      </c>
      <c r="K846" s="446">
        <f t="shared" si="5"/>
        <v>0</v>
      </c>
      <c r="L846" s="446">
        <f t="shared" si="6"/>
        <v>0</v>
      </c>
      <c r="M846" s="441">
        <f>IF(L846&lt;O846,MinPoints,IF(AND(L846&gt;N846,O846&gt;0),100,+INT(($L846-O846)/P846)+MinPoints))</f>
        <v>10</v>
      </c>
      <c r="N846" s="440">
        <f t="shared" si="7"/>
        <v>50</v>
      </c>
      <c r="O846" s="440">
        <f t="shared" si="8"/>
        <v>5</v>
      </c>
      <c r="P846" s="440">
        <f t="shared" si="9"/>
        <v>0.5</v>
      </c>
      <c r="Q846">
        <f t="array" ref="Q846">IF(I846&gt;0,INDEX(DB,I846,9),EventIndex)</f>
        <v>6</v>
      </c>
      <c r="S846" s="442">
        <f t="array" ref="S846">INDEX(MINVALUES,$Q846,$K$1)</f>
        <v>5</v>
      </c>
      <c r="T846">
        <f t="array" ref="T846">INDEX(INCVALUES,$Q846,$K$1)</f>
        <v>0.5</v>
      </c>
      <c r="V846">
        <f t="array" ref="V846">+J846+(4*(INDEX(MatchScoreTable,$Q846,20)-1))</f>
        <v>4</v>
      </c>
      <c r="W846" s="442">
        <f t="array" ref="W846">INDEX(INC_MINVALUES,$V846,$K$1)</f>
        <v>2.5</v>
      </c>
      <c r="X846" s="212">
        <f t="array" ref="X846">INDEX(INC_INCVALUES,$V846,$K$1)</f>
        <v>0.5</v>
      </c>
    </row>
    <row r="847" ht="15.75" customHeight="1">
      <c r="A847" s="435"/>
      <c r="B847" s="436"/>
      <c r="C847" s="95" t="str">
        <f t="array" ref="C847">IF(I847&gt;0,INDEX(DB,I847,8),"")</f>
        <v/>
      </c>
      <c r="D847" s="437">
        <f t="shared" si="1"/>
        <v>0</v>
      </c>
      <c r="F847" s="438">
        <f t="shared" si="2"/>
        <v>0</v>
      </c>
      <c r="G847" t="str">
        <f t="shared" si="3"/>
        <v/>
      </c>
      <c r="H847" t="b">
        <f t="shared" si="4"/>
        <v>0</v>
      </c>
      <c r="I847" s="439">
        <f>IF(OR(ISBLANK(A847),ISNA(MATCH(A847&amp;"",AthleteNumbers,0))),0,MATCH(A847&amp;"",AthleteNumbers,0))</f>
        <v>0</v>
      </c>
      <c r="J847" s="209">
        <f t="array" ref="J847">IF(I847&gt;0,INDEX(DB,$I847,6),0)</f>
        <v>0</v>
      </c>
      <c r="K847" s="446">
        <f t="shared" si="5"/>
        <v>0</v>
      </c>
      <c r="L847" s="446">
        <f t="shared" si="6"/>
        <v>0</v>
      </c>
      <c r="M847" s="441">
        <f>IF(L847&lt;O847,MinPoints,IF(AND(L847&gt;N847,O847&gt;0),100,+INT(($L847-O847)/P847)+MinPoints))</f>
        <v>10</v>
      </c>
      <c r="N847" s="440">
        <f t="shared" si="7"/>
        <v>50</v>
      </c>
      <c r="O847" s="440">
        <f t="shared" si="8"/>
        <v>5</v>
      </c>
      <c r="P847" s="440">
        <f t="shared" si="9"/>
        <v>0.5</v>
      </c>
      <c r="Q847">
        <f t="array" ref="Q847">IF(I847&gt;0,INDEX(DB,I847,9),EventIndex)</f>
        <v>6</v>
      </c>
      <c r="S847" s="442">
        <f t="array" ref="S847">INDEX(MINVALUES,$Q847,$K$1)</f>
        <v>5</v>
      </c>
      <c r="T847">
        <f t="array" ref="T847">INDEX(INCVALUES,$Q847,$K$1)</f>
        <v>0.5</v>
      </c>
      <c r="V847">
        <f t="array" ref="V847">+J847+(4*(INDEX(MatchScoreTable,$Q847,20)-1))</f>
        <v>4</v>
      </c>
      <c r="W847" s="442">
        <f t="array" ref="W847">INDEX(INC_MINVALUES,$V847,$K$1)</f>
        <v>2.5</v>
      </c>
      <c r="X847" s="212">
        <f t="array" ref="X847">INDEX(INC_INCVALUES,$V847,$K$1)</f>
        <v>0.5</v>
      </c>
    </row>
    <row r="848" ht="15.75" customHeight="1">
      <c r="A848" s="435"/>
      <c r="B848" s="436"/>
      <c r="C848" s="95" t="str">
        <f t="array" ref="C848">IF(I848&gt;0,INDEX(DB,I848,8),"")</f>
        <v/>
      </c>
      <c r="D848" s="437">
        <f t="shared" si="1"/>
        <v>0</v>
      </c>
      <c r="F848" s="438">
        <f t="shared" si="2"/>
        <v>0</v>
      </c>
      <c r="G848" t="str">
        <f t="shared" si="3"/>
        <v/>
      </c>
      <c r="H848" t="b">
        <f t="shared" si="4"/>
        <v>0</v>
      </c>
      <c r="I848" s="439">
        <f>IF(OR(ISBLANK(A848),ISNA(MATCH(A848&amp;"",AthleteNumbers,0))),0,MATCH(A848&amp;"",AthleteNumbers,0))</f>
        <v>0</v>
      </c>
      <c r="J848" s="209">
        <f t="array" ref="J848">IF(I848&gt;0,INDEX(DB,$I848,6),0)</f>
        <v>0</v>
      </c>
      <c r="K848" s="446">
        <f t="shared" si="5"/>
        <v>0</v>
      </c>
      <c r="L848" s="446">
        <f t="shared" si="6"/>
        <v>0</v>
      </c>
      <c r="M848" s="441">
        <f>IF(L848&lt;O848,MinPoints,IF(AND(L848&gt;N848,O848&gt;0),100,+INT(($L848-O848)/P848)+MinPoints))</f>
        <v>10</v>
      </c>
      <c r="N848" s="440">
        <f t="shared" si="7"/>
        <v>50</v>
      </c>
      <c r="O848" s="440">
        <f t="shared" si="8"/>
        <v>5</v>
      </c>
      <c r="P848" s="440">
        <f t="shared" si="9"/>
        <v>0.5</v>
      </c>
      <c r="Q848">
        <f t="array" ref="Q848">IF(I848&gt;0,INDEX(DB,I848,9),EventIndex)</f>
        <v>6</v>
      </c>
      <c r="S848" s="442">
        <f t="array" ref="S848">INDEX(MINVALUES,$Q848,$K$1)</f>
        <v>5</v>
      </c>
      <c r="T848">
        <f t="array" ref="T848">INDEX(INCVALUES,$Q848,$K$1)</f>
        <v>0.5</v>
      </c>
      <c r="V848">
        <f t="array" ref="V848">+J848+(4*(INDEX(MatchScoreTable,$Q848,20)-1))</f>
        <v>4</v>
      </c>
      <c r="W848" s="442">
        <f t="array" ref="W848">INDEX(INC_MINVALUES,$V848,$K$1)</f>
        <v>2.5</v>
      </c>
      <c r="X848" s="212">
        <f t="array" ref="X848">INDEX(INC_INCVALUES,$V848,$K$1)</f>
        <v>0.5</v>
      </c>
    </row>
    <row r="849" ht="15.75" customHeight="1">
      <c r="A849" s="435"/>
      <c r="B849" s="436"/>
      <c r="C849" s="95" t="str">
        <f t="array" ref="C849">IF(I849&gt;0,INDEX(DB,I849,8),"")</f>
        <v/>
      </c>
      <c r="D849" s="437">
        <f t="shared" si="1"/>
        <v>0</v>
      </c>
      <c r="F849" s="438">
        <f t="shared" si="2"/>
        <v>0</v>
      </c>
      <c r="G849" t="str">
        <f t="shared" si="3"/>
        <v/>
      </c>
      <c r="H849" t="b">
        <f t="shared" si="4"/>
        <v>0</v>
      </c>
      <c r="I849" s="439">
        <f>IF(OR(ISBLANK(A849),ISNA(MATCH(A849&amp;"",AthleteNumbers,0))),0,MATCH(A849&amp;"",AthleteNumbers,0))</f>
        <v>0</v>
      </c>
      <c r="J849" s="209">
        <f t="array" ref="J849">IF(I849&gt;0,INDEX(DB,$I849,6),0)</f>
        <v>0</v>
      </c>
      <c r="K849" s="446">
        <f t="shared" si="5"/>
        <v>0</v>
      </c>
      <c r="L849" s="446">
        <f t="shared" si="6"/>
        <v>0</v>
      </c>
      <c r="M849" s="441">
        <f>IF(L849&lt;O849,MinPoints,IF(AND(L849&gt;N849,O849&gt;0),100,+INT(($L849-O849)/P849)+MinPoints))</f>
        <v>10</v>
      </c>
      <c r="N849" s="440">
        <f t="shared" si="7"/>
        <v>50</v>
      </c>
      <c r="O849" s="440">
        <f t="shared" si="8"/>
        <v>5</v>
      </c>
      <c r="P849" s="440">
        <f t="shared" si="9"/>
        <v>0.5</v>
      </c>
      <c r="Q849">
        <f t="array" ref="Q849">IF(I849&gt;0,INDEX(DB,I849,9),EventIndex)</f>
        <v>6</v>
      </c>
      <c r="S849" s="442">
        <f t="array" ref="S849">INDEX(MINVALUES,$Q849,$K$1)</f>
        <v>5</v>
      </c>
      <c r="T849">
        <f t="array" ref="T849">INDEX(INCVALUES,$Q849,$K$1)</f>
        <v>0.5</v>
      </c>
      <c r="V849">
        <f t="array" ref="V849">+J849+(4*(INDEX(MatchScoreTable,$Q849,20)-1))</f>
        <v>4</v>
      </c>
      <c r="W849" s="442">
        <f t="array" ref="W849">INDEX(INC_MINVALUES,$V849,$K$1)</f>
        <v>2.5</v>
      </c>
      <c r="X849" s="212">
        <f t="array" ref="X849">INDEX(INC_INCVALUES,$V849,$K$1)</f>
        <v>0.5</v>
      </c>
    </row>
    <row r="850" ht="15.75" customHeight="1">
      <c r="A850" s="435"/>
      <c r="B850" s="436"/>
      <c r="C850" s="95" t="str">
        <f t="array" ref="C850">IF(I850&gt;0,INDEX(DB,I850,8),"")</f>
        <v/>
      </c>
      <c r="D850" s="437">
        <f t="shared" si="1"/>
        <v>0</v>
      </c>
      <c r="F850" s="438">
        <f t="shared" si="2"/>
        <v>0</v>
      </c>
      <c r="G850" t="str">
        <f t="shared" si="3"/>
        <v/>
      </c>
      <c r="H850" t="b">
        <f t="shared" si="4"/>
        <v>0</v>
      </c>
      <c r="I850" s="439">
        <f>IF(OR(ISBLANK(A850),ISNA(MATCH(A850&amp;"",AthleteNumbers,0))),0,MATCH(A850&amp;"",AthleteNumbers,0))</f>
        <v>0</v>
      </c>
      <c r="J850" s="209">
        <f t="array" ref="J850">IF(I850&gt;0,INDEX(DB,$I850,6),0)</f>
        <v>0</v>
      </c>
      <c r="K850" s="446">
        <f t="shared" si="5"/>
        <v>0</v>
      </c>
      <c r="L850" s="446">
        <f t="shared" si="6"/>
        <v>0</v>
      </c>
      <c r="M850" s="441">
        <f>IF(L850&lt;O850,MinPoints,IF(AND(L850&gt;N850,O850&gt;0),100,+INT(($L850-O850)/P850)+MinPoints))</f>
        <v>10</v>
      </c>
      <c r="N850" s="440">
        <f t="shared" si="7"/>
        <v>50</v>
      </c>
      <c r="O850" s="440">
        <f t="shared" si="8"/>
        <v>5</v>
      </c>
      <c r="P850" s="440">
        <f t="shared" si="9"/>
        <v>0.5</v>
      </c>
      <c r="Q850">
        <f t="array" ref="Q850">IF(I850&gt;0,INDEX(DB,I850,9),EventIndex)</f>
        <v>6</v>
      </c>
      <c r="S850" s="442">
        <f t="array" ref="S850">INDEX(MINVALUES,$Q850,$K$1)</f>
        <v>5</v>
      </c>
      <c r="T850">
        <f t="array" ref="T850">INDEX(INCVALUES,$Q850,$K$1)</f>
        <v>0.5</v>
      </c>
      <c r="V850">
        <f t="array" ref="V850">+J850+(4*(INDEX(MatchScoreTable,$Q850,20)-1))</f>
        <v>4</v>
      </c>
      <c r="W850" s="442">
        <f t="array" ref="W850">INDEX(INC_MINVALUES,$V850,$K$1)</f>
        <v>2.5</v>
      </c>
      <c r="X850" s="212">
        <f t="array" ref="X850">INDEX(INC_INCVALUES,$V850,$K$1)</f>
        <v>0.5</v>
      </c>
    </row>
    <row r="851" ht="15.75" customHeight="1">
      <c r="A851" s="435"/>
      <c r="B851" s="436"/>
      <c r="C851" s="95" t="str">
        <f t="array" ref="C851">IF(I851&gt;0,INDEX(DB,I851,8),"")</f>
        <v/>
      </c>
      <c r="D851" s="437">
        <f t="shared" si="1"/>
        <v>0</v>
      </c>
      <c r="F851" s="438">
        <f t="shared" si="2"/>
        <v>0</v>
      </c>
      <c r="G851" t="str">
        <f t="shared" si="3"/>
        <v/>
      </c>
      <c r="H851" t="b">
        <f t="shared" si="4"/>
        <v>0</v>
      </c>
      <c r="I851" s="439">
        <f>IF(OR(ISBLANK(A851),ISNA(MATCH(A851&amp;"",AthleteNumbers,0))),0,MATCH(A851&amp;"",AthleteNumbers,0))</f>
        <v>0</v>
      </c>
      <c r="J851" s="209">
        <f t="array" ref="J851">IF(I851&gt;0,INDEX(DB,$I851,6),0)</f>
        <v>0</v>
      </c>
      <c r="K851" s="446">
        <f t="shared" si="5"/>
        <v>0</v>
      </c>
      <c r="L851" s="446">
        <f t="shared" si="6"/>
        <v>0</v>
      </c>
      <c r="M851" s="441">
        <f>IF(L851&lt;O851,MinPoints,IF(AND(L851&gt;N851,O851&gt;0),100,+INT(($L851-O851)/P851)+MinPoints))</f>
        <v>10</v>
      </c>
      <c r="N851" s="440">
        <f t="shared" si="7"/>
        <v>50</v>
      </c>
      <c r="O851" s="440">
        <f t="shared" si="8"/>
        <v>5</v>
      </c>
      <c r="P851" s="440">
        <f t="shared" si="9"/>
        <v>0.5</v>
      </c>
      <c r="Q851">
        <f t="array" ref="Q851">IF(I851&gt;0,INDEX(DB,I851,9),EventIndex)</f>
        <v>6</v>
      </c>
      <c r="S851" s="442">
        <f t="array" ref="S851">INDEX(MINVALUES,$Q851,$K$1)</f>
        <v>5</v>
      </c>
      <c r="T851">
        <f t="array" ref="T851">INDEX(INCVALUES,$Q851,$K$1)</f>
        <v>0.5</v>
      </c>
      <c r="V851">
        <f t="array" ref="V851">+J851+(4*(INDEX(MatchScoreTable,$Q851,20)-1))</f>
        <v>4</v>
      </c>
      <c r="W851" s="442">
        <f t="array" ref="W851">INDEX(INC_MINVALUES,$V851,$K$1)</f>
        <v>2.5</v>
      </c>
      <c r="X851" s="212">
        <f t="array" ref="X851">INDEX(INC_INCVALUES,$V851,$K$1)</f>
        <v>0.5</v>
      </c>
    </row>
    <row r="852" ht="15.75" customHeight="1">
      <c r="A852" s="435"/>
      <c r="B852" s="436"/>
      <c r="C852" s="95" t="str">
        <f t="array" ref="C852">IF(I852&gt;0,INDEX(DB,I852,8),"")</f>
        <v/>
      </c>
      <c r="D852" s="437">
        <f t="shared" si="1"/>
        <v>0</v>
      </c>
      <c r="F852" s="438">
        <f t="shared" si="2"/>
        <v>0</v>
      </c>
      <c r="G852" t="str">
        <f t="shared" si="3"/>
        <v/>
      </c>
      <c r="H852" t="b">
        <f t="shared" si="4"/>
        <v>0</v>
      </c>
      <c r="I852" s="439">
        <f>IF(OR(ISBLANK(A852),ISNA(MATCH(A852&amp;"",AthleteNumbers,0))),0,MATCH(A852&amp;"",AthleteNumbers,0))</f>
        <v>0</v>
      </c>
      <c r="J852" s="209">
        <f t="array" ref="J852">IF(I852&gt;0,INDEX(DB,$I852,6),0)</f>
        <v>0</v>
      </c>
      <c r="K852" s="446">
        <f t="shared" si="5"/>
        <v>0</v>
      </c>
      <c r="L852" s="446">
        <f t="shared" si="6"/>
        <v>0</v>
      </c>
      <c r="M852" s="441">
        <f>IF(L852&lt;O852,MinPoints,IF(AND(L852&gt;N852,O852&gt;0),100,+INT(($L852-O852)/P852)+MinPoints))</f>
        <v>10</v>
      </c>
      <c r="N852" s="440">
        <f t="shared" si="7"/>
        <v>50</v>
      </c>
      <c r="O852" s="440">
        <f t="shared" si="8"/>
        <v>5</v>
      </c>
      <c r="P852" s="440">
        <f t="shared" si="9"/>
        <v>0.5</v>
      </c>
      <c r="Q852">
        <f t="array" ref="Q852">IF(I852&gt;0,INDEX(DB,I852,9),EventIndex)</f>
        <v>6</v>
      </c>
      <c r="S852" s="442">
        <f t="array" ref="S852">INDEX(MINVALUES,$Q852,$K$1)</f>
        <v>5</v>
      </c>
      <c r="T852">
        <f t="array" ref="T852">INDEX(INCVALUES,$Q852,$K$1)</f>
        <v>0.5</v>
      </c>
      <c r="V852">
        <f t="array" ref="V852">+J852+(4*(INDEX(MatchScoreTable,$Q852,20)-1))</f>
        <v>4</v>
      </c>
      <c r="W852" s="442">
        <f t="array" ref="W852">INDEX(INC_MINVALUES,$V852,$K$1)</f>
        <v>2.5</v>
      </c>
      <c r="X852" s="212">
        <f t="array" ref="X852">INDEX(INC_INCVALUES,$V852,$K$1)</f>
        <v>0.5</v>
      </c>
    </row>
    <row r="853" ht="15.75" customHeight="1">
      <c r="A853" s="435"/>
      <c r="B853" s="436"/>
      <c r="C853" s="95" t="str">
        <f t="array" ref="C853">IF(I853&gt;0,INDEX(DB,I853,8),"")</f>
        <v/>
      </c>
      <c r="D853" s="437">
        <f t="shared" si="1"/>
        <v>0</v>
      </c>
      <c r="F853" s="438">
        <f t="shared" si="2"/>
        <v>0</v>
      </c>
      <c r="G853" t="str">
        <f t="shared" si="3"/>
        <v/>
      </c>
      <c r="H853" t="b">
        <f t="shared" si="4"/>
        <v>0</v>
      </c>
      <c r="I853" s="439">
        <f>IF(OR(ISBLANK(A853),ISNA(MATCH(A853&amp;"",AthleteNumbers,0))),0,MATCH(A853&amp;"",AthleteNumbers,0))</f>
        <v>0</v>
      </c>
      <c r="J853" s="209">
        <f t="array" ref="J853">IF(I853&gt;0,INDEX(DB,$I853,6),0)</f>
        <v>0</v>
      </c>
      <c r="K853" s="446">
        <f t="shared" si="5"/>
        <v>0</v>
      </c>
      <c r="L853" s="446">
        <f t="shared" si="6"/>
        <v>0</v>
      </c>
      <c r="M853" s="441">
        <f>IF(L853&lt;O853,MinPoints,IF(AND(L853&gt;N853,O853&gt;0),100,+INT(($L853-O853)/P853)+MinPoints))</f>
        <v>10</v>
      </c>
      <c r="N853" s="440">
        <f t="shared" si="7"/>
        <v>50</v>
      </c>
      <c r="O853" s="440">
        <f t="shared" si="8"/>
        <v>5</v>
      </c>
      <c r="P853" s="440">
        <f t="shared" si="9"/>
        <v>0.5</v>
      </c>
      <c r="Q853">
        <f t="array" ref="Q853">IF(I853&gt;0,INDEX(DB,I853,9),EventIndex)</f>
        <v>6</v>
      </c>
      <c r="S853" s="442">
        <f t="array" ref="S853">INDEX(MINVALUES,$Q853,$K$1)</f>
        <v>5</v>
      </c>
      <c r="T853">
        <f t="array" ref="T853">INDEX(INCVALUES,$Q853,$K$1)</f>
        <v>0.5</v>
      </c>
      <c r="V853">
        <f t="array" ref="V853">+J853+(4*(INDEX(MatchScoreTable,$Q853,20)-1))</f>
        <v>4</v>
      </c>
      <c r="W853" s="442">
        <f t="array" ref="W853">INDEX(INC_MINVALUES,$V853,$K$1)</f>
        <v>2.5</v>
      </c>
      <c r="X853" s="212">
        <f t="array" ref="X853">INDEX(INC_INCVALUES,$V853,$K$1)</f>
        <v>0.5</v>
      </c>
    </row>
    <row r="854" ht="15.75" customHeight="1">
      <c r="A854" s="435"/>
      <c r="B854" s="436"/>
      <c r="C854" s="95" t="str">
        <f t="array" ref="C854">IF(I854&gt;0,INDEX(DB,I854,8),"")</f>
        <v/>
      </c>
      <c r="D854" s="437">
        <f t="shared" si="1"/>
        <v>0</v>
      </c>
      <c r="F854" s="438">
        <f t="shared" si="2"/>
        <v>0</v>
      </c>
      <c r="G854" t="str">
        <f t="shared" si="3"/>
        <v/>
      </c>
      <c r="H854" t="b">
        <f t="shared" si="4"/>
        <v>0</v>
      </c>
      <c r="I854" s="439">
        <f>IF(OR(ISBLANK(A854),ISNA(MATCH(A854&amp;"",AthleteNumbers,0))),0,MATCH(A854&amp;"",AthleteNumbers,0))</f>
        <v>0</v>
      </c>
      <c r="J854" s="209">
        <f t="array" ref="J854">IF(I854&gt;0,INDEX(DB,$I854,6),0)</f>
        <v>0</v>
      </c>
      <c r="K854" s="446">
        <f t="shared" si="5"/>
        <v>0</v>
      </c>
      <c r="L854" s="446">
        <f t="shared" si="6"/>
        <v>0</v>
      </c>
      <c r="M854" s="441">
        <f>IF(L854&lt;O854,MinPoints,IF(AND(L854&gt;N854,O854&gt;0),100,+INT(($L854-O854)/P854)+MinPoints))</f>
        <v>10</v>
      </c>
      <c r="N854" s="440">
        <f t="shared" si="7"/>
        <v>50</v>
      </c>
      <c r="O854" s="440">
        <f t="shared" si="8"/>
        <v>5</v>
      </c>
      <c r="P854" s="440">
        <f t="shared" si="9"/>
        <v>0.5</v>
      </c>
      <c r="Q854">
        <f t="array" ref="Q854">IF(I854&gt;0,INDEX(DB,I854,9),EventIndex)</f>
        <v>6</v>
      </c>
      <c r="S854" s="442">
        <f t="array" ref="S854">INDEX(MINVALUES,$Q854,$K$1)</f>
        <v>5</v>
      </c>
      <c r="T854">
        <f t="array" ref="T854">INDEX(INCVALUES,$Q854,$K$1)</f>
        <v>0.5</v>
      </c>
      <c r="V854">
        <f t="array" ref="V854">+J854+(4*(INDEX(MatchScoreTable,$Q854,20)-1))</f>
        <v>4</v>
      </c>
      <c r="W854" s="442">
        <f t="array" ref="W854">INDEX(INC_MINVALUES,$V854,$K$1)</f>
        <v>2.5</v>
      </c>
      <c r="X854" s="212">
        <f t="array" ref="X854">INDEX(INC_INCVALUES,$V854,$K$1)</f>
        <v>0.5</v>
      </c>
    </row>
    <row r="855" ht="15.75" customHeight="1">
      <c r="A855" s="435"/>
      <c r="B855" s="436"/>
      <c r="C855" s="95" t="str">
        <f t="array" ref="C855">IF(I855&gt;0,INDEX(DB,I855,8),"")</f>
        <v/>
      </c>
      <c r="D855" s="437">
        <f t="shared" si="1"/>
        <v>0</v>
      </c>
      <c r="F855" s="438">
        <f t="shared" si="2"/>
        <v>0</v>
      </c>
      <c r="G855" t="str">
        <f t="shared" si="3"/>
        <v/>
      </c>
      <c r="H855" t="b">
        <f t="shared" si="4"/>
        <v>0</v>
      </c>
      <c r="I855" s="439">
        <f>IF(OR(ISBLANK(A855),ISNA(MATCH(A855&amp;"",AthleteNumbers,0))),0,MATCH(A855&amp;"",AthleteNumbers,0))</f>
        <v>0</v>
      </c>
      <c r="J855" s="209">
        <f t="array" ref="J855">IF(I855&gt;0,INDEX(DB,$I855,6),0)</f>
        <v>0</v>
      </c>
      <c r="K855" s="446">
        <f t="shared" si="5"/>
        <v>0</v>
      </c>
      <c r="L855" s="446">
        <f t="shared" si="6"/>
        <v>0</v>
      </c>
      <c r="M855" s="441">
        <f>IF(L855&lt;O855,MinPoints,IF(AND(L855&gt;N855,O855&gt;0),100,+INT(($L855-O855)/P855)+MinPoints))</f>
        <v>10</v>
      </c>
      <c r="N855" s="440">
        <f t="shared" si="7"/>
        <v>50</v>
      </c>
      <c r="O855" s="440">
        <f t="shared" si="8"/>
        <v>5</v>
      </c>
      <c r="P855" s="440">
        <f t="shared" si="9"/>
        <v>0.5</v>
      </c>
      <c r="Q855">
        <f t="array" ref="Q855">IF(I855&gt;0,INDEX(DB,I855,9),EventIndex)</f>
        <v>6</v>
      </c>
      <c r="S855" s="442">
        <f t="array" ref="S855">INDEX(MINVALUES,$Q855,$K$1)</f>
        <v>5</v>
      </c>
      <c r="T855">
        <f t="array" ref="T855">INDEX(INCVALUES,$Q855,$K$1)</f>
        <v>0.5</v>
      </c>
      <c r="V855">
        <f t="array" ref="V855">+J855+(4*(INDEX(MatchScoreTable,$Q855,20)-1))</f>
        <v>4</v>
      </c>
      <c r="W855" s="442">
        <f t="array" ref="W855">INDEX(INC_MINVALUES,$V855,$K$1)</f>
        <v>2.5</v>
      </c>
      <c r="X855" s="212">
        <f t="array" ref="X855">INDEX(INC_INCVALUES,$V855,$K$1)</f>
        <v>0.5</v>
      </c>
    </row>
    <row r="856" ht="15.75" customHeight="1">
      <c r="A856" s="435"/>
      <c r="B856" s="436"/>
      <c r="C856" s="95" t="str">
        <f t="array" ref="C856">IF(I856&gt;0,INDEX(DB,I856,8),"")</f>
        <v/>
      </c>
      <c r="D856" s="437">
        <f t="shared" si="1"/>
        <v>0</v>
      </c>
      <c r="F856" s="438">
        <f t="shared" si="2"/>
        <v>0</v>
      </c>
      <c r="G856" t="str">
        <f t="shared" si="3"/>
        <v/>
      </c>
      <c r="H856" t="b">
        <f t="shared" si="4"/>
        <v>0</v>
      </c>
      <c r="I856" s="439">
        <f>IF(OR(ISBLANK(A856),ISNA(MATCH(A856&amp;"",AthleteNumbers,0))),0,MATCH(A856&amp;"",AthleteNumbers,0))</f>
        <v>0</v>
      </c>
      <c r="J856" s="209">
        <f t="array" ref="J856">IF(I856&gt;0,INDEX(DB,$I856,6),0)</f>
        <v>0</v>
      </c>
      <c r="K856" s="446">
        <f t="shared" si="5"/>
        <v>0</v>
      </c>
      <c r="L856" s="446">
        <f t="shared" si="6"/>
        <v>0</v>
      </c>
      <c r="M856" s="441">
        <f>IF(L856&lt;O856,MinPoints,IF(AND(L856&gt;N856,O856&gt;0),100,+INT(($L856-O856)/P856)+MinPoints))</f>
        <v>10</v>
      </c>
      <c r="N856" s="440">
        <f t="shared" si="7"/>
        <v>50</v>
      </c>
      <c r="O856" s="440">
        <f t="shared" si="8"/>
        <v>5</v>
      </c>
      <c r="P856" s="440">
        <f t="shared" si="9"/>
        <v>0.5</v>
      </c>
      <c r="Q856">
        <f t="array" ref="Q856">IF(I856&gt;0,INDEX(DB,I856,9),EventIndex)</f>
        <v>6</v>
      </c>
      <c r="S856" s="442">
        <f t="array" ref="S856">INDEX(MINVALUES,$Q856,$K$1)</f>
        <v>5</v>
      </c>
      <c r="T856">
        <f t="array" ref="T856">INDEX(INCVALUES,$Q856,$K$1)</f>
        <v>0.5</v>
      </c>
      <c r="V856">
        <f t="array" ref="V856">+J856+(4*(INDEX(MatchScoreTable,$Q856,20)-1))</f>
        <v>4</v>
      </c>
      <c r="W856" s="442">
        <f t="array" ref="W856">INDEX(INC_MINVALUES,$V856,$K$1)</f>
        <v>2.5</v>
      </c>
      <c r="X856" s="212">
        <f t="array" ref="X856">INDEX(INC_INCVALUES,$V856,$K$1)</f>
        <v>0.5</v>
      </c>
    </row>
    <row r="857" ht="15.75" customHeight="1">
      <c r="A857" s="435"/>
      <c r="B857" s="436"/>
      <c r="C857" s="95" t="str">
        <f t="array" ref="C857">IF(I857&gt;0,INDEX(DB,I857,8),"")</f>
        <v/>
      </c>
      <c r="D857" s="437">
        <f t="shared" si="1"/>
        <v>0</v>
      </c>
      <c r="F857" s="438">
        <f t="shared" si="2"/>
        <v>0</v>
      </c>
      <c r="G857" t="str">
        <f t="shared" si="3"/>
        <v/>
      </c>
      <c r="H857" t="b">
        <f t="shared" si="4"/>
        <v>0</v>
      </c>
      <c r="I857" s="439">
        <f>IF(OR(ISBLANK(A857),ISNA(MATCH(A857&amp;"",AthleteNumbers,0))),0,MATCH(A857&amp;"",AthleteNumbers,0))</f>
        <v>0</v>
      </c>
      <c r="J857" s="209">
        <f t="array" ref="J857">IF(I857&gt;0,INDEX(DB,$I857,6),0)</f>
        <v>0</v>
      </c>
      <c r="K857" s="446">
        <f t="shared" si="5"/>
        <v>0</v>
      </c>
      <c r="L857" s="446">
        <f t="shared" si="6"/>
        <v>0</v>
      </c>
      <c r="M857" s="441">
        <f>IF(L857&lt;O857,MinPoints,IF(AND(L857&gt;N857,O857&gt;0),100,+INT(($L857-O857)/P857)+MinPoints))</f>
        <v>10</v>
      </c>
      <c r="N857" s="440">
        <f t="shared" si="7"/>
        <v>50</v>
      </c>
      <c r="O857" s="440">
        <f t="shared" si="8"/>
        <v>5</v>
      </c>
      <c r="P857" s="440">
        <f t="shared" si="9"/>
        <v>0.5</v>
      </c>
      <c r="Q857">
        <f t="array" ref="Q857">IF(I857&gt;0,INDEX(DB,I857,9),EventIndex)</f>
        <v>6</v>
      </c>
      <c r="S857" s="442">
        <f t="array" ref="S857">INDEX(MINVALUES,$Q857,$K$1)</f>
        <v>5</v>
      </c>
      <c r="T857">
        <f t="array" ref="T857">INDEX(INCVALUES,$Q857,$K$1)</f>
        <v>0.5</v>
      </c>
      <c r="V857">
        <f t="array" ref="V857">+J857+(4*(INDEX(MatchScoreTable,$Q857,20)-1))</f>
        <v>4</v>
      </c>
      <c r="W857" s="442">
        <f t="array" ref="W857">INDEX(INC_MINVALUES,$V857,$K$1)</f>
        <v>2.5</v>
      </c>
      <c r="X857" s="212">
        <f t="array" ref="X857">INDEX(INC_INCVALUES,$V857,$K$1)</f>
        <v>0.5</v>
      </c>
    </row>
    <row r="858" ht="15.75" customHeight="1">
      <c r="A858" s="435"/>
      <c r="B858" s="436"/>
      <c r="C858" s="95" t="str">
        <f t="array" ref="C858">IF(I858&gt;0,INDEX(DB,I858,8),"")</f>
        <v/>
      </c>
      <c r="D858" s="437">
        <f t="shared" si="1"/>
        <v>0</v>
      </c>
      <c r="F858" s="438">
        <f t="shared" si="2"/>
        <v>0</v>
      </c>
      <c r="G858" t="str">
        <f t="shared" si="3"/>
        <v/>
      </c>
      <c r="H858" t="b">
        <f t="shared" si="4"/>
        <v>0</v>
      </c>
      <c r="I858" s="439">
        <f>IF(OR(ISBLANK(A858),ISNA(MATCH(A858&amp;"",AthleteNumbers,0))),0,MATCH(A858&amp;"",AthleteNumbers,0))</f>
        <v>0</v>
      </c>
      <c r="J858" s="209">
        <f t="array" ref="J858">IF(I858&gt;0,INDEX(DB,$I858,6),0)</f>
        <v>0</v>
      </c>
      <c r="K858" s="446">
        <f t="shared" si="5"/>
        <v>0</v>
      </c>
      <c r="L858" s="446">
        <f t="shared" si="6"/>
        <v>0</v>
      </c>
      <c r="M858" s="441">
        <f>IF(L858&lt;O858,MinPoints,IF(AND(L858&gt;N858,O858&gt;0),100,+INT(($L858-O858)/P858)+MinPoints))</f>
        <v>10</v>
      </c>
      <c r="N858" s="440">
        <f t="shared" si="7"/>
        <v>50</v>
      </c>
      <c r="O858" s="440">
        <f t="shared" si="8"/>
        <v>5</v>
      </c>
      <c r="P858" s="440">
        <f t="shared" si="9"/>
        <v>0.5</v>
      </c>
      <c r="Q858">
        <f t="array" ref="Q858">IF(I858&gt;0,INDEX(DB,I858,9),EventIndex)</f>
        <v>6</v>
      </c>
      <c r="S858" s="442">
        <f t="array" ref="S858">INDEX(MINVALUES,$Q858,$K$1)</f>
        <v>5</v>
      </c>
      <c r="T858">
        <f t="array" ref="T858">INDEX(INCVALUES,$Q858,$K$1)</f>
        <v>0.5</v>
      </c>
      <c r="V858">
        <f t="array" ref="V858">+J858+(4*(INDEX(MatchScoreTable,$Q858,20)-1))</f>
        <v>4</v>
      </c>
      <c r="W858" s="442">
        <f t="array" ref="W858">INDEX(INC_MINVALUES,$V858,$K$1)</f>
        <v>2.5</v>
      </c>
      <c r="X858" s="212">
        <f t="array" ref="X858">INDEX(INC_INCVALUES,$V858,$K$1)</f>
        <v>0.5</v>
      </c>
    </row>
    <row r="859" ht="15.75" customHeight="1">
      <c r="A859" s="435"/>
      <c r="B859" s="436"/>
      <c r="C859" s="95" t="str">
        <f t="array" ref="C859">IF(I859&gt;0,INDEX(DB,I859,8),"")</f>
        <v/>
      </c>
      <c r="D859" s="437">
        <f t="shared" si="1"/>
        <v>0</v>
      </c>
      <c r="F859" s="438">
        <f t="shared" si="2"/>
        <v>0</v>
      </c>
      <c r="G859" t="str">
        <f t="shared" si="3"/>
        <v/>
      </c>
      <c r="H859" t="b">
        <f t="shared" si="4"/>
        <v>0</v>
      </c>
      <c r="I859" s="439">
        <f>IF(OR(ISBLANK(A859),ISNA(MATCH(A859&amp;"",AthleteNumbers,0))),0,MATCH(A859&amp;"",AthleteNumbers,0))</f>
        <v>0</v>
      </c>
      <c r="J859" s="209">
        <f t="array" ref="J859">IF(I859&gt;0,INDEX(DB,$I859,6),0)</f>
        <v>0</v>
      </c>
      <c r="K859" s="446">
        <f t="shared" si="5"/>
        <v>0</v>
      </c>
      <c r="L859" s="446">
        <f t="shared" si="6"/>
        <v>0</v>
      </c>
      <c r="M859" s="441">
        <f>IF(L859&lt;O859,MinPoints,IF(AND(L859&gt;N859,O859&gt;0),100,+INT(($L859-O859)/P859)+MinPoints))</f>
        <v>10</v>
      </c>
      <c r="N859" s="440">
        <f t="shared" si="7"/>
        <v>50</v>
      </c>
      <c r="O859" s="440">
        <f t="shared" si="8"/>
        <v>5</v>
      </c>
      <c r="P859" s="440">
        <f t="shared" si="9"/>
        <v>0.5</v>
      </c>
      <c r="Q859">
        <f t="array" ref="Q859">IF(I859&gt;0,INDEX(DB,I859,9),EventIndex)</f>
        <v>6</v>
      </c>
      <c r="S859" s="442">
        <f t="array" ref="S859">INDEX(MINVALUES,$Q859,$K$1)</f>
        <v>5</v>
      </c>
      <c r="T859">
        <f t="array" ref="T859">INDEX(INCVALUES,$Q859,$K$1)</f>
        <v>0.5</v>
      </c>
      <c r="V859">
        <f t="array" ref="V859">+J859+(4*(INDEX(MatchScoreTable,$Q859,20)-1))</f>
        <v>4</v>
      </c>
      <c r="W859" s="442">
        <f t="array" ref="W859">INDEX(INC_MINVALUES,$V859,$K$1)</f>
        <v>2.5</v>
      </c>
      <c r="X859" s="212">
        <f t="array" ref="X859">INDEX(INC_INCVALUES,$V859,$K$1)</f>
        <v>0.5</v>
      </c>
    </row>
    <row r="860" ht="15.75" customHeight="1">
      <c r="A860" s="435"/>
      <c r="B860" s="436"/>
      <c r="C860" s="95" t="str">
        <f t="array" ref="C860">IF(I860&gt;0,INDEX(DB,I860,8),"")</f>
        <v/>
      </c>
      <c r="D860" s="437">
        <f t="shared" si="1"/>
        <v>0</v>
      </c>
      <c r="F860" s="438">
        <f t="shared" si="2"/>
        <v>0</v>
      </c>
      <c r="G860" t="str">
        <f t="shared" si="3"/>
        <v/>
      </c>
      <c r="H860" t="b">
        <f t="shared" si="4"/>
        <v>0</v>
      </c>
      <c r="I860" s="439">
        <f>IF(OR(ISBLANK(A860),ISNA(MATCH(A860&amp;"",AthleteNumbers,0))),0,MATCH(A860&amp;"",AthleteNumbers,0))</f>
        <v>0</v>
      </c>
      <c r="J860" s="209">
        <f t="array" ref="J860">IF(I860&gt;0,INDEX(DB,$I860,6),0)</f>
        <v>0</v>
      </c>
      <c r="K860" s="446">
        <f t="shared" si="5"/>
        <v>0</v>
      </c>
      <c r="L860" s="446">
        <f t="shared" si="6"/>
        <v>0</v>
      </c>
      <c r="M860" s="441">
        <f>IF(L860&lt;O860,MinPoints,IF(AND(L860&gt;N860,O860&gt;0),100,+INT(($L860-O860)/P860)+MinPoints))</f>
        <v>10</v>
      </c>
      <c r="N860" s="440">
        <f t="shared" si="7"/>
        <v>50</v>
      </c>
      <c r="O860" s="440">
        <f t="shared" si="8"/>
        <v>5</v>
      </c>
      <c r="P860" s="440">
        <f t="shared" si="9"/>
        <v>0.5</v>
      </c>
      <c r="Q860">
        <f t="array" ref="Q860">IF(I860&gt;0,INDEX(DB,I860,9),EventIndex)</f>
        <v>6</v>
      </c>
      <c r="S860" s="442">
        <f t="array" ref="S860">INDEX(MINVALUES,$Q860,$K$1)</f>
        <v>5</v>
      </c>
      <c r="T860">
        <f t="array" ref="T860">INDEX(INCVALUES,$Q860,$K$1)</f>
        <v>0.5</v>
      </c>
      <c r="V860">
        <f t="array" ref="V860">+J860+(4*(INDEX(MatchScoreTable,$Q860,20)-1))</f>
        <v>4</v>
      </c>
      <c r="W860" s="442">
        <f t="array" ref="W860">INDEX(INC_MINVALUES,$V860,$K$1)</f>
        <v>2.5</v>
      </c>
      <c r="X860" s="212">
        <f t="array" ref="X860">INDEX(INC_INCVALUES,$V860,$K$1)</f>
        <v>0.5</v>
      </c>
    </row>
    <row r="861" ht="15.75" customHeight="1">
      <c r="A861" s="435"/>
      <c r="B861" s="436"/>
      <c r="C861" s="95" t="str">
        <f t="array" ref="C861">IF(I861&gt;0,INDEX(DB,I861,8),"")</f>
        <v/>
      </c>
      <c r="D861" s="437">
        <f t="shared" si="1"/>
        <v>0</v>
      </c>
      <c r="F861" s="438">
        <f t="shared" si="2"/>
        <v>0</v>
      </c>
      <c r="G861" t="str">
        <f t="shared" si="3"/>
        <v/>
      </c>
      <c r="H861" t="b">
        <f t="shared" si="4"/>
        <v>0</v>
      </c>
      <c r="I861" s="439">
        <f>IF(OR(ISBLANK(A861),ISNA(MATCH(A861&amp;"",AthleteNumbers,0))),0,MATCH(A861&amp;"",AthleteNumbers,0))</f>
        <v>0</v>
      </c>
      <c r="J861" s="209">
        <f t="array" ref="J861">IF(I861&gt;0,INDEX(DB,$I861,6),0)</f>
        <v>0</v>
      </c>
      <c r="K861" s="446">
        <f t="shared" si="5"/>
        <v>0</v>
      </c>
      <c r="L861" s="446">
        <f t="shared" si="6"/>
        <v>0</v>
      </c>
      <c r="M861" s="441">
        <f>IF(L861&lt;O861,MinPoints,IF(AND(L861&gt;N861,O861&gt;0),100,+INT(($L861-O861)/P861)+MinPoints))</f>
        <v>10</v>
      </c>
      <c r="N861" s="440">
        <f t="shared" si="7"/>
        <v>50</v>
      </c>
      <c r="O861" s="440">
        <f t="shared" si="8"/>
        <v>5</v>
      </c>
      <c r="P861" s="440">
        <f t="shared" si="9"/>
        <v>0.5</v>
      </c>
      <c r="Q861">
        <f t="array" ref="Q861">IF(I861&gt;0,INDEX(DB,I861,9),EventIndex)</f>
        <v>6</v>
      </c>
      <c r="S861" s="442">
        <f t="array" ref="S861">INDEX(MINVALUES,$Q861,$K$1)</f>
        <v>5</v>
      </c>
      <c r="T861">
        <f t="array" ref="T861">INDEX(INCVALUES,$Q861,$K$1)</f>
        <v>0.5</v>
      </c>
      <c r="V861">
        <f t="array" ref="V861">+J861+(4*(INDEX(MatchScoreTable,$Q861,20)-1))</f>
        <v>4</v>
      </c>
      <c r="W861" s="442">
        <f t="array" ref="W861">INDEX(INC_MINVALUES,$V861,$K$1)</f>
        <v>2.5</v>
      </c>
      <c r="X861" s="212">
        <f t="array" ref="X861">INDEX(INC_INCVALUES,$V861,$K$1)</f>
        <v>0.5</v>
      </c>
    </row>
    <row r="862" ht="15.75" customHeight="1">
      <c r="A862" s="435"/>
      <c r="B862" s="436"/>
      <c r="C862" s="95" t="str">
        <f t="array" ref="C862">IF(I862&gt;0,INDEX(DB,I862,8),"")</f>
        <v/>
      </c>
      <c r="D862" s="437">
        <f t="shared" si="1"/>
        <v>0</v>
      </c>
      <c r="F862" s="438">
        <f t="shared" si="2"/>
        <v>0</v>
      </c>
      <c r="G862" t="str">
        <f t="shared" si="3"/>
        <v/>
      </c>
      <c r="H862" t="b">
        <f t="shared" si="4"/>
        <v>0</v>
      </c>
      <c r="I862" s="439">
        <f>IF(OR(ISBLANK(A862),ISNA(MATCH(A862&amp;"",AthleteNumbers,0))),0,MATCH(A862&amp;"",AthleteNumbers,0))</f>
        <v>0</v>
      </c>
      <c r="J862" s="209">
        <f t="array" ref="J862">IF(I862&gt;0,INDEX(DB,$I862,6),0)</f>
        <v>0</v>
      </c>
      <c r="K862" s="446">
        <f t="shared" si="5"/>
        <v>0</v>
      </c>
      <c r="L862" s="446">
        <f t="shared" si="6"/>
        <v>0</v>
      </c>
      <c r="M862" s="441">
        <f>IF(L862&lt;O862,MinPoints,IF(AND(L862&gt;N862,O862&gt;0),100,+INT(($L862-O862)/P862)+MinPoints))</f>
        <v>10</v>
      </c>
      <c r="N862" s="440">
        <f t="shared" si="7"/>
        <v>50</v>
      </c>
      <c r="O862" s="440">
        <f t="shared" si="8"/>
        <v>5</v>
      </c>
      <c r="P862" s="440">
        <f t="shared" si="9"/>
        <v>0.5</v>
      </c>
      <c r="Q862">
        <f t="array" ref="Q862">IF(I862&gt;0,INDEX(DB,I862,9),EventIndex)</f>
        <v>6</v>
      </c>
      <c r="S862" s="442">
        <f t="array" ref="S862">INDEX(MINVALUES,$Q862,$K$1)</f>
        <v>5</v>
      </c>
      <c r="T862">
        <f t="array" ref="T862">INDEX(INCVALUES,$Q862,$K$1)</f>
        <v>0.5</v>
      </c>
      <c r="V862">
        <f t="array" ref="V862">+J862+(4*(INDEX(MatchScoreTable,$Q862,20)-1))</f>
        <v>4</v>
      </c>
      <c r="W862" s="442">
        <f t="array" ref="W862">INDEX(INC_MINVALUES,$V862,$K$1)</f>
        <v>2.5</v>
      </c>
      <c r="X862" s="212">
        <f t="array" ref="X862">INDEX(INC_INCVALUES,$V862,$K$1)</f>
        <v>0.5</v>
      </c>
    </row>
    <row r="863" ht="15.75" customHeight="1">
      <c r="A863" s="435"/>
      <c r="B863" s="436"/>
      <c r="C863" s="95" t="str">
        <f t="array" ref="C863">IF(I863&gt;0,INDEX(DB,I863,8),"")</f>
        <v/>
      </c>
      <c r="D863" s="437">
        <f t="shared" si="1"/>
        <v>0</v>
      </c>
      <c r="F863" s="438">
        <f t="shared" si="2"/>
        <v>0</v>
      </c>
      <c r="G863" t="str">
        <f t="shared" si="3"/>
        <v/>
      </c>
      <c r="H863" t="b">
        <f t="shared" si="4"/>
        <v>0</v>
      </c>
      <c r="I863" s="439">
        <f>IF(OR(ISBLANK(A863),ISNA(MATCH(A863&amp;"",AthleteNumbers,0))),0,MATCH(A863&amp;"",AthleteNumbers,0))</f>
        <v>0</v>
      </c>
      <c r="J863" s="209">
        <f t="array" ref="J863">IF(I863&gt;0,INDEX(DB,$I863,6),0)</f>
        <v>0</v>
      </c>
      <c r="K863" s="446">
        <f t="shared" si="5"/>
        <v>0</v>
      </c>
      <c r="L863" s="446">
        <f t="shared" si="6"/>
        <v>0</v>
      </c>
      <c r="M863" s="441">
        <f>IF(L863&lt;O863,MinPoints,IF(AND(L863&gt;N863,O863&gt;0),100,+INT(($L863-O863)/P863)+MinPoints))</f>
        <v>10</v>
      </c>
      <c r="N863" s="440">
        <f t="shared" si="7"/>
        <v>50</v>
      </c>
      <c r="O863" s="440">
        <f t="shared" si="8"/>
        <v>5</v>
      </c>
      <c r="P863" s="440">
        <f t="shared" si="9"/>
        <v>0.5</v>
      </c>
      <c r="Q863">
        <f t="array" ref="Q863">IF(I863&gt;0,INDEX(DB,I863,9),EventIndex)</f>
        <v>6</v>
      </c>
      <c r="S863" s="442">
        <f t="array" ref="S863">INDEX(MINVALUES,$Q863,$K$1)</f>
        <v>5</v>
      </c>
      <c r="T863">
        <f t="array" ref="T863">INDEX(INCVALUES,$Q863,$K$1)</f>
        <v>0.5</v>
      </c>
      <c r="V863">
        <f t="array" ref="V863">+J863+(4*(INDEX(MatchScoreTable,$Q863,20)-1))</f>
        <v>4</v>
      </c>
      <c r="W863" s="442">
        <f t="array" ref="W863">INDEX(INC_MINVALUES,$V863,$K$1)</f>
        <v>2.5</v>
      </c>
      <c r="X863" s="212">
        <f t="array" ref="X863">INDEX(INC_INCVALUES,$V863,$K$1)</f>
        <v>0.5</v>
      </c>
    </row>
    <row r="864" ht="15.75" customHeight="1">
      <c r="A864" s="435"/>
      <c r="B864" s="436"/>
      <c r="C864" s="95" t="str">
        <f t="array" ref="C864">IF(I864&gt;0,INDEX(DB,I864,8),"")</f>
        <v/>
      </c>
      <c r="D864" s="437">
        <f t="shared" si="1"/>
        <v>0</v>
      </c>
      <c r="F864" s="438">
        <f t="shared" si="2"/>
        <v>0</v>
      </c>
      <c r="G864" t="str">
        <f t="shared" si="3"/>
        <v/>
      </c>
      <c r="H864" t="b">
        <f t="shared" si="4"/>
        <v>0</v>
      </c>
      <c r="I864" s="439">
        <f>IF(OR(ISBLANK(A864),ISNA(MATCH(A864&amp;"",AthleteNumbers,0))),0,MATCH(A864&amp;"",AthleteNumbers,0))</f>
        <v>0</v>
      </c>
      <c r="J864" s="209">
        <f t="array" ref="J864">IF(I864&gt;0,INDEX(DB,$I864,6),0)</f>
        <v>0</v>
      </c>
      <c r="K864" s="446">
        <f t="shared" si="5"/>
        <v>0</v>
      </c>
      <c r="L864" s="446">
        <f t="shared" si="6"/>
        <v>0</v>
      </c>
      <c r="M864" s="441">
        <f>IF(L864&lt;O864,MinPoints,IF(AND(L864&gt;N864,O864&gt;0),100,+INT(($L864-O864)/P864)+MinPoints))</f>
        <v>10</v>
      </c>
      <c r="N864" s="440">
        <f t="shared" si="7"/>
        <v>50</v>
      </c>
      <c r="O864" s="440">
        <f t="shared" si="8"/>
        <v>5</v>
      </c>
      <c r="P864" s="440">
        <f t="shared" si="9"/>
        <v>0.5</v>
      </c>
      <c r="Q864">
        <f t="array" ref="Q864">IF(I864&gt;0,INDEX(DB,I864,9),EventIndex)</f>
        <v>6</v>
      </c>
      <c r="S864" s="442">
        <f t="array" ref="S864">INDEX(MINVALUES,$Q864,$K$1)</f>
        <v>5</v>
      </c>
      <c r="T864">
        <f t="array" ref="T864">INDEX(INCVALUES,$Q864,$K$1)</f>
        <v>0.5</v>
      </c>
      <c r="V864">
        <f t="array" ref="V864">+J864+(4*(INDEX(MatchScoreTable,$Q864,20)-1))</f>
        <v>4</v>
      </c>
      <c r="W864" s="442">
        <f t="array" ref="W864">INDEX(INC_MINVALUES,$V864,$K$1)</f>
        <v>2.5</v>
      </c>
      <c r="X864" s="212">
        <f t="array" ref="X864">INDEX(INC_INCVALUES,$V864,$K$1)</f>
        <v>0.5</v>
      </c>
    </row>
    <row r="865" ht="15.75" customHeight="1">
      <c r="A865" s="435"/>
      <c r="B865" s="436"/>
      <c r="C865" s="95" t="str">
        <f t="array" ref="C865">IF(I865&gt;0,INDEX(DB,I865,8),"")</f>
        <v/>
      </c>
      <c r="D865" s="437">
        <f t="shared" si="1"/>
        <v>0</v>
      </c>
      <c r="F865" s="438">
        <f t="shared" si="2"/>
        <v>0</v>
      </c>
      <c r="G865" t="str">
        <f t="shared" si="3"/>
        <v/>
      </c>
      <c r="H865" t="b">
        <f t="shared" si="4"/>
        <v>0</v>
      </c>
      <c r="I865" s="439">
        <f>IF(OR(ISBLANK(A865),ISNA(MATCH(A865&amp;"",AthleteNumbers,0))),0,MATCH(A865&amp;"",AthleteNumbers,0))</f>
        <v>0</v>
      </c>
      <c r="J865" s="209">
        <f t="array" ref="J865">IF(I865&gt;0,INDEX(DB,$I865,6),0)</f>
        <v>0</v>
      </c>
      <c r="K865" s="446">
        <f t="shared" si="5"/>
        <v>0</v>
      </c>
      <c r="L865" s="446">
        <f t="shared" si="6"/>
        <v>0</v>
      </c>
      <c r="M865" s="441">
        <f>IF(L865&lt;O865,MinPoints,IF(AND(L865&gt;N865,O865&gt;0),100,+INT(($L865-O865)/P865)+MinPoints))</f>
        <v>10</v>
      </c>
      <c r="N865" s="440">
        <f t="shared" si="7"/>
        <v>50</v>
      </c>
      <c r="O865" s="440">
        <f t="shared" si="8"/>
        <v>5</v>
      </c>
      <c r="P865" s="440">
        <f t="shared" si="9"/>
        <v>0.5</v>
      </c>
      <c r="Q865">
        <f t="array" ref="Q865">IF(I865&gt;0,INDEX(DB,I865,9),EventIndex)</f>
        <v>6</v>
      </c>
      <c r="S865" s="442">
        <f t="array" ref="S865">INDEX(MINVALUES,$Q865,$K$1)</f>
        <v>5</v>
      </c>
      <c r="T865">
        <f t="array" ref="T865">INDEX(INCVALUES,$Q865,$K$1)</f>
        <v>0.5</v>
      </c>
      <c r="V865">
        <f t="array" ref="V865">+J865+(4*(INDEX(MatchScoreTable,$Q865,20)-1))</f>
        <v>4</v>
      </c>
      <c r="W865" s="442">
        <f t="array" ref="W865">INDEX(INC_MINVALUES,$V865,$K$1)</f>
        <v>2.5</v>
      </c>
      <c r="X865" s="212">
        <f t="array" ref="X865">INDEX(INC_INCVALUES,$V865,$K$1)</f>
        <v>0.5</v>
      </c>
    </row>
    <row r="866" ht="15.75" customHeight="1">
      <c r="A866" s="435"/>
      <c r="B866" s="436"/>
      <c r="C866" s="95" t="str">
        <f t="array" ref="C866">IF(I866&gt;0,INDEX(DB,I866,8),"")</f>
        <v/>
      </c>
      <c r="D866" s="437">
        <f t="shared" si="1"/>
        <v>0</v>
      </c>
      <c r="F866" s="438">
        <f t="shared" si="2"/>
        <v>0</v>
      </c>
      <c r="G866" t="str">
        <f t="shared" si="3"/>
        <v/>
      </c>
      <c r="H866" t="b">
        <f t="shared" si="4"/>
        <v>0</v>
      </c>
      <c r="I866" s="439">
        <f>IF(OR(ISBLANK(A866),ISNA(MATCH(A866&amp;"",AthleteNumbers,0))),0,MATCH(A866&amp;"",AthleteNumbers,0))</f>
        <v>0</v>
      </c>
      <c r="J866" s="209">
        <f t="array" ref="J866">IF(I866&gt;0,INDEX(DB,$I866,6),0)</f>
        <v>0</v>
      </c>
      <c r="K866" s="446">
        <f t="shared" si="5"/>
        <v>0</v>
      </c>
      <c r="L866" s="446">
        <f t="shared" si="6"/>
        <v>0</v>
      </c>
      <c r="M866" s="441">
        <f>IF(L866&lt;O866,MinPoints,IF(AND(L866&gt;N866,O866&gt;0),100,+INT(($L866-O866)/P866)+MinPoints))</f>
        <v>10</v>
      </c>
      <c r="N866" s="440">
        <f t="shared" si="7"/>
        <v>50</v>
      </c>
      <c r="O866" s="440">
        <f t="shared" si="8"/>
        <v>5</v>
      </c>
      <c r="P866" s="440">
        <f t="shared" si="9"/>
        <v>0.5</v>
      </c>
      <c r="Q866">
        <f t="array" ref="Q866">IF(I866&gt;0,INDEX(DB,I866,9),EventIndex)</f>
        <v>6</v>
      </c>
      <c r="S866" s="442">
        <f t="array" ref="S866">INDEX(MINVALUES,$Q866,$K$1)</f>
        <v>5</v>
      </c>
      <c r="T866">
        <f t="array" ref="T866">INDEX(INCVALUES,$Q866,$K$1)</f>
        <v>0.5</v>
      </c>
      <c r="V866">
        <f t="array" ref="V866">+J866+(4*(INDEX(MatchScoreTable,$Q866,20)-1))</f>
        <v>4</v>
      </c>
      <c r="W866" s="442">
        <f t="array" ref="W866">INDEX(INC_MINVALUES,$V866,$K$1)</f>
        <v>2.5</v>
      </c>
      <c r="X866" s="212">
        <f t="array" ref="X866">INDEX(INC_INCVALUES,$V866,$K$1)</f>
        <v>0.5</v>
      </c>
    </row>
    <row r="867" ht="15.75" customHeight="1">
      <c r="A867" s="435"/>
      <c r="B867" s="436"/>
      <c r="C867" s="95" t="str">
        <f t="array" ref="C867">IF(I867&gt;0,INDEX(DB,I867,8),"")</f>
        <v/>
      </c>
      <c r="D867" s="437">
        <f t="shared" si="1"/>
        <v>0</v>
      </c>
      <c r="F867" s="438">
        <f t="shared" si="2"/>
        <v>0</v>
      </c>
      <c r="G867" t="str">
        <f t="shared" si="3"/>
        <v/>
      </c>
      <c r="H867" t="b">
        <f t="shared" si="4"/>
        <v>0</v>
      </c>
      <c r="I867" s="439">
        <f>IF(OR(ISBLANK(A867),ISNA(MATCH(A867&amp;"",AthleteNumbers,0))),0,MATCH(A867&amp;"",AthleteNumbers,0))</f>
        <v>0</v>
      </c>
      <c r="J867" s="209">
        <f t="array" ref="J867">IF(I867&gt;0,INDEX(DB,$I867,6),0)</f>
        <v>0</v>
      </c>
      <c r="K867" s="446">
        <f t="shared" si="5"/>
        <v>0</v>
      </c>
      <c r="L867" s="446">
        <f t="shared" si="6"/>
        <v>0</v>
      </c>
      <c r="M867" s="441">
        <f>IF(L867&lt;O867,MinPoints,IF(AND(L867&gt;N867,O867&gt;0),100,+INT(($L867-O867)/P867)+MinPoints))</f>
        <v>10</v>
      </c>
      <c r="N867" s="440">
        <f t="shared" si="7"/>
        <v>50</v>
      </c>
      <c r="O867" s="440">
        <f t="shared" si="8"/>
        <v>5</v>
      </c>
      <c r="P867" s="440">
        <f t="shared" si="9"/>
        <v>0.5</v>
      </c>
      <c r="Q867">
        <f t="array" ref="Q867">IF(I867&gt;0,INDEX(DB,I867,9),EventIndex)</f>
        <v>6</v>
      </c>
      <c r="S867" s="442">
        <f t="array" ref="S867">INDEX(MINVALUES,$Q867,$K$1)</f>
        <v>5</v>
      </c>
      <c r="T867">
        <f t="array" ref="T867">INDEX(INCVALUES,$Q867,$K$1)</f>
        <v>0.5</v>
      </c>
      <c r="V867">
        <f t="array" ref="V867">+J867+(4*(INDEX(MatchScoreTable,$Q867,20)-1))</f>
        <v>4</v>
      </c>
      <c r="W867" s="442">
        <f t="array" ref="W867">INDEX(INC_MINVALUES,$V867,$K$1)</f>
        <v>2.5</v>
      </c>
      <c r="X867" s="212">
        <f t="array" ref="X867">INDEX(INC_INCVALUES,$V867,$K$1)</f>
        <v>0.5</v>
      </c>
    </row>
    <row r="868" ht="15.75" customHeight="1">
      <c r="A868" s="435"/>
      <c r="B868" s="436"/>
      <c r="C868" s="95" t="str">
        <f t="array" ref="C868">IF(I868&gt;0,INDEX(DB,I868,8),"")</f>
        <v/>
      </c>
      <c r="D868" s="437">
        <f t="shared" si="1"/>
        <v>0</v>
      </c>
      <c r="F868" s="438">
        <f t="shared" si="2"/>
        <v>0</v>
      </c>
      <c r="G868" t="str">
        <f t="shared" si="3"/>
        <v/>
      </c>
      <c r="H868" t="b">
        <f t="shared" si="4"/>
        <v>0</v>
      </c>
      <c r="I868" s="439">
        <f>IF(OR(ISBLANK(A868),ISNA(MATCH(A868&amp;"",AthleteNumbers,0))),0,MATCH(A868&amp;"",AthleteNumbers,0))</f>
        <v>0</v>
      </c>
      <c r="J868" s="209">
        <f t="array" ref="J868">IF(I868&gt;0,INDEX(DB,$I868,6),0)</f>
        <v>0</v>
      </c>
      <c r="K868" s="446">
        <f t="shared" si="5"/>
        <v>0</v>
      </c>
      <c r="L868" s="446">
        <f t="shared" si="6"/>
        <v>0</v>
      </c>
      <c r="M868" s="441">
        <f>IF(L868&lt;O868,MinPoints,IF(AND(L868&gt;N868,O868&gt;0),100,+INT(($L868-O868)/P868)+MinPoints))</f>
        <v>10</v>
      </c>
      <c r="N868" s="440">
        <f t="shared" si="7"/>
        <v>50</v>
      </c>
      <c r="O868" s="440">
        <f t="shared" si="8"/>
        <v>5</v>
      </c>
      <c r="P868" s="440">
        <f t="shared" si="9"/>
        <v>0.5</v>
      </c>
      <c r="Q868">
        <f t="array" ref="Q868">IF(I868&gt;0,INDEX(DB,I868,9),EventIndex)</f>
        <v>6</v>
      </c>
      <c r="S868" s="442">
        <f t="array" ref="S868">INDEX(MINVALUES,$Q868,$K$1)</f>
        <v>5</v>
      </c>
      <c r="T868">
        <f t="array" ref="T868">INDEX(INCVALUES,$Q868,$K$1)</f>
        <v>0.5</v>
      </c>
      <c r="V868">
        <f t="array" ref="V868">+J868+(4*(INDEX(MatchScoreTable,$Q868,20)-1))</f>
        <v>4</v>
      </c>
      <c r="W868" s="442">
        <f t="array" ref="W868">INDEX(INC_MINVALUES,$V868,$K$1)</f>
        <v>2.5</v>
      </c>
      <c r="X868" s="212">
        <f t="array" ref="X868">INDEX(INC_INCVALUES,$V868,$K$1)</f>
        <v>0.5</v>
      </c>
    </row>
    <row r="869" ht="15.75" customHeight="1">
      <c r="A869" s="435"/>
      <c r="B869" s="436"/>
      <c r="C869" s="95" t="str">
        <f t="array" ref="C869">IF(I869&gt;0,INDEX(DB,I869,8),"")</f>
        <v/>
      </c>
      <c r="D869" s="437">
        <f t="shared" si="1"/>
        <v>0</v>
      </c>
      <c r="F869" s="438">
        <f t="shared" si="2"/>
        <v>0</v>
      </c>
      <c r="G869" t="str">
        <f t="shared" si="3"/>
        <v/>
      </c>
      <c r="H869" t="b">
        <f t="shared" si="4"/>
        <v>0</v>
      </c>
      <c r="I869" s="439">
        <f>IF(OR(ISBLANK(A869),ISNA(MATCH(A869&amp;"",AthleteNumbers,0))),0,MATCH(A869&amp;"",AthleteNumbers,0))</f>
        <v>0</v>
      </c>
      <c r="J869" s="209">
        <f t="array" ref="J869">IF(I869&gt;0,INDEX(DB,$I869,6),0)</f>
        <v>0</v>
      </c>
      <c r="K869" s="446">
        <f t="shared" si="5"/>
        <v>0</v>
      </c>
      <c r="L869" s="446">
        <f t="shared" si="6"/>
        <v>0</v>
      </c>
      <c r="M869" s="441">
        <f>IF(L869&lt;O869,MinPoints,IF(AND(L869&gt;N869,O869&gt;0),100,+INT(($L869-O869)/P869)+MinPoints))</f>
        <v>10</v>
      </c>
      <c r="N869" s="440">
        <f t="shared" si="7"/>
        <v>50</v>
      </c>
      <c r="O869" s="440">
        <f t="shared" si="8"/>
        <v>5</v>
      </c>
      <c r="P869" s="440">
        <f t="shared" si="9"/>
        <v>0.5</v>
      </c>
      <c r="Q869">
        <f t="array" ref="Q869">IF(I869&gt;0,INDEX(DB,I869,9),EventIndex)</f>
        <v>6</v>
      </c>
      <c r="S869" s="442">
        <f t="array" ref="S869">INDEX(MINVALUES,$Q869,$K$1)</f>
        <v>5</v>
      </c>
      <c r="T869">
        <f t="array" ref="T869">INDEX(INCVALUES,$Q869,$K$1)</f>
        <v>0.5</v>
      </c>
      <c r="V869">
        <f t="array" ref="V869">+J869+(4*(INDEX(MatchScoreTable,$Q869,20)-1))</f>
        <v>4</v>
      </c>
      <c r="W869" s="442">
        <f t="array" ref="W869">INDEX(INC_MINVALUES,$V869,$K$1)</f>
        <v>2.5</v>
      </c>
      <c r="X869" s="212">
        <f t="array" ref="X869">INDEX(INC_INCVALUES,$V869,$K$1)</f>
        <v>0.5</v>
      </c>
    </row>
    <row r="870" ht="15.75" customHeight="1">
      <c r="A870" s="435"/>
      <c r="B870" s="436"/>
      <c r="C870" s="95" t="str">
        <f t="array" ref="C870">IF(I870&gt;0,INDEX(DB,I870,8),"")</f>
        <v/>
      </c>
      <c r="D870" s="437">
        <f t="shared" si="1"/>
        <v>0</v>
      </c>
      <c r="F870" s="438">
        <f t="shared" si="2"/>
        <v>0</v>
      </c>
      <c r="G870" t="str">
        <f t="shared" si="3"/>
        <v/>
      </c>
      <c r="H870" t="b">
        <f t="shared" si="4"/>
        <v>0</v>
      </c>
      <c r="I870" s="439">
        <f>IF(OR(ISBLANK(A870),ISNA(MATCH(A870&amp;"",AthleteNumbers,0))),0,MATCH(A870&amp;"",AthleteNumbers,0))</f>
        <v>0</v>
      </c>
      <c r="J870" s="209">
        <f t="array" ref="J870">IF(I870&gt;0,INDEX(DB,$I870,6),0)</f>
        <v>0</v>
      </c>
      <c r="K870" s="446">
        <f t="shared" si="5"/>
        <v>0</v>
      </c>
      <c r="L870" s="446">
        <f t="shared" si="6"/>
        <v>0</v>
      </c>
      <c r="M870" s="441">
        <f>IF(L870&lt;O870,MinPoints,IF(AND(L870&gt;N870,O870&gt;0),100,+INT(($L870-O870)/P870)+MinPoints))</f>
        <v>10</v>
      </c>
      <c r="N870" s="440">
        <f t="shared" si="7"/>
        <v>50</v>
      </c>
      <c r="O870" s="440">
        <f t="shared" si="8"/>
        <v>5</v>
      </c>
      <c r="P870" s="440">
        <f t="shared" si="9"/>
        <v>0.5</v>
      </c>
      <c r="Q870">
        <f t="array" ref="Q870">IF(I870&gt;0,INDEX(DB,I870,9),EventIndex)</f>
        <v>6</v>
      </c>
      <c r="S870" s="442">
        <f t="array" ref="S870">INDEX(MINVALUES,$Q870,$K$1)</f>
        <v>5</v>
      </c>
      <c r="T870">
        <f t="array" ref="T870">INDEX(INCVALUES,$Q870,$K$1)</f>
        <v>0.5</v>
      </c>
      <c r="V870">
        <f t="array" ref="V870">+J870+(4*(INDEX(MatchScoreTable,$Q870,20)-1))</f>
        <v>4</v>
      </c>
      <c r="W870" s="442">
        <f t="array" ref="W870">INDEX(INC_MINVALUES,$V870,$K$1)</f>
        <v>2.5</v>
      </c>
      <c r="X870" s="212">
        <f t="array" ref="X870">INDEX(INC_INCVALUES,$V870,$K$1)</f>
        <v>0.5</v>
      </c>
    </row>
    <row r="871" ht="15.75" customHeight="1">
      <c r="A871" s="435"/>
      <c r="B871" s="436"/>
      <c r="C871" s="95" t="str">
        <f t="array" ref="C871">IF(I871&gt;0,INDEX(DB,I871,8),"")</f>
        <v/>
      </c>
      <c r="D871" s="437">
        <f t="shared" si="1"/>
        <v>0</v>
      </c>
      <c r="F871" s="438">
        <f t="shared" si="2"/>
        <v>0</v>
      </c>
      <c r="G871" t="str">
        <f t="shared" si="3"/>
        <v/>
      </c>
      <c r="H871" t="b">
        <f t="shared" si="4"/>
        <v>0</v>
      </c>
      <c r="I871" s="439">
        <f>IF(OR(ISBLANK(A871),ISNA(MATCH(A871&amp;"",AthleteNumbers,0))),0,MATCH(A871&amp;"",AthleteNumbers,0))</f>
        <v>0</v>
      </c>
      <c r="J871" s="209">
        <f t="array" ref="J871">IF(I871&gt;0,INDEX(DB,$I871,6),0)</f>
        <v>0</v>
      </c>
      <c r="K871" s="446">
        <f t="shared" si="5"/>
        <v>0</v>
      </c>
      <c r="L871" s="446">
        <f t="shared" si="6"/>
        <v>0</v>
      </c>
      <c r="M871" s="441">
        <f>IF(L871&lt;O871,MinPoints,IF(AND(L871&gt;N871,O871&gt;0),100,+INT(($L871-O871)/P871)+MinPoints))</f>
        <v>10</v>
      </c>
      <c r="N871" s="440">
        <f t="shared" si="7"/>
        <v>50</v>
      </c>
      <c r="O871" s="440">
        <f t="shared" si="8"/>
        <v>5</v>
      </c>
      <c r="P871" s="440">
        <f t="shared" si="9"/>
        <v>0.5</v>
      </c>
      <c r="Q871">
        <f t="array" ref="Q871">IF(I871&gt;0,INDEX(DB,I871,9),EventIndex)</f>
        <v>6</v>
      </c>
      <c r="S871" s="442">
        <f t="array" ref="S871">INDEX(MINVALUES,$Q871,$K$1)</f>
        <v>5</v>
      </c>
      <c r="T871">
        <f t="array" ref="T871">INDEX(INCVALUES,$Q871,$K$1)</f>
        <v>0.5</v>
      </c>
      <c r="V871">
        <f t="array" ref="V871">+J871+(4*(INDEX(MatchScoreTable,$Q871,20)-1))</f>
        <v>4</v>
      </c>
      <c r="W871" s="442">
        <f t="array" ref="W871">INDEX(INC_MINVALUES,$V871,$K$1)</f>
        <v>2.5</v>
      </c>
      <c r="X871" s="212">
        <f t="array" ref="X871">INDEX(INC_INCVALUES,$V871,$K$1)</f>
        <v>0.5</v>
      </c>
    </row>
    <row r="872" ht="15.75" customHeight="1">
      <c r="A872" s="435"/>
      <c r="B872" s="436"/>
      <c r="C872" s="95" t="str">
        <f t="array" ref="C872">IF(I872&gt;0,INDEX(DB,I872,8),"")</f>
        <v/>
      </c>
      <c r="D872" s="437">
        <f t="shared" si="1"/>
        <v>0</v>
      </c>
      <c r="F872" s="438">
        <f t="shared" si="2"/>
        <v>0</v>
      </c>
      <c r="G872" t="str">
        <f t="shared" si="3"/>
        <v/>
      </c>
      <c r="H872" t="b">
        <f t="shared" si="4"/>
        <v>0</v>
      </c>
      <c r="I872" s="439">
        <f>IF(OR(ISBLANK(A872),ISNA(MATCH(A872&amp;"",AthleteNumbers,0))),0,MATCH(A872&amp;"",AthleteNumbers,0))</f>
        <v>0</v>
      </c>
      <c r="J872" s="209">
        <f t="array" ref="J872">IF(I872&gt;0,INDEX(DB,$I872,6),0)</f>
        <v>0</v>
      </c>
      <c r="K872" s="446">
        <f t="shared" si="5"/>
        <v>0</v>
      </c>
      <c r="L872" s="446">
        <f t="shared" si="6"/>
        <v>0</v>
      </c>
      <c r="M872" s="441">
        <f>IF(L872&lt;O872,MinPoints,IF(AND(L872&gt;N872,O872&gt;0),100,+INT(($L872-O872)/P872)+MinPoints))</f>
        <v>10</v>
      </c>
      <c r="N872" s="440">
        <f t="shared" si="7"/>
        <v>50</v>
      </c>
      <c r="O872" s="440">
        <f t="shared" si="8"/>
        <v>5</v>
      </c>
      <c r="P872" s="440">
        <f t="shared" si="9"/>
        <v>0.5</v>
      </c>
      <c r="Q872">
        <f t="array" ref="Q872">IF(I872&gt;0,INDEX(DB,I872,9),EventIndex)</f>
        <v>6</v>
      </c>
      <c r="S872" s="442">
        <f t="array" ref="S872">INDEX(MINVALUES,$Q872,$K$1)</f>
        <v>5</v>
      </c>
      <c r="T872">
        <f t="array" ref="T872">INDEX(INCVALUES,$Q872,$K$1)</f>
        <v>0.5</v>
      </c>
      <c r="V872">
        <f t="array" ref="V872">+J872+(4*(INDEX(MatchScoreTable,$Q872,20)-1))</f>
        <v>4</v>
      </c>
      <c r="W872" s="442">
        <f t="array" ref="W872">INDEX(INC_MINVALUES,$V872,$K$1)</f>
        <v>2.5</v>
      </c>
      <c r="X872" s="212">
        <f t="array" ref="X872">INDEX(INC_INCVALUES,$V872,$K$1)</f>
        <v>0.5</v>
      </c>
    </row>
    <row r="873" ht="15.75" customHeight="1">
      <c r="A873" s="435"/>
      <c r="B873" s="436"/>
      <c r="C873" s="95" t="str">
        <f t="array" ref="C873">IF(I873&gt;0,INDEX(DB,I873,8),"")</f>
        <v/>
      </c>
      <c r="D873" s="437">
        <f t="shared" si="1"/>
        <v>0</v>
      </c>
      <c r="F873" s="438">
        <f t="shared" si="2"/>
        <v>0</v>
      </c>
      <c r="G873" t="str">
        <f t="shared" si="3"/>
        <v/>
      </c>
      <c r="H873" t="b">
        <f t="shared" si="4"/>
        <v>0</v>
      </c>
      <c r="I873" s="439">
        <f>IF(OR(ISBLANK(A873),ISNA(MATCH(A873&amp;"",AthleteNumbers,0))),0,MATCH(A873&amp;"",AthleteNumbers,0))</f>
        <v>0</v>
      </c>
      <c r="J873" s="209">
        <f t="array" ref="J873">IF(I873&gt;0,INDEX(DB,$I873,6),0)</f>
        <v>0</v>
      </c>
      <c r="K873" s="446">
        <f t="shared" si="5"/>
        <v>0</v>
      </c>
      <c r="L873" s="446">
        <f t="shared" si="6"/>
        <v>0</v>
      </c>
      <c r="M873" s="441">
        <f>IF(L873&lt;O873,MinPoints,IF(AND(L873&gt;N873,O873&gt;0),100,+INT(($L873-O873)/P873)+MinPoints))</f>
        <v>10</v>
      </c>
      <c r="N873" s="440">
        <f t="shared" si="7"/>
        <v>50</v>
      </c>
      <c r="O873" s="440">
        <f t="shared" si="8"/>
        <v>5</v>
      </c>
      <c r="P873" s="440">
        <f t="shared" si="9"/>
        <v>0.5</v>
      </c>
      <c r="Q873">
        <f t="array" ref="Q873">IF(I873&gt;0,INDEX(DB,I873,9),EventIndex)</f>
        <v>6</v>
      </c>
      <c r="S873" s="442">
        <f t="array" ref="S873">INDEX(MINVALUES,$Q873,$K$1)</f>
        <v>5</v>
      </c>
      <c r="T873">
        <f t="array" ref="T873">INDEX(INCVALUES,$Q873,$K$1)</f>
        <v>0.5</v>
      </c>
      <c r="V873">
        <f t="array" ref="V873">+J873+(4*(INDEX(MatchScoreTable,$Q873,20)-1))</f>
        <v>4</v>
      </c>
      <c r="W873" s="442">
        <f t="array" ref="W873">INDEX(INC_MINVALUES,$V873,$K$1)</f>
        <v>2.5</v>
      </c>
      <c r="X873" s="212">
        <f t="array" ref="X873">INDEX(INC_INCVALUES,$V873,$K$1)</f>
        <v>0.5</v>
      </c>
    </row>
    <row r="874" ht="15.75" customHeight="1">
      <c r="A874" s="435"/>
      <c r="B874" s="436"/>
      <c r="C874" s="95" t="str">
        <f t="array" ref="C874">IF(I874&gt;0,INDEX(DB,I874,8),"")</f>
        <v/>
      </c>
      <c r="D874" s="437">
        <f t="shared" si="1"/>
        <v>0</v>
      </c>
      <c r="F874" s="438">
        <f t="shared" si="2"/>
        <v>0</v>
      </c>
      <c r="G874" t="str">
        <f t="shared" si="3"/>
        <v/>
      </c>
      <c r="H874" t="b">
        <f t="shared" si="4"/>
        <v>0</v>
      </c>
      <c r="I874" s="439">
        <f>IF(OR(ISBLANK(A874),ISNA(MATCH(A874&amp;"",AthleteNumbers,0))),0,MATCH(A874&amp;"",AthleteNumbers,0))</f>
        <v>0</v>
      </c>
      <c r="J874" s="209">
        <f t="array" ref="J874">IF(I874&gt;0,INDEX(DB,$I874,6),0)</f>
        <v>0</v>
      </c>
      <c r="K874" s="446">
        <f t="shared" si="5"/>
        <v>0</v>
      </c>
      <c r="L874" s="446">
        <f t="shared" si="6"/>
        <v>0</v>
      </c>
      <c r="M874" s="441">
        <f>IF(L874&lt;O874,MinPoints,IF(AND(L874&gt;N874,O874&gt;0),100,+INT(($L874-O874)/P874)+MinPoints))</f>
        <v>10</v>
      </c>
      <c r="N874" s="440">
        <f t="shared" si="7"/>
        <v>50</v>
      </c>
      <c r="O874" s="440">
        <f t="shared" si="8"/>
        <v>5</v>
      </c>
      <c r="P874" s="440">
        <f t="shared" si="9"/>
        <v>0.5</v>
      </c>
      <c r="Q874">
        <f t="array" ref="Q874">IF(I874&gt;0,INDEX(DB,I874,9),EventIndex)</f>
        <v>6</v>
      </c>
      <c r="S874" s="442">
        <f t="array" ref="S874">INDEX(MINVALUES,$Q874,$K$1)</f>
        <v>5</v>
      </c>
      <c r="T874">
        <f t="array" ref="T874">INDEX(INCVALUES,$Q874,$K$1)</f>
        <v>0.5</v>
      </c>
      <c r="V874">
        <f t="array" ref="V874">+J874+(4*(INDEX(MatchScoreTable,$Q874,20)-1))</f>
        <v>4</v>
      </c>
      <c r="W874" s="442">
        <f t="array" ref="W874">INDEX(INC_MINVALUES,$V874,$K$1)</f>
        <v>2.5</v>
      </c>
      <c r="X874" s="212">
        <f t="array" ref="X874">INDEX(INC_INCVALUES,$V874,$K$1)</f>
        <v>0.5</v>
      </c>
    </row>
    <row r="875" ht="15.75" customHeight="1">
      <c r="A875" s="435"/>
      <c r="B875" s="436"/>
      <c r="C875" s="95" t="str">
        <f t="array" ref="C875">IF(I875&gt;0,INDEX(DB,I875,8),"")</f>
        <v/>
      </c>
      <c r="D875" s="437">
        <f t="shared" si="1"/>
        <v>0</v>
      </c>
      <c r="F875" s="438">
        <f t="shared" si="2"/>
        <v>0</v>
      </c>
      <c r="G875" t="str">
        <f t="shared" si="3"/>
        <v/>
      </c>
      <c r="H875" t="b">
        <f t="shared" si="4"/>
        <v>0</v>
      </c>
      <c r="I875" s="439">
        <f>IF(OR(ISBLANK(A875),ISNA(MATCH(A875&amp;"",AthleteNumbers,0))),0,MATCH(A875&amp;"",AthleteNumbers,0))</f>
        <v>0</v>
      </c>
      <c r="J875" s="209">
        <f t="array" ref="J875">IF(I875&gt;0,INDEX(DB,$I875,6),0)</f>
        <v>0</v>
      </c>
      <c r="K875" s="446">
        <f t="shared" si="5"/>
        <v>0</v>
      </c>
      <c r="L875" s="446">
        <f t="shared" si="6"/>
        <v>0</v>
      </c>
      <c r="M875" s="441">
        <f>IF(L875&lt;O875,MinPoints,IF(AND(L875&gt;N875,O875&gt;0),100,+INT(($L875-O875)/P875)+MinPoints))</f>
        <v>10</v>
      </c>
      <c r="N875" s="440">
        <f t="shared" si="7"/>
        <v>50</v>
      </c>
      <c r="O875" s="440">
        <f t="shared" si="8"/>
        <v>5</v>
      </c>
      <c r="P875" s="440">
        <f t="shared" si="9"/>
        <v>0.5</v>
      </c>
      <c r="Q875">
        <f t="array" ref="Q875">IF(I875&gt;0,INDEX(DB,I875,9),EventIndex)</f>
        <v>6</v>
      </c>
      <c r="S875" s="442">
        <f t="array" ref="S875">INDEX(MINVALUES,$Q875,$K$1)</f>
        <v>5</v>
      </c>
      <c r="T875">
        <f t="array" ref="T875">INDEX(INCVALUES,$Q875,$K$1)</f>
        <v>0.5</v>
      </c>
      <c r="V875">
        <f t="array" ref="V875">+J875+(4*(INDEX(MatchScoreTable,$Q875,20)-1))</f>
        <v>4</v>
      </c>
      <c r="W875" s="442">
        <f t="array" ref="W875">INDEX(INC_MINVALUES,$V875,$K$1)</f>
        <v>2.5</v>
      </c>
      <c r="X875" s="212">
        <f t="array" ref="X875">INDEX(INC_INCVALUES,$V875,$K$1)</f>
        <v>0.5</v>
      </c>
    </row>
    <row r="876" ht="15.75" customHeight="1">
      <c r="A876" s="435"/>
      <c r="B876" s="436"/>
      <c r="C876" s="95" t="str">
        <f t="array" ref="C876">IF(I876&gt;0,INDEX(DB,I876,8),"")</f>
        <v/>
      </c>
      <c r="D876" s="437">
        <f t="shared" si="1"/>
        <v>0</v>
      </c>
      <c r="F876" s="438">
        <f t="shared" si="2"/>
        <v>0</v>
      </c>
      <c r="G876" t="str">
        <f t="shared" si="3"/>
        <v/>
      </c>
      <c r="H876" t="b">
        <f t="shared" si="4"/>
        <v>0</v>
      </c>
      <c r="I876" s="439">
        <f>IF(OR(ISBLANK(A876),ISNA(MATCH(A876&amp;"",AthleteNumbers,0))),0,MATCH(A876&amp;"",AthleteNumbers,0))</f>
        <v>0</v>
      </c>
      <c r="J876" s="209">
        <f t="array" ref="J876">IF(I876&gt;0,INDEX(DB,$I876,6),0)</f>
        <v>0</v>
      </c>
      <c r="K876" s="446">
        <f t="shared" si="5"/>
        <v>0</v>
      </c>
      <c r="L876" s="446">
        <f t="shared" si="6"/>
        <v>0</v>
      </c>
      <c r="M876" s="441">
        <f>IF(L876&lt;O876,MinPoints,IF(AND(L876&gt;N876,O876&gt;0),100,+INT(($L876-O876)/P876)+MinPoints))</f>
        <v>10</v>
      </c>
      <c r="N876" s="440">
        <f t="shared" si="7"/>
        <v>50</v>
      </c>
      <c r="O876" s="440">
        <f t="shared" si="8"/>
        <v>5</v>
      </c>
      <c r="P876" s="440">
        <f t="shared" si="9"/>
        <v>0.5</v>
      </c>
      <c r="Q876">
        <f t="array" ref="Q876">IF(I876&gt;0,INDEX(DB,I876,9),EventIndex)</f>
        <v>6</v>
      </c>
      <c r="S876" s="442">
        <f t="array" ref="S876">INDEX(MINVALUES,$Q876,$K$1)</f>
        <v>5</v>
      </c>
      <c r="T876">
        <f t="array" ref="T876">INDEX(INCVALUES,$Q876,$K$1)</f>
        <v>0.5</v>
      </c>
      <c r="V876">
        <f t="array" ref="V876">+J876+(4*(INDEX(MatchScoreTable,$Q876,20)-1))</f>
        <v>4</v>
      </c>
      <c r="W876" s="442">
        <f t="array" ref="W876">INDEX(INC_MINVALUES,$V876,$K$1)</f>
        <v>2.5</v>
      </c>
      <c r="X876" s="212">
        <f t="array" ref="X876">INDEX(INC_INCVALUES,$V876,$K$1)</f>
        <v>0.5</v>
      </c>
    </row>
    <row r="877" ht="15.75" customHeight="1">
      <c r="A877" s="435"/>
      <c r="B877" s="436"/>
      <c r="C877" s="95" t="str">
        <f t="array" ref="C877">IF(I877&gt;0,INDEX(DB,I877,8),"")</f>
        <v/>
      </c>
      <c r="D877" s="437">
        <f t="shared" si="1"/>
        <v>0</v>
      </c>
      <c r="F877" s="438">
        <f t="shared" si="2"/>
        <v>0</v>
      </c>
      <c r="G877" t="str">
        <f t="shared" si="3"/>
        <v/>
      </c>
      <c r="H877" t="b">
        <f t="shared" si="4"/>
        <v>0</v>
      </c>
      <c r="I877" s="439">
        <f>IF(OR(ISBLANK(A877),ISNA(MATCH(A877&amp;"",AthleteNumbers,0))),0,MATCH(A877&amp;"",AthleteNumbers,0))</f>
        <v>0</v>
      </c>
      <c r="J877" s="209">
        <f t="array" ref="J877">IF(I877&gt;0,INDEX(DB,$I877,6),0)</f>
        <v>0</v>
      </c>
      <c r="K877" s="446">
        <f t="shared" si="5"/>
        <v>0</v>
      </c>
      <c r="L877" s="446">
        <f t="shared" si="6"/>
        <v>0</v>
      </c>
      <c r="M877" s="441">
        <f>IF(L877&lt;O877,MinPoints,IF(AND(L877&gt;N877,O877&gt;0),100,+INT(($L877-O877)/P877)+MinPoints))</f>
        <v>10</v>
      </c>
      <c r="N877" s="440">
        <f t="shared" si="7"/>
        <v>50</v>
      </c>
      <c r="O877" s="440">
        <f t="shared" si="8"/>
        <v>5</v>
      </c>
      <c r="P877" s="440">
        <f t="shared" si="9"/>
        <v>0.5</v>
      </c>
      <c r="Q877">
        <f t="array" ref="Q877">IF(I877&gt;0,INDEX(DB,I877,9),EventIndex)</f>
        <v>6</v>
      </c>
      <c r="S877" s="442">
        <f t="array" ref="S877">INDEX(MINVALUES,$Q877,$K$1)</f>
        <v>5</v>
      </c>
      <c r="T877">
        <f t="array" ref="T877">INDEX(INCVALUES,$Q877,$K$1)</f>
        <v>0.5</v>
      </c>
      <c r="V877">
        <f t="array" ref="V877">+J877+(4*(INDEX(MatchScoreTable,$Q877,20)-1))</f>
        <v>4</v>
      </c>
      <c r="W877" s="442">
        <f t="array" ref="W877">INDEX(INC_MINVALUES,$V877,$K$1)</f>
        <v>2.5</v>
      </c>
      <c r="X877" s="212">
        <f t="array" ref="X877">INDEX(INC_INCVALUES,$V877,$K$1)</f>
        <v>0.5</v>
      </c>
    </row>
    <row r="878" ht="15.75" customHeight="1">
      <c r="A878" s="435"/>
      <c r="B878" s="436"/>
      <c r="C878" s="95" t="str">
        <f t="array" ref="C878">IF(I878&gt;0,INDEX(DB,I878,8),"")</f>
        <v/>
      </c>
      <c r="D878" s="437">
        <f t="shared" si="1"/>
        <v>0</v>
      </c>
      <c r="F878" s="438">
        <f t="shared" si="2"/>
        <v>0</v>
      </c>
      <c r="G878" t="str">
        <f t="shared" si="3"/>
        <v/>
      </c>
      <c r="H878" t="b">
        <f t="shared" si="4"/>
        <v>0</v>
      </c>
      <c r="I878" s="439">
        <f>IF(OR(ISBLANK(A878),ISNA(MATCH(A878&amp;"",AthleteNumbers,0))),0,MATCH(A878&amp;"",AthleteNumbers,0))</f>
        <v>0</v>
      </c>
      <c r="J878" s="209">
        <f t="array" ref="J878">IF(I878&gt;0,INDEX(DB,$I878,6),0)</f>
        <v>0</v>
      </c>
      <c r="K878" s="446">
        <f t="shared" si="5"/>
        <v>0</v>
      </c>
      <c r="L878" s="446">
        <f t="shared" si="6"/>
        <v>0</v>
      </c>
      <c r="M878" s="441">
        <f>IF(L878&lt;O878,MinPoints,IF(AND(L878&gt;N878,O878&gt;0),100,+INT(($L878-O878)/P878)+MinPoints))</f>
        <v>10</v>
      </c>
      <c r="N878" s="440">
        <f t="shared" si="7"/>
        <v>50</v>
      </c>
      <c r="O878" s="440">
        <f t="shared" si="8"/>
        <v>5</v>
      </c>
      <c r="P878" s="440">
        <f t="shared" si="9"/>
        <v>0.5</v>
      </c>
      <c r="Q878">
        <f t="array" ref="Q878">IF(I878&gt;0,INDEX(DB,I878,9),EventIndex)</f>
        <v>6</v>
      </c>
      <c r="S878" s="442">
        <f t="array" ref="S878">INDEX(MINVALUES,$Q878,$K$1)</f>
        <v>5</v>
      </c>
      <c r="T878">
        <f t="array" ref="T878">INDEX(INCVALUES,$Q878,$K$1)</f>
        <v>0.5</v>
      </c>
      <c r="V878">
        <f t="array" ref="V878">+J878+(4*(INDEX(MatchScoreTable,$Q878,20)-1))</f>
        <v>4</v>
      </c>
      <c r="W878" s="442">
        <f t="array" ref="W878">INDEX(INC_MINVALUES,$V878,$K$1)</f>
        <v>2.5</v>
      </c>
      <c r="X878" s="212">
        <f t="array" ref="X878">INDEX(INC_INCVALUES,$V878,$K$1)</f>
        <v>0.5</v>
      </c>
    </row>
    <row r="879" ht="15.75" customHeight="1">
      <c r="A879" s="435"/>
      <c r="B879" s="436"/>
      <c r="C879" s="95" t="str">
        <f t="array" ref="C879">IF(I879&gt;0,INDEX(DB,I879,8),"")</f>
        <v/>
      </c>
      <c r="D879" s="437">
        <f t="shared" si="1"/>
        <v>0</v>
      </c>
      <c r="F879" s="438">
        <f t="shared" si="2"/>
        <v>0</v>
      </c>
      <c r="G879" t="str">
        <f t="shared" si="3"/>
        <v/>
      </c>
      <c r="H879" t="b">
        <f t="shared" si="4"/>
        <v>0</v>
      </c>
      <c r="I879" s="439">
        <f>IF(OR(ISBLANK(A879),ISNA(MATCH(A879&amp;"",AthleteNumbers,0))),0,MATCH(A879&amp;"",AthleteNumbers,0))</f>
        <v>0</v>
      </c>
      <c r="J879" s="209">
        <f t="array" ref="J879">IF(I879&gt;0,INDEX(DB,$I879,6),0)</f>
        <v>0</v>
      </c>
      <c r="K879" s="446">
        <f t="shared" si="5"/>
        <v>0</v>
      </c>
      <c r="L879" s="446">
        <f t="shared" si="6"/>
        <v>0</v>
      </c>
      <c r="M879" s="441">
        <f>IF(L879&lt;O879,MinPoints,IF(AND(L879&gt;N879,O879&gt;0),100,+INT(($L879-O879)/P879)+MinPoints))</f>
        <v>10</v>
      </c>
      <c r="N879" s="440">
        <f t="shared" si="7"/>
        <v>50</v>
      </c>
      <c r="O879" s="440">
        <f t="shared" si="8"/>
        <v>5</v>
      </c>
      <c r="P879" s="440">
        <f t="shared" si="9"/>
        <v>0.5</v>
      </c>
      <c r="Q879">
        <f t="array" ref="Q879">IF(I879&gt;0,INDEX(DB,I879,9),EventIndex)</f>
        <v>6</v>
      </c>
      <c r="S879" s="442">
        <f t="array" ref="S879">INDEX(MINVALUES,$Q879,$K$1)</f>
        <v>5</v>
      </c>
      <c r="T879">
        <f t="array" ref="T879">INDEX(INCVALUES,$Q879,$K$1)</f>
        <v>0.5</v>
      </c>
      <c r="V879">
        <f t="array" ref="V879">+J879+(4*(INDEX(MatchScoreTable,$Q879,20)-1))</f>
        <v>4</v>
      </c>
      <c r="W879" s="442">
        <f t="array" ref="W879">INDEX(INC_MINVALUES,$V879,$K$1)</f>
        <v>2.5</v>
      </c>
      <c r="X879" s="212">
        <f t="array" ref="X879">INDEX(INC_INCVALUES,$V879,$K$1)</f>
        <v>0.5</v>
      </c>
    </row>
    <row r="880" ht="15.75" customHeight="1">
      <c r="A880" s="435"/>
      <c r="B880" s="436"/>
      <c r="C880" s="95" t="str">
        <f t="array" ref="C880">IF(I880&gt;0,INDEX(DB,I880,8),"")</f>
        <v/>
      </c>
      <c r="D880" s="437">
        <f t="shared" si="1"/>
        <v>0</v>
      </c>
      <c r="F880" s="438">
        <f t="shared" si="2"/>
        <v>0</v>
      </c>
      <c r="G880" t="str">
        <f t="shared" si="3"/>
        <v/>
      </c>
      <c r="H880" t="b">
        <f t="shared" si="4"/>
        <v>0</v>
      </c>
      <c r="I880" s="439">
        <f>IF(OR(ISBLANK(A880),ISNA(MATCH(A880&amp;"",AthleteNumbers,0))),0,MATCH(A880&amp;"",AthleteNumbers,0))</f>
        <v>0</v>
      </c>
      <c r="J880" s="209">
        <f t="array" ref="J880">IF(I880&gt;0,INDEX(DB,$I880,6),0)</f>
        <v>0</v>
      </c>
      <c r="K880" s="446">
        <f t="shared" si="5"/>
        <v>0</v>
      </c>
      <c r="L880" s="446">
        <f t="shared" si="6"/>
        <v>0</v>
      </c>
      <c r="M880" s="441">
        <f>IF(L880&lt;O880,MinPoints,IF(AND(L880&gt;N880,O880&gt;0),100,+INT(($L880-O880)/P880)+MinPoints))</f>
        <v>10</v>
      </c>
      <c r="N880" s="440">
        <f t="shared" si="7"/>
        <v>50</v>
      </c>
      <c r="O880" s="440">
        <f t="shared" si="8"/>
        <v>5</v>
      </c>
      <c r="P880" s="440">
        <f t="shared" si="9"/>
        <v>0.5</v>
      </c>
      <c r="Q880">
        <f t="array" ref="Q880">IF(I880&gt;0,INDEX(DB,I880,9),EventIndex)</f>
        <v>6</v>
      </c>
      <c r="S880" s="442">
        <f t="array" ref="S880">INDEX(MINVALUES,$Q880,$K$1)</f>
        <v>5</v>
      </c>
      <c r="T880">
        <f t="array" ref="T880">INDEX(INCVALUES,$Q880,$K$1)</f>
        <v>0.5</v>
      </c>
      <c r="V880">
        <f t="array" ref="V880">+J880+(4*(INDEX(MatchScoreTable,$Q880,20)-1))</f>
        <v>4</v>
      </c>
      <c r="W880" s="442">
        <f t="array" ref="W880">INDEX(INC_MINVALUES,$V880,$K$1)</f>
        <v>2.5</v>
      </c>
      <c r="X880" s="212">
        <f t="array" ref="X880">INDEX(INC_INCVALUES,$V880,$K$1)</f>
        <v>0.5</v>
      </c>
    </row>
    <row r="881" ht="15.75" customHeight="1">
      <c r="A881" s="435"/>
      <c r="B881" s="436"/>
      <c r="C881" s="95" t="str">
        <f t="array" ref="C881">IF(I881&gt;0,INDEX(DB,I881,8),"")</f>
        <v/>
      </c>
      <c r="D881" s="437">
        <f t="shared" si="1"/>
        <v>0</v>
      </c>
      <c r="F881" s="438">
        <f t="shared" si="2"/>
        <v>0</v>
      </c>
      <c r="G881" t="str">
        <f t="shared" si="3"/>
        <v/>
      </c>
      <c r="H881" t="b">
        <f t="shared" si="4"/>
        <v>0</v>
      </c>
      <c r="I881" s="439">
        <f>IF(OR(ISBLANK(A881),ISNA(MATCH(A881&amp;"",AthleteNumbers,0))),0,MATCH(A881&amp;"",AthleteNumbers,0))</f>
        <v>0</v>
      </c>
      <c r="J881" s="209">
        <f t="array" ref="J881">IF(I881&gt;0,INDEX(DB,$I881,6),0)</f>
        <v>0</v>
      </c>
      <c r="K881" s="446">
        <f t="shared" si="5"/>
        <v>0</v>
      </c>
      <c r="L881" s="446">
        <f t="shared" si="6"/>
        <v>0</v>
      </c>
      <c r="M881" s="441">
        <f>IF(L881&lt;O881,MinPoints,IF(AND(L881&gt;N881,O881&gt;0),100,+INT(($L881-O881)/P881)+MinPoints))</f>
        <v>10</v>
      </c>
      <c r="N881" s="440">
        <f t="shared" si="7"/>
        <v>50</v>
      </c>
      <c r="O881" s="440">
        <f t="shared" si="8"/>
        <v>5</v>
      </c>
      <c r="P881" s="440">
        <f t="shared" si="9"/>
        <v>0.5</v>
      </c>
      <c r="Q881">
        <f t="array" ref="Q881">IF(I881&gt;0,INDEX(DB,I881,9),EventIndex)</f>
        <v>6</v>
      </c>
      <c r="S881" s="442">
        <f t="array" ref="S881">INDEX(MINVALUES,$Q881,$K$1)</f>
        <v>5</v>
      </c>
      <c r="T881">
        <f t="array" ref="T881">INDEX(INCVALUES,$Q881,$K$1)</f>
        <v>0.5</v>
      </c>
      <c r="V881">
        <f t="array" ref="V881">+J881+(4*(INDEX(MatchScoreTable,$Q881,20)-1))</f>
        <v>4</v>
      </c>
      <c r="W881" s="442">
        <f t="array" ref="W881">INDEX(INC_MINVALUES,$V881,$K$1)</f>
        <v>2.5</v>
      </c>
      <c r="X881" s="212">
        <f t="array" ref="X881">INDEX(INC_INCVALUES,$V881,$K$1)</f>
        <v>0.5</v>
      </c>
    </row>
    <row r="882" ht="15.75" customHeight="1">
      <c r="A882" s="435"/>
      <c r="B882" s="436"/>
      <c r="C882" s="95" t="str">
        <f t="array" ref="C882">IF(I882&gt;0,INDEX(DB,I882,8),"")</f>
        <v/>
      </c>
      <c r="D882" s="437">
        <f t="shared" si="1"/>
        <v>0</v>
      </c>
      <c r="F882" s="438">
        <f t="shared" si="2"/>
        <v>0</v>
      </c>
      <c r="G882" t="str">
        <f t="shared" si="3"/>
        <v/>
      </c>
      <c r="H882" t="b">
        <f t="shared" si="4"/>
        <v>0</v>
      </c>
      <c r="I882" s="439">
        <f>IF(OR(ISBLANK(A882),ISNA(MATCH(A882&amp;"",AthleteNumbers,0))),0,MATCH(A882&amp;"",AthleteNumbers,0))</f>
        <v>0</v>
      </c>
      <c r="J882" s="209">
        <f t="array" ref="J882">IF(I882&gt;0,INDEX(DB,$I882,6),0)</f>
        <v>0</v>
      </c>
      <c r="K882" s="446">
        <f t="shared" si="5"/>
        <v>0</v>
      </c>
      <c r="L882" s="446">
        <f t="shared" si="6"/>
        <v>0</v>
      </c>
      <c r="M882" s="441">
        <f>IF(L882&lt;O882,MinPoints,IF(AND(L882&gt;N882,O882&gt;0),100,+INT(($L882-O882)/P882)+MinPoints))</f>
        <v>10</v>
      </c>
      <c r="N882" s="440">
        <f t="shared" si="7"/>
        <v>50</v>
      </c>
      <c r="O882" s="440">
        <f t="shared" si="8"/>
        <v>5</v>
      </c>
      <c r="P882" s="440">
        <f t="shared" si="9"/>
        <v>0.5</v>
      </c>
      <c r="Q882">
        <f t="array" ref="Q882">IF(I882&gt;0,INDEX(DB,I882,9),EventIndex)</f>
        <v>6</v>
      </c>
      <c r="S882" s="442">
        <f t="array" ref="S882">INDEX(MINVALUES,$Q882,$K$1)</f>
        <v>5</v>
      </c>
      <c r="T882">
        <f t="array" ref="T882">INDEX(INCVALUES,$Q882,$K$1)</f>
        <v>0.5</v>
      </c>
      <c r="V882">
        <f t="array" ref="V882">+J882+(4*(INDEX(MatchScoreTable,$Q882,20)-1))</f>
        <v>4</v>
      </c>
      <c r="W882" s="442">
        <f t="array" ref="W882">INDEX(INC_MINVALUES,$V882,$K$1)</f>
        <v>2.5</v>
      </c>
      <c r="X882" s="212">
        <f t="array" ref="X882">INDEX(INC_INCVALUES,$V882,$K$1)</f>
        <v>0.5</v>
      </c>
    </row>
    <row r="883" ht="15.75" customHeight="1">
      <c r="A883" s="435"/>
      <c r="B883" s="436"/>
      <c r="C883" s="95" t="str">
        <f t="array" ref="C883">IF(I883&gt;0,INDEX(DB,I883,8),"")</f>
        <v/>
      </c>
      <c r="D883" s="437">
        <f t="shared" si="1"/>
        <v>0</v>
      </c>
      <c r="F883" s="438">
        <f t="shared" si="2"/>
        <v>0</v>
      </c>
      <c r="G883" t="str">
        <f t="shared" si="3"/>
        <v/>
      </c>
      <c r="H883" t="b">
        <f t="shared" si="4"/>
        <v>0</v>
      </c>
      <c r="I883" s="439">
        <f>IF(OR(ISBLANK(A883),ISNA(MATCH(A883&amp;"",AthleteNumbers,0))),0,MATCH(A883&amp;"",AthleteNumbers,0))</f>
        <v>0</v>
      </c>
      <c r="J883" s="209">
        <f t="array" ref="J883">IF(I883&gt;0,INDEX(DB,$I883,6),0)</f>
        <v>0</v>
      </c>
      <c r="K883" s="446">
        <f t="shared" si="5"/>
        <v>0</v>
      </c>
      <c r="L883" s="446">
        <f t="shared" si="6"/>
        <v>0</v>
      </c>
      <c r="M883" s="441">
        <f>IF(L883&lt;O883,MinPoints,IF(AND(L883&gt;N883,O883&gt;0),100,+INT(($L883-O883)/P883)+MinPoints))</f>
        <v>10</v>
      </c>
      <c r="N883" s="440">
        <f t="shared" si="7"/>
        <v>50</v>
      </c>
      <c r="O883" s="440">
        <f t="shared" si="8"/>
        <v>5</v>
      </c>
      <c r="P883" s="440">
        <f t="shared" si="9"/>
        <v>0.5</v>
      </c>
      <c r="Q883">
        <f t="array" ref="Q883">IF(I883&gt;0,INDEX(DB,I883,9),EventIndex)</f>
        <v>6</v>
      </c>
      <c r="S883" s="442">
        <f t="array" ref="S883">INDEX(MINVALUES,$Q883,$K$1)</f>
        <v>5</v>
      </c>
      <c r="T883">
        <f t="array" ref="T883">INDEX(INCVALUES,$Q883,$K$1)</f>
        <v>0.5</v>
      </c>
      <c r="V883">
        <f t="array" ref="V883">+J883+(4*(INDEX(MatchScoreTable,$Q883,20)-1))</f>
        <v>4</v>
      </c>
      <c r="W883" s="442">
        <f t="array" ref="W883">INDEX(INC_MINVALUES,$V883,$K$1)</f>
        <v>2.5</v>
      </c>
      <c r="X883" s="212">
        <f t="array" ref="X883">INDEX(INC_INCVALUES,$V883,$K$1)</f>
        <v>0.5</v>
      </c>
    </row>
    <row r="884" ht="15.75" customHeight="1">
      <c r="A884" s="435"/>
      <c r="B884" s="436"/>
      <c r="C884" s="95" t="str">
        <f t="array" ref="C884">IF(I884&gt;0,INDEX(DB,I884,8),"")</f>
        <v/>
      </c>
      <c r="D884" s="437">
        <f t="shared" si="1"/>
        <v>0</v>
      </c>
      <c r="F884" s="438">
        <f t="shared" si="2"/>
        <v>0</v>
      </c>
      <c r="G884" t="str">
        <f t="shared" si="3"/>
        <v/>
      </c>
      <c r="H884" t="b">
        <f t="shared" si="4"/>
        <v>0</v>
      </c>
      <c r="I884" s="439">
        <f>IF(OR(ISBLANK(A884),ISNA(MATCH(A884&amp;"",AthleteNumbers,0))),0,MATCH(A884&amp;"",AthleteNumbers,0))</f>
        <v>0</v>
      </c>
      <c r="J884" s="209">
        <f t="array" ref="J884">IF(I884&gt;0,INDEX(DB,$I884,6),0)</f>
        <v>0</v>
      </c>
      <c r="K884" s="446">
        <f t="shared" si="5"/>
        <v>0</v>
      </c>
      <c r="L884" s="446">
        <f t="shared" si="6"/>
        <v>0</v>
      </c>
      <c r="M884" s="441">
        <f>IF(L884&lt;O884,MinPoints,IF(AND(L884&gt;N884,O884&gt;0),100,+INT(($L884-O884)/P884)+MinPoints))</f>
        <v>10</v>
      </c>
      <c r="N884" s="440">
        <f t="shared" si="7"/>
        <v>50</v>
      </c>
      <c r="O884" s="440">
        <f t="shared" si="8"/>
        <v>5</v>
      </c>
      <c r="P884" s="440">
        <f t="shared" si="9"/>
        <v>0.5</v>
      </c>
      <c r="Q884">
        <f t="array" ref="Q884">IF(I884&gt;0,INDEX(DB,I884,9),EventIndex)</f>
        <v>6</v>
      </c>
      <c r="S884" s="442">
        <f t="array" ref="S884">INDEX(MINVALUES,$Q884,$K$1)</f>
        <v>5</v>
      </c>
      <c r="T884">
        <f t="array" ref="T884">INDEX(INCVALUES,$Q884,$K$1)</f>
        <v>0.5</v>
      </c>
      <c r="V884">
        <f t="array" ref="V884">+J884+(4*(INDEX(MatchScoreTable,$Q884,20)-1))</f>
        <v>4</v>
      </c>
      <c r="W884" s="442">
        <f t="array" ref="W884">INDEX(INC_MINVALUES,$V884,$K$1)</f>
        <v>2.5</v>
      </c>
      <c r="X884" s="212">
        <f t="array" ref="X884">INDEX(INC_INCVALUES,$V884,$K$1)</f>
        <v>0.5</v>
      </c>
    </row>
    <row r="885" ht="15.75" customHeight="1">
      <c r="A885" s="435"/>
      <c r="B885" s="436"/>
      <c r="C885" s="95" t="str">
        <f t="array" ref="C885">IF(I885&gt;0,INDEX(DB,I885,8),"")</f>
        <v/>
      </c>
      <c r="D885" s="437">
        <f t="shared" si="1"/>
        <v>0</v>
      </c>
      <c r="F885" s="438">
        <f t="shared" si="2"/>
        <v>0</v>
      </c>
      <c r="G885" t="str">
        <f t="shared" si="3"/>
        <v/>
      </c>
      <c r="H885" t="b">
        <f t="shared" si="4"/>
        <v>0</v>
      </c>
      <c r="I885" s="439">
        <f>IF(OR(ISBLANK(A885),ISNA(MATCH(A885&amp;"",AthleteNumbers,0))),0,MATCH(A885&amp;"",AthleteNumbers,0))</f>
        <v>0</v>
      </c>
      <c r="J885" s="209">
        <f t="array" ref="J885">IF(I885&gt;0,INDEX(DB,$I885,6),0)</f>
        <v>0</v>
      </c>
      <c r="K885" s="446">
        <f t="shared" si="5"/>
        <v>0</v>
      </c>
      <c r="L885" s="446">
        <f t="shared" si="6"/>
        <v>0</v>
      </c>
      <c r="M885" s="441">
        <f>IF(L885&lt;O885,MinPoints,IF(AND(L885&gt;N885,O885&gt;0),100,+INT(($L885-O885)/P885)+MinPoints))</f>
        <v>10</v>
      </c>
      <c r="N885" s="440">
        <f t="shared" si="7"/>
        <v>50</v>
      </c>
      <c r="O885" s="440">
        <f t="shared" si="8"/>
        <v>5</v>
      </c>
      <c r="P885" s="440">
        <f t="shared" si="9"/>
        <v>0.5</v>
      </c>
      <c r="Q885">
        <f t="array" ref="Q885">IF(I885&gt;0,INDEX(DB,I885,9),EventIndex)</f>
        <v>6</v>
      </c>
      <c r="S885" s="442">
        <f t="array" ref="S885">INDEX(MINVALUES,$Q885,$K$1)</f>
        <v>5</v>
      </c>
      <c r="T885">
        <f t="array" ref="T885">INDEX(INCVALUES,$Q885,$K$1)</f>
        <v>0.5</v>
      </c>
      <c r="V885">
        <f t="array" ref="V885">+J885+(4*(INDEX(MatchScoreTable,$Q885,20)-1))</f>
        <v>4</v>
      </c>
      <c r="W885" s="442">
        <f t="array" ref="W885">INDEX(INC_MINVALUES,$V885,$K$1)</f>
        <v>2.5</v>
      </c>
      <c r="X885" s="212">
        <f t="array" ref="X885">INDEX(INC_INCVALUES,$V885,$K$1)</f>
        <v>0.5</v>
      </c>
    </row>
    <row r="886" ht="15.75" customHeight="1">
      <c r="A886" s="435"/>
      <c r="B886" s="436"/>
      <c r="C886" s="95" t="str">
        <f t="array" ref="C886">IF(I886&gt;0,INDEX(DB,I886,8),"")</f>
        <v/>
      </c>
      <c r="D886" s="437">
        <f t="shared" si="1"/>
        <v>0</v>
      </c>
      <c r="F886" s="438">
        <f t="shared" si="2"/>
        <v>0</v>
      </c>
      <c r="G886" t="str">
        <f t="shared" si="3"/>
        <v/>
      </c>
      <c r="H886" t="b">
        <f t="shared" si="4"/>
        <v>0</v>
      </c>
      <c r="I886" s="439">
        <f>IF(OR(ISBLANK(A886),ISNA(MATCH(A886&amp;"",AthleteNumbers,0))),0,MATCH(A886&amp;"",AthleteNumbers,0))</f>
        <v>0</v>
      </c>
      <c r="J886" s="209">
        <f t="array" ref="J886">IF(I886&gt;0,INDEX(DB,$I886,6),0)</f>
        <v>0</v>
      </c>
      <c r="K886" s="446">
        <f t="shared" si="5"/>
        <v>0</v>
      </c>
      <c r="L886" s="446">
        <f t="shared" si="6"/>
        <v>0</v>
      </c>
      <c r="M886" s="441">
        <f>IF(L886&lt;O886,MinPoints,IF(AND(L886&gt;N886,O886&gt;0),100,+INT(($L886-O886)/P886)+MinPoints))</f>
        <v>10</v>
      </c>
      <c r="N886" s="440">
        <f t="shared" si="7"/>
        <v>50</v>
      </c>
      <c r="O886" s="440">
        <f t="shared" si="8"/>
        <v>5</v>
      </c>
      <c r="P886" s="440">
        <f t="shared" si="9"/>
        <v>0.5</v>
      </c>
      <c r="Q886">
        <f t="array" ref="Q886">IF(I886&gt;0,INDEX(DB,I886,9),EventIndex)</f>
        <v>6</v>
      </c>
      <c r="S886" s="442">
        <f t="array" ref="S886">INDEX(MINVALUES,$Q886,$K$1)</f>
        <v>5</v>
      </c>
      <c r="T886">
        <f t="array" ref="T886">INDEX(INCVALUES,$Q886,$K$1)</f>
        <v>0.5</v>
      </c>
      <c r="V886">
        <f t="array" ref="V886">+J886+(4*(INDEX(MatchScoreTable,$Q886,20)-1))</f>
        <v>4</v>
      </c>
      <c r="W886" s="442">
        <f t="array" ref="W886">INDEX(INC_MINVALUES,$V886,$K$1)</f>
        <v>2.5</v>
      </c>
      <c r="X886" s="212">
        <f t="array" ref="X886">INDEX(INC_INCVALUES,$V886,$K$1)</f>
        <v>0.5</v>
      </c>
    </row>
    <row r="887" ht="15.75" customHeight="1">
      <c r="A887" s="435"/>
      <c r="B887" s="436"/>
      <c r="C887" s="95" t="str">
        <f t="array" ref="C887">IF(I887&gt;0,INDEX(DB,I887,8),"")</f>
        <v/>
      </c>
      <c r="D887" s="437">
        <f t="shared" si="1"/>
        <v>0</v>
      </c>
      <c r="F887" s="438">
        <f t="shared" si="2"/>
        <v>0</v>
      </c>
      <c r="G887" t="str">
        <f t="shared" si="3"/>
        <v/>
      </c>
      <c r="H887" t="b">
        <f t="shared" si="4"/>
        <v>0</v>
      </c>
      <c r="I887" s="439">
        <f>IF(OR(ISBLANK(A887),ISNA(MATCH(A887&amp;"",AthleteNumbers,0))),0,MATCH(A887&amp;"",AthleteNumbers,0))</f>
        <v>0</v>
      </c>
      <c r="J887" s="209">
        <f t="array" ref="J887">IF(I887&gt;0,INDEX(DB,$I887,6),0)</f>
        <v>0</v>
      </c>
      <c r="K887" s="446">
        <f t="shared" si="5"/>
        <v>0</v>
      </c>
      <c r="L887" s="446">
        <f t="shared" si="6"/>
        <v>0</v>
      </c>
      <c r="M887" s="441">
        <f>IF(L887&lt;O887,MinPoints,IF(AND(L887&gt;N887,O887&gt;0),100,+INT(($L887-O887)/P887)+MinPoints))</f>
        <v>10</v>
      </c>
      <c r="N887" s="440">
        <f t="shared" si="7"/>
        <v>50</v>
      </c>
      <c r="O887" s="440">
        <f t="shared" si="8"/>
        <v>5</v>
      </c>
      <c r="P887" s="440">
        <f t="shared" si="9"/>
        <v>0.5</v>
      </c>
      <c r="Q887">
        <f t="array" ref="Q887">IF(I887&gt;0,INDEX(DB,I887,9),EventIndex)</f>
        <v>6</v>
      </c>
      <c r="S887" s="442">
        <f t="array" ref="S887">INDEX(MINVALUES,$Q887,$K$1)</f>
        <v>5</v>
      </c>
      <c r="T887">
        <f t="array" ref="T887">INDEX(INCVALUES,$Q887,$K$1)</f>
        <v>0.5</v>
      </c>
      <c r="V887">
        <f t="array" ref="V887">+J887+(4*(INDEX(MatchScoreTable,$Q887,20)-1))</f>
        <v>4</v>
      </c>
      <c r="W887" s="442">
        <f t="array" ref="W887">INDEX(INC_MINVALUES,$V887,$K$1)</f>
        <v>2.5</v>
      </c>
      <c r="X887" s="212">
        <f t="array" ref="X887">INDEX(INC_INCVALUES,$V887,$K$1)</f>
        <v>0.5</v>
      </c>
    </row>
    <row r="888" ht="15.75" customHeight="1">
      <c r="A888" s="435"/>
      <c r="B888" s="436"/>
      <c r="C888" s="95" t="str">
        <f t="array" ref="C888">IF(I888&gt;0,INDEX(DB,I888,8),"")</f>
        <v/>
      </c>
      <c r="D888" s="437">
        <f t="shared" si="1"/>
        <v>0</v>
      </c>
      <c r="F888" s="438">
        <f t="shared" si="2"/>
        <v>0</v>
      </c>
      <c r="G888" t="str">
        <f t="shared" si="3"/>
        <v/>
      </c>
      <c r="H888" t="b">
        <f t="shared" si="4"/>
        <v>0</v>
      </c>
      <c r="I888" s="439">
        <f>IF(OR(ISBLANK(A888),ISNA(MATCH(A888&amp;"",AthleteNumbers,0))),0,MATCH(A888&amp;"",AthleteNumbers,0))</f>
        <v>0</v>
      </c>
      <c r="J888" s="209">
        <f t="array" ref="J888">IF(I888&gt;0,INDEX(DB,$I888,6),0)</f>
        <v>0</v>
      </c>
      <c r="K888" s="446">
        <f t="shared" si="5"/>
        <v>0</v>
      </c>
      <c r="L888" s="446">
        <f t="shared" si="6"/>
        <v>0</v>
      </c>
      <c r="M888" s="441">
        <f>IF(L888&lt;O888,MinPoints,IF(AND(L888&gt;N888,O888&gt;0),100,+INT(($L888-O888)/P888)+MinPoints))</f>
        <v>10</v>
      </c>
      <c r="N888" s="440">
        <f t="shared" si="7"/>
        <v>50</v>
      </c>
      <c r="O888" s="440">
        <f t="shared" si="8"/>
        <v>5</v>
      </c>
      <c r="P888" s="440">
        <f t="shared" si="9"/>
        <v>0.5</v>
      </c>
      <c r="Q888">
        <f t="array" ref="Q888">IF(I888&gt;0,INDEX(DB,I888,9),EventIndex)</f>
        <v>6</v>
      </c>
      <c r="S888" s="442">
        <f t="array" ref="S888">INDEX(MINVALUES,$Q888,$K$1)</f>
        <v>5</v>
      </c>
      <c r="T888">
        <f t="array" ref="T888">INDEX(INCVALUES,$Q888,$K$1)</f>
        <v>0.5</v>
      </c>
      <c r="V888">
        <f t="array" ref="V888">+J888+(4*(INDEX(MatchScoreTable,$Q888,20)-1))</f>
        <v>4</v>
      </c>
      <c r="W888" s="442">
        <f t="array" ref="W888">INDEX(INC_MINVALUES,$V888,$K$1)</f>
        <v>2.5</v>
      </c>
      <c r="X888" s="212">
        <f t="array" ref="X888">INDEX(INC_INCVALUES,$V888,$K$1)</f>
        <v>0.5</v>
      </c>
    </row>
    <row r="889" ht="15.75" customHeight="1">
      <c r="A889" s="435"/>
      <c r="B889" s="436"/>
      <c r="C889" s="95" t="str">
        <f t="array" ref="C889">IF(I889&gt;0,INDEX(DB,I889,8),"")</f>
        <v/>
      </c>
      <c r="D889" s="437">
        <f t="shared" si="1"/>
        <v>0</v>
      </c>
      <c r="F889" s="438">
        <f t="shared" si="2"/>
        <v>0</v>
      </c>
      <c r="G889" t="str">
        <f t="shared" si="3"/>
        <v/>
      </c>
      <c r="H889" t="b">
        <f t="shared" si="4"/>
        <v>0</v>
      </c>
      <c r="I889" s="439">
        <f>IF(OR(ISBLANK(A889),ISNA(MATCH(A889&amp;"",AthleteNumbers,0))),0,MATCH(A889&amp;"",AthleteNumbers,0))</f>
        <v>0</v>
      </c>
      <c r="J889" s="209">
        <f t="array" ref="J889">IF(I889&gt;0,INDEX(DB,$I889,6),0)</f>
        <v>0</v>
      </c>
      <c r="K889" s="446">
        <f t="shared" si="5"/>
        <v>0</v>
      </c>
      <c r="L889" s="446">
        <f t="shared" si="6"/>
        <v>0</v>
      </c>
      <c r="M889" s="441">
        <f>IF(L889&lt;O889,MinPoints,IF(AND(L889&gt;N889,O889&gt;0),100,+INT(($L889-O889)/P889)+MinPoints))</f>
        <v>10</v>
      </c>
      <c r="N889" s="440">
        <f t="shared" si="7"/>
        <v>50</v>
      </c>
      <c r="O889" s="440">
        <f t="shared" si="8"/>
        <v>5</v>
      </c>
      <c r="P889" s="440">
        <f t="shared" si="9"/>
        <v>0.5</v>
      </c>
      <c r="Q889">
        <f t="array" ref="Q889">IF(I889&gt;0,INDEX(DB,I889,9),EventIndex)</f>
        <v>6</v>
      </c>
      <c r="S889" s="442">
        <f t="array" ref="S889">INDEX(MINVALUES,$Q889,$K$1)</f>
        <v>5</v>
      </c>
      <c r="T889">
        <f t="array" ref="T889">INDEX(INCVALUES,$Q889,$K$1)</f>
        <v>0.5</v>
      </c>
      <c r="V889">
        <f t="array" ref="V889">+J889+(4*(INDEX(MatchScoreTable,$Q889,20)-1))</f>
        <v>4</v>
      </c>
      <c r="W889" s="442">
        <f t="array" ref="W889">INDEX(INC_MINVALUES,$V889,$K$1)</f>
        <v>2.5</v>
      </c>
      <c r="X889" s="212">
        <f t="array" ref="X889">INDEX(INC_INCVALUES,$V889,$K$1)</f>
        <v>0.5</v>
      </c>
    </row>
    <row r="890" ht="15.75" customHeight="1">
      <c r="A890" s="435"/>
      <c r="B890" s="436"/>
      <c r="C890" s="95" t="str">
        <f t="array" ref="C890">IF(I890&gt;0,INDEX(DB,I890,8),"")</f>
        <v/>
      </c>
      <c r="D890" s="437">
        <f t="shared" si="1"/>
        <v>0</v>
      </c>
      <c r="F890" s="438">
        <f t="shared" si="2"/>
        <v>0</v>
      </c>
      <c r="G890" t="str">
        <f t="shared" si="3"/>
        <v/>
      </c>
      <c r="H890" t="b">
        <f t="shared" si="4"/>
        <v>0</v>
      </c>
      <c r="I890" s="439">
        <f>IF(OR(ISBLANK(A890),ISNA(MATCH(A890&amp;"",AthleteNumbers,0))),0,MATCH(A890&amp;"",AthleteNumbers,0))</f>
        <v>0</v>
      </c>
      <c r="J890" s="209">
        <f t="array" ref="J890">IF(I890&gt;0,INDEX(DB,$I890,6),0)</f>
        <v>0</v>
      </c>
      <c r="K890" s="446">
        <f t="shared" si="5"/>
        <v>0</v>
      </c>
      <c r="L890" s="446">
        <f t="shared" si="6"/>
        <v>0</v>
      </c>
      <c r="M890" s="441">
        <f>IF(L890&lt;O890,MinPoints,IF(AND(L890&gt;N890,O890&gt;0),100,+INT(($L890-O890)/P890)+MinPoints))</f>
        <v>10</v>
      </c>
      <c r="N890" s="440">
        <f t="shared" si="7"/>
        <v>50</v>
      </c>
      <c r="O890" s="440">
        <f t="shared" si="8"/>
        <v>5</v>
      </c>
      <c r="P890" s="440">
        <f t="shared" si="9"/>
        <v>0.5</v>
      </c>
      <c r="Q890">
        <f t="array" ref="Q890">IF(I890&gt;0,INDEX(DB,I890,9),EventIndex)</f>
        <v>6</v>
      </c>
      <c r="S890" s="442">
        <f t="array" ref="S890">INDEX(MINVALUES,$Q890,$K$1)</f>
        <v>5</v>
      </c>
      <c r="T890">
        <f t="array" ref="T890">INDEX(INCVALUES,$Q890,$K$1)</f>
        <v>0.5</v>
      </c>
      <c r="V890">
        <f t="array" ref="V890">+J890+(4*(INDEX(MatchScoreTable,$Q890,20)-1))</f>
        <v>4</v>
      </c>
      <c r="W890" s="442">
        <f t="array" ref="W890">INDEX(INC_MINVALUES,$V890,$K$1)</f>
        <v>2.5</v>
      </c>
      <c r="X890" s="212">
        <f t="array" ref="X890">INDEX(INC_INCVALUES,$V890,$K$1)</f>
        <v>0.5</v>
      </c>
    </row>
    <row r="891" ht="15.75" customHeight="1">
      <c r="A891" s="435"/>
      <c r="B891" s="436"/>
      <c r="C891" s="95" t="str">
        <f t="array" ref="C891">IF(I891&gt;0,INDEX(DB,I891,8),"")</f>
        <v/>
      </c>
      <c r="D891" s="437">
        <f t="shared" si="1"/>
        <v>0</v>
      </c>
      <c r="F891" s="438">
        <f t="shared" si="2"/>
        <v>0</v>
      </c>
      <c r="G891" t="str">
        <f t="shared" si="3"/>
        <v/>
      </c>
      <c r="H891" t="b">
        <f t="shared" si="4"/>
        <v>0</v>
      </c>
      <c r="I891" s="439">
        <f>IF(OR(ISBLANK(A891),ISNA(MATCH(A891&amp;"",AthleteNumbers,0))),0,MATCH(A891&amp;"",AthleteNumbers,0))</f>
        <v>0</v>
      </c>
      <c r="J891" s="209">
        <f t="array" ref="J891">IF(I891&gt;0,INDEX(DB,$I891,6),0)</f>
        <v>0</v>
      </c>
      <c r="K891" s="446">
        <f t="shared" si="5"/>
        <v>0</v>
      </c>
      <c r="L891" s="446">
        <f t="shared" si="6"/>
        <v>0</v>
      </c>
      <c r="M891" s="441">
        <f>IF(L891&lt;O891,MinPoints,IF(AND(L891&gt;N891,O891&gt;0),100,+INT(($L891-O891)/P891)+MinPoints))</f>
        <v>10</v>
      </c>
      <c r="N891" s="440">
        <f t="shared" si="7"/>
        <v>50</v>
      </c>
      <c r="O891" s="440">
        <f t="shared" si="8"/>
        <v>5</v>
      </c>
      <c r="P891" s="440">
        <f t="shared" si="9"/>
        <v>0.5</v>
      </c>
      <c r="Q891">
        <f t="array" ref="Q891">IF(I891&gt;0,INDEX(DB,I891,9),EventIndex)</f>
        <v>6</v>
      </c>
      <c r="S891" s="442">
        <f t="array" ref="S891">INDEX(MINVALUES,$Q891,$K$1)</f>
        <v>5</v>
      </c>
      <c r="T891">
        <f t="array" ref="T891">INDEX(INCVALUES,$Q891,$K$1)</f>
        <v>0.5</v>
      </c>
      <c r="V891">
        <f t="array" ref="V891">+J891+(4*(INDEX(MatchScoreTable,$Q891,20)-1))</f>
        <v>4</v>
      </c>
      <c r="W891" s="442">
        <f t="array" ref="W891">INDEX(INC_MINVALUES,$V891,$K$1)</f>
        <v>2.5</v>
      </c>
      <c r="X891" s="212">
        <f t="array" ref="X891">INDEX(INC_INCVALUES,$V891,$K$1)</f>
        <v>0.5</v>
      </c>
    </row>
    <row r="892" ht="15.75" customHeight="1">
      <c r="A892" s="435"/>
      <c r="B892" s="436"/>
      <c r="C892" s="95" t="str">
        <f t="array" ref="C892">IF(I892&gt;0,INDEX(DB,I892,8),"")</f>
        <v/>
      </c>
      <c r="D892" s="437">
        <f t="shared" si="1"/>
        <v>0</v>
      </c>
      <c r="F892" s="438">
        <f t="shared" si="2"/>
        <v>0</v>
      </c>
      <c r="G892" t="str">
        <f t="shared" si="3"/>
        <v/>
      </c>
      <c r="H892" t="b">
        <f t="shared" si="4"/>
        <v>0</v>
      </c>
      <c r="I892" s="439">
        <f>IF(OR(ISBLANK(A892),ISNA(MATCH(A892&amp;"",AthleteNumbers,0))),0,MATCH(A892&amp;"",AthleteNumbers,0))</f>
        <v>0</v>
      </c>
      <c r="J892" s="209">
        <f t="array" ref="J892">IF(I892&gt;0,INDEX(DB,$I892,6),0)</f>
        <v>0</v>
      </c>
      <c r="K892" s="446">
        <f t="shared" si="5"/>
        <v>0</v>
      </c>
      <c r="L892" s="446">
        <f t="shared" si="6"/>
        <v>0</v>
      </c>
      <c r="M892" s="441">
        <f>IF(L892&lt;O892,MinPoints,IF(AND(L892&gt;N892,O892&gt;0),100,+INT(($L892-O892)/P892)+MinPoints))</f>
        <v>10</v>
      </c>
      <c r="N892" s="440">
        <f t="shared" si="7"/>
        <v>50</v>
      </c>
      <c r="O892" s="440">
        <f t="shared" si="8"/>
        <v>5</v>
      </c>
      <c r="P892" s="440">
        <f t="shared" si="9"/>
        <v>0.5</v>
      </c>
      <c r="Q892">
        <f t="array" ref="Q892">IF(I892&gt;0,INDEX(DB,I892,9),EventIndex)</f>
        <v>6</v>
      </c>
      <c r="S892" s="442">
        <f t="array" ref="S892">INDEX(MINVALUES,$Q892,$K$1)</f>
        <v>5</v>
      </c>
      <c r="T892">
        <f t="array" ref="T892">INDEX(INCVALUES,$Q892,$K$1)</f>
        <v>0.5</v>
      </c>
      <c r="V892">
        <f t="array" ref="V892">+J892+(4*(INDEX(MatchScoreTable,$Q892,20)-1))</f>
        <v>4</v>
      </c>
      <c r="W892" s="442">
        <f t="array" ref="W892">INDEX(INC_MINVALUES,$V892,$K$1)</f>
        <v>2.5</v>
      </c>
      <c r="X892" s="212">
        <f t="array" ref="X892">INDEX(INC_INCVALUES,$V892,$K$1)</f>
        <v>0.5</v>
      </c>
    </row>
    <row r="893" ht="15.75" customHeight="1">
      <c r="A893" s="435"/>
      <c r="B893" s="436"/>
      <c r="C893" s="95" t="str">
        <f t="array" ref="C893">IF(I893&gt;0,INDEX(DB,I893,8),"")</f>
        <v/>
      </c>
      <c r="D893" s="437">
        <f t="shared" si="1"/>
        <v>0</v>
      </c>
      <c r="F893" s="438">
        <f t="shared" si="2"/>
        <v>0</v>
      </c>
      <c r="G893" t="str">
        <f t="shared" si="3"/>
        <v/>
      </c>
      <c r="H893" t="b">
        <f t="shared" si="4"/>
        <v>0</v>
      </c>
      <c r="I893" s="439">
        <f>IF(OR(ISBLANK(A893),ISNA(MATCH(A893&amp;"",AthleteNumbers,0))),0,MATCH(A893&amp;"",AthleteNumbers,0))</f>
        <v>0</v>
      </c>
      <c r="J893" s="209">
        <f t="array" ref="J893">IF(I893&gt;0,INDEX(DB,$I893,6),0)</f>
        <v>0</v>
      </c>
      <c r="K893" s="446">
        <f t="shared" si="5"/>
        <v>0</v>
      </c>
      <c r="L893" s="446">
        <f t="shared" si="6"/>
        <v>0</v>
      </c>
      <c r="M893" s="441">
        <f>IF(L893&lt;O893,MinPoints,IF(AND(L893&gt;N893,O893&gt;0),100,+INT(($L893-O893)/P893)+MinPoints))</f>
        <v>10</v>
      </c>
      <c r="N893" s="440">
        <f t="shared" si="7"/>
        <v>50</v>
      </c>
      <c r="O893" s="440">
        <f t="shared" si="8"/>
        <v>5</v>
      </c>
      <c r="P893" s="440">
        <f t="shared" si="9"/>
        <v>0.5</v>
      </c>
      <c r="Q893">
        <f t="array" ref="Q893">IF(I893&gt;0,INDEX(DB,I893,9),EventIndex)</f>
        <v>6</v>
      </c>
      <c r="S893" s="442">
        <f t="array" ref="S893">INDEX(MINVALUES,$Q893,$K$1)</f>
        <v>5</v>
      </c>
      <c r="T893">
        <f t="array" ref="T893">INDEX(INCVALUES,$Q893,$K$1)</f>
        <v>0.5</v>
      </c>
      <c r="V893">
        <f t="array" ref="V893">+J893+(4*(INDEX(MatchScoreTable,$Q893,20)-1))</f>
        <v>4</v>
      </c>
      <c r="W893" s="442">
        <f t="array" ref="W893">INDEX(INC_MINVALUES,$V893,$K$1)</f>
        <v>2.5</v>
      </c>
      <c r="X893" s="212">
        <f t="array" ref="X893">INDEX(INC_INCVALUES,$V893,$K$1)</f>
        <v>0.5</v>
      </c>
    </row>
    <row r="894" ht="15.75" customHeight="1">
      <c r="A894" s="435"/>
      <c r="B894" s="436"/>
      <c r="C894" s="95" t="str">
        <f t="array" ref="C894">IF(I894&gt;0,INDEX(DB,I894,8),"")</f>
        <v/>
      </c>
      <c r="D894" s="437">
        <f t="shared" si="1"/>
        <v>0</v>
      </c>
      <c r="F894" s="438">
        <f t="shared" si="2"/>
        <v>0</v>
      </c>
      <c r="G894" t="str">
        <f t="shared" si="3"/>
        <v/>
      </c>
      <c r="H894" t="b">
        <f t="shared" si="4"/>
        <v>0</v>
      </c>
      <c r="I894" s="439">
        <f>IF(OR(ISBLANK(A894),ISNA(MATCH(A894&amp;"",AthleteNumbers,0))),0,MATCH(A894&amp;"",AthleteNumbers,0))</f>
        <v>0</v>
      </c>
      <c r="J894" s="209">
        <f t="array" ref="J894">IF(I894&gt;0,INDEX(DB,$I894,6),0)</f>
        <v>0</v>
      </c>
      <c r="K894" s="446">
        <f t="shared" si="5"/>
        <v>0</v>
      </c>
      <c r="L894" s="446">
        <f t="shared" si="6"/>
        <v>0</v>
      </c>
      <c r="M894" s="441">
        <f>IF(L894&lt;O894,MinPoints,IF(AND(L894&gt;N894,O894&gt;0),100,+INT(($L894-O894)/P894)+MinPoints))</f>
        <v>10</v>
      </c>
      <c r="N894" s="440">
        <f t="shared" si="7"/>
        <v>50</v>
      </c>
      <c r="O894" s="440">
        <f t="shared" si="8"/>
        <v>5</v>
      </c>
      <c r="P894" s="440">
        <f t="shared" si="9"/>
        <v>0.5</v>
      </c>
      <c r="Q894">
        <f t="array" ref="Q894">IF(I894&gt;0,INDEX(DB,I894,9),EventIndex)</f>
        <v>6</v>
      </c>
      <c r="S894" s="442">
        <f t="array" ref="S894">INDEX(MINVALUES,$Q894,$K$1)</f>
        <v>5</v>
      </c>
      <c r="T894">
        <f t="array" ref="T894">INDEX(INCVALUES,$Q894,$K$1)</f>
        <v>0.5</v>
      </c>
      <c r="V894">
        <f t="array" ref="V894">+J894+(4*(INDEX(MatchScoreTable,$Q894,20)-1))</f>
        <v>4</v>
      </c>
      <c r="W894" s="442">
        <f t="array" ref="W894">INDEX(INC_MINVALUES,$V894,$K$1)</f>
        <v>2.5</v>
      </c>
      <c r="X894" s="212">
        <f t="array" ref="X894">INDEX(INC_INCVALUES,$V894,$K$1)</f>
        <v>0.5</v>
      </c>
    </row>
    <row r="895" ht="15.75" customHeight="1">
      <c r="A895" s="435"/>
      <c r="B895" s="436"/>
      <c r="C895" s="95" t="str">
        <f t="array" ref="C895">IF(I895&gt;0,INDEX(DB,I895,8),"")</f>
        <v/>
      </c>
      <c r="D895" s="437">
        <f t="shared" si="1"/>
        <v>0</v>
      </c>
      <c r="F895" s="438">
        <f t="shared" si="2"/>
        <v>0</v>
      </c>
      <c r="G895" t="str">
        <f t="shared" si="3"/>
        <v/>
      </c>
      <c r="H895" t="b">
        <f t="shared" si="4"/>
        <v>0</v>
      </c>
      <c r="I895" s="439">
        <f>IF(OR(ISBLANK(A895),ISNA(MATCH(A895&amp;"",AthleteNumbers,0))),0,MATCH(A895&amp;"",AthleteNumbers,0))</f>
        <v>0</v>
      </c>
      <c r="J895" s="209">
        <f t="array" ref="J895">IF(I895&gt;0,INDEX(DB,$I895,6),0)</f>
        <v>0</v>
      </c>
      <c r="K895" s="446">
        <f t="shared" si="5"/>
        <v>0</v>
      </c>
      <c r="L895" s="446">
        <f t="shared" si="6"/>
        <v>0</v>
      </c>
      <c r="M895" s="441">
        <f>IF(L895&lt;O895,MinPoints,IF(AND(L895&gt;N895,O895&gt;0),100,+INT(($L895-O895)/P895)+MinPoints))</f>
        <v>10</v>
      </c>
      <c r="N895" s="440">
        <f t="shared" si="7"/>
        <v>50</v>
      </c>
      <c r="O895" s="440">
        <f t="shared" si="8"/>
        <v>5</v>
      </c>
      <c r="P895" s="440">
        <f t="shared" si="9"/>
        <v>0.5</v>
      </c>
      <c r="Q895">
        <f t="array" ref="Q895">IF(I895&gt;0,INDEX(DB,I895,9),EventIndex)</f>
        <v>6</v>
      </c>
      <c r="S895" s="442">
        <f t="array" ref="S895">INDEX(MINVALUES,$Q895,$K$1)</f>
        <v>5</v>
      </c>
      <c r="T895">
        <f t="array" ref="T895">INDEX(INCVALUES,$Q895,$K$1)</f>
        <v>0.5</v>
      </c>
      <c r="V895">
        <f t="array" ref="V895">+J895+(4*(INDEX(MatchScoreTable,$Q895,20)-1))</f>
        <v>4</v>
      </c>
      <c r="W895" s="442">
        <f t="array" ref="W895">INDEX(INC_MINVALUES,$V895,$K$1)</f>
        <v>2.5</v>
      </c>
      <c r="X895" s="212">
        <f t="array" ref="X895">INDEX(INC_INCVALUES,$V895,$K$1)</f>
        <v>0.5</v>
      </c>
    </row>
    <row r="896" ht="15.75" customHeight="1">
      <c r="A896" s="435"/>
      <c r="B896" s="436"/>
      <c r="C896" s="95" t="str">
        <f t="array" ref="C896">IF(I896&gt;0,INDEX(DB,I896,8),"")</f>
        <v/>
      </c>
      <c r="D896" s="437">
        <f t="shared" si="1"/>
        <v>0</v>
      </c>
      <c r="F896" s="438">
        <f t="shared" si="2"/>
        <v>0</v>
      </c>
      <c r="G896" t="str">
        <f t="shared" si="3"/>
        <v/>
      </c>
      <c r="H896" t="b">
        <f t="shared" si="4"/>
        <v>0</v>
      </c>
      <c r="I896" s="439">
        <f>IF(OR(ISBLANK(A896),ISNA(MATCH(A896&amp;"",AthleteNumbers,0))),0,MATCH(A896&amp;"",AthleteNumbers,0))</f>
        <v>0</v>
      </c>
      <c r="J896" s="209">
        <f t="array" ref="J896">IF(I896&gt;0,INDEX(DB,$I896,6),0)</f>
        <v>0</v>
      </c>
      <c r="K896" s="446">
        <f t="shared" si="5"/>
        <v>0</v>
      </c>
      <c r="L896" s="446">
        <f t="shared" si="6"/>
        <v>0</v>
      </c>
      <c r="M896" s="441">
        <f>IF(L896&lt;O896,MinPoints,IF(AND(L896&gt;N896,O896&gt;0),100,+INT(($L896-O896)/P896)+MinPoints))</f>
        <v>10</v>
      </c>
      <c r="N896" s="440">
        <f t="shared" si="7"/>
        <v>50</v>
      </c>
      <c r="O896" s="440">
        <f t="shared" si="8"/>
        <v>5</v>
      </c>
      <c r="P896" s="440">
        <f t="shared" si="9"/>
        <v>0.5</v>
      </c>
      <c r="Q896">
        <f t="array" ref="Q896">IF(I896&gt;0,INDEX(DB,I896,9),EventIndex)</f>
        <v>6</v>
      </c>
      <c r="S896" s="442">
        <f t="array" ref="S896">INDEX(MINVALUES,$Q896,$K$1)</f>
        <v>5</v>
      </c>
      <c r="T896">
        <f t="array" ref="T896">INDEX(INCVALUES,$Q896,$K$1)</f>
        <v>0.5</v>
      </c>
      <c r="V896">
        <f t="array" ref="V896">+J896+(4*(INDEX(MatchScoreTable,$Q896,20)-1))</f>
        <v>4</v>
      </c>
      <c r="W896" s="442">
        <f t="array" ref="W896">INDEX(INC_MINVALUES,$V896,$K$1)</f>
        <v>2.5</v>
      </c>
      <c r="X896" s="212">
        <f t="array" ref="X896">INDEX(INC_INCVALUES,$V896,$K$1)</f>
        <v>0.5</v>
      </c>
    </row>
    <row r="897" ht="15.75" customHeight="1">
      <c r="A897" s="435"/>
      <c r="B897" s="436"/>
      <c r="C897" s="95" t="str">
        <f t="array" ref="C897">IF(I897&gt;0,INDEX(DB,I897,8),"")</f>
        <v/>
      </c>
      <c r="D897" s="437">
        <f t="shared" si="1"/>
        <v>0</v>
      </c>
      <c r="F897" s="438">
        <f t="shared" si="2"/>
        <v>0</v>
      </c>
      <c r="G897" t="str">
        <f t="shared" si="3"/>
        <v/>
      </c>
      <c r="H897" t="b">
        <f t="shared" si="4"/>
        <v>0</v>
      </c>
      <c r="I897" s="439">
        <f>IF(OR(ISBLANK(A897),ISNA(MATCH(A897&amp;"",AthleteNumbers,0))),0,MATCH(A897&amp;"",AthleteNumbers,0))</f>
        <v>0</v>
      </c>
      <c r="J897" s="209">
        <f t="array" ref="J897">IF(I897&gt;0,INDEX(DB,$I897,6),0)</f>
        <v>0</v>
      </c>
      <c r="K897" s="446">
        <f t="shared" si="5"/>
        <v>0</v>
      </c>
      <c r="L897" s="446">
        <f t="shared" si="6"/>
        <v>0</v>
      </c>
      <c r="M897" s="441">
        <f>IF(L897&lt;O897,MinPoints,IF(AND(L897&gt;N897,O897&gt;0),100,+INT(($L897-O897)/P897)+MinPoints))</f>
        <v>10</v>
      </c>
      <c r="N897" s="440">
        <f t="shared" si="7"/>
        <v>50</v>
      </c>
      <c r="O897" s="440">
        <f t="shared" si="8"/>
        <v>5</v>
      </c>
      <c r="P897" s="440">
        <f t="shared" si="9"/>
        <v>0.5</v>
      </c>
      <c r="Q897">
        <f t="array" ref="Q897">IF(I897&gt;0,INDEX(DB,I897,9),EventIndex)</f>
        <v>6</v>
      </c>
      <c r="S897" s="442">
        <f t="array" ref="S897">INDEX(MINVALUES,$Q897,$K$1)</f>
        <v>5</v>
      </c>
      <c r="T897">
        <f t="array" ref="T897">INDEX(INCVALUES,$Q897,$K$1)</f>
        <v>0.5</v>
      </c>
      <c r="V897">
        <f t="array" ref="V897">+J897+(4*(INDEX(MatchScoreTable,$Q897,20)-1))</f>
        <v>4</v>
      </c>
      <c r="W897" s="442">
        <f t="array" ref="W897">INDEX(INC_MINVALUES,$V897,$K$1)</f>
        <v>2.5</v>
      </c>
      <c r="X897" s="212">
        <f t="array" ref="X897">INDEX(INC_INCVALUES,$V897,$K$1)</f>
        <v>0.5</v>
      </c>
    </row>
    <row r="898" ht="15.75" customHeight="1">
      <c r="A898" s="435"/>
      <c r="B898" s="436"/>
      <c r="C898" s="95" t="str">
        <f t="array" ref="C898">IF(I898&gt;0,INDEX(DB,I898,8),"")</f>
        <v/>
      </c>
      <c r="D898" s="437">
        <f t="shared" si="1"/>
        <v>0</v>
      </c>
      <c r="F898" s="438">
        <f t="shared" si="2"/>
        <v>0</v>
      </c>
      <c r="G898" t="str">
        <f t="shared" si="3"/>
        <v/>
      </c>
      <c r="H898" t="b">
        <f t="shared" si="4"/>
        <v>0</v>
      </c>
      <c r="I898" s="439">
        <f>IF(OR(ISBLANK(A898),ISNA(MATCH(A898&amp;"",AthleteNumbers,0))),0,MATCH(A898&amp;"",AthleteNumbers,0))</f>
        <v>0</v>
      </c>
      <c r="J898" s="209">
        <f t="array" ref="J898">IF(I898&gt;0,INDEX(DB,$I898,6),0)</f>
        <v>0</v>
      </c>
      <c r="K898" s="446">
        <f t="shared" si="5"/>
        <v>0</v>
      </c>
      <c r="L898" s="446">
        <f t="shared" si="6"/>
        <v>0</v>
      </c>
      <c r="M898" s="441">
        <f>IF(L898&lt;O898,MinPoints,IF(AND(L898&gt;N898,O898&gt;0),100,+INT(($L898-O898)/P898)+MinPoints))</f>
        <v>10</v>
      </c>
      <c r="N898" s="440">
        <f t="shared" si="7"/>
        <v>50</v>
      </c>
      <c r="O898" s="440">
        <f t="shared" si="8"/>
        <v>5</v>
      </c>
      <c r="P898" s="440">
        <f t="shared" si="9"/>
        <v>0.5</v>
      </c>
      <c r="Q898">
        <f t="array" ref="Q898">IF(I898&gt;0,INDEX(DB,I898,9),EventIndex)</f>
        <v>6</v>
      </c>
      <c r="S898" s="442">
        <f t="array" ref="S898">INDEX(MINVALUES,$Q898,$K$1)</f>
        <v>5</v>
      </c>
      <c r="T898">
        <f t="array" ref="T898">INDEX(INCVALUES,$Q898,$K$1)</f>
        <v>0.5</v>
      </c>
      <c r="V898">
        <f t="array" ref="V898">+J898+(4*(INDEX(MatchScoreTable,$Q898,20)-1))</f>
        <v>4</v>
      </c>
      <c r="W898" s="442">
        <f t="array" ref="W898">INDEX(INC_MINVALUES,$V898,$K$1)</f>
        <v>2.5</v>
      </c>
      <c r="X898" s="212">
        <f t="array" ref="X898">INDEX(INC_INCVALUES,$V898,$K$1)</f>
        <v>0.5</v>
      </c>
    </row>
    <row r="899" ht="15.75" customHeight="1">
      <c r="A899" s="435"/>
      <c r="B899" s="436"/>
      <c r="C899" s="95" t="str">
        <f t="array" ref="C899">IF(I899&gt;0,INDEX(DB,I899,8),"")</f>
        <v/>
      </c>
      <c r="D899" s="437">
        <f t="shared" si="1"/>
        <v>0</v>
      </c>
      <c r="F899" s="438">
        <f t="shared" si="2"/>
        <v>0</v>
      </c>
      <c r="G899" t="str">
        <f t="shared" si="3"/>
        <v/>
      </c>
      <c r="H899" t="b">
        <f t="shared" si="4"/>
        <v>0</v>
      </c>
      <c r="I899" s="439">
        <f>IF(OR(ISBLANK(A899),ISNA(MATCH(A899&amp;"",AthleteNumbers,0))),0,MATCH(A899&amp;"",AthleteNumbers,0))</f>
        <v>0</v>
      </c>
      <c r="J899" s="209">
        <f t="array" ref="J899">IF(I899&gt;0,INDEX(DB,$I899,6),0)</f>
        <v>0</v>
      </c>
      <c r="K899" s="446">
        <f t="shared" si="5"/>
        <v>0</v>
      </c>
      <c r="L899" s="446">
        <f t="shared" si="6"/>
        <v>0</v>
      </c>
      <c r="M899" s="441">
        <f>IF(L899&lt;O899,MinPoints,IF(AND(L899&gt;N899,O899&gt;0),100,+INT(($L899-O899)/P899)+MinPoints))</f>
        <v>10</v>
      </c>
      <c r="N899" s="440">
        <f t="shared" si="7"/>
        <v>50</v>
      </c>
      <c r="O899" s="440">
        <f t="shared" si="8"/>
        <v>5</v>
      </c>
      <c r="P899" s="440">
        <f t="shared" si="9"/>
        <v>0.5</v>
      </c>
      <c r="Q899">
        <f t="array" ref="Q899">IF(I899&gt;0,INDEX(DB,I899,9),EventIndex)</f>
        <v>6</v>
      </c>
      <c r="S899" s="442">
        <f t="array" ref="S899">INDEX(MINVALUES,$Q899,$K$1)</f>
        <v>5</v>
      </c>
      <c r="T899">
        <f t="array" ref="T899">INDEX(INCVALUES,$Q899,$K$1)</f>
        <v>0.5</v>
      </c>
      <c r="V899">
        <f t="array" ref="V899">+J899+(4*(INDEX(MatchScoreTable,$Q899,20)-1))</f>
        <v>4</v>
      </c>
      <c r="W899" s="442">
        <f t="array" ref="W899">INDEX(INC_MINVALUES,$V899,$K$1)</f>
        <v>2.5</v>
      </c>
      <c r="X899" s="212">
        <f t="array" ref="X899">INDEX(INC_INCVALUES,$V899,$K$1)</f>
        <v>0.5</v>
      </c>
    </row>
    <row r="900" ht="15.75" customHeight="1">
      <c r="A900" s="435"/>
      <c r="B900" s="436"/>
      <c r="C900" s="95" t="str">
        <f t="array" ref="C900">IF(I900&gt;0,INDEX(DB,I900,8),"")</f>
        <v/>
      </c>
      <c r="D900" s="437">
        <f t="shared" si="1"/>
        <v>0</v>
      </c>
      <c r="F900" s="438">
        <f t="shared" si="2"/>
        <v>0</v>
      </c>
      <c r="G900" t="str">
        <f t="shared" si="3"/>
        <v/>
      </c>
      <c r="H900" t="b">
        <f t="shared" si="4"/>
        <v>0</v>
      </c>
      <c r="I900" s="439">
        <f>IF(OR(ISBLANK(A900),ISNA(MATCH(A900&amp;"",AthleteNumbers,0))),0,MATCH(A900&amp;"",AthleteNumbers,0))</f>
        <v>0</v>
      </c>
      <c r="J900" s="209">
        <f t="array" ref="J900">IF(I900&gt;0,INDEX(DB,$I900,6),0)</f>
        <v>0</v>
      </c>
      <c r="K900" s="446">
        <f t="shared" si="5"/>
        <v>0</v>
      </c>
      <c r="L900" s="446">
        <f t="shared" si="6"/>
        <v>0</v>
      </c>
      <c r="M900" s="441">
        <f>IF(L900&lt;O900,MinPoints,IF(AND(L900&gt;N900,O900&gt;0),100,+INT(($L900-O900)/P900)+MinPoints))</f>
        <v>10</v>
      </c>
      <c r="N900" s="440">
        <f t="shared" si="7"/>
        <v>50</v>
      </c>
      <c r="O900" s="440">
        <f t="shared" si="8"/>
        <v>5</v>
      </c>
      <c r="P900" s="440">
        <f t="shared" si="9"/>
        <v>0.5</v>
      </c>
      <c r="Q900">
        <f t="array" ref="Q900">IF(I900&gt;0,INDEX(DB,I900,9),EventIndex)</f>
        <v>6</v>
      </c>
      <c r="S900" s="442">
        <f t="array" ref="S900">INDEX(MINVALUES,$Q900,$K$1)</f>
        <v>5</v>
      </c>
      <c r="T900">
        <f t="array" ref="T900">INDEX(INCVALUES,$Q900,$K$1)</f>
        <v>0.5</v>
      </c>
      <c r="V900">
        <f t="array" ref="V900">+J900+(4*(INDEX(MatchScoreTable,$Q900,20)-1))</f>
        <v>4</v>
      </c>
      <c r="W900" s="442">
        <f t="array" ref="W900">INDEX(INC_MINVALUES,$V900,$K$1)</f>
        <v>2.5</v>
      </c>
      <c r="X900" s="212">
        <f t="array" ref="X900">INDEX(INC_INCVALUES,$V900,$K$1)</f>
        <v>0.5</v>
      </c>
    </row>
    <row r="901" ht="15.75" customHeight="1">
      <c r="A901" s="435"/>
      <c r="B901" s="436"/>
      <c r="C901" s="95" t="str">
        <f t="array" ref="C901">IF(I901&gt;0,INDEX(DB,I901,8),"")</f>
        <v/>
      </c>
      <c r="D901" s="437">
        <f t="shared" si="1"/>
        <v>0</v>
      </c>
      <c r="F901" s="438">
        <f t="shared" si="2"/>
        <v>0</v>
      </c>
      <c r="G901" t="str">
        <f t="shared" si="3"/>
        <v/>
      </c>
      <c r="H901" t="b">
        <f t="shared" si="4"/>
        <v>0</v>
      </c>
      <c r="I901" s="439">
        <f>IF(OR(ISBLANK(A901),ISNA(MATCH(A901&amp;"",AthleteNumbers,0))),0,MATCH(A901&amp;"",AthleteNumbers,0))</f>
        <v>0</v>
      </c>
      <c r="J901" s="209">
        <f t="array" ref="J901">IF(I901&gt;0,INDEX(DB,$I901,6),0)</f>
        <v>0</v>
      </c>
      <c r="K901" s="446">
        <f t="shared" si="5"/>
        <v>0</v>
      </c>
      <c r="L901" s="446">
        <f t="shared" si="6"/>
        <v>0</v>
      </c>
      <c r="M901" s="441">
        <f>IF(L901&lt;O901,MinPoints,IF(AND(L901&gt;N901,O901&gt;0),100,+INT(($L901-O901)/P901)+MinPoints))</f>
        <v>10</v>
      </c>
      <c r="N901" s="440">
        <f t="shared" si="7"/>
        <v>50</v>
      </c>
      <c r="O901" s="440">
        <f t="shared" si="8"/>
        <v>5</v>
      </c>
      <c r="P901" s="440">
        <f t="shared" si="9"/>
        <v>0.5</v>
      </c>
      <c r="Q901">
        <f t="array" ref="Q901">IF(I901&gt;0,INDEX(DB,I901,9),EventIndex)</f>
        <v>6</v>
      </c>
      <c r="S901" s="442">
        <f t="array" ref="S901">INDEX(MINVALUES,$Q901,$K$1)</f>
        <v>5</v>
      </c>
      <c r="T901">
        <f t="array" ref="T901">INDEX(INCVALUES,$Q901,$K$1)</f>
        <v>0.5</v>
      </c>
      <c r="V901">
        <f t="array" ref="V901">+J901+(4*(INDEX(MatchScoreTable,$Q901,20)-1))</f>
        <v>4</v>
      </c>
      <c r="W901" s="442">
        <f t="array" ref="W901">INDEX(INC_MINVALUES,$V901,$K$1)</f>
        <v>2.5</v>
      </c>
      <c r="X901" s="212">
        <f t="array" ref="X901">INDEX(INC_INCVALUES,$V901,$K$1)</f>
        <v>0.5</v>
      </c>
    </row>
    <row r="902" ht="15.75" customHeight="1">
      <c r="A902" s="435"/>
      <c r="B902" s="436"/>
      <c r="C902" s="95" t="str">
        <f t="array" ref="C902">IF(I902&gt;0,INDEX(DB,I902,8),"")</f>
        <v/>
      </c>
      <c r="D902" s="437">
        <f t="shared" si="1"/>
        <v>0</v>
      </c>
      <c r="F902" s="438">
        <f t="shared" si="2"/>
        <v>0</v>
      </c>
      <c r="G902" t="str">
        <f t="shared" si="3"/>
        <v/>
      </c>
      <c r="H902" t="b">
        <f t="shared" si="4"/>
        <v>0</v>
      </c>
      <c r="I902" s="439">
        <f>IF(OR(ISBLANK(A902),ISNA(MATCH(A902&amp;"",AthleteNumbers,0))),0,MATCH(A902&amp;"",AthleteNumbers,0))</f>
        <v>0</v>
      </c>
      <c r="J902" s="209">
        <f t="array" ref="J902">IF(I902&gt;0,INDEX(DB,$I902,6),0)</f>
        <v>0</v>
      </c>
      <c r="K902" s="446">
        <f t="shared" si="5"/>
        <v>0</v>
      </c>
      <c r="L902" s="446">
        <f t="shared" si="6"/>
        <v>0</v>
      </c>
      <c r="M902" s="441">
        <f>IF(L902&lt;O902,MinPoints,IF(AND(L902&gt;N902,O902&gt;0),100,+INT(($L902-O902)/P902)+MinPoints))</f>
        <v>10</v>
      </c>
      <c r="N902" s="440">
        <f t="shared" si="7"/>
        <v>50</v>
      </c>
      <c r="O902" s="440">
        <f t="shared" si="8"/>
        <v>5</v>
      </c>
      <c r="P902" s="440">
        <f t="shared" si="9"/>
        <v>0.5</v>
      </c>
      <c r="Q902">
        <f t="array" ref="Q902">IF(I902&gt;0,INDEX(DB,I902,9),EventIndex)</f>
        <v>6</v>
      </c>
      <c r="S902" s="442">
        <f t="array" ref="S902">INDEX(MINVALUES,$Q902,$K$1)</f>
        <v>5</v>
      </c>
      <c r="T902">
        <f t="array" ref="T902">INDEX(INCVALUES,$Q902,$K$1)</f>
        <v>0.5</v>
      </c>
      <c r="V902">
        <f t="array" ref="V902">+J902+(4*(INDEX(MatchScoreTable,$Q902,20)-1))</f>
        <v>4</v>
      </c>
      <c r="W902" s="442">
        <f t="array" ref="W902">INDEX(INC_MINVALUES,$V902,$K$1)</f>
        <v>2.5</v>
      </c>
      <c r="X902" s="212">
        <f t="array" ref="X902">INDEX(INC_INCVALUES,$V902,$K$1)</f>
        <v>0.5</v>
      </c>
    </row>
    <row r="903" ht="15.75" customHeight="1">
      <c r="A903" s="435"/>
      <c r="B903" s="436"/>
      <c r="C903" s="95" t="str">
        <f t="array" ref="C903">IF(I903&gt;0,INDEX(DB,I903,8),"")</f>
        <v/>
      </c>
      <c r="D903" s="437">
        <f t="shared" si="1"/>
        <v>0</v>
      </c>
      <c r="F903" s="438">
        <f t="shared" si="2"/>
        <v>0</v>
      </c>
      <c r="G903" t="str">
        <f t="shared" si="3"/>
        <v/>
      </c>
      <c r="H903" t="b">
        <f t="shared" si="4"/>
        <v>0</v>
      </c>
      <c r="I903" s="439">
        <f>IF(OR(ISBLANK(A903),ISNA(MATCH(A903&amp;"",AthleteNumbers,0))),0,MATCH(A903&amp;"",AthleteNumbers,0))</f>
        <v>0</v>
      </c>
      <c r="J903" s="209">
        <f t="array" ref="J903">IF(I903&gt;0,INDEX(DB,$I903,6),0)</f>
        <v>0</v>
      </c>
      <c r="K903" s="446">
        <f t="shared" si="5"/>
        <v>0</v>
      </c>
      <c r="L903" s="446">
        <f t="shared" si="6"/>
        <v>0</v>
      </c>
      <c r="M903" s="441">
        <f>IF(L903&lt;O903,MinPoints,IF(AND(L903&gt;N903,O903&gt;0),100,+INT(($L903-O903)/P903)+MinPoints))</f>
        <v>10</v>
      </c>
      <c r="N903" s="440">
        <f t="shared" si="7"/>
        <v>50</v>
      </c>
      <c r="O903" s="440">
        <f t="shared" si="8"/>
        <v>5</v>
      </c>
      <c r="P903" s="440">
        <f t="shared" si="9"/>
        <v>0.5</v>
      </c>
      <c r="Q903">
        <f t="array" ref="Q903">IF(I903&gt;0,INDEX(DB,I903,9),EventIndex)</f>
        <v>6</v>
      </c>
      <c r="S903" s="442">
        <f t="array" ref="S903">INDEX(MINVALUES,$Q903,$K$1)</f>
        <v>5</v>
      </c>
      <c r="T903">
        <f t="array" ref="T903">INDEX(INCVALUES,$Q903,$K$1)</f>
        <v>0.5</v>
      </c>
      <c r="V903">
        <f t="array" ref="V903">+J903+(4*(INDEX(MatchScoreTable,$Q903,20)-1))</f>
        <v>4</v>
      </c>
      <c r="W903" s="442">
        <f t="array" ref="W903">INDEX(INC_MINVALUES,$V903,$K$1)</f>
        <v>2.5</v>
      </c>
      <c r="X903" s="212">
        <f t="array" ref="X903">INDEX(INC_INCVALUES,$V903,$K$1)</f>
        <v>0.5</v>
      </c>
    </row>
    <row r="904" ht="15.75" customHeight="1">
      <c r="A904" s="435"/>
      <c r="B904" s="436"/>
      <c r="C904" s="95" t="str">
        <f t="array" ref="C904">IF(I904&gt;0,INDEX(DB,I904,8),"")</f>
        <v/>
      </c>
      <c r="D904" s="437">
        <f t="shared" si="1"/>
        <v>0</v>
      </c>
      <c r="F904" s="438">
        <f t="shared" si="2"/>
        <v>0</v>
      </c>
      <c r="G904" t="str">
        <f t="shared" si="3"/>
        <v/>
      </c>
      <c r="H904" t="b">
        <f t="shared" si="4"/>
        <v>0</v>
      </c>
      <c r="I904" s="439">
        <f>IF(OR(ISBLANK(A904),ISNA(MATCH(A904&amp;"",AthleteNumbers,0))),0,MATCH(A904&amp;"",AthleteNumbers,0))</f>
        <v>0</v>
      </c>
      <c r="J904" s="209">
        <f t="array" ref="J904">IF(I904&gt;0,INDEX(DB,$I904,6),0)</f>
        <v>0</v>
      </c>
      <c r="K904" s="446">
        <f t="shared" si="5"/>
        <v>0</v>
      </c>
      <c r="L904" s="446">
        <f t="shared" si="6"/>
        <v>0</v>
      </c>
      <c r="M904" s="441">
        <f>IF(L904&lt;O904,MinPoints,IF(AND(L904&gt;N904,O904&gt;0),100,+INT(($L904-O904)/P904)+MinPoints))</f>
        <v>10</v>
      </c>
      <c r="N904" s="440">
        <f t="shared" si="7"/>
        <v>50</v>
      </c>
      <c r="O904" s="440">
        <f t="shared" si="8"/>
        <v>5</v>
      </c>
      <c r="P904" s="440">
        <f t="shared" si="9"/>
        <v>0.5</v>
      </c>
      <c r="Q904">
        <f t="array" ref="Q904">IF(I904&gt;0,INDEX(DB,I904,9),EventIndex)</f>
        <v>6</v>
      </c>
      <c r="S904" s="442">
        <f t="array" ref="S904">INDEX(MINVALUES,$Q904,$K$1)</f>
        <v>5</v>
      </c>
      <c r="T904">
        <f t="array" ref="T904">INDEX(INCVALUES,$Q904,$K$1)</f>
        <v>0.5</v>
      </c>
      <c r="V904">
        <f t="array" ref="V904">+J904+(4*(INDEX(MatchScoreTable,$Q904,20)-1))</f>
        <v>4</v>
      </c>
      <c r="W904" s="442">
        <f t="array" ref="W904">INDEX(INC_MINVALUES,$V904,$K$1)</f>
        <v>2.5</v>
      </c>
      <c r="X904" s="212">
        <f t="array" ref="X904">INDEX(INC_INCVALUES,$V904,$K$1)</f>
        <v>0.5</v>
      </c>
    </row>
    <row r="905" ht="15.75" customHeight="1">
      <c r="A905" s="435"/>
      <c r="B905" s="436"/>
      <c r="C905" s="95" t="str">
        <f t="array" ref="C905">IF(I905&gt;0,INDEX(DB,I905,8),"")</f>
        <v/>
      </c>
      <c r="D905" s="437">
        <f t="shared" si="1"/>
        <v>0</v>
      </c>
      <c r="F905" s="438">
        <f t="shared" si="2"/>
        <v>0</v>
      </c>
      <c r="G905" t="str">
        <f t="shared" si="3"/>
        <v/>
      </c>
      <c r="H905" t="b">
        <f t="shared" si="4"/>
        <v>0</v>
      </c>
      <c r="I905" s="439">
        <f>IF(OR(ISBLANK(A905),ISNA(MATCH(A905&amp;"",AthleteNumbers,0))),0,MATCH(A905&amp;"",AthleteNumbers,0))</f>
        <v>0</v>
      </c>
      <c r="J905" s="209">
        <f t="array" ref="J905">IF(I905&gt;0,INDEX(DB,$I905,6),0)</f>
        <v>0</v>
      </c>
      <c r="K905" s="446">
        <f t="shared" si="5"/>
        <v>0</v>
      </c>
      <c r="L905" s="446">
        <f t="shared" si="6"/>
        <v>0</v>
      </c>
      <c r="M905" s="441">
        <f>IF(L905&lt;O905,MinPoints,IF(AND(L905&gt;N905,O905&gt;0),100,+INT(($L905-O905)/P905)+MinPoints))</f>
        <v>10</v>
      </c>
      <c r="N905" s="440">
        <f t="shared" si="7"/>
        <v>50</v>
      </c>
      <c r="O905" s="440">
        <f t="shared" si="8"/>
        <v>5</v>
      </c>
      <c r="P905" s="440">
        <f t="shared" si="9"/>
        <v>0.5</v>
      </c>
      <c r="Q905">
        <f t="array" ref="Q905">IF(I905&gt;0,INDEX(DB,I905,9),EventIndex)</f>
        <v>6</v>
      </c>
      <c r="S905" s="442">
        <f t="array" ref="S905">INDEX(MINVALUES,$Q905,$K$1)</f>
        <v>5</v>
      </c>
      <c r="T905">
        <f t="array" ref="T905">INDEX(INCVALUES,$Q905,$K$1)</f>
        <v>0.5</v>
      </c>
      <c r="V905">
        <f t="array" ref="V905">+J905+(4*(INDEX(MatchScoreTable,$Q905,20)-1))</f>
        <v>4</v>
      </c>
      <c r="W905" s="442">
        <f t="array" ref="W905">INDEX(INC_MINVALUES,$V905,$K$1)</f>
        <v>2.5</v>
      </c>
      <c r="X905" s="212">
        <f t="array" ref="X905">INDEX(INC_INCVALUES,$V905,$K$1)</f>
        <v>0.5</v>
      </c>
    </row>
    <row r="906" ht="15.75" customHeight="1">
      <c r="A906" s="435"/>
      <c r="B906" s="436"/>
      <c r="C906" s="95" t="str">
        <f t="array" ref="C906">IF(I906&gt;0,INDEX(DB,I906,8),"")</f>
        <v/>
      </c>
      <c r="D906" s="437">
        <f t="shared" si="1"/>
        <v>0</v>
      </c>
      <c r="F906" s="438">
        <f t="shared" si="2"/>
        <v>0</v>
      </c>
      <c r="G906" t="str">
        <f t="shared" si="3"/>
        <v/>
      </c>
      <c r="H906" t="b">
        <f t="shared" si="4"/>
        <v>0</v>
      </c>
      <c r="I906" s="439">
        <f>IF(OR(ISBLANK(A906),ISNA(MATCH(A906&amp;"",AthleteNumbers,0))),0,MATCH(A906&amp;"",AthleteNumbers,0))</f>
        <v>0</v>
      </c>
      <c r="J906" s="209">
        <f t="array" ref="J906">IF(I906&gt;0,INDEX(DB,$I906,6),0)</f>
        <v>0</v>
      </c>
      <c r="K906" s="446">
        <f t="shared" si="5"/>
        <v>0</v>
      </c>
      <c r="L906" s="446">
        <f t="shared" si="6"/>
        <v>0</v>
      </c>
      <c r="M906" s="441">
        <f>IF(L906&lt;O906,MinPoints,IF(AND(L906&gt;N906,O906&gt;0),100,+INT(($L906-O906)/P906)+MinPoints))</f>
        <v>10</v>
      </c>
      <c r="N906" s="440">
        <f t="shared" si="7"/>
        <v>50</v>
      </c>
      <c r="O906" s="440">
        <f t="shared" si="8"/>
        <v>5</v>
      </c>
      <c r="P906" s="440">
        <f t="shared" si="9"/>
        <v>0.5</v>
      </c>
      <c r="Q906">
        <f t="array" ref="Q906">IF(I906&gt;0,INDEX(DB,I906,9),EventIndex)</f>
        <v>6</v>
      </c>
      <c r="S906" s="442">
        <f t="array" ref="S906">INDEX(MINVALUES,$Q906,$K$1)</f>
        <v>5</v>
      </c>
      <c r="T906">
        <f t="array" ref="T906">INDEX(INCVALUES,$Q906,$K$1)</f>
        <v>0.5</v>
      </c>
      <c r="V906">
        <f t="array" ref="V906">+J906+(4*(INDEX(MatchScoreTable,$Q906,20)-1))</f>
        <v>4</v>
      </c>
      <c r="W906" s="442">
        <f t="array" ref="W906">INDEX(INC_MINVALUES,$V906,$K$1)</f>
        <v>2.5</v>
      </c>
      <c r="X906" s="212">
        <f t="array" ref="X906">INDEX(INC_INCVALUES,$V906,$K$1)</f>
        <v>0.5</v>
      </c>
    </row>
    <row r="907" ht="15.75" customHeight="1">
      <c r="A907" s="435"/>
      <c r="B907" s="436"/>
      <c r="C907" s="95" t="str">
        <f t="array" ref="C907">IF(I907&gt;0,INDEX(DB,I907,8),"")</f>
        <v/>
      </c>
      <c r="D907" s="437">
        <f t="shared" si="1"/>
        <v>0</v>
      </c>
      <c r="F907" s="438">
        <f t="shared" si="2"/>
        <v>0</v>
      </c>
      <c r="G907" t="str">
        <f t="shared" si="3"/>
        <v/>
      </c>
      <c r="H907" t="b">
        <f t="shared" si="4"/>
        <v>0</v>
      </c>
      <c r="I907" s="439">
        <f>IF(OR(ISBLANK(A907),ISNA(MATCH(A907&amp;"",AthleteNumbers,0))),0,MATCH(A907&amp;"",AthleteNumbers,0))</f>
        <v>0</v>
      </c>
      <c r="J907" s="209">
        <f t="array" ref="J907">IF(I907&gt;0,INDEX(DB,$I907,6),0)</f>
        <v>0</v>
      </c>
      <c r="K907" s="446">
        <f t="shared" si="5"/>
        <v>0</v>
      </c>
      <c r="L907" s="446">
        <f t="shared" si="6"/>
        <v>0</v>
      </c>
      <c r="M907" s="441">
        <f>IF(L907&lt;O907,MinPoints,IF(AND(L907&gt;N907,O907&gt;0),100,+INT(($L907-O907)/P907)+MinPoints))</f>
        <v>10</v>
      </c>
      <c r="N907" s="440">
        <f t="shared" si="7"/>
        <v>50</v>
      </c>
      <c r="O907" s="440">
        <f t="shared" si="8"/>
        <v>5</v>
      </c>
      <c r="P907" s="440">
        <f t="shared" si="9"/>
        <v>0.5</v>
      </c>
      <c r="Q907">
        <f t="array" ref="Q907">IF(I907&gt;0,INDEX(DB,I907,9),EventIndex)</f>
        <v>6</v>
      </c>
      <c r="S907" s="442">
        <f t="array" ref="S907">INDEX(MINVALUES,$Q907,$K$1)</f>
        <v>5</v>
      </c>
      <c r="T907">
        <f t="array" ref="T907">INDEX(INCVALUES,$Q907,$K$1)</f>
        <v>0.5</v>
      </c>
      <c r="V907">
        <f t="array" ref="V907">+J907+(4*(INDEX(MatchScoreTable,$Q907,20)-1))</f>
        <v>4</v>
      </c>
      <c r="W907" s="442">
        <f t="array" ref="W907">INDEX(INC_MINVALUES,$V907,$K$1)</f>
        <v>2.5</v>
      </c>
      <c r="X907" s="212">
        <f t="array" ref="X907">INDEX(INC_INCVALUES,$V907,$K$1)</f>
        <v>0.5</v>
      </c>
    </row>
    <row r="908" ht="15.75" customHeight="1">
      <c r="A908" s="435"/>
      <c r="B908" s="436"/>
      <c r="C908" s="95" t="str">
        <f t="array" ref="C908">IF(I908&gt;0,INDEX(DB,I908,8),"")</f>
        <v/>
      </c>
      <c r="D908" s="437">
        <f t="shared" si="1"/>
        <v>0</v>
      </c>
      <c r="F908" s="438">
        <f t="shared" si="2"/>
        <v>0</v>
      </c>
      <c r="G908" t="str">
        <f t="shared" si="3"/>
        <v/>
      </c>
      <c r="H908" t="b">
        <f t="shared" si="4"/>
        <v>0</v>
      </c>
      <c r="I908" s="439">
        <f>IF(OR(ISBLANK(A908),ISNA(MATCH(A908&amp;"",AthleteNumbers,0))),0,MATCH(A908&amp;"",AthleteNumbers,0))</f>
        <v>0</v>
      </c>
      <c r="J908" s="209">
        <f t="array" ref="J908">IF(I908&gt;0,INDEX(DB,$I908,6),0)</f>
        <v>0</v>
      </c>
      <c r="K908" s="446">
        <f t="shared" si="5"/>
        <v>0</v>
      </c>
      <c r="L908" s="446">
        <f t="shared" si="6"/>
        <v>0</v>
      </c>
      <c r="M908" s="441">
        <f>IF(L908&lt;O908,MinPoints,IF(AND(L908&gt;N908,O908&gt;0),100,+INT(($L908-O908)/P908)+MinPoints))</f>
        <v>10</v>
      </c>
      <c r="N908" s="440">
        <f t="shared" si="7"/>
        <v>50</v>
      </c>
      <c r="O908" s="440">
        <f t="shared" si="8"/>
        <v>5</v>
      </c>
      <c r="P908" s="440">
        <f t="shared" si="9"/>
        <v>0.5</v>
      </c>
      <c r="Q908">
        <f t="array" ref="Q908">IF(I908&gt;0,INDEX(DB,I908,9),EventIndex)</f>
        <v>6</v>
      </c>
      <c r="S908" s="442">
        <f t="array" ref="S908">INDEX(MINVALUES,$Q908,$K$1)</f>
        <v>5</v>
      </c>
      <c r="T908">
        <f t="array" ref="T908">INDEX(INCVALUES,$Q908,$K$1)</f>
        <v>0.5</v>
      </c>
      <c r="V908">
        <f t="array" ref="V908">+J908+(4*(INDEX(MatchScoreTable,$Q908,20)-1))</f>
        <v>4</v>
      </c>
      <c r="W908" s="442">
        <f t="array" ref="W908">INDEX(INC_MINVALUES,$V908,$K$1)</f>
        <v>2.5</v>
      </c>
      <c r="X908" s="212">
        <f t="array" ref="X908">INDEX(INC_INCVALUES,$V908,$K$1)</f>
        <v>0.5</v>
      </c>
    </row>
    <row r="909" ht="15.75" customHeight="1">
      <c r="A909" s="435"/>
      <c r="B909" s="436"/>
      <c r="C909" s="95" t="str">
        <f t="array" ref="C909">IF(I909&gt;0,INDEX(DB,I909,8),"")</f>
        <v/>
      </c>
      <c r="D909" s="437">
        <f t="shared" si="1"/>
        <v>0</v>
      </c>
      <c r="F909" s="438">
        <f t="shared" si="2"/>
        <v>0</v>
      </c>
      <c r="G909" t="str">
        <f t="shared" si="3"/>
        <v/>
      </c>
      <c r="H909" t="b">
        <f t="shared" si="4"/>
        <v>0</v>
      </c>
      <c r="I909" s="439">
        <f>IF(OR(ISBLANK(A909),ISNA(MATCH(A909&amp;"",AthleteNumbers,0))),0,MATCH(A909&amp;"",AthleteNumbers,0))</f>
        <v>0</v>
      </c>
      <c r="J909" s="209">
        <f t="array" ref="J909">IF(I909&gt;0,INDEX(DB,$I909,6),0)</f>
        <v>0</v>
      </c>
      <c r="K909" s="446">
        <f t="shared" si="5"/>
        <v>0</v>
      </c>
      <c r="L909" s="446">
        <f t="shared" si="6"/>
        <v>0</v>
      </c>
      <c r="M909" s="441">
        <f>IF(L909&lt;O909,MinPoints,IF(AND(L909&gt;N909,O909&gt;0),100,+INT(($L909-O909)/P909)+MinPoints))</f>
        <v>10</v>
      </c>
      <c r="N909" s="440">
        <f t="shared" si="7"/>
        <v>50</v>
      </c>
      <c r="O909" s="440">
        <f t="shared" si="8"/>
        <v>5</v>
      </c>
      <c r="P909" s="440">
        <f t="shared" si="9"/>
        <v>0.5</v>
      </c>
      <c r="Q909">
        <f t="array" ref="Q909">IF(I909&gt;0,INDEX(DB,I909,9),EventIndex)</f>
        <v>6</v>
      </c>
      <c r="S909" s="442">
        <f t="array" ref="S909">INDEX(MINVALUES,$Q909,$K$1)</f>
        <v>5</v>
      </c>
      <c r="T909">
        <f t="array" ref="T909">INDEX(INCVALUES,$Q909,$K$1)</f>
        <v>0.5</v>
      </c>
      <c r="V909">
        <f t="array" ref="V909">+J909+(4*(INDEX(MatchScoreTable,$Q909,20)-1))</f>
        <v>4</v>
      </c>
      <c r="W909" s="442">
        <f t="array" ref="W909">INDEX(INC_MINVALUES,$V909,$K$1)</f>
        <v>2.5</v>
      </c>
      <c r="X909" s="212">
        <f t="array" ref="X909">INDEX(INC_INCVALUES,$V909,$K$1)</f>
        <v>0.5</v>
      </c>
    </row>
    <row r="910" ht="15.75" customHeight="1">
      <c r="A910" s="435"/>
      <c r="B910" s="436"/>
      <c r="C910" s="95" t="str">
        <f t="array" ref="C910">IF(I910&gt;0,INDEX(DB,I910,8),"")</f>
        <v/>
      </c>
      <c r="D910" s="437">
        <f t="shared" si="1"/>
        <v>0</v>
      </c>
      <c r="F910" s="438">
        <f t="shared" si="2"/>
        <v>0</v>
      </c>
      <c r="G910" t="str">
        <f t="shared" si="3"/>
        <v/>
      </c>
      <c r="H910" t="b">
        <f t="shared" si="4"/>
        <v>0</v>
      </c>
      <c r="I910" s="439">
        <f>IF(OR(ISBLANK(A910),ISNA(MATCH(A910&amp;"",AthleteNumbers,0))),0,MATCH(A910&amp;"",AthleteNumbers,0))</f>
        <v>0</v>
      </c>
      <c r="J910" s="209">
        <f t="array" ref="J910">IF(I910&gt;0,INDEX(DB,$I910,6),0)</f>
        <v>0</v>
      </c>
      <c r="K910" s="446">
        <f t="shared" si="5"/>
        <v>0</v>
      </c>
      <c r="L910" s="446">
        <f t="shared" si="6"/>
        <v>0</v>
      </c>
      <c r="M910" s="441">
        <f>IF(L910&lt;O910,MinPoints,IF(AND(L910&gt;N910,O910&gt;0),100,+INT(($L910-O910)/P910)+MinPoints))</f>
        <v>10</v>
      </c>
      <c r="N910" s="440">
        <f t="shared" si="7"/>
        <v>50</v>
      </c>
      <c r="O910" s="440">
        <f t="shared" si="8"/>
        <v>5</v>
      </c>
      <c r="P910" s="440">
        <f t="shared" si="9"/>
        <v>0.5</v>
      </c>
      <c r="Q910">
        <f t="array" ref="Q910">IF(I910&gt;0,INDEX(DB,I910,9),EventIndex)</f>
        <v>6</v>
      </c>
      <c r="S910" s="442">
        <f t="array" ref="S910">INDEX(MINVALUES,$Q910,$K$1)</f>
        <v>5</v>
      </c>
      <c r="T910">
        <f t="array" ref="T910">INDEX(INCVALUES,$Q910,$K$1)</f>
        <v>0.5</v>
      </c>
      <c r="V910">
        <f t="array" ref="V910">+J910+(4*(INDEX(MatchScoreTable,$Q910,20)-1))</f>
        <v>4</v>
      </c>
      <c r="W910" s="442">
        <f t="array" ref="W910">INDEX(INC_MINVALUES,$V910,$K$1)</f>
        <v>2.5</v>
      </c>
      <c r="X910" s="212">
        <f t="array" ref="X910">INDEX(INC_INCVALUES,$V910,$K$1)</f>
        <v>0.5</v>
      </c>
    </row>
    <row r="911" ht="15.75" customHeight="1">
      <c r="A911" s="435"/>
      <c r="B911" s="436"/>
      <c r="C911" s="95" t="str">
        <f t="array" ref="C911">IF(I911&gt;0,INDEX(DB,I911,8),"")</f>
        <v/>
      </c>
      <c r="D911" s="437">
        <f t="shared" si="1"/>
        <v>0</v>
      </c>
      <c r="F911" s="438">
        <f t="shared" si="2"/>
        <v>0</v>
      </c>
      <c r="G911" t="str">
        <f t="shared" si="3"/>
        <v/>
      </c>
      <c r="H911" t="b">
        <f t="shared" si="4"/>
        <v>0</v>
      </c>
      <c r="I911" s="439">
        <f>IF(OR(ISBLANK(A911),ISNA(MATCH(A911&amp;"",AthleteNumbers,0))),0,MATCH(A911&amp;"",AthleteNumbers,0))</f>
        <v>0</v>
      </c>
      <c r="J911" s="209">
        <f t="array" ref="J911">IF(I911&gt;0,INDEX(DB,$I911,6),0)</f>
        <v>0</v>
      </c>
      <c r="K911" s="446">
        <f t="shared" si="5"/>
        <v>0</v>
      </c>
      <c r="L911" s="446">
        <f t="shared" si="6"/>
        <v>0</v>
      </c>
      <c r="M911" s="441">
        <f>IF(L911&lt;O911,MinPoints,IF(AND(L911&gt;N911,O911&gt;0),100,+INT(($L911-O911)/P911)+MinPoints))</f>
        <v>10</v>
      </c>
      <c r="N911" s="440">
        <f t="shared" si="7"/>
        <v>50</v>
      </c>
      <c r="O911" s="440">
        <f t="shared" si="8"/>
        <v>5</v>
      </c>
      <c r="P911" s="440">
        <f t="shared" si="9"/>
        <v>0.5</v>
      </c>
      <c r="Q911">
        <f t="array" ref="Q911">IF(I911&gt;0,INDEX(DB,I911,9),EventIndex)</f>
        <v>6</v>
      </c>
      <c r="S911" s="442">
        <f t="array" ref="S911">INDEX(MINVALUES,$Q911,$K$1)</f>
        <v>5</v>
      </c>
      <c r="T911">
        <f t="array" ref="T911">INDEX(INCVALUES,$Q911,$K$1)</f>
        <v>0.5</v>
      </c>
      <c r="V911">
        <f t="array" ref="V911">+J911+(4*(INDEX(MatchScoreTable,$Q911,20)-1))</f>
        <v>4</v>
      </c>
      <c r="W911" s="442">
        <f t="array" ref="W911">INDEX(INC_MINVALUES,$V911,$K$1)</f>
        <v>2.5</v>
      </c>
      <c r="X911" s="212">
        <f t="array" ref="X911">INDEX(INC_INCVALUES,$V911,$K$1)</f>
        <v>0.5</v>
      </c>
    </row>
    <row r="912" ht="15.75" customHeight="1">
      <c r="A912" s="435"/>
      <c r="B912" s="436"/>
      <c r="C912" s="95" t="str">
        <f t="array" ref="C912">IF(I912&gt;0,INDEX(DB,I912,8),"")</f>
        <v/>
      </c>
      <c r="D912" s="437">
        <f t="shared" si="1"/>
        <v>0</v>
      </c>
      <c r="F912" s="438">
        <f t="shared" si="2"/>
        <v>0</v>
      </c>
      <c r="G912" t="str">
        <f t="shared" si="3"/>
        <v/>
      </c>
      <c r="H912" t="b">
        <f t="shared" si="4"/>
        <v>0</v>
      </c>
      <c r="I912" s="439">
        <f>IF(OR(ISBLANK(A912),ISNA(MATCH(A912&amp;"",AthleteNumbers,0))),0,MATCH(A912&amp;"",AthleteNumbers,0))</f>
        <v>0</v>
      </c>
      <c r="J912" s="209">
        <f t="array" ref="J912">IF(I912&gt;0,INDEX(DB,$I912,6),0)</f>
        <v>0</v>
      </c>
      <c r="K912" s="446">
        <f t="shared" si="5"/>
        <v>0</v>
      </c>
      <c r="L912" s="446">
        <f t="shared" si="6"/>
        <v>0</v>
      </c>
      <c r="M912" s="441">
        <f>IF(L912&lt;O912,MinPoints,IF(AND(L912&gt;N912,O912&gt;0),100,+INT(($L912-O912)/P912)+MinPoints))</f>
        <v>10</v>
      </c>
      <c r="N912" s="440">
        <f t="shared" si="7"/>
        <v>50</v>
      </c>
      <c r="O912" s="440">
        <f t="shared" si="8"/>
        <v>5</v>
      </c>
      <c r="P912" s="440">
        <f t="shared" si="9"/>
        <v>0.5</v>
      </c>
      <c r="Q912">
        <f t="array" ref="Q912">IF(I912&gt;0,INDEX(DB,I912,9),EventIndex)</f>
        <v>6</v>
      </c>
      <c r="S912" s="442">
        <f t="array" ref="S912">INDEX(MINVALUES,$Q912,$K$1)</f>
        <v>5</v>
      </c>
      <c r="T912">
        <f t="array" ref="T912">INDEX(INCVALUES,$Q912,$K$1)</f>
        <v>0.5</v>
      </c>
      <c r="V912">
        <f t="array" ref="V912">+J912+(4*(INDEX(MatchScoreTable,$Q912,20)-1))</f>
        <v>4</v>
      </c>
      <c r="W912" s="442">
        <f t="array" ref="W912">INDEX(INC_MINVALUES,$V912,$K$1)</f>
        <v>2.5</v>
      </c>
      <c r="X912" s="212">
        <f t="array" ref="X912">INDEX(INC_INCVALUES,$V912,$K$1)</f>
        <v>0.5</v>
      </c>
    </row>
    <row r="913" ht="15.75" customHeight="1">
      <c r="A913" s="435"/>
      <c r="B913" s="436"/>
      <c r="C913" s="95" t="str">
        <f t="array" ref="C913">IF(I913&gt;0,INDEX(DB,I913,8),"")</f>
        <v/>
      </c>
      <c r="D913" s="437">
        <f t="shared" si="1"/>
        <v>0</v>
      </c>
      <c r="F913" s="438">
        <f t="shared" si="2"/>
        <v>0</v>
      </c>
      <c r="G913" t="str">
        <f t="shared" si="3"/>
        <v/>
      </c>
      <c r="H913" t="b">
        <f t="shared" si="4"/>
        <v>0</v>
      </c>
      <c r="I913" s="439">
        <f>IF(OR(ISBLANK(A913),ISNA(MATCH(A913&amp;"",AthleteNumbers,0))),0,MATCH(A913&amp;"",AthleteNumbers,0))</f>
        <v>0</v>
      </c>
      <c r="J913" s="209">
        <f t="array" ref="J913">IF(I913&gt;0,INDEX(DB,$I913,6),0)</f>
        <v>0</v>
      </c>
      <c r="K913" s="446">
        <f t="shared" si="5"/>
        <v>0</v>
      </c>
      <c r="L913" s="446">
        <f t="shared" si="6"/>
        <v>0</v>
      </c>
      <c r="M913" s="441">
        <f>IF(L913&lt;O913,MinPoints,IF(AND(L913&gt;N913,O913&gt;0),100,+INT(($L913-O913)/P913)+MinPoints))</f>
        <v>10</v>
      </c>
      <c r="N913" s="440">
        <f t="shared" si="7"/>
        <v>50</v>
      </c>
      <c r="O913" s="440">
        <f t="shared" si="8"/>
        <v>5</v>
      </c>
      <c r="P913" s="440">
        <f t="shared" si="9"/>
        <v>0.5</v>
      </c>
      <c r="Q913">
        <f t="array" ref="Q913">IF(I913&gt;0,INDEX(DB,I913,9),EventIndex)</f>
        <v>6</v>
      </c>
      <c r="S913" s="442">
        <f t="array" ref="S913">INDEX(MINVALUES,$Q913,$K$1)</f>
        <v>5</v>
      </c>
      <c r="T913">
        <f t="array" ref="T913">INDEX(INCVALUES,$Q913,$K$1)</f>
        <v>0.5</v>
      </c>
      <c r="V913">
        <f t="array" ref="V913">+J913+(4*(INDEX(MatchScoreTable,$Q913,20)-1))</f>
        <v>4</v>
      </c>
      <c r="W913" s="442">
        <f t="array" ref="W913">INDEX(INC_MINVALUES,$V913,$K$1)</f>
        <v>2.5</v>
      </c>
      <c r="X913" s="212">
        <f t="array" ref="X913">INDEX(INC_INCVALUES,$V913,$K$1)</f>
        <v>0.5</v>
      </c>
    </row>
    <row r="914" ht="15.75" customHeight="1">
      <c r="A914" s="435"/>
      <c r="B914" s="436"/>
      <c r="C914" s="95" t="str">
        <f t="array" ref="C914">IF(I914&gt;0,INDEX(DB,I914,8),"")</f>
        <v/>
      </c>
      <c r="D914" s="437">
        <f t="shared" si="1"/>
        <v>0</v>
      </c>
      <c r="F914" s="438">
        <f t="shared" si="2"/>
        <v>0</v>
      </c>
      <c r="G914" t="str">
        <f t="shared" si="3"/>
        <v/>
      </c>
      <c r="H914" t="b">
        <f t="shared" si="4"/>
        <v>0</v>
      </c>
      <c r="I914" s="439">
        <f>IF(OR(ISBLANK(A914),ISNA(MATCH(A914&amp;"",AthleteNumbers,0))),0,MATCH(A914&amp;"",AthleteNumbers,0))</f>
        <v>0</v>
      </c>
      <c r="J914" s="209">
        <f t="array" ref="J914">IF(I914&gt;0,INDEX(DB,$I914,6),0)</f>
        <v>0</v>
      </c>
      <c r="K914" s="446">
        <f t="shared" si="5"/>
        <v>0</v>
      </c>
      <c r="L914" s="446">
        <f t="shared" si="6"/>
        <v>0</v>
      </c>
      <c r="M914" s="441">
        <f>IF(L914&lt;O914,MinPoints,IF(AND(L914&gt;N914,O914&gt;0),100,+INT(($L914-O914)/P914)+MinPoints))</f>
        <v>10</v>
      </c>
      <c r="N914" s="440">
        <f t="shared" si="7"/>
        <v>50</v>
      </c>
      <c r="O914" s="440">
        <f t="shared" si="8"/>
        <v>5</v>
      </c>
      <c r="P914" s="440">
        <f t="shared" si="9"/>
        <v>0.5</v>
      </c>
      <c r="Q914">
        <f t="array" ref="Q914">IF(I914&gt;0,INDEX(DB,I914,9),EventIndex)</f>
        <v>6</v>
      </c>
      <c r="S914" s="442">
        <f t="array" ref="S914">INDEX(MINVALUES,$Q914,$K$1)</f>
        <v>5</v>
      </c>
      <c r="T914">
        <f t="array" ref="T914">INDEX(INCVALUES,$Q914,$K$1)</f>
        <v>0.5</v>
      </c>
      <c r="V914">
        <f t="array" ref="V914">+J914+(4*(INDEX(MatchScoreTable,$Q914,20)-1))</f>
        <v>4</v>
      </c>
      <c r="W914" s="442">
        <f t="array" ref="W914">INDEX(INC_MINVALUES,$V914,$K$1)</f>
        <v>2.5</v>
      </c>
      <c r="X914" s="212">
        <f t="array" ref="X914">INDEX(INC_INCVALUES,$V914,$K$1)</f>
        <v>0.5</v>
      </c>
    </row>
    <row r="915" ht="15.75" customHeight="1">
      <c r="A915" s="435"/>
      <c r="B915" s="436"/>
      <c r="C915" s="95" t="str">
        <f t="array" ref="C915">IF(I915&gt;0,INDEX(DB,I915,8),"")</f>
        <v/>
      </c>
      <c r="D915" s="437">
        <f t="shared" si="1"/>
        <v>0</v>
      </c>
      <c r="F915" s="438">
        <f t="shared" si="2"/>
        <v>0</v>
      </c>
      <c r="G915" t="str">
        <f t="shared" si="3"/>
        <v/>
      </c>
      <c r="H915" t="b">
        <f t="shared" si="4"/>
        <v>0</v>
      </c>
      <c r="I915" s="439">
        <f>IF(OR(ISBLANK(A915),ISNA(MATCH(A915&amp;"",AthleteNumbers,0))),0,MATCH(A915&amp;"",AthleteNumbers,0))</f>
        <v>0</v>
      </c>
      <c r="J915" s="209">
        <f t="array" ref="J915">IF(I915&gt;0,INDEX(DB,$I915,6),0)</f>
        <v>0</v>
      </c>
      <c r="K915" s="446">
        <f t="shared" si="5"/>
        <v>0</v>
      </c>
      <c r="L915" s="446">
        <f t="shared" si="6"/>
        <v>0</v>
      </c>
      <c r="M915" s="441">
        <f>IF(L915&lt;O915,MinPoints,IF(AND(L915&gt;N915,O915&gt;0),100,+INT(($L915-O915)/P915)+MinPoints))</f>
        <v>10</v>
      </c>
      <c r="N915" s="440">
        <f t="shared" si="7"/>
        <v>50</v>
      </c>
      <c r="O915" s="440">
        <f t="shared" si="8"/>
        <v>5</v>
      </c>
      <c r="P915" s="440">
        <f t="shared" si="9"/>
        <v>0.5</v>
      </c>
      <c r="Q915">
        <f t="array" ref="Q915">IF(I915&gt;0,INDEX(DB,I915,9),EventIndex)</f>
        <v>6</v>
      </c>
      <c r="S915" s="442">
        <f t="array" ref="S915">INDEX(MINVALUES,$Q915,$K$1)</f>
        <v>5</v>
      </c>
      <c r="T915">
        <f t="array" ref="T915">INDEX(INCVALUES,$Q915,$K$1)</f>
        <v>0.5</v>
      </c>
      <c r="V915">
        <f t="array" ref="V915">+J915+(4*(INDEX(MatchScoreTable,$Q915,20)-1))</f>
        <v>4</v>
      </c>
      <c r="W915" s="442">
        <f t="array" ref="W915">INDEX(INC_MINVALUES,$V915,$K$1)</f>
        <v>2.5</v>
      </c>
      <c r="X915" s="212">
        <f t="array" ref="X915">INDEX(INC_INCVALUES,$V915,$K$1)</f>
        <v>0.5</v>
      </c>
    </row>
    <row r="916" ht="15.75" customHeight="1">
      <c r="A916" s="435"/>
      <c r="B916" s="436"/>
      <c r="C916" s="95" t="str">
        <f t="array" ref="C916">IF(I916&gt;0,INDEX(DB,I916,8),"")</f>
        <v/>
      </c>
      <c r="D916" s="437">
        <f t="shared" si="1"/>
        <v>0</v>
      </c>
      <c r="F916" s="438">
        <f t="shared" si="2"/>
        <v>0</v>
      </c>
      <c r="G916" t="str">
        <f t="shared" si="3"/>
        <v/>
      </c>
      <c r="H916" t="b">
        <f t="shared" si="4"/>
        <v>0</v>
      </c>
      <c r="I916" s="439">
        <f>IF(OR(ISBLANK(A916),ISNA(MATCH(A916&amp;"",AthleteNumbers,0))),0,MATCH(A916&amp;"",AthleteNumbers,0))</f>
        <v>0</v>
      </c>
      <c r="J916" s="209">
        <f t="array" ref="J916">IF(I916&gt;0,INDEX(DB,$I916,6),0)</f>
        <v>0</v>
      </c>
      <c r="K916" s="446">
        <f t="shared" si="5"/>
        <v>0</v>
      </c>
      <c r="L916" s="446">
        <f t="shared" si="6"/>
        <v>0</v>
      </c>
      <c r="M916" s="441">
        <f>IF(L916&lt;O916,MinPoints,IF(AND(L916&gt;N916,O916&gt;0),100,+INT(($L916-O916)/P916)+MinPoints))</f>
        <v>10</v>
      </c>
      <c r="N916" s="440">
        <f t="shared" si="7"/>
        <v>50</v>
      </c>
      <c r="O916" s="440">
        <f t="shared" si="8"/>
        <v>5</v>
      </c>
      <c r="P916" s="440">
        <f t="shared" si="9"/>
        <v>0.5</v>
      </c>
      <c r="Q916">
        <f t="array" ref="Q916">IF(I916&gt;0,INDEX(DB,I916,9),EventIndex)</f>
        <v>6</v>
      </c>
      <c r="S916" s="442">
        <f t="array" ref="S916">INDEX(MINVALUES,$Q916,$K$1)</f>
        <v>5</v>
      </c>
      <c r="T916">
        <f t="array" ref="T916">INDEX(INCVALUES,$Q916,$K$1)</f>
        <v>0.5</v>
      </c>
      <c r="V916">
        <f t="array" ref="V916">+J916+(4*(INDEX(MatchScoreTable,$Q916,20)-1))</f>
        <v>4</v>
      </c>
      <c r="W916" s="442">
        <f t="array" ref="W916">INDEX(INC_MINVALUES,$V916,$K$1)</f>
        <v>2.5</v>
      </c>
      <c r="X916" s="212">
        <f t="array" ref="X916">INDEX(INC_INCVALUES,$V916,$K$1)</f>
        <v>0.5</v>
      </c>
    </row>
    <row r="917" ht="15.75" customHeight="1">
      <c r="A917" s="435"/>
      <c r="B917" s="436"/>
      <c r="C917" s="95" t="str">
        <f t="array" ref="C917">IF(I917&gt;0,INDEX(DB,I917,8),"")</f>
        <v/>
      </c>
      <c r="D917" s="437">
        <f t="shared" si="1"/>
        <v>0</v>
      </c>
      <c r="F917" s="438">
        <f t="shared" si="2"/>
        <v>0</v>
      </c>
      <c r="G917" t="str">
        <f t="shared" si="3"/>
        <v/>
      </c>
      <c r="H917" t="b">
        <f t="shared" si="4"/>
        <v>0</v>
      </c>
      <c r="I917" s="439">
        <f>IF(OR(ISBLANK(A917),ISNA(MATCH(A917&amp;"",AthleteNumbers,0))),0,MATCH(A917&amp;"",AthleteNumbers,0))</f>
        <v>0</v>
      </c>
      <c r="J917" s="209">
        <f t="array" ref="J917">IF(I917&gt;0,INDEX(DB,$I917,6),0)</f>
        <v>0</v>
      </c>
      <c r="K917" s="446">
        <f t="shared" si="5"/>
        <v>0</v>
      </c>
      <c r="L917" s="446">
        <f t="shared" si="6"/>
        <v>0</v>
      </c>
      <c r="M917" s="441">
        <f>IF(L917&lt;O917,MinPoints,IF(AND(L917&gt;N917,O917&gt;0),100,+INT(($L917-O917)/P917)+MinPoints))</f>
        <v>10</v>
      </c>
      <c r="N917" s="440">
        <f t="shared" si="7"/>
        <v>50</v>
      </c>
      <c r="O917" s="440">
        <f t="shared" si="8"/>
        <v>5</v>
      </c>
      <c r="P917" s="440">
        <f t="shared" si="9"/>
        <v>0.5</v>
      </c>
      <c r="Q917">
        <f t="array" ref="Q917">IF(I917&gt;0,INDEX(DB,I917,9),EventIndex)</f>
        <v>6</v>
      </c>
      <c r="S917" s="442">
        <f t="array" ref="S917">INDEX(MINVALUES,$Q917,$K$1)</f>
        <v>5</v>
      </c>
      <c r="T917">
        <f t="array" ref="T917">INDEX(INCVALUES,$Q917,$K$1)</f>
        <v>0.5</v>
      </c>
      <c r="V917">
        <f t="array" ref="V917">+J917+(4*(INDEX(MatchScoreTable,$Q917,20)-1))</f>
        <v>4</v>
      </c>
      <c r="W917" s="442">
        <f t="array" ref="W917">INDEX(INC_MINVALUES,$V917,$K$1)</f>
        <v>2.5</v>
      </c>
      <c r="X917" s="212">
        <f t="array" ref="X917">INDEX(INC_INCVALUES,$V917,$K$1)</f>
        <v>0.5</v>
      </c>
    </row>
    <row r="918" ht="15.75" customHeight="1">
      <c r="A918" s="435"/>
      <c r="B918" s="436"/>
      <c r="C918" s="95" t="str">
        <f t="array" ref="C918">IF(I918&gt;0,INDEX(DB,I918,8),"")</f>
        <v/>
      </c>
      <c r="D918" s="437">
        <f t="shared" si="1"/>
        <v>0</v>
      </c>
      <c r="F918" s="438">
        <f t="shared" si="2"/>
        <v>0</v>
      </c>
      <c r="G918" t="str">
        <f t="shared" si="3"/>
        <v/>
      </c>
      <c r="H918" t="b">
        <f t="shared" si="4"/>
        <v>0</v>
      </c>
      <c r="I918" s="439">
        <f>IF(OR(ISBLANK(A918),ISNA(MATCH(A918&amp;"",AthleteNumbers,0))),0,MATCH(A918&amp;"",AthleteNumbers,0))</f>
        <v>0</v>
      </c>
      <c r="J918" s="209">
        <f t="array" ref="J918">IF(I918&gt;0,INDEX(DB,$I918,6),0)</f>
        <v>0</v>
      </c>
      <c r="K918" s="446">
        <f t="shared" si="5"/>
        <v>0</v>
      </c>
      <c r="L918" s="446">
        <f t="shared" si="6"/>
        <v>0</v>
      </c>
      <c r="M918" s="441">
        <f>IF(L918&lt;O918,MinPoints,IF(AND(L918&gt;N918,O918&gt;0),100,+INT(($L918-O918)/P918)+MinPoints))</f>
        <v>10</v>
      </c>
      <c r="N918" s="440">
        <f t="shared" si="7"/>
        <v>50</v>
      </c>
      <c r="O918" s="440">
        <f t="shared" si="8"/>
        <v>5</v>
      </c>
      <c r="P918" s="440">
        <f t="shared" si="9"/>
        <v>0.5</v>
      </c>
      <c r="Q918">
        <f t="array" ref="Q918">IF(I918&gt;0,INDEX(DB,I918,9),EventIndex)</f>
        <v>6</v>
      </c>
      <c r="S918" s="442">
        <f t="array" ref="S918">INDEX(MINVALUES,$Q918,$K$1)</f>
        <v>5</v>
      </c>
      <c r="T918">
        <f t="array" ref="T918">INDEX(INCVALUES,$Q918,$K$1)</f>
        <v>0.5</v>
      </c>
      <c r="V918">
        <f t="array" ref="V918">+J918+(4*(INDEX(MatchScoreTable,$Q918,20)-1))</f>
        <v>4</v>
      </c>
      <c r="W918" s="442">
        <f t="array" ref="W918">INDEX(INC_MINVALUES,$V918,$K$1)</f>
        <v>2.5</v>
      </c>
      <c r="X918" s="212">
        <f t="array" ref="X918">INDEX(INC_INCVALUES,$V918,$K$1)</f>
        <v>0.5</v>
      </c>
    </row>
    <row r="919" ht="15.75" customHeight="1">
      <c r="A919" s="435"/>
      <c r="B919" s="436"/>
      <c r="C919" s="95" t="str">
        <f t="array" ref="C919">IF(I919&gt;0,INDEX(DB,I919,8),"")</f>
        <v/>
      </c>
      <c r="D919" s="437">
        <f t="shared" si="1"/>
        <v>0</v>
      </c>
      <c r="F919" s="438">
        <f t="shared" si="2"/>
        <v>0</v>
      </c>
      <c r="G919" t="str">
        <f t="shared" si="3"/>
        <v/>
      </c>
      <c r="H919" t="b">
        <f t="shared" si="4"/>
        <v>0</v>
      </c>
      <c r="I919" s="439">
        <f>IF(OR(ISBLANK(A919),ISNA(MATCH(A919&amp;"",AthleteNumbers,0))),0,MATCH(A919&amp;"",AthleteNumbers,0))</f>
        <v>0</v>
      </c>
      <c r="J919" s="209">
        <f t="array" ref="J919">IF(I919&gt;0,INDEX(DB,$I919,6),0)</f>
        <v>0</v>
      </c>
      <c r="K919" s="446">
        <f t="shared" si="5"/>
        <v>0</v>
      </c>
      <c r="L919" s="446">
        <f t="shared" si="6"/>
        <v>0</v>
      </c>
      <c r="M919" s="441">
        <f>IF(L919&lt;O919,MinPoints,IF(AND(L919&gt;N919,O919&gt;0),100,+INT(($L919-O919)/P919)+MinPoints))</f>
        <v>10</v>
      </c>
      <c r="N919" s="440">
        <f t="shared" si="7"/>
        <v>50</v>
      </c>
      <c r="O919" s="440">
        <f t="shared" si="8"/>
        <v>5</v>
      </c>
      <c r="P919" s="440">
        <f t="shared" si="9"/>
        <v>0.5</v>
      </c>
      <c r="Q919">
        <f t="array" ref="Q919">IF(I919&gt;0,INDEX(DB,I919,9),EventIndex)</f>
        <v>6</v>
      </c>
      <c r="S919" s="442">
        <f t="array" ref="S919">INDEX(MINVALUES,$Q919,$K$1)</f>
        <v>5</v>
      </c>
      <c r="T919">
        <f t="array" ref="T919">INDEX(INCVALUES,$Q919,$K$1)</f>
        <v>0.5</v>
      </c>
      <c r="V919">
        <f t="array" ref="V919">+J919+(4*(INDEX(MatchScoreTable,$Q919,20)-1))</f>
        <v>4</v>
      </c>
      <c r="W919" s="442">
        <f t="array" ref="W919">INDEX(INC_MINVALUES,$V919,$K$1)</f>
        <v>2.5</v>
      </c>
      <c r="X919" s="212">
        <f t="array" ref="X919">INDEX(INC_INCVALUES,$V919,$K$1)</f>
        <v>0.5</v>
      </c>
    </row>
    <row r="920" ht="15.75" customHeight="1">
      <c r="A920" s="435"/>
      <c r="B920" s="436"/>
      <c r="C920" s="95" t="str">
        <f t="array" ref="C920">IF(I920&gt;0,INDEX(DB,I920,8),"")</f>
        <v/>
      </c>
      <c r="D920" s="437">
        <f t="shared" si="1"/>
        <v>0</v>
      </c>
      <c r="F920" s="438">
        <f t="shared" si="2"/>
        <v>0</v>
      </c>
      <c r="G920" t="str">
        <f t="shared" si="3"/>
        <v/>
      </c>
      <c r="H920" t="b">
        <f t="shared" si="4"/>
        <v>0</v>
      </c>
      <c r="I920" s="439">
        <f>IF(OR(ISBLANK(A920),ISNA(MATCH(A920&amp;"",AthleteNumbers,0))),0,MATCH(A920&amp;"",AthleteNumbers,0))</f>
        <v>0</v>
      </c>
      <c r="J920" s="209">
        <f t="array" ref="J920">IF(I920&gt;0,INDEX(DB,$I920,6),0)</f>
        <v>0</v>
      </c>
      <c r="K920" s="446">
        <f t="shared" si="5"/>
        <v>0</v>
      </c>
      <c r="L920" s="446">
        <f t="shared" si="6"/>
        <v>0</v>
      </c>
      <c r="M920" s="441">
        <f>IF(L920&lt;O920,MinPoints,IF(AND(L920&gt;N920,O920&gt;0),100,+INT(($L920-O920)/P920)+MinPoints))</f>
        <v>10</v>
      </c>
      <c r="N920" s="440">
        <f t="shared" si="7"/>
        <v>50</v>
      </c>
      <c r="O920" s="440">
        <f t="shared" si="8"/>
        <v>5</v>
      </c>
      <c r="P920" s="440">
        <f t="shared" si="9"/>
        <v>0.5</v>
      </c>
      <c r="Q920">
        <f t="array" ref="Q920">IF(I920&gt;0,INDEX(DB,I920,9),EventIndex)</f>
        <v>6</v>
      </c>
      <c r="S920" s="442">
        <f t="array" ref="S920">INDEX(MINVALUES,$Q920,$K$1)</f>
        <v>5</v>
      </c>
      <c r="T920">
        <f t="array" ref="T920">INDEX(INCVALUES,$Q920,$K$1)</f>
        <v>0.5</v>
      </c>
      <c r="V920">
        <f t="array" ref="V920">+J920+(4*(INDEX(MatchScoreTable,$Q920,20)-1))</f>
        <v>4</v>
      </c>
      <c r="W920" s="442">
        <f t="array" ref="W920">INDEX(INC_MINVALUES,$V920,$K$1)</f>
        <v>2.5</v>
      </c>
      <c r="X920" s="212">
        <f t="array" ref="X920">INDEX(INC_INCVALUES,$V920,$K$1)</f>
        <v>0.5</v>
      </c>
    </row>
    <row r="921" ht="15.75" customHeight="1">
      <c r="A921" s="435"/>
      <c r="B921" s="436"/>
      <c r="C921" s="95" t="str">
        <f t="array" ref="C921">IF(I921&gt;0,INDEX(DB,I921,8),"")</f>
        <v/>
      </c>
      <c r="D921" s="437">
        <f t="shared" si="1"/>
        <v>0</v>
      </c>
      <c r="F921" s="438">
        <f t="shared" si="2"/>
        <v>0</v>
      </c>
      <c r="G921" t="str">
        <f t="shared" si="3"/>
        <v/>
      </c>
      <c r="H921" t="b">
        <f t="shared" si="4"/>
        <v>0</v>
      </c>
      <c r="I921" s="439">
        <f>IF(OR(ISBLANK(A921),ISNA(MATCH(A921&amp;"",AthleteNumbers,0))),0,MATCH(A921&amp;"",AthleteNumbers,0))</f>
        <v>0</v>
      </c>
      <c r="J921" s="209">
        <f t="array" ref="J921">IF(I921&gt;0,INDEX(DB,$I921,6),0)</f>
        <v>0</v>
      </c>
      <c r="K921" s="446">
        <f t="shared" si="5"/>
        <v>0</v>
      </c>
      <c r="L921" s="446">
        <f t="shared" si="6"/>
        <v>0</v>
      </c>
      <c r="M921" s="441">
        <f>IF(L921&lt;O921,MinPoints,IF(AND(L921&gt;N921,O921&gt;0),100,+INT(($L921-O921)/P921)+MinPoints))</f>
        <v>10</v>
      </c>
      <c r="N921" s="440">
        <f t="shared" si="7"/>
        <v>50</v>
      </c>
      <c r="O921" s="440">
        <f t="shared" si="8"/>
        <v>5</v>
      </c>
      <c r="P921" s="440">
        <f t="shared" si="9"/>
        <v>0.5</v>
      </c>
      <c r="Q921">
        <f t="array" ref="Q921">IF(I921&gt;0,INDEX(DB,I921,9),EventIndex)</f>
        <v>6</v>
      </c>
      <c r="S921" s="442">
        <f t="array" ref="S921">INDEX(MINVALUES,$Q921,$K$1)</f>
        <v>5</v>
      </c>
      <c r="T921">
        <f t="array" ref="T921">INDEX(INCVALUES,$Q921,$K$1)</f>
        <v>0.5</v>
      </c>
      <c r="V921">
        <f t="array" ref="V921">+J921+(4*(INDEX(MatchScoreTable,$Q921,20)-1))</f>
        <v>4</v>
      </c>
      <c r="W921" s="442">
        <f t="array" ref="W921">INDEX(INC_MINVALUES,$V921,$K$1)</f>
        <v>2.5</v>
      </c>
      <c r="X921" s="212">
        <f t="array" ref="X921">INDEX(INC_INCVALUES,$V921,$K$1)</f>
        <v>0.5</v>
      </c>
    </row>
    <row r="922" ht="15.75" customHeight="1">
      <c r="A922" s="435"/>
      <c r="B922" s="436"/>
      <c r="C922" s="95" t="str">
        <f t="array" ref="C922">IF(I922&gt;0,INDEX(DB,I922,8),"")</f>
        <v/>
      </c>
      <c r="D922" s="437">
        <f t="shared" si="1"/>
        <v>0</v>
      </c>
      <c r="F922" s="438">
        <f t="shared" si="2"/>
        <v>0</v>
      </c>
      <c r="G922" t="str">
        <f t="shared" si="3"/>
        <v/>
      </c>
      <c r="H922" t="b">
        <f t="shared" si="4"/>
        <v>0</v>
      </c>
      <c r="I922" s="439">
        <f>IF(OR(ISBLANK(A922),ISNA(MATCH(A922&amp;"",AthleteNumbers,0))),0,MATCH(A922&amp;"",AthleteNumbers,0))</f>
        <v>0</v>
      </c>
      <c r="J922" s="209">
        <f t="array" ref="J922">IF(I922&gt;0,INDEX(DB,$I922,6),0)</f>
        <v>0</v>
      </c>
      <c r="K922" s="446">
        <f t="shared" si="5"/>
        <v>0</v>
      </c>
      <c r="L922" s="446">
        <f t="shared" si="6"/>
        <v>0</v>
      </c>
      <c r="M922" s="441">
        <f>IF(L922&lt;O922,MinPoints,IF(AND(L922&gt;N922,O922&gt;0),100,+INT(($L922-O922)/P922)+MinPoints))</f>
        <v>10</v>
      </c>
      <c r="N922" s="440">
        <f t="shared" si="7"/>
        <v>50</v>
      </c>
      <c r="O922" s="440">
        <f t="shared" si="8"/>
        <v>5</v>
      </c>
      <c r="P922" s="440">
        <f t="shared" si="9"/>
        <v>0.5</v>
      </c>
      <c r="Q922">
        <f t="array" ref="Q922">IF(I922&gt;0,INDEX(DB,I922,9),EventIndex)</f>
        <v>6</v>
      </c>
      <c r="S922" s="442">
        <f t="array" ref="S922">INDEX(MINVALUES,$Q922,$K$1)</f>
        <v>5</v>
      </c>
      <c r="T922">
        <f t="array" ref="T922">INDEX(INCVALUES,$Q922,$K$1)</f>
        <v>0.5</v>
      </c>
      <c r="V922">
        <f t="array" ref="V922">+J922+(4*(INDEX(MatchScoreTable,$Q922,20)-1))</f>
        <v>4</v>
      </c>
      <c r="W922" s="442">
        <f t="array" ref="W922">INDEX(INC_MINVALUES,$V922,$K$1)</f>
        <v>2.5</v>
      </c>
      <c r="X922" s="212">
        <f t="array" ref="X922">INDEX(INC_INCVALUES,$V922,$K$1)</f>
        <v>0.5</v>
      </c>
    </row>
    <row r="923" ht="15.75" customHeight="1">
      <c r="A923" s="435"/>
      <c r="B923" s="436"/>
      <c r="C923" s="95" t="str">
        <f t="array" ref="C923">IF(I923&gt;0,INDEX(DB,I923,8),"")</f>
        <v/>
      </c>
      <c r="D923" s="437">
        <f t="shared" si="1"/>
        <v>0</v>
      </c>
      <c r="F923" s="438">
        <f t="shared" si="2"/>
        <v>0</v>
      </c>
      <c r="G923" t="str">
        <f t="shared" si="3"/>
        <v/>
      </c>
      <c r="H923" t="b">
        <f t="shared" si="4"/>
        <v>0</v>
      </c>
      <c r="I923" s="439">
        <f>IF(OR(ISBLANK(A923),ISNA(MATCH(A923&amp;"",AthleteNumbers,0))),0,MATCH(A923&amp;"",AthleteNumbers,0))</f>
        <v>0</v>
      </c>
      <c r="J923" s="209">
        <f t="array" ref="J923">IF(I923&gt;0,INDEX(DB,$I923,6),0)</f>
        <v>0</v>
      </c>
      <c r="K923" s="446">
        <f t="shared" si="5"/>
        <v>0</v>
      </c>
      <c r="L923" s="446">
        <f t="shared" si="6"/>
        <v>0</v>
      </c>
      <c r="M923" s="441">
        <f>IF(L923&lt;O923,MinPoints,IF(AND(L923&gt;N923,O923&gt;0),100,+INT(($L923-O923)/P923)+MinPoints))</f>
        <v>10</v>
      </c>
      <c r="N923" s="440">
        <f t="shared" si="7"/>
        <v>50</v>
      </c>
      <c r="O923" s="440">
        <f t="shared" si="8"/>
        <v>5</v>
      </c>
      <c r="P923" s="440">
        <f t="shared" si="9"/>
        <v>0.5</v>
      </c>
      <c r="Q923">
        <f t="array" ref="Q923">IF(I923&gt;0,INDEX(DB,I923,9),EventIndex)</f>
        <v>6</v>
      </c>
      <c r="S923" s="442">
        <f t="array" ref="S923">INDEX(MINVALUES,$Q923,$K$1)</f>
        <v>5</v>
      </c>
      <c r="T923">
        <f t="array" ref="T923">INDEX(INCVALUES,$Q923,$K$1)</f>
        <v>0.5</v>
      </c>
      <c r="V923">
        <f t="array" ref="V923">+J923+(4*(INDEX(MatchScoreTable,$Q923,20)-1))</f>
        <v>4</v>
      </c>
      <c r="W923" s="442">
        <f t="array" ref="W923">INDEX(INC_MINVALUES,$V923,$K$1)</f>
        <v>2.5</v>
      </c>
      <c r="X923" s="212">
        <f t="array" ref="X923">INDEX(INC_INCVALUES,$V923,$K$1)</f>
        <v>0.5</v>
      </c>
    </row>
    <row r="924" ht="15.75" customHeight="1">
      <c r="A924" s="435"/>
      <c r="B924" s="436"/>
      <c r="C924" s="95" t="str">
        <f t="array" ref="C924">IF(I924&gt;0,INDEX(DB,I924,8),"")</f>
        <v/>
      </c>
      <c r="D924" s="437">
        <f t="shared" si="1"/>
        <v>0</v>
      </c>
      <c r="F924" s="438">
        <f t="shared" si="2"/>
        <v>0</v>
      </c>
      <c r="G924" t="str">
        <f t="shared" si="3"/>
        <v/>
      </c>
      <c r="H924" t="b">
        <f t="shared" si="4"/>
        <v>0</v>
      </c>
      <c r="I924" s="439">
        <f>IF(OR(ISBLANK(A924),ISNA(MATCH(A924&amp;"",AthleteNumbers,0))),0,MATCH(A924&amp;"",AthleteNumbers,0))</f>
        <v>0</v>
      </c>
      <c r="J924" s="209">
        <f t="array" ref="J924">IF(I924&gt;0,INDEX(DB,$I924,6),0)</f>
        <v>0</v>
      </c>
      <c r="K924" s="446">
        <f t="shared" si="5"/>
        <v>0</v>
      </c>
      <c r="L924" s="446">
        <f t="shared" si="6"/>
        <v>0</v>
      </c>
      <c r="M924" s="441">
        <f>IF(L924&lt;O924,MinPoints,IF(AND(L924&gt;N924,O924&gt;0),100,+INT(($L924-O924)/P924)+MinPoints))</f>
        <v>10</v>
      </c>
      <c r="N924" s="440">
        <f t="shared" si="7"/>
        <v>50</v>
      </c>
      <c r="O924" s="440">
        <f t="shared" si="8"/>
        <v>5</v>
      </c>
      <c r="P924" s="440">
        <f t="shared" si="9"/>
        <v>0.5</v>
      </c>
      <c r="Q924">
        <f t="array" ref="Q924">IF(I924&gt;0,INDEX(DB,I924,9),EventIndex)</f>
        <v>6</v>
      </c>
      <c r="S924" s="442">
        <f t="array" ref="S924">INDEX(MINVALUES,$Q924,$K$1)</f>
        <v>5</v>
      </c>
      <c r="T924">
        <f t="array" ref="T924">INDEX(INCVALUES,$Q924,$K$1)</f>
        <v>0.5</v>
      </c>
      <c r="V924">
        <f t="array" ref="V924">+J924+(4*(INDEX(MatchScoreTable,$Q924,20)-1))</f>
        <v>4</v>
      </c>
      <c r="W924" s="442">
        <f t="array" ref="W924">INDEX(INC_MINVALUES,$V924,$K$1)</f>
        <v>2.5</v>
      </c>
      <c r="X924" s="212">
        <f t="array" ref="X924">INDEX(INC_INCVALUES,$V924,$K$1)</f>
        <v>0.5</v>
      </c>
    </row>
    <row r="925" ht="15.75" customHeight="1">
      <c r="A925" s="435"/>
      <c r="B925" s="436"/>
      <c r="C925" s="95" t="str">
        <f t="array" ref="C925">IF(I925&gt;0,INDEX(DB,I925,8),"")</f>
        <v/>
      </c>
      <c r="D925" s="437">
        <f t="shared" si="1"/>
        <v>0</v>
      </c>
      <c r="F925" s="438">
        <f t="shared" si="2"/>
        <v>0</v>
      </c>
      <c r="G925" t="str">
        <f t="shared" si="3"/>
        <v/>
      </c>
      <c r="H925" t="b">
        <f t="shared" si="4"/>
        <v>0</v>
      </c>
      <c r="I925" s="439">
        <f>IF(OR(ISBLANK(A925),ISNA(MATCH(A925&amp;"",AthleteNumbers,0))),0,MATCH(A925&amp;"",AthleteNumbers,0))</f>
        <v>0</v>
      </c>
      <c r="J925" s="209">
        <f t="array" ref="J925">IF(I925&gt;0,INDEX(DB,$I925,6),0)</f>
        <v>0</v>
      </c>
      <c r="K925" s="446">
        <f t="shared" si="5"/>
        <v>0</v>
      </c>
      <c r="L925" s="446">
        <f t="shared" si="6"/>
        <v>0</v>
      </c>
      <c r="M925" s="441">
        <f>IF(L925&lt;O925,MinPoints,IF(AND(L925&gt;N925,O925&gt;0),100,+INT(($L925-O925)/P925)+MinPoints))</f>
        <v>10</v>
      </c>
      <c r="N925" s="440">
        <f t="shared" si="7"/>
        <v>50</v>
      </c>
      <c r="O925" s="440">
        <f t="shared" si="8"/>
        <v>5</v>
      </c>
      <c r="P925" s="440">
        <f t="shared" si="9"/>
        <v>0.5</v>
      </c>
      <c r="Q925">
        <f t="array" ref="Q925">IF(I925&gt;0,INDEX(DB,I925,9),EventIndex)</f>
        <v>6</v>
      </c>
      <c r="S925" s="442">
        <f t="array" ref="S925">INDEX(MINVALUES,$Q925,$K$1)</f>
        <v>5</v>
      </c>
      <c r="T925">
        <f t="array" ref="T925">INDEX(INCVALUES,$Q925,$K$1)</f>
        <v>0.5</v>
      </c>
      <c r="V925">
        <f t="array" ref="V925">+J925+(4*(INDEX(MatchScoreTable,$Q925,20)-1))</f>
        <v>4</v>
      </c>
      <c r="W925" s="442">
        <f t="array" ref="W925">INDEX(INC_MINVALUES,$V925,$K$1)</f>
        <v>2.5</v>
      </c>
      <c r="X925" s="212">
        <f t="array" ref="X925">INDEX(INC_INCVALUES,$V925,$K$1)</f>
        <v>0.5</v>
      </c>
    </row>
    <row r="926" ht="15.75" customHeight="1">
      <c r="A926" s="435"/>
      <c r="B926" s="436"/>
      <c r="C926" s="95" t="str">
        <f t="array" ref="C926">IF(I926&gt;0,INDEX(DB,I926,8),"")</f>
        <v/>
      </c>
      <c r="D926" s="437">
        <f t="shared" si="1"/>
        <v>0</v>
      </c>
      <c r="F926" s="438">
        <f t="shared" si="2"/>
        <v>0</v>
      </c>
      <c r="G926" t="str">
        <f t="shared" si="3"/>
        <v/>
      </c>
      <c r="H926" t="b">
        <f t="shared" si="4"/>
        <v>0</v>
      </c>
      <c r="I926" s="439">
        <f>IF(OR(ISBLANK(A926),ISNA(MATCH(A926&amp;"",AthleteNumbers,0))),0,MATCH(A926&amp;"",AthleteNumbers,0))</f>
        <v>0</v>
      </c>
      <c r="J926" s="209">
        <f t="array" ref="J926">IF(I926&gt;0,INDEX(DB,$I926,6),0)</f>
        <v>0</v>
      </c>
      <c r="K926" s="446">
        <f t="shared" si="5"/>
        <v>0</v>
      </c>
      <c r="L926" s="446">
        <f t="shared" si="6"/>
        <v>0</v>
      </c>
      <c r="M926" s="441">
        <f>IF(L926&lt;O926,MinPoints,IF(AND(L926&gt;N926,O926&gt;0),100,+INT(($L926-O926)/P926)+MinPoints))</f>
        <v>10</v>
      </c>
      <c r="N926" s="440">
        <f t="shared" si="7"/>
        <v>50</v>
      </c>
      <c r="O926" s="440">
        <f t="shared" si="8"/>
        <v>5</v>
      </c>
      <c r="P926" s="440">
        <f t="shared" si="9"/>
        <v>0.5</v>
      </c>
      <c r="Q926">
        <f t="array" ref="Q926">IF(I926&gt;0,INDEX(DB,I926,9),EventIndex)</f>
        <v>6</v>
      </c>
      <c r="S926" s="442">
        <f t="array" ref="S926">INDEX(MINVALUES,$Q926,$K$1)</f>
        <v>5</v>
      </c>
      <c r="T926">
        <f t="array" ref="T926">INDEX(INCVALUES,$Q926,$K$1)</f>
        <v>0.5</v>
      </c>
      <c r="V926">
        <f t="array" ref="V926">+J926+(4*(INDEX(MatchScoreTable,$Q926,20)-1))</f>
        <v>4</v>
      </c>
      <c r="W926" s="442">
        <f t="array" ref="W926">INDEX(INC_MINVALUES,$V926,$K$1)</f>
        <v>2.5</v>
      </c>
      <c r="X926" s="212">
        <f t="array" ref="X926">INDEX(INC_INCVALUES,$V926,$K$1)</f>
        <v>0.5</v>
      </c>
    </row>
    <row r="927" ht="15.75" customHeight="1">
      <c r="A927" s="435"/>
      <c r="B927" s="436"/>
      <c r="C927" s="95" t="str">
        <f t="array" ref="C927">IF(I927&gt;0,INDEX(DB,I927,8),"")</f>
        <v/>
      </c>
      <c r="D927" s="437">
        <f t="shared" si="1"/>
        <v>0</v>
      </c>
      <c r="F927" s="438">
        <f t="shared" si="2"/>
        <v>0</v>
      </c>
      <c r="G927" t="str">
        <f t="shared" si="3"/>
        <v/>
      </c>
      <c r="H927" t="b">
        <f t="shared" si="4"/>
        <v>0</v>
      </c>
      <c r="I927" s="439">
        <f>IF(OR(ISBLANK(A927),ISNA(MATCH(A927&amp;"",AthleteNumbers,0))),0,MATCH(A927&amp;"",AthleteNumbers,0))</f>
        <v>0</v>
      </c>
      <c r="J927" s="209">
        <f t="array" ref="J927">IF(I927&gt;0,INDEX(DB,$I927,6),0)</f>
        <v>0</v>
      </c>
      <c r="K927" s="446">
        <f t="shared" si="5"/>
        <v>0</v>
      </c>
      <c r="L927" s="446">
        <f t="shared" si="6"/>
        <v>0</v>
      </c>
      <c r="M927" s="441">
        <f>IF(L927&lt;O927,MinPoints,IF(AND(L927&gt;N927,O927&gt;0),100,+INT(($L927-O927)/P927)+MinPoints))</f>
        <v>10</v>
      </c>
      <c r="N927" s="440">
        <f t="shared" si="7"/>
        <v>50</v>
      </c>
      <c r="O927" s="440">
        <f t="shared" si="8"/>
        <v>5</v>
      </c>
      <c r="P927" s="440">
        <f t="shared" si="9"/>
        <v>0.5</v>
      </c>
      <c r="Q927">
        <f t="array" ref="Q927">IF(I927&gt;0,INDEX(DB,I927,9),EventIndex)</f>
        <v>6</v>
      </c>
      <c r="S927" s="442">
        <f t="array" ref="S927">INDEX(MINVALUES,$Q927,$K$1)</f>
        <v>5</v>
      </c>
      <c r="T927">
        <f t="array" ref="T927">INDEX(INCVALUES,$Q927,$K$1)</f>
        <v>0.5</v>
      </c>
      <c r="V927">
        <f t="array" ref="V927">+J927+(4*(INDEX(MatchScoreTable,$Q927,20)-1))</f>
        <v>4</v>
      </c>
      <c r="W927" s="442">
        <f t="array" ref="W927">INDEX(INC_MINVALUES,$V927,$K$1)</f>
        <v>2.5</v>
      </c>
      <c r="X927" s="212">
        <f t="array" ref="X927">INDEX(INC_INCVALUES,$V927,$K$1)</f>
        <v>0.5</v>
      </c>
    </row>
    <row r="928" ht="15.75" customHeight="1">
      <c r="A928" s="435"/>
      <c r="B928" s="436"/>
      <c r="C928" s="95" t="str">
        <f t="array" ref="C928">IF(I928&gt;0,INDEX(DB,I928,8),"")</f>
        <v/>
      </c>
      <c r="D928" s="437">
        <f t="shared" si="1"/>
        <v>0</v>
      </c>
      <c r="F928" s="438">
        <f t="shared" si="2"/>
        <v>0</v>
      </c>
      <c r="G928" t="str">
        <f t="shared" si="3"/>
        <v/>
      </c>
      <c r="H928" t="b">
        <f t="shared" si="4"/>
        <v>0</v>
      </c>
      <c r="I928" s="439">
        <f>IF(OR(ISBLANK(A928),ISNA(MATCH(A928&amp;"",AthleteNumbers,0))),0,MATCH(A928&amp;"",AthleteNumbers,0))</f>
        <v>0</v>
      </c>
      <c r="J928" s="209">
        <f t="array" ref="J928">IF(I928&gt;0,INDEX(DB,$I928,6),0)</f>
        <v>0</v>
      </c>
      <c r="K928" s="446">
        <f t="shared" si="5"/>
        <v>0</v>
      </c>
      <c r="L928" s="446">
        <f t="shared" si="6"/>
        <v>0</v>
      </c>
      <c r="M928" s="441">
        <f>IF(L928&lt;O928,MinPoints,IF(AND(L928&gt;N928,O928&gt;0),100,+INT(($L928-O928)/P928)+MinPoints))</f>
        <v>10</v>
      </c>
      <c r="N928" s="440">
        <f t="shared" si="7"/>
        <v>50</v>
      </c>
      <c r="O928" s="440">
        <f t="shared" si="8"/>
        <v>5</v>
      </c>
      <c r="P928" s="440">
        <f t="shared" si="9"/>
        <v>0.5</v>
      </c>
      <c r="Q928">
        <f t="array" ref="Q928">IF(I928&gt;0,INDEX(DB,I928,9),EventIndex)</f>
        <v>6</v>
      </c>
      <c r="S928" s="442">
        <f t="array" ref="S928">INDEX(MINVALUES,$Q928,$K$1)</f>
        <v>5</v>
      </c>
      <c r="T928">
        <f t="array" ref="T928">INDEX(INCVALUES,$Q928,$K$1)</f>
        <v>0.5</v>
      </c>
      <c r="V928">
        <f t="array" ref="V928">+J928+(4*(INDEX(MatchScoreTable,$Q928,20)-1))</f>
        <v>4</v>
      </c>
      <c r="W928" s="442">
        <f t="array" ref="W928">INDEX(INC_MINVALUES,$V928,$K$1)</f>
        <v>2.5</v>
      </c>
      <c r="X928" s="212">
        <f t="array" ref="X928">INDEX(INC_INCVALUES,$V928,$K$1)</f>
        <v>0.5</v>
      </c>
    </row>
    <row r="929" ht="15.75" customHeight="1">
      <c r="A929" s="435"/>
      <c r="B929" s="436"/>
      <c r="C929" s="95" t="str">
        <f t="array" ref="C929">IF(I929&gt;0,INDEX(DB,I929,8),"")</f>
        <v/>
      </c>
      <c r="D929" s="437">
        <f t="shared" si="1"/>
        <v>0</v>
      </c>
      <c r="F929" s="438">
        <f t="shared" si="2"/>
        <v>0</v>
      </c>
      <c r="G929" t="str">
        <f t="shared" si="3"/>
        <v/>
      </c>
      <c r="H929" t="b">
        <f t="shared" si="4"/>
        <v>0</v>
      </c>
      <c r="I929" s="439">
        <f>IF(OR(ISBLANK(A929),ISNA(MATCH(A929&amp;"",AthleteNumbers,0))),0,MATCH(A929&amp;"",AthleteNumbers,0))</f>
        <v>0</v>
      </c>
      <c r="J929" s="209">
        <f t="array" ref="J929">IF(I929&gt;0,INDEX(DB,$I929,6),0)</f>
        <v>0</v>
      </c>
      <c r="K929" s="446">
        <f t="shared" si="5"/>
        <v>0</v>
      </c>
      <c r="L929" s="446">
        <f t="shared" si="6"/>
        <v>0</v>
      </c>
      <c r="M929" s="441">
        <f>IF(L929&lt;O929,MinPoints,IF(AND(L929&gt;N929,O929&gt;0),100,+INT(($L929-O929)/P929)+MinPoints))</f>
        <v>10</v>
      </c>
      <c r="N929" s="440">
        <f t="shared" si="7"/>
        <v>50</v>
      </c>
      <c r="O929" s="440">
        <f t="shared" si="8"/>
        <v>5</v>
      </c>
      <c r="P929" s="440">
        <f t="shared" si="9"/>
        <v>0.5</v>
      </c>
      <c r="Q929">
        <f t="array" ref="Q929">IF(I929&gt;0,INDEX(DB,I929,9),EventIndex)</f>
        <v>6</v>
      </c>
      <c r="S929" s="442">
        <f t="array" ref="S929">INDEX(MINVALUES,$Q929,$K$1)</f>
        <v>5</v>
      </c>
      <c r="T929">
        <f t="array" ref="T929">INDEX(INCVALUES,$Q929,$K$1)</f>
        <v>0.5</v>
      </c>
      <c r="V929">
        <f t="array" ref="V929">+J929+(4*(INDEX(MatchScoreTable,$Q929,20)-1))</f>
        <v>4</v>
      </c>
      <c r="W929" s="442">
        <f t="array" ref="W929">INDEX(INC_MINVALUES,$V929,$K$1)</f>
        <v>2.5</v>
      </c>
      <c r="X929" s="212">
        <f t="array" ref="X929">INDEX(INC_INCVALUES,$V929,$K$1)</f>
        <v>0.5</v>
      </c>
    </row>
    <row r="930" ht="15.75" customHeight="1">
      <c r="A930" s="435"/>
      <c r="B930" s="436"/>
      <c r="C930" s="95" t="str">
        <f t="array" ref="C930">IF(I930&gt;0,INDEX(DB,I930,8),"")</f>
        <v/>
      </c>
      <c r="D930" s="437">
        <f t="shared" si="1"/>
        <v>0</v>
      </c>
      <c r="F930" s="438">
        <f t="shared" si="2"/>
        <v>0</v>
      </c>
      <c r="G930" t="str">
        <f t="shared" si="3"/>
        <v/>
      </c>
      <c r="H930" t="b">
        <f t="shared" si="4"/>
        <v>0</v>
      </c>
      <c r="I930" s="439">
        <f>IF(OR(ISBLANK(A930),ISNA(MATCH(A930&amp;"",AthleteNumbers,0))),0,MATCH(A930&amp;"",AthleteNumbers,0))</f>
        <v>0</v>
      </c>
      <c r="J930" s="209">
        <f t="array" ref="J930">IF(I930&gt;0,INDEX(DB,$I930,6),0)</f>
        <v>0</v>
      </c>
      <c r="K930" s="446">
        <f t="shared" si="5"/>
        <v>0</v>
      </c>
      <c r="L930" s="446">
        <f t="shared" si="6"/>
        <v>0</v>
      </c>
      <c r="M930" s="441">
        <f>IF(L930&lt;O930,MinPoints,IF(AND(L930&gt;N930,O930&gt;0),100,+INT(($L930-O930)/P930)+MinPoints))</f>
        <v>10</v>
      </c>
      <c r="N930" s="440">
        <f t="shared" si="7"/>
        <v>50</v>
      </c>
      <c r="O930" s="440">
        <f t="shared" si="8"/>
        <v>5</v>
      </c>
      <c r="P930" s="440">
        <f t="shared" si="9"/>
        <v>0.5</v>
      </c>
      <c r="Q930">
        <f t="array" ref="Q930">IF(I930&gt;0,INDEX(DB,I930,9),EventIndex)</f>
        <v>6</v>
      </c>
      <c r="S930" s="442">
        <f t="array" ref="S930">INDEX(MINVALUES,$Q930,$K$1)</f>
        <v>5</v>
      </c>
      <c r="T930">
        <f t="array" ref="T930">INDEX(INCVALUES,$Q930,$K$1)</f>
        <v>0.5</v>
      </c>
      <c r="V930">
        <f t="array" ref="V930">+J930+(4*(INDEX(MatchScoreTable,$Q930,20)-1))</f>
        <v>4</v>
      </c>
      <c r="W930" s="442">
        <f t="array" ref="W930">INDEX(INC_MINVALUES,$V930,$K$1)</f>
        <v>2.5</v>
      </c>
      <c r="X930" s="212">
        <f t="array" ref="X930">INDEX(INC_INCVALUES,$V930,$K$1)</f>
        <v>0.5</v>
      </c>
    </row>
    <row r="931" ht="15.75" customHeight="1">
      <c r="A931" s="435"/>
      <c r="B931" s="436"/>
      <c r="C931" s="95" t="str">
        <f t="array" ref="C931">IF(I931&gt;0,INDEX(DB,I931,8),"")</f>
        <v/>
      </c>
      <c r="D931" s="437">
        <f t="shared" si="1"/>
        <v>0</v>
      </c>
      <c r="F931" s="438">
        <f t="shared" si="2"/>
        <v>0</v>
      </c>
      <c r="G931" t="str">
        <f t="shared" si="3"/>
        <v/>
      </c>
      <c r="H931" t="b">
        <f t="shared" si="4"/>
        <v>0</v>
      </c>
      <c r="I931" s="439">
        <f>IF(OR(ISBLANK(A931),ISNA(MATCH(A931&amp;"",AthleteNumbers,0))),0,MATCH(A931&amp;"",AthleteNumbers,0))</f>
        <v>0</v>
      </c>
      <c r="J931" s="209">
        <f t="array" ref="J931">IF(I931&gt;0,INDEX(DB,$I931,6),0)</f>
        <v>0</v>
      </c>
      <c r="K931" s="446">
        <f t="shared" si="5"/>
        <v>0</v>
      </c>
      <c r="L931" s="446">
        <f t="shared" si="6"/>
        <v>0</v>
      </c>
      <c r="M931" s="441">
        <f>IF(L931&lt;O931,MinPoints,IF(AND(L931&gt;N931,O931&gt;0),100,+INT(($L931-O931)/P931)+MinPoints))</f>
        <v>10</v>
      </c>
      <c r="N931" s="440">
        <f t="shared" si="7"/>
        <v>50</v>
      </c>
      <c r="O931" s="440">
        <f t="shared" si="8"/>
        <v>5</v>
      </c>
      <c r="P931" s="440">
        <f t="shared" si="9"/>
        <v>0.5</v>
      </c>
      <c r="Q931">
        <f t="array" ref="Q931">IF(I931&gt;0,INDEX(DB,I931,9),EventIndex)</f>
        <v>6</v>
      </c>
      <c r="S931" s="442">
        <f t="array" ref="S931">INDEX(MINVALUES,$Q931,$K$1)</f>
        <v>5</v>
      </c>
      <c r="T931">
        <f t="array" ref="T931">INDEX(INCVALUES,$Q931,$K$1)</f>
        <v>0.5</v>
      </c>
      <c r="V931">
        <f t="array" ref="V931">+J931+(4*(INDEX(MatchScoreTable,$Q931,20)-1))</f>
        <v>4</v>
      </c>
      <c r="W931" s="442">
        <f t="array" ref="W931">INDEX(INC_MINVALUES,$V931,$K$1)</f>
        <v>2.5</v>
      </c>
      <c r="X931" s="212">
        <f t="array" ref="X931">INDEX(INC_INCVALUES,$V931,$K$1)</f>
        <v>0.5</v>
      </c>
    </row>
    <row r="932" ht="15.75" customHeight="1">
      <c r="A932" s="435"/>
      <c r="B932" s="436"/>
      <c r="C932" s="95" t="str">
        <f t="array" ref="C932">IF(I932&gt;0,INDEX(DB,I932,8),"")</f>
        <v/>
      </c>
      <c r="D932" s="437">
        <f t="shared" si="1"/>
        <v>0</v>
      </c>
      <c r="F932" s="438">
        <f t="shared" si="2"/>
        <v>0</v>
      </c>
      <c r="G932" t="str">
        <f t="shared" si="3"/>
        <v/>
      </c>
      <c r="H932" t="b">
        <f t="shared" si="4"/>
        <v>0</v>
      </c>
      <c r="I932" s="439">
        <f>IF(OR(ISBLANK(A932),ISNA(MATCH(A932&amp;"",AthleteNumbers,0))),0,MATCH(A932&amp;"",AthleteNumbers,0))</f>
        <v>0</v>
      </c>
      <c r="J932" s="209">
        <f t="array" ref="J932">IF(I932&gt;0,INDEX(DB,$I932,6),0)</f>
        <v>0</v>
      </c>
      <c r="K932" s="446">
        <f t="shared" si="5"/>
        <v>0</v>
      </c>
      <c r="L932" s="446">
        <f t="shared" si="6"/>
        <v>0</v>
      </c>
      <c r="M932" s="441">
        <f>IF(L932&lt;O932,MinPoints,IF(AND(L932&gt;N932,O932&gt;0),100,+INT(($L932-O932)/P932)+MinPoints))</f>
        <v>10</v>
      </c>
      <c r="N932" s="440">
        <f t="shared" si="7"/>
        <v>50</v>
      </c>
      <c r="O932" s="440">
        <f t="shared" si="8"/>
        <v>5</v>
      </c>
      <c r="P932" s="440">
        <f t="shared" si="9"/>
        <v>0.5</v>
      </c>
      <c r="Q932">
        <f t="array" ref="Q932">IF(I932&gt;0,INDEX(DB,I932,9),EventIndex)</f>
        <v>6</v>
      </c>
      <c r="S932" s="442">
        <f t="array" ref="S932">INDEX(MINVALUES,$Q932,$K$1)</f>
        <v>5</v>
      </c>
      <c r="T932">
        <f t="array" ref="T932">INDEX(INCVALUES,$Q932,$K$1)</f>
        <v>0.5</v>
      </c>
      <c r="V932">
        <f t="array" ref="V932">+J932+(4*(INDEX(MatchScoreTable,$Q932,20)-1))</f>
        <v>4</v>
      </c>
      <c r="W932" s="442">
        <f t="array" ref="W932">INDEX(INC_MINVALUES,$V932,$K$1)</f>
        <v>2.5</v>
      </c>
      <c r="X932" s="212">
        <f t="array" ref="X932">INDEX(INC_INCVALUES,$V932,$K$1)</f>
        <v>0.5</v>
      </c>
    </row>
    <row r="933" ht="15.75" customHeight="1">
      <c r="A933" s="435"/>
      <c r="B933" s="436"/>
      <c r="C933" s="95" t="str">
        <f t="array" ref="C933">IF(I933&gt;0,INDEX(DB,I933,8),"")</f>
        <v/>
      </c>
      <c r="D933" s="437">
        <f t="shared" si="1"/>
        <v>0</v>
      </c>
      <c r="F933" s="438">
        <f t="shared" si="2"/>
        <v>0</v>
      </c>
      <c r="G933" t="str">
        <f t="shared" si="3"/>
        <v/>
      </c>
      <c r="H933" t="b">
        <f t="shared" si="4"/>
        <v>0</v>
      </c>
      <c r="I933" s="439">
        <f>IF(OR(ISBLANK(A933),ISNA(MATCH(A933&amp;"",AthleteNumbers,0))),0,MATCH(A933&amp;"",AthleteNumbers,0))</f>
        <v>0</v>
      </c>
      <c r="J933" s="209">
        <f t="array" ref="J933">IF(I933&gt;0,INDEX(DB,$I933,6),0)</f>
        <v>0</v>
      </c>
      <c r="K933" s="446">
        <f t="shared" si="5"/>
        <v>0</v>
      </c>
      <c r="L933" s="446">
        <f t="shared" si="6"/>
        <v>0</v>
      </c>
      <c r="M933" s="441">
        <f>IF(L933&lt;O933,MinPoints,IF(AND(L933&gt;N933,O933&gt;0),100,+INT(($L933-O933)/P933)+MinPoints))</f>
        <v>10</v>
      </c>
      <c r="N933" s="440">
        <f t="shared" si="7"/>
        <v>50</v>
      </c>
      <c r="O933" s="440">
        <f t="shared" si="8"/>
        <v>5</v>
      </c>
      <c r="P933" s="440">
        <f t="shared" si="9"/>
        <v>0.5</v>
      </c>
      <c r="Q933">
        <f t="array" ref="Q933">IF(I933&gt;0,INDEX(DB,I933,9),EventIndex)</f>
        <v>6</v>
      </c>
      <c r="S933" s="442">
        <f t="array" ref="S933">INDEX(MINVALUES,$Q933,$K$1)</f>
        <v>5</v>
      </c>
      <c r="T933">
        <f t="array" ref="T933">INDEX(INCVALUES,$Q933,$K$1)</f>
        <v>0.5</v>
      </c>
      <c r="V933">
        <f t="array" ref="V933">+J933+(4*(INDEX(MatchScoreTable,$Q933,20)-1))</f>
        <v>4</v>
      </c>
      <c r="W933" s="442">
        <f t="array" ref="W933">INDEX(INC_MINVALUES,$V933,$K$1)</f>
        <v>2.5</v>
      </c>
      <c r="X933" s="212">
        <f t="array" ref="X933">INDEX(INC_INCVALUES,$V933,$K$1)</f>
        <v>0.5</v>
      </c>
    </row>
    <row r="934" ht="15.75" customHeight="1">
      <c r="A934" s="435"/>
      <c r="B934" s="436"/>
      <c r="C934" s="95" t="str">
        <f t="array" ref="C934">IF(I934&gt;0,INDEX(DB,I934,8),"")</f>
        <v/>
      </c>
      <c r="D934" s="437">
        <f t="shared" si="1"/>
        <v>0</v>
      </c>
      <c r="F934" s="438">
        <f t="shared" si="2"/>
        <v>0</v>
      </c>
      <c r="G934" t="str">
        <f t="shared" si="3"/>
        <v/>
      </c>
      <c r="H934" t="b">
        <f t="shared" si="4"/>
        <v>0</v>
      </c>
      <c r="I934" s="439">
        <f>IF(OR(ISBLANK(A934),ISNA(MATCH(A934&amp;"",AthleteNumbers,0))),0,MATCH(A934&amp;"",AthleteNumbers,0))</f>
        <v>0</v>
      </c>
      <c r="J934" s="209">
        <f t="array" ref="J934">IF(I934&gt;0,INDEX(DB,$I934,6),0)</f>
        <v>0</v>
      </c>
      <c r="K934" s="446">
        <f t="shared" si="5"/>
        <v>0</v>
      </c>
      <c r="L934" s="446">
        <f t="shared" si="6"/>
        <v>0</v>
      </c>
      <c r="M934" s="441">
        <f>IF(L934&lt;O934,MinPoints,IF(AND(L934&gt;N934,O934&gt;0),100,+INT(($L934-O934)/P934)+MinPoints))</f>
        <v>10</v>
      </c>
      <c r="N934" s="440">
        <f t="shared" si="7"/>
        <v>50</v>
      </c>
      <c r="O934" s="440">
        <f t="shared" si="8"/>
        <v>5</v>
      </c>
      <c r="P934" s="440">
        <f t="shared" si="9"/>
        <v>0.5</v>
      </c>
      <c r="Q934">
        <f t="array" ref="Q934">IF(I934&gt;0,INDEX(DB,I934,9),EventIndex)</f>
        <v>6</v>
      </c>
      <c r="S934" s="442">
        <f t="array" ref="S934">INDEX(MINVALUES,$Q934,$K$1)</f>
        <v>5</v>
      </c>
      <c r="T934">
        <f t="array" ref="T934">INDEX(INCVALUES,$Q934,$K$1)</f>
        <v>0.5</v>
      </c>
      <c r="V934">
        <f t="array" ref="V934">+J934+(4*(INDEX(MatchScoreTable,$Q934,20)-1))</f>
        <v>4</v>
      </c>
      <c r="W934" s="442">
        <f t="array" ref="W934">INDEX(INC_MINVALUES,$V934,$K$1)</f>
        <v>2.5</v>
      </c>
      <c r="X934" s="212">
        <f t="array" ref="X934">INDEX(INC_INCVALUES,$V934,$K$1)</f>
        <v>0.5</v>
      </c>
    </row>
    <row r="935" ht="15.75" customHeight="1">
      <c r="A935" s="435"/>
      <c r="B935" s="436"/>
      <c r="C935" s="95" t="str">
        <f t="array" ref="C935">IF(I935&gt;0,INDEX(DB,I935,8),"")</f>
        <v/>
      </c>
      <c r="D935" s="437">
        <f t="shared" si="1"/>
        <v>0</v>
      </c>
      <c r="F935" s="438">
        <f t="shared" si="2"/>
        <v>0</v>
      </c>
      <c r="G935" t="str">
        <f t="shared" si="3"/>
        <v/>
      </c>
      <c r="H935" t="b">
        <f t="shared" si="4"/>
        <v>0</v>
      </c>
      <c r="I935" s="439">
        <f>IF(OR(ISBLANK(A935),ISNA(MATCH(A935&amp;"",AthleteNumbers,0))),0,MATCH(A935&amp;"",AthleteNumbers,0))</f>
        <v>0</v>
      </c>
      <c r="J935" s="209">
        <f t="array" ref="J935">IF(I935&gt;0,INDEX(DB,$I935,6),0)</f>
        <v>0</v>
      </c>
      <c r="K935" s="446">
        <f t="shared" si="5"/>
        <v>0</v>
      </c>
      <c r="L935" s="446">
        <f t="shared" si="6"/>
        <v>0</v>
      </c>
      <c r="M935" s="441">
        <f>IF(L935&lt;O935,MinPoints,IF(AND(L935&gt;N935,O935&gt;0),100,+INT(($L935-O935)/P935)+MinPoints))</f>
        <v>10</v>
      </c>
      <c r="N935" s="440">
        <f t="shared" si="7"/>
        <v>50</v>
      </c>
      <c r="O935" s="440">
        <f t="shared" si="8"/>
        <v>5</v>
      </c>
      <c r="P935" s="440">
        <f t="shared" si="9"/>
        <v>0.5</v>
      </c>
      <c r="Q935">
        <f t="array" ref="Q935">IF(I935&gt;0,INDEX(DB,I935,9),EventIndex)</f>
        <v>6</v>
      </c>
      <c r="S935" s="442">
        <f t="array" ref="S935">INDEX(MINVALUES,$Q935,$K$1)</f>
        <v>5</v>
      </c>
      <c r="T935">
        <f t="array" ref="T935">INDEX(INCVALUES,$Q935,$K$1)</f>
        <v>0.5</v>
      </c>
      <c r="V935">
        <f t="array" ref="V935">+J935+(4*(INDEX(MatchScoreTable,$Q935,20)-1))</f>
        <v>4</v>
      </c>
      <c r="W935" s="442">
        <f t="array" ref="W935">INDEX(INC_MINVALUES,$V935,$K$1)</f>
        <v>2.5</v>
      </c>
      <c r="X935" s="212">
        <f t="array" ref="X935">INDEX(INC_INCVALUES,$V935,$K$1)</f>
        <v>0.5</v>
      </c>
    </row>
    <row r="936" ht="15.75" customHeight="1">
      <c r="A936" s="435"/>
      <c r="B936" s="436"/>
      <c r="C936" s="95" t="str">
        <f t="array" ref="C936">IF(I936&gt;0,INDEX(DB,I936,8),"")</f>
        <v/>
      </c>
      <c r="D936" s="437">
        <f t="shared" si="1"/>
        <v>0</v>
      </c>
      <c r="F936" s="438">
        <f t="shared" si="2"/>
        <v>0</v>
      </c>
      <c r="G936" t="str">
        <f t="shared" si="3"/>
        <v/>
      </c>
      <c r="H936" t="b">
        <f t="shared" si="4"/>
        <v>0</v>
      </c>
      <c r="I936" s="439">
        <f>IF(OR(ISBLANK(A936),ISNA(MATCH(A936&amp;"",AthleteNumbers,0))),0,MATCH(A936&amp;"",AthleteNumbers,0))</f>
        <v>0</v>
      </c>
      <c r="J936" s="209">
        <f t="array" ref="J936">IF(I936&gt;0,INDEX(DB,$I936,6),0)</f>
        <v>0</v>
      </c>
      <c r="K936" s="446">
        <f t="shared" si="5"/>
        <v>0</v>
      </c>
      <c r="L936" s="446">
        <f t="shared" si="6"/>
        <v>0</v>
      </c>
      <c r="M936" s="441">
        <f>IF(L936&lt;O936,MinPoints,IF(AND(L936&gt;N936,O936&gt;0),100,+INT(($L936-O936)/P936)+MinPoints))</f>
        <v>10</v>
      </c>
      <c r="N936" s="440">
        <f t="shared" si="7"/>
        <v>50</v>
      </c>
      <c r="O936" s="440">
        <f t="shared" si="8"/>
        <v>5</v>
      </c>
      <c r="P936" s="440">
        <f t="shared" si="9"/>
        <v>0.5</v>
      </c>
      <c r="Q936">
        <f t="array" ref="Q936">IF(I936&gt;0,INDEX(DB,I936,9),EventIndex)</f>
        <v>6</v>
      </c>
      <c r="S936" s="442">
        <f t="array" ref="S936">INDEX(MINVALUES,$Q936,$K$1)</f>
        <v>5</v>
      </c>
      <c r="T936">
        <f t="array" ref="T936">INDEX(INCVALUES,$Q936,$K$1)</f>
        <v>0.5</v>
      </c>
      <c r="V936">
        <f t="array" ref="V936">+J936+(4*(INDEX(MatchScoreTable,$Q936,20)-1))</f>
        <v>4</v>
      </c>
      <c r="W936" s="442">
        <f t="array" ref="W936">INDEX(INC_MINVALUES,$V936,$K$1)</f>
        <v>2.5</v>
      </c>
      <c r="X936" s="212">
        <f t="array" ref="X936">INDEX(INC_INCVALUES,$V936,$K$1)</f>
        <v>0.5</v>
      </c>
    </row>
    <row r="937" ht="15.75" customHeight="1">
      <c r="A937" s="435"/>
      <c r="B937" s="436"/>
      <c r="C937" s="95" t="str">
        <f t="array" ref="C937">IF(I937&gt;0,INDEX(DB,I937,8),"")</f>
        <v/>
      </c>
      <c r="D937" s="437">
        <f t="shared" si="1"/>
        <v>0</v>
      </c>
      <c r="F937" s="438">
        <f t="shared" si="2"/>
        <v>0</v>
      </c>
      <c r="G937" t="str">
        <f t="shared" si="3"/>
        <v/>
      </c>
      <c r="H937" t="b">
        <f t="shared" si="4"/>
        <v>0</v>
      </c>
      <c r="I937" s="439">
        <f>IF(OR(ISBLANK(A937),ISNA(MATCH(A937&amp;"",AthleteNumbers,0))),0,MATCH(A937&amp;"",AthleteNumbers,0))</f>
        <v>0</v>
      </c>
      <c r="J937" s="209">
        <f t="array" ref="J937">IF(I937&gt;0,INDEX(DB,$I937,6),0)</f>
        <v>0</v>
      </c>
      <c r="K937" s="446">
        <f t="shared" si="5"/>
        <v>0</v>
      </c>
      <c r="L937" s="446">
        <f t="shared" si="6"/>
        <v>0</v>
      </c>
      <c r="M937" s="441">
        <f>IF(L937&lt;O937,MinPoints,IF(AND(L937&gt;N937,O937&gt;0),100,+INT(($L937-O937)/P937)+MinPoints))</f>
        <v>10</v>
      </c>
      <c r="N937" s="440">
        <f t="shared" si="7"/>
        <v>50</v>
      </c>
      <c r="O937" s="440">
        <f t="shared" si="8"/>
        <v>5</v>
      </c>
      <c r="P937" s="440">
        <f t="shared" si="9"/>
        <v>0.5</v>
      </c>
      <c r="Q937">
        <f t="array" ref="Q937">IF(I937&gt;0,INDEX(DB,I937,9),EventIndex)</f>
        <v>6</v>
      </c>
      <c r="S937" s="442">
        <f t="array" ref="S937">INDEX(MINVALUES,$Q937,$K$1)</f>
        <v>5</v>
      </c>
      <c r="T937">
        <f t="array" ref="T937">INDEX(INCVALUES,$Q937,$K$1)</f>
        <v>0.5</v>
      </c>
      <c r="V937">
        <f t="array" ref="V937">+J937+(4*(INDEX(MatchScoreTable,$Q937,20)-1))</f>
        <v>4</v>
      </c>
      <c r="W937" s="442">
        <f t="array" ref="W937">INDEX(INC_MINVALUES,$V937,$K$1)</f>
        <v>2.5</v>
      </c>
      <c r="X937" s="212">
        <f t="array" ref="X937">INDEX(INC_INCVALUES,$V937,$K$1)</f>
        <v>0.5</v>
      </c>
    </row>
    <row r="938" ht="15.75" customHeight="1">
      <c r="A938" s="435"/>
      <c r="B938" s="436"/>
      <c r="C938" s="95" t="str">
        <f t="array" ref="C938">IF(I938&gt;0,INDEX(DB,I938,8),"")</f>
        <v/>
      </c>
      <c r="D938" s="437">
        <f t="shared" si="1"/>
        <v>0</v>
      </c>
      <c r="F938" s="438">
        <f t="shared" si="2"/>
        <v>0</v>
      </c>
      <c r="G938" t="str">
        <f t="shared" si="3"/>
        <v/>
      </c>
      <c r="H938" t="b">
        <f t="shared" si="4"/>
        <v>0</v>
      </c>
      <c r="I938" s="439">
        <f>IF(OR(ISBLANK(A938),ISNA(MATCH(A938&amp;"",AthleteNumbers,0))),0,MATCH(A938&amp;"",AthleteNumbers,0))</f>
        <v>0</v>
      </c>
      <c r="J938" s="209">
        <f t="array" ref="J938">IF(I938&gt;0,INDEX(DB,$I938,6),0)</f>
        <v>0</v>
      </c>
      <c r="K938" s="446">
        <f t="shared" si="5"/>
        <v>0</v>
      </c>
      <c r="L938" s="446">
        <f t="shared" si="6"/>
        <v>0</v>
      </c>
      <c r="M938" s="441">
        <f>IF(L938&lt;O938,MinPoints,IF(AND(L938&gt;N938,O938&gt;0),100,+INT(($L938-O938)/P938)+MinPoints))</f>
        <v>10</v>
      </c>
      <c r="N938" s="440">
        <f t="shared" si="7"/>
        <v>50</v>
      </c>
      <c r="O938" s="440">
        <f t="shared" si="8"/>
        <v>5</v>
      </c>
      <c r="P938" s="440">
        <f t="shared" si="9"/>
        <v>0.5</v>
      </c>
      <c r="Q938">
        <f t="array" ref="Q938">IF(I938&gt;0,INDEX(DB,I938,9),EventIndex)</f>
        <v>6</v>
      </c>
      <c r="S938" s="442">
        <f t="array" ref="S938">INDEX(MINVALUES,$Q938,$K$1)</f>
        <v>5</v>
      </c>
      <c r="T938">
        <f t="array" ref="T938">INDEX(INCVALUES,$Q938,$K$1)</f>
        <v>0.5</v>
      </c>
      <c r="V938">
        <f t="array" ref="V938">+J938+(4*(INDEX(MatchScoreTable,$Q938,20)-1))</f>
        <v>4</v>
      </c>
      <c r="W938" s="442">
        <f t="array" ref="W938">INDEX(INC_MINVALUES,$V938,$K$1)</f>
        <v>2.5</v>
      </c>
      <c r="X938" s="212">
        <f t="array" ref="X938">INDEX(INC_INCVALUES,$V938,$K$1)</f>
        <v>0.5</v>
      </c>
    </row>
    <row r="939" ht="15.75" customHeight="1">
      <c r="A939" s="435"/>
      <c r="B939" s="436"/>
      <c r="C939" s="95" t="str">
        <f t="array" ref="C939">IF(I939&gt;0,INDEX(DB,I939,8),"")</f>
        <v/>
      </c>
      <c r="D939" s="437">
        <f t="shared" si="1"/>
        <v>0</v>
      </c>
      <c r="F939" s="438">
        <f t="shared" si="2"/>
        <v>0</v>
      </c>
      <c r="G939" t="str">
        <f t="shared" si="3"/>
        <v/>
      </c>
      <c r="H939" t="b">
        <f t="shared" si="4"/>
        <v>0</v>
      </c>
      <c r="I939" s="439">
        <f>IF(OR(ISBLANK(A939),ISNA(MATCH(A939&amp;"",AthleteNumbers,0))),0,MATCH(A939&amp;"",AthleteNumbers,0))</f>
        <v>0</v>
      </c>
      <c r="J939" s="209">
        <f t="array" ref="J939">IF(I939&gt;0,INDEX(DB,$I939,6),0)</f>
        <v>0</v>
      </c>
      <c r="K939" s="446">
        <f t="shared" si="5"/>
        <v>0</v>
      </c>
      <c r="L939" s="446">
        <f t="shared" si="6"/>
        <v>0</v>
      </c>
      <c r="M939" s="441">
        <f>IF(L939&lt;O939,MinPoints,IF(AND(L939&gt;N939,O939&gt;0),100,+INT(($L939-O939)/P939)+MinPoints))</f>
        <v>10</v>
      </c>
      <c r="N939" s="440">
        <f t="shared" si="7"/>
        <v>50</v>
      </c>
      <c r="O939" s="440">
        <f t="shared" si="8"/>
        <v>5</v>
      </c>
      <c r="P939" s="440">
        <f t="shared" si="9"/>
        <v>0.5</v>
      </c>
      <c r="Q939">
        <f t="array" ref="Q939">IF(I939&gt;0,INDEX(DB,I939,9),EventIndex)</f>
        <v>6</v>
      </c>
      <c r="S939" s="442">
        <f t="array" ref="S939">INDEX(MINVALUES,$Q939,$K$1)</f>
        <v>5</v>
      </c>
      <c r="T939">
        <f t="array" ref="T939">INDEX(INCVALUES,$Q939,$K$1)</f>
        <v>0.5</v>
      </c>
      <c r="V939">
        <f t="array" ref="V939">+J939+(4*(INDEX(MatchScoreTable,$Q939,20)-1))</f>
        <v>4</v>
      </c>
      <c r="W939" s="442">
        <f t="array" ref="W939">INDEX(INC_MINVALUES,$V939,$K$1)</f>
        <v>2.5</v>
      </c>
      <c r="X939" s="212">
        <f t="array" ref="X939">INDEX(INC_INCVALUES,$V939,$K$1)</f>
        <v>0.5</v>
      </c>
    </row>
    <row r="940" ht="15.75" customHeight="1">
      <c r="A940" s="435"/>
      <c r="B940" s="436"/>
      <c r="C940" s="95" t="str">
        <f t="array" ref="C940">IF(I940&gt;0,INDEX(DB,I940,8),"")</f>
        <v/>
      </c>
      <c r="D940" s="437">
        <f t="shared" si="1"/>
        <v>0</v>
      </c>
      <c r="F940" s="438">
        <f t="shared" si="2"/>
        <v>0</v>
      </c>
      <c r="G940" t="str">
        <f t="shared" si="3"/>
        <v/>
      </c>
      <c r="H940" t="b">
        <f t="shared" si="4"/>
        <v>0</v>
      </c>
      <c r="I940" s="439">
        <f>IF(OR(ISBLANK(A940),ISNA(MATCH(A940&amp;"",AthleteNumbers,0))),0,MATCH(A940&amp;"",AthleteNumbers,0))</f>
        <v>0</v>
      </c>
      <c r="J940" s="209">
        <f t="array" ref="J940">IF(I940&gt;0,INDEX(DB,$I940,6),0)</f>
        <v>0</v>
      </c>
      <c r="K940" s="446">
        <f t="shared" si="5"/>
        <v>0</v>
      </c>
      <c r="L940" s="446">
        <f t="shared" si="6"/>
        <v>0</v>
      </c>
      <c r="M940" s="441">
        <f>IF(L940&lt;O940,MinPoints,IF(AND(L940&gt;N940,O940&gt;0),100,+INT(($L940-O940)/P940)+MinPoints))</f>
        <v>10</v>
      </c>
      <c r="N940" s="440">
        <f t="shared" si="7"/>
        <v>50</v>
      </c>
      <c r="O940" s="440">
        <f t="shared" si="8"/>
        <v>5</v>
      </c>
      <c r="P940" s="440">
        <f t="shared" si="9"/>
        <v>0.5</v>
      </c>
      <c r="Q940">
        <f t="array" ref="Q940">IF(I940&gt;0,INDEX(DB,I940,9),EventIndex)</f>
        <v>6</v>
      </c>
      <c r="S940" s="442">
        <f t="array" ref="S940">INDEX(MINVALUES,$Q940,$K$1)</f>
        <v>5</v>
      </c>
      <c r="T940">
        <f t="array" ref="T940">INDEX(INCVALUES,$Q940,$K$1)</f>
        <v>0.5</v>
      </c>
      <c r="V940">
        <f t="array" ref="V940">+J940+(4*(INDEX(MatchScoreTable,$Q940,20)-1))</f>
        <v>4</v>
      </c>
      <c r="W940" s="442">
        <f t="array" ref="W940">INDEX(INC_MINVALUES,$V940,$K$1)</f>
        <v>2.5</v>
      </c>
      <c r="X940" s="212">
        <f t="array" ref="X940">INDEX(INC_INCVALUES,$V940,$K$1)</f>
        <v>0.5</v>
      </c>
    </row>
    <row r="941" ht="15.75" customHeight="1">
      <c r="A941" s="435"/>
      <c r="B941" s="436"/>
      <c r="C941" s="95" t="str">
        <f t="array" ref="C941">IF(I941&gt;0,INDEX(DB,I941,8),"")</f>
        <v/>
      </c>
      <c r="D941" s="437">
        <f t="shared" si="1"/>
        <v>0</v>
      </c>
      <c r="F941" s="438">
        <f t="shared" si="2"/>
        <v>0</v>
      </c>
      <c r="G941" t="str">
        <f t="shared" si="3"/>
        <v/>
      </c>
      <c r="H941" t="b">
        <f t="shared" si="4"/>
        <v>0</v>
      </c>
      <c r="I941" s="439">
        <f>IF(OR(ISBLANK(A941),ISNA(MATCH(A941&amp;"",AthleteNumbers,0))),0,MATCH(A941&amp;"",AthleteNumbers,0))</f>
        <v>0</v>
      </c>
      <c r="J941" s="209">
        <f t="array" ref="J941">IF(I941&gt;0,INDEX(DB,$I941,6),0)</f>
        <v>0</v>
      </c>
      <c r="K941" s="446">
        <f t="shared" si="5"/>
        <v>0</v>
      </c>
      <c r="L941" s="446">
        <f t="shared" si="6"/>
        <v>0</v>
      </c>
      <c r="M941" s="441">
        <f>IF(L941&lt;O941,MinPoints,IF(AND(L941&gt;N941,O941&gt;0),100,+INT(($L941-O941)/P941)+MinPoints))</f>
        <v>10</v>
      </c>
      <c r="N941" s="440">
        <f t="shared" si="7"/>
        <v>50</v>
      </c>
      <c r="O941" s="440">
        <f t="shared" si="8"/>
        <v>5</v>
      </c>
      <c r="P941" s="440">
        <f t="shared" si="9"/>
        <v>0.5</v>
      </c>
      <c r="Q941">
        <f t="array" ref="Q941">IF(I941&gt;0,INDEX(DB,I941,9),EventIndex)</f>
        <v>6</v>
      </c>
      <c r="S941" s="442">
        <f t="array" ref="S941">INDEX(MINVALUES,$Q941,$K$1)</f>
        <v>5</v>
      </c>
      <c r="T941">
        <f t="array" ref="T941">INDEX(INCVALUES,$Q941,$K$1)</f>
        <v>0.5</v>
      </c>
      <c r="V941">
        <f t="array" ref="V941">+J941+(4*(INDEX(MatchScoreTable,$Q941,20)-1))</f>
        <v>4</v>
      </c>
      <c r="W941" s="442">
        <f t="array" ref="W941">INDEX(INC_MINVALUES,$V941,$K$1)</f>
        <v>2.5</v>
      </c>
      <c r="X941" s="212">
        <f t="array" ref="X941">INDEX(INC_INCVALUES,$V941,$K$1)</f>
        <v>0.5</v>
      </c>
    </row>
    <row r="942" ht="15.75" customHeight="1">
      <c r="A942" s="435"/>
      <c r="B942" s="436"/>
      <c r="C942" s="95" t="str">
        <f t="array" ref="C942">IF(I942&gt;0,INDEX(DB,I942,8),"")</f>
        <v/>
      </c>
      <c r="D942" s="437">
        <f t="shared" si="1"/>
        <v>0</v>
      </c>
      <c r="F942" s="438">
        <f t="shared" si="2"/>
        <v>0</v>
      </c>
      <c r="G942" t="str">
        <f t="shared" si="3"/>
        <v/>
      </c>
      <c r="H942" t="b">
        <f t="shared" si="4"/>
        <v>0</v>
      </c>
      <c r="I942" s="439">
        <f>IF(OR(ISBLANK(A942),ISNA(MATCH(A942&amp;"",AthleteNumbers,0))),0,MATCH(A942&amp;"",AthleteNumbers,0))</f>
        <v>0</v>
      </c>
      <c r="J942" s="209">
        <f t="array" ref="J942">IF(I942&gt;0,INDEX(DB,$I942,6),0)</f>
        <v>0</v>
      </c>
      <c r="K942" s="446">
        <f t="shared" si="5"/>
        <v>0</v>
      </c>
      <c r="L942" s="446">
        <f t="shared" si="6"/>
        <v>0</v>
      </c>
      <c r="M942" s="441">
        <f>IF(L942&lt;O942,MinPoints,IF(AND(L942&gt;N942,O942&gt;0),100,+INT(($L942-O942)/P942)+MinPoints))</f>
        <v>10</v>
      </c>
      <c r="N942" s="440">
        <f t="shared" si="7"/>
        <v>50</v>
      </c>
      <c r="O942" s="440">
        <f t="shared" si="8"/>
        <v>5</v>
      </c>
      <c r="P942" s="440">
        <f t="shared" si="9"/>
        <v>0.5</v>
      </c>
      <c r="Q942">
        <f t="array" ref="Q942">IF(I942&gt;0,INDEX(DB,I942,9),EventIndex)</f>
        <v>6</v>
      </c>
      <c r="S942" s="442">
        <f t="array" ref="S942">INDEX(MINVALUES,$Q942,$K$1)</f>
        <v>5</v>
      </c>
      <c r="T942">
        <f t="array" ref="T942">INDEX(INCVALUES,$Q942,$K$1)</f>
        <v>0.5</v>
      </c>
      <c r="V942">
        <f t="array" ref="V942">+J942+(4*(INDEX(MatchScoreTable,$Q942,20)-1))</f>
        <v>4</v>
      </c>
      <c r="W942" s="442">
        <f t="array" ref="W942">INDEX(INC_MINVALUES,$V942,$K$1)</f>
        <v>2.5</v>
      </c>
      <c r="X942" s="212">
        <f t="array" ref="X942">INDEX(INC_INCVALUES,$V942,$K$1)</f>
        <v>0.5</v>
      </c>
    </row>
    <row r="943" ht="15.75" customHeight="1">
      <c r="A943" s="435"/>
      <c r="B943" s="436"/>
      <c r="C943" s="95" t="str">
        <f t="array" ref="C943">IF(I943&gt;0,INDEX(DB,I943,8),"")</f>
        <v/>
      </c>
      <c r="D943" s="437">
        <f t="shared" si="1"/>
        <v>0</v>
      </c>
      <c r="F943" s="438">
        <f t="shared" si="2"/>
        <v>0</v>
      </c>
      <c r="G943" t="str">
        <f t="shared" si="3"/>
        <v/>
      </c>
      <c r="H943" t="b">
        <f t="shared" si="4"/>
        <v>0</v>
      </c>
      <c r="I943" s="439">
        <f>IF(OR(ISBLANK(A943),ISNA(MATCH(A943&amp;"",AthleteNumbers,0))),0,MATCH(A943&amp;"",AthleteNumbers,0))</f>
        <v>0</v>
      </c>
      <c r="J943" s="209">
        <f t="array" ref="J943">IF(I943&gt;0,INDEX(DB,$I943,6),0)</f>
        <v>0</v>
      </c>
      <c r="K943" s="446">
        <f t="shared" si="5"/>
        <v>0</v>
      </c>
      <c r="L943" s="446">
        <f t="shared" si="6"/>
        <v>0</v>
      </c>
      <c r="M943" s="441">
        <f>IF(L943&lt;O943,MinPoints,IF(AND(L943&gt;N943,O943&gt;0),100,+INT(($L943-O943)/P943)+MinPoints))</f>
        <v>10</v>
      </c>
      <c r="N943" s="440">
        <f t="shared" si="7"/>
        <v>50</v>
      </c>
      <c r="O943" s="440">
        <f t="shared" si="8"/>
        <v>5</v>
      </c>
      <c r="P943" s="440">
        <f t="shared" si="9"/>
        <v>0.5</v>
      </c>
      <c r="Q943">
        <f t="array" ref="Q943">IF(I943&gt;0,INDEX(DB,I943,9),EventIndex)</f>
        <v>6</v>
      </c>
      <c r="S943" s="442">
        <f t="array" ref="S943">INDEX(MINVALUES,$Q943,$K$1)</f>
        <v>5</v>
      </c>
      <c r="T943">
        <f t="array" ref="T943">INDEX(INCVALUES,$Q943,$K$1)</f>
        <v>0.5</v>
      </c>
      <c r="V943">
        <f t="array" ref="V943">+J943+(4*(INDEX(MatchScoreTable,$Q943,20)-1))</f>
        <v>4</v>
      </c>
      <c r="W943" s="442">
        <f t="array" ref="W943">INDEX(INC_MINVALUES,$V943,$K$1)</f>
        <v>2.5</v>
      </c>
      <c r="X943" s="212">
        <f t="array" ref="X943">INDEX(INC_INCVALUES,$V943,$K$1)</f>
        <v>0.5</v>
      </c>
    </row>
    <row r="944" ht="15.75" customHeight="1">
      <c r="A944" s="435"/>
      <c r="B944" s="436"/>
      <c r="C944" s="95" t="str">
        <f t="array" ref="C944">IF(I944&gt;0,INDEX(DB,I944,8),"")</f>
        <v/>
      </c>
      <c r="D944" s="437">
        <f t="shared" si="1"/>
        <v>0</v>
      </c>
      <c r="F944" s="438">
        <f t="shared" si="2"/>
        <v>0</v>
      </c>
      <c r="G944" t="str">
        <f t="shared" si="3"/>
        <v/>
      </c>
      <c r="H944" t="b">
        <f t="shared" si="4"/>
        <v>0</v>
      </c>
      <c r="I944" s="439">
        <f>IF(OR(ISBLANK(A944),ISNA(MATCH(A944&amp;"",AthleteNumbers,0))),0,MATCH(A944&amp;"",AthleteNumbers,0))</f>
        <v>0</v>
      </c>
      <c r="J944" s="209">
        <f t="array" ref="J944">IF(I944&gt;0,INDEX(DB,$I944,6),0)</f>
        <v>0</v>
      </c>
      <c r="K944" s="446">
        <f t="shared" si="5"/>
        <v>0</v>
      </c>
      <c r="L944" s="446">
        <f t="shared" si="6"/>
        <v>0</v>
      </c>
      <c r="M944" s="441">
        <f>IF(L944&lt;O944,MinPoints,IF(AND(L944&gt;N944,O944&gt;0),100,+INT(($L944-O944)/P944)+MinPoints))</f>
        <v>10</v>
      </c>
      <c r="N944" s="440">
        <f t="shared" si="7"/>
        <v>50</v>
      </c>
      <c r="O944" s="440">
        <f t="shared" si="8"/>
        <v>5</v>
      </c>
      <c r="P944" s="440">
        <f t="shared" si="9"/>
        <v>0.5</v>
      </c>
      <c r="Q944">
        <f t="array" ref="Q944">IF(I944&gt;0,INDEX(DB,I944,9),EventIndex)</f>
        <v>6</v>
      </c>
      <c r="S944" s="442">
        <f t="array" ref="S944">INDEX(MINVALUES,$Q944,$K$1)</f>
        <v>5</v>
      </c>
      <c r="T944">
        <f t="array" ref="T944">INDEX(INCVALUES,$Q944,$K$1)</f>
        <v>0.5</v>
      </c>
      <c r="V944">
        <f t="array" ref="V944">+J944+(4*(INDEX(MatchScoreTable,$Q944,20)-1))</f>
        <v>4</v>
      </c>
      <c r="W944" s="442">
        <f t="array" ref="W944">INDEX(INC_MINVALUES,$V944,$K$1)</f>
        <v>2.5</v>
      </c>
      <c r="X944" s="212">
        <f t="array" ref="X944">INDEX(INC_INCVALUES,$V944,$K$1)</f>
        <v>0.5</v>
      </c>
    </row>
    <row r="945" ht="15.75" customHeight="1">
      <c r="A945" s="435"/>
      <c r="B945" s="436"/>
      <c r="C945" s="95" t="str">
        <f t="array" ref="C945">IF(I945&gt;0,INDEX(DB,I945,8),"")</f>
        <v/>
      </c>
      <c r="D945" s="437">
        <f t="shared" si="1"/>
        <v>0</v>
      </c>
      <c r="F945" s="438">
        <f t="shared" si="2"/>
        <v>0</v>
      </c>
      <c r="G945" t="str">
        <f t="shared" si="3"/>
        <v/>
      </c>
      <c r="H945" t="b">
        <f t="shared" si="4"/>
        <v>0</v>
      </c>
      <c r="I945" s="439">
        <f>IF(OR(ISBLANK(A945),ISNA(MATCH(A945&amp;"",AthleteNumbers,0))),0,MATCH(A945&amp;"",AthleteNumbers,0))</f>
        <v>0</v>
      </c>
      <c r="J945" s="209">
        <f t="array" ref="J945">IF(I945&gt;0,INDEX(DB,$I945,6),0)</f>
        <v>0</v>
      </c>
      <c r="K945" s="446">
        <f t="shared" si="5"/>
        <v>0</v>
      </c>
      <c r="L945" s="446">
        <f t="shared" si="6"/>
        <v>0</v>
      </c>
      <c r="M945" s="441">
        <f>IF(L945&lt;O945,MinPoints,IF(AND(L945&gt;N945,O945&gt;0),100,+INT(($L945-O945)/P945)+MinPoints))</f>
        <v>10</v>
      </c>
      <c r="N945" s="440">
        <f t="shared" si="7"/>
        <v>50</v>
      </c>
      <c r="O945" s="440">
        <f t="shared" si="8"/>
        <v>5</v>
      </c>
      <c r="P945" s="440">
        <f t="shared" si="9"/>
        <v>0.5</v>
      </c>
      <c r="Q945">
        <f t="array" ref="Q945">IF(I945&gt;0,INDEX(DB,I945,9),EventIndex)</f>
        <v>6</v>
      </c>
      <c r="S945" s="442">
        <f t="array" ref="S945">INDEX(MINVALUES,$Q945,$K$1)</f>
        <v>5</v>
      </c>
      <c r="T945">
        <f t="array" ref="T945">INDEX(INCVALUES,$Q945,$K$1)</f>
        <v>0.5</v>
      </c>
      <c r="V945">
        <f t="array" ref="V945">+J945+(4*(INDEX(MatchScoreTable,$Q945,20)-1))</f>
        <v>4</v>
      </c>
      <c r="W945" s="442">
        <f t="array" ref="W945">INDEX(INC_MINVALUES,$V945,$K$1)</f>
        <v>2.5</v>
      </c>
      <c r="X945" s="212">
        <f t="array" ref="X945">INDEX(INC_INCVALUES,$V945,$K$1)</f>
        <v>0.5</v>
      </c>
    </row>
    <row r="946" ht="15.75" customHeight="1">
      <c r="A946" s="435"/>
      <c r="B946" s="436"/>
      <c r="C946" s="95" t="str">
        <f t="array" ref="C946">IF(I946&gt;0,INDEX(DB,I946,8),"")</f>
        <v/>
      </c>
      <c r="D946" s="437">
        <f t="shared" si="1"/>
        <v>0</v>
      </c>
      <c r="F946" s="438">
        <f t="shared" si="2"/>
        <v>0</v>
      </c>
      <c r="G946" t="str">
        <f t="shared" si="3"/>
        <v/>
      </c>
      <c r="H946" t="b">
        <f t="shared" si="4"/>
        <v>0</v>
      </c>
      <c r="I946" s="439">
        <f>IF(OR(ISBLANK(A946),ISNA(MATCH(A946&amp;"",AthleteNumbers,0))),0,MATCH(A946&amp;"",AthleteNumbers,0))</f>
        <v>0</v>
      </c>
      <c r="J946" s="209">
        <f t="array" ref="J946">IF(I946&gt;0,INDEX(DB,$I946,6),0)</f>
        <v>0</v>
      </c>
      <c r="K946" s="446">
        <f t="shared" si="5"/>
        <v>0</v>
      </c>
      <c r="L946" s="446">
        <f t="shared" si="6"/>
        <v>0</v>
      </c>
      <c r="M946" s="441">
        <f>IF(L946&lt;O946,MinPoints,IF(AND(L946&gt;N946,O946&gt;0),100,+INT(($L946-O946)/P946)+MinPoints))</f>
        <v>10</v>
      </c>
      <c r="N946" s="440">
        <f t="shared" si="7"/>
        <v>50</v>
      </c>
      <c r="O946" s="440">
        <f t="shared" si="8"/>
        <v>5</v>
      </c>
      <c r="P946" s="440">
        <f t="shared" si="9"/>
        <v>0.5</v>
      </c>
      <c r="Q946">
        <f t="array" ref="Q946">IF(I946&gt;0,INDEX(DB,I946,9),EventIndex)</f>
        <v>6</v>
      </c>
      <c r="S946" s="442">
        <f t="array" ref="S946">INDEX(MINVALUES,$Q946,$K$1)</f>
        <v>5</v>
      </c>
      <c r="T946">
        <f t="array" ref="T946">INDEX(INCVALUES,$Q946,$K$1)</f>
        <v>0.5</v>
      </c>
      <c r="V946">
        <f t="array" ref="V946">+J946+(4*(INDEX(MatchScoreTable,$Q946,20)-1))</f>
        <v>4</v>
      </c>
      <c r="W946" s="442">
        <f t="array" ref="W946">INDEX(INC_MINVALUES,$V946,$K$1)</f>
        <v>2.5</v>
      </c>
      <c r="X946" s="212">
        <f t="array" ref="X946">INDEX(INC_INCVALUES,$V946,$K$1)</f>
        <v>0.5</v>
      </c>
    </row>
    <row r="947" ht="15.75" customHeight="1">
      <c r="A947" s="435"/>
      <c r="B947" s="436"/>
      <c r="C947" s="95" t="str">
        <f t="array" ref="C947">IF(I947&gt;0,INDEX(DB,I947,8),"")</f>
        <v/>
      </c>
      <c r="D947" s="437">
        <f t="shared" si="1"/>
        <v>0</v>
      </c>
      <c r="F947" s="438">
        <f t="shared" si="2"/>
        <v>0</v>
      </c>
      <c r="G947" t="str">
        <f t="shared" si="3"/>
        <v/>
      </c>
      <c r="H947" t="b">
        <f t="shared" si="4"/>
        <v>0</v>
      </c>
      <c r="I947" s="439">
        <f>IF(OR(ISBLANK(A947),ISNA(MATCH(A947&amp;"",AthleteNumbers,0))),0,MATCH(A947&amp;"",AthleteNumbers,0))</f>
        <v>0</v>
      </c>
      <c r="J947" s="209">
        <f t="array" ref="J947">IF(I947&gt;0,INDEX(DB,$I947,6),0)</f>
        <v>0</v>
      </c>
      <c r="K947" s="446">
        <f t="shared" si="5"/>
        <v>0</v>
      </c>
      <c r="L947" s="446">
        <f t="shared" si="6"/>
        <v>0</v>
      </c>
      <c r="M947" s="441">
        <f>IF(L947&lt;O947,MinPoints,IF(AND(L947&gt;N947,O947&gt;0),100,+INT(($L947-O947)/P947)+MinPoints))</f>
        <v>10</v>
      </c>
      <c r="N947" s="440">
        <f t="shared" si="7"/>
        <v>50</v>
      </c>
      <c r="O947" s="440">
        <f t="shared" si="8"/>
        <v>5</v>
      </c>
      <c r="P947" s="440">
        <f t="shared" si="9"/>
        <v>0.5</v>
      </c>
      <c r="Q947">
        <f t="array" ref="Q947">IF(I947&gt;0,INDEX(DB,I947,9),EventIndex)</f>
        <v>6</v>
      </c>
      <c r="S947" s="442">
        <f t="array" ref="S947">INDEX(MINVALUES,$Q947,$K$1)</f>
        <v>5</v>
      </c>
      <c r="T947">
        <f t="array" ref="T947">INDEX(INCVALUES,$Q947,$K$1)</f>
        <v>0.5</v>
      </c>
      <c r="V947">
        <f t="array" ref="V947">+J947+(4*(INDEX(MatchScoreTable,$Q947,20)-1))</f>
        <v>4</v>
      </c>
      <c r="W947" s="442">
        <f t="array" ref="W947">INDEX(INC_MINVALUES,$V947,$K$1)</f>
        <v>2.5</v>
      </c>
      <c r="X947" s="212">
        <f t="array" ref="X947">INDEX(INC_INCVALUES,$V947,$K$1)</f>
        <v>0.5</v>
      </c>
    </row>
    <row r="948" ht="15.75" customHeight="1">
      <c r="A948" s="435"/>
      <c r="B948" s="436"/>
      <c r="C948" s="95" t="str">
        <f t="array" ref="C948">IF(I948&gt;0,INDEX(DB,I948,8),"")</f>
        <v/>
      </c>
      <c r="D948" s="437">
        <f t="shared" si="1"/>
        <v>0</v>
      </c>
      <c r="F948" s="438">
        <f t="shared" si="2"/>
        <v>0</v>
      </c>
      <c r="G948" t="str">
        <f t="shared" si="3"/>
        <v/>
      </c>
      <c r="H948" t="b">
        <f t="shared" si="4"/>
        <v>0</v>
      </c>
      <c r="I948" s="439">
        <f>IF(OR(ISBLANK(A948),ISNA(MATCH(A948&amp;"",AthleteNumbers,0))),0,MATCH(A948&amp;"",AthleteNumbers,0))</f>
        <v>0</v>
      </c>
      <c r="J948" s="209">
        <f t="array" ref="J948">IF(I948&gt;0,INDEX(DB,$I948,6),0)</f>
        <v>0</v>
      </c>
      <c r="K948" s="446">
        <f t="shared" si="5"/>
        <v>0</v>
      </c>
      <c r="L948" s="446">
        <f t="shared" si="6"/>
        <v>0</v>
      </c>
      <c r="M948" s="441">
        <f>IF(L948&lt;O948,MinPoints,IF(AND(L948&gt;N948,O948&gt;0),100,+INT(($L948-O948)/P948)+MinPoints))</f>
        <v>10</v>
      </c>
      <c r="N948" s="440">
        <f t="shared" si="7"/>
        <v>50</v>
      </c>
      <c r="O948" s="440">
        <f t="shared" si="8"/>
        <v>5</v>
      </c>
      <c r="P948" s="440">
        <f t="shared" si="9"/>
        <v>0.5</v>
      </c>
      <c r="Q948">
        <f t="array" ref="Q948">IF(I948&gt;0,INDEX(DB,I948,9),EventIndex)</f>
        <v>6</v>
      </c>
      <c r="S948" s="442">
        <f t="array" ref="S948">INDEX(MINVALUES,$Q948,$K$1)</f>
        <v>5</v>
      </c>
      <c r="T948">
        <f t="array" ref="T948">INDEX(INCVALUES,$Q948,$K$1)</f>
        <v>0.5</v>
      </c>
      <c r="V948">
        <f t="array" ref="V948">+J948+(4*(INDEX(MatchScoreTable,$Q948,20)-1))</f>
        <v>4</v>
      </c>
      <c r="W948" s="442">
        <f t="array" ref="W948">INDEX(INC_MINVALUES,$V948,$K$1)</f>
        <v>2.5</v>
      </c>
      <c r="X948" s="212">
        <f t="array" ref="X948">INDEX(INC_INCVALUES,$V948,$K$1)</f>
        <v>0.5</v>
      </c>
    </row>
    <row r="949" ht="15.75" customHeight="1">
      <c r="A949" s="435"/>
      <c r="B949" s="436"/>
      <c r="C949" s="95" t="str">
        <f t="array" ref="C949">IF(I949&gt;0,INDEX(DB,I949,8),"")</f>
        <v/>
      </c>
      <c r="D949" s="437">
        <f t="shared" si="1"/>
        <v>0</v>
      </c>
      <c r="F949" s="438">
        <f t="shared" si="2"/>
        <v>0</v>
      </c>
      <c r="G949" t="str">
        <f t="shared" si="3"/>
        <v/>
      </c>
      <c r="H949" t="b">
        <f t="shared" si="4"/>
        <v>0</v>
      </c>
      <c r="I949" s="439">
        <f>IF(OR(ISBLANK(A949),ISNA(MATCH(A949&amp;"",AthleteNumbers,0))),0,MATCH(A949&amp;"",AthleteNumbers,0))</f>
        <v>0</v>
      </c>
      <c r="J949" s="209">
        <f t="array" ref="J949">IF(I949&gt;0,INDEX(DB,$I949,6),0)</f>
        <v>0</v>
      </c>
      <c r="K949" s="446">
        <f t="shared" si="5"/>
        <v>0</v>
      </c>
      <c r="L949" s="446">
        <f t="shared" si="6"/>
        <v>0</v>
      </c>
      <c r="M949" s="441">
        <f>IF(L949&lt;O949,MinPoints,IF(AND(L949&gt;N949,O949&gt;0),100,+INT(($L949-O949)/P949)+MinPoints))</f>
        <v>10</v>
      </c>
      <c r="N949" s="440">
        <f t="shared" si="7"/>
        <v>50</v>
      </c>
      <c r="O949" s="440">
        <f t="shared" si="8"/>
        <v>5</v>
      </c>
      <c r="P949" s="440">
        <f t="shared" si="9"/>
        <v>0.5</v>
      </c>
      <c r="Q949">
        <f t="array" ref="Q949">IF(I949&gt;0,INDEX(DB,I949,9),EventIndex)</f>
        <v>6</v>
      </c>
      <c r="S949" s="442">
        <f t="array" ref="S949">INDEX(MINVALUES,$Q949,$K$1)</f>
        <v>5</v>
      </c>
      <c r="T949">
        <f t="array" ref="T949">INDEX(INCVALUES,$Q949,$K$1)</f>
        <v>0.5</v>
      </c>
      <c r="V949">
        <f t="array" ref="V949">+J949+(4*(INDEX(MatchScoreTable,$Q949,20)-1))</f>
        <v>4</v>
      </c>
      <c r="W949" s="442">
        <f t="array" ref="W949">INDEX(INC_MINVALUES,$V949,$K$1)</f>
        <v>2.5</v>
      </c>
      <c r="X949" s="212">
        <f t="array" ref="X949">INDEX(INC_INCVALUES,$V949,$K$1)</f>
        <v>0.5</v>
      </c>
    </row>
    <row r="950" ht="15.75" customHeight="1">
      <c r="A950" s="435"/>
      <c r="B950" s="436"/>
      <c r="C950" s="95" t="str">
        <f t="array" ref="C950">IF(I950&gt;0,INDEX(DB,I950,8),"")</f>
        <v/>
      </c>
      <c r="D950" s="437">
        <f t="shared" si="1"/>
        <v>0</v>
      </c>
      <c r="F950" s="438">
        <f t="shared" si="2"/>
        <v>0</v>
      </c>
      <c r="G950" t="str">
        <f t="shared" si="3"/>
        <v/>
      </c>
      <c r="H950" t="b">
        <f t="shared" si="4"/>
        <v>0</v>
      </c>
      <c r="I950" s="439">
        <f>IF(OR(ISBLANK(A950),ISNA(MATCH(A950&amp;"",AthleteNumbers,0))),0,MATCH(A950&amp;"",AthleteNumbers,0))</f>
        <v>0</v>
      </c>
      <c r="J950" s="209">
        <f t="array" ref="J950">IF(I950&gt;0,INDEX(DB,$I950,6),0)</f>
        <v>0</v>
      </c>
      <c r="K950" s="446">
        <f t="shared" si="5"/>
        <v>0</v>
      </c>
      <c r="L950" s="446">
        <f t="shared" si="6"/>
        <v>0</v>
      </c>
      <c r="M950" s="441">
        <f>IF(L950&lt;O950,MinPoints,IF(AND(L950&gt;N950,O950&gt;0),100,+INT(($L950-O950)/P950)+MinPoints))</f>
        <v>10</v>
      </c>
      <c r="N950" s="440">
        <f t="shared" si="7"/>
        <v>50</v>
      </c>
      <c r="O950" s="440">
        <f t="shared" si="8"/>
        <v>5</v>
      </c>
      <c r="P950" s="440">
        <f t="shared" si="9"/>
        <v>0.5</v>
      </c>
      <c r="Q950">
        <f t="array" ref="Q950">IF(I950&gt;0,INDEX(DB,I950,9),EventIndex)</f>
        <v>6</v>
      </c>
      <c r="S950" s="442">
        <f t="array" ref="S950">INDEX(MINVALUES,$Q950,$K$1)</f>
        <v>5</v>
      </c>
      <c r="T950">
        <f t="array" ref="T950">INDEX(INCVALUES,$Q950,$K$1)</f>
        <v>0.5</v>
      </c>
      <c r="V950">
        <f t="array" ref="V950">+J950+(4*(INDEX(MatchScoreTable,$Q950,20)-1))</f>
        <v>4</v>
      </c>
      <c r="W950" s="442">
        <f t="array" ref="W950">INDEX(INC_MINVALUES,$V950,$K$1)</f>
        <v>2.5</v>
      </c>
      <c r="X950" s="212">
        <f t="array" ref="X950">INDEX(INC_INCVALUES,$V950,$K$1)</f>
        <v>0.5</v>
      </c>
    </row>
    <row r="951" ht="15.75" customHeight="1">
      <c r="A951" s="435"/>
      <c r="B951" s="436"/>
      <c r="C951" s="95" t="str">
        <f t="array" ref="C951">IF(I951&gt;0,INDEX(DB,I951,8),"")</f>
        <v/>
      </c>
      <c r="D951" s="437">
        <f t="shared" si="1"/>
        <v>0</v>
      </c>
      <c r="F951" s="438">
        <f t="shared" si="2"/>
        <v>0</v>
      </c>
      <c r="G951" t="str">
        <f t="shared" si="3"/>
        <v/>
      </c>
      <c r="H951" t="b">
        <f t="shared" si="4"/>
        <v>0</v>
      </c>
      <c r="I951" s="439">
        <f>IF(OR(ISBLANK(A951),ISNA(MATCH(A951&amp;"",AthleteNumbers,0))),0,MATCH(A951&amp;"",AthleteNumbers,0))</f>
        <v>0</v>
      </c>
      <c r="J951" s="209">
        <f t="array" ref="J951">IF(I951&gt;0,INDEX(DB,$I951,6),0)</f>
        <v>0</v>
      </c>
      <c r="K951" s="446">
        <f t="shared" si="5"/>
        <v>0</v>
      </c>
      <c r="L951" s="446">
        <f t="shared" si="6"/>
        <v>0</v>
      </c>
      <c r="M951" s="441">
        <f>IF(L951&lt;O951,MinPoints,IF(AND(L951&gt;N951,O951&gt;0),100,+INT(($L951-O951)/P951)+MinPoints))</f>
        <v>10</v>
      </c>
      <c r="N951" s="440">
        <f t="shared" si="7"/>
        <v>50</v>
      </c>
      <c r="O951" s="440">
        <f t="shared" si="8"/>
        <v>5</v>
      </c>
      <c r="P951" s="440">
        <f t="shared" si="9"/>
        <v>0.5</v>
      </c>
      <c r="Q951">
        <f t="array" ref="Q951">IF(I951&gt;0,INDEX(DB,I951,9),EventIndex)</f>
        <v>6</v>
      </c>
      <c r="S951" s="442">
        <f t="array" ref="S951">INDEX(MINVALUES,$Q951,$K$1)</f>
        <v>5</v>
      </c>
      <c r="T951">
        <f t="array" ref="T951">INDEX(INCVALUES,$Q951,$K$1)</f>
        <v>0.5</v>
      </c>
      <c r="V951">
        <f t="array" ref="V951">+J951+(4*(INDEX(MatchScoreTable,$Q951,20)-1))</f>
        <v>4</v>
      </c>
      <c r="W951" s="442">
        <f t="array" ref="W951">INDEX(INC_MINVALUES,$V951,$K$1)</f>
        <v>2.5</v>
      </c>
      <c r="X951" s="212">
        <f t="array" ref="X951">INDEX(INC_INCVALUES,$V951,$K$1)</f>
        <v>0.5</v>
      </c>
    </row>
    <row r="952" ht="15.75" customHeight="1">
      <c r="A952" s="435"/>
      <c r="B952" s="436"/>
      <c r="C952" s="95" t="str">
        <f t="array" ref="C952">IF(I952&gt;0,INDEX(DB,I952,8),"")</f>
        <v/>
      </c>
      <c r="D952" s="437">
        <f t="shared" si="1"/>
        <v>0</v>
      </c>
      <c r="F952" s="438">
        <f t="shared" si="2"/>
        <v>0</v>
      </c>
      <c r="G952" t="str">
        <f t="shared" si="3"/>
        <v/>
      </c>
      <c r="H952" t="b">
        <f t="shared" si="4"/>
        <v>0</v>
      </c>
      <c r="I952" s="439">
        <f>IF(OR(ISBLANK(A952),ISNA(MATCH(A952&amp;"",AthleteNumbers,0))),0,MATCH(A952&amp;"",AthleteNumbers,0))</f>
        <v>0</v>
      </c>
      <c r="J952" s="209">
        <f t="array" ref="J952">IF(I952&gt;0,INDEX(DB,$I952,6),0)</f>
        <v>0</v>
      </c>
      <c r="K952" s="446">
        <f t="shared" si="5"/>
        <v>0</v>
      </c>
      <c r="L952" s="446">
        <f t="shared" si="6"/>
        <v>0</v>
      </c>
      <c r="M952" s="441">
        <f>IF(L952&lt;O952,MinPoints,IF(AND(L952&gt;N952,O952&gt;0),100,+INT(($L952-O952)/P952)+MinPoints))</f>
        <v>10</v>
      </c>
      <c r="N952" s="440">
        <f t="shared" si="7"/>
        <v>50</v>
      </c>
      <c r="O952" s="440">
        <f t="shared" si="8"/>
        <v>5</v>
      </c>
      <c r="P952" s="440">
        <f t="shared" si="9"/>
        <v>0.5</v>
      </c>
      <c r="Q952">
        <f t="array" ref="Q952">IF(I952&gt;0,INDEX(DB,I952,9),EventIndex)</f>
        <v>6</v>
      </c>
      <c r="S952" s="442">
        <f t="array" ref="S952">INDEX(MINVALUES,$Q952,$K$1)</f>
        <v>5</v>
      </c>
      <c r="T952">
        <f t="array" ref="T952">INDEX(INCVALUES,$Q952,$K$1)</f>
        <v>0.5</v>
      </c>
      <c r="V952">
        <f t="array" ref="V952">+J952+(4*(INDEX(MatchScoreTable,$Q952,20)-1))</f>
        <v>4</v>
      </c>
      <c r="W952" s="442">
        <f t="array" ref="W952">INDEX(INC_MINVALUES,$V952,$K$1)</f>
        <v>2.5</v>
      </c>
      <c r="X952" s="212">
        <f t="array" ref="X952">INDEX(INC_INCVALUES,$V952,$K$1)</f>
        <v>0.5</v>
      </c>
    </row>
    <row r="953" ht="15.75" customHeight="1">
      <c r="A953" s="435"/>
      <c r="B953" s="436"/>
      <c r="C953" s="95" t="str">
        <f t="array" ref="C953">IF(I953&gt;0,INDEX(DB,I953,8),"")</f>
        <v/>
      </c>
      <c r="D953" s="437">
        <f t="shared" si="1"/>
        <v>0</v>
      </c>
      <c r="F953" s="438">
        <f t="shared" si="2"/>
        <v>0</v>
      </c>
      <c r="G953" t="str">
        <f t="shared" si="3"/>
        <v/>
      </c>
      <c r="H953" t="b">
        <f t="shared" si="4"/>
        <v>0</v>
      </c>
      <c r="I953" s="439">
        <f>IF(OR(ISBLANK(A953),ISNA(MATCH(A953&amp;"",AthleteNumbers,0))),0,MATCH(A953&amp;"",AthleteNumbers,0))</f>
        <v>0</v>
      </c>
      <c r="J953" s="209">
        <f t="array" ref="J953">IF(I953&gt;0,INDEX(DB,$I953,6),0)</f>
        <v>0</v>
      </c>
      <c r="K953" s="446">
        <f t="shared" si="5"/>
        <v>0</v>
      </c>
      <c r="L953" s="446">
        <f t="shared" si="6"/>
        <v>0</v>
      </c>
      <c r="M953" s="441">
        <f>IF(L953&lt;O953,MinPoints,IF(AND(L953&gt;N953,O953&gt;0),100,+INT(($L953-O953)/P953)+MinPoints))</f>
        <v>10</v>
      </c>
      <c r="N953" s="440">
        <f t="shared" si="7"/>
        <v>50</v>
      </c>
      <c r="O953" s="440">
        <f t="shared" si="8"/>
        <v>5</v>
      </c>
      <c r="P953" s="440">
        <f t="shared" si="9"/>
        <v>0.5</v>
      </c>
      <c r="Q953">
        <f t="array" ref="Q953">IF(I953&gt;0,INDEX(DB,I953,9),EventIndex)</f>
        <v>6</v>
      </c>
      <c r="S953" s="442">
        <f t="array" ref="S953">INDEX(MINVALUES,$Q953,$K$1)</f>
        <v>5</v>
      </c>
      <c r="T953">
        <f t="array" ref="T953">INDEX(INCVALUES,$Q953,$K$1)</f>
        <v>0.5</v>
      </c>
      <c r="V953">
        <f t="array" ref="V953">+J953+(4*(INDEX(MatchScoreTable,$Q953,20)-1))</f>
        <v>4</v>
      </c>
      <c r="W953" s="442">
        <f t="array" ref="W953">INDEX(INC_MINVALUES,$V953,$K$1)</f>
        <v>2.5</v>
      </c>
      <c r="X953" s="212">
        <f t="array" ref="X953">INDEX(INC_INCVALUES,$V953,$K$1)</f>
        <v>0.5</v>
      </c>
    </row>
    <row r="954" ht="15.75" customHeight="1">
      <c r="A954" s="435"/>
      <c r="B954" s="436"/>
      <c r="C954" s="95" t="str">
        <f t="array" ref="C954">IF(I954&gt;0,INDEX(DB,I954,8),"")</f>
        <v/>
      </c>
      <c r="D954" s="437">
        <f t="shared" si="1"/>
        <v>0</v>
      </c>
      <c r="F954" s="438">
        <f t="shared" si="2"/>
        <v>0</v>
      </c>
      <c r="G954" t="str">
        <f t="shared" si="3"/>
        <v/>
      </c>
      <c r="H954" t="b">
        <f t="shared" si="4"/>
        <v>0</v>
      </c>
      <c r="I954" s="439">
        <f>IF(OR(ISBLANK(A954),ISNA(MATCH(A954&amp;"",AthleteNumbers,0))),0,MATCH(A954&amp;"",AthleteNumbers,0))</f>
        <v>0</v>
      </c>
      <c r="J954" s="209">
        <f t="array" ref="J954">IF(I954&gt;0,INDEX(DB,$I954,6),0)</f>
        <v>0</v>
      </c>
      <c r="K954" s="446">
        <f t="shared" si="5"/>
        <v>0</v>
      </c>
      <c r="L954" s="446">
        <f t="shared" si="6"/>
        <v>0</v>
      </c>
      <c r="M954" s="441">
        <f>IF(L954&lt;O954,MinPoints,IF(AND(L954&gt;N954,O954&gt;0),100,+INT(($L954-O954)/P954)+MinPoints))</f>
        <v>10</v>
      </c>
      <c r="N954" s="440">
        <f t="shared" si="7"/>
        <v>50</v>
      </c>
      <c r="O954" s="440">
        <f t="shared" si="8"/>
        <v>5</v>
      </c>
      <c r="P954" s="440">
        <f t="shared" si="9"/>
        <v>0.5</v>
      </c>
      <c r="Q954">
        <f t="array" ref="Q954">IF(I954&gt;0,INDEX(DB,I954,9),EventIndex)</f>
        <v>6</v>
      </c>
      <c r="S954" s="442">
        <f t="array" ref="S954">INDEX(MINVALUES,$Q954,$K$1)</f>
        <v>5</v>
      </c>
      <c r="T954">
        <f t="array" ref="T954">INDEX(INCVALUES,$Q954,$K$1)</f>
        <v>0.5</v>
      </c>
      <c r="V954">
        <f t="array" ref="V954">+J954+(4*(INDEX(MatchScoreTable,$Q954,20)-1))</f>
        <v>4</v>
      </c>
      <c r="W954" s="442">
        <f t="array" ref="W954">INDEX(INC_MINVALUES,$V954,$K$1)</f>
        <v>2.5</v>
      </c>
      <c r="X954" s="212">
        <f t="array" ref="X954">INDEX(INC_INCVALUES,$V954,$K$1)</f>
        <v>0.5</v>
      </c>
    </row>
    <row r="955" ht="15.75" customHeight="1">
      <c r="A955" s="435"/>
      <c r="B955" s="436"/>
      <c r="C955" s="95" t="str">
        <f t="array" ref="C955">IF(I955&gt;0,INDEX(DB,I955,8),"")</f>
        <v/>
      </c>
      <c r="D955" s="437">
        <f t="shared" si="1"/>
        <v>0</v>
      </c>
      <c r="F955" s="438">
        <f t="shared" si="2"/>
        <v>0</v>
      </c>
      <c r="G955" t="str">
        <f t="shared" si="3"/>
        <v/>
      </c>
      <c r="H955" t="b">
        <f t="shared" si="4"/>
        <v>0</v>
      </c>
      <c r="I955" s="439">
        <f>IF(OR(ISBLANK(A955),ISNA(MATCH(A955&amp;"",AthleteNumbers,0))),0,MATCH(A955&amp;"",AthleteNumbers,0))</f>
        <v>0</v>
      </c>
      <c r="J955" s="209">
        <f t="array" ref="J955">IF(I955&gt;0,INDEX(DB,$I955,6),0)</f>
        <v>0</v>
      </c>
      <c r="K955" s="446">
        <f t="shared" si="5"/>
        <v>0</v>
      </c>
      <c r="L955" s="446">
        <f t="shared" si="6"/>
        <v>0</v>
      </c>
      <c r="M955" s="441">
        <f>IF(L955&lt;O955,MinPoints,IF(AND(L955&gt;N955,O955&gt;0),100,+INT(($L955-O955)/P955)+MinPoints))</f>
        <v>10</v>
      </c>
      <c r="N955" s="440">
        <f t="shared" si="7"/>
        <v>50</v>
      </c>
      <c r="O955" s="440">
        <f t="shared" si="8"/>
        <v>5</v>
      </c>
      <c r="P955" s="440">
        <f t="shared" si="9"/>
        <v>0.5</v>
      </c>
      <c r="Q955">
        <f t="array" ref="Q955">IF(I955&gt;0,INDEX(DB,I955,9),EventIndex)</f>
        <v>6</v>
      </c>
      <c r="S955" s="442">
        <f t="array" ref="S955">INDEX(MINVALUES,$Q955,$K$1)</f>
        <v>5</v>
      </c>
      <c r="T955">
        <f t="array" ref="T955">INDEX(INCVALUES,$Q955,$K$1)</f>
        <v>0.5</v>
      </c>
      <c r="V955">
        <f t="array" ref="V955">+J955+(4*(INDEX(MatchScoreTable,$Q955,20)-1))</f>
        <v>4</v>
      </c>
      <c r="W955" s="442">
        <f t="array" ref="W955">INDEX(INC_MINVALUES,$V955,$K$1)</f>
        <v>2.5</v>
      </c>
      <c r="X955" s="212">
        <f t="array" ref="X955">INDEX(INC_INCVALUES,$V955,$K$1)</f>
        <v>0.5</v>
      </c>
    </row>
    <row r="956" ht="15.75" customHeight="1">
      <c r="A956" s="435"/>
      <c r="B956" s="436"/>
      <c r="C956" s="95" t="str">
        <f t="array" ref="C956">IF(I956&gt;0,INDEX(DB,I956,8),"")</f>
        <v/>
      </c>
      <c r="D956" s="437">
        <f t="shared" si="1"/>
        <v>0</v>
      </c>
      <c r="F956" s="438">
        <f t="shared" si="2"/>
        <v>0</v>
      </c>
      <c r="G956" t="str">
        <f t="shared" si="3"/>
        <v/>
      </c>
      <c r="H956" t="b">
        <f t="shared" si="4"/>
        <v>0</v>
      </c>
      <c r="I956" s="439">
        <f>IF(OR(ISBLANK(A956),ISNA(MATCH(A956&amp;"",AthleteNumbers,0))),0,MATCH(A956&amp;"",AthleteNumbers,0))</f>
        <v>0</v>
      </c>
      <c r="J956" s="209">
        <f t="array" ref="J956">IF(I956&gt;0,INDEX(DB,$I956,6),0)</f>
        <v>0</v>
      </c>
      <c r="K956" s="446">
        <f t="shared" si="5"/>
        <v>0</v>
      </c>
      <c r="L956" s="446">
        <f t="shared" si="6"/>
        <v>0</v>
      </c>
      <c r="M956" s="441">
        <f>IF(L956&lt;O956,MinPoints,IF(AND(L956&gt;N956,O956&gt;0),100,+INT(($L956-O956)/P956)+MinPoints))</f>
        <v>10</v>
      </c>
      <c r="N956" s="440">
        <f t="shared" si="7"/>
        <v>50</v>
      </c>
      <c r="O956" s="440">
        <f t="shared" si="8"/>
        <v>5</v>
      </c>
      <c r="P956" s="440">
        <f t="shared" si="9"/>
        <v>0.5</v>
      </c>
      <c r="Q956">
        <f t="array" ref="Q956">IF(I956&gt;0,INDEX(DB,I956,9),EventIndex)</f>
        <v>6</v>
      </c>
      <c r="S956" s="442">
        <f t="array" ref="S956">INDEX(MINVALUES,$Q956,$K$1)</f>
        <v>5</v>
      </c>
      <c r="T956">
        <f t="array" ref="T956">INDEX(INCVALUES,$Q956,$K$1)</f>
        <v>0.5</v>
      </c>
      <c r="V956">
        <f t="array" ref="V956">+J956+(4*(INDEX(MatchScoreTable,$Q956,20)-1))</f>
        <v>4</v>
      </c>
      <c r="W956" s="442">
        <f t="array" ref="W956">INDEX(INC_MINVALUES,$V956,$K$1)</f>
        <v>2.5</v>
      </c>
      <c r="X956" s="212">
        <f t="array" ref="X956">INDEX(INC_INCVALUES,$V956,$K$1)</f>
        <v>0.5</v>
      </c>
    </row>
    <row r="957" ht="15.75" customHeight="1">
      <c r="A957" s="435"/>
      <c r="B957" s="436"/>
      <c r="C957" s="95" t="str">
        <f t="array" ref="C957">IF(I957&gt;0,INDEX(DB,I957,8),"")</f>
        <v/>
      </c>
      <c r="D957" s="437">
        <f t="shared" si="1"/>
        <v>0</v>
      </c>
      <c r="F957" s="438">
        <f t="shared" si="2"/>
        <v>0</v>
      </c>
      <c r="G957" t="str">
        <f t="shared" si="3"/>
        <v/>
      </c>
      <c r="H957" t="b">
        <f t="shared" si="4"/>
        <v>0</v>
      </c>
      <c r="I957" s="439">
        <f>IF(OR(ISBLANK(A957),ISNA(MATCH(A957&amp;"",AthleteNumbers,0))),0,MATCH(A957&amp;"",AthleteNumbers,0))</f>
        <v>0</v>
      </c>
      <c r="J957" s="209">
        <f t="array" ref="J957">IF(I957&gt;0,INDEX(DB,$I957,6),0)</f>
        <v>0</v>
      </c>
      <c r="K957" s="446">
        <f t="shared" si="5"/>
        <v>0</v>
      </c>
      <c r="L957" s="446">
        <f t="shared" si="6"/>
        <v>0</v>
      </c>
      <c r="M957" s="441">
        <f>IF(L957&lt;O957,MinPoints,IF(AND(L957&gt;N957,O957&gt;0),100,+INT(($L957-O957)/P957)+MinPoints))</f>
        <v>10</v>
      </c>
      <c r="N957" s="440">
        <f t="shared" si="7"/>
        <v>50</v>
      </c>
      <c r="O957" s="440">
        <f t="shared" si="8"/>
        <v>5</v>
      </c>
      <c r="P957" s="440">
        <f t="shared" si="9"/>
        <v>0.5</v>
      </c>
      <c r="Q957">
        <f t="array" ref="Q957">IF(I957&gt;0,INDEX(DB,I957,9),EventIndex)</f>
        <v>6</v>
      </c>
      <c r="S957" s="442">
        <f t="array" ref="S957">INDEX(MINVALUES,$Q957,$K$1)</f>
        <v>5</v>
      </c>
      <c r="T957">
        <f t="array" ref="T957">INDEX(INCVALUES,$Q957,$K$1)</f>
        <v>0.5</v>
      </c>
      <c r="V957">
        <f t="array" ref="V957">+J957+(4*(INDEX(MatchScoreTable,$Q957,20)-1))</f>
        <v>4</v>
      </c>
      <c r="W957" s="442">
        <f t="array" ref="W957">INDEX(INC_MINVALUES,$V957,$K$1)</f>
        <v>2.5</v>
      </c>
      <c r="X957" s="212">
        <f t="array" ref="X957">INDEX(INC_INCVALUES,$V957,$K$1)</f>
        <v>0.5</v>
      </c>
    </row>
    <row r="958" ht="15.75" customHeight="1">
      <c r="A958" s="435"/>
      <c r="B958" s="436"/>
      <c r="C958" s="95" t="str">
        <f t="array" ref="C958">IF(I958&gt;0,INDEX(DB,I958,8),"")</f>
        <v/>
      </c>
      <c r="D958" s="437">
        <f t="shared" si="1"/>
        <v>0</v>
      </c>
      <c r="F958" s="438">
        <f t="shared" si="2"/>
        <v>0</v>
      </c>
      <c r="G958" t="str">
        <f t="shared" si="3"/>
        <v/>
      </c>
      <c r="H958" t="b">
        <f t="shared" si="4"/>
        <v>0</v>
      </c>
      <c r="I958" s="439">
        <f>IF(OR(ISBLANK(A958),ISNA(MATCH(A958&amp;"",AthleteNumbers,0))),0,MATCH(A958&amp;"",AthleteNumbers,0))</f>
        <v>0</v>
      </c>
      <c r="J958" s="209">
        <f t="array" ref="J958">IF(I958&gt;0,INDEX(DB,$I958,6),0)</f>
        <v>0</v>
      </c>
      <c r="K958" s="446">
        <f t="shared" si="5"/>
        <v>0</v>
      </c>
      <c r="L958" s="446">
        <f t="shared" si="6"/>
        <v>0</v>
      </c>
      <c r="M958" s="441">
        <f>IF(L958&lt;O958,MinPoints,IF(AND(L958&gt;N958,O958&gt;0),100,+INT(($L958-O958)/P958)+MinPoints))</f>
        <v>10</v>
      </c>
      <c r="N958" s="440">
        <f t="shared" si="7"/>
        <v>50</v>
      </c>
      <c r="O958" s="440">
        <f t="shared" si="8"/>
        <v>5</v>
      </c>
      <c r="P958" s="440">
        <f t="shared" si="9"/>
        <v>0.5</v>
      </c>
      <c r="Q958">
        <f t="array" ref="Q958">IF(I958&gt;0,INDEX(DB,I958,9),EventIndex)</f>
        <v>6</v>
      </c>
      <c r="S958" s="442">
        <f t="array" ref="S958">INDEX(MINVALUES,$Q958,$K$1)</f>
        <v>5</v>
      </c>
      <c r="T958">
        <f t="array" ref="T958">INDEX(INCVALUES,$Q958,$K$1)</f>
        <v>0.5</v>
      </c>
      <c r="V958">
        <f t="array" ref="V958">+J958+(4*(INDEX(MatchScoreTable,$Q958,20)-1))</f>
        <v>4</v>
      </c>
      <c r="W958" s="442">
        <f t="array" ref="W958">INDEX(INC_MINVALUES,$V958,$K$1)</f>
        <v>2.5</v>
      </c>
      <c r="X958" s="212">
        <f t="array" ref="X958">INDEX(INC_INCVALUES,$V958,$K$1)</f>
        <v>0.5</v>
      </c>
    </row>
    <row r="959" ht="15.75" customHeight="1">
      <c r="A959" s="435"/>
      <c r="B959" s="436"/>
      <c r="C959" s="95" t="str">
        <f t="array" ref="C959">IF(I959&gt;0,INDEX(DB,I959,8),"")</f>
        <v/>
      </c>
      <c r="D959" s="437">
        <f t="shared" si="1"/>
        <v>0</v>
      </c>
      <c r="F959" s="438">
        <f t="shared" si="2"/>
        <v>0</v>
      </c>
      <c r="G959" t="str">
        <f t="shared" si="3"/>
        <v/>
      </c>
      <c r="H959" t="b">
        <f t="shared" si="4"/>
        <v>0</v>
      </c>
      <c r="I959" s="439">
        <f>IF(OR(ISBLANK(A959),ISNA(MATCH(A959&amp;"",AthleteNumbers,0))),0,MATCH(A959&amp;"",AthleteNumbers,0))</f>
        <v>0</v>
      </c>
      <c r="J959" s="209">
        <f t="array" ref="J959">IF(I959&gt;0,INDEX(DB,$I959,6),0)</f>
        <v>0</v>
      </c>
      <c r="K959" s="446">
        <f t="shared" si="5"/>
        <v>0</v>
      </c>
      <c r="L959" s="446">
        <f t="shared" si="6"/>
        <v>0</v>
      </c>
      <c r="M959" s="441">
        <f>IF(L959&lt;O959,MinPoints,IF(AND(L959&gt;N959,O959&gt;0),100,+INT(($L959-O959)/P959)+MinPoints))</f>
        <v>10</v>
      </c>
      <c r="N959" s="440">
        <f t="shared" si="7"/>
        <v>50</v>
      </c>
      <c r="O959" s="440">
        <f t="shared" si="8"/>
        <v>5</v>
      </c>
      <c r="P959" s="440">
        <f t="shared" si="9"/>
        <v>0.5</v>
      </c>
      <c r="Q959">
        <f t="array" ref="Q959">IF(I959&gt;0,INDEX(DB,I959,9),EventIndex)</f>
        <v>6</v>
      </c>
      <c r="S959" s="442">
        <f t="array" ref="S959">INDEX(MINVALUES,$Q959,$K$1)</f>
        <v>5</v>
      </c>
      <c r="T959">
        <f t="array" ref="T959">INDEX(INCVALUES,$Q959,$K$1)</f>
        <v>0.5</v>
      </c>
      <c r="V959">
        <f t="array" ref="V959">+J959+(4*(INDEX(MatchScoreTable,$Q959,20)-1))</f>
        <v>4</v>
      </c>
      <c r="W959" s="442">
        <f t="array" ref="W959">INDEX(INC_MINVALUES,$V959,$K$1)</f>
        <v>2.5</v>
      </c>
      <c r="X959" s="212">
        <f t="array" ref="X959">INDEX(INC_INCVALUES,$V959,$K$1)</f>
        <v>0.5</v>
      </c>
    </row>
    <row r="960" ht="15.75" customHeight="1">
      <c r="A960" s="435"/>
      <c r="B960" s="436"/>
      <c r="C960" s="95" t="str">
        <f t="array" ref="C960">IF(I960&gt;0,INDEX(DB,I960,8),"")</f>
        <v/>
      </c>
      <c r="D960" s="437">
        <f t="shared" si="1"/>
        <v>0</v>
      </c>
      <c r="F960" s="438">
        <f t="shared" si="2"/>
        <v>0</v>
      </c>
      <c r="G960" t="str">
        <f t="shared" si="3"/>
        <v/>
      </c>
      <c r="H960" t="b">
        <f t="shared" si="4"/>
        <v>0</v>
      </c>
      <c r="I960" s="439">
        <f>IF(OR(ISBLANK(A960),ISNA(MATCH(A960&amp;"",AthleteNumbers,0))),0,MATCH(A960&amp;"",AthleteNumbers,0))</f>
        <v>0</v>
      </c>
      <c r="J960" s="209">
        <f t="array" ref="J960">IF(I960&gt;0,INDEX(DB,$I960,6),0)</f>
        <v>0</v>
      </c>
      <c r="K960" s="446">
        <f t="shared" si="5"/>
        <v>0</v>
      </c>
      <c r="L960" s="446">
        <f t="shared" si="6"/>
        <v>0</v>
      </c>
      <c r="M960" s="441">
        <f>IF(L960&lt;O960,MinPoints,IF(AND(L960&gt;N960,O960&gt;0),100,+INT(($L960-O960)/P960)+MinPoints))</f>
        <v>10</v>
      </c>
      <c r="N960" s="440">
        <f t="shared" si="7"/>
        <v>50</v>
      </c>
      <c r="O960" s="440">
        <f t="shared" si="8"/>
        <v>5</v>
      </c>
      <c r="P960" s="440">
        <f t="shared" si="9"/>
        <v>0.5</v>
      </c>
      <c r="Q960">
        <f t="array" ref="Q960">IF(I960&gt;0,INDEX(DB,I960,9),EventIndex)</f>
        <v>6</v>
      </c>
      <c r="S960" s="442">
        <f t="array" ref="S960">INDEX(MINVALUES,$Q960,$K$1)</f>
        <v>5</v>
      </c>
      <c r="T960">
        <f t="array" ref="T960">INDEX(INCVALUES,$Q960,$K$1)</f>
        <v>0.5</v>
      </c>
      <c r="V960">
        <f t="array" ref="V960">+J960+(4*(INDEX(MatchScoreTable,$Q960,20)-1))</f>
        <v>4</v>
      </c>
      <c r="W960" s="442">
        <f t="array" ref="W960">INDEX(INC_MINVALUES,$V960,$K$1)</f>
        <v>2.5</v>
      </c>
      <c r="X960" s="212">
        <f t="array" ref="X960">INDEX(INC_INCVALUES,$V960,$K$1)</f>
        <v>0.5</v>
      </c>
    </row>
    <row r="961" ht="15.75" customHeight="1">
      <c r="A961" s="435"/>
      <c r="B961" s="436"/>
      <c r="C961" s="95" t="str">
        <f t="array" ref="C961">IF(I961&gt;0,INDEX(DB,I961,8),"")</f>
        <v/>
      </c>
      <c r="D961" s="437">
        <f t="shared" si="1"/>
        <v>0</v>
      </c>
      <c r="F961" s="438">
        <f t="shared" si="2"/>
        <v>0</v>
      </c>
      <c r="G961" t="str">
        <f t="shared" si="3"/>
        <v/>
      </c>
      <c r="H961" t="b">
        <f t="shared" si="4"/>
        <v>0</v>
      </c>
      <c r="I961" s="439">
        <f>IF(OR(ISBLANK(A961),ISNA(MATCH(A961&amp;"",AthleteNumbers,0))),0,MATCH(A961&amp;"",AthleteNumbers,0))</f>
        <v>0</v>
      </c>
      <c r="J961" s="209">
        <f t="array" ref="J961">IF(I961&gt;0,INDEX(DB,$I961,6),0)</f>
        <v>0</v>
      </c>
      <c r="K961" s="446">
        <f t="shared" si="5"/>
        <v>0</v>
      </c>
      <c r="L961" s="446">
        <f t="shared" si="6"/>
        <v>0</v>
      </c>
      <c r="M961" s="441">
        <f>IF(L961&lt;O961,MinPoints,IF(AND(L961&gt;N961,O961&gt;0),100,+INT(($L961-O961)/P961)+MinPoints))</f>
        <v>10</v>
      </c>
      <c r="N961" s="440">
        <f t="shared" si="7"/>
        <v>50</v>
      </c>
      <c r="O961" s="440">
        <f t="shared" si="8"/>
        <v>5</v>
      </c>
      <c r="P961" s="440">
        <f t="shared" si="9"/>
        <v>0.5</v>
      </c>
      <c r="Q961">
        <f t="array" ref="Q961">IF(I961&gt;0,INDEX(DB,I961,9),EventIndex)</f>
        <v>6</v>
      </c>
      <c r="S961" s="442">
        <f t="array" ref="S961">INDEX(MINVALUES,$Q961,$K$1)</f>
        <v>5</v>
      </c>
      <c r="T961">
        <f t="array" ref="T961">INDEX(INCVALUES,$Q961,$K$1)</f>
        <v>0.5</v>
      </c>
      <c r="V961">
        <f t="array" ref="V961">+J961+(4*(INDEX(MatchScoreTable,$Q961,20)-1))</f>
        <v>4</v>
      </c>
      <c r="W961" s="442">
        <f t="array" ref="W961">INDEX(INC_MINVALUES,$V961,$K$1)</f>
        <v>2.5</v>
      </c>
      <c r="X961" s="212">
        <f t="array" ref="X961">INDEX(INC_INCVALUES,$V961,$K$1)</f>
        <v>0.5</v>
      </c>
    </row>
    <row r="962" ht="15.75" customHeight="1">
      <c r="A962" s="435"/>
      <c r="B962" s="436"/>
      <c r="C962" s="95" t="str">
        <f t="array" ref="C962">IF(I962&gt;0,INDEX(DB,I962,8),"")</f>
        <v/>
      </c>
      <c r="D962" s="437">
        <f t="shared" si="1"/>
        <v>0</v>
      </c>
      <c r="F962" s="438">
        <f t="shared" si="2"/>
        <v>0</v>
      </c>
      <c r="G962" t="str">
        <f t="shared" si="3"/>
        <v/>
      </c>
      <c r="H962" t="b">
        <f t="shared" si="4"/>
        <v>0</v>
      </c>
      <c r="I962" s="439">
        <f>IF(OR(ISBLANK(A962),ISNA(MATCH(A962&amp;"",AthleteNumbers,0))),0,MATCH(A962&amp;"",AthleteNumbers,0))</f>
        <v>0</v>
      </c>
      <c r="J962" s="209">
        <f t="array" ref="J962">IF(I962&gt;0,INDEX(DB,$I962,6),0)</f>
        <v>0</v>
      </c>
      <c r="K962" s="446">
        <f t="shared" si="5"/>
        <v>0</v>
      </c>
      <c r="L962" s="446">
        <f t="shared" si="6"/>
        <v>0</v>
      </c>
      <c r="M962" s="441">
        <f>IF(L962&lt;O962,MinPoints,IF(AND(L962&gt;N962,O962&gt;0),100,+INT(($L962-O962)/P962)+MinPoints))</f>
        <v>10</v>
      </c>
      <c r="N962" s="440">
        <f t="shared" si="7"/>
        <v>50</v>
      </c>
      <c r="O962" s="440">
        <f t="shared" si="8"/>
        <v>5</v>
      </c>
      <c r="P962" s="440">
        <f t="shared" si="9"/>
        <v>0.5</v>
      </c>
      <c r="Q962">
        <f t="array" ref="Q962">IF(I962&gt;0,INDEX(DB,I962,9),EventIndex)</f>
        <v>6</v>
      </c>
      <c r="S962" s="442">
        <f t="array" ref="S962">INDEX(MINVALUES,$Q962,$K$1)</f>
        <v>5</v>
      </c>
      <c r="T962">
        <f t="array" ref="T962">INDEX(INCVALUES,$Q962,$K$1)</f>
        <v>0.5</v>
      </c>
      <c r="V962">
        <f t="array" ref="V962">+J962+(4*(INDEX(MatchScoreTable,$Q962,20)-1))</f>
        <v>4</v>
      </c>
      <c r="W962" s="442">
        <f t="array" ref="W962">INDEX(INC_MINVALUES,$V962,$K$1)</f>
        <v>2.5</v>
      </c>
      <c r="X962" s="212">
        <f t="array" ref="X962">INDEX(INC_INCVALUES,$V962,$K$1)</f>
        <v>0.5</v>
      </c>
    </row>
    <row r="963" ht="15.75" customHeight="1">
      <c r="A963" s="435"/>
      <c r="B963" s="436"/>
      <c r="C963" s="95" t="str">
        <f t="array" ref="C963">IF(I963&gt;0,INDEX(DB,I963,8),"")</f>
        <v/>
      </c>
      <c r="D963" s="437">
        <f t="shared" si="1"/>
        <v>0</v>
      </c>
      <c r="F963" s="438">
        <f t="shared" si="2"/>
        <v>0</v>
      </c>
      <c r="G963" t="str">
        <f t="shared" si="3"/>
        <v/>
      </c>
      <c r="H963" t="b">
        <f t="shared" si="4"/>
        <v>0</v>
      </c>
      <c r="I963" s="439">
        <f>IF(OR(ISBLANK(A963),ISNA(MATCH(A963&amp;"",AthleteNumbers,0))),0,MATCH(A963&amp;"",AthleteNumbers,0))</f>
        <v>0</v>
      </c>
      <c r="J963" s="209">
        <f t="array" ref="J963">IF(I963&gt;0,INDEX(DB,$I963,6),0)</f>
        <v>0</v>
      </c>
      <c r="K963" s="446">
        <f t="shared" si="5"/>
        <v>0</v>
      </c>
      <c r="L963" s="446">
        <f t="shared" si="6"/>
        <v>0</v>
      </c>
      <c r="M963" s="441">
        <f>IF(L963&lt;O963,MinPoints,IF(AND(L963&gt;N963,O963&gt;0),100,+INT(($L963-O963)/P963)+MinPoints))</f>
        <v>10</v>
      </c>
      <c r="N963" s="440">
        <f t="shared" si="7"/>
        <v>50</v>
      </c>
      <c r="O963" s="440">
        <f t="shared" si="8"/>
        <v>5</v>
      </c>
      <c r="P963" s="440">
        <f t="shared" si="9"/>
        <v>0.5</v>
      </c>
      <c r="Q963">
        <f t="array" ref="Q963">IF(I963&gt;0,INDEX(DB,I963,9),EventIndex)</f>
        <v>6</v>
      </c>
      <c r="S963" s="442">
        <f t="array" ref="S963">INDEX(MINVALUES,$Q963,$K$1)</f>
        <v>5</v>
      </c>
      <c r="T963">
        <f t="array" ref="T963">INDEX(INCVALUES,$Q963,$K$1)</f>
        <v>0.5</v>
      </c>
      <c r="V963">
        <f t="array" ref="V963">+J963+(4*(INDEX(MatchScoreTable,$Q963,20)-1))</f>
        <v>4</v>
      </c>
      <c r="W963" s="442">
        <f t="array" ref="W963">INDEX(INC_MINVALUES,$V963,$K$1)</f>
        <v>2.5</v>
      </c>
      <c r="X963" s="212">
        <f t="array" ref="X963">INDEX(INC_INCVALUES,$V963,$K$1)</f>
        <v>0.5</v>
      </c>
    </row>
    <row r="964" ht="15.75" customHeight="1">
      <c r="A964" s="435"/>
      <c r="B964" s="436"/>
      <c r="C964" s="95" t="str">
        <f t="array" ref="C964">IF(I964&gt;0,INDEX(DB,I964,8),"")</f>
        <v/>
      </c>
      <c r="D964" s="437">
        <f t="shared" si="1"/>
        <v>0</v>
      </c>
      <c r="F964" s="438">
        <f t="shared" si="2"/>
        <v>0</v>
      </c>
      <c r="G964" t="str">
        <f t="shared" si="3"/>
        <v/>
      </c>
      <c r="H964" t="b">
        <f t="shared" si="4"/>
        <v>0</v>
      </c>
      <c r="I964" s="439">
        <f>IF(OR(ISBLANK(A964),ISNA(MATCH(A964&amp;"",AthleteNumbers,0))),0,MATCH(A964&amp;"",AthleteNumbers,0))</f>
        <v>0</v>
      </c>
      <c r="J964" s="209">
        <f t="array" ref="J964">IF(I964&gt;0,INDEX(DB,$I964,6),0)</f>
        <v>0</v>
      </c>
      <c r="K964" s="446">
        <f t="shared" si="5"/>
        <v>0</v>
      </c>
      <c r="L964" s="446">
        <f t="shared" si="6"/>
        <v>0</v>
      </c>
      <c r="M964" s="441">
        <f>IF(L964&lt;O964,MinPoints,IF(AND(L964&gt;N964,O964&gt;0),100,+INT(($L964-O964)/P964)+MinPoints))</f>
        <v>10</v>
      </c>
      <c r="N964" s="440">
        <f t="shared" si="7"/>
        <v>50</v>
      </c>
      <c r="O964" s="440">
        <f t="shared" si="8"/>
        <v>5</v>
      </c>
      <c r="P964" s="440">
        <f t="shared" si="9"/>
        <v>0.5</v>
      </c>
      <c r="Q964">
        <f t="array" ref="Q964">IF(I964&gt;0,INDEX(DB,I964,9),EventIndex)</f>
        <v>6</v>
      </c>
      <c r="S964" s="442">
        <f t="array" ref="S964">INDEX(MINVALUES,$Q964,$K$1)</f>
        <v>5</v>
      </c>
      <c r="T964">
        <f t="array" ref="T964">INDEX(INCVALUES,$Q964,$K$1)</f>
        <v>0.5</v>
      </c>
      <c r="V964">
        <f t="array" ref="V964">+J964+(4*(INDEX(MatchScoreTable,$Q964,20)-1))</f>
        <v>4</v>
      </c>
      <c r="W964" s="442">
        <f t="array" ref="W964">INDEX(INC_MINVALUES,$V964,$K$1)</f>
        <v>2.5</v>
      </c>
      <c r="X964" s="212">
        <f t="array" ref="X964">INDEX(INC_INCVALUES,$V964,$K$1)</f>
        <v>0.5</v>
      </c>
    </row>
    <row r="965" ht="15.75" customHeight="1">
      <c r="A965" s="435"/>
      <c r="B965" s="436"/>
      <c r="C965" s="95" t="str">
        <f t="array" ref="C965">IF(I965&gt;0,INDEX(DB,I965,8),"")</f>
        <v/>
      </c>
      <c r="D965" s="437">
        <f t="shared" si="1"/>
        <v>0</v>
      </c>
      <c r="F965" s="438">
        <f t="shared" si="2"/>
        <v>0</v>
      </c>
      <c r="G965" t="str">
        <f t="shared" si="3"/>
        <v/>
      </c>
      <c r="H965" t="b">
        <f t="shared" si="4"/>
        <v>0</v>
      </c>
      <c r="I965" s="439">
        <f>IF(OR(ISBLANK(A965),ISNA(MATCH(A965&amp;"",AthleteNumbers,0))),0,MATCH(A965&amp;"",AthleteNumbers,0))</f>
        <v>0</v>
      </c>
      <c r="J965" s="209">
        <f t="array" ref="J965">IF(I965&gt;0,INDEX(DB,$I965,6),0)</f>
        <v>0</v>
      </c>
      <c r="K965" s="446">
        <f t="shared" si="5"/>
        <v>0</v>
      </c>
      <c r="L965" s="446">
        <f t="shared" si="6"/>
        <v>0</v>
      </c>
      <c r="M965" s="441">
        <f>IF(L965&lt;O965,MinPoints,IF(AND(L965&gt;N965,O965&gt;0),100,+INT(($L965-O965)/P965)+MinPoints))</f>
        <v>10</v>
      </c>
      <c r="N965" s="440">
        <f t="shared" si="7"/>
        <v>50</v>
      </c>
      <c r="O965" s="440">
        <f t="shared" si="8"/>
        <v>5</v>
      </c>
      <c r="P965" s="440">
        <f t="shared" si="9"/>
        <v>0.5</v>
      </c>
      <c r="Q965">
        <f t="array" ref="Q965">IF(I965&gt;0,INDEX(DB,I965,9),EventIndex)</f>
        <v>6</v>
      </c>
      <c r="S965" s="442">
        <f t="array" ref="S965">INDEX(MINVALUES,$Q965,$K$1)</f>
        <v>5</v>
      </c>
      <c r="T965">
        <f t="array" ref="T965">INDEX(INCVALUES,$Q965,$K$1)</f>
        <v>0.5</v>
      </c>
      <c r="V965">
        <f t="array" ref="V965">+J965+(4*(INDEX(MatchScoreTable,$Q965,20)-1))</f>
        <v>4</v>
      </c>
      <c r="W965" s="442">
        <f t="array" ref="W965">INDEX(INC_MINVALUES,$V965,$K$1)</f>
        <v>2.5</v>
      </c>
      <c r="X965" s="212">
        <f t="array" ref="X965">INDEX(INC_INCVALUES,$V965,$K$1)</f>
        <v>0.5</v>
      </c>
    </row>
    <row r="966" ht="15.75" customHeight="1">
      <c r="A966" s="435"/>
      <c r="B966" s="436"/>
      <c r="C966" s="95" t="str">
        <f t="array" ref="C966">IF(I966&gt;0,INDEX(DB,I966,8),"")</f>
        <v/>
      </c>
      <c r="D966" s="437">
        <f t="shared" si="1"/>
        <v>0</v>
      </c>
      <c r="F966" s="438">
        <f t="shared" si="2"/>
        <v>0</v>
      </c>
      <c r="G966" t="str">
        <f t="shared" si="3"/>
        <v/>
      </c>
      <c r="H966" t="b">
        <f t="shared" si="4"/>
        <v>0</v>
      </c>
      <c r="I966" s="439">
        <f>IF(OR(ISBLANK(A966),ISNA(MATCH(A966&amp;"",AthleteNumbers,0))),0,MATCH(A966&amp;"",AthleteNumbers,0))</f>
        <v>0</v>
      </c>
      <c r="J966" s="209">
        <f t="array" ref="J966">IF(I966&gt;0,INDEX(DB,$I966,6),0)</f>
        <v>0</v>
      </c>
      <c r="K966" s="446">
        <f t="shared" si="5"/>
        <v>0</v>
      </c>
      <c r="L966" s="446">
        <f t="shared" si="6"/>
        <v>0</v>
      </c>
      <c r="M966" s="441">
        <f>IF(L966&lt;O966,MinPoints,IF(AND(L966&gt;N966,O966&gt;0),100,+INT(($L966-O966)/P966)+MinPoints))</f>
        <v>10</v>
      </c>
      <c r="N966" s="440">
        <f t="shared" si="7"/>
        <v>50</v>
      </c>
      <c r="O966" s="440">
        <f t="shared" si="8"/>
        <v>5</v>
      </c>
      <c r="P966" s="440">
        <f t="shared" si="9"/>
        <v>0.5</v>
      </c>
      <c r="Q966">
        <f t="array" ref="Q966">IF(I966&gt;0,INDEX(DB,I966,9),EventIndex)</f>
        <v>6</v>
      </c>
      <c r="S966" s="442">
        <f t="array" ref="S966">INDEX(MINVALUES,$Q966,$K$1)</f>
        <v>5</v>
      </c>
      <c r="T966">
        <f t="array" ref="T966">INDEX(INCVALUES,$Q966,$K$1)</f>
        <v>0.5</v>
      </c>
      <c r="V966">
        <f t="array" ref="V966">+J966+(4*(INDEX(MatchScoreTable,$Q966,20)-1))</f>
        <v>4</v>
      </c>
      <c r="W966" s="442">
        <f t="array" ref="W966">INDEX(INC_MINVALUES,$V966,$K$1)</f>
        <v>2.5</v>
      </c>
      <c r="X966" s="212">
        <f t="array" ref="X966">INDEX(INC_INCVALUES,$V966,$K$1)</f>
        <v>0.5</v>
      </c>
    </row>
    <row r="967" ht="15.75" customHeight="1">
      <c r="A967" s="435"/>
      <c r="B967" s="436"/>
      <c r="C967" s="95" t="str">
        <f t="array" ref="C967">IF(I967&gt;0,INDEX(DB,I967,8),"")</f>
        <v/>
      </c>
      <c r="D967" s="437">
        <f t="shared" si="1"/>
        <v>0</v>
      </c>
      <c r="F967" s="438">
        <f t="shared" si="2"/>
        <v>0</v>
      </c>
      <c r="G967" t="str">
        <f t="shared" si="3"/>
        <v/>
      </c>
      <c r="H967" t="b">
        <f t="shared" si="4"/>
        <v>0</v>
      </c>
      <c r="I967" s="439">
        <f>IF(OR(ISBLANK(A967),ISNA(MATCH(A967&amp;"",AthleteNumbers,0))),0,MATCH(A967&amp;"",AthleteNumbers,0))</f>
        <v>0</v>
      </c>
      <c r="J967" s="209">
        <f t="array" ref="J967">IF(I967&gt;0,INDEX(DB,$I967,6),0)</f>
        <v>0</v>
      </c>
      <c r="K967" s="446">
        <f t="shared" si="5"/>
        <v>0</v>
      </c>
      <c r="L967" s="446">
        <f t="shared" si="6"/>
        <v>0</v>
      </c>
      <c r="M967" s="441">
        <f>IF(L967&lt;O967,MinPoints,IF(AND(L967&gt;N967,O967&gt;0),100,+INT(($L967-O967)/P967)+MinPoints))</f>
        <v>10</v>
      </c>
      <c r="N967" s="440">
        <f t="shared" si="7"/>
        <v>50</v>
      </c>
      <c r="O967" s="440">
        <f t="shared" si="8"/>
        <v>5</v>
      </c>
      <c r="P967" s="440">
        <f t="shared" si="9"/>
        <v>0.5</v>
      </c>
      <c r="Q967">
        <f t="array" ref="Q967">IF(I967&gt;0,INDEX(DB,I967,9),EventIndex)</f>
        <v>6</v>
      </c>
      <c r="S967" s="442">
        <f t="array" ref="S967">INDEX(MINVALUES,$Q967,$K$1)</f>
        <v>5</v>
      </c>
      <c r="T967">
        <f t="array" ref="T967">INDEX(INCVALUES,$Q967,$K$1)</f>
        <v>0.5</v>
      </c>
      <c r="V967">
        <f t="array" ref="V967">+J967+(4*(INDEX(MatchScoreTable,$Q967,20)-1))</f>
        <v>4</v>
      </c>
      <c r="W967" s="442">
        <f t="array" ref="W967">INDEX(INC_MINVALUES,$V967,$K$1)</f>
        <v>2.5</v>
      </c>
      <c r="X967" s="212">
        <f t="array" ref="X967">INDEX(INC_INCVALUES,$V967,$K$1)</f>
        <v>0.5</v>
      </c>
    </row>
    <row r="968" ht="15.75" customHeight="1">
      <c r="A968" s="435"/>
      <c r="B968" s="436"/>
      <c r="C968" s="95" t="str">
        <f t="array" ref="C968">IF(I968&gt;0,INDEX(DB,I968,8),"")</f>
        <v/>
      </c>
      <c r="D968" s="437">
        <f t="shared" si="1"/>
        <v>0</v>
      </c>
      <c r="F968" s="438">
        <f t="shared" si="2"/>
        <v>0</v>
      </c>
      <c r="G968" t="str">
        <f t="shared" si="3"/>
        <v/>
      </c>
      <c r="H968" t="b">
        <f t="shared" si="4"/>
        <v>0</v>
      </c>
      <c r="I968" s="439">
        <f>IF(OR(ISBLANK(A968),ISNA(MATCH(A968&amp;"",AthleteNumbers,0))),0,MATCH(A968&amp;"",AthleteNumbers,0))</f>
        <v>0</v>
      </c>
      <c r="J968" s="209">
        <f t="array" ref="J968">IF(I968&gt;0,INDEX(DB,$I968,6),0)</f>
        <v>0</v>
      </c>
      <c r="K968" s="446">
        <f t="shared" si="5"/>
        <v>0</v>
      </c>
      <c r="L968" s="446">
        <f t="shared" si="6"/>
        <v>0</v>
      </c>
      <c r="M968" s="441">
        <f>IF(L968&lt;O968,MinPoints,IF(AND(L968&gt;N968,O968&gt;0),100,+INT(($L968-O968)/P968)+MinPoints))</f>
        <v>10</v>
      </c>
      <c r="N968" s="440">
        <f t="shared" si="7"/>
        <v>50</v>
      </c>
      <c r="O968" s="440">
        <f t="shared" si="8"/>
        <v>5</v>
      </c>
      <c r="P968" s="440">
        <f t="shared" si="9"/>
        <v>0.5</v>
      </c>
      <c r="Q968">
        <f t="array" ref="Q968">IF(I968&gt;0,INDEX(DB,I968,9),EventIndex)</f>
        <v>6</v>
      </c>
      <c r="S968" s="442">
        <f t="array" ref="S968">INDEX(MINVALUES,$Q968,$K$1)</f>
        <v>5</v>
      </c>
      <c r="T968">
        <f t="array" ref="T968">INDEX(INCVALUES,$Q968,$K$1)</f>
        <v>0.5</v>
      </c>
      <c r="V968">
        <f t="array" ref="V968">+J968+(4*(INDEX(MatchScoreTable,$Q968,20)-1))</f>
        <v>4</v>
      </c>
      <c r="W968" s="442">
        <f t="array" ref="W968">INDEX(INC_MINVALUES,$V968,$K$1)</f>
        <v>2.5</v>
      </c>
      <c r="X968" s="212">
        <f t="array" ref="X968">INDEX(INC_INCVALUES,$V968,$K$1)</f>
        <v>0.5</v>
      </c>
    </row>
    <row r="969" ht="15.75" customHeight="1">
      <c r="A969" s="435"/>
      <c r="B969" s="436"/>
      <c r="C969" s="95" t="str">
        <f t="array" ref="C969">IF(I969&gt;0,INDEX(DB,I969,8),"")</f>
        <v/>
      </c>
      <c r="D969" s="437">
        <f t="shared" si="1"/>
        <v>0</v>
      </c>
      <c r="F969" s="438">
        <f t="shared" si="2"/>
        <v>0</v>
      </c>
      <c r="G969" t="str">
        <f t="shared" si="3"/>
        <v/>
      </c>
      <c r="H969" t="b">
        <f t="shared" si="4"/>
        <v>0</v>
      </c>
      <c r="I969" s="439">
        <f>IF(OR(ISBLANK(A969),ISNA(MATCH(A969&amp;"",AthleteNumbers,0))),0,MATCH(A969&amp;"",AthleteNumbers,0))</f>
        <v>0</v>
      </c>
      <c r="J969" s="209">
        <f t="array" ref="J969">IF(I969&gt;0,INDEX(DB,$I969,6),0)</f>
        <v>0</v>
      </c>
      <c r="K969" s="446">
        <f t="shared" si="5"/>
        <v>0</v>
      </c>
      <c r="L969" s="446">
        <f t="shared" si="6"/>
        <v>0</v>
      </c>
      <c r="M969" s="441">
        <f>IF(L969&lt;O969,MinPoints,IF(AND(L969&gt;N969,O969&gt;0),100,+INT(($L969-O969)/P969)+MinPoints))</f>
        <v>10</v>
      </c>
      <c r="N969" s="440">
        <f t="shared" si="7"/>
        <v>50</v>
      </c>
      <c r="O969" s="440">
        <f t="shared" si="8"/>
        <v>5</v>
      </c>
      <c r="P969" s="440">
        <f t="shared" si="9"/>
        <v>0.5</v>
      </c>
      <c r="Q969">
        <f t="array" ref="Q969">IF(I969&gt;0,INDEX(DB,I969,9),EventIndex)</f>
        <v>6</v>
      </c>
      <c r="S969" s="442">
        <f t="array" ref="S969">INDEX(MINVALUES,$Q969,$K$1)</f>
        <v>5</v>
      </c>
      <c r="T969">
        <f t="array" ref="T969">INDEX(INCVALUES,$Q969,$K$1)</f>
        <v>0.5</v>
      </c>
      <c r="V969">
        <f t="array" ref="V969">+J969+(4*(INDEX(MatchScoreTable,$Q969,20)-1))</f>
        <v>4</v>
      </c>
      <c r="W969" s="442">
        <f t="array" ref="W969">INDEX(INC_MINVALUES,$V969,$K$1)</f>
        <v>2.5</v>
      </c>
      <c r="X969" s="212">
        <f t="array" ref="X969">INDEX(INC_INCVALUES,$V969,$K$1)</f>
        <v>0.5</v>
      </c>
    </row>
    <row r="970" ht="15.75" customHeight="1">
      <c r="A970" s="435"/>
      <c r="B970" s="436"/>
      <c r="C970" s="95" t="str">
        <f t="array" ref="C970">IF(I970&gt;0,INDEX(DB,I970,8),"")</f>
        <v/>
      </c>
      <c r="D970" s="437">
        <f t="shared" si="1"/>
        <v>0</v>
      </c>
      <c r="F970" s="438">
        <f t="shared" si="2"/>
        <v>0</v>
      </c>
      <c r="G970" t="str">
        <f t="shared" si="3"/>
        <v/>
      </c>
      <c r="H970" t="b">
        <f t="shared" si="4"/>
        <v>0</v>
      </c>
      <c r="I970" s="439">
        <f>IF(OR(ISBLANK(A970),ISNA(MATCH(A970&amp;"",AthleteNumbers,0))),0,MATCH(A970&amp;"",AthleteNumbers,0))</f>
        <v>0</v>
      </c>
      <c r="J970" s="209">
        <f t="array" ref="J970">IF(I970&gt;0,INDEX(DB,$I970,6),0)</f>
        <v>0</v>
      </c>
      <c r="K970" s="446">
        <f t="shared" si="5"/>
        <v>0</v>
      </c>
      <c r="L970" s="446">
        <f t="shared" si="6"/>
        <v>0</v>
      </c>
      <c r="M970" s="441">
        <f>IF(L970&lt;O970,MinPoints,IF(AND(L970&gt;N970,O970&gt;0),100,+INT(($L970-O970)/P970)+MinPoints))</f>
        <v>10</v>
      </c>
      <c r="N970" s="440">
        <f t="shared" si="7"/>
        <v>50</v>
      </c>
      <c r="O970" s="440">
        <f t="shared" si="8"/>
        <v>5</v>
      </c>
      <c r="P970" s="440">
        <f t="shared" si="9"/>
        <v>0.5</v>
      </c>
      <c r="Q970">
        <f t="array" ref="Q970">IF(I970&gt;0,INDEX(DB,I970,9),EventIndex)</f>
        <v>6</v>
      </c>
      <c r="S970" s="442">
        <f t="array" ref="S970">INDEX(MINVALUES,$Q970,$K$1)</f>
        <v>5</v>
      </c>
      <c r="T970">
        <f t="array" ref="T970">INDEX(INCVALUES,$Q970,$K$1)</f>
        <v>0.5</v>
      </c>
      <c r="V970">
        <f t="array" ref="V970">+J970+(4*(INDEX(MatchScoreTable,$Q970,20)-1))</f>
        <v>4</v>
      </c>
      <c r="W970" s="442">
        <f t="array" ref="W970">INDEX(INC_MINVALUES,$V970,$K$1)</f>
        <v>2.5</v>
      </c>
      <c r="X970" s="212">
        <f t="array" ref="X970">INDEX(INC_INCVALUES,$V970,$K$1)</f>
        <v>0.5</v>
      </c>
    </row>
    <row r="971" ht="15.75" customHeight="1">
      <c r="A971" s="435"/>
      <c r="B971" s="436"/>
      <c r="C971" s="95" t="str">
        <f t="array" ref="C971">IF(I971&gt;0,INDEX(DB,I971,8),"")</f>
        <v/>
      </c>
      <c r="D971" s="437">
        <f t="shared" si="1"/>
        <v>0</v>
      </c>
      <c r="F971" s="438">
        <f t="shared" si="2"/>
        <v>0</v>
      </c>
      <c r="G971" t="str">
        <f t="shared" si="3"/>
        <v/>
      </c>
      <c r="H971" t="b">
        <f t="shared" si="4"/>
        <v>0</v>
      </c>
      <c r="I971" s="439">
        <f>IF(OR(ISBLANK(A971),ISNA(MATCH(A971&amp;"",AthleteNumbers,0))),0,MATCH(A971&amp;"",AthleteNumbers,0))</f>
        <v>0</v>
      </c>
      <c r="J971" s="209">
        <f t="array" ref="J971">IF(I971&gt;0,INDEX(DB,$I971,6),0)</f>
        <v>0</v>
      </c>
      <c r="K971" s="446">
        <f t="shared" si="5"/>
        <v>0</v>
      </c>
      <c r="L971" s="446">
        <f t="shared" si="6"/>
        <v>0</v>
      </c>
      <c r="M971" s="441">
        <f>IF(L971&lt;O971,MinPoints,IF(AND(L971&gt;N971,O971&gt;0),100,+INT(($L971-O971)/P971)+MinPoints))</f>
        <v>10</v>
      </c>
      <c r="N971" s="440">
        <f t="shared" si="7"/>
        <v>50</v>
      </c>
      <c r="O971" s="440">
        <f t="shared" si="8"/>
        <v>5</v>
      </c>
      <c r="P971" s="440">
        <f t="shared" si="9"/>
        <v>0.5</v>
      </c>
      <c r="Q971">
        <f t="array" ref="Q971">IF(I971&gt;0,INDEX(DB,I971,9),EventIndex)</f>
        <v>6</v>
      </c>
      <c r="S971" s="442">
        <f t="array" ref="S971">INDEX(MINVALUES,$Q971,$K$1)</f>
        <v>5</v>
      </c>
      <c r="T971">
        <f t="array" ref="T971">INDEX(INCVALUES,$Q971,$K$1)</f>
        <v>0.5</v>
      </c>
      <c r="V971">
        <f t="array" ref="V971">+J971+(4*(INDEX(MatchScoreTable,$Q971,20)-1))</f>
        <v>4</v>
      </c>
      <c r="W971" s="442">
        <f t="array" ref="W971">INDEX(INC_MINVALUES,$V971,$K$1)</f>
        <v>2.5</v>
      </c>
      <c r="X971" s="212">
        <f t="array" ref="X971">INDEX(INC_INCVALUES,$V971,$K$1)</f>
        <v>0.5</v>
      </c>
    </row>
    <row r="972" ht="15.75" customHeight="1">
      <c r="A972" s="435"/>
      <c r="B972" s="436"/>
      <c r="C972" s="95" t="str">
        <f t="array" ref="C972">IF(I972&gt;0,INDEX(DB,I972,8),"")</f>
        <v/>
      </c>
      <c r="D972" s="437">
        <f t="shared" si="1"/>
        <v>0</v>
      </c>
      <c r="F972" s="438">
        <f t="shared" si="2"/>
        <v>0</v>
      </c>
      <c r="G972" t="str">
        <f t="shared" si="3"/>
        <v/>
      </c>
      <c r="H972" t="b">
        <f t="shared" si="4"/>
        <v>0</v>
      </c>
      <c r="I972" s="439">
        <f>IF(OR(ISBLANK(A972),ISNA(MATCH(A972&amp;"",AthleteNumbers,0))),0,MATCH(A972&amp;"",AthleteNumbers,0))</f>
        <v>0</v>
      </c>
      <c r="J972" s="209">
        <f t="array" ref="J972">IF(I972&gt;0,INDEX(DB,$I972,6),0)</f>
        <v>0</v>
      </c>
      <c r="K972" s="446">
        <f t="shared" si="5"/>
        <v>0</v>
      </c>
      <c r="L972" s="446">
        <f t="shared" si="6"/>
        <v>0</v>
      </c>
      <c r="M972" s="441">
        <f>IF(L972&lt;O972,MinPoints,IF(AND(L972&gt;N972,O972&gt;0),100,+INT(($L972-O972)/P972)+MinPoints))</f>
        <v>10</v>
      </c>
      <c r="N972" s="440">
        <f t="shared" si="7"/>
        <v>50</v>
      </c>
      <c r="O972" s="440">
        <f t="shared" si="8"/>
        <v>5</v>
      </c>
      <c r="P972" s="440">
        <f t="shared" si="9"/>
        <v>0.5</v>
      </c>
      <c r="Q972">
        <f t="array" ref="Q972">IF(I972&gt;0,INDEX(DB,I972,9),EventIndex)</f>
        <v>6</v>
      </c>
      <c r="S972" s="442">
        <f t="array" ref="S972">INDEX(MINVALUES,$Q972,$K$1)</f>
        <v>5</v>
      </c>
      <c r="T972">
        <f t="array" ref="T972">INDEX(INCVALUES,$Q972,$K$1)</f>
        <v>0.5</v>
      </c>
      <c r="V972">
        <f t="array" ref="V972">+J972+(4*(INDEX(MatchScoreTable,$Q972,20)-1))</f>
        <v>4</v>
      </c>
      <c r="W972" s="442">
        <f t="array" ref="W972">INDEX(INC_MINVALUES,$V972,$K$1)</f>
        <v>2.5</v>
      </c>
      <c r="X972" s="212">
        <f t="array" ref="X972">INDEX(INC_INCVALUES,$V972,$K$1)</f>
        <v>0.5</v>
      </c>
    </row>
    <row r="973" ht="15.75" customHeight="1">
      <c r="A973" s="435"/>
      <c r="B973" s="436"/>
      <c r="C973" s="95" t="str">
        <f t="array" ref="C973">IF(I973&gt;0,INDEX(DB,I973,8),"")</f>
        <v/>
      </c>
      <c r="D973" s="437">
        <f t="shared" si="1"/>
        <v>0</v>
      </c>
      <c r="F973" s="438">
        <f t="shared" si="2"/>
        <v>0</v>
      </c>
      <c r="G973" t="str">
        <f t="shared" si="3"/>
        <v/>
      </c>
      <c r="H973" t="b">
        <f t="shared" si="4"/>
        <v>0</v>
      </c>
      <c r="I973" s="439">
        <f>IF(OR(ISBLANK(A973),ISNA(MATCH(A973&amp;"",AthleteNumbers,0))),0,MATCH(A973&amp;"",AthleteNumbers,0))</f>
        <v>0</v>
      </c>
      <c r="J973" s="209">
        <f t="array" ref="J973">IF(I973&gt;0,INDEX(DB,$I973,6),0)</f>
        <v>0</v>
      </c>
      <c r="K973" s="446">
        <f t="shared" si="5"/>
        <v>0</v>
      </c>
      <c r="L973" s="446">
        <f t="shared" si="6"/>
        <v>0</v>
      </c>
      <c r="M973" s="441">
        <f>IF(L973&lt;O973,MinPoints,IF(AND(L973&gt;N973,O973&gt;0),100,+INT(($L973-O973)/P973)+MinPoints))</f>
        <v>10</v>
      </c>
      <c r="N973" s="440">
        <f t="shared" si="7"/>
        <v>50</v>
      </c>
      <c r="O973" s="440">
        <f t="shared" si="8"/>
        <v>5</v>
      </c>
      <c r="P973" s="440">
        <f t="shared" si="9"/>
        <v>0.5</v>
      </c>
      <c r="Q973">
        <f t="array" ref="Q973">IF(I973&gt;0,INDEX(DB,I973,9),EventIndex)</f>
        <v>6</v>
      </c>
      <c r="S973" s="442">
        <f t="array" ref="S973">INDEX(MINVALUES,$Q973,$K$1)</f>
        <v>5</v>
      </c>
      <c r="T973">
        <f t="array" ref="T973">INDEX(INCVALUES,$Q973,$K$1)</f>
        <v>0.5</v>
      </c>
      <c r="V973">
        <f t="array" ref="V973">+J973+(4*(INDEX(MatchScoreTable,$Q973,20)-1))</f>
        <v>4</v>
      </c>
      <c r="W973" s="442">
        <f t="array" ref="W973">INDEX(INC_MINVALUES,$V973,$K$1)</f>
        <v>2.5</v>
      </c>
      <c r="X973" s="212">
        <f t="array" ref="X973">INDEX(INC_INCVALUES,$V973,$K$1)</f>
        <v>0.5</v>
      </c>
    </row>
    <row r="974" ht="15.75" customHeight="1">
      <c r="A974" s="435"/>
      <c r="B974" s="436"/>
      <c r="C974" s="95" t="str">
        <f t="array" ref="C974">IF(I974&gt;0,INDEX(DB,I974,8),"")</f>
        <v/>
      </c>
      <c r="D974" s="437">
        <f t="shared" si="1"/>
        <v>0</v>
      </c>
      <c r="F974" s="438">
        <f t="shared" si="2"/>
        <v>0</v>
      </c>
      <c r="G974" t="str">
        <f t="shared" si="3"/>
        <v/>
      </c>
      <c r="H974" t="b">
        <f t="shared" si="4"/>
        <v>0</v>
      </c>
      <c r="I974" s="439">
        <f>IF(OR(ISBLANK(A974),ISNA(MATCH(A974&amp;"",AthleteNumbers,0))),0,MATCH(A974&amp;"",AthleteNumbers,0))</f>
        <v>0</v>
      </c>
      <c r="J974" s="209">
        <f t="array" ref="J974">IF(I974&gt;0,INDEX(DB,$I974,6),0)</f>
        <v>0</v>
      </c>
      <c r="K974" s="446">
        <f t="shared" si="5"/>
        <v>0</v>
      </c>
      <c r="L974" s="446">
        <f t="shared" si="6"/>
        <v>0</v>
      </c>
      <c r="M974" s="441">
        <f>IF(L974&lt;O974,MinPoints,IF(AND(L974&gt;N974,O974&gt;0),100,+INT(($L974-O974)/P974)+MinPoints))</f>
        <v>10</v>
      </c>
      <c r="N974" s="440">
        <f t="shared" si="7"/>
        <v>50</v>
      </c>
      <c r="O974" s="440">
        <f t="shared" si="8"/>
        <v>5</v>
      </c>
      <c r="P974" s="440">
        <f t="shared" si="9"/>
        <v>0.5</v>
      </c>
      <c r="Q974">
        <f t="array" ref="Q974">IF(I974&gt;0,INDEX(DB,I974,9),EventIndex)</f>
        <v>6</v>
      </c>
      <c r="S974" s="442">
        <f t="array" ref="S974">INDEX(MINVALUES,$Q974,$K$1)</f>
        <v>5</v>
      </c>
      <c r="T974">
        <f t="array" ref="T974">INDEX(INCVALUES,$Q974,$K$1)</f>
        <v>0.5</v>
      </c>
      <c r="V974">
        <f t="array" ref="V974">+J974+(4*(INDEX(MatchScoreTable,$Q974,20)-1))</f>
        <v>4</v>
      </c>
      <c r="W974" s="442">
        <f t="array" ref="W974">INDEX(INC_MINVALUES,$V974,$K$1)</f>
        <v>2.5</v>
      </c>
      <c r="X974" s="212">
        <f t="array" ref="X974">INDEX(INC_INCVALUES,$V974,$K$1)</f>
        <v>0.5</v>
      </c>
    </row>
    <row r="975" ht="15.75" customHeight="1">
      <c r="A975" s="435"/>
      <c r="B975" s="436"/>
      <c r="C975" s="95" t="str">
        <f t="array" ref="C975">IF(I975&gt;0,INDEX(DB,I975,8),"")</f>
        <v/>
      </c>
      <c r="D975" s="437">
        <f t="shared" si="1"/>
        <v>0</v>
      </c>
      <c r="F975" s="438">
        <f t="shared" si="2"/>
        <v>0</v>
      </c>
      <c r="G975" t="str">
        <f t="shared" si="3"/>
        <v/>
      </c>
      <c r="H975" t="b">
        <f t="shared" si="4"/>
        <v>0</v>
      </c>
      <c r="I975" s="439">
        <f>IF(OR(ISBLANK(A975),ISNA(MATCH(A975&amp;"",AthleteNumbers,0))),0,MATCH(A975&amp;"",AthleteNumbers,0))</f>
        <v>0</v>
      </c>
      <c r="J975" s="209">
        <f t="array" ref="J975">IF(I975&gt;0,INDEX(DB,$I975,6),0)</f>
        <v>0</v>
      </c>
      <c r="K975" s="446">
        <f t="shared" si="5"/>
        <v>0</v>
      </c>
      <c r="L975" s="446">
        <f t="shared" si="6"/>
        <v>0</v>
      </c>
      <c r="M975" s="441">
        <f>IF(L975&lt;O975,MinPoints,IF(AND(L975&gt;N975,O975&gt;0),100,+INT(($L975-O975)/P975)+MinPoints))</f>
        <v>10</v>
      </c>
      <c r="N975" s="440">
        <f t="shared" si="7"/>
        <v>50</v>
      </c>
      <c r="O975" s="440">
        <f t="shared" si="8"/>
        <v>5</v>
      </c>
      <c r="P975" s="440">
        <f t="shared" si="9"/>
        <v>0.5</v>
      </c>
      <c r="Q975">
        <f t="array" ref="Q975">IF(I975&gt;0,INDEX(DB,I975,9),EventIndex)</f>
        <v>6</v>
      </c>
      <c r="S975" s="442">
        <f t="array" ref="S975">INDEX(MINVALUES,$Q975,$K$1)</f>
        <v>5</v>
      </c>
      <c r="T975">
        <f t="array" ref="T975">INDEX(INCVALUES,$Q975,$K$1)</f>
        <v>0.5</v>
      </c>
      <c r="V975">
        <f t="array" ref="V975">+J975+(4*(INDEX(MatchScoreTable,$Q975,20)-1))</f>
        <v>4</v>
      </c>
      <c r="W975" s="442">
        <f t="array" ref="W975">INDEX(INC_MINVALUES,$V975,$K$1)</f>
        <v>2.5</v>
      </c>
      <c r="X975" s="212">
        <f t="array" ref="X975">INDEX(INC_INCVALUES,$V975,$K$1)</f>
        <v>0.5</v>
      </c>
    </row>
    <row r="976" ht="15.75" customHeight="1">
      <c r="A976" s="435"/>
      <c r="B976" s="436"/>
      <c r="C976" s="95" t="str">
        <f t="array" ref="C976">IF(I976&gt;0,INDEX(DB,I976,8),"")</f>
        <v/>
      </c>
      <c r="D976" s="437">
        <f t="shared" si="1"/>
        <v>0</v>
      </c>
      <c r="F976" s="438">
        <f t="shared" si="2"/>
        <v>0</v>
      </c>
      <c r="G976" t="str">
        <f t="shared" si="3"/>
        <v/>
      </c>
      <c r="H976" t="b">
        <f t="shared" si="4"/>
        <v>0</v>
      </c>
      <c r="I976" s="439">
        <f>IF(OR(ISBLANK(A976),ISNA(MATCH(A976&amp;"",AthleteNumbers,0))),0,MATCH(A976&amp;"",AthleteNumbers,0))</f>
        <v>0</v>
      </c>
      <c r="J976" s="209">
        <f t="array" ref="J976">IF(I976&gt;0,INDEX(DB,$I976,6),0)</f>
        <v>0</v>
      </c>
      <c r="K976" s="446">
        <f t="shared" si="5"/>
        <v>0</v>
      </c>
      <c r="L976" s="446">
        <f t="shared" si="6"/>
        <v>0</v>
      </c>
      <c r="M976" s="441">
        <f>IF(L976&lt;O976,MinPoints,IF(AND(L976&gt;N976,O976&gt;0),100,+INT(($L976-O976)/P976)+MinPoints))</f>
        <v>10</v>
      </c>
      <c r="N976" s="440">
        <f t="shared" si="7"/>
        <v>50</v>
      </c>
      <c r="O976" s="440">
        <f t="shared" si="8"/>
        <v>5</v>
      </c>
      <c r="P976" s="440">
        <f t="shared" si="9"/>
        <v>0.5</v>
      </c>
      <c r="Q976">
        <f t="array" ref="Q976">IF(I976&gt;0,INDEX(DB,I976,9),EventIndex)</f>
        <v>6</v>
      </c>
      <c r="S976" s="442">
        <f t="array" ref="S976">INDEX(MINVALUES,$Q976,$K$1)</f>
        <v>5</v>
      </c>
      <c r="T976">
        <f t="array" ref="T976">INDEX(INCVALUES,$Q976,$K$1)</f>
        <v>0.5</v>
      </c>
      <c r="V976">
        <f t="array" ref="V976">+J976+(4*(INDEX(MatchScoreTable,$Q976,20)-1))</f>
        <v>4</v>
      </c>
      <c r="W976" s="442">
        <f t="array" ref="W976">INDEX(INC_MINVALUES,$V976,$K$1)</f>
        <v>2.5</v>
      </c>
      <c r="X976" s="212">
        <f t="array" ref="X976">INDEX(INC_INCVALUES,$V976,$K$1)</f>
        <v>0.5</v>
      </c>
    </row>
    <row r="977" ht="15.75" customHeight="1">
      <c r="A977" s="435"/>
      <c r="B977" s="436"/>
      <c r="C977" s="95" t="str">
        <f t="array" ref="C977">IF(I977&gt;0,INDEX(DB,I977,8),"")</f>
        <v/>
      </c>
      <c r="D977" s="437">
        <f t="shared" si="1"/>
        <v>0</v>
      </c>
      <c r="F977" s="438">
        <f t="shared" si="2"/>
        <v>0</v>
      </c>
      <c r="G977" t="str">
        <f t="shared" si="3"/>
        <v/>
      </c>
      <c r="H977" t="b">
        <f t="shared" si="4"/>
        <v>0</v>
      </c>
      <c r="I977" s="439">
        <f>IF(OR(ISBLANK(A977),ISNA(MATCH(A977&amp;"",AthleteNumbers,0))),0,MATCH(A977&amp;"",AthleteNumbers,0))</f>
        <v>0</v>
      </c>
      <c r="J977" s="209">
        <f t="array" ref="J977">IF(I977&gt;0,INDEX(DB,$I977,6),0)</f>
        <v>0</v>
      </c>
      <c r="K977" s="446">
        <f t="shared" si="5"/>
        <v>0</v>
      </c>
      <c r="L977" s="446">
        <f t="shared" si="6"/>
        <v>0</v>
      </c>
      <c r="M977" s="441">
        <f>IF(L977&lt;O977,MinPoints,IF(AND(L977&gt;N977,O977&gt;0),100,+INT(($L977-O977)/P977)+MinPoints))</f>
        <v>10</v>
      </c>
      <c r="N977" s="440">
        <f t="shared" si="7"/>
        <v>50</v>
      </c>
      <c r="O977" s="440">
        <f t="shared" si="8"/>
        <v>5</v>
      </c>
      <c r="P977" s="440">
        <f t="shared" si="9"/>
        <v>0.5</v>
      </c>
      <c r="Q977">
        <f t="array" ref="Q977">IF(I977&gt;0,INDEX(DB,I977,9),EventIndex)</f>
        <v>6</v>
      </c>
      <c r="S977" s="442">
        <f t="array" ref="S977">INDEX(MINVALUES,$Q977,$K$1)</f>
        <v>5</v>
      </c>
      <c r="T977">
        <f t="array" ref="T977">INDEX(INCVALUES,$Q977,$K$1)</f>
        <v>0.5</v>
      </c>
      <c r="V977">
        <f t="array" ref="V977">+J977+(4*(INDEX(MatchScoreTable,$Q977,20)-1))</f>
        <v>4</v>
      </c>
      <c r="W977" s="442">
        <f t="array" ref="W977">INDEX(INC_MINVALUES,$V977,$K$1)</f>
        <v>2.5</v>
      </c>
      <c r="X977" s="212">
        <f t="array" ref="X977">INDEX(INC_INCVALUES,$V977,$K$1)</f>
        <v>0.5</v>
      </c>
    </row>
    <row r="978" ht="15.75" customHeight="1">
      <c r="A978" s="435"/>
      <c r="B978" s="436"/>
      <c r="C978" s="95" t="str">
        <f t="array" ref="C978">IF(I978&gt;0,INDEX(DB,I978,8),"")</f>
        <v/>
      </c>
      <c r="D978" s="437">
        <f t="shared" si="1"/>
        <v>0</v>
      </c>
      <c r="F978" s="438">
        <f t="shared" si="2"/>
        <v>0</v>
      </c>
      <c r="G978" t="str">
        <f t="shared" si="3"/>
        <v/>
      </c>
      <c r="H978" t="b">
        <f t="shared" si="4"/>
        <v>0</v>
      </c>
      <c r="I978" s="439">
        <f>IF(OR(ISBLANK(A978),ISNA(MATCH(A978&amp;"",AthleteNumbers,0))),0,MATCH(A978&amp;"",AthleteNumbers,0))</f>
        <v>0</v>
      </c>
      <c r="J978" s="209">
        <f t="array" ref="J978">IF(I978&gt;0,INDEX(DB,$I978,6),0)</f>
        <v>0</v>
      </c>
      <c r="K978" s="446">
        <f t="shared" si="5"/>
        <v>0</v>
      </c>
      <c r="L978" s="446">
        <f t="shared" si="6"/>
        <v>0</v>
      </c>
      <c r="M978" s="441">
        <f>IF(L978&lt;O978,MinPoints,IF(AND(L978&gt;N978,O978&gt;0),100,+INT(($L978-O978)/P978)+MinPoints))</f>
        <v>10</v>
      </c>
      <c r="N978" s="440">
        <f t="shared" si="7"/>
        <v>50</v>
      </c>
      <c r="O978" s="440">
        <f t="shared" si="8"/>
        <v>5</v>
      </c>
      <c r="P978" s="440">
        <f t="shared" si="9"/>
        <v>0.5</v>
      </c>
      <c r="Q978">
        <f t="array" ref="Q978">IF(I978&gt;0,INDEX(DB,I978,9),EventIndex)</f>
        <v>6</v>
      </c>
      <c r="S978" s="442">
        <f t="array" ref="S978">INDEX(MINVALUES,$Q978,$K$1)</f>
        <v>5</v>
      </c>
      <c r="T978">
        <f t="array" ref="T978">INDEX(INCVALUES,$Q978,$K$1)</f>
        <v>0.5</v>
      </c>
      <c r="V978">
        <f t="array" ref="V978">+J978+(4*(INDEX(MatchScoreTable,$Q978,20)-1))</f>
        <v>4</v>
      </c>
      <c r="W978" s="442">
        <f t="array" ref="W978">INDEX(INC_MINVALUES,$V978,$K$1)</f>
        <v>2.5</v>
      </c>
      <c r="X978" s="212">
        <f t="array" ref="X978">INDEX(INC_INCVALUES,$V978,$K$1)</f>
        <v>0.5</v>
      </c>
    </row>
    <row r="979" ht="15.75" customHeight="1">
      <c r="A979" s="435"/>
      <c r="B979" s="436"/>
      <c r="C979" s="95" t="str">
        <f t="array" ref="C979">IF(I979&gt;0,INDEX(DB,I979,8),"")</f>
        <v/>
      </c>
      <c r="D979" s="437">
        <f t="shared" si="1"/>
        <v>0</v>
      </c>
      <c r="F979" s="438">
        <f t="shared" si="2"/>
        <v>0</v>
      </c>
      <c r="G979" t="str">
        <f t="shared" si="3"/>
        <v/>
      </c>
      <c r="H979" t="b">
        <f t="shared" si="4"/>
        <v>0</v>
      </c>
      <c r="I979" s="439">
        <f>IF(OR(ISBLANK(A979),ISNA(MATCH(A979&amp;"",AthleteNumbers,0))),0,MATCH(A979&amp;"",AthleteNumbers,0))</f>
        <v>0</v>
      </c>
      <c r="J979" s="209">
        <f t="array" ref="J979">IF(I979&gt;0,INDEX(DB,$I979,6),0)</f>
        <v>0</v>
      </c>
      <c r="K979" s="446">
        <f t="shared" si="5"/>
        <v>0</v>
      </c>
      <c r="L979" s="446">
        <f t="shared" si="6"/>
        <v>0</v>
      </c>
      <c r="M979" s="441">
        <f>IF(L979&lt;O979,MinPoints,IF(AND(L979&gt;N979,O979&gt;0),100,+INT(($L979-O979)/P979)+MinPoints))</f>
        <v>10</v>
      </c>
      <c r="N979" s="440">
        <f t="shared" si="7"/>
        <v>50</v>
      </c>
      <c r="O979" s="440">
        <f t="shared" si="8"/>
        <v>5</v>
      </c>
      <c r="P979" s="440">
        <f t="shared" si="9"/>
        <v>0.5</v>
      </c>
      <c r="Q979">
        <f t="array" ref="Q979">IF(I979&gt;0,INDEX(DB,I979,9),EventIndex)</f>
        <v>6</v>
      </c>
      <c r="S979" s="442">
        <f t="array" ref="S979">INDEX(MINVALUES,$Q979,$K$1)</f>
        <v>5</v>
      </c>
      <c r="T979">
        <f t="array" ref="T979">INDEX(INCVALUES,$Q979,$K$1)</f>
        <v>0.5</v>
      </c>
      <c r="V979">
        <f t="array" ref="V979">+J979+(4*(INDEX(MatchScoreTable,$Q979,20)-1))</f>
        <v>4</v>
      </c>
      <c r="W979" s="442">
        <f t="array" ref="W979">INDEX(INC_MINVALUES,$V979,$K$1)</f>
        <v>2.5</v>
      </c>
      <c r="X979" s="212">
        <f t="array" ref="X979">INDEX(INC_INCVALUES,$V979,$K$1)</f>
        <v>0.5</v>
      </c>
    </row>
    <row r="980" ht="15.75" customHeight="1">
      <c r="A980" s="435"/>
      <c r="B980" s="436"/>
      <c r="C980" s="95" t="str">
        <f t="array" ref="C980">IF(I980&gt;0,INDEX(DB,I980,8),"")</f>
        <v/>
      </c>
      <c r="D980" s="437">
        <f t="shared" si="1"/>
        <v>0</v>
      </c>
      <c r="F980" s="438">
        <f t="shared" si="2"/>
        <v>0</v>
      </c>
      <c r="G980" t="str">
        <f t="shared" si="3"/>
        <v/>
      </c>
      <c r="H980" t="b">
        <f t="shared" si="4"/>
        <v>0</v>
      </c>
      <c r="I980" s="439">
        <f>IF(OR(ISBLANK(A980),ISNA(MATCH(A980&amp;"",AthleteNumbers,0))),0,MATCH(A980&amp;"",AthleteNumbers,0))</f>
        <v>0</v>
      </c>
      <c r="J980" s="209">
        <f t="array" ref="J980">IF(I980&gt;0,INDEX(DB,$I980,6),0)</f>
        <v>0</v>
      </c>
      <c r="K980" s="446">
        <f t="shared" si="5"/>
        <v>0</v>
      </c>
      <c r="L980" s="446">
        <f t="shared" si="6"/>
        <v>0</v>
      </c>
      <c r="M980" s="441">
        <f>IF(L980&lt;O980,MinPoints,IF(AND(L980&gt;N980,O980&gt;0),100,+INT(($L980-O980)/P980)+MinPoints))</f>
        <v>10</v>
      </c>
      <c r="N980" s="440">
        <f t="shared" si="7"/>
        <v>50</v>
      </c>
      <c r="O980" s="440">
        <f t="shared" si="8"/>
        <v>5</v>
      </c>
      <c r="P980" s="440">
        <f t="shared" si="9"/>
        <v>0.5</v>
      </c>
      <c r="Q980">
        <f t="array" ref="Q980">IF(I980&gt;0,INDEX(DB,I980,9),EventIndex)</f>
        <v>6</v>
      </c>
      <c r="S980" s="442">
        <f t="array" ref="S980">INDEX(MINVALUES,$Q980,$K$1)</f>
        <v>5</v>
      </c>
      <c r="T980">
        <f t="array" ref="T980">INDEX(INCVALUES,$Q980,$K$1)</f>
        <v>0.5</v>
      </c>
      <c r="V980">
        <f t="array" ref="V980">+J980+(4*(INDEX(MatchScoreTable,$Q980,20)-1))</f>
        <v>4</v>
      </c>
      <c r="W980" s="442">
        <f t="array" ref="W980">INDEX(INC_MINVALUES,$V980,$K$1)</f>
        <v>2.5</v>
      </c>
      <c r="X980" s="212">
        <f t="array" ref="X980">INDEX(INC_INCVALUES,$V980,$K$1)</f>
        <v>0.5</v>
      </c>
    </row>
    <row r="981" ht="15.75" customHeight="1">
      <c r="A981" s="435"/>
      <c r="B981" s="436"/>
      <c r="C981" s="95" t="str">
        <f t="array" ref="C981">IF(I981&gt;0,INDEX(DB,I981,8),"")</f>
        <v/>
      </c>
      <c r="D981" s="437">
        <f t="shared" si="1"/>
        <v>0</v>
      </c>
      <c r="F981" s="438">
        <f t="shared" si="2"/>
        <v>0</v>
      </c>
      <c r="G981" t="str">
        <f t="shared" si="3"/>
        <v/>
      </c>
      <c r="H981" t="b">
        <f t="shared" si="4"/>
        <v>0</v>
      </c>
      <c r="I981" s="439">
        <f>IF(OR(ISBLANK(A981),ISNA(MATCH(A981&amp;"",AthleteNumbers,0))),0,MATCH(A981&amp;"",AthleteNumbers,0))</f>
        <v>0</v>
      </c>
      <c r="J981" s="209">
        <f t="array" ref="J981">IF(I981&gt;0,INDEX(DB,$I981,6),0)</f>
        <v>0</v>
      </c>
      <c r="K981" s="446">
        <f t="shared" si="5"/>
        <v>0</v>
      </c>
      <c r="L981" s="446">
        <f t="shared" si="6"/>
        <v>0</v>
      </c>
      <c r="M981" s="441">
        <f>IF(L981&lt;O981,MinPoints,IF(AND(L981&gt;N981,O981&gt;0),100,+INT(($L981-O981)/P981)+MinPoints))</f>
        <v>10</v>
      </c>
      <c r="N981" s="440">
        <f t="shared" si="7"/>
        <v>50</v>
      </c>
      <c r="O981" s="440">
        <f t="shared" si="8"/>
        <v>5</v>
      </c>
      <c r="P981" s="440">
        <f t="shared" si="9"/>
        <v>0.5</v>
      </c>
      <c r="Q981">
        <f t="array" ref="Q981">IF(I981&gt;0,INDEX(DB,I981,9),EventIndex)</f>
        <v>6</v>
      </c>
      <c r="S981" s="442">
        <f t="array" ref="S981">INDEX(MINVALUES,$Q981,$K$1)</f>
        <v>5</v>
      </c>
      <c r="T981">
        <f t="array" ref="T981">INDEX(INCVALUES,$Q981,$K$1)</f>
        <v>0.5</v>
      </c>
      <c r="V981">
        <f t="array" ref="V981">+J981+(4*(INDEX(MatchScoreTable,$Q981,20)-1))</f>
        <v>4</v>
      </c>
      <c r="W981" s="442">
        <f t="array" ref="W981">INDEX(INC_MINVALUES,$V981,$K$1)</f>
        <v>2.5</v>
      </c>
      <c r="X981" s="212">
        <f t="array" ref="X981">INDEX(INC_INCVALUES,$V981,$K$1)</f>
        <v>0.5</v>
      </c>
    </row>
    <row r="982" ht="15.75" customHeight="1">
      <c r="A982" s="435"/>
      <c r="B982" s="436"/>
      <c r="C982" s="95" t="str">
        <f t="array" ref="C982">IF(I982&gt;0,INDEX(DB,I982,8),"")</f>
        <v/>
      </c>
      <c r="D982" s="437">
        <f t="shared" si="1"/>
        <v>0</v>
      </c>
      <c r="F982" s="438">
        <f t="shared" si="2"/>
        <v>0</v>
      </c>
      <c r="G982" t="str">
        <f t="shared" si="3"/>
        <v/>
      </c>
      <c r="H982" t="b">
        <f t="shared" si="4"/>
        <v>0</v>
      </c>
      <c r="I982" s="439">
        <f>IF(OR(ISBLANK(A982),ISNA(MATCH(A982&amp;"",AthleteNumbers,0))),0,MATCH(A982&amp;"",AthleteNumbers,0))</f>
        <v>0</v>
      </c>
      <c r="J982" s="209">
        <f t="array" ref="J982">IF(I982&gt;0,INDEX(DB,$I982,6),0)</f>
        <v>0</v>
      </c>
      <c r="K982" s="446">
        <f t="shared" si="5"/>
        <v>0</v>
      </c>
      <c r="L982" s="446">
        <f t="shared" si="6"/>
        <v>0</v>
      </c>
      <c r="M982" s="441">
        <f>IF(L982&lt;O982,MinPoints,IF(AND(L982&gt;N982,O982&gt;0),100,+INT(($L982-O982)/P982)+MinPoints))</f>
        <v>10</v>
      </c>
      <c r="N982" s="440">
        <f t="shared" si="7"/>
        <v>50</v>
      </c>
      <c r="O982" s="440">
        <f t="shared" si="8"/>
        <v>5</v>
      </c>
      <c r="P982" s="440">
        <f t="shared" si="9"/>
        <v>0.5</v>
      </c>
      <c r="Q982">
        <f t="array" ref="Q982">IF(I982&gt;0,INDEX(DB,I982,9),EventIndex)</f>
        <v>6</v>
      </c>
      <c r="S982" s="442">
        <f t="array" ref="S982">INDEX(MINVALUES,$Q982,$K$1)</f>
        <v>5</v>
      </c>
      <c r="T982">
        <f t="array" ref="T982">INDEX(INCVALUES,$Q982,$K$1)</f>
        <v>0.5</v>
      </c>
      <c r="V982">
        <f t="array" ref="V982">+J982+(4*(INDEX(MatchScoreTable,$Q982,20)-1))</f>
        <v>4</v>
      </c>
      <c r="W982" s="442">
        <f t="array" ref="W982">INDEX(INC_MINVALUES,$V982,$K$1)</f>
        <v>2.5</v>
      </c>
      <c r="X982" s="212">
        <f t="array" ref="X982">INDEX(INC_INCVALUES,$V982,$K$1)</f>
        <v>0.5</v>
      </c>
    </row>
    <row r="983" ht="15.75" customHeight="1">
      <c r="A983" s="435"/>
      <c r="B983" s="436"/>
      <c r="C983" s="95" t="str">
        <f t="array" ref="C983">IF(I983&gt;0,INDEX(DB,I983,8),"")</f>
        <v/>
      </c>
      <c r="D983" s="437">
        <f t="shared" si="1"/>
        <v>0</v>
      </c>
      <c r="F983" s="438">
        <f t="shared" si="2"/>
        <v>0</v>
      </c>
      <c r="G983" t="str">
        <f t="shared" si="3"/>
        <v/>
      </c>
      <c r="H983" t="b">
        <f t="shared" si="4"/>
        <v>0</v>
      </c>
      <c r="I983" s="439">
        <f>IF(OR(ISBLANK(A983),ISNA(MATCH(A983&amp;"",AthleteNumbers,0))),0,MATCH(A983&amp;"",AthleteNumbers,0))</f>
        <v>0</v>
      </c>
      <c r="J983" s="209">
        <f t="array" ref="J983">IF(I983&gt;0,INDEX(DB,$I983,6),0)</f>
        <v>0</v>
      </c>
      <c r="K983" s="446">
        <f t="shared" si="5"/>
        <v>0</v>
      </c>
      <c r="L983" s="446">
        <f t="shared" si="6"/>
        <v>0</v>
      </c>
      <c r="M983" s="441">
        <f>IF(L983&lt;O983,MinPoints,IF(AND(L983&gt;N983,O983&gt;0),100,+INT(($L983-O983)/P983)+MinPoints))</f>
        <v>10</v>
      </c>
      <c r="N983" s="440">
        <f t="shared" si="7"/>
        <v>50</v>
      </c>
      <c r="O983" s="440">
        <f t="shared" si="8"/>
        <v>5</v>
      </c>
      <c r="P983" s="440">
        <f t="shared" si="9"/>
        <v>0.5</v>
      </c>
      <c r="Q983">
        <f t="array" ref="Q983">IF(I983&gt;0,INDEX(DB,I983,9),EventIndex)</f>
        <v>6</v>
      </c>
      <c r="S983" s="442">
        <f t="array" ref="S983">INDEX(MINVALUES,$Q983,$K$1)</f>
        <v>5</v>
      </c>
      <c r="T983">
        <f t="array" ref="T983">INDEX(INCVALUES,$Q983,$K$1)</f>
        <v>0.5</v>
      </c>
      <c r="V983">
        <f t="array" ref="V983">+J983+(4*(INDEX(MatchScoreTable,$Q983,20)-1))</f>
        <v>4</v>
      </c>
      <c r="W983" s="442">
        <f t="array" ref="W983">INDEX(INC_MINVALUES,$V983,$K$1)</f>
        <v>2.5</v>
      </c>
      <c r="X983" s="212">
        <f t="array" ref="X983">INDEX(INC_INCVALUES,$V983,$K$1)</f>
        <v>0.5</v>
      </c>
    </row>
    <row r="984" ht="15.75" customHeight="1">
      <c r="A984" s="435"/>
      <c r="B984" s="436"/>
      <c r="C984" s="95" t="str">
        <f t="array" ref="C984">IF(I984&gt;0,INDEX(DB,I984,8),"")</f>
        <v/>
      </c>
      <c r="D984" s="437">
        <f t="shared" si="1"/>
        <v>0</v>
      </c>
      <c r="F984" s="438">
        <f t="shared" si="2"/>
        <v>0</v>
      </c>
      <c r="G984" t="str">
        <f t="shared" si="3"/>
        <v/>
      </c>
      <c r="H984" t="b">
        <f t="shared" si="4"/>
        <v>0</v>
      </c>
      <c r="I984" s="439">
        <f>IF(OR(ISBLANK(A984),ISNA(MATCH(A984&amp;"",AthleteNumbers,0))),0,MATCH(A984&amp;"",AthleteNumbers,0))</f>
        <v>0</v>
      </c>
      <c r="J984" s="209">
        <f t="array" ref="J984">IF(I984&gt;0,INDEX(DB,$I984,6),0)</f>
        <v>0</v>
      </c>
      <c r="K984" s="446">
        <f t="shared" si="5"/>
        <v>0</v>
      </c>
      <c r="L984" s="446">
        <f t="shared" si="6"/>
        <v>0</v>
      </c>
      <c r="M984" s="441">
        <f>IF(L984&lt;O984,MinPoints,IF(AND(L984&gt;N984,O984&gt;0),100,+INT(($L984-O984)/P984)+MinPoints))</f>
        <v>10</v>
      </c>
      <c r="N984" s="440">
        <f t="shared" si="7"/>
        <v>50</v>
      </c>
      <c r="O984" s="440">
        <f t="shared" si="8"/>
        <v>5</v>
      </c>
      <c r="P984" s="440">
        <f t="shared" si="9"/>
        <v>0.5</v>
      </c>
      <c r="Q984">
        <f t="array" ref="Q984">IF(I984&gt;0,INDEX(DB,I984,9),EventIndex)</f>
        <v>6</v>
      </c>
      <c r="S984" s="442">
        <f t="array" ref="S984">INDEX(MINVALUES,$Q984,$K$1)</f>
        <v>5</v>
      </c>
      <c r="T984">
        <f t="array" ref="T984">INDEX(INCVALUES,$Q984,$K$1)</f>
        <v>0.5</v>
      </c>
      <c r="V984">
        <f t="array" ref="V984">+J984+(4*(INDEX(MatchScoreTable,$Q984,20)-1))</f>
        <v>4</v>
      </c>
      <c r="W984" s="442">
        <f t="array" ref="W984">INDEX(INC_MINVALUES,$V984,$K$1)</f>
        <v>2.5</v>
      </c>
      <c r="X984" s="212">
        <f t="array" ref="X984">INDEX(INC_INCVALUES,$V984,$K$1)</f>
        <v>0.5</v>
      </c>
    </row>
    <row r="985" ht="15.75" customHeight="1">
      <c r="A985" s="435"/>
      <c r="B985" s="436"/>
      <c r="C985" s="95" t="str">
        <f t="array" ref="C985">IF(I985&gt;0,INDEX(DB,I985,8),"")</f>
        <v/>
      </c>
      <c r="D985" s="437">
        <f t="shared" si="1"/>
        <v>0</v>
      </c>
      <c r="F985" s="438">
        <f t="shared" si="2"/>
        <v>0</v>
      </c>
      <c r="G985" t="str">
        <f t="shared" si="3"/>
        <v/>
      </c>
      <c r="H985" t="b">
        <f t="shared" si="4"/>
        <v>0</v>
      </c>
      <c r="I985" s="439">
        <f>IF(OR(ISBLANK(A985),ISNA(MATCH(A985&amp;"",AthleteNumbers,0))),0,MATCH(A985&amp;"",AthleteNumbers,0))</f>
        <v>0</v>
      </c>
      <c r="J985" s="209">
        <f t="array" ref="J985">IF(I985&gt;0,INDEX(DB,$I985,6),0)</f>
        <v>0</v>
      </c>
      <c r="K985" s="446">
        <f t="shared" si="5"/>
        <v>0</v>
      </c>
      <c r="L985" s="446">
        <f t="shared" si="6"/>
        <v>0</v>
      </c>
      <c r="M985" s="441">
        <f>IF(L985&lt;O985,MinPoints,IF(AND(L985&gt;N985,O985&gt;0),100,+INT(($L985-O985)/P985)+MinPoints))</f>
        <v>10</v>
      </c>
      <c r="N985" s="440">
        <f t="shared" si="7"/>
        <v>50</v>
      </c>
      <c r="O985" s="440">
        <f t="shared" si="8"/>
        <v>5</v>
      </c>
      <c r="P985" s="440">
        <f t="shared" si="9"/>
        <v>0.5</v>
      </c>
      <c r="Q985">
        <f t="array" ref="Q985">IF(I985&gt;0,INDEX(DB,I985,9),EventIndex)</f>
        <v>6</v>
      </c>
      <c r="S985" s="442">
        <f t="array" ref="S985">INDEX(MINVALUES,$Q985,$K$1)</f>
        <v>5</v>
      </c>
      <c r="T985">
        <f t="array" ref="T985">INDEX(INCVALUES,$Q985,$K$1)</f>
        <v>0.5</v>
      </c>
      <c r="V985">
        <f t="array" ref="V985">+J985+(4*(INDEX(MatchScoreTable,$Q985,20)-1))</f>
        <v>4</v>
      </c>
      <c r="W985" s="442">
        <f t="array" ref="W985">INDEX(INC_MINVALUES,$V985,$K$1)</f>
        <v>2.5</v>
      </c>
      <c r="X985" s="212">
        <f t="array" ref="X985">INDEX(INC_INCVALUES,$V985,$K$1)</f>
        <v>0.5</v>
      </c>
    </row>
    <row r="986" ht="15.75" customHeight="1">
      <c r="A986" s="435"/>
      <c r="B986" s="436"/>
      <c r="C986" s="95" t="str">
        <f t="array" ref="C986">IF(I986&gt;0,INDEX(DB,I986,8),"")</f>
        <v/>
      </c>
      <c r="D986" s="437">
        <f t="shared" si="1"/>
        <v>0</v>
      </c>
      <c r="F986" s="438">
        <f t="shared" si="2"/>
        <v>0</v>
      </c>
      <c r="G986" t="str">
        <f t="shared" si="3"/>
        <v/>
      </c>
      <c r="H986" t="b">
        <f t="shared" si="4"/>
        <v>0</v>
      </c>
      <c r="I986" s="439">
        <f>IF(OR(ISBLANK(A986),ISNA(MATCH(A986&amp;"",AthleteNumbers,0))),0,MATCH(A986&amp;"",AthleteNumbers,0))</f>
        <v>0</v>
      </c>
      <c r="J986" s="209">
        <f t="array" ref="J986">IF(I986&gt;0,INDEX(DB,$I986,6),0)</f>
        <v>0</v>
      </c>
      <c r="K986" s="446">
        <f t="shared" si="5"/>
        <v>0</v>
      </c>
      <c r="L986" s="446">
        <f t="shared" si="6"/>
        <v>0</v>
      </c>
      <c r="M986" s="441">
        <f>IF(L986&lt;O986,MinPoints,IF(AND(L986&gt;N986,O986&gt;0),100,+INT(($L986-O986)/P986)+MinPoints))</f>
        <v>10</v>
      </c>
      <c r="N986" s="440">
        <f t="shared" si="7"/>
        <v>50</v>
      </c>
      <c r="O986" s="440">
        <f t="shared" si="8"/>
        <v>5</v>
      </c>
      <c r="P986" s="440">
        <f t="shared" si="9"/>
        <v>0.5</v>
      </c>
      <c r="Q986">
        <f t="array" ref="Q986">IF(I986&gt;0,INDEX(DB,I986,9),EventIndex)</f>
        <v>6</v>
      </c>
      <c r="S986" s="442">
        <f t="array" ref="S986">INDEX(MINVALUES,$Q986,$K$1)</f>
        <v>5</v>
      </c>
      <c r="T986">
        <f t="array" ref="T986">INDEX(INCVALUES,$Q986,$K$1)</f>
        <v>0.5</v>
      </c>
      <c r="V986">
        <f t="array" ref="V986">+J986+(4*(INDEX(MatchScoreTable,$Q986,20)-1))</f>
        <v>4</v>
      </c>
      <c r="W986" s="442">
        <f t="array" ref="W986">INDEX(INC_MINVALUES,$V986,$K$1)</f>
        <v>2.5</v>
      </c>
      <c r="X986" s="212">
        <f t="array" ref="X986">INDEX(INC_INCVALUES,$V986,$K$1)</f>
        <v>0.5</v>
      </c>
    </row>
    <row r="987" ht="15.75" customHeight="1">
      <c r="A987" s="435"/>
      <c r="B987" s="436"/>
      <c r="C987" s="95" t="str">
        <f t="array" ref="C987">IF(I987&gt;0,INDEX(DB,I987,8),"")</f>
        <v/>
      </c>
      <c r="D987" s="437">
        <f t="shared" si="1"/>
        <v>0</v>
      </c>
      <c r="F987" s="438">
        <f t="shared" si="2"/>
        <v>0</v>
      </c>
      <c r="G987" t="str">
        <f t="shared" si="3"/>
        <v/>
      </c>
      <c r="H987" t="b">
        <f t="shared" si="4"/>
        <v>0</v>
      </c>
      <c r="I987" s="439">
        <f>IF(OR(ISBLANK(A987),ISNA(MATCH(A987&amp;"",AthleteNumbers,0))),0,MATCH(A987&amp;"",AthleteNumbers,0))</f>
        <v>0</v>
      </c>
      <c r="J987" s="209">
        <f t="array" ref="J987">IF(I987&gt;0,INDEX(DB,$I987,6),0)</f>
        <v>0</v>
      </c>
      <c r="K987" s="446">
        <f t="shared" si="5"/>
        <v>0</v>
      </c>
      <c r="L987" s="446">
        <f t="shared" si="6"/>
        <v>0</v>
      </c>
      <c r="M987" s="441">
        <f>IF(L987&lt;O987,MinPoints,IF(AND(L987&gt;N987,O987&gt;0),100,+INT(($L987-O987)/P987)+MinPoints))</f>
        <v>10</v>
      </c>
      <c r="N987" s="440">
        <f t="shared" si="7"/>
        <v>50</v>
      </c>
      <c r="O987" s="440">
        <f t="shared" si="8"/>
        <v>5</v>
      </c>
      <c r="P987" s="440">
        <f t="shared" si="9"/>
        <v>0.5</v>
      </c>
      <c r="Q987">
        <f t="array" ref="Q987">IF(I987&gt;0,INDEX(DB,I987,9),EventIndex)</f>
        <v>6</v>
      </c>
      <c r="S987" s="442">
        <f t="array" ref="S987">INDEX(MINVALUES,$Q987,$K$1)</f>
        <v>5</v>
      </c>
      <c r="T987">
        <f t="array" ref="T987">INDEX(INCVALUES,$Q987,$K$1)</f>
        <v>0.5</v>
      </c>
      <c r="V987">
        <f t="array" ref="V987">+J987+(4*(INDEX(MatchScoreTable,$Q987,20)-1))</f>
        <v>4</v>
      </c>
      <c r="W987" s="442">
        <f t="array" ref="W987">INDEX(INC_MINVALUES,$V987,$K$1)</f>
        <v>2.5</v>
      </c>
      <c r="X987" s="212">
        <f t="array" ref="X987">INDEX(INC_INCVALUES,$V987,$K$1)</f>
        <v>0.5</v>
      </c>
    </row>
    <row r="988" ht="15.75" customHeight="1">
      <c r="A988" s="435"/>
      <c r="B988" s="436"/>
      <c r="C988" s="95" t="str">
        <f t="array" ref="C988">IF(I988&gt;0,INDEX(DB,I988,8),"")</f>
        <v/>
      </c>
      <c r="D988" s="437">
        <f t="shared" si="1"/>
        <v>0</v>
      </c>
      <c r="F988" s="438">
        <f t="shared" si="2"/>
        <v>0</v>
      </c>
      <c r="G988" t="str">
        <f t="shared" si="3"/>
        <v/>
      </c>
      <c r="H988" t="b">
        <f t="shared" si="4"/>
        <v>0</v>
      </c>
      <c r="I988" s="439">
        <f>IF(OR(ISBLANK(A988),ISNA(MATCH(A988&amp;"",AthleteNumbers,0))),0,MATCH(A988&amp;"",AthleteNumbers,0))</f>
        <v>0</v>
      </c>
      <c r="J988" s="209">
        <f t="array" ref="J988">IF(I988&gt;0,INDEX(DB,$I988,6),0)</f>
        <v>0</v>
      </c>
      <c r="K988" s="446">
        <f t="shared" si="5"/>
        <v>0</v>
      </c>
      <c r="L988" s="446">
        <f t="shared" si="6"/>
        <v>0</v>
      </c>
      <c r="M988" s="441">
        <f>IF(L988&lt;O988,MinPoints,IF(AND(L988&gt;N988,O988&gt;0),100,+INT(($L988-O988)/P988)+MinPoints))</f>
        <v>10</v>
      </c>
      <c r="N988" s="440">
        <f t="shared" si="7"/>
        <v>50</v>
      </c>
      <c r="O988" s="440">
        <f t="shared" si="8"/>
        <v>5</v>
      </c>
      <c r="P988" s="440">
        <f t="shared" si="9"/>
        <v>0.5</v>
      </c>
      <c r="Q988">
        <f t="array" ref="Q988">IF(I988&gt;0,INDEX(DB,I988,9),EventIndex)</f>
        <v>6</v>
      </c>
      <c r="S988" s="442">
        <f t="array" ref="S988">INDEX(MINVALUES,$Q988,$K$1)</f>
        <v>5</v>
      </c>
      <c r="T988">
        <f t="array" ref="T988">INDEX(INCVALUES,$Q988,$K$1)</f>
        <v>0.5</v>
      </c>
      <c r="V988">
        <f t="array" ref="V988">+J988+(4*(INDEX(MatchScoreTable,$Q988,20)-1))</f>
        <v>4</v>
      </c>
      <c r="W988" s="442">
        <f t="array" ref="W988">INDEX(INC_MINVALUES,$V988,$K$1)</f>
        <v>2.5</v>
      </c>
      <c r="X988" s="212">
        <f t="array" ref="X988">INDEX(INC_INCVALUES,$V988,$K$1)</f>
        <v>0.5</v>
      </c>
    </row>
    <row r="989" ht="15.75" customHeight="1">
      <c r="A989" s="435"/>
      <c r="B989" s="436"/>
      <c r="C989" s="95" t="str">
        <f t="array" ref="C989">IF(I989&gt;0,INDEX(DB,I989,8),"")</f>
        <v/>
      </c>
      <c r="D989" s="437">
        <f t="shared" si="1"/>
        <v>0</v>
      </c>
      <c r="F989" s="438">
        <f t="shared" si="2"/>
        <v>0</v>
      </c>
      <c r="G989" t="str">
        <f t="shared" si="3"/>
        <v/>
      </c>
      <c r="H989" t="b">
        <f t="shared" si="4"/>
        <v>0</v>
      </c>
      <c r="I989" s="439">
        <f>IF(OR(ISBLANK(A989),ISNA(MATCH(A989&amp;"",AthleteNumbers,0))),0,MATCH(A989&amp;"",AthleteNumbers,0))</f>
        <v>0</v>
      </c>
      <c r="J989" s="209">
        <f t="array" ref="J989">IF(I989&gt;0,INDEX(DB,$I989,6),0)</f>
        <v>0</v>
      </c>
      <c r="K989" s="446">
        <f t="shared" si="5"/>
        <v>0</v>
      </c>
      <c r="L989" s="446">
        <f t="shared" si="6"/>
        <v>0</v>
      </c>
      <c r="M989" s="441">
        <f>IF(L989&lt;O989,MinPoints,IF(AND(L989&gt;N989,O989&gt;0),100,+INT(($L989-O989)/P989)+MinPoints))</f>
        <v>10</v>
      </c>
      <c r="N989" s="440">
        <f t="shared" si="7"/>
        <v>50</v>
      </c>
      <c r="O989" s="440">
        <f t="shared" si="8"/>
        <v>5</v>
      </c>
      <c r="P989" s="440">
        <f t="shared" si="9"/>
        <v>0.5</v>
      </c>
      <c r="Q989">
        <f t="array" ref="Q989">IF(I989&gt;0,INDEX(DB,I989,9),EventIndex)</f>
        <v>6</v>
      </c>
      <c r="S989" s="442">
        <f t="array" ref="S989">INDEX(MINVALUES,$Q989,$K$1)</f>
        <v>5</v>
      </c>
      <c r="T989">
        <f t="array" ref="T989">INDEX(INCVALUES,$Q989,$K$1)</f>
        <v>0.5</v>
      </c>
      <c r="V989">
        <f t="array" ref="V989">+J989+(4*(INDEX(MatchScoreTable,$Q989,20)-1))</f>
        <v>4</v>
      </c>
      <c r="W989" s="442">
        <f t="array" ref="W989">INDEX(INC_MINVALUES,$V989,$K$1)</f>
        <v>2.5</v>
      </c>
      <c r="X989" s="212">
        <f t="array" ref="X989">INDEX(INC_INCVALUES,$V989,$K$1)</f>
        <v>0.5</v>
      </c>
    </row>
    <row r="990" ht="15.75" customHeight="1">
      <c r="A990" s="435"/>
      <c r="B990" s="436"/>
      <c r="C990" s="95" t="str">
        <f t="array" ref="C990">IF(I990&gt;0,INDEX(DB,I990,8),"")</f>
        <v/>
      </c>
      <c r="D990" s="437">
        <f t="shared" si="1"/>
        <v>0</v>
      </c>
      <c r="F990" s="438">
        <f t="shared" si="2"/>
        <v>0</v>
      </c>
      <c r="G990" t="str">
        <f t="shared" si="3"/>
        <v/>
      </c>
      <c r="H990" t="b">
        <f t="shared" si="4"/>
        <v>0</v>
      </c>
      <c r="I990" s="439">
        <f>IF(OR(ISBLANK(A990),ISNA(MATCH(A990&amp;"",AthleteNumbers,0))),0,MATCH(A990&amp;"",AthleteNumbers,0))</f>
        <v>0</v>
      </c>
      <c r="J990" s="209">
        <f t="array" ref="J990">IF(I990&gt;0,INDEX(DB,$I990,6),0)</f>
        <v>0</v>
      </c>
      <c r="K990" s="446">
        <f t="shared" si="5"/>
        <v>0</v>
      </c>
      <c r="L990" s="446">
        <f t="shared" si="6"/>
        <v>0</v>
      </c>
      <c r="M990" s="441">
        <f>IF(L990&lt;O990,MinPoints,IF(AND(L990&gt;N990,O990&gt;0),100,+INT(($L990-O990)/P990)+MinPoints))</f>
        <v>10</v>
      </c>
      <c r="N990" s="440">
        <f t="shared" si="7"/>
        <v>50</v>
      </c>
      <c r="O990" s="440">
        <f t="shared" si="8"/>
        <v>5</v>
      </c>
      <c r="P990" s="440">
        <f t="shared" si="9"/>
        <v>0.5</v>
      </c>
      <c r="Q990">
        <f t="array" ref="Q990">IF(I990&gt;0,INDEX(DB,I990,9),EventIndex)</f>
        <v>6</v>
      </c>
      <c r="S990" s="442">
        <f t="array" ref="S990">INDEX(MINVALUES,$Q990,$K$1)</f>
        <v>5</v>
      </c>
      <c r="T990">
        <f t="array" ref="T990">INDEX(INCVALUES,$Q990,$K$1)</f>
        <v>0.5</v>
      </c>
      <c r="V990">
        <f t="array" ref="V990">+J990+(4*(INDEX(MatchScoreTable,$Q990,20)-1))</f>
        <v>4</v>
      </c>
      <c r="W990" s="442">
        <f t="array" ref="W990">INDEX(INC_MINVALUES,$V990,$K$1)</f>
        <v>2.5</v>
      </c>
      <c r="X990" s="212">
        <f t="array" ref="X990">INDEX(INC_INCVALUES,$V990,$K$1)</f>
        <v>0.5</v>
      </c>
    </row>
    <row r="991" ht="15.75" customHeight="1">
      <c r="A991" s="435"/>
      <c r="B991" s="436"/>
      <c r="C991" s="95" t="str">
        <f t="array" ref="C991">IF(I991&gt;0,INDEX(DB,I991,8),"")</f>
        <v/>
      </c>
      <c r="D991" s="437">
        <f t="shared" si="1"/>
        <v>0</v>
      </c>
      <c r="F991" s="438">
        <f t="shared" si="2"/>
        <v>0</v>
      </c>
      <c r="G991" t="str">
        <f t="shared" si="3"/>
        <v/>
      </c>
      <c r="H991" t="b">
        <f t="shared" si="4"/>
        <v>0</v>
      </c>
      <c r="I991" s="439">
        <f>IF(OR(ISBLANK(A991),ISNA(MATCH(A991&amp;"",AthleteNumbers,0))),0,MATCH(A991&amp;"",AthleteNumbers,0))</f>
        <v>0</v>
      </c>
      <c r="J991" s="209">
        <f t="array" ref="J991">IF(I991&gt;0,INDEX(DB,$I991,6),0)</f>
        <v>0</v>
      </c>
      <c r="K991" s="446">
        <f t="shared" si="5"/>
        <v>0</v>
      </c>
      <c r="L991" s="446">
        <f t="shared" si="6"/>
        <v>0</v>
      </c>
      <c r="M991" s="441">
        <f>IF(L991&lt;O991,MinPoints,IF(AND(L991&gt;N991,O991&gt;0),100,+INT(($L991-O991)/P991)+MinPoints))</f>
        <v>10</v>
      </c>
      <c r="N991" s="440">
        <f t="shared" si="7"/>
        <v>50</v>
      </c>
      <c r="O991" s="440">
        <f t="shared" si="8"/>
        <v>5</v>
      </c>
      <c r="P991" s="440">
        <f t="shared" si="9"/>
        <v>0.5</v>
      </c>
      <c r="Q991">
        <f t="array" ref="Q991">IF(I991&gt;0,INDEX(DB,I991,9),EventIndex)</f>
        <v>6</v>
      </c>
      <c r="S991" s="442">
        <f t="array" ref="S991">INDEX(MINVALUES,$Q991,$K$1)</f>
        <v>5</v>
      </c>
      <c r="T991">
        <f t="array" ref="T991">INDEX(INCVALUES,$Q991,$K$1)</f>
        <v>0.5</v>
      </c>
      <c r="V991">
        <f t="array" ref="V991">+J991+(4*(INDEX(MatchScoreTable,$Q991,20)-1))</f>
        <v>4</v>
      </c>
      <c r="W991" s="442">
        <f t="array" ref="W991">INDEX(INC_MINVALUES,$V991,$K$1)</f>
        <v>2.5</v>
      </c>
      <c r="X991" s="212">
        <f t="array" ref="X991">INDEX(INC_INCVALUES,$V991,$K$1)</f>
        <v>0.5</v>
      </c>
    </row>
    <row r="992" ht="15.75" customHeight="1">
      <c r="A992" s="435"/>
      <c r="B992" s="436"/>
      <c r="C992" s="95" t="str">
        <f t="array" ref="C992">IF(I992&gt;0,INDEX(DB,I992,8),"")</f>
        <v/>
      </c>
      <c r="D992" s="437">
        <f t="shared" si="1"/>
        <v>0</v>
      </c>
      <c r="F992" s="438">
        <f t="shared" si="2"/>
        <v>0</v>
      </c>
      <c r="G992" t="str">
        <f t="shared" si="3"/>
        <v/>
      </c>
      <c r="H992" t="b">
        <f t="shared" si="4"/>
        <v>0</v>
      </c>
      <c r="I992" s="439">
        <f>IF(OR(ISBLANK(A992),ISNA(MATCH(A992&amp;"",AthleteNumbers,0))),0,MATCH(A992&amp;"",AthleteNumbers,0))</f>
        <v>0</v>
      </c>
      <c r="J992" s="209">
        <f t="array" ref="J992">IF(I992&gt;0,INDEX(DB,$I992,6),0)</f>
        <v>0</v>
      </c>
      <c r="K992" s="446">
        <f t="shared" si="5"/>
        <v>0</v>
      </c>
      <c r="L992" s="446">
        <f t="shared" si="6"/>
        <v>0</v>
      </c>
      <c r="M992" s="441">
        <f>IF(L992&lt;O992,MinPoints,IF(AND(L992&gt;N992,O992&gt;0),100,+INT(($L992-O992)/P992)+MinPoints))</f>
        <v>10</v>
      </c>
      <c r="N992" s="440">
        <f t="shared" si="7"/>
        <v>50</v>
      </c>
      <c r="O992" s="440">
        <f t="shared" si="8"/>
        <v>5</v>
      </c>
      <c r="P992" s="440">
        <f t="shared" si="9"/>
        <v>0.5</v>
      </c>
      <c r="Q992">
        <f t="array" ref="Q992">IF(I992&gt;0,INDEX(DB,I992,9),EventIndex)</f>
        <v>6</v>
      </c>
      <c r="S992" s="442">
        <f t="array" ref="S992">INDEX(MINVALUES,$Q992,$K$1)</f>
        <v>5</v>
      </c>
      <c r="T992">
        <f t="array" ref="T992">INDEX(INCVALUES,$Q992,$K$1)</f>
        <v>0.5</v>
      </c>
      <c r="V992">
        <f t="array" ref="V992">+J992+(4*(INDEX(MatchScoreTable,$Q992,20)-1))</f>
        <v>4</v>
      </c>
      <c r="W992" s="442">
        <f t="array" ref="W992">INDEX(INC_MINVALUES,$V992,$K$1)</f>
        <v>2.5</v>
      </c>
      <c r="X992" s="212">
        <f t="array" ref="X992">INDEX(INC_INCVALUES,$V992,$K$1)</f>
        <v>0.5</v>
      </c>
    </row>
    <row r="993" ht="15.75" customHeight="1">
      <c r="A993" s="435"/>
      <c r="B993" s="436"/>
      <c r="C993" s="95" t="str">
        <f t="array" ref="C993">IF(I993&gt;0,INDEX(DB,I993,8),"")</f>
        <v/>
      </c>
      <c r="D993" s="437">
        <f t="shared" si="1"/>
        <v>0</v>
      </c>
      <c r="F993" s="438">
        <f t="shared" si="2"/>
        <v>0</v>
      </c>
      <c r="G993" t="str">
        <f t="shared" si="3"/>
        <v/>
      </c>
      <c r="H993" t="b">
        <f t="shared" si="4"/>
        <v>0</v>
      </c>
      <c r="I993" s="439">
        <f>IF(OR(ISBLANK(A993),ISNA(MATCH(A993&amp;"",AthleteNumbers,0))),0,MATCH(A993&amp;"",AthleteNumbers,0))</f>
        <v>0</v>
      </c>
      <c r="J993" s="209">
        <f t="array" ref="J993">IF(I993&gt;0,INDEX(DB,$I993,6),0)</f>
        <v>0</v>
      </c>
      <c r="K993" s="446">
        <f t="shared" si="5"/>
        <v>0</v>
      </c>
      <c r="L993" s="446">
        <f t="shared" si="6"/>
        <v>0</v>
      </c>
      <c r="M993" s="441">
        <f>IF(L993&lt;O993,MinPoints,IF(AND(L993&gt;N993,O993&gt;0),100,+INT(($L993-O993)/P993)+MinPoints))</f>
        <v>10</v>
      </c>
      <c r="N993" s="440">
        <f t="shared" si="7"/>
        <v>50</v>
      </c>
      <c r="O993" s="440">
        <f t="shared" si="8"/>
        <v>5</v>
      </c>
      <c r="P993" s="440">
        <f t="shared" si="9"/>
        <v>0.5</v>
      </c>
      <c r="Q993">
        <f t="array" ref="Q993">IF(I993&gt;0,INDEX(DB,I993,9),EventIndex)</f>
        <v>6</v>
      </c>
      <c r="S993" s="442">
        <f t="array" ref="S993">INDEX(MINVALUES,$Q993,$K$1)</f>
        <v>5</v>
      </c>
      <c r="T993">
        <f t="array" ref="T993">INDEX(INCVALUES,$Q993,$K$1)</f>
        <v>0.5</v>
      </c>
      <c r="V993">
        <f t="array" ref="V993">+J993+(4*(INDEX(MatchScoreTable,$Q993,20)-1))</f>
        <v>4</v>
      </c>
      <c r="W993" s="442">
        <f t="array" ref="W993">INDEX(INC_MINVALUES,$V993,$K$1)</f>
        <v>2.5</v>
      </c>
      <c r="X993" s="212">
        <f t="array" ref="X993">INDEX(INC_INCVALUES,$V993,$K$1)</f>
        <v>0.5</v>
      </c>
    </row>
    <row r="994" ht="15.75" customHeight="1">
      <c r="A994" s="435"/>
      <c r="B994" s="436"/>
      <c r="C994" s="95" t="str">
        <f t="array" ref="C994">IF(I994&gt;0,INDEX(DB,I994,8),"")</f>
        <v/>
      </c>
      <c r="D994" s="437">
        <f t="shared" si="1"/>
        <v>0</v>
      </c>
      <c r="F994" s="438">
        <f t="shared" si="2"/>
        <v>0</v>
      </c>
      <c r="G994" t="str">
        <f t="shared" si="3"/>
        <v/>
      </c>
      <c r="H994" t="b">
        <f t="shared" si="4"/>
        <v>0</v>
      </c>
      <c r="I994" s="439">
        <f>IF(OR(ISBLANK(A994),ISNA(MATCH(A994&amp;"",AthleteNumbers,0))),0,MATCH(A994&amp;"",AthleteNumbers,0))</f>
        <v>0</v>
      </c>
      <c r="J994" s="209">
        <f t="array" ref="J994">IF(I994&gt;0,INDEX(DB,$I994,6),0)</f>
        <v>0</v>
      </c>
      <c r="K994" s="446">
        <f t="shared" si="5"/>
        <v>0</v>
      </c>
      <c r="L994" s="446">
        <f t="shared" si="6"/>
        <v>0</v>
      </c>
      <c r="M994" s="441">
        <f>IF(L994&lt;O994,MinPoints,IF(AND(L994&gt;N994,O994&gt;0),100,+INT(($L994-O994)/P994)+MinPoints))</f>
        <v>10</v>
      </c>
      <c r="N994" s="440">
        <f t="shared" si="7"/>
        <v>50</v>
      </c>
      <c r="O994" s="440">
        <f t="shared" si="8"/>
        <v>5</v>
      </c>
      <c r="P994" s="440">
        <f t="shared" si="9"/>
        <v>0.5</v>
      </c>
      <c r="Q994">
        <f t="array" ref="Q994">IF(I994&gt;0,INDEX(DB,I994,9),EventIndex)</f>
        <v>6</v>
      </c>
      <c r="S994" s="442">
        <f t="array" ref="S994">INDEX(MINVALUES,$Q994,$K$1)</f>
        <v>5</v>
      </c>
      <c r="T994">
        <f t="array" ref="T994">INDEX(INCVALUES,$Q994,$K$1)</f>
        <v>0.5</v>
      </c>
      <c r="V994">
        <f t="array" ref="V994">+J994+(4*(INDEX(MatchScoreTable,$Q994,20)-1))</f>
        <v>4</v>
      </c>
      <c r="W994" s="442">
        <f t="array" ref="W994">INDEX(INC_MINVALUES,$V994,$K$1)</f>
        <v>2.5</v>
      </c>
      <c r="X994" s="212">
        <f t="array" ref="X994">INDEX(INC_INCVALUES,$V994,$K$1)</f>
        <v>0.5</v>
      </c>
    </row>
    <row r="995" ht="15.75" customHeight="1">
      <c r="A995" s="435"/>
      <c r="B995" s="436"/>
      <c r="C995" s="95" t="str">
        <f t="array" ref="C995">IF(I995&gt;0,INDEX(DB,I995,8),"")</f>
        <v/>
      </c>
      <c r="D995" s="437">
        <f t="shared" si="1"/>
        <v>0</v>
      </c>
      <c r="F995" s="438">
        <f t="shared" si="2"/>
        <v>0</v>
      </c>
      <c r="G995" t="str">
        <f t="shared" si="3"/>
        <v/>
      </c>
      <c r="H995" t="b">
        <f t="shared" si="4"/>
        <v>0</v>
      </c>
      <c r="I995" s="439">
        <f>IF(OR(ISBLANK(A995),ISNA(MATCH(A995&amp;"",AthleteNumbers,0))),0,MATCH(A995&amp;"",AthleteNumbers,0))</f>
        <v>0</v>
      </c>
      <c r="J995" s="209">
        <f t="array" ref="J995">IF(I995&gt;0,INDEX(DB,$I995,6),0)</f>
        <v>0</v>
      </c>
      <c r="K995" s="446">
        <f t="shared" si="5"/>
        <v>0</v>
      </c>
      <c r="L995" s="446">
        <f t="shared" si="6"/>
        <v>0</v>
      </c>
      <c r="M995" s="441">
        <f>IF(L995&lt;O995,MinPoints,IF(AND(L995&gt;N995,O995&gt;0),100,+INT(($L995-O995)/P995)+MinPoints))</f>
        <v>10</v>
      </c>
      <c r="N995" s="440">
        <f t="shared" si="7"/>
        <v>50</v>
      </c>
      <c r="O995" s="440">
        <f t="shared" si="8"/>
        <v>5</v>
      </c>
      <c r="P995" s="440">
        <f t="shared" si="9"/>
        <v>0.5</v>
      </c>
      <c r="Q995">
        <f t="array" ref="Q995">IF(I995&gt;0,INDEX(DB,I995,9),EventIndex)</f>
        <v>6</v>
      </c>
      <c r="S995" s="442">
        <f t="array" ref="S995">INDEX(MINVALUES,$Q995,$K$1)</f>
        <v>5</v>
      </c>
      <c r="T995">
        <f t="array" ref="T995">INDEX(INCVALUES,$Q995,$K$1)</f>
        <v>0.5</v>
      </c>
      <c r="V995">
        <f t="array" ref="V995">+J995+(4*(INDEX(MatchScoreTable,$Q995,20)-1))</f>
        <v>4</v>
      </c>
      <c r="W995" s="442">
        <f t="array" ref="W995">INDEX(INC_MINVALUES,$V995,$K$1)</f>
        <v>2.5</v>
      </c>
      <c r="X995" s="212">
        <f t="array" ref="X995">INDEX(INC_INCVALUES,$V995,$K$1)</f>
        <v>0.5</v>
      </c>
    </row>
    <row r="996" ht="15.75" customHeight="1">
      <c r="A996" s="435"/>
      <c r="B996" s="436"/>
      <c r="C996" s="95" t="str">
        <f t="array" ref="C996">IF(I996&gt;0,INDEX(DB,I996,8),"")</f>
        <v/>
      </c>
      <c r="D996" s="437">
        <f t="shared" si="1"/>
        <v>0</v>
      </c>
      <c r="F996" s="438">
        <f t="shared" si="2"/>
        <v>0</v>
      </c>
      <c r="G996" t="str">
        <f t="shared" si="3"/>
        <v/>
      </c>
      <c r="H996" t="b">
        <f t="shared" si="4"/>
        <v>0</v>
      </c>
      <c r="I996" s="439">
        <f>IF(OR(ISBLANK(A996),ISNA(MATCH(A996&amp;"",AthleteNumbers,0))),0,MATCH(A996&amp;"",AthleteNumbers,0))</f>
        <v>0</v>
      </c>
      <c r="J996" s="209">
        <f t="array" ref="J996">IF(I996&gt;0,INDEX(DB,$I996,6),0)</f>
        <v>0</v>
      </c>
      <c r="K996" s="446">
        <f t="shared" si="5"/>
        <v>0</v>
      </c>
      <c r="L996" s="446">
        <f t="shared" si="6"/>
        <v>0</v>
      </c>
      <c r="M996" s="441">
        <f>IF(L996&lt;O996,MinPoints,IF(AND(L996&gt;N996,O996&gt;0),100,+INT(($L996-O996)/P996)+MinPoints))</f>
        <v>10</v>
      </c>
      <c r="N996" s="440">
        <f t="shared" si="7"/>
        <v>50</v>
      </c>
      <c r="O996" s="440">
        <f t="shared" si="8"/>
        <v>5</v>
      </c>
      <c r="P996" s="440">
        <f t="shared" si="9"/>
        <v>0.5</v>
      </c>
      <c r="Q996">
        <f t="array" ref="Q996">IF(I996&gt;0,INDEX(DB,I996,9),EventIndex)</f>
        <v>6</v>
      </c>
      <c r="S996" s="442">
        <f t="array" ref="S996">INDEX(MINVALUES,$Q996,$K$1)</f>
        <v>5</v>
      </c>
      <c r="T996">
        <f t="array" ref="T996">INDEX(INCVALUES,$Q996,$K$1)</f>
        <v>0.5</v>
      </c>
      <c r="V996">
        <f t="array" ref="V996">+J996+(4*(INDEX(MatchScoreTable,$Q996,20)-1))</f>
        <v>4</v>
      </c>
      <c r="W996" s="442">
        <f t="array" ref="W996">INDEX(INC_MINVALUES,$V996,$K$1)</f>
        <v>2.5</v>
      </c>
      <c r="X996" s="212">
        <f t="array" ref="X996">INDEX(INC_INCVALUES,$V996,$K$1)</f>
        <v>0.5</v>
      </c>
    </row>
    <row r="997" ht="15.75" customHeight="1">
      <c r="A997" s="435"/>
      <c r="B997" s="436"/>
      <c r="C997" s="95" t="str">
        <f t="array" ref="C997">IF(I997&gt;0,INDEX(DB,I997,8),"")</f>
        <v/>
      </c>
      <c r="D997" s="437">
        <f t="shared" si="1"/>
        <v>0</v>
      </c>
      <c r="F997" s="438">
        <f t="shared" si="2"/>
        <v>0</v>
      </c>
      <c r="G997" t="str">
        <f t="shared" si="3"/>
        <v/>
      </c>
      <c r="H997" t="b">
        <f t="shared" si="4"/>
        <v>0</v>
      </c>
      <c r="I997" s="439">
        <f>IF(OR(ISBLANK(A997),ISNA(MATCH(A997&amp;"",AthleteNumbers,0))),0,MATCH(A997&amp;"",AthleteNumbers,0))</f>
        <v>0</v>
      </c>
      <c r="J997" s="209">
        <f t="array" ref="J997">IF(I997&gt;0,INDEX(DB,$I997,6),0)</f>
        <v>0</v>
      </c>
      <c r="K997" s="446">
        <f t="shared" si="5"/>
        <v>0</v>
      </c>
      <c r="L997" s="446">
        <f t="shared" si="6"/>
        <v>0</v>
      </c>
      <c r="M997" s="441">
        <f>IF(L997&lt;O997,MinPoints,IF(AND(L997&gt;N997,O997&gt;0),100,+INT(($L997-O997)/P997)+MinPoints))</f>
        <v>10</v>
      </c>
      <c r="N997" s="440">
        <f t="shared" si="7"/>
        <v>50</v>
      </c>
      <c r="O997" s="440">
        <f t="shared" si="8"/>
        <v>5</v>
      </c>
      <c r="P997" s="440">
        <f t="shared" si="9"/>
        <v>0.5</v>
      </c>
      <c r="Q997">
        <f t="array" ref="Q997">IF(I997&gt;0,INDEX(DB,I997,9),EventIndex)</f>
        <v>6</v>
      </c>
      <c r="S997" s="442">
        <f t="array" ref="S997">INDEX(MINVALUES,$Q997,$K$1)</f>
        <v>5</v>
      </c>
      <c r="T997">
        <f t="array" ref="T997">INDEX(INCVALUES,$Q997,$K$1)</f>
        <v>0.5</v>
      </c>
      <c r="V997">
        <f t="array" ref="V997">+J997+(4*(INDEX(MatchScoreTable,$Q997,20)-1))</f>
        <v>4</v>
      </c>
      <c r="W997" s="442">
        <f t="array" ref="W997">INDEX(INC_MINVALUES,$V997,$K$1)</f>
        <v>2.5</v>
      </c>
      <c r="X997" s="212">
        <f t="array" ref="X997">INDEX(INC_INCVALUES,$V997,$K$1)</f>
        <v>0.5</v>
      </c>
    </row>
    <row r="998" ht="15.75" customHeight="1">
      <c r="A998" s="435"/>
      <c r="B998" s="436"/>
      <c r="C998" s="95" t="str">
        <f t="array" ref="C998">IF(I998&gt;0,INDEX(DB,I998,8),"")</f>
        <v/>
      </c>
      <c r="D998" s="437">
        <f t="shared" si="1"/>
        <v>0</v>
      </c>
      <c r="F998" s="438">
        <f t="shared" si="2"/>
        <v>0</v>
      </c>
      <c r="G998" t="str">
        <f t="shared" si="3"/>
        <v/>
      </c>
      <c r="H998" t="b">
        <f t="shared" si="4"/>
        <v>0</v>
      </c>
      <c r="I998" s="439">
        <f>IF(OR(ISBLANK(A998),ISNA(MATCH(A998&amp;"",AthleteNumbers,0))),0,MATCH(A998&amp;"",AthleteNumbers,0))</f>
        <v>0</v>
      </c>
      <c r="J998" s="209">
        <f t="array" ref="J998">IF(I998&gt;0,INDEX(DB,$I998,6),0)</f>
        <v>0</v>
      </c>
      <c r="K998" s="446">
        <f t="shared" si="5"/>
        <v>0</v>
      </c>
      <c r="L998" s="446">
        <f t="shared" si="6"/>
        <v>0</v>
      </c>
      <c r="M998" s="441">
        <f>IF(L998&lt;O998,MinPoints,IF(AND(L998&gt;N998,O998&gt;0),100,+INT(($L998-O998)/P998)+MinPoints))</f>
        <v>10</v>
      </c>
      <c r="N998" s="440">
        <f t="shared" si="7"/>
        <v>50</v>
      </c>
      <c r="O998" s="440">
        <f t="shared" si="8"/>
        <v>5</v>
      </c>
      <c r="P998" s="440">
        <f t="shared" si="9"/>
        <v>0.5</v>
      </c>
      <c r="Q998">
        <f t="array" ref="Q998">IF(I998&gt;0,INDEX(DB,I998,9),EventIndex)</f>
        <v>6</v>
      </c>
      <c r="S998" s="442">
        <f t="array" ref="S998">INDEX(MINVALUES,$Q998,$K$1)</f>
        <v>5</v>
      </c>
      <c r="T998">
        <f t="array" ref="T998">INDEX(INCVALUES,$Q998,$K$1)</f>
        <v>0.5</v>
      </c>
      <c r="V998">
        <f t="array" ref="V998">+J998+(4*(INDEX(MatchScoreTable,$Q998,20)-1))</f>
        <v>4</v>
      </c>
      <c r="W998" s="442">
        <f t="array" ref="W998">INDEX(INC_MINVALUES,$V998,$K$1)</f>
        <v>2.5</v>
      </c>
      <c r="X998" s="212">
        <f t="array" ref="X998">INDEX(INC_INCVALUES,$V998,$K$1)</f>
        <v>0.5</v>
      </c>
    </row>
    <row r="999" ht="15.75" customHeight="1">
      <c r="A999" s="435"/>
      <c r="B999" s="436"/>
      <c r="C999" s="95" t="str">
        <f t="array" ref="C999">IF(I999&gt;0,INDEX(DB,I999,8),"")</f>
        <v/>
      </c>
      <c r="D999" s="437">
        <f t="shared" si="1"/>
        <v>0</v>
      </c>
      <c r="F999" s="438">
        <f t="shared" si="2"/>
        <v>0</v>
      </c>
      <c r="G999" t="str">
        <f t="shared" si="3"/>
        <v/>
      </c>
      <c r="H999" t="b">
        <f t="shared" si="4"/>
        <v>0</v>
      </c>
      <c r="I999" s="439">
        <f>IF(OR(ISBLANK(A999),ISNA(MATCH(A999&amp;"",AthleteNumbers,0))),0,MATCH(A999&amp;"",AthleteNumbers,0))</f>
        <v>0</v>
      </c>
      <c r="J999" s="209">
        <f t="array" ref="J999">IF(I999&gt;0,INDEX(DB,$I999,6),0)</f>
        <v>0</v>
      </c>
      <c r="K999" s="446">
        <f t="shared" si="5"/>
        <v>0</v>
      </c>
      <c r="L999" s="446">
        <f t="shared" si="6"/>
        <v>0</v>
      </c>
      <c r="M999" s="441">
        <f>IF(L999&lt;O999,MinPoints,IF(AND(L999&gt;N999,O999&gt;0),100,+INT(($L999-O999)/P999)+MinPoints))</f>
        <v>10</v>
      </c>
      <c r="N999" s="440">
        <f t="shared" si="7"/>
        <v>50</v>
      </c>
      <c r="O999" s="440">
        <f t="shared" si="8"/>
        <v>5</v>
      </c>
      <c r="P999" s="440">
        <f t="shared" si="9"/>
        <v>0.5</v>
      </c>
      <c r="Q999">
        <f t="array" ref="Q999">IF(I999&gt;0,INDEX(DB,I999,9),EventIndex)</f>
        <v>6</v>
      </c>
      <c r="S999" s="442">
        <f t="array" ref="S999">INDEX(MINVALUES,$Q999,$K$1)</f>
        <v>5</v>
      </c>
      <c r="T999">
        <f t="array" ref="T999">INDEX(INCVALUES,$Q999,$K$1)</f>
        <v>0.5</v>
      </c>
      <c r="V999">
        <f t="array" ref="V999">+J999+(4*(INDEX(MatchScoreTable,$Q999,20)-1))</f>
        <v>4</v>
      </c>
      <c r="W999" s="442">
        <f t="array" ref="W999">INDEX(INC_MINVALUES,$V999,$K$1)</f>
        <v>2.5</v>
      </c>
      <c r="X999" s="212">
        <f t="array" ref="X999">INDEX(INC_INCVALUES,$V999,$K$1)</f>
        <v>0.5</v>
      </c>
    </row>
    <row r="1000" ht="15.75" customHeight="1">
      <c r="A1000" s="435"/>
      <c r="B1000" s="436"/>
      <c r="C1000" s="95" t="str">
        <f t="array" ref="C1000">IF(I1000&gt;0,INDEX(DB,I1000,8),"")</f>
        <v/>
      </c>
      <c r="D1000" s="437">
        <f t="shared" si="1"/>
        <v>0</v>
      </c>
      <c r="F1000" s="438">
        <f t="shared" si="2"/>
        <v>0</v>
      </c>
      <c r="G1000" t="str">
        <f t="shared" si="3"/>
        <v/>
      </c>
      <c r="H1000" t="b">
        <f t="shared" si="4"/>
        <v>0</v>
      </c>
      <c r="I1000" s="439">
        <f>IF(OR(ISBLANK(A1000),ISNA(MATCH(A1000&amp;"",AthleteNumbers,0))),0,MATCH(A1000&amp;"",AthleteNumbers,0))</f>
        <v>0</v>
      </c>
      <c r="J1000" s="209">
        <f t="array" ref="J1000">IF(I1000&gt;0,INDEX(DB,$I1000,6),0)</f>
        <v>0</v>
      </c>
      <c r="K1000" s="446">
        <f t="shared" si="5"/>
        <v>0</v>
      </c>
      <c r="L1000" s="446">
        <f t="shared" si="6"/>
        <v>0</v>
      </c>
      <c r="M1000" s="441">
        <f>IF(L1000&lt;O1000,MinPoints,IF(AND(L1000&gt;N1000,O1000&gt;0),100,+INT(($L1000-O1000)/P1000)+MinPoints))</f>
        <v>10</v>
      </c>
      <c r="N1000" s="440">
        <f t="shared" si="7"/>
        <v>50</v>
      </c>
      <c r="O1000" s="440">
        <f t="shared" si="8"/>
        <v>5</v>
      </c>
      <c r="P1000" s="440">
        <f t="shared" si="9"/>
        <v>0.5</v>
      </c>
      <c r="Q1000">
        <f t="array" ref="Q1000">IF(I1000&gt;0,INDEX(DB,I1000,9),EventIndex)</f>
        <v>6</v>
      </c>
      <c r="S1000" s="442">
        <f t="array" ref="S1000">INDEX(MINVALUES,$Q1000,$K$1)</f>
        <v>5</v>
      </c>
      <c r="T1000">
        <f t="array" ref="T1000">INDEX(INCVALUES,$Q1000,$K$1)</f>
        <v>0.5</v>
      </c>
      <c r="V1000">
        <f t="array" ref="V1000">+J1000+(4*(INDEX(MatchScoreTable,$Q1000,20)-1))</f>
        <v>4</v>
      </c>
      <c r="W1000" s="442">
        <f t="array" ref="W1000">INDEX(INC_MINVALUES,$V1000,$K$1)</f>
        <v>2.5</v>
      </c>
      <c r="X1000" s="212">
        <f t="array" ref="X1000">INDEX(INC_INCVALUES,$V1000,$K$1)</f>
        <v>0.5</v>
      </c>
    </row>
    <row r="1001" ht="15.75" customHeight="1">
      <c r="A1001" s="435"/>
      <c r="B1001" s="436"/>
      <c r="C1001" s="95" t="str">
        <f t="array" ref="C1001">IF(I1001&gt;0,INDEX(DB,I1001,8),"")</f>
        <v/>
      </c>
      <c r="D1001" s="437">
        <f t="shared" si="1"/>
        <v>0</v>
      </c>
      <c r="F1001" s="438">
        <f t="shared" si="2"/>
        <v>0</v>
      </c>
      <c r="G1001" t="str">
        <f t="shared" si="3"/>
        <v/>
      </c>
      <c r="H1001" t="b">
        <f t="shared" si="4"/>
        <v>0</v>
      </c>
      <c r="I1001" s="439">
        <f>IF(OR(ISBLANK(A1001),ISNA(MATCH(A1001&amp;"",AthleteNumbers,0))),0,MATCH(A1001&amp;"",AthleteNumbers,0))</f>
        <v>0</v>
      </c>
      <c r="J1001" s="209">
        <f t="array" ref="J1001">IF(I1001&gt;0,INDEX(DB,$I1001,6),0)</f>
        <v>0</v>
      </c>
      <c r="K1001" s="446">
        <f t="shared" si="5"/>
        <v>0</v>
      </c>
      <c r="L1001" s="446">
        <f t="shared" si="6"/>
        <v>0</v>
      </c>
      <c r="M1001" s="441">
        <f>IF(L1001&lt;O1001,MinPoints,IF(AND(L1001&gt;N1001,O1001&gt;0),100,+INT(($L1001-O1001)/P1001)+MinPoints))</f>
        <v>10</v>
      </c>
      <c r="N1001" s="440">
        <f t="shared" si="7"/>
        <v>50</v>
      </c>
      <c r="O1001" s="440">
        <f t="shared" si="8"/>
        <v>5</v>
      </c>
      <c r="P1001" s="440">
        <f t="shared" si="9"/>
        <v>0.5</v>
      </c>
      <c r="Q1001">
        <f t="array" ref="Q1001">IF(I1001&gt;0,INDEX(DB,I1001,9),EventIndex)</f>
        <v>6</v>
      </c>
      <c r="S1001" s="442">
        <f t="array" ref="S1001">INDEX(MINVALUES,$Q1001,$K$1)</f>
        <v>5</v>
      </c>
      <c r="T1001">
        <f t="array" ref="T1001">INDEX(INCVALUES,$Q1001,$K$1)</f>
        <v>0.5</v>
      </c>
      <c r="V1001">
        <f t="array" ref="V1001">+J1001+(4*(INDEX(MatchScoreTable,$Q1001,20)-1))</f>
        <v>4</v>
      </c>
      <c r="W1001" s="442">
        <f t="array" ref="W1001">INDEX(INC_MINVALUES,$V1001,$K$1)</f>
        <v>2.5</v>
      </c>
      <c r="X1001" s="212">
        <f t="array" ref="X1001">INDEX(INC_INCVALUES,$V1001,$K$1)</f>
        <v>0.5</v>
      </c>
    </row>
    <row r="1002" ht="15.75" customHeight="1">
      <c r="A1002" s="449"/>
      <c r="B1002" s="450"/>
      <c r="C1002" s="95" t="str">
        <f t="array" ref="C1002">IF(I1002&gt;0,INDEX(DB,I1002,8),"")</f>
        <v/>
      </c>
      <c r="D1002" s="451">
        <f t="shared" si="1"/>
        <v>0</v>
      </c>
      <c r="F1002" s="209"/>
      <c r="J1002" s="209"/>
      <c r="L1002" s="440"/>
      <c r="O1002" s="440"/>
      <c r="P1002" s="440"/>
      <c r="Q1002" s="440"/>
    </row>
  </sheetData>
  <mergeCells count="1">
    <mergeCell ref="A1:B1"/>
  </mergeCells>
  <conditionalFormatting sqref="D3">
    <cfRule type="expression" dxfId="0" priority="1">
      <formula>AND($F3&lt;=1,$G3="",$H3=TRUE)</formula>
    </cfRule>
  </conditionalFormatting>
  <conditionalFormatting sqref="D3">
    <cfRule type="expression" dxfId="1" priority="2">
      <formula>$F3&gt;1</formula>
    </cfRule>
  </conditionalFormatting>
  <conditionalFormatting sqref="D3">
    <cfRule type="expression" dxfId="2" priority="3">
      <formula>$G3="CHECK"</formula>
    </cfRule>
  </conditionalFormatting>
  <conditionalFormatting sqref="D4:D1001">
    <cfRule type="expression" dxfId="0" priority="4">
      <formula>AND($F4&lt;=1,$G4="",$H4=TRUE)</formula>
    </cfRule>
  </conditionalFormatting>
  <conditionalFormatting sqref="D4:D1001">
    <cfRule type="expression" dxfId="1" priority="5">
      <formula>$F4&gt;1</formula>
    </cfRule>
  </conditionalFormatting>
  <conditionalFormatting sqref="D4:D1001">
    <cfRule type="expression" dxfId="2" priority="6">
      <formula>$G4="CHECK"</formula>
    </cfRule>
  </conditionalFormatting>
  <conditionalFormatting sqref="C3">
    <cfRule type="expression" dxfId="0" priority="7">
      <formula>AND($F3&lt;=1,$G3="",$H3=TRUE)</formula>
    </cfRule>
  </conditionalFormatting>
  <conditionalFormatting sqref="C3">
    <cfRule type="expression" dxfId="1" priority="8">
      <formula>$F3&gt;1</formula>
    </cfRule>
  </conditionalFormatting>
  <conditionalFormatting sqref="C3">
    <cfRule type="expression" dxfId="2" priority="9">
      <formula>$G3="CHECK"</formula>
    </cfRule>
  </conditionalFormatting>
  <conditionalFormatting sqref="C4:C1002">
    <cfRule type="expression" dxfId="0" priority="10">
      <formula>AND($F4&lt;=1,$G4="",$H4=TRUE)</formula>
    </cfRule>
  </conditionalFormatting>
  <conditionalFormatting sqref="C4:C1002">
    <cfRule type="expression" dxfId="1" priority="11">
      <formula>$F4&gt;1</formula>
    </cfRule>
  </conditionalFormatting>
  <conditionalFormatting sqref="C4:C1002">
    <cfRule type="expression" dxfId="2" priority="12">
      <formula>$G4="CHECK"</formula>
    </cfRule>
  </conditionalFormatting>
  <conditionalFormatting sqref="A3:A44">
    <cfRule type="expression" dxfId="0" priority="13">
      <formula>AND($F3&lt;=1,$G3="",$H3=TRUE)</formula>
    </cfRule>
  </conditionalFormatting>
  <conditionalFormatting sqref="A3:A44">
    <cfRule type="expression" dxfId="1" priority="14">
      <formula>$F3&gt;1</formula>
    </cfRule>
  </conditionalFormatting>
  <conditionalFormatting sqref="A3:A44">
    <cfRule type="expression" dxfId="2" priority="15">
      <formula>$G3="CHECK"</formula>
    </cfRule>
  </conditionalFormatting>
  <conditionalFormatting sqref="B3:B44">
    <cfRule type="expression" dxfId="0" priority="16">
      <formula>AND($F3&lt;=1,$G3="",$H3=TRUE)</formula>
    </cfRule>
  </conditionalFormatting>
  <conditionalFormatting sqref="B3:B44">
    <cfRule type="expression" dxfId="1" priority="17">
      <formula>$F3&gt;1</formula>
    </cfRule>
  </conditionalFormatting>
  <conditionalFormatting sqref="B3:B44">
    <cfRule type="expression" dxfId="2" priority="18">
      <formula>$G3="CHECK"</formula>
    </cfRule>
  </conditionalFormatting>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99CC00"/>
    <pageSetUpPr/>
  </sheetPr>
  <sheetViews>
    <sheetView workbookViewId="0"/>
  </sheetViews>
  <sheetFormatPr customHeight="1" defaultColWidth="14.43" defaultRowHeight="15.0"/>
  <cols>
    <col customWidth="1" min="1" max="1" width="6.71"/>
    <col customWidth="1" min="2" max="2" width="38.43"/>
    <col customWidth="1" min="3" max="3" width="15.29"/>
    <col customWidth="1" min="4" max="4" width="14.29"/>
    <col customWidth="1" min="5" max="5" width="10.29"/>
    <col customWidth="1" min="6" max="6" width="9.14"/>
    <col customWidth="1" hidden="1" min="7" max="18" width="9.14"/>
    <col customWidth="1" min="19" max="26" width="8.0"/>
  </cols>
  <sheetData>
    <row r="1" ht="28.5" customHeight="1">
      <c r="A1" s="422" t="str">
        <f>"Event:"</f>
        <v>Event:</v>
      </c>
      <c r="C1" s="423" t="s">
        <v>48</v>
      </c>
      <c r="D1" s="209"/>
      <c r="F1" s="424">
        <f>COUNTIF(D4:D38,"&gt;0")/COUNTA(B4:B38)</f>
        <v>0</v>
      </c>
      <c r="J1" s="114" t="s">
        <v>382</v>
      </c>
      <c r="K1" s="425">
        <v>5.0</v>
      </c>
      <c r="L1" s="114" t="s">
        <v>41</v>
      </c>
      <c r="M1" s="426">
        <f t="array" ref="M1">+INDEX(ScoreValues,2,$K$1)</f>
        <v>94</v>
      </c>
      <c r="N1" s="114" t="s">
        <v>42</v>
      </c>
      <c r="O1" s="426">
        <f t="array" ref="O1">+INDEX(ScoreValues,4,$K$1)</f>
        <v>0.5</v>
      </c>
      <c r="P1" s="114"/>
      <c r="Q1" s="114" t="s">
        <v>93</v>
      </c>
      <c r="R1" s="426">
        <f t="array" ref="R1">+INDEX(ScoreValues,3,$K$1)</f>
        <v>49</v>
      </c>
      <c r="S1" s="210"/>
      <c r="T1" s="210"/>
      <c r="U1" s="210"/>
      <c r="V1" s="210"/>
      <c r="W1" s="210"/>
      <c r="X1" s="210"/>
      <c r="Y1" s="210"/>
      <c r="Z1" s="210"/>
    </row>
    <row r="2" ht="14.25" customHeight="1">
      <c r="A2" s="210"/>
      <c r="B2" s="210"/>
      <c r="C2" s="266"/>
      <c r="D2" s="266"/>
      <c r="E2" s="210"/>
      <c r="F2" s="210"/>
      <c r="G2" s="210"/>
      <c r="H2" s="210"/>
      <c r="I2" s="210"/>
      <c r="J2" s="210"/>
      <c r="K2" s="210"/>
      <c r="L2" s="210"/>
      <c r="M2" s="210"/>
      <c r="N2" s="210"/>
      <c r="O2" s="210"/>
      <c r="P2" s="210"/>
      <c r="Q2" s="210"/>
      <c r="R2" s="210"/>
      <c r="S2" s="210"/>
      <c r="T2" s="210"/>
      <c r="U2" s="210"/>
      <c r="V2" s="210"/>
      <c r="W2" s="210"/>
      <c r="X2" s="210"/>
      <c r="Y2" s="210"/>
      <c r="Z2" s="210"/>
    </row>
    <row r="3" ht="20.25" customHeight="1">
      <c r="A3" s="210"/>
      <c r="B3" s="452" t="s">
        <v>308</v>
      </c>
      <c r="C3" s="453" t="s">
        <v>317</v>
      </c>
      <c r="D3" s="454" t="s">
        <v>318</v>
      </c>
      <c r="E3" s="210"/>
      <c r="F3" s="210"/>
      <c r="G3" s="210"/>
      <c r="H3" s="210"/>
      <c r="I3" s="433" t="s">
        <v>387</v>
      </c>
      <c r="J3" s="433" t="s">
        <v>388</v>
      </c>
      <c r="K3" s="434" t="s">
        <v>389</v>
      </c>
      <c r="L3" s="209" t="s">
        <v>390</v>
      </c>
      <c r="M3" s="209" t="s">
        <v>391</v>
      </c>
      <c r="N3" s="209" t="s">
        <v>392</v>
      </c>
      <c r="O3" s="209" t="s">
        <v>318</v>
      </c>
      <c r="P3" s="113"/>
      <c r="Q3" s="113"/>
      <c r="R3" s="113"/>
      <c r="S3" s="210"/>
      <c r="T3" s="210"/>
      <c r="U3" s="210"/>
      <c r="V3" s="210"/>
      <c r="W3" s="210"/>
      <c r="X3" s="210"/>
      <c r="Y3" s="210"/>
      <c r="Z3" s="210"/>
    </row>
    <row r="4" ht="18.0" customHeight="1">
      <c r="A4" s="455">
        <v>1.0</v>
      </c>
      <c r="B4" s="456" t="str">
        <f t="array" ref="B4">IF(ISERR(INDEX(teamnames,G4)),"",INDEX(teamnames,G4))</f>
        <v/>
      </c>
      <c r="C4" s="457"/>
      <c r="D4" s="458">
        <f t="shared" ref="D4:D38" si="1">IF(AND(C4&gt;0,ISNUMBER(C4)),O4,0)</f>
        <v>0</v>
      </c>
      <c r="E4" s="266" t="str">
        <f t="shared" ref="E4:E38" si="2">IF(I4,"CHECK","")</f>
        <v/>
      </c>
      <c r="F4" s="210"/>
      <c r="G4" s="210">
        <v>1.0</v>
      </c>
      <c r="H4" s="210"/>
      <c r="I4" t="b">
        <f t="shared" ref="I4:I38" si="3">IF(AND(ISNUMBER(C4),OR(D4&lt;=10,D4&gt;=90)),TRUE,FALSE)</f>
        <v>0</v>
      </c>
      <c r="J4" t="b">
        <f t="shared" ref="J4:J38" si="4">IF(AND(LEN(C4)&gt;0,LEN(E4)&gt;0,D4&lt;&gt;0),TRUE,FALSE)</f>
        <v>0</v>
      </c>
      <c r="K4" s="439">
        <f>IF(ISNA(MATCH(C4,AthleteNumbers,0)),0,MATCH(C4,AthleteNumbers,0))</f>
        <v>0</v>
      </c>
      <c r="L4" s="209">
        <f t="array" ref="L4">IF(K4&gt;0,INDEX(DB,$I4,6),0)</f>
        <v>0</v>
      </c>
      <c r="M4" s="440">
        <f t="shared" ref="M4:M38" si="5">IF(ISNUMBER(C4),ROUND(+C4,1),0)</f>
        <v>0</v>
      </c>
      <c r="N4" s="440">
        <f t="shared" ref="N4:N38" si="6">ROUND(+M4,1)</f>
        <v>0</v>
      </c>
      <c r="O4" s="441">
        <f>IF(M4&gt;$M$1,MinPoints,IF(M4&lt;$R$1,100,+INT(($M$1-$M4)/$O$1)+MinPoints))</f>
        <v>100</v>
      </c>
      <c r="P4" s="440"/>
      <c r="Q4" s="440"/>
      <c r="R4" s="440"/>
      <c r="S4" s="210"/>
      <c r="T4" s="210"/>
      <c r="U4" s="210"/>
      <c r="V4" s="210"/>
      <c r="W4" s="210"/>
      <c r="X4" s="210"/>
      <c r="Y4" s="210"/>
      <c r="Z4" s="210"/>
    </row>
    <row r="5" ht="18.0" customHeight="1">
      <c r="A5" s="455">
        <v>2.0</v>
      </c>
      <c r="B5" s="459" t="str">
        <f t="array" ref="B5">IF(ISERR(INDEX(teamnames,G5)),"",INDEX(teamnames,G5))</f>
        <v/>
      </c>
      <c r="C5" s="460"/>
      <c r="D5" s="461">
        <f t="shared" si="1"/>
        <v>0</v>
      </c>
      <c r="E5" s="266" t="str">
        <f t="shared" si="2"/>
        <v/>
      </c>
      <c r="F5" s="210"/>
      <c r="G5" s="210">
        <f t="shared" ref="G5:G38" si="7">+G4+16</f>
        <v>17</v>
      </c>
      <c r="H5" s="210"/>
      <c r="I5" t="b">
        <f t="shared" si="3"/>
        <v>0</v>
      </c>
      <c r="J5" t="b">
        <f t="shared" si="4"/>
        <v>0</v>
      </c>
      <c r="K5" s="439">
        <f>IF(ISNA(MATCH(C5,AthleteNumbers,0)),0,MATCH(C5,AthleteNumbers,0))</f>
        <v>0</v>
      </c>
      <c r="L5" s="209">
        <f t="array" ref="L5">IF(K5&gt;0,INDEX(DB,$I5,6),0)</f>
        <v>0</v>
      </c>
      <c r="M5" s="440">
        <f t="shared" si="5"/>
        <v>0</v>
      </c>
      <c r="N5" s="440">
        <f t="shared" si="6"/>
        <v>0</v>
      </c>
      <c r="O5" s="441">
        <f>IF(M5&gt;$M$1,MinPoints,IF(M5&lt;$R$1,100,+INT(($M$1-$M5)/$O$1)+MinPoints))</f>
        <v>100</v>
      </c>
      <c r="P5" s="440"/>
      <c r="Q5" s="440"/>
      <c r="R5" s="440"/>
      <c r="S5" s="210"/>
      <c r="T5" s="210"/>
      <c r="U5" s="210"/>
      <c r="V5" s="210"/>
      <c r="W5" s="210"/>
      <c r="X5" s="210"/>
      <c r="Y5" s="210"/>
      <c r="Z5" s="210"/>
    </row>
    <row r="6" ht="18.0" customHeight="1">
      <c r="A6" s="455">
        <v>3.0</v>
      </c>
      <c r="B6" s="459" t="str">
        <f t="array" ref="B6">IF(ISERR(INDEX(teamnames,G6)),"",INDEX(teamnames,G6))</f>
        <v/>
      </c>
      <c r="C6" s="460"/>
      <c r="D6" s="461">
        <f t="shared" si="1"/>
        <v>0</v>
      </c>
      <c r="E6" s="266" t="str">
        <f t="shared" si="2"/>
        <v/>
      </c>
      <c r="F6" s="210"/>
      <c r="G6" s="210">
        <f t="shared" si="7"/>
        <v>33</v>
      </c>
      <c r="H6" s="210"/>
      <c r="I6" t="b">
        <f t="shared" si="3"/>
        <v>0</v>
      </c>
      <c r="J6" t="b">
        <f t="shared" si="4"/>
        <v>0</v>
      </c>
      <c r="K6" s="439">
        <f>IF(ISNA(MATCH(C6,AthleteNumbers,0)),0,MATCH(C6,AthleteNumbers,0))</f>
        <v>0</v>
      </c>
      <c r="L6" s="209">
        <f t="array" ref="L6">IF(K6&gt;0,INDEX(DB,$I6,6),0)</f>
        <v>0</v>
      </c>
      <c r="M6" s="440">
        <f t="shared" si="5"/>
        <v>0</v>
      </c>
      <c r="N6" s="440">
        <f t="shared" si="6"/>
        <v>0</v>
      </c>
      <c r="O6" s="441">
        <f>IF(M6&gt;$M$1,MinPoints,IF(M6&lt;$R$1,100,+INT(($M$1-$M6)/$O$1)+MinPoints))</f>
        <v>100</v>
      </c>
      <c r="P6" s="440"/>
      <c r="Q6" s="440"/>
      <c r="R6" s="440"/>
      <c r="S6" s="210"/>
      <c r="T6" s="210"/>
      <c r="U6" s="210"/>
      <c r="V6" s="210"/>
      <c r="W6" s="210"/>
      <c r="X6" s="210"/>
      <c r="Y6" s="210"/>
      <c r="Z6" s="210"/>
    </row>
    <row r="7" ht="18.0" customHeight="1">
      <c r="A7" s="455">
        <v>4.0</v>
      </c>
      <c r="B7" s="459" t="str">
        <f t="array" ref="B7">IF(ISERR(INDEX(teamnames,G7)),"",INDEX(teamnames,G7))</f>
        <v/>
      </c>
      <c r="C7" s="460"/>
      <c r="D7" s="461">
        <f t="shared" si="1"/>
        <v>0</v>
      </c>
      <c r="E7" s="266" t="str">
        <f t="shared" si="2"/>
        <v/>
      </c>
      <c r="F7" s="210"/>
      <c r="G7" s="210">
        <f t="shared" si="7"/>
        <v>49</v>
      </c>
      <c r="H7" s="210"/>
      <c r="I7" t="b">
        <f t="shared" si="3"/>
        <v>0</v>
      </c>
      <c r="J7" t="b">
        <f t="shared" si="4"/>
        <v>0</v>
      </c>
      <c r="K7" s="439">
        <f>IF(ISNA(MATCH(C7,AthleteNumbers,0)),0,MATCH(C7,AthleteNumbers,0))</f>
        <v>0</v>
      </c>
      <c r="L7" s="209">
        <f t="array" ref="L7">IF(K7&gt;0,INDEX(DB,$I7,6),0)</f>
        <v>0</v>
      </c>
      <c r="M7" s="440">
        <f t="shared" si="5"/>
        <v>0</v>
      </c>
      <c r="N7" s="440">
        <f t="shared" si="6"/>
        <v>0</v>
      </c>
      <c r="O7" s="441">
        <f>IF(M7&gt;$M$1,MinPoints,IF(M7&lt;$R$1,100,+INT(($M$1-$M7)/$O$1)+MinPoints))</f>
        <v>100</v>
      </c>
      <c r="P7" s="440"/>
      <c r="Q7" s="440"/>
      <c r="R7" s="440"/>
      <c r="S7" s="210"/>
      <c r="T7" s="210"/>
      <c r="U7" s="210"/>
      <c r="V7" s="210"/>
      <c r="W7" s="210"/>
      <c r="X7" s="210"/>
      <c r="Y7" s="210"/>
      <c r="Z7" s="210"/>
    </row>
    <row r="8" ht="18.0" customHeight="1">
      <c r="A8" s="455">
        <v>5.0</v>
      </c>
      <c r="B8" s="459" t="str">
        <f t="array" ref="B8">IF(ISERR(INDEX(teamnames,G8)),"",INDEX(teamnames,G8))</f>
        <v/>
      </c>
      <c r="C8" s="460"/>
      <c r="D8" s="461">
        <f t="shared" si="1"/>
        <v>0</v>
      </c>
      <c r="E8" s="266" t="str">
        <f t="shared" si="2"/>
        <v/>
      </c>
      <c r="F8" s="210"/>
      <c r="G8" s="210">
        <f t="shared" si="7"/>
        <v>65</v>
      </c>
      <c r="H8" s="210"/>
      <c r="I8" t="b">
        <f t="shared" si="3"/>
        <v>0</v>
      </c>
      <c r="J8" t="b">
        <f t="shared" si="4"/>
        <v>0</v>
      </c>
      <c r="K8" s="439">
        <f>IF(ISNA(MATCH(C8,AthleteNumbers,0)),0,MATCH(C8,AthleteNumbers,0))</f>
        <v>0</v>
      </c>
      <c r="L8" s="209">
        <f t="array" ref="L8">IF(K8&gt;0,INDEX(DB,$I8,6),0)</f>
        <v>0</v>
      </c>
      <c r="M8" s="440">
        <f t="shared" si="5"/>
        <v>0</v>
      </c>
      <c r="N8" s="440">
        <f t="shared" si="6"/>
        <v>0</v>
      </c>
      <c r="O8" s="441">
        <f>IF(M8&gt;$M$1,MinPoints,IF(M8&lt;$R$1,100,+INT(($M$1-$M8)/$O$1)+MinPoints))</f>
        <v>100</v>
      </c>
      <c r="P8" s="440"/>
      <c r="Q8" s="440"/>
      <c r="R8" s="440"/>
      <c r="S8" s="210"/>
      <c r="T8" s="210"/>
      <c r="U8" s="210"/>
      <c r="V8" s="210"/>
      <c r="W8" s="210"/>
      <c r="X8" s="210"/>
      <c r="Y8" s="210"/>
      <c r="Z8" s="210"/>
    </row>
    <row r="9" ht="18.0" customHeight="1">
      <c r="A9" s="455">
        <v>6.0</v>
      </c>
      <c r="B9" s="459" t="str">
        <f t="array" ref="B9">IF(ISERR(INDEX(teamnames,G9)),"",INDEX(teamnames,G9))</f>
        <v/>
      </c>
      <c r="C9" s="460"/>
      <c r="D9" s="461">
        <f t="shared" si="1"/>
        <v>0</v>
      </c>
      <c r="E9" s="266" t="str">
        <f t="shared" si="2"/>
        <v/>
      </c>
      <c r="F9" s="210"/>
      <c r="G9" s="210">
        <f t="shared" si="7"/>
        <v>81</v>
      </c>
      <c r="H9" s="210"/>
      <c r="I9" t="b">
        <f t="shared" si="3"/>
        <v>0</v>
      </c>
      <c r="J9" t="b">
        <f t="shared" si="4"/>
        <v>0</v>
      </c>
      <c r="K9" s="439">
        <f>IF(ISNA(MATCH(C9,AthleteNumbers,0)),0,MATCH(C9,AthleteNumbers,0))</f>
        <v>0</v>
      </c>
      <c r="L9" s="209">
        <f t="array" ref="L9">IF(K9&gt;0,INDEX(DB,$I9,6),0)</f>
        <v>0</v>
      </c>
      <c r="M9" s="440">
        <f t="shared" si="5"/>
        <v>0</v>
      </c>
      <c r="N9" s="440">
        <f t="shared" si="6"/>
        <v>0</v>
      </c>
      <c r="O9" s="441">
        <f>IF(M9&gt;$M$1,MinPoints,IF(M9&lt;$R$1,100,+INT(($M$1-$M9)/$O$1)+MinPoints))</f>
        <v>100</v>
      </c>
      <c r="P9" s="440"/>
      <c r="Q9" s="440"/>
      <c r="R9" s="440"/>
      <c r="S9" s="210"/>
      <c r="T9" s="210"/>
      <c r="U9" s="210"/>
      <c r="V9" s="210"/>
      <c r="W9" s="210"/>
      <c r="X9" s="210"/>
      <c r="Y9" s="210"/>
      <c r="Z9" s="210"/>
    </row>
    <row r="10" ht="18.0" customHeight="1">
      <c r="A10" s="455">
        <v>7.0</v>
      </c>
      <c r="B10" s="459" t="str">
        <f t="array" ref="B10">IF(ISERR(INDEX(teamnames,G10)),"",INDEX(teamnames,G10))</f>
        <v/>
      </c>
      <c r="C10" s="460"/>
      <c r="D10" s="461">
        <f t="shared" si="1"/>
        <v>0</v>
      </c>
      <c r="E10" s="266" t="str">
        <f t="shared" si="2"/>
        <v/>
      </c>
      <c r="F10" s="210"/>
      <c r="G10" s="210">
        <f t="shared" si="7"/>
        <v>97</v>
      </c>
      <c r="H10" s="210"/>
      <c r="I10" t="b">
        <f t="shared" si="3"/>
        <v>0</v>
      </c>
      <c r="J10" t="b">
        <f t="shared" si="4"/>
        <v>0</v>
      </c>
      <c r="K10" s="439">
        <f>IF(ISNA(MATCH(C10,AthleteNumbers,0)),0,MATCH(C10,AthleteNumbers,0))</f>
        <v>0</v>
      </c>
      <c r="L10" s="209">
        <f t="array" ref="L10">IF(K10&gt;0,INDEX(DB,$I10,6),0)</f>
        <v>0</v>
      </c>
      <c r="M10" s="440">
        <f t="shared" si="5"/>
        <v>0</v>
      </c>
      <c r="N10" s="440">
        <f t="shared" si="6"/>
        <v>0</v>
      </c>
      <c r="O10" s="441">
        <f>IF(M10&gt;$M$1,MinPoints,IF(M10&lt;$R$1,100,+INT(($M$1-$M10)/$O$1)+MinPoints))</f>
        <v>100</v>
      </c>
      <c r="P10" s="210"/>
      <c r="Q10" s="210"/>
      <c r="R10" s="210"/>
      <c r="S10" s="210"/>
      <c r="T10" s="210"/>
      <c r="U10" s="210"/>
      <c r="V10" s="210"/>
      <c r="W10" s="210"/>
      <c r="X10" s="210"/>
      <c r="Y10" s="210"/>
      <c r="Z10" s="210"/>
    </row>
    <row r="11" ht="18.0" customHeight="1">
      <c r="A11" s="455">
        <v>8.0</v>
      </c>
      <c r="B11" s="459" t="str">
        <f t="array" ref="B11">IF(ISERR(INDEX(teamnames,G11)),"",INDEX(teamnames,G11))</f>
        <v/>
      </c>
      <c r="C11" s="460"/>
      <c r="D11" s="461">
        <f t="shared" si="1"/>
        <v>0</v>
      </c>
      <c r="E11" s="266" t="str">
        <f t="shared" si="2"/>
        <v/>
      </c>
      <c r="F11" s="210"/>
      <c r="G11" s="210">
        <f t="shared" si="7"/>
        <v>113</v>
      </c>
      <c r="H11" s="210"/>
      <c r="I11" t="b">
        <f t="shared" si="3"/>
        <v>0</v>
      </c>
      <c r="J11" t="b">
        <f t="shared" si="4"/>
        <v>0</v>
      </c>
      <c r="K11" s="439">
        <f>IF(ISNA(MATCH(C11,AthleteNumbers,0)),0,MATCH(C11,AthleteNumbers,0))</f>
        <v>0</v>
      </c>
      <c r="L11" s="209">
        <f t="array" ref="L11">IF(K11&gt;0,INDEX(DB,$I11,6),0)</f>
        <v>0</v>
      </c>
      <c r="M11" s="440">
        <f t="shared" si="5"/>
        <v>0</v>
      </c>
      <c r="N11" s="440">
        <f t="shared" si="6"/>
        <v>0</v>
      </c>
      <c r="O11" s="441">
        <f>IF(M11&gt;$M$1,MinPoints,IF(M11&lt;$R$1,100,+INT(($M$1-$M11)/$O$1)+MinPoints))</f>
        <v>100</v>
      </c>
      <c r="P11" s="210"/>
      <c r="Q11" s="210"/>
      <c r="R11" s="210"/>
      <c r="S11" s="210"/>
      <c r="T11" s="210"/>
      <c r="U11" s="210"/>
      <c r="V11" s="210"/>
      <c r="W11" s="210"/>
      <c r="X11" s="210"/>
      <c r="Y11" s="210"/>
      <c r="Z11" s="210"/>
    </row>
    <row r="12" ht="18.0" customHeight="1">
      <c r="A12" s="455">
        <v>9.0</v>
      </c>
      <c r="B12" s="459" t="str">
        <f t="array" ref="B12">IF(ISERR(INDEX(teamnames,G12)),"",INDEX(teamnames,G12))</f>
        <v/>
      </c>
      <c r="C12" s="460"/>
      <c r="D12" s="461">
        <f t="shared" si="1"/>
        <v>0</v>
      </c>
      <c r="E12" s="266" t="str">
        <f t="shared" si="2"/>
        <v/>
      </c>
      <c r="F12" s="210"/>
      <c r="G12" s="210">
        <f t="shared" si="7"/>
        <v>129</v>
      </c>
      <c r="H12" s="210"/>
      <c r="I12" t="b">
        <f t="shared" si="3"/>
        <v>0</v>
      </c>
      <c r="J12" t="b">
        <f t="shared" si="4"/>
        <v>0</v>
      </c>
      <c r="K12" s="439">
        <f>IF(ISNA(MATCH(C12,AthleteNumbers,0)),0,MATCH(C12,AthleteNumbers,0))</f>
        <v>0</v>
      </c>
      <c r="L12" s="209">
        <f t="array" ref="L12">IF(K12&gt;0,INDEX(DB,$I12,6),0)</f>
        <v>0</v>
      </c>
      <c r="M12" s="440">
        <f t="shared" si="5"/>
        <v>0</v>
      </c>
      <c r="N12" s="440">
        <f t="shared" si="6"/>
        <v>0</v>
      </c>
      <c r="O12" s="441">
        <f>IF(M12&gt;$M$1,MinPoints,IF(M12&lt;$R$1,100,+INT(($M$1-$M12)/$O$1)+MinPoints))</f>
        <v>100</v>
      </c>
      <c r="P12" s="210"/>
      <c r="Q12" s="210"/>
      <c r="R12" s="210"/>
      <c r="S12" s="210"/>
      <c r="T12" s="210"/>
      <c r="U12" s="210"/>
      <c r="V12" s="210"/>
      <c r="W12" s="210"/>
      <c r="X12" s="210"/>
      <c r="Y12" s="210"/>
      <c r="Z12" s="210"/>
    </row>
    <row r="13" ht="18.0" customHeight="1">
      <c r="A13" s="455">
        <v>10.0</v>
      </c>
      <c r="B13" s="459" t="str">
        <f t="array" ref="B13">IF(ISERR(INDEX(teamnames,G13)),"",INDEX(teamnames,G13))</f>
        <v/>
      </c>
      <c r="C13" s="460"/>
      <c r="D13" s="461">
        <f t="shared" si="1"/>
        <v>0</v>
      </c>
      <c r="E13" s="266" t="str">
        <f t="shared" si="2"/>
        <v/>
      </c>
      <c r="F13" s="210"/>
      <c r="G13" s="210">
        <f t="shared" si="7"/>
        <v>145</v>
      </c>
      <c r="H13" s="210"/>
      <c r="I13" t="b">
        <f t="shared" si="3"/>
        <v>0</v>
      </c>
      <c r="J13" t="b">
        <f t="shared" si="4"/>
        <v>0</v>
      </c>
      <c r="K13" s="439">
        <f>IF(ISNA(MATCH(C13,AthleteNumbers,0)),0,MATCH(C13,AthleteNumbers,0))</f>
        <v>0</v>
      </c>
      <c r="L13" s="209">
        <f t="array" ref="L13">IF(K13&gt;0,INDEX(DB,$I13,6),0)</f>
        <v>0</v>
      </c>
      <c r="M13" s="440">
        <f t="shared" si="5"/>
        <v>0</v>
      </c>
      <c r="N13" s="440">
        <f t="shared" si="6"/>
        <v>0</v>
      </c>
      <c r="O13" s="441">
        <f>IF(M13&gt;$M$1,MinPoints,IF(M13&lt;$R$1,100,+INT(($M$1-$M13)/$O$1)+MinPoints))</f>
        <v>100</v>
      </c>
      <c r="P13" s="210"/>
      <c r="Q13" s="210"/>
      <c r="R13" s="210"/>
      <c r="S13" s="210"/>
      <c r="T13" s="210"/>
      <c r="U13" s="210"/>
      <c r="V13" s="210"/>
      <c r="W13" s="210"/>
      <c r="X13" s="210"/>
      <c r="Y13" s="210"/>
      <c r="Z13" s="210"/>
    </row>
    <row r="14" ht="18.0" customHeight="1">
      <c r="A14" s="455">
        <v>11.0</v>
      </c>
      <c r="B14" s="459" t="str">
        <f t="array" ref="B14">IF(ISERR(INDEX(teamnames,G14)),"",INDEX(teamnames,G14))</f>
        <v/>
      </c>
      <c r="C14" s="460"/>
      <c r="D14" s="461">
        <f t="shared" si="1"/>
        <v>0</v>
      </c>
      <c r="E14" s="266" t="str">
        <f t="shared" si="2"/>
        <v/>
      </c>
      <c r="F14" s="210"/>
      <c r="G14" s="210">
        <f t="shared" si="7"/>
        <v>161</v>
      </c>
      <c r="H14" s="210"/>
      <c r="I14" t="b">
        <f t="shared" si="3"/>
        <v>0</v>
      </c>
      <c r="J14" t="b">
        <f t="shared" si="4"/>
        <v>0</v>
      </c>
      <c r="K14" s="439">
        <f>IF(ISNA(MATCH(C14,AthleteNumbers,0)),0,MATCH(C14,AthleteNumbers,0))</f>
        <v>0</v>
      </c>
      <c r="L14" s="209">
        <f t="array" ref="L14">IF(K14&gt;0,INDEX(DB,$I14,6),0)</f>
        <v>0</v>
      </c>
      <c r="M14" s="440">
        <f t="shared" si="5"/>
        <v>0</v>
      </c>
      <c r="N14" s="440">
        <f t="shared" si="6"/>
        <v>0</v>
      </c>
      <c r="O14" s="441">
        <f>IF(M14&gt;$M$1,MinPoints,IF(M14&lt;$R$1,100,+INT(($M$1-$M14)/$O$1)+MinPoints))</f>
        <v>100</v>
      </c>
      <c r="P14" s="210"/>
      <c r="Q14" s="210"/>
      <c r="R14" s="210"/>
      <c r="S14" s="210"/>
      <c r="T14" s="210"/>
      <c r="U14" s="210"/>
      <c r="V14" s="210"/>
      <c r="W14" s="210"/>
      <c r="X14" s="210"/>
      <c r="Y14" s="210"/>
      <c r="Z14" s="210"/>
    </row>
    <row r="15" ht="18.0" customHeight="1">
      <c r="A15" s="455">
        <v>12.0</v>
      </c>
      <c r="B15" s="459" t="str">
        <f t="array" ref="B15">IF(ISERR(INDEX(teamnames,G15)),"",INDEX(teamnames,G15))</f>
        <v/>
      </c>
      <c r="C15" s="460"/>
      <c r="D15" s="461">
        <f t="shared" si="1"/>
        <v>0</v>
      </c>
      <c r="E15" s="266" t="str">
        <f t="shared" si="2"/>
        <v/>
      </c>
      <c r="F15" s="210"/>
      <c r="G15" s="210">
        <f t="shared" si="7"/>
        <v>177</v>
      </c>
      <c r="H15" s="210"/>
      <c r="I15" t="b">
        <f t="shared" si="3"/>
        <v>0</v>
      </c>
      <c r="J15" t="b">
        <f t="shared" si="4"/>
        <v>0</v>
      </c>
      <c r="K15" s="439">
        <f>IF(ISNA(MATCH(C15,AthleteNumbers,0)),0,MATCH(C15,AthleteNumbers,0))</f>
        <v>0</v>
      </c>
      <c r="L15" s="209">
        <f t="array" ref="L15">IF(K15&gt;0,INDEX(DB,$I15,6),0)</f>
        <v>0</v>
      </c>
      <c r="M15" s="440">
        <f t="shared" si="5"/>
        <v>0</v>
      </c>
      <c r="N15" s="440">
        <f t="shared" si="6"/>
        <v>0</v>
      </c>
      <c r="O15" s="441">
        <f>IF(M15&gt;$M$1,MinPoints,IF(M15&lt;$R$1,100,+INT(($M$1-$M15)/$O$1)+MinPoints))</f>
        <v>100</v>
      </c>
      <c r="P15" s="210"/>
      <c r="Q15" s="210"/>
      <c r="R15" s="210"/>
      <c r="S15" s="210"/>
      <c r="T15" s="210"/>
      <c r="U15" s="210"/>
      <c r="V15" s="210"/>
      <c r="W15" s="210"/>
      <c r="X15" s="210"/>
      <c r="Y15" s="210"/>
      <c r="Z15" s="210"/>
    </row>
    <row r="16" ht="18.0" customHeight="1">
      <c r="A16" s="455">
        <v>13.0</v>
      </c>
      <c r="B16" s="459" t="str">
        <f t="array" ref="B16">IF(ISERR(INDEX(teamnames,G16)),"",INDEX(teamnames,G16))</f>
        <v/>
      </c>
      <c r="C16" s="460"/>
      <c r="D16" s="461">
        <f t="shared" si="1"/>
        <v>0</v>
      </c>
      <c r="E16" s="266" t="str">
        <f t="shared" si="2"/>
        <v/>
      </c>
      <c r="F16" s="210"/>
      <c r="G16" s="210">
        <f t="shared" si="7"/>
        <v>193</v>
      </c>
      <c r="H16" s="210"/>
      <c r="I16" t="b">
        <f t="shared" si="3"/>
        <v>0</v>
      </c>
      <c r="J16" t="b">
        <f t="shared" si="4"/>
        <v>0</v>
      </c>
      <c r="K16" s="439">
        <f>IF(ISNA(MATCH(C16,AthleteNumbers,0)),0,MATCH(C16,AthleteNumbers,0))</f>
        <v>0</v>
      </c>
      <c r="L16" s="209">
        <f t="array" ref="L16">IF(K16&gt;0,INDEX(DB,$I16,6),0)</f>
        <v>0</v>
      </c>
      <c r="M16" s="440">
        <f t="shared" si="5"/>
        <v>0</v>
      </c>
      <c r="N16" s="440">
        <f t="shared" si="6"/>
        <v>0</v>
      </c>
      <c r="O16" s="441">
        <f>IF(M16&gt;$M$1,MinPoints,IF(M16&lt;$R$1,100,+INT(($M$1-$M16)/$O$1)+MinPoints))</f>
        <v>100</v>
      </c>
      <c r="P16" s="210"/>
      <c r="Q16" s="210"/>
      <c r="R16" s="210"/>
      <c r="S16" s="210"/>
      <c r="T16" s="210"/>
      <c r="U16" s="210"/>
      <c r="V16" s="210"/>
      <c r="W16" s="210"/>
      <c r="X16" s="210"/>
      <c r="Y16" s="210"/>
      <c r="Z16" s="210"/>
    </row>
    <row r="17" ht="18.0" customHeight="1">
      <c r="A17" s="455">
        <v>14.0</v>
      </c>
      <c r="B17" s="459" t="str">
        <f t="array" ref="B17">IF(ISERR(INDEX(teamnames,G17)),"",INDEX(teamnames,G17))</f>
        <v/>
      </c>
      <c r="C17" s="460"/>
      <c r="D17" s="461">
        <f t="shared" si="1"/>
        <v>0</v>
      </c>
      <c r="E17" s="266" t="str">
        <f t="shared" si="2"/>
        <v/>
      </c>
      <c r="F17" s="210"/>
      <c r="G17" s="210">
        <f t="shared" si="7"/>
        <v>209</v>
      </c>
      <c r="H17" s="210"/>
      <c r="I17" t="b">
        <f t="shared" si="3"/>
        <v>0</v>
      </c>
      <c r="J17" t="b">
        <f t="shared" si="4"/>
        <v>0</v>
      </c>
      <c r="K17" s="439">
        <f>IF(ISNA(MATCH(C17,AthleteNumbers,0)),0,MATCH(C17,AthleteNumbers,0))</f>
        <v>0</v>
      </c>
      <c r="L17" s="209">
        <f t="array" ref="L17">IF(K17&gt;0,INDEX(DB,$I17,6),0)</f>
        <v>0</v>
      </c>
      <c r="M17" s="440">
        <f t="shared" si="5"/>
        <v>0</v>
      </c>
      <c r="N17" s="440">
        <f t="shared" si="6"/>
        <v>0</v>
      </c>
      <c r="O17" s="441">
        <f>IF(M17&gt;$M$1,MinPoints,IF(M17&lt;$R$1,100,+INT(($M$1-$M17)/$O$1)+MinPoints))</f>
        <v>100</v>
      </c>
      <c r="P17" s="210"/>
      <c r="Q17" s="210"/>
      <c r="R17" s="210"/>
      <c r="S17" s="210"/>
      <c r="T17" s="210"/>
      <c r="U17" s="210"/>
      <c r="V17" s="210"/>
      <c r="W17" s="210"/>
      <c r="X17" s="210"/>
      <c r="Y17" s="210"/>
      <c r="Z17" s="210"/>
    </row>
    <row r="18" ht="18.0" customHeight="1">
      <c r="A18" s="455">
        <v>15.0</v>
      </c>
      <c r="B18" s="459" t="str">
        <f t="array" ref="B18">IF(ISERR(INDEX(teamnames,G18)),"",INDEX(teamnames,G18))</f>
        <v/>
      </c>
      <c r="C18" s="460"/>
      <c r="D18" s="461">
        <f t="shared" si="1"/>
        <v>0</v>
      </c>
      <c r="E18" s="266" t="str">
        <f t="shared" si="2"/>
        <v/>
      </c>
      <c r="F18" s="210"/>
      <c r="G18" s="210">
        <f t="shared" si="7"/>
        <v>225</v>
      </c>
      <c r="H18" s="210"/>
      <c r="I18" t="b">
        <f t="shared" si="3"/>
        <v>0</v>
      </c>
      <c r="J18" t="b">
        <f t="shared" si="4"/>
        <v>0</v>
      </c>
      <c r="K18" s="439">
        <f>IF(ISNA(MATCH(C18,AthleteNumbers,0)),0,MATCH(C18,AthleteNumbers,0))</f>
        <v>0</v>
      </c>
      <c r="L18" s="209">
        <f t="array" ref="L18">IF(K18&gt;0,INDEX(DB,$I18,6),0)</f>
        <v>0</v>
      </c>
      <c r="M18" s="440">
        <f t="shared" si="5"/>
        <v>0</v>
      </c>
      <c r="N18" s="440">
        <f t="shared" si="6"/>
        <v>0</v>
      </c>
      <c r="O18" s="441">
        <f>IF(M18&gt;$M$1,MinPoints,IF(M18&lt;$R$1,100,+INT(($M$1-$M18)/$O$1)+MinPoints))</f>
        <v>100</v>
      </c>
      <c r="P18" s="210"/>
      <c r="Q18" s="210"/>
      <c r="R18" s="210"/>
      <c r="S18" s="210"/>
      <c r="T18" s="210"/>
      <c r="U18" s="210"/>
      <c r="V18" s="210"/>
      <c r="W18" s="210"/>
      <c r="X18" s="210"/>
      <c r="Y18" s="210"/>
      <c r="Z18" s="210"/>
    </row>
    <row r="19" ht="18.0" customHeight="1">
      <c r="A19" s="455">
        <v>16.0</v>
      </c>
      <c r="B19" s="459" t="str">
        <f t="array" ref="B19">IF(ISERR(INDEX(teamnames,G19)),"",INDEX(teamnames,G19))</f>
        <v/>
      </c>
      <c r="C19" s="460"/>
      <c r="D19" s="461">
        <f t="shared" si="1"/>
        <v>0</v>
      </c>
      <c r="E19" s="266" t="str">
        <f t="shared" si="2"/>
        <v/>
      </c>
      <c r="F19" s="210"/>
      <c r="G19" s="210">
        <f t="shared" si="7"/>
        <v>241</v>
      </c>
      <c r="H19" s="210"/>
      <c r="I19" t="b">
        <f t="shared" si="3"/>
        <v>0</v>
      </c>
      <c r="J19" t="b">
        <f t="shared" si="4"/>
        <v>0</v>
      </c>
      <c r="K19" s="439">
        <f>IF(ISNA(MATCH(C19,AthleteNumbers,0)),0,MATCH(C19,AthleteNumbers,0))</f>
        <v>0</v>
      </c>
      <c r="L19" s="209">
        <f t="array" ref="L19">IF(K19&gt;0,INDEX(DB,$I19,6),0)</f>
        <v>0</v>
      </c>
      <c r="M19" s="440">
        <f t="shared" si="5"/>
        <v>0</v>
      </c>
      <c r="N19" s="440">
        <f t="shared" si="6"/>
        <v>0</v>
      </c>
      <c r="O19" s="441">
        <f>IF(M19&gt;$M$1,MinPoints,IF(M19&lt;$R$1,100,+INT(($M$1-$M19)/$O$1)+MinPoints))</f>
        <v>100</v>
      </c>
      <c r="P19" s="210"/>
      <c r="Q19" s="210"/>
      <c r="R19" s="210"/>
      <c r="S19" s="210"/>
      <c r="T19" s="210"/>
      <c r="U19" s="210"/>
      <c r="V19" s="210"/>
      <c r="W19" s="210"/>
      <c r="X19" s="210"/>
      <c r="Y19" s="210"/>
      <c r="Z19" s="210"/>
    </row>
    <row r="20" ht="18.0" customHeight="1">
      <c r="A20" s="455">
        <v>17.0</v>
      </c>
      <c r="B20" s="459" t="str">
        <f t="array" ref="B20">IF(ISERR(INDEX(teamnames,G20)),"",INDEX(teamnames,G20))</f>
        <v/>
      </c>
      <c r="C20" s="460"/>
      <c r="D20" s="461">
        <f t="shared" si="1"/>
        <v>0</v>
      </c>
      <c r="E20" s="266" t="str">
        <f t="shared" si="2"/>
        <v/>
      </c>
      <c r="F20" s="210"/>
      <c r="G20" s="210">
        <f t="shared" si="7"/>
        <v>257</v>
      </c>
      <c r="H20" s="210"/>
      <c r="I20" t="b">
        <f t="shared" si="3"/>
        <v>0</v>
      </c>
      <c r="J20" t="b">
        <f t="shared" si="4"/>
        <v>0</v>
      </c>
      <c r="K20" s="439">
        <f>IF(ISNA(MATCH(C20,AthleteNumbers,0)),0,MATCH(C20,AthleteNumbers,0))</f>
        <v>0</v>
      </c>
      <c r="L20" s="209">
        <f t="array" ref="L20">IF(K20&gt;0,INDEX(DB,$I20,6),0)</f>
        <v>0</v>
      </c>
      <c r="M20" s="440">
        <f t="shared" si="5"/>
        <v>0</v>
      </c>
      <c r="N20" s="440">
        <f t="shared" si="6"/>
        <v>0</v>
      </c>
      <c r="O20" s="441">
        <f>IF(M20&gt;$M$1,MinPoints,IF(M20&lt;$R$1,100,+INT(($M$1-$M20)/$O$1)+MinPoints))</f>
        <v>100</v>
      </c>
      <c r="P20" s="210"/>
      <c r="Q20" s="210"/>
      <c r="R20" s="210"/>
      <c r="S20" s="210"/>
      <c r="T20" s="210"/>
      <c r="U20" s="210"/>
      <c r="V20" s="210"/>
      <c r="W20" s="210"/>
      <c r="X20" s="210"/>
      <c r="Y20" s="210"/>
      <c r="Z20" s="210"/>
    </row>
    <row r="21" ht="18.0" customHeight="1">
      <c r="A21" s="455">
        <v>18.0</v>
      </c>
      <c r="B21" s="459" t="str">
        <f t="array" ref="B21">IF(ISERR(INDEX(teamnames,G21)),"",INDEX(teamnames,G21))</f>
        <v/>
      </c>
      <c r="C21" s="460"/>
      <c r="D21" s="461">
        <f t="shared" si="1"/>
        <v>0</v>
      </c>
      <c r="E21" s="266" t="str">
        <f t="shared" si="2"/>
        <v/>
      </c>
      <c r="F21" s="210"/>
      <c r="G21" s="210">
        <f t="shared" si="7"/>
        <v>273</v>
      </c>
      <c r="H21" s="210"/>
      <c r="I21" t="b">
        <f t="shared" si="3"/>
        <v>0</v>
      </c>
      <c r="J21" t="b">
        <f t="shared" si="4"/>
        <v>0</v>
      </c>
      <c r="K21" s="439">
        <f>IF(ISNA(MATCH(C21,AthleteNumbers,0)),0,MATCH(C21,AthleteNumbers,0))</f>
        <v>0</v>
      </c>
      <c r="L21" s="209">
        <f t="array" ref="L21">IF(K21&gt;0,INDEX(DB,$I21,6),0)</f>
        <v>0</v>
      </c>
      <c r="M21" s="440">
        <f t="shared" si="5"/>
        <v>0</v>
      </c>
      <c r="N21" s="440">
        <f t="shared" si="6"/>
        <v>0</v>
      </c>
      <c r="O21" s="441">
        <f>IF(M21&gt;$M$1,MinPoints,IF(M21&lt;$R$1,100,+INT(($M$1-$M21)/$O$1)+MinPoints))</f>
        <v>100</v>
      </c>
      <c r="P21" s="210"/>
      <c r="Q21" s="210"/>
      <c r="R21" s="210"/>
      <c r="S21" s="210"/>
      <c r="T21" s="210"/>
      <c r="U21" s="210"/>
      <c r="V21" s="210"/>
      <c r="W21" s="210"/>
      <c r="X21" s="210"/>
      <c r="Y21" s="210"/>
      <c r="Z21" s="210"/>
    </row>
    <row r="22" ht="18.0" customHeight="1">
      <c r="A22" s="455">
        <v>19.0</v>
      </c>
      <c r="B22" s="459" t="str">
        <f t="array" ref="B22">IF(ISERR(INDEX(teamnames,G22)),"",INDEX(teamnames,G22))</f>
        <v/>
      </c>
      <c r="C22" s="460"/>
      <c r="D22" s="461">
        <f t="shared" si="1"/>
        <v>0</v>
      </c>
      <c r="E22" s="266" t="str">
        <f t="shared" si="2"/>
        <v/>
      </c>
      <c r="F22" s="210"/>
      <c r="G22" s="210">
        <f t="shared" si="7"/>
        <v>289</v>
      </c>
      <c r="H22" s="210"/>
      <c r="I22" t="b">
        <f t="shared" si="3"/>
        <v>0</v>
      </c>
      <c r="J22" t="b">
        <f t="shared" si="4"/>
        <v>0</v>
      </c>
      <c r="K22" s="439">
        <f>IF(ISNA(MATCH(C22,AthleteNumbers,0)),0,MATCH(C22,AthleteNumbers,0))</f>
        <v>0</v>
      </c>
      <c r="L22" s="209">
        <f t="array" ref="L22">IF(K22&gt;0,INDEX(DB,$I22,6),0)</f>
        <v>0</v>
      </c>
      <c r="M22" s="440">
        <f t="shared" si="5"/>
        <v>0</v>
      </c>
      <c r="N22" s="440">
        <f t="shared" si="6"/>
        <v>0</v>
      </c>
      <c r="O22" s="441">
        <f>IF(M22&gt;$M$1,MinPoints,IF(M22&lt;$R$1,100,+INT(($M$1-$M22)/$O$1)+MinPoints))</f>
        <v>100</v>
      </c>
      <c r="P22" s="210"/>
      <c r="Q22" s="210"/>
      <c r="R22" s="210"/>
      <c r="S22" s="210"/>
      <c r="T22" s="210"/>
      <c r="U22" s="210"/>
      <c r="V22" s="210"/>
      <c r="W22" s="210"/>
      <c r="X22" s="210"/>
      <c r="Y22" s="210"/>
      <c r="Z22" s="210"/>
    </row>
    <row r="23" ht="18.0" customHeight="1">
      <c r="A23" s="455">
        <v>20.0</v>
      </c>
      <c r="B23" s="459" t="str">
        <f t="array" ref="B23">IF(ISERR(INDEX(teamnames,G23)),"",INDEX(teamnames,G23))</f>
        <v/>
      </c>
      <c r="C23" s="460"/>
      <c r="D23" s="461">
        <f t="shared" si="1"/>
        <v>0</v>
      </c>
      <c r="E23" s="266" t="str">
        <f t="shared" si="2"/>
        <v/>
      </c>
      <c r="F23" s="210"/>
      <c r="G23" s="210">
        <f t="shared" si="7"/>
        <v>305</v>
      </c>
      <c r="H23" s="210"/>
      <c r="I23" t="b">
        <f t="shared" si="3"/>
        <v>0</v>
      </c>
      <c r="J23" t="b">
        <f t="shared" si="4"/>
        <v>0</v>
      </c>
      <c r="K23" s="439">
        <f>IF(ISNA(MATCH(C23,AthleteNumbers,0)),0,MATCH(C23,AthleteNumbers,0))</f>
        <v>0</v>
      </c>
      <c r="L23" s="209">
        <f t="array" ref="L23">IF(K23&gt;0,INDEX(DB,$I23,6),0)</f>
        <v>0</v>
      </c>
      <c r="M23" s="440">
        <f t="shared" si="5"/>
        <v>0</v>
      </c>
      <c r="N23" s="440">
        <f t="shared" si="6"/>
        <v>0</v>
      </c>
      <c r="O23" s="441">
        <f>IF(M23&gt;$M$1,MinPoints,IF(M23&lt;$R$1,100,+INT(($M$1-$M23)/$O$1)+MinPoints))</f>
        <v>100</v>
      </c>
      <c r="P23" s="210"/>
      <c r="Q23" s="210"/>
      <c r="R23" s="210"/>
      <c r="S23" s="210"/>
      <c r="T23" s="210"/>
      <c r="U23" s="210"/>
      <c r="V23" s="210"/>
      <c r="W23" s="210"/>
      <c r="X23" s="210"/>
      <c r="Y23" s="210"/>
      <c r="Z23" s="210"/>
    </row>
    <row r="24" ht="18.0" customHeight="1">
      <c r="A24" s="455">
        <v>21.0</v>
      </c>
      <c r="B24" s="459" t="str">
        <f t="array" ref="B24">IF(ISERR(INDEX(teamnames,G24)),"",INDEX(teamnames,G24))</f>
        <v/>
      </c>
      <c r="C24" s="460"/>
      <c r="D24" s="461">
        <f t="shared" si="1"/>
        <v>0</v>
      </c>
      <c r="E24" s="266" t="str">
        <f t="shared" si="2"/>
        <v/>
      </c>
      <c r="F24" s="210"/>
      <c r="G24" s="210">
        <f t="shared" si="7"/>
        <v>321</v>
      </c>
      <c r="H24" s="210"/>
      <c r="I24" t="b">
        <f t="shared" si="3"/>
        <v>0</v>
      </c>
      <c r="J24" t="b">
        <f t="shared" si="4"/>
        <v>0</v>
      </c>
      <c r="K24" s="439">
        <f>IF(ISNA(MATCH(C24,AthleteNumbers,0)),0,MATCH(C24,AthleteNumbers,0))</f>
        <v>0</v>
      </c>
      <c r="L24" s="209">
        <f t="array" ref="L24">IF(K24&gt;0,INDEX(DB,$I24,6),0)</f>
        <v>0</v>
      </c>
      <c r="M24" s="440">
        <f t="shared" si="5"/>
        <v>0</v>
      </c>
      <c r="N24" s="440">
        <f t="shared" si="6"/>
        <v>0</v>
      </c>
      <c r="O24" s="441">
        <f>IF(M24&gt;$M$1,MinPoints,IF(M24&lt;$R$1,100,+INT(($M$1-$M24)/$O$1)+MinPoints))</f>
        <v>100</v>
      </c>
      <c r="P24" s="210"/>
      <c r="Q24" s="210"/>
      <c r="R24" s="210"/>
      <c r="S24" s="210"/>
      <c r="T24" s="210"/>
      <c r="U24" s="210"/>
      <c r="V24" s="210"/>
      <c r="W24" s="210"/>
      <c r="X24" s="210"/>
      <c r="Y24" s="210"/>
      <c r="Z24" s="210"/>
    </row>
    <row r="25" ht="18.0" customHeight="1">
      <c r="A25" s="455">
        <v>22.0</v>
      </c>
      <c r="B25" s="459" t="str">
        <f t="array" ref="B25">IF(ISERR(INDEX(teamnames,G25)),"",INDEX(teamnames,G25))</f>
        <v/>
      </c>
      <c r="C25" s="460"/>
      <c r="D25" s="461">
        <f t="shared" si="1"/>
        <v>0</v>
      </c>
      <c r="E25" s="266" t="str">
        <f t="shared" si="2"/>
        <v/>
      </c>
      <c r="F25" s="210"/>
      <c r="G25" s="210">
        <f t="shared" si="7"/>
        <v>337</v>
      </c>
      <c r="H25" s="210"/>
      <c r="I25" t="b">
        <f t="shared" si="3"/>
        <v>0</v>
      </c>
      <c r="J25" t="b">
        <f t="shared" si="4"/>
        <v>0</v>
      </c>
      <c r="K25" s="439">
        <f>IF(ISNA(MATCH(C25,AthleteNumbers,0)),0,MATCH(C25,AthleteNumbers,0))</f>
        <v>0</v>
      </c>
      <c r="L25" s="209">
        <f t="array" ref="L25">IF(K25&gt;0,INDEX(DB,$I25,6),0)</f>
        <v>0</v>
      </c>
      <c r="M25" s="440">
        <f t="shared" si="5"/>
        <v>0</v>
      </c>
      <c r="N25" s="440">
        <f t="shared" si="6"/>
        <v>0</v>
      </c>
      <c r="O25" s="441">
        <f>IF(M25&gt;$M$1,MinPoints,IF(M25&lt;$R$1,100,+INT(($M$1-$M25)/$O$1)+MinPoints))</f>
        <v>100</v>
      </c>
      <c r="P25" s="210"/>
      <c r="Q25" s="210"/>
      <c r="R25" s="210"/>
      <c r="S25" s="210"/>
      <c r="T25" s="210"/>
      <c r="U25" s="210"/>
      <c r="V25" s="210"/>
      <c r="W25" s="210"/>
      <c r="X25" s="210"/>
      <c r="Y25" s="210"/>
      <c r="Z25" s="210"/>
    </row>
    <row r="26" ht="18.0" customHeight="1">
      <c r="A26" s="455">
        <v>23.0</v>
      </c>
      <c r="B26" s="459" t="str">
        <f t="array" ref="B26">IF(ISERR(INDEX(teamnames,G26)),"",INDEX(teamnames,G26))</f>
        <v/>
      </c>
      <c r="C26" s="460"/>
      <c r="D26" s="461">
        <f t="shared" si="1"/>
        <v>0</v>
      </c>
      <c r="E26" s="266" t="str">
        <f t="shared" si="2"/>
        <v/>
      </c>
      <c r="F26" s="210"/>
      <c r="G26" s="210">
        <f t="shared" si="7"/>
        <v>353</v>
      </c>
      <c r="H26" s="210"/>
      <c r="I26" t="b">
        <f t="shared" si="3"/>
        <v>0</v>
      </c>
      <c r="J26" t="b">
        <f t="shared" si="4"/>
        <v>0</v>
      </c>
      <c r="K26" s="439">
        <f>IF(ISNA(MATCH(C26,AthleteNumbers,0)),0,MATCH(C26,AthleteNumbers,0))</f>
        <v>0</v>
      </c>
      <c r="L26" s="209">
        <f t="array" ref="L26">IF(K26&gt;0,INDEX(DB,$I26,6),0)</f>
        <v>0</v>
      </c>
      <c r="M26" s="440">
        <f t="shared" si="5"/>
        <v>0</v>
      </c>
      <c r="N26" s="440">
        <f t="shared" si="6"/>
        <v>0</v>
      </c>
      <c r="O26" s="441">
        <f>IF(M26&gt;$M$1,MinPoints,IF(M26&lt;$R$1,100,+INT(($M$1-$M26)/$O$1)+MinPoints))</f>
        <v>100</v>
      </c>
      <c r="P26" s="210"/>
      <c r="Q26" s="210"/>
      <c r="R26" s="210"/>
      <c r="S26" s="210"/>
      <c r="T26" s="210"/>
      <c r="U26" s="210"/>
      <c r="V26" s="210"/>
      <c r="W26" s="210"/>
      <c r="X26" s="210"/>
      <c r="Y26" s="210"/>
      <c r="Z26" s="210"/>
    </row>
    <row r="27" ht="18.0" customHeight="1">
      <c r="A27" s="455">
        <v>24.0</v>
      </c>
      <c r="B27" s="459" t="str">
        <f t="array" ref="B27">IF(ISERR(INDEX(teamnames,G27)),"",INDEX(teamnames,G27))</f>
        <v/>
      </c>
      <c r="C27" s="460"/>
      <c r="D27" s="461">
        <f t="shared" si="1"/>
        <v>0</v>
      </c>
      <c r="E27" s="266" t="str">
        <f t="shared" si="2"/>
        <v/>
      </c>
      <c r="F27" s="210"/>
      <c r="G27" s="210">
        <f t="shared" si="7"/>
        <v>369</v>
      </c>
      <c r="H27" s="210"/>
      <c r="I27" t="b">
        <f t="shared" si="3"/>
        <v>0</v>
      </c>
      <c r="J27" t="b">
        <f t="shared" si="4"/>
        <v>0</v>
      </c>
      <c r="K27" s="439">
        <f>IF(ISNA(MATCH(C27,AthleteNumbers,0)),0,MATCH(C27,AthleteNumbers,0))</f>
        <v>0</v>
      </c>
      <c r="L27" s="209">
        <f t="array" ref="L27">IF(K27&gt;0,INDEX(DB,$I27,6),0)</f>
        <v>0</v>
      </c>
      <c r="M27" s="440">
        <f t="shared" si="5"/>
        <v>0</v>
      </c>
      <c r="N27" s="440">
        <f t="shared" si="6"/>
        <v>0</v>
      </c>
      <c r="O27" s="441">
        <f>IF(M27&gt;$M$1,MinPoints,IF(M27&lt;$R$1,100,+INT(($M$1-$M27)/$O$1)+MinPoints))</f>
        <v>100</v>
      </c>
      <c r="P27" s="210"/>
      <c r="Q27" s="210"/>
      <c r="R27" s="210"/>
      <c r="S27" s="210"/>
      <c r="T27" s="210"/>
      <c r="U27" s="210"/>
      <c r="V27" s="210"/>
      <c r="W27" s="210"/>
      <c r="X27" s="210"/>
      <c r="Y27" s="210"/>
      <c r="Z27" s="210"/>
    </row>
    <row r="28" ht="18.0" customHeight="1">
      <c r="A28" s="455">
        <v>25.0</v>
      </c>
      <c r="B28" s="459" t="str">
        <f t="array" ref="B28">IF(ISERR(INDEX(teamnames,G28)),"",INDEX(teamnames,G28))</f>
        <v/>
      </c>
      <c r="C28" s="460"/>
      <c r="D28" s="461">
        <f t="shared" si="1"/>
        <v>0</v>
      </c>
      <c r="E28" s="266" t="str">
        <f t="shared" si="2"/>
        <v/>
      </c>
      <c r="F28" s="210"/>
      <c r="G28" s="210">
        <f t="shared" si="7"/>
        <v>385</v>
      </c>
      <c r="H28" s="210"/>
      <c r="I28" t="b">
        <f t="shared" si="3"/>
        <v>0</v>
      </c>
      <c r="J28" t="b">
        <f t="shared" si="4"/>
        <v>0</v>
      </c>
      <c r="K28" s="439">
        <f>IF(ISNA(MATCH(C28,AthleteNumbers,0)),0,MATCH(C28,AthleteNumbers,0))</f>
        <v>0</v>
      </c>
      <c r="L28" s="209">
        <f t="array" ref="L28">IF(K28&gt;0,INDEX(DB,$I28,6),0)</f>
        <v>0</v>
      </c>
      <c r="M28" s="440">
        <f t="shared" si="5"/>
        <v>0</v>
      </c>
      <c r="N28" s="440">
        <f t="shared" si="6"/>
        <v>0</v>
      </c>
      <c r="O28" s="441">
        <f>IF(M28&gt;$M$1,MinPoints,IF(M28&lt;$R$1,100,+INT(($M$1-$M28)/$O$1)+MinPoints))</f>
        <v>100</v>
      </c>
      <c r="P28" s="210"/>
      <c r="Q28" s="210"/>
      <c r="R28" s="210"/>
      <c r="S28" s="210"/>
      <c r="T28" s="210"/>
      <c r="U28" s="210"/>
      <c r="V28" s="210"/>
      <c r="W28" s="210"/>
      <c r="X28" s="210"/>
      <c r="Y28" s="210"/>
      <c r="Z28" s="210"/>
    </row>
    <row r="29" ht="18.0" customHeight="1">
      <c r="A29" s="455">
        <v>26.0</v>
      </c>
      <c r="B29" s="459" t="str">
        <f t="array" ref="B29">IF(ISERR(INDEX(teamnames,G29)),"",INDEX(teamnames,G29))</f>
        <v/>
      </c>
      <c r="C29" s="460"/>
      <c r="D29" s="461">
        <f t="shared" si="1"/>
        <v>0</v>
      </c>
      <c r="E29" s="266" t="str">
        <f t="shared" si="2"/>
        <v/>
      </c>
      <c r="F29" s="210"/>
      <c r="G29" s="210">
        <f t="shared" si="7"/>
        <v>401</v>
      </c>
      <c r="H29" s="210"/>
      <c r="I29" t="b">
        <f t="shared" si="3"/>
        <v>0</v>
      </c>
      <c r="J29" t="b">
        <f t="shared" si="4"/>
        <v>0</v>
      </c>
      <c r="K29" s="439">
        <f>IF(ISNA(MATCH(C29,AthleteNumbers,0)),0,MATCH(C29,AthleteNumbers,0))</f>
        <v>0</v>
      </c>
      <c r="L29" s="209">
        <f t="array" ref="L29">IF(K29&gt;0,INDEX(DB,$I29,6),0)</f>
        <v>0</v>
      </c>
      <c r="M29" s="440">
        <f t="shared" si="5"/>
        <v>0</v>
      </c>
      <c r="N29" s="440">
        <f t="shared" si="6"/>
        <v>0</v>
      </c>
      <c r="O29" s="441">
        <f>IF(M29&gt;$M$1,MinPoints,IF(M29&lt;$R$1,100,+INT(($M$1-$M29)/$O$1)+MinPoints))</f>
        <v>100</v>
      </c>
      <c r="P29" s="210"/>
      <c r="Q29" s="210"/>
      <c r="R29" s="210"/>
      <c r="S29" s="210"/>
      <c r="T29" s="210"/>
      <c r="U29" s="210"/>
      <c r="V29" s="210"/>
      <c r="W29" s="210"/>
      <c r="X29" s="210"/>
      <c r="Y29" s="210"/>
      <c r="Z29" s="210"/>
    </row>
    <row r="30" ht="18.0" customHeight="1">
      <c r="A30" s="455">
        <v>27.0</v>
      </c>
      <c r="B30" s="459" t="str">
        <f t="array" ref="B30">IF(ISERR(INDEX(teamnames,G30)),"",INDEX(teamnames,G30))</f>
        <v/>
      </c>
      <c r="C30" s="460"/>
      <c r="D30" s="461">
        <f t="shared" si="1"/>
        <v>0</v>
      </c>
      <c r="E30" s="266" t="str">
        <f t="shared" si="2"/>
        <v/>
      </c>
      <c r="F30" s="210"/>
      <c r="G30" s="210">
        <f t="shared" si="7"/>
        <v>417</v>
      </c>
      <c r="H30" s="210"/>
      <c r="I30" t="b">
        <f t="shared" si="3"/>
        <v>0</v>
      </c>
      <c r="J30" t="b">
        <f t="shared" si="4"/>
        <v>0</v>
      </c>
      <c r="K30" s="439">
        <f>IF(ISNA(MATCH(C30,AthleteNumbers,0)),0,MATCH(C30,AthleteNumbers,0))</f>
        <v>0</v>
      </c>
      <c r="L30" s="209">
        <f t="array" ref="L30">IF(K30&gt;0,INDEX(DB,$I30,6),0)</f>
        <v>0</v>
      </c>
      <c r="M30" s="440">
        <f t="shared" si="5"/>
        <v>0</v>
      </c>
      <c r="N30" s="440">
        <f t="shared" si="6"/>
        <v>0</v>
      </c>
      <c r="O30" s="441">
        <f>IF(M30&gt;$M$1,MinPoints,IF(M30&lt;$R$1,100,+INT(($M$1-$M30)/$O$1)+MinPoints))</f>
        <v>100</v>
      </c>
      <c r="P30" s="210"/>
      <c r="Q30" s="210"/>
      <c r="R30" s="210"/>
      <c r="S30" s="210"/>
      <c r="T30" s="210"/>
      <c r="U30" s="210"/>
      <c r="V30" s="210"/>
      <c r="W30" s="210"/>
      <c r="X30" s="210"/>
      <c r="Y30" s="210"/>
      <c r="Z30" s="210"/>
    </row>
    <row r="31" ht="18.0" customHeight="1">
      <c r="A31" s="455">
        <v>28.0</v>
      </c>
      <c r="B31" s="459" t="str">
        <f t="array" ref="B31">IF(ISERR(INDEX(teamnames,G31)),"",INDEX(teamnames,G31))</f>
        <v/>
      </c>
      <c r="C31" s="460"/>
      <c r="D31" s="461">
        <f t="shared" si="1"/>
        <v>0</v>
      </c>
      <c r="E31" s="266" t="str">
        <f t="shared" si="2"/>
        <v/>
      </c>
      <c r="F31" s="210"/>
      <c r="G31" s="210">
        <f t="shared" si="7"/>
        <v>433</v>
      </c>
      <c r="H31" s="210"/>
      <c r="I31" t="b">
        <f t="shared" si="3"/>
        <v>0</v>
      </c>
      <c r="J31" t="b">
        <f t="shared" si="4"/>
        <v>0</v>
      </c>
      <c r="K31" s="439">
        <f>IF(ISNA(MATCH(C31,AthleteNumbers,0)),0,MATCH(C31,AthleteNumbers,0))</f>
        <v>0</v>
      </c>
      <c r="L31" s="209">
        <f t="array" ref="L31">IF(K31&gt;0,INDEX(DB,$I31,6),0)</f>
        <v>0</v>
      </c>
      <c r="M31" s="440">
        <f t="shared" si="5"/>
        <v>0</v>
      </c>
      <c r="N31" s="440">
        <f t="shared" si="6"/>
        <v>0</v>
      </c>
      <c r="O31" s="441">
        <f>IF(M31&gt;$M$1,MinPoints,IF(M31&lt;$R$1,100,+INT(($M$1-$M31)/$O$1)+MinPoints))</f>
        <v>100</v>
      </c>
      <c r="P31" s="210"/>
      <c r="Q31" s="210"/>
      <c r="R31" s="210"/>
      <c r="S31" s="210"/>
      <c r="T31" s="210"/>
      <c r="U31" s="210"/>
      <c r="V31" s="210"/>
      <c r="W31" s="210"/>
      <c r="X31" s="210"/>
      <c r="Y31" s="210"/>
      <c r="Z31" s="210"/>
    </row>
    <row r="32" ht="18.0" customHeight="1">
      <c r="A32" s="455">
        <v>29.0</v>
      </c>
      <c r="B32" s="459" t="str">
        <f t="array" ref="B32">IF(ISERR(INDEX(teamnames,G32)),"",INDEX(teamnames,G32))</f>
        <v/>
      </c>
      <c r="C32" s="460"/>
      <c r="D32" s="461">
        <f t="shared" si="1"/>
        <v>0</v>
      </c>
      <c r="E32" s="266" t="str">
        <f t="shared" si="2"/>
        <v/>
      </c>
      <c r="F32" s="210"/>
      <c r="G32" s="210">
        <f t="shared" si="7"/>
        <v>449</v>
      </c>
      <c r="H32" s="210"/>
      <c r="I32" t="b">
        <f t="shared" si="3"/>
        <v>0</v>
      </c>
      <c r="J32" t="b">
        <f t="shared" si="4"/>
        <v>0</v>
      </c>
      <c r="K32" s="439">
        <f>IF(ISNA(MATCH(C32,AthleteNumbers,0)),0,MATCH(C32,AthleteNumbers,0))</f>
        <v>0</v>
      </c>
      <c r="L32" s="209">
        <f t="array" ref="L32">IF(K32&gt;0,INDEX(DB,$I32,6),0)</f>
        <v>0</v>
      </c>
      <c r="M32" s="440">
        <f t="shared" si="5"/>
        <v>0</v>
      </c>
      <c r="N32" s="440">
        <f t="shared" si="6"/>
        <v>0</v>
      </c>
      <c r="O32" s="441">
        <f>IF(M32&gt;$M$1,MinPoints,IF(M32&lt;$R$1,100,+INT(($M$1-$M32)/$O$1)+MinPoints))</f>
        <v>100</v>
      </c>
      <c r="P32" s="210"/>
      <c r="Q32" s="210"/>
      <c r="R32" s="210"/>
      <c r="S32" s="210"/>
      <c r="T32" s="210"/>
      <c r="U32" s="210"/>
      <c r="V32" s="210"/>
      <c r="W32" s="210"/>
      <c r="X32" s="210"/>
      <c r="Y32" s="210"/>
      <c r="Z32" s="210"/>
    </row>
    <row r="33" ht="18.0" customHeight="1">
      <c r="A33" s="455">
        <v>30.0</v>
      </c>
      <c r="B33" s="459" t="str">
        <f t="array" ref="B33">IF(ISERR(INDEX(teamnames,G33)),"",INDEX(teamnames,G33))</f>
        <v/>
      </c>
      <c r="C33" s="460"/>
      <c r="D33" s="461">
        <f t="shared" si="1"/>
        <v>0</v>
      </c>
      <c r="E33" s="266" t="str">
        <f t="shared" si="2"/>
        <v/>
      </c>
      <c r="F33" s="210"/>
      <c r="G33" s="210">
        <f t="shared" si="7"/>
        <v>465</v>
      </c>
      <c r="H33" s="210"/>
      <c r="I33" t="b">
        <f t="shared" si="3"/>
        <v>0</v>
      </c>
      <c r="J33" t="b">
        <f t="shared" si="4"/>
        <v>0</v>
      </c>
      <c r="K33" s="439">
        <f>IF(ISNA(MATCH(C33,AthleteNumbers,0)),0,MATCH(C33,AthleteNumbers,0))</f>
        <v>0</v>
      </c>
      <c r="L33" s="209">
        <f t="array" ref="L33">IF(K33&gt;0,INDEX(DB,$I33,6),0)</f>
        <v>0</v>
      </c>
      <c r="M33" s="440">
        <f t="shared" si="5"/>
        <v>0</v>
      </c>
      <c r="N33" s="440">
        <f t="shared" si="6"/>
        <v>0</v>
      </c>
      <c r="O33" s="441">
        <f>IF(M33&gt;$M$1,MinPoints,IF(M33&lt;$R$1,100,+INT(($M$1-$M33)/$O$1)+MinPoints))</f>
        <v>100</v>
      </c>
      <c r="P33" s="210"/>
      <c r="Q33" s="210"/>
      <c r="R33" s="210"/>
      <c r="S33" s="210"/>
      <c r="T33" s="210"/>
      <c r="U33" s="210"/>
      <c r="V33" s="210"/>
      <c r="W33" s="210"/>
      <c r="X33" s="210"/>
      <c r="Y33" s="210"/>
      <c r="Z33" s="210"/>
    </row>
    <row r="34" ht="18.0" customHeight="1">
      <c r="A34" s="455">
        <v>31.0</v>
      </c>
      <c r="B34" s="459" t="str">
        <f t="array" ref="B34">IF(ISERR(INDEX(teamnames,G34)),"",INDEX(teamnames,G34))</f>
        <v/>
      </c>
      <c r="C34" s="460"/>
      <c r="D34" s="461">
        <f t="shared" si="1"/>
        <v>0</v>
      </c>
      <c r="E34" s="266" t="str">
        <f t="shared" si="2"/>
        <v/>
      </c>
      <c r="F34" s="210"/>
      <c r="G34" s="210">
        <f t="shared" si="7"/>
        <v>481</v>
      </c>
      <c r="H34" s="210"/>
      <c r="I34" t="b">
        <f t="shared" si="3"/>
        <v>0</v>
      </c>
      <c r="J34" t="b">
        <f t="shared" si="4"/>
        <v>0</v>
      </c>
      <c r="K34" s="439">
        <f>IF(ISNA(MATCH(C34,AthleteNumbers,0)),0,MATCH(C34,AthleteNumbers,0))</f>
        <v>0</v>
      </c>
      <c r="L34" s="209">
        <f t="array" ref="L34">IF(K34&gt;0,INDEX(DB,$I34,6),0)</f>
        <v>0</v>
      </c>
      <c r="M34" s="440">
        <f t="shared" si="5"/>
        <v>0</v>
      </c>
      <c r="N34" s="440">
        <f t="shared" si="6"/>
        <v>0</v>
      </c>
      <c r="O34" s="441">
        <f>IF(M34&gt;$M$1,MinPoints,IF(M34&lt;$R$1,100,+INT(($M$1-$M34)/$O$1)+MinPoints))</f>
        <v>100</v>
      </c>
      <c r="P34" s="210"/>
      <c r="Q34" s="210"/>
      <c r="R34" s="210"/>
      <c r="S34" s="210"/>
      <c r="T34" s="210"/>
      <c r="U34" s="210"/>
      <c r="V34" s="210"/>
      <c r="W34" s="210"/>
      <c r="X34" s="210"/>
      <c r="Y34" s="210"/>
      <c r="Z34" s="210"/>
    </row>
    <row r="35" ht="18.0" customHeight="1">
      <c r="A35" s="455">
        <v>32.0</v>
      </c>
      <c r="B35" s="459" t="str">
        <f t="array" ref="B35">IF(ISERR(INDEX(teamnames,G35)),"",INDEX(teamnames,G35))</f>
        <v/>
      </c>
      <c r="C35" s="460"/>
      <c r="D35" s="461">
        <f t="shared" si="1"/>
        <v>0</v>
      </c>
      <c r="E35" s="266" t="str">
        <f t="shared" si="2"/>
        <v/>
      </c>
      <c r="F35" s="210"/>
      <c r="G35" s="210">
        <f t="shared" si="7"/>
        <v>497</v>
      </c>
      <c r="H35" s="210"/>
      <c r="I35" t="b">
        <f t="shared" si="3"/>
        <v>0</v>
      </c>
      <c r="J35" t="b">
        <f t="shared" si="4"/>
        <v>0</v>
      </c>
      <c r="K35" s="439">
        <f>IF(ISNA(MATCH(C35,AthleteNumbers,0)),0,MATCH(C35,AthleteNumbers,0))</f>
        <v>0</v>
      </c>
      <c r="L35" s="209">
        <f t="array" ref="L35">IF(K35&gt;0,INDEX(DB,$I35,6),0)</f>
        <v>0</v>
      </c>
      <c r="M35" s="440">
        <f t="shared" si="5"/>
        <v>0</v>
      </c>
      <c r="N35" s="440">
        <f t="shared" si="6"/>
        <v>0</v>
      </c>
      <c r="O35" s="441">
        <f>IF(M35&gt;$M$1,MinPoints,IF(M35&lt;$R$1,100,+INT(($M$1-$M35)/$O$1)+MinPoints))</f>
        <v>100</v>
      </c>
      <c r="P35" s="210"/>
      <c r="Q35" s="210"/>
      <c r="R35" s="210"/>
      <c r="S35" s="210"/>
      <c r="T35" s="210"/>
      <c r="U35" s="210"/>
      <c r="V35" s="210"/>
      <c r="W35" s="210"/>
      <c r="X35" s="210"/>
      <c r="Y35" s="210"/>
      <c r="Z35" s="210"/>
    </row>
    <row r="36" ht="18.0" customHeight="1">
      <c r="A36" s="455">
        <v>33.0</v>
      </c>
      <c r="B36" s="459" t="str">
        <f t="array" ref="B36">IF(ISERR(INDEX(teamnames,G36)),"",INDEX(teamnames,G36))</f>
        <v/>
      </c>
      <c r="C36" s="460"/>
      <c r="D36" s="461">
        <f t="shared" si="1"/>
        <v>0</v>
      </c>
      <c r="E36" s="266" t="str">
        <f t="shared" si="2"/>
        <v/>
      </c>
      <c r="F36" s="210"/>
      <c r="G36" s="210">
        <f t="shared" si="7"/>
        <v>513</v>
      </c>
      <c r="H36" s="210"/>
      <c r="I36" t="b">
        <f t="shared" si="3"/>
        <v>0</v>
      </c>
      <c r="J36" t="b">
        <f t="shared" si="4"/>
        <v>0</v>
      </c>
      <c r="K36" s="439">
        <f>IF(ISNA(MATCH(C36,AthleteNumbers,0)),0,MATCH(C36,AthleteNumbers,0))</f>
        <v>0</v>
      </c>
      <c r="L36" s="209">
        <f t="array" ref="L36">IF(K36&gt;0,INDEX(DB,$I36,6),0)</f>
        <v>0</v>
      </c>
      <c r="M36" s="440">
        <f t="shared" si="5"/>
        <v>0</v>
      </c>
      <c r="N36" s="440">
        <f t="shared" si="6"/>
        <v>0</v>
      </c>
      <c r="O36" s="441">
        <f>IF(M36&gt;$M$1,MinPoints,IF(M36&lt;$R$1,100,+INT(($M$1-$M36)/$O$1)+MinPoints))</f>
        <v>100</v>
      </c>
      <c r="P36" s="210"/>
      <c r="Q36" s="210"/>
      <c r="R36" s="210"/>
      <c r="S36" s="210"/>
      <c r="T36" s="210"/>
      <c r="U36" s="210"/>
      <c r="V36" s="210"/>
      <c r="W36" s="210"/>
      <c r="X36" s="210"/>
      <c r="Y36" s="210"/>
      <c r="Z36" s="210"/>
    </row>
    <row r="37" ht="18.0" customHeight="1">
      <c r="A37" s="455">
        <v>34.0</v>
      </c>
      <c r="B37" s="459" t="str">
        <f t="array" ref="B37">IF(ISERR(INDEX(teamnames,G37)),"",INDEX(teamnames,G37))</f>
        <v/>
      </c>
      <c r="C37" s="460"/>
      <c r="D37" s="461">
        <f t="shared" si="1"/>
        <v>0</v>
      </c>
      <c r="E37" s="266" t="str">
        <f t="shared" si="2"/>
        <v/>
      </c>
      <c r="F37" s="210"/>
      <c r="G37" s="210">
        <f t="shared" si="7"/>
        <v>529</v>
      </c>
      <c r="H37" s="210"/>
      <c r="I37" t="b">
        <f t="shared" si="3"/>
        <v>0</v>
      </c>
      <c r="J37" t="b">
        <f t="shared" si="4"/>
        <v>0</v>
      </c>
      <c r="K37" s="439">
        <f>IF(ISNA(MATCH(C37,AthleteNumbers,0)),0,MATCH(C37,AthleteNumbers,0))</f>
        <v>0</v>
      </c>
      <c r="L37" s="209">
        <f t="array" ref="L37">IF(K37&gt;0,INDEX(DB,$I37,6),0)</f>
        <v>0</v>
      </c>
      <c r="M37" s="440">
        <f t="shared" si="5"/>
        <v>0</v>
      </c>
      <c r="N37" s="440">
        <f t="shared" si="6"/>
        <v>0</v>
      </c>
      <c r="O37" s="441">
        <f>IF(M37&gt;$M$1,MinPoints,IF(M37&lt;$R$1,100,+INT(($M$1-$M37)/$O$1)+MinPoints))</f>
        <v>100</v>
      </c>
      <c r="P37" s="210"/>
      <c r="Q37" s="210"/>
      <c r="R37" s="210"/>
      <c r="S37" s="210"/>
      <c r="T37" s="210"/>
      <c r="U37" s="210"/>
      <c r="V37" s="210"/>
      <c r="W37" s="210"/>
      <c r="X37" s="210"/>
      <c r="Y37" s="210"/>
      <c r="Z37" s="210"/>
    </row>
    <row r="38" ht="18.0" customHeight="1">
      <c r="A38" s="455">
        <v>35.0</v>
      </c>
      <c r="B38" s="462" t="str">
        <f t="array" ref="B38">IF(ISERR(INDEX(teamnames,G38)),"",INDEX(teamnames,G38))</f>
        <v/>
      </c>
      <c r="C38" s="463"/>
      <c r="D38" s="464">
        <f t="shared" si="1"/>
        <v>0</v>
      </c>
      <c r="E38" s="266" t="str">
        <f t="shared" si="2"/>
        <v/>
      </c>
      <c r="F38" s="210"/>
      <c r="G38" s="210">
        <f t="shared" si="7"/>
        <v>545</v>
      </c>
      <c r="H38" s="210"/>
      <c r="I38" t="b">
        <f t="shared" si="3"/>
        <v>0</v>
      </c>
      <c r="J38" t="b">
        <f t="shared" si="4"/>
        <v>0</v>
      </c>
      <c r="K38" s="439">
        <f>IF(ISNA(MATCH(C38,AthleteNumbers,0)),0,MATCH(C38,AthleteNumbers,0))</f>
        <v>0</v>
      </c>
      <c r="L38" s="209">
        <f t="array" ref="L38">IF(K38&gt;0,INDEX(DB,$I38,6),0)</f>
        <v>0</v>
      </c>
      <c r="M38" s="440">
        <f t="shared" si="5"/>
        <v>0</v>
      </c>
      <c r="N38" s="440">
        <f t="shared" si="6"/>
        <v>0</v>
      </c>
      <c r="O38" s="441">
        <f>IF(M38&gt;$M$1,MinPoints,IF(M38&lt;$R$1,100,+INT(($M$1-$M38)/$O$1)+MinPoints))</f>
        <v>100</v>
      </c>
      <c r="P38" s="210"/>
      <c r="Q38" s="210"/>
      <c r="R38" s="210"/>
      <c r="S38" s="210"/>
      <c r="T38" s="210"/>
      <c r="U38" s="210"/>
      <c r="V38" s="210"/>
      <c r="W38" s="210"/>
      <c r="X38" s="210"/>
      <c r="Y38" s="210"/>
      <c r="Z38" s="210"/>
    </row>
    <row r="39" ht="14.25" customHeight="1">
      <c r="A39" s="210"/>
      <c r="B39" s="210"/>
      <c r="C39" s="266"/>
      <c r="D39" s="266"/>
      <c r="E39" s="210"/>
      <c r="F39" s="210"/>
      <c r="G39" s="210"/>
      <c r="H39" s="210"/>
      <c r="I39" s="210"/>
      <c r="J39" s="210"/>
      <c r="K39" s="210"/>
      <c r="L39" s="210"/>
      <c r="M39" s="210"/>
      <c r="N39" s="210"/>
      <c r="O39" s="210"/>
      <c r="P39" s="210"/>
      <c r="Q39" s="210"/>
      <c r="R39" s="210"/>
      <c r="S39" s="210"/>
      <c r="T39" s="210"/>
      <c r="U39" s="210"/>
      <c r="V39" s="210"/>
      <c r="W39" s="210"/>
      <c r="X39" s="210"/>
      <c r="Y39" s="210"/>
      <c r="Z39" s="210"/>
    </row>
    <row r="40" ht="14.25" customHeight="1">
      <c r="A40" s="210"/>
      <c r="B40" s="210"/>
      <c r="C40" s="266"/>
      <c r="D40" s="266"/>
      <c r="E40" s="210"/>
      <c r="F40" s="210"/>
      <c r="G40" s="210"/>
      <c r="H40" s="210"/>
      <c r="I40" s="210"/>
      <c r="J40" s="210"/>
      <c r="K40" s="210"/>
      <c r="L40" s="210"/>
      <c r="M40" s="210"/>
      <c r="N40" s="210"/>
      <c r="O40" s="210"/>
      <c r="P40" s="210"/>
      <c r="Q40" s="210"/>
      <c r="R40" s="210"/>
      <c r="S40" s="210"/>
      <c r="T40" s="210"/>
      <c r="U40" s="210"/>
      <c r="V40" s="210"/>
      <c r="W40" s="210"/>
      <c r="X40" s="210"/>
      <c r="Y40" s="210"/>
      <c r="Z40" s="210"/>
    </row>
    <row r="41" ht="14.25" customHeight="1">
      <c r="A41" s="210"/>
      <c r="B41" s="210"/>
      <c r="C41" s="266"/>
      <c r="D41" s="266"/>
      <c r="E41" s="210"/>
      <c r="F41" s="210"/>
      <c r="G41" s="210"/>
      <c r="H41" s="210"/>
      <c r="I41" s="210"/>
      <c r="J41" s="210"/>
      <c r="K41" s="210"/>
      <c r="L41" s="210"/>
      <c r="M41" s="210"/>
      <c r="N41" s="210"/>
      <c r="O41" s="210"/>
      <c r="P41" s="210"/>
      <c r="Q41" s="210"/>
      <c r="R41" s="210"/>
      <c r="S41" s="210"/>
      <c r="T41" s="210"/>
      <c r="U41" s="210"/>
      <c r="V41" s="210"/>
      <c r="W41" s="210"/>
      <c r="X41" s="210"/>
      <c r="Y41" s="210"/>
      <c r="Z41" s="210"/>
    </row>
    <row r="42" ht="14.25" customHeight="1">
      <c r="A42" s="210"/>
      <c r="B42" s="210"/>
      <c r="C42" s="266"/>
      <c r="D42" s="266"/>
      <c r="E42" s="210"/>
      <c r="F42" s="210"/>
      <c r="G42" s="210"/>
      <c r="H42" s="210"/>
      <c r="I42" s="210"/>
      <c r="J42" s="210"/>
      <c r="K42" s="210"/>
      <c r="L42" s="210"/>
      <c r="M42" s="210"/>
      <c r="N42" s="210"/>
      <c r="O42" s="210"/>
      <c r="P42" s="210"/>
      <c r="Q42" s="210"/>
      <c r="R42" s="210"/>
      <c r="S42" s="210"/>
      <c r="T42" s="210"/>
      <c r="U42" s="210"/>
      <c r="V42" s="210"/>
      <c r="W42" s="210"/>
      <c r="X42" s="210"/>
      <c r="Y42" s="210"/>
      <c r="Z42" s="210"/>
    </row>
    <row r="43" ht="14.25" customHeight="1">
      <c r="A43" s="210"/>
      <c r="B43" s="210"/>
      <c r="C43" s="266"/>
      <c r="D43" s="266"/>
      <c r="E43" s="210"/>
      <c r="F43" s="210"/>
      <c r="G43" s="210"/>
      <c r="H43" s="210"/>
      <c r="I43" s="210"/>
      <c r="J43" s="210"/>
      <c r="K43" s="210"/>
      <c r="L43" s="210"/>
      <c r="M43" s="210"/>
      <c r="N43" s="210"/>
      <c r="O43" s="210"/>
      <c r="P43" s="210"/>
      <c r="Q43" s="210"/>
      <c r="R43" s="210"/>
      <c r="S43" s="210"/>
      <c r="T43" s="210"/>
      <c r="U43" s="210"/>
      <c r="V43" s="210"/>
      <c r="W43" s="210"/>
      <c r="X43" s="210"/>
      <c r="Y43" s="210"/>
      <c r="Z43" s="210"/>
    </row>
    <row r="44" ht="14.25" customHeight="1">
      <c r="A44" s="210"/>
      <c r="B44" s="210"/>
      <c r="C44" s="266"/>
      <c r="D44" s="266"/>
      <c r="E44" s="210"/>
      <c r="F44" s="210"/>
      <c r="G44" s="210"/>
      <c r="H44" s="210"/>
      <c r="I44" s="210"/>
      <c r="J44" s="210"/>
      <c r="K44" s="210"/>
      <c r="L44" s="210"/>
      <c r="M44" s="210"/>
      <c r="N44" s="210"/>
      <c r="O44" s="210"/>
      <c r="P44" s="210"/>
      <c r="Q44" s="210"/>
      <c r="R44" s="210"/>
      <c r="S44" s="210"/>
      <c r="T44" s="210"/>
      <c r="U44" s="210"/>
      <c r="V44" s="210"/>
      <c r="W44" s="210"/>
      <c r="X44" s="210"/>
      <c r="Y44" s="210"/>
      <c r="Z44" s="210"/>
    </row>
    <row r="45" ht="14.25" customHeight="1">
      <c r="A45" s="210"/>
      <c r="B45" s="210"/>
      <c r="C45" s="266"/>
      <c r="D45" s="266"/>
      <c r="E45" s="210"/>
      <c r="F45" s="210"/>
      <c r="G45" s="210"/>
      <c r="H45" s="210"/>
      <c r="I45" s="210"/>
      <c r="J45" s="210"/>
      <c r="K45" s="210"/>
      <c r="L45" s="210"/>
      <c r="M45" s="210"/>
      <c r="N45" s="210"/>
      <c r="O45" s="210"/>
      <c r="P45" s="210"/>
      <c r="Q45" s="210"/>
      <c r="R45" s="210"/>
      <c r="S45" s="210"/>
      <c r="T45" s="210"/>
      <c r="U45" s="210"/>
      <c r="V45" s="210"/>
      <c r="W45" s="210"/>
      <c r="X45" s="210"/>
      <c r="Y45" s="210"/>
      <c r="Z45" s="210"/>
    </row>
    <row r="46" ht="14.25" customHeight="1">
      <c r="A46" s="210"/>
      <c r="B46" s="210"/>
      <c r="C46" s="266"/>
      <c r="D46" s="266"/>
      <c r="E46" s="210"/>
      <c r="F46" s="210"/>
      <c r="G46" s="210"/>
      <c r="H46" s="210"/>
      <c r="I46" s="210"/>
      <c r="J46" s="210"/>
      <c r="K46" s="210"/>
      <c r="L46" s="210"/>
      <c r="M46" s="210"/>
      <c r="N46" s="210"/>
      <c r="O46" s="210"/>
      <c r="P46" s="210"/>
      <c r="Q46" s="210"/>
      <c r="R46" s="210"/>
      <c r="S46" s="210"/>
      <c r="T46" s="210"/>
      <c r="U46" s="210"/>
      <c r="V46" s="210"/>
      <c r="W46" s="210"/>
      <c r="X46" s="210"/>
      <c r="Y46" s="210"/>
      <c r="Z46" s="210"/>
    </row>
    <row r="47" ht="14.25" customHeight="1">
      <c r="A47" s="210"/>
      <c r="B47" s="210"/>
      <c r="C47" s="266"/>
      <c r="D47" s="266"/>
      <c r="E47" s="210"/>
      <c r="F47" s="210"/>
      <c r="G47" s="210"/>
      <c r="H47" s="210"/>
      <c r="I47" s="210"/>
      <c r="J47" s="210"/>
      <c r="K47" s="210"/>
      <c r="L47" s="210"/>
      <c r="M47" s="210"/>
      <c r="N47" s="210"/>
      <c r="O47" s="210"/>
      <c r="P47" s="210"/>
      <c r="Q47" s="210"/>
      <c r="R47" s="210"/>
      <c r="S47" s="210"/>
      <c r="T47" s="210"/>
      <c r="U47" s="210"/>
      <c r="V47" s="210"/>
      <c r="W47" s="210"/>
      <c r="X47" s="210"/>
      <c r="Y47" s="210"/>
      <c r="Z47" s="210"/>
    </row>
    <row r="48" ht="14.25" customHeight="1">
      <c r="A48" s="210"/>
      <c r="B48" s="210"/>
      <c r="C48" s="266"/>
      <c r="D48" s="266"/>
      <c r="E48" s="210"/>
      <c r="F48" s="210"/>
      <c r="G48" s="210"/>
      <c r="H48" s="210"/>
      <c r="I48" s="210"/>
      <c r="J48" s="210"/>
      <c r="K48" s="210"/>
      <c r="L48" s="210"/>
      <c r="M48" s="210"/>
      <c r="N48" s="210"/>
      <c r="O48" s="210"/>
      <c r="P48" s="210"/>
      <c r="Q48" s="210"/>
      <c r="R48" s="210"/>
      <c r="S48" s="210"/>
      <c r="T48" s="210"/>
      <c r="U48" s="210"/>
      <c r="V48" s="210"/>
      <c r="W48" s="210"/>
      <c r="X48" s="210"/>
      <c r="Y48" s="210"/>
      <c r="Z48" s="210"/>
    </row>
    <row r="49" ht="14.25" customHeight="1">
      <c r="A49" s="210"/>
      <c r="B49" s="210"/>
      <c r="C49" s="266"/>
      <c r="D49" s="266"/>
      <c r="E49" s="210"/>
      <c r="F49" s="210"/>
      <c r="G49" s="210"/>
      <c r="H49" s="210"/>
      <c r="I49" s="210"/>
      <c r="J49" s="210"/>
      <c r="K49" s="210"/>
      <c r="L49" s="210"/>
      <c r="M49" s="210"/>
      <c r="N49" s="210"/>
      <c r="O49" s="210"/>
      <c r="P49" s="210"/>
      <c r="Q49" s="210"/>
      <c r="R49" s="210"/>
      <c r="S49" s="210"/>
      <c r="T49" s="210"/>
      <c r="U49" s="210"/>
      <c r="V49" s="210"/>
      <c r="W49" s="210"/>
      <c r="X49" s="210"/>
      <c r="Y49" s="210"/>
      <c r="Z49" s="210"/>
    </row>
    <row r="50" ht="14.25" customHeight="1">
      <c r="A50" s="210"/>
      <c r="B50" s="210"/>
      <c r="C50" s="266"/>
      <c r="D50" s="266"/>
      <c r="E50" s="210"/>
      <c r="F50" s="210"/>
      <c r="G50" s="210"/>
      <c r="H50" s="210"/>
      <c r="I50" s="210"/>
      <c r="J50" s="210"/>
      <c r="K50" s="210"/>
      <c r="L50" s="210"/>
      <c r="M50" s="210"/>
      <c r="N50" s="210"/>
      <c r="O50" s="210"/>
      <c r="P50" s="210"/>
      <c r="Q50" s="210"/>
      <c r="R50" s="210"/>
      <c r="S50" s="210"/>
      <c r="T50" s="210"/>
      <c r="U50" s="210"/>
      <c r="V50" s="210"/>
      <c r="W50" s="210"/>
      <c r="X50" s="210"/>
      <c r="Y50" s="210"/>
      <c r="Z50" s="210"/>
    </row>
    <row r="51" ht="14.25" customHeight="1">
      <c r="A51" s="210"/>
      <c r="B51" s="210"/>
      <c r="C51" s="266"/>
      <c r="D51" s="266"/>
      <c r="E51" s="210"/>
      <c r="F51" s="210"/>
      <c r="G51" s="210"/>
      <c r="H51" s="210"/>
      <c r="I51" s="210"/>
      <c r="J51" s="210"/>
      <c r="K51" s="210"/>
      <c r="L51" s="210"/>
      <c r="M51" s="210"/>
      <c r="N51" s="210"/>
      <c r="O51" s="210"/>
      <c r="P51" s="210"/>
      <c r="Q51" s="210"/>
      <c r="R51" s="210"/>
      <c r="S51" s="210"/>
      <c r="T51" s="210"/>
      <c r="U51" s="210"/>
      <c r="V51" s="210"/>
      <c r="W51" s="210"/>
      <c r="X51" s="210"/>
      <c r="Y51" s="210"/>
      <c r="Z51" s="210"/>
    </row>
    <row r="52" ht="14.25" customHeight="1">
      <c r="A52" s="210"/>
      <c r="B52" s="210"/>
      <c r="C52" s="266"/>
      <c r="D52" s="266"/>
      <c r="E52" s="210"/>
      <c r="F52" s="210"/>
      <c r="G52" s="210"/>
      <c r="H52" s="210"/>
      <c r="I52" s="210"/>
      <c r="J52" s="210"/>
      <c r="K52" s="210"/>
      <c r="L52" s="210"/>
      <c r="M52" s="210"/>
      <c r="N52" s="210"/>
      <c r="O52" s="210"/>
      <c r="P52" s="210"/>
      <c r="Q52" s="210"/>
      <c r="R52" s="210"/>
      <c r="S52" s="210"/>
      <c r="T52" s="210"/>
      <c r="U52" s="210"/>
      <c r="V52" s="210"/>
      <c r="W52" s="210"/>
      <c r="X52" s="210"/>
      <c r="Y52" s="210"/>
      <c r="Z52" s="210"/>
    </row>
    <row r="53" ht="14.25" customHeight="1">
      <c r="A53" s="210"/>
      <c r="B53" s="210"/>
      <c r="C53" s="266"/>
      <c r="D53" s="266"/>
      <c r="E53" s="210"/>
      <c r="F53" s="210"/>
      <c r="G53" s="210"/>
      <c r="H53" s="210"/>
      <c r="I53" s="210"/>
      <c r="J53" s="210"/>
      <c r="K53" s="210"/>
      <c r="L53" s="210"/>
      <c r="M53" s="210"/>
      <c r="N53" s="210"/>
      <c r="O53" s="210"/>
      <c r="P53" s="210"/>
      <c r="Q53" s="210"/>
      <c r="R53" s="210"/>
      <c r="S53" s="210"/>
      <c r="T53" s="210"/>
      <c r="U53" s="210"/>
      <c r="V53" s="210"/>
      <c r="W53" s="210"/>
      <c r="X53" s="210"/>
      <c r="Y53" s="210"/>
      <c r="Z53" s="210"/>
    </row>
    <row r="54" ht="14.25" customHeight="1">
      <c r="A54" s="210"/>
      <c r="B54" s="210"/>
      <c r="C54" s="266"/>
      <c r="D54" s="266"/>
      <c r="E54" s="210"/>
      <c r="F54" s="210"/>
      <c r="G54" s="210"/>
      <c r="H54" s="210"/>
      <c r="I54" s="210"/>
      <c r="J54" s="210"/>
      <c r="K54" s="210"/>
      <c r="L54" s="210"/>
      <c r="M54" s="210"/>
      <c r="N54" s="210"/>
      <c r="O54" s="210"/>
      <c r="P54" s="210"/>
      <c r="Q54" s="210"/>
      <c r="R54" s="210"/>
      <c r="S54" s="210"/>
      <c r="T54" s="210"/>
      <c r="U54" s="210"/>
      <c r="V54" s="210"/>
      <c r="W54" s="210"/>
      <c r="X54" s="210"/>
      <c r="Y54" s="210"/>
      <c r="Z54" s="210"/>
    </row>
    <row r="55" ht="14.25" customHeight="1">
      <c r="A55" s="210"/>
      <c r="B55" s="210"/>
      <c r="C55" s="266"/>
      <c r="D55" s="266"/>
      <c r="E55" s="210"/>
      <c r="F55" s="210"/>
      <c r="G55" s="210"/>
      <c r="H55" s="210"/>
      <c r="I55" s="210"/>
      <c r="J55" s="210"/>
      <c r="K55" s="210"/>
      <c r="L55" s="210"/>
      <c r="M55" s="210"/>
      <c r="N55" s="210"/>
      <c r="O55" s="210"/>
      <c r="P55" s="210"/>
      <c r="Q55" s="210"/>
      <c r="R55" s="210"/>
      <c r="S55" s="210"/>
      <c r="T55" s="210"/>
      <c r="U55" s="210"/>
      <c r="V55" s="210"/>
      <c r="W55" s="210"/>
      <c r="X55" s="210"/>
      <c r="Y55" s="210"/>
      <c r="Z55" s="210"/>
    </row>
    <row r="56" ht="14.25" customHeight="1">
      <c r="A56" s="210"/>
      <c r="B56" s="210"/>
      <c r="C56" s="266"/>
      <c r="D56" s="266"/>
      <c r="E56" s="210"/>
      <c r="F56" s="210"/>
      <c r="G56" s="210"/>
      <c r="H56" s="210"/>
      <c r="I56" s="210"/>
      <c r="J56" s="210"/>
      <c r="K56" s="210"/>
      <c r="L56" s="210"/>
      <c r="M56" s="210"/>
      <c r="N56" s="210"/>
      <c r="O56" s="210"/>
      <c r="P56" s="210"/>
      <c r="Q56" s="210"/>
      <c r="R56" s="210"/>
      <c r="S56" s="210"/>
      <c r="T56" s="210"/>
      <c r="U56" s="210"/>
      <c r="V56" s="210"/>
      <c r="W56" s="210"/>
      <c r="X56" s="210"/>
      <c r="Y56" s="210"/>
      <c r="Z56" s="210"/>
    </row>
    <row r="57" ht="14.25" customHeight="1">
      <c r="A57" s="210"/>
      <c r="B57" s="210"/>
      <c r="C57" s="266"/>
      <c r="D57" s="266"/>
      <c r="E57" s="210"/>
      <c r="F57" s="210"/>
      <c r="G57" s="210"/>
      <c r="H57" s="210"/>
      <c r="I57" s="210"/>
      <c r="J57" s="210"/>
      <c r="K57" s="210"/>
      <c r="L57" s="210"/>
      <c r="M57" s="210"/>
      <c r="N57" s="210"/>
      <c r="O57" s="210"/>
      <c r="P57" s="210"/>
      <c r="Q57" s="210"/>
      <c r="R57" s="210"/>
      <c r="S57" s="210"/>
      <c r="T57" s="210"/>
      <c r="U57" s="210"/>
      <c r="V57" s="210"/>
      <c r="W57" s="210"/>
      <c r="X57" s="210"/>
      <c r="Y57" s="210"/>
      <c r="Z57" s="210"/>
    </row>
    <row r="58" ht="14.25" customHeight="1">
      <c r="A58" s="210"/>
      <c r="B58" s="210"/>
      <c r="C58" s="266"/>
      <c r="D58" s="266"/>
      <c r="E58" s="210"/>
      <c r="F58" s="210"/>
      <c r="G58" s="210"/>
      <c r="H58" s="210"/>
      <c r="I58" s="210"/>
      <c r="J58" s="210"/>
      <c r="K58" s="210"/>
      <c r="L58" s="210"/>
      <c r="M58" s="210"/>
      <c r="N58" s="210"/>
      <c r="O58" s="210"/>
      <c r="P58" s="210"/>
      <c r="Q58" s="210"/>
      <c r="R58" s="210"/>
      <c r="S58" s="210"/>
      <c r="T58" s="210"/>
      <c r="U58" s="210"/>
      <c r="V58" s="210"/>
      <c r="W58" s="210"/>
      <c r="X58" s="210"/>
      <c r="Y58" s="210"/>
      <c r="Z58" s="210"/>
    </row>
    <row r="59" ht="14.25" customHeight="1">
      <c r="A59" s="210"/>
      <c r="B59" s="210"/>
      <c r="C59" s="266"/>
      <c r="D59" s="266"/>
      <c r="E59" s="210"/>
      <c r="F59" s="210"/>
      <c r="G59" s="210"/>
      <c r="H59" s="210"/>
      <c r="I59" s="210"/>
      <c r="J59" s="210"/>
      <c r="K59" s="210"/>
      <c r="L59" s="210"/>
      <c r="M59" s="210"/>
      <c r="N59" s="210"/>
      <c r="O59" s="210"/>
      <c r="P59" s="210"/>
      <c r="Q59" s="210"/>
      <c r="R59" s="210"/>
      <c r="S59" s="210"/>
      <c r="T59" s="210"/>
      <c r="U59" s="210"/>
      <c r="V59" s="210"/>
      <c r="W59" s="210"/>
      <c r="X59" s="210"/>
      <c r="Y59" s="210"/>
      <c r="Z59" s="210"/>
    </row>
    <row r="60" ht="14.25" customHeight="1">
      <c r="A60" s="210"/>
      <c r="B60" s="210"/>
      <c r="C60" s="266"/>
      <c r="D60" s="266"/>
      <c r="E60" s="210"/>
      <c r="F60" s="210"/>
      <c r="G60" s="210"/>
      <c r="H60" s="210"/>
      <c r="I60" s="210"/>
      <c r="J60" s="210"/>
      <c r="K60" s="210"/>
      <c r="L60" s="210"/>
      <c r="M60" s="210"/>
      <c r="N60" s="210"/>
      <c r="O60" s="210"/>
      <c r="P60" s="210"/>
      <c r="Q60" s="210"/>
      <c r="R60" s="210"/>
      <c r="S60" s="210"/>
      <c r="T60" s="210"/>
      <c r="U60" s="210"/>
      <c r="V60" s="210"/>
      <c r="W60" s="210"/>
      <c r="X60" s="210"/>
      <c r="Y60" s="210"/>
      <c r="Z60" s="210"/>
    </row>
    <row r="61" ht="14.25" customHeight="1">
      <c r="A61" s="210"/>
      <c r="B61" s="210"/>
      <c r="C61" s="266"/>
      <c r="D61" s="266"/>
      <c r="E61" s="210"/>
      <c r="F61" s="210"/>
      <c r="G61" s="210"/>
      <c r="H61" s="210"/>
      <c r="I61" s="210"/>
      <c r="J61" s="210"/>
      <c r="K61" s="210"/>
      <c r="L61" s="210"/>
      <c r="M61" s="210"/>
      <c r="N61" s="210"/>
      <c r="O61" s="210"/>
      <c r="P61" s="210"/>
      <c r="Q61" s="210"/>
      <c r="R61" s="210"/>
      <c r="S61" s="210"/>
      <c r="T61" s="210"/>
      <c r="U61" s="210"/>
      <c r="V61" s="210"/>
      <c r="W61" s="210"/>
      <c r="X61" s="210"/>
      <c r="Y61" s="210"/>
      <c r="Z61" s="210"/>
    </row>
    <row r="62" ht="14.25" customHeight="1">
      <c r="A62" s="210"/>
      <c r="B62" s="210"/>
      <c r="C62" s="266"/>
      <c r="D62" s="266"/>
      <c r="E62" s="210"/>
      <c r="F62" s="210"/>
      <c r="G62" s="210"/>
      <c r="H62" s="210"/>
      <c r="I62" s="210"/>
      <c r="J62" s="210"/>
      <c r="K62" s="210"/>
      <c r="L62" s="210"/>
      <c r="M62" s="210"/>
      <c r="N62" s="210"/>
      <c r="O62" s="210"/>
      <c r="P62" s="210"/>
      <c r="Q62" s="210"/>
      <c r="R62" s="210"/>
      <c r="S62" s="210"/>
      <c r="T62" s="210"/>
      <c r="U62" s="210"/>
      <c r="V62" s="210"/>
      <c r="W62" s="210"/>
      <c r="X62" s="210"/>
      <c r="Y62" s="210"/>
      <c r="Z62" s="210"/>
    </row>
    <row r="63" ht="14.25" customHeight="1">
      <c r="A63" s="210"/>
      <c r="B63" s="210"/>
      <c r="C63" s="266"/>
      <c r="D63" s="266"/>
      <c r="E63" s="210"/>
      <c r="F63" s="210"/>
      <c r="G63" s="210"/>
      <c r="H63" s="210"/>
      <c r="I63" s="210"/>
      <c r="J63" s="210"/>
      <c r="K63" s="210"/>
      <c r="L63" s="210"/>
      <c r="M63" s="210"/>
      <c r="N63" s="210"/>
      <c r="O63" s="210"/>
      <c r="P63" s="210"/>
      <c r="Q63" s="210"/>
      <c r="R63" s="210"/>
      <c r="S63" s="210"/>
      <c r="T63" s="210"/>
      <c r="U63" s="210"/>
      <c r="V63" s="210"/>
      <c r="W63" s="210"/>
      <c r="X63" s="210"/>
      <c r="Y63" s="210"/>
      <c r="Z63" s="210"/>
    </row>
    <row r="64" ht="14.25" customHeight="1">
      <c r="A64" s="210"/>
      <c r="B64" s="210"/>
      <c r="C64" s="266"/>
      <c r="D64" s="266"/>
      <c r="E64" s="210"/>
      <c r="F64" s="210"/>
      <c r="G64" s="210"/>
      <c r="H64" s="210"/>
      <c r="I64" s="210"/>
      <c r="J64" s="210"/>
      <c r="K64" s="210"/>
      <c r="L64" s="210"/>
      <c r="M64" s="210"/>
      <c r="N64" s="210"/>
      <c r="O64" s="210"/>
      <c r="P64" s="210"/>
      <c r="Q64" s="210"/>
      <c r="R64" s="210"/>
      <c r="S64" s="210"/>
      <c r="T64" s="210"/>
      <c r="U64" s="210"/>
      <c r="V64" s="210"/>
      <c r="W64" s="210"/>
      <c r="X64" s="210"/>
      <c r="Y64" s="210"/>
      <c r="Z64" s="210"/>
    </row>
    <row r="65" ht="14.25" customHeight="1">
      <c r="A65" s="210"/>
      <c r="B65" s="210"/>
      <c r="C65" s="266"/>
      <c r="D65" s="266"/>
      <c r="E65" s="210"/>
      <c r="F65" s="210"/>
      <c r="G65" s="210"/>
      <c r="H65" s="210"/>
      <c r="I65" s="210"/>
      <c r="J65" s="210"/>
      <c r="K65" s="210"/>
      <c r="L65" s="210"/>
      <c r="M65" s="210"/>
      <c r="N65" s="210"/>
      <c r="O65" s="210"/>
      <c r="P65" s="210"/>
      <c r="Q65" s="210"/>
      <c r="R65" s="210"/>
      <c r="S65" s="210"/>
      <c r="T65" s="210"/>
      <c r="U65" s="210"/>
      <c r="V65" s="210"/>
      <c r="W65" s="210"/>
      <c r="X65" s="210"/>
      <c r="Y65" s="210"/>
      <c r="Z65" s="210"/>
    </row>
    <row r="66" ht="14.25" customHeight="1">
      <c r="A66" s="210"/>
      <c r="B66" s="210"/>
      <c r="C66" s="266"/>
      <c r="D66" s="266"/>
      <c r="E66" s="210"/>
      <c r="F66" s="210"/>
      <c r="G66" s="210"/>
      <c r="H66" s="210"/>
      <c r="I66" s="210"/>
      <c r="J66" s="210"/>
      <c r="K66" s="210"/>
      <c r="L66" s="210"/>
      <c r="M66" s="210"/>
      <c r="N66" s="210"/>
      <c r="O66" s="210"/>
      <c r="P66" s="210"/>
      <c r="Q66" s="210"/>
      <c r="R66" s="210"/>
      <c r="S66" s="210"/>
      <c r="T66" s="210"/>
      <c r="U66" s="210"/>
      <c r="V66" s="210"/>
      <c r="W66" s="210"/>
      <c r="X66" s="210"/>
      <c r="Y66" s="210"/>
      <c r="Z66" s="210"/>
    </row>
    <row r="67" ht="14.25" customHeight="1">
      <c r="A67" s="210"/>
      <c r="B67" s="210"/>
      <c r="C67" s="266"/>
      <c r="D67" s="266"/>
      <c r="E67" s="210"/>
      <c r="F67" s="210"/>
      <c r="G67" s="210"/>
      <c r="H67" s="210"/>
      <c r="I67" s="210"/>
      <c r="J67" s="210"/>
      <c r="K67" s="210"/>
      <c r="L67" s="210"/>
      <c r="M67" s="210"/>
      <c r="N67" s="210"/>
      <c r="O67" s="210"/>
      <c r="P67" s="210"/>
      <c r="Q67" s="210"/>
      <c r="R67" s="210"/>
      <c r="S67" s="210"/>
      <c r="T67" s="210"/>
      <c r="U67" s="210"/>
      <c r="V67" s="210"/>
      <c r="W67" s="210"/>
      <c r="X67" s="210"/>
      <c r="Y67" s="210"/>
      <c r="Z67" s="210"/>
    </row>
    <row r="68" ht="14.25" customHeight="1">
      <c r="A68" s="210"/>
      <c r="B68" s="210"/>
      <c r="C68" s="266"/>
      <c r="D68" s="266"/>
      <c r="E68" s="210"/>
      <c r="F68" s="210"/>
      <c r="G68" s="210"/>
      <c r="H68" s="210"/>
      <c r="I68" s="210"/>
      <c r="J68" s="210"/>
      <c r="K68" s="210"/>
      <c r="L68" s="210"/>
      <c r="M68" s="210"/>
      <c r="N68" s="210"/>
      <c r="O68" s="210"/>
      <c r="P68" s="210"/>
      <c r="Q68" s="210"/>
      <c r="R68" s="210"/>
      <c r="S68" s="210"/>
      <c r="T68" s="210"/>
      <c r="U68" s="210"/>
      <c r="V68" s="210"/>
      <c r="W68" s="210"/>
      <c r="X68" s="210"/>
      <c r="Y68" s="210"/>
      <c r="Z68" s="210"/>
    </row>
    <row r="69" ht="14.25" customHeight="1">
      <c r="A69" s="210"/>
      <c r="B69" s="210"/>
      <c r="C69" s="266"/>
      <c r="D69" s="266"/>
      <c r="E69" s="210"/>
      <c r="F69" s="210"/>
      <c r="G69" s="210"/>
      <c r="H69" s="210"/>
      <c r="I69" s="210"/>
      <c r="J69" s="210"/>
      <c r="K69" s="210"/>
      <c r="L69" s="210"/>
      <c r="M69" s="210"/>
      <c r="N69" s="210"/>
      <c r="O69" s="210"/>
      <c r="P69" s="210"/>
      <c r="Q69" s="210"/>
      <c r="R69" s="210"/>
      <c r="S69" s="210"/>
      <c r="T69" s="210"/>
      <c r="U69" s="210"/>
      <c r="V69" s="210"/>
      <c r="W69" s="210"/>
      <c r="X69" s="210"/>
      <c r="Y69" s="210"/>
      <c r="Z69" s="210"/>
    </row>
    <row r="70" ht="14.25" customHeight="1">
      <c r="A70" s="210"/>
      <c r="B70" s="210"/>
      <c r="C70" s="266"/>
      <c r="D70" s="266"/>
      <c r="E70" s="210"/>
      <c r="F70" s="210"/>
      <c r="G70" s="210"/>
      <c r="H70" s="210"/>
      <c r="I70" s="210"/>
      <c r="J70" s="210"/>
      <c r="K70" s="210"/>
      <c r="L70" s="210"/>
      <c r="M70" s="210"/>
      <c r="N70" s="210"/>
      <c r="O70" s="210"/>
      <c r="P70" s="210"/>
      <c r="Q70" s="210"/>
      <c r="R70" s="210"/>
      <c r="S70" s="210"/>
      <c r="T70" s="210"/>
      <c r="U70" s="210"/>
      <c r="V70" s="210"/>
      <c r="W70" s="210"/>
      <c r="X70" s="210"/>
      <c r="Y70" s="210"/>
      <c r="Z70" s="210"/>
    </row>
    <row r="71" ht="14.25" customHeight="1">
      <c r="A71" s="210"/>
      <c r="B71" s="210"/>
      <c r="C71" s="266"/>
      <c r="D71" s="266"/>
      <c r="E71" s="210"/>
      <c r="F71" s="210"/>
      <c r="G71" s="210"/>
      <c r="H71" s="210"/>
      <c r="I71" s="210"/>
      <c r="J71" s="210"/>
      <c r="K71" s="210"/>
      <c r="L71" s="210"/>
      <c r="M71" s="210"/>
      <c r="N71" s="210"/>
      <c r="O71" s="210"/>
      <c r="P71" s="210"/>
      <c r="Q71" s="210"/>
      <c r="R71" s="210"/>
      <c r="S71" s="210"/>
      <c r="T71" s="210"/>
      <c r="U71" s="210"/>
      <c r="V71" s="210"/>
      <c r="W71" s="210"/>
      <c r="X71" s="210"/>
      <c r="Y71" s="210"/>
      <c r="Z71" s="210"/>
    </row>
    <row r="72" ht="14.25" customHeight="1">
      <c r="A72" s="210"/>
      <c r="B72" s="210"/>
      <c r="C72" s="266"/>
      <c r="D72" s="266"/>
      <c r="E72" s="210"/>
      <c r="F72" s="210"/>
      <c r="G72" s="210"/>
      <c r="H72" s="210"/>
      <c r="I72" s="210"/>
      <c r="J72" s="210"/>
      <c r="K72" s="210"/>
      <c r="L72" s="210"/>
      <c r="M72" s="210"/>
      <c r="N72" s="210"/>
      <c r="O72" s="210"/>
      <c r="P72" s="210"/>
      <c r="Q72" s="210"/>
      <c r="R72" s="210"/>
      <c r="S72" s="210"/>
      <c r="T72" s="210"/>
      <c r="U72" s="210"/>
      <c r="V72" s="210"/>
      <c r="W72" s="210"/>
      <c r="X72" s="210"/>
      <c r="Y72" s="210"/>
      <c r="Z72" s="210"/>
    </row>
    <row r="73" ht="14.25" customHeight="1">
      <c r="A73" s="210"/>
      <c r="B73" s="210"/>
      <c r="C73" s="266"/>
      <c r="D73" s="266"/>
      <c r="E73" s="210"/>
      <c r="F73" s="210"/>
      <c r="G73" s="210"/>
      <c r="H73" s="210"/>
      <c r="I73" s="210"/>
      <c r="J73" s="210"/>
      <c r="K73" s="210"/>
      <c r="L73" s="210"/>
      <c r="M73" s="210"/>
      <c r="N73" s="210"/>
      <c r="O73" s="210"/>
      <c r="P73" s="210"/>
      <c r="Q73" s="210"/>
      <c r="R73" s="210"/>
      <c r="S73" s="210"/>
      <c r="T73" s="210"/>
      <c r="U73" s="210"/>
      <c r="V73" s="210"/>
      <c r="W73" s="210"/>
      <c r="X73" s="210"/>
      <c r="Y73" s="210"/>
      <c r="Z73" s="210"/>
    </row>
    <row r="74" ht="14.25" customHeight="1">
      <c r="A74" s="210"/>
      <c r="B74" s="210"/>
      <c r="C74" s="266"/>
      <c r="D74" s="266"/>
      <c r="E74" s="210"/>
      <c r="F74" s="210"/>
      <c r="G74" s="210"/>
      <c r="H74" s="210"/>
      <c r="I74" s="210"/>
      <c r="J74" s="210"/>
      <c r="K74" s="210"/>
      <c r="L74" s="210"/>
      <c r="M74" s="210"/>
      <c r="N74" s="210"/>
      <c r="O74" s="210"/>
      <c r="P74" s="210"/>
      <c r="Q74" s="210"/>
      <c r="R74" s="210"/>
      <c r="S74" s="210"/>
      <c r="T74" s="210"/>
      <c r="U74" s="210"/>
      <c r="V74" s="210"/>
      <c r="W74" s="210"/>
      <c r="X74" s="210"/>
      <c r="Y74" s="210"/>
      <c r="Z74" s="210"/>
    </row>
    <row r="75" ht="14.25" customHeight="1">
      <c r="A75" s="210"/>
      <c r="B75" s="210"/>
      <c r="C75" s="266"/>
      <c r="D75" s="266"/>
      <c r="E75" s="210"/>
      <c r="F75" s="210"/>
      <c r="G75" s="210"/>
      <c r="H75" s="210"/>
      <c r="I75" s="210"/>
      <c r="J75" s="210"/>
      <c r="K75" s="210"/>
      <c r="L75" s="210"/>
      <c r="M75" s="210"/>
      <c r="N75" s="210"/>
      <c r="O75" s="210"/>
      <c r="P75" s="210"/>
      <c r="Q75" s="210"/>
      <c r="R75" s="210"/>
      <c r="S75" s="210"/>
      <c r="T75" s="210"/>
      <c r="U75" s="210"/>
      <c r="V75" s="210"/>
      <c r="W75" s="210"/>
      <c r="X75" s="210"/>
      <c r="Y75" s="210"/>
      <c r="Z75" s="210"/>
    </row>
    <row r="76" ht="14.25" customHeight="1">
      <c r="A76" s="210"/>
      <c r="B76" s="210"/>
      <c r="C76" s="266"/>
      <c r="D76" s="266"/>
      <c r="E76" s="210"/>
      <c r="F76" s="210"/>
      <c r="G76" s="210"/>
      <c r="H76" s="210"/>
      <c r="I76" s="210"/>
      <c r="J76" s="210"/>
      <c r="K76" s="210"/>
      <c r="L76" s="210"/>
      <c r="M76" s="210"/>
      <c r="N76" s="210"/>
      <c r="O76" s="210"/>
      <c r="P76" s="210"/>
      <c r="Q76" s="210"/>
      <c r="R76" s="210"/>
      <c r="S76" s="210"/>
      <c r="T76" s="210"/>
      <c r="U76" s="210"/>
      <c r="V76" s="210"/>
      <c r="W76" s="210"/>
      <c r="X76" s="210"/>
      <c r="Y76" s="210"/>
      <c r="Z76" s="210"/>
    </row>
    <row r="77" ht="14.25" customHeight="1">
      <c r="A77" s="210"/>
      <c r="B77" s="210"/>
      <c r="C77" s="266"/>
      <c r="D77" s="266"/>
      <c r="E77" s="210"/>
      <c r="F77" s="210"/>
      <c r="G77" s="210"/>
      <c r="H77" s="210"/>
      <c r="I77" s="210"/>
      <c r="J77" s="210"/>
      <c r="K77" s="210"/>
      <c r="L77" s="210"/>
      <c r="M77" s="210"/>
      <c r="N77" s="210"/>
      <c r="O77" s="210"/>
      <c r="P77" s="210"/>
      <c r="Q77" s="210"/>
      <c r="R77" s="210"/>
      <c r="S77" s="210"/>
      <c r="T77" s="210"/>
      <c r="U77" s="210"/>
      <c r="V77" s="210"/>
      <c r="W77" s="210"/>
      <c r="X77" s="210"/>
      <c r="Y77" s="210"/>
      <c r="Z77" s="210"/>
    </row>
    <row r="78" ht="14.25" customHeight="1">
      <c r="A78" s="210"/>
      <c r="B78" s="210"/>
      <c r="C78" s="266"/>
      <c r="D78" s="266"/>
      <c r="E78" s="210"/>
      <c r="F78" s="210"/>
      <c r="G78" s="210"/>
      <c r="H78" s="210"/>
      <c r="I78" s="210"/>
      <c r="J78" s="210"/>
      <c r="K78" s="210"/>
      <c r="L78" s="210"/>
      <c r="M78" s="210"/>
      <c r="N78" s="210"/>
      <c r="O78" s="210"/>
      <c r="P78" s="210"/>
      <c r="Q78" s="210"/>
      <c r="R78" s="210"/>
      <c r="S78" s="210"/>
      <c r="T78" s="210"/>
      <c r="U78" s="210"/>
      <c r="V78" s="210"/>
      <c r="W78" s="210"/>
      <c r="X78" s="210"/>
      <c r="Y78" s="210"/>
      <c r="Z78" s="210"/>
    </row>
    <row r="79" ht="14.25" customHeight="1">
      <c r="A79" s="210"/>
      <c r="B79" s="210"/>
      <c r="C79" s="266"/>
      <c r="D79" s="266"/>
      <c r="E79" s="210"/>
      <c r="F79" s="210"/>
      <c r="G79" s="210"/>
      <c r="H79" s="210"/>
      <c r="I79" s="210"/>
      <c r="J79" s="210"/>
      <c r="K79" s="210"/>
      <c r="L79" s="210"/>
      <c r="M79" s="210"/>
      <c r="N79" s="210"/>
      <c r="O79" s="210"/>
      <c r="P79" s="210"/>
      <c r="Q79" s="210"/>
      <c r="R79" s="210"/>
      <c r="S79" s="210"/>
      <c r="T79" s="210"/>
      <c r="U79" s="210"/>
      <c r="V79" s="210"/>
      <c r="W79" s="210"/>
      <c r="X79" s="210"/>
      <c r="Y79" s="210"/>
      <c r="Z79" s="210"/>
    </row>
    <row r="80" ht="14.25" customHeight="1">
      <c r="A80" s="210"/>
      <c r="B80" s="210"/>
      <c r="C80" s="266"/>
      <c r="D80" s="266"/>
      <c r="E80" s="210"/>
      <c r="F80" s="210"/>
      <c r="G80" s="210"/>
      <c r="H80" s="210"/>
      <c r="I80" s="210"/>
      <c r="J80" s="210"/>
      <c r="K80" s="210"/>
      <c r="L80" s="210"/>
      <c r="M80" s="210"/>
      <c r="N80" s="210"/>
      <c r="O80" s="210"/>
      <c r="P80" s="210"/>
      <c r="Q80" s="210"/>
      <c r="R80" s="210"/>
      <c r="S80" s="210"/>
      <c r="T80" s="210"/>
      <c r="U80" s="210"/>
      <c r="V80" s="210"/>
      <c r="W80" s="210"/>
      <c r="X80" s="210"/>
      <c r="Y80" s="210"/>
      <c r="Z80" s="210"/>
    </row>
    <row r="81" ht="14.25" customHeight="1">
      <c r="A81" s="210"/>
      <c r="B81" s="210"/>
      <c r="C81" s="266"/>
      <c r="D81" s="266"/>
      <c r="E81" s="210"/>
      <c r="F81" s="210"/>
      <c r="G81" s="210"/>
      <c r="H81" s="210"/>
      <c r="I81" s="210"/>
      <c r="J81" s="210"/>
      <c r="K81" s="210"/>
      <c r="L81" s="210"/>
      <c r="M81" s="210"/>
      <c r="N81" s="210"/>
      <c r="O81" s="210"/>
      <c r="P81" s="210"/>
      <c r="Q81" s="210"/>
      <c r="R81" s="210"/>
      <c r="S81" s="210"/>
      <c r="T81" s="210"/>
      <c r="U81" s="210"/>
      <c r="V81" s="210"/>
      <c r="W81" s="210"/>
      <c r="X81" s="210"/>
      <c r="Y81" s="210"/>
      <c r="Z81" s="210"/>
    </row>
    <row r="82" ht="14.25" customHeight="1">
      <c r="A82" s="210"/>
      <c r="B82" s="210"/>
      <c r="C82" s="266"/>
      <c r="D82" s="266"/>
      <c r="E82" s="210"/>
      <c r="F82" s="210"/>
      <c r="G82" s="210"/>
      <c r="H82" s="210"/>
      <c r="I82" s="210"/>
      <c r="J82" s="210"/>
      <c r="K82" s="210"/>
      <c r="L82" s="210"/>
      <c r="M82" s="210"/>
      <c r="N82" s="210"/>
      <c r="O82" s="210"/>
      <c r="P82" s="210"/>
      <c r="Q82" s="210"/>
      <c r="R82" s="210"/>
      <c r="S82" s="210"/>
      <c r="T82" s="210"/>
      <c r="U82" s="210"/>
      <c r="V82" s="210"/>
      <c r="W82" s="210"/>
      <c r="X82" s="210"/>
      <c r="Y82" s="210"/>
      <c r="Z82" s="210"/>
    </row>
    <row r="83" ht="14.25" customHeight="1">
      <c r="A83" s="210"/>
      <c r="B83" s="210"/>
      <c r="C83" s="266"/>
      <c r="D83" s="266"/>
      <c r="E83" s="210"/>
      <c r="F83" s="210"/>
      <c r="G83" s="210"/>
      <c r="H83" s="210"/>
      <c r="I83" s="210"/>
      <c r="J83" s="210"/>
      <c r="K83" s="210"/>
      <c r="L83" s="210"/>
      <c r="M83" s="210"/>
      <c r="N83" s="210"/>
      <c r="O83" s="210"/>
      <c r="P83" s="210"/>
      <c r="Q83" s="210"/>
      <c r="R83" s="210"/>
      <c r="S83" s="210"/>
      <c r="T83" s="210"/>
      <c r="U83" s="210"/>
      <c r="V83" s="210"/>
      <c r="W83" s="210"/>
      <c r="X83" s="210"/>
      <c r="Y83" s="210"/>
      <c r="Z83" s="210"/>
    </row>
    <row r="84" ht="14.25" customHeight="1">
      <c r="A84" s="210"/>
      <c r="B84" s="210"/>
      <c r="C84" s="266"/>
      <c r="D84" s="266"/>
      <c r="E84" s="210"/>
      <c r="F84" s="210"/>
      <c r="G84" s="210"/>
      <c r="H84" s="210"/>
      <c r="I84" s="210"/>
      <c r="J84" s="210"/>
      <c r="K84" s="210"/>
      <c r="L84" s="210"/>
      <c r="M84" s="210"/>
      <c r="N84" s="210"/>
      <c r="O84" s="210"/>
      <c r="P84" s="210"/>
      <c r="Q84" s="210"/>
      <c r="R84" s="210"/>
      <c r="S84" s="210"/>
      <c r="T84" s="210"/>
      <c r="U84" s="210"/>
      <c r="V84" s="210"/>
      <c r="W84" s="210"/>
      <c r="X84" s="210"/>
      <c r="Y84" s="210"/>
      <c r="Z84" s="210"/>
    </row>
    <row r="85" ht="14.25" customHeight="1">
      <c r="A85" s="210"/>
      <c r="B85" s="210"/>
      <c r="C85" s="266"/>
      <c r="D85" s="266"/>
      <c r="E85" s="210"/>
      <c r="F85" s="210"/>
      <c r="G85" s="210"/>
      <c r="H85" s="210"/>
      <c r="I85" s="210"/>
      <c r="J85" s="210"/>
      <c r="K85" s="210"/>
      <c r="L85" s="210"/>
      <c r="M85" s="210"/>
      <c r="N85" s="210"/>
      <c r="O85" s="210"/>
      <c r="P85" s="210"/>
      <c r="Q85" s="210"/>
      <c r="R85" s="210"/>
      <c r="S85" s="210"/>
      <c r="T85" s="210"/>
      <c r="U85" s="210"/>
      <c r="V85" s="210"/>
      <c r="W85" s="210"/>
      <c r="X85" s="210"/>
      <c r="Y85" s="210"/>
      <c r="Z85" s="210"/>
    </row>
    <row r="86" ht="14.25" customHeight="1">
      <c r="A86" s="210"/>
      <c r="B86" s="210"/>
      <c r="C86" s="266"/>
      <c r="D86" s="266"/>
      <c r="E86" s="210"/>
      <c r="F86" s="210"/>
      <c r="G86" s="210"/>
      <c r="H86" s="210"/>
      <c r="I86" s="210"/>
      <c r="J86" s="210"/>
      <c r="K86" s="210"/>
      <c r="L86" s="210"/>
      <c r="M86" s="210"/>
      <c r="N86" s="210"/>
      <c r="O86" s="210"/>
      <c r="P86" s="210"/>
      <c r="Q86" s="210"/>
      <c r="R86" s="210"/>
      <c r="S86" s="210"/>
      <c r="T86" s="210"/>
      <c r="U86" s="210"/>
      <c r="V86" s="210"/>
      <c r="W86" s="210"/>
      <c r="X86" s="210"/>
      <c r="Y86" s="210"/>
      <c r="Z86" s="210"/>
    </row>
    <row r="87" ht="14.25" customHeight="1">
      <c r="A87" s="210"/>
      <c r="B87" s="210"/>
      <c r="C87" s="266"/>
      <c r="D87" s="266"/>
      <c r="E87" s="210"/>
      <c r="F87" s="210"/>
      <c r="G87" s="210"/>
      <c r="H87" s="210"/>
      <c r="I87" s="210"/>
      <c r="J87" s="210"/>
      <c r="K87" s="210"/>
      <c r="L87" s="210"/>
      <c r="M87" s="210"/>
      <c r="N87" s="210"/>
      <c r="O87" s="210"/>
      <c r="P87" s="210"/>
      <c r="Q87" s="210"/>
      <c r="R87" s="210"/>
      <c r="S87" s="210"/>
      <c r="T87" s="210"/>
      <c r="U87" s="210"/>
      <c r="V87" s="210"/>
      <c r="W87" s="210"/>
      <c r="X87" s="210"/>
      <c r="Y87" s="210"/>
      <c r="Z87" s="210"/>
    </row>
    <row r="88" ht="14.25" customHeight="1">
      <c r="A88" s="210"/>
      <c r="B88" s="210"/>
      <c r="C88" s="266"/>
      <c r="D88" s="266"/>
      <c r="E88" s="210"/>
      <c r="F88" s="210"/>
      <c r="G88" s="210"/>
      <c r="H88" s="210"/>
      <c r="I88" s="210"/>
      <c r="J88" s="210"/>
      <c r="K88" s="210"/>
      <c r="L88" s="210"/>
      <c r="M88" s="210"/>
      <c r="N88" s="210"/>
      <c r="O88" s="210"/>
      <c r="P88" s="210"/>
      <c r="Q88" s="210"/>
      <c r="R88" s="210"/>
      <c r="S88" s="210"/>
      <c r="T88" s="210"/>
      <c r="U88" s="210"/>
      <c r="V88" s="210"/>
      <c r="W88" s="210"/>
      <c r="X88" s="210"/>
      <c r="Y88" s="210"/>
      <c r="Z88" s="210"/>
    </row>
    <row r="89" ht="14.25" customHeight="1">
      <c r="A89" s="210"/>
      <c r="B89" s="210"/>
      <c r="C89" s="266"/>
      <c r="D89" s="266"/>
      <c r="E89" s="210"/>
      <c r="F89" s="210"/>
      <c r="G89" s="210"/>
      <c r="H89" s="210"/>
      <c r="I89" s="210"/>
      <c r="J89" s="210"/>
      <c r="K89" s="210"/>
      <c r="L89" s="210"/>
      <c r="M89" s="210"/>
      <c r="N89" s="210"/>
      <c r="O89" s="210"/>
      <c r="P89" s="210"/>
      <c r="Q89" s="210"/>
      <c r="R89" s="210"/>
      <c r="S89" s="210"/>
      <c r="T89" s="210"/>
      <c r="U89" s="210"/>
      <c r="V89" s="210"/>
      <c r="W89" s="210"/>
      <c r="X89" s="210"/>
      <c r="Y89" s="210"/>
      <c r="Z89" s="210"/>
    </row>
    <row r="90" ht="14.25" customHeight="1">
      <c r="A90" s="210"/>
      <c r="B90" s="210"/>
      <c r="C90" s="266"/>
      <c r="D90" s="266"/>
      <c r="E90" s="210"/>
      <c r="F90" s="210"/>
      <c r="G90" s="210"/>
      <c r="H90" s="210"/>
      <c r="I90" s="210"/>
      <c r="J90" s="210"/>
      <c r="K90" s="210"/>
      <c r="L90" s="210"/>
      <c r="M90" s="210"/>
      <c r="N90" s="210"/>
      <c r="O90" s="210"/>
      <c r="P90" s="210"/>
      <c r="Q90" s="210"/>
      <c r="R90" s="210"/>
      <c r="S90" s="210"/>
      <c r="T90" s="210"/>
      <c r="U90" s="210"/>
      <c r="V90" s="210"/>
      <c r="W90" s="210"/>
      <c r="X90" s="210"/>
      <c r="Y90" s="210"/>
      <c r="Z90" s="210"/>
    </row>
    <row r="91" ht="14.25" customHeight="1">
      <c r="A91" s="210"/>
      <c r="B91" s="210"/>
      <c r="C91" s="266"/>
      <c r="D91" s="266"/>
      <c r="E91" s="210"/>
      <c r="F91" s="210"/>
      <c r="G91" s="210"/>
      <c r="H91" s="210"/>
      <c r="I91" s="210"/>
      <c r="J91" s="210"/>
      <c r="K91" s="210"/>
      <c r="L91" s="210"/>
      <c r="M91" s="210"/>
      <c r="N91" s="210"/>
      <c r="O91" s="210"/>
      <c r="P91" s="210"/>
      <c r="Q91" s="210"/>
      <c r="R91" s="210"/>
      <c r="S91" s="210"/>
      <c r="T91" s="210"/>
      <c r="U91" s="210"/>
      <c r="V91" s="210"/>
      <c r="W91" s="210"/>
      <c r="X91" s="210"/>
      <c r="Y91" s="210"/>
      <c r="Z91" s="210"/>
    </row>
    <row r="92" ht="14.25" customHeight="1">
      <c r="A92" s="210"/>
      <c r="B92" s="210"/>
      <c r="C92" s="266"/>
      <c r="D92" s="266"/>
      <c r="E92" s="210"/>
      <c r="F92" s="210"/>
      <c r="G92" s="210"/>
      <c r="H92" s="210"/>
      <c r="I92" s="210"/>
      <c r="J92" s="210"/>
      <c r="K92" s="210"/>
      <c r="L92" s="210"/>
      <c r="M92" s="210"/>
      <c r="N92" s="210"/>
      <c r="O92" s="210"/>
      <c r="P92" s="210"/>
      <c r="Q92" s="210"/>
      <c r="R92" s="210"/>
      <c r="S92" s="210"/>
      <c r="T92" s="210"/>
      <c r="U92" s="210"/>
      <c r="V92" s="210"/>
      <c r="W92" s="210"/>
      <c r="X92" s="210"/>
      <c r="Y92" s="210"/>
      <c r="Z92" s="210"/>
    </row>
    <row r="93" ht="14.25" customHeight="1">
      <c r="A93" s="210"/>
      <c r="B93" s="210"/>
      <c r="C93" s="266"/>
      <c r="D93" s="266"/>
      <c r="E93" s="210"/>
      <c r="F93" s="210"/>
      <c r="G93" s="210"/>
      <c r="H93" s="210"/>
      <c r="I93" s="210"/>
      <c r="J93" s="210"/>
      <c r="K93" s="210"/>
      <c r="L93" s="210"/>
      <c r="M93" s="210"/>
      <c r="N93" s="210"/>
      <c r="O93" s="210"/>
      <c r="P93" s="210"/>
      <c r="Q93" s="210"/>
      <c r="R93" s="210"/>
      <c r="S93" s="210"/>
      <c r="T93" s="210"/>
      <c r="U93" s="210"/>
      <c r="V93" s="210"/>
      <c r="W93" s="210"/>
      <c r="X93" s="210"/>
      <c r="Y93" s="210"/>
      <c r="Z93" s="210"/>
    </row>
    <row r="94" ht="14.25" customHeight="1">
      <c r="A94" s="210"/>
      <c r="B94" s="210"/>
      <c r="C94" s="266"/>
      <c r="D94" s="266"/>
      <c r="E94" s="210"/>
      <c r="F94" s="210"/>
      <c r="G94" s="210"/>
      <c r="H94" s="210"/>
      <c r="I94" s="210"/>
      <c r="J94" s="210"/>
      <c r="K94" s="210"/>
      <c r="L94" s="210"/>
      <c r="M94" s="210"/>
      <c r="N94" s="210"/>
      <c r="O94" s="210"/>
      <c r="P94" s="210"/>
      <c r="Q94" s="210"/>
      <c r="R94" s="210"/>
      <c r="S94" s="210"/>
      <c r="T94" s="210"/>
      <c r="U94" s="210"/>
      <c r="V94" s="210"/>
      <c r="W94" s="210"/>
      <c r="X94" s="210"/>
      <c r="Y94" s="210"/>
      <c r="Z94" s="210"/>
    </row>
    <row r="95" ht="14.25" customHeight="1">
      <c r="A95" s="210"/>
      <c r="B95" s="210"/>
      <c r="C95" s="266"/>
      <c r="D95" s="266"/>
      <c r="E95" s="210"/>
      <c r="F95" s="210"/>
      <c r="G95" s="210"/>
      <c r="H95" s="210"/>
      <c r="I95" s="210"/>
      <c r="J95" s="210"/>
      <c r="K95" s="210"/>
      <c r="L95" s="210"/>
      <c r="M95" s="210"/>
      <c r="N95" s="210"/>
      <c r="O95" s="210"/>
      <c r="P95" s="210"/>
      <c r="Q95" s="210"/>
      <c r="R95" s="210"/>
      <c r="S95" s="210"/>
      <c r="T95" s="210"/>
      <c r="U95" s="210"/>
      <c r="V95" s="210"/>
      <c r="W95" s="210"/>
      <c r="X95" s="210"/>
      <c r="Y95" s="210"/>
      <c r="Z95" s="210"/>
    </row>
    <row r="96" ht="14.25" customHeight="1">
      <c r="A96" s="210"/>
      <c r="B96" s="210"/>
      <c r="C96" s="266"/>
      <c r="D96" s="266"/>
      <c r="E96" s="210"/>
      <c r="F96" s="210"/>
      <c r="G96" s="210"/>
      <c r="H96" s="210"/>
      <c r="I96" s="210"/>
      <c r="J96" s="210"/>
      <c r="K96" s="210"/>
      <c r="L96" s="210"/>
      <c r="M96" s="210"/>
      <c r="N96" s="210"/>
      <c r="O96" s="210"/>
      <c r="P96" s="210"/>
      <c r="Q96" s="210"/>
      <c r="R96" s="210"/>
      <c r="S96" s="210"/>
      <c r="T96" s="210"/>
      <c r="U96" s="210"/>
      <c r="V96" s="210"/>
      <c r="W96" s="210"/>
      <c r="X96" s="210"/>
      <c r="Y96" s="210"/>
      <c r="Z96" s="210"/>
    </row>
    <row r="97" ht="14.25" customHeight="1">
      <c r="A97" s="210"/>
      <c r="B97" s="210"/>
      <c r="C97" s="266"/>
      <c r="D97" s="266"/>
      <c r="E97" s="210"/>
      <c r="F97" s="210"/>
      <c r="G97" s="210"/>
      <c r="H97" s="210"/>
      <c r="I97" s="210"/>
      <c r="J97" s="210"/>
      <c r="K97" s="210"/>
      <c r="L97" s="210"/>
      <c r="M97" s="210"/>
      <c r="N97" s="210"/>
      <c r="O97" s="210"/>
      <c r="P97" s="210"/>
      <c r="Q97" s="210"/>
      <c r="R97" s="210"/>
      <c r="S97" s="210"/>
      <c r="T97" s="210"/>
      <c r="U97" s="210"/>
      <c r="V97" s="210"/>
      <c r="W97" s="210"/>
      <c r="X97" s="210"/>
      <c r="Y97" s="210"/>
      <c r="Z97" s="210"/>
    </row>
    <row r="98" ht="14.25" customHeight="1">
      <c r="A98" s="210"/>
      <c r="B98" s="210"/>
      <c r="C98" s="266"/>
      <c r="D98" s="266"/>
      <c r="E98" s="210"/>
      <c r="F98" s="210"/>
      <c r="G98" s="210"/>
      <c r="H98" s="210"/>
      <c r="I98" s="210"/>
      <c r="J98" s="210"/>
      <c r="K98" s="210"/>
      <c r="L98" s="210"/>
      <c r="M98" s="210"/>
      <c r="N98" s="210"/>
      <c r="O98" s="210"/>
      <c r="P98" s="210"/>
      <c r="Q98" s="210"/>
      <c r="R98" s="210"/>
      <c r="S98" s="210"/>
      <c r="T98" s="210"/>
      <c r="U98" s="210"/>
      <c r="V98" s="210"/>
      <c r="W98" s="210"/>
      <c r="X98" s="210"/>
      <c r="Y98" s="210"/>
      <c r="Z98" s="210"/>
    </row>
    <row r="99" ht="14.25" customHeight="1">
      <c r="A99" s="210"/>
      <c r="B99" s="210"/>
      <c r="C99" s="266"/>
      <c r="D99" s="266"/>
      <c r="E99" s="210"/>
      <c r="F99" s="210"/>
      <c r="G99" s="210"/>
      <c r="H99" s="210"/>
      <c r="I99" s="210"/>
      <c r="J99" s="210"/>
      <c r="K99" s="210"/>
      <c r="L99" s="210"/>
      <c r="M99" s="210"/>
      <c r="N99" s="210"/>
      <c r="O99" s="210"/>
      <c r="P99" s="210"/>
      <c r="Q99" s="210"/>
      <c r="R99" s="210"/>
      <c r="S99" s="210"/>
      <c r="T99" s="210"/>
      <c r="U99" s="210"/>
      <c r="V99" s="210"/>
      <c r="W99" s="210"/>
      <c r="X99" s="210"/>
      <c r="Y99" s="210"/>
      <c r="Z99" s="210"/>
    </row>
    <row r="100" ht="14.25" customHeight="1">
      <c r="A100" s="210"/>
      <c r="B100" s="210"/>
      <c r="C100" s="266"/>
      <c r="D100" s="266"/>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ht="14.25" customHeight="1">
      <c r="A101" s="210"/>
      <c r="B101" s="210"/>
      <c r="C101" s="266"/>
      <c r="D101" s="266"/>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ht="14.25" customHeight="1">
      <c r="A102" s="210"/>
      <c r="B102" s="210"/>
      <c r="C102" s="266"/>
      <c r="D102" s="266"/>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ht="14.25" customHeight="1">
      <c r="A103" s="210"/>
      <c r="B103" s="210"/>
      <c r="C103" s="266"/>
      <c r="D103" s="266"/>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ht="14.25" customHeight="1">
      <c r="A104" s="210"/>
      <c r="B104" s="210"/>
      <c r="C104" s="266"/>
      <c r="D104" s="266"/>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ht="14.25" customHeight="1">
      <c r="A105" s="210"/>
      <c r="B105" s="210"/>
      <c r="C105" s="266"/>
      <c r="D105" s="266"/>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ht="14.25" customHeight="1">
      <c r="A106" s="210"/>
      <c r="B106" s="210"/>
      <c r="C106" s="266"/>
      <c r="D106" s="266"/>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ht="14.25" customHeight="1">
      <c r="A107" s="210"/>
      <c r="B107" s="210"/>
      <c r="C107" s="266"/>
      <c r="D107" s="266"/>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ht="14.25" customHeight="1">
      <c r="A108" s="210"/>
      <c r="B108" s="210"/>
      <c r="C108" s="266"/>
      <c r="D108" s="266"/>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ht="14.25" customHeight="1">
      <c r="A109" s="210"/>
      <c r="B109" s="210"/>
      <c r="C109" s="266"/>
      <c r="D109" s="266"/>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ht="14.25" customHeight="1">
      <c r="A110" s="210"/>
      <c r="B110" s="210"/>
      <c r="C110" s="266"/>
      <c r="D110" s="266"/>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ht="14.25" customHeight="1">
      <c r="A111" s="210"/>
      <c r="B111" s="210"/>
      <c r="C111" s="266"/>
      <c r="D111" s="266"/>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ht="14.25" customHeight="1">
      <c r="A112" s="210"/>
      <c r="B112" s="210"/>
      <c r="C112" s="266"/>
      <c r="D112" s="266"/>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ht="14.25" customHeight="1">
      <c r="A113" s="210"/>
      <c r="B113" s="210"/>
      <c r="C113" s="266"/>
      <c r="D113" s="266"/>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ht="14.25" customHeight="1">
      <c r="A114" s="210"/>
      <c r="B114" s="210"/>
      <c r="C114" s="266"/>
      <c r="D114" s="266"/>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ht="14.25" customHeight="1">
      <c r="A115" s="210"/>
      <c r="B115" s="210"/>
      <c r="C115" s="266"/>
      <c r="D115" s="266"/>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ht="14.25" customHeight="1">
      <c r="A116" s="210"/>
      <c r="B116" s="210"/>
      <c r="C116" s="266"/>
      <c r="D116" s="266"/>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ht="14.25" customHeight="1">
      <c r="A117" s="210"/>
      <c r="B117" s="210"/>
      <c r="C117" s="266"/>
      <c r="D117" s="266"/>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ht="14.25" customHeight="1">
      <c r="A118" s="210"/>
      <c r="B118" s="210"/>
      <c r="C118" s="266"/>
      <c r="D118" s="266"/>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ht="14.25" customHeight="1">
      <c r="A119" s="210"/>
      <c r="B119" s="210"/>
      <c r="C119" s="266"/>
      <c r="D119" s="266"/>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ht="14.25" customHeight="1">
      <c r="A120" s="210"/>
      <c r="B120" s="210"/>
      <c r="C120" s="266"/>
      <c r="D120" s="266"/>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ht="14.25" customHeight="1">
      <c r="A121" s="210"/>
      <c r="B121" s="210"/>
      <c r="C121" s="266"/>
      <c r="D121" s="266"/>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ht="14.25" customHeight="1">
      <c r="A122" s="210"/>
      <c r="B122" s="210"/>
      <c r="C122" s="266"/>
      <c r="D122" s="266"/>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ht="14.25" customHeight="1">
      <c r="A123" s="210"/>
      <c r="B123" s="210"/>
      <c r="C123" s="266"/>
      <c r="D123" s="266"/>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ht="14.25" customHeight="1">
      <c r="A124" s="210"/>
      <c r="B124" s="210"/>
      <c r="C124" s="266"/>
      <c r="D124" s="266"/>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ht="14.25" customHeight="1">
      <c r="A125" s="210"/>
      <c r="B125" s="210"/>
      <c r="C125" s="266"/>
      <c r="D125" s="266"/>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ht="14.25" customHeight="1">
      <c r="A126" s="210"/>
      <c r="B126" s="210"/>
      <c r="C126" s="266"/>
      <c r="D126" s="266"/>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ht="14.25" customHeight="1">
      <c r="A127" s="210"/>
      <c r="B127" s="210"/>
      <c r="C127" s="266"/>
      <c r="D127" s="266"/>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ht="14.25" customHeight="1">
      <c r="A128" s="210"/>
      <c r="B128" s="210"/>
      <c r="C128" s="266"/>
      <c r="D128" s="266"/>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ht="14.25" customHeight="1">
      <c r="A129" s="210"/>
      <c r="B129" s="210"/>
      <c r="C129" s="266"/>
      <c r="D129" s="266"/>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ht="14.25" customHeight="1">
      <c r="A130" s="210"/>
      <c r="B130" s="210"/>
      <c r="C130" s="266"/>
      <c r="D130" s="266"/>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ht="14.25" customHeight="1">
      <c r="A131" s="210"/>
      <c r="B131" s="210"/>
      <c r="C131" s="266"/>
      <c r="D131" s="266"/>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ht="14.25" customHeight="1">
      <c r="A132" s="210"/>
      <c r="B132" s="210"/>
      <c r="C132" s="266"/>
      <c r="D132" s="266"/>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ht="14.25" customHeight="1">
      <c r="A133" s="210"/>
      <c r="B133" s="210"/>
      <c r="C133" s="266"/>
      <c r="D133" s="266"/>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ht="14.25" customHeight="1">
      <c r="A134" s="210"/>
      <c r="B134" s="210"/>
      <c r="C134" s="266"/>
      <c r="D134" s="266"/>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ht="14.25" customHeight="1">
      <c r="A135" s="210"/>
      <c r="B135" s="210"/>
      <c r="C135" s="266"/>
      <c r="D135" s="266"/>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ht="14.25" customHeight="1">
      <c r="A136" s="210"/>
      <c r="B136" s="210"/>
      <c r="C136" s="266"/>
      <c r="D136" s="266"/>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ht="14.25" customHeight="1">
      <c r="A137" s="210"/>
      <c r="B137" s="210"/>
      <c r="C137" s="266"/>
      <c r="D137" s="266"/>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ht="14.25" customHeight="1">
      <c r="A138" s="210"/>
      <c r="B138" s="210"/>
      <c r="C138" s="266"/>
      <c r="D138" s="266"/>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ht="14.25" customHeight="1">
      <c r="A139" s="210"/>
      <c r="B139" s="210"/>
      <c r="C139" s="266"/>
      <c r="D139" s="266"/>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ht="14.25" customHeight="1">
      <c r="A140" s="210"/>
      <c r="B140" s="210"/>
      <c r="C140" s="266"/>
      <c r="D140" s="266"/>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ht="14.25" customHeight="1">
      <c r="A141" s="210"/>
      <c r="B141" s="210"/>
      <c r="C141" s="266"/>
      <c r="D141" s="266"/>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ht="14.25" customHeight="1">
      <c r="A142" s="210"/>
      <c r="B142" s="210"/>
      <c r="C142" s="266"/>
      <c r="D142" s="266"/>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ht="14.25" customHeight="1">
      <c r="A143" s="210"/>
      <c r="B143" s="210"/>
      <c r="C143" s="266"/>
      <c r="D143" s="266"/>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ht="14.25" customHeight="1">
      <c r="A144" s="210"/>
      <c r="B144" s="210"/>
      <c r="C144" s="266"/>
      <c r="D144" s="266"/>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ht="14.25" customHeight="1">
      <c r="A145" s="210"/>
      <c r="B145" s="210"/>
      <c r="C145" s="266"/>
      <c r="D145" s="266"/>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ht="14.25" customHeight="1">
      <c r="A146" s="210"/>
      <c r="B146" s="210"/>
      <c r="C146" s="266"/>
      <c r="D146" s="266"/>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ht="14.25" customHeight="1">
      <c r="A147" s="210"/>
      <c r="B147" s="210"/>
      <c r="C147" s="266"/>
      <c r="D147" s="266"/>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ht="14.25" customHeight="1">
      <c r="A148" s="210"/>
      <c r="B148" s="210"/>
      <c r="C148" s="266"/>
      <c r="D148" s="266"/>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ht="14.25" customHeight="1">
      <c r="A149" s="210"/>
      <c r="B149" s="210"/>
      <c r="C149" s="266"/>
      <c r="D149" s="266"/>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ht="14.25" customHeight="1">
      <c r="A150" s="210"/>
      <c r="B150" s="210"/>
      <c r="C150" s="266"/>
      <c r="D150" s="266"/>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ht="14.25" customHeight="1">
      <c r="A151" s="210"/>
      <c r="B151" s="210"/>
      <c r="C151" s="266"/>
      <c r="D151" s="266"/>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ht="14.25" customHeight="1">
      <c r="A152" s="210"/>
      <c r="B152" s="210"/>
      <c r="C152" s="266"/>
      <c r="D152" s="266"/>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ht="14.25" customHeight="1">
      <c r="A153" s="210"/>
      <c r="B153" s="210"/>
      <c r="C153" s="266"/>
      <c r="D153" s="266"/>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ht="14.25" customHeight="1">
      <c r="A154" s="210"/>
      <c r="B154" s="210"/>
      <c r="C154" s="266"/>
      <c r="D154" s="266"/>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ht="14.25" customHeight="1">
      <c r="A155" s="210"/>
      <c r="B155" s="210"/>
      <c r="C155" s="266"/>
      <c r="D155" s="266"/>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ht="14.25" customHeight="1">
      <c r="A156" s="210"/>
      <c r="B156" s="210"/>
      <c r="C156" s="266"/>
      <c r="D156" s="266"/>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ht="14.25" customHeight="1">
      <c r="A157" s="210"/>
      <c r="B157" s="210"/>
      <c r="C157" s="266"/>
      <c r="D157" s="266"/>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ht="14.25" customHeight="1">
      <c r="A158" s="210"/>
      <c r="B158" s="210"/>
      <c r="C158" s="266"/>
      <c r="D158" s="266"/>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ht="14.25" customHeight="1">
      <c r="A159" s="210"/>
      <c r="B159" s="210"/>
      <c r="C159" s="266"/>
      <c r="D159" s="266"/>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ht="14.25" customHeight="1">
      <c r="A160" s="210"/>
      <c r="B160" s="210"/>
      <c r="C160" s="266"/>
      <c r="D160" s="266"/>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ht="14.25" customHeight="1">
      <c r="A161" s="210"/>
      <c r="B161" s="210"/>
      <c r="C161" s="266"/>
      <c r="D161" s="266"/>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ht="14.25" customHeight="1">
      <c r="A162" s="210"/>
      <c r="B162" s="210"/>
      <c r="C162" s="266"/>
      <c r="D162" s="266"/>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ht="14.25" customHeight="1">
      <c r="A163" s="210"/>
      <c r="B163" s="210"/>
      <c r="C163" s="266"/>
      <c r="D163" s="266"/>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ht="14.25" customHeight="1">
      <c r="A164" s="210"/>
      <c r="B164" s="210"/>
      <c r="C164" s="266"/>
      <c r="D164" s="266"/>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ht="14.25" customHeight="1">
      <c r="A165" s="210"/>
      <c r="B165" s="210"/>
      <c r="C165" s="266"/>
      <c r="D165" s="266"/>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ht="14.25" customHeight="1">
      <c r="A166" s="210"/>
      <c r="B166" s="210"/>
      <c r="C166" s="266"/>
      <c r="D166" s="266"/>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ht="14.25" customHeight="1">
      <c r="A167" s="210"/>
      <c r="B167" s="210"/>
      <c r="C167" s="266"/>
      <c r="D167" s="266"/>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ht="14.25" customHeight="1">
      <c r="A168" s="210"/>
      <c r="B168" s="210"/>
      <c r="C168" s="266"/>
      <c r="D168" s="266"/>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ht="14.25" customHeight="1">
      <c r="A169" s="210"/>
      <c r="B169" s="210"/>
      <c r="C169" s="266"/>
      <c r="D169" s="266"/>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ht="14.25" customHeight="1">
      <c r="A170" s="210"/>
      <c r="B170" s="210"/>
      <c r="C170" s="266"/>
      <c r="D170" s="266"/>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ht="14.25" customHeight="1">
      <c r="A171" s="210"/>
      <c r="B171" s="210"/>
      <c r="C171" s="266"/>
      <c r="D171" s="266"/>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ht="14.25" customHeight="1">
      <c r="A172" s="210"/>
      <c r="B172" s="210"/>
      <c r="C172" s="266"/>
      <c r="D172" s="266"/>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ht="14.25" customHeight="1">
      <c r="A173" s="210"/>
      <c r="B173" s="210"/>
      <c r="C173" s="266"/>
      <c r="D173" s="266"/>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ht="14.25" customHeight="1">
      <c r="A174" s="210"/>
      <c r="B174" s="210"/>
      <c r="C174" s="266"/>
      <c r="D174" s="266"/>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ht="14.25" customHeight="1">
      <c r="A175" s="210"/>
      <c r="B175" s="210"/>
      <c r="C175" s="266"/>
      <c r="D175" s="266"/>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ht="14.25" customHeight="1">
      <c r="A176" s="210"/>
      <c r="B176" s="210"/>
      <c r="C176" s="266"/>
      <c r="D176" s="266"/>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ht="14.25" customHeight="1">
      <c r="A177" s="210"/>
      <c r="B177" s="210"/>
      <c r="C177" s="266"/>
      <c r="D177" s="266"/>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ht="14.25" customHeight="1">
      <c r="A178" s="210"/>
      <c r="B178" s="210"/>
      <c r="C178" s="266"/>
      <c r="D178" s="266"/>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ht="14.25" customHeight="1">
      <c r="A179" s="210"/>
      <c r="B179" s="210"/>
      <c r="C179" s="266"/>
      <c r="D179" s="266"/>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ht="14.25" customHeight="1">
      <c r="A180" s="210"/>
      <c r="B180" s="210"/>
      <c r="C180" s="266"/>
      <c r="D180" s="266"/>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ht="14.25" customHeight="1">
      <c r="A181" s="210"/>
      <c r="B181" s="210"/>
      <c r="C181" s="266"/>
      <c r="D181" s="266"/>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ht="14.25" customHeight="1">
      <c r="A182" s="210"/>
      <c r="B182" s="210"/>
      <c r="C182" s="266"/>
      <c r="D182" s="266"/>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ht="14.25" customHeight="1">
      <c r="A183" s="210"/>
      <c r="B183" s="210"/>
      <c r="C183" s="266"/>
      <c r="D183" s="266"/>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ht="14.25" customHeight="1">
      <c r="A184" s="210"/>
      <c r="B184" s="210"/>
      <c r="C184" s="266"/>
      <c r="D184" s="266"/>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ht="14.25" customHeight="1">
      <c r="A185" s="210"/>
      <c r="B185" s="210"/>
      <c r="C185" s="266"/>
      <c r="D185" s="266"/>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ht="14.25" customHeight="1">
      <c r="A186" s="210"/>
      <c r="B186" s="210"/>
      <c r="C186" s="266"/>
      <c r="D186" s="266"/>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ht="14.25" customHeight="1">
      <c r="A187" s="210"/>
      <c r="B187" s="210"/>
      <c r="C187" s="266"/>
      <c r="D187" s="266"/>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ht="14.25" customHeight="1">
      <c r="A188" s="210"/>
      <c r="B188" s="210"/>
      <c r="C188" s="266"/>
      <c r="D188" s="266"/>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ht="14.25" customHeight="1">
      <c r="A189" s="210"/>
      <c r="B189" s="210"/>
      <c r="C189" s="266"/>
      <c r="D189" s="266"/>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ht="14.25" customHeight="1">
      <c r="A190" s="210"/>
      <c r="B190" s="210"/>
      <c r="C190" s="266"/>
      <c r="D190" s="266"/>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ht="14.25" customHeight="1">
      <c r="A191" s="210"/>
      <c r="B191" s="210"/>
      <c r="C191" s="266"/>
      <c r="D191" s="266"/>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ht="14.25" customHeight="1">
      <c r="A192" s="210"/>
      <c r="B192" s="210"/>
      <c r="C192" s="266"/>
      <c r="D192" s="266"/>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ht="14.25" customHeight="1">
      <c r="A193" s="210"/>
      <c r="B193" s="210"/>
      <c r="C193" s="266"/>
      <c r="D193" s="266"/>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ht="14.25" customHeight="1">
      <c r="A194" s="210"/>
      <c r="B194" s="210"/>
      <c r="C194" s="266"/>
      <c r="D194" s="266"/>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ht="14.25" customHeight="1">
      <c r="A195" s="210"/>
      <c r="B195" s="210"/>
      <c r="C195" s="266"/>
      <c r="D195" s="266"/>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ht="14.25" customHeight="1">
      <c r="A196" s="210"/>
      <c r="B196" s="210"/>
      <c r="C196" s="266"/>
      <c r="D196" s="266"/>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ht="14.25" customHeight="1">
      <c r="A197" s="210"/>
      <c r="B197" s="210"/>
      <c r="C197" s="266"/>
      <c r="D197" s="266"/>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ht="14.25" customHeight="1">
      <c r="A198" s="210"/>
      <c r="B198" s="210"/>
      <c r="C198" s="266"/>
      <c r="D198" s="266"/>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ht="14.25" customHeight="1">
      <c r="A199" s="210"/>
      <c r="B199" s="210"/>
      <c r="C199" s="266"/>
      <c r="D199" s="266"/>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ht="14.25" customHeight="1">
      <c r="A200" s="210"/>
      <c r="B200" s="210"/>
      <c r="C200" s="266"/>
      <c r="D200" s="266"/>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ht="14.25" customHeight="1">
      <c r="A201" s="210"/>
      <c r="B201" s="210"/>
      <c r="C201" s="266"/>
      <c r="D201" s="266"/>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ht="14.25" customHeight="1">
      <c r="A202" s="210"/>
      <c r="B202" s="210"/>
      <c r="C202" s="266"/>
      <c r="D202" s="266"/>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ht="14.25" customHeight="1">
      <c r="A203" s="210"/>
      <c r="B203" s="210"/>
      <c r="C203" s="266"/>
      <c r="D203" s="266"/>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ht="14.25" customHeight="1">
      <c r="A204" s="210"/>
      <c r="B204" s="210"/>
      <c r="C204" s="266"/>
      <c r="D204" s="266"/>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ht="14.25" customHeight="1">
      <c r="A205" s="210"/>
      <c r="B205" s="210"/>
      <c r="C205" s="266"/>
      <c r="D205" s="266"/>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ht="14.25" customHeight="1">
      <c r="A206" s="210"/>
      <c r="B206" s="210"/>
      <c r="C206" s="266"/>
      <c r="D206" s="266"/>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ht="14.25" customHeight="1">
      <c r="A207" s="210"/>
      <c r="B207" s="210"/>
      <c r="C207" s="266"/>
      <c r="D207" s="266"/>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ht="14.25" customHeight="1">
      <c r="A208" s="210"/>
      <c r="B208" s="210"/>
      <c r="C208" s="266"/>
      <c r="D208" s="266"/>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ht="14.25" customHeight="1">
      <c r="A209" s="210"/>
      <c r="B209" s="210"/>
      <c r="C209" s="266"/>
      <c r="D209" s="266"/>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ht="14.25" customHeight="1">
      <c r="A210" s="210"/>
      <c r="B210" s="210"/>
      <c r="C210" s="266"/>
      <c r="D210" s="266"/>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ht="14.25" customHeight="1">
      <c r="A211" s="210"/>
      <c r="B211" s="210"/>
      <c r="C211" s="266"/>
      <c r="D211" s="266"/>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ht="14.25" customHeight="1">
      <c r="A212" s="210"/>
      <c r="B212" s="210"/>
      <c r="C212" s="266"/>
      <c r="D212" s="266"/>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ht="14.25" customHeight="1">
      <c r="A213" s="210"/>
      <c r="B213" s="210"/>
      <c r="C213" s="266"/>
      <c r="D213" s="266"/>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ht="14.25" customHeight="1">
      <c r="A214" s="210"/>
      <c r="B214" s="210"/>
      <c r="C214" s="266"/>
      <c r="D214" s="266"/>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ht="14.25" customHeight="1">
      <c r="A215" s="210"/>
      <c r="B215" s="210"/>
      <c r="C215" s="266"/>
      <c r="D215" s="266"/>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ht="14.25" customHeight="1">
      <c r="A216" s="210"/>
      <c r="B216" s="210"/>
      <c r="C216" s="266"/>
      <c r="D216" s="266"/>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ht="14.25" customHeight="1">
      <c r="A217" s="210"/>
      <c r="B217" s="210"/>
      <c r="C217" s="266"/>
      <c r="D217" s="266"/>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ht="14.25" customHeight="1">
      <c r="A218" s="210"/>
      <c r="B218" s="210"/>
      <c r="C218" s="266"/>
      <c r="D218" s="266"/>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ht="14.25" customHeight="1">
      <c r="A219" s="210"/>
      <c r="B219" s="210"/>
      <c r="C219" s="266"/>
      <c r="D219" s="266"/>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ht="14.25" customHeight="1">
      <c r="A220" s="210"/>
      <c r="B220" s="210"/>
      <c r="C220" s="266"/>
      <c r="D220" s="266"/>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ht="14.25" customHeight="1">
      <c r="A221" s="210"/>
      <c r="B221" s="210"/>
      <c r="C221" s="266"/>
      <c r="D221" s="266"/>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ht="14.25" customHeight="1">
      <c r="A222" s="210"/>
      <c r="B222" s="210"/>
      <c r="C222" s="266"/>
      <c r="D222" s="266"/>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ht="14.25" customHeight="1">
      <c r="A223" s="210"/>
      <c r="B223" s="210"/>
      <c r="C223" s="266"/>
      <c r="D223" s="266"/>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ht="14.25" customHeight="1">
      <c r="A224" s="210"/>
      <c r="B224" s="210"/>
      <c r="C224" s="266"/>
      <c r="D224" s="266"/>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ht="14.25" customHeight="1">
      <c r="A225" s="210"/>
      <c r="B225" s="210"/>
      <c r="C225" s="266"/>
      <c r="D225" s="266"/>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ht="14.25" customHeight="1">
      <c r="A226" s="210"/>
      <c r="B226" s="210"/>
      <c r="C226" s="266"/>
      <c r="D226" s="266"/>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ht="14.25" customHeight="1">
      <c r="A227" s="210"/>
      <c r="B227" s="210"/>
      <c r="C227" s="266"/>
      <c r="D227" s="266"/>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ht="14.25" customHeight="1">
      <c r="A228" s="210"/>
      <c r="B228" s="210"/>
      <c r="C228" s="266"/>
      <c r="D228" s="266"/>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ht="14.25" customHeight="1">
      <c r="A229" s="210"/>
      <c r="B229" s="210"/>
      <c r="C229" s="266"/>
      <c r="D229" s="266"/>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ht="14.25" customHeight="1">
      <c r="A230" s="210"/>
      <c r="B230" s="210"/>
      <c r="C230" s="266"/>
      <c r="D230" s="266"/>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ht="14.25" customHeight="1">
      <c r="A231" s="210"/>
      <c r="B231" s="210"/>
      <c r="C231" s="266"/>
      <c r="D231" s="266"/>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ht="14.25" customHeight="1">
      <c r="A232" s="210"/>
      <c r="B232" s="210"/>
      <c r="C232" s="266"/>
      <c r="D232" s="266"/>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ht="14.25" customHeight="1">
      <c r="A233" s="210"/>
      <c r="B233" s="210"/>
      <c r="C233" s="266"/>
      <c r="D233" s="266"/>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ht="14.25" customHeight="1">
      <c r="A234" s="210"/>
      <c r="B234" s="210"/>
      <c r="C234" s="266"/>
      <c r="D234" s="266"/>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ht="14.25" customHeight="1">
      <c r="A235" s="210"/>
      <c r="B235" s="210"/>
      <c r="C235" s="266"/>
      <c r="D235" s="266"/>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ht="14.25" customHeight="1">
      <c r="A236" s="210"/>
      <c r="B236" s="210"/>
      <c r="C236" s="266"/>
      <c r="D236" s="266"/>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ht="14.25" customHeight="1">
      <c r="A237" s="210"/>
      <c r="B237" s="210"/>
      <c r="C237" s="266"/>
      <c r="D237" s="266"/>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ht="14.25" customHeight="1">
      <c r="A238" s="210"/>
      <c r="B238" s="210"/>
      <c r="C238" s="266"/>
      <c r="D238" s="266"/>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ht="14.25" customHeight="1">
      <c r="A239" s="210"/>
      <c r="B239" s="210"/>
      <c r="C239" s="266"/>
      <c r="D239" s="266"/>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ht="14.25" customHeight="1">
      <c r="A240" s="210"/>
      <c r="B240" s="210"/>
      <c r="C240" s="266"/>
      <c r="D240" s="266"/>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ht="14.25" customHeight="1">
      <c r="A241" s="210"/>
      <c r="B241" s="210"/>
      <c r="C241" s="266"/>
      <c r="D241" s="266"/>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ht="14.25" customHeight="1">
      <c r="A242" s="210"/>
      <c r="B242" s="210"/>
      <c r="C242" s="266"/>
      <c r="D242" s="266"/>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ht="14.25" customHeight="1">
      <c r="A243" s="210"/>
      <c r="B243" s="210"/>
      <c r="C243" s="266"/>
      <c r="D243" s="266"/>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ht="14.25" customHeight="1">
      <c r="A244" s="210"/>
      <c r="B244" s="210"/>
      <c r="C244" s="266"/>
      <c r="D244" s="266"/>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ht="14.25" customHeight="1">
      <c r="A245" s="210"/>
      <c r="B245" s="210"/>
      <c r="C245" s="266"/>
      <c r="D245" s="266"/>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ht="14.25" customHeight="1">
      <c r="A246" s="210"/>
      <c r="B246" s="210"/>
      <c r="C246" s="266"/>
      <c r="D246" s="266"/>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ht="14.25" customHeight="1">
      <c r="A247" s="210"/>
      <c r="B247" s="210"/>
      <c r="C247" s="266"/>
      <c r="D247" s="266"/>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ht="14.25" customHeight="1">
      <c r="A248" s="210"/>
      <c r="B248" s="210"/>
      <c r="C248" s="266"/>
      <c r="D248" s="266"/>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ht="14.25" customHeight="1">
      <c r="A249" s="210"/>
      <c r="B249" s="210"/>
      <c r="C249" s="266"/>
      <c r="D249" s="266"/>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ht="14.25" customHeight="1">
      <c r="A250" s="210"/>
      <c r="B250" s="210"/>
      <c r="C250" s="266"/>
      <c r="D250" s="266"/>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ht="14.25" customHeight="1">
      <c r="A251" s="210"/>
      <c r="B251" s="210"/>
      <c r="C251" s="266"/>
      <c r="D251" s="266"/>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ht="14.25" customHeight="1">
      <c r="A252" s="210"/>
      <c r="B252" s="210"/>
      <c r="C252" s="266"/>
      <c r="D252" s="266"/>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ht="14.25" customHeight="1">
      <c r="A253" s="210"/>
      <c r="B253" s="210"/>
      <c r="C253" s="266"/>
      <c r="D253" s="266"/>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ht="14.25" customHeight="1">
      <c r="A254" s="210"/>
      <c r="B254" s="210"/>
      <c r="C254" s="266"/>
      <c r="D254" s="266"/>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ht="14.25" customHeight="1">
      <c r="A255" s="210"/>
      <c r="B255" s="210"/>
      <c r="C255" s="266"/>
      <c r="D255" s="266"/>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ht="14.25" customHeight="1">
      <c r="A256" s="210"/>
      <c r="B256" s="210"/>
      <c r="C256" s="266"/>
      <c r="D256" s="266"/>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ht="14.25" customHeight="1">
      <c r="A257" s="210"/>
      <c r="B257" s="210"/>
      <c r="C257" s="266"/>
      <c r="D257" s="266"/>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ht="14.25" customHeight="1">
      <c r="A258" s="210"/>
      <c r="B258" s="210"/>
      <c r="C258" s="266"/>
      <c r="D258" s="266"/>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ht="14.25" customHeight="1">
      <c r="A259" s="210"/>
      <c r="B259" s="210"/>
      <c r="C259" s="266"/>
      <c r="D259" s="266"/>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ht="14.25" customHeight="1">
      <c r="A260" s="210"/>
      <c r="B260" s="210"/>
      <c r="C260" s="266"/>
      <c r="D260" s="266"/>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ht="14.25" customHeight="1">
      <c r="A261" s="210"/>
      <c r="B261" s="210"/>
      <c r="C261" s="266"/>
      <c r="D261" s="266"/>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ht="14.25" customHeight="1">
      <c r="A262" s="210"/>
      <c r="B262" s="210"/>
      <c r="C262" s="266"/>
      <c r="D262" s="266"/>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ht="14.25" customHeight="1">
      <c r="A263" s="210"/>
      <c r="B263" s="210"/>
      <c r="C263" s="266"/>
      <c r="D263" s="266"/>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ht="14.25" customHeight="1">
      <c r="A264" s="210"/>
      <c r="B264" s="210"/>
      <c r="C264" s="266"/>
      <c r="D264" s="266"/>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ht="14.25" customHeight="1">
      <c r="A265" s="210"/>
      <c r="B265" s="210"/>
      <c r="C265" s="266"/>
      <c r="D265" s="266"/>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ht="14.25" customHeight="1">
      <c r="A266" s="210"/>
      <c r="B266" s="210"/>
      <c r="C266" s="266"/>
      <c r="D266" s="266"/>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ht="14.25" customHeight="1">
      <c r="A267" s="210"/>
      <c r="B267" s="210"/>
      <c r="C267" s="266"/>
      <c r="D267" s="266"/>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ht="14.25" customHeight="1">
      <c r="A268" s="210"/>
      <c r="B268" s="210"/>
      <c r="C268" s="266"/>
      <c r="D268" s="266"/>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ht="14.25" customHeight="1">
      <c r="A269" s="210"/>
      <c r="B269" s="210"/>
      <c r="C269" s="266"/>
      <c r="D269" s="266"/>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ht="14.25" customHeight="1">
      <c r="A270" s="210"/>
      <c r="B270" s="210"/>
      <c r="C270" s="266"/>
      <c r="D270" s="266"/>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ht="14.25" customHeight="1">
      <c r="A271" s="210"/>
      <c r="B271" s="210"/>
      <c r="C271" s="266"/>
      <c r="D271" s="266"/>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ht="14.25" customHeight="1">
      <c r="A272" s="210"/>
      <c r="B272" s="210"/>
      <c r="C272" s="266"/>
      <c r="D272" s="266"/>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ht="14.25" customHeight="1">
      <c r="A273" s="210"/>
      <c r="B273" s="210"/>
      <c r="C273" s="266"/>
      <c r="D273" s="266"/>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ht="14.25" customHeight="1">
      <c r="A274" s="210"/>
      <c r="B274" s="210"/>
      <c r="C274" s="266"/>
      <c r="D274" s="266"/>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ht="14.25" customHeight="1">
      <c r="A275" s="210"/>
      <c r="B275" s="210"/>
      <c r="C275" s="266"/>
      <c r="D275" s="266"/>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ht="14.25" customHeight="1">
      <c r="A276" s="210"/>
      <c r="B276" s="210"/>
      <c r="C276" s="266"/>
      <c r="D276" s="266"/>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ht="14.25" customHeight="1">
      <c r="A277" s="210"/>
      <c r="B277" s="210"/>
      <c r="C277" s="266"/>
      <c r="D277" s="266"/>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ht="14.25" customHeight="1">
      <c r="A278" s="210"/>
      <c r="B278" s="210"/>
      <c r="C278" s="266"/>
      <c r="D278" s="266"/>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ht="14.25" customHeight="1">
      <c r="A279" s="210"/>
      <c r="B279" s="210"/>
      <c r="C279" s="266"/>
      <c r="D279" s="266"/>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ht="14.25" customHeight="1">
      <c r="A280" s="210"/>
      <c r="B280" s="210"/>
      <c r="C280" s="266"/>
      <c r="D280" s="266"/>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ht="14.25" customHeight="1">
      <c r="A281" s="210"/>
      <c r="B281" s="210"/>
      <c r="C281" s="266"/>
      <c r="D281" s="266"/>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ht="14.25" customHeight="1">
      <c r="A282" s="210"/>
      <c r="B282" s="210"/>
      <c r="C282" s="266"/>
      <c r="D282" s="266"/>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ht="14.25" customHeight="1">
      <c r="A283" s="210"/>
      <c r="B283" s="210"/>
      <c r="C283" s="266"/>
      <c r="D283" s="266"/>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ht="14.25" customHeight="1">
      <c r="A284" s="210"/>
      <c r="B284" s="210"/>
      <c r="C284" s="266"/>
      <c r="D284" s="266"/>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ht="14.25" customHeight="1">
      <c r="A285" s="210"/>
      <c r="B285" s="210"/>
      <c r="C285" s="266"/>
      <c r="D285" s="266"/>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ht="14.25" customHeight="1">
      <c r="A286" s="210"/>
      <c r="B286" s="210"/>
      <c r="C286" s="266"/>
      <c r="D286" s="266"/>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ht="14.25" customHeight="1">
      <c r="A287" s="210"/>
      <c r="B287" s="210"/>
      <c r="C287" s="266"/>
      <c r="D287" s="266"/>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ht="14.25" customHeight="1">
      <c r="A288" s="210"/>
      <c r="B288" s="210"/>
      <c r="C288" s="266"/>
      <c r="D288" s="266"/>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ht="14.25" customHeight="1">
      <c r="A289" s="210"/>
      <c r="B289" s="210"/>
      <c r="C289" s="266"/>
      <c r="D289" s="266"/>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ht="14.25" customHeight="1">
      <c r="A290" s="210"/>
      <c r="B290" s="210"/>
      <c r="C290" s="266"/>
      <c r="D290" s="266"/>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ht="14.25" customHeight="1">
      <c r="A291" s="210"/>
      <c r="B291" s="210"/>
      <c r="C291" s="266"/>
      <c r="D291" s="266"/>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ht="14.25" customHeight="1">
      <c r="A292" s="210"/>
      <c r="B292" s="210"/>
      <c r="C292" s="266"/>
      <c r="D292" s="266"/>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ht="14.25" customHeight="1">
      <c r="A293" s="210"/>
      <c r="B293" s="210"/>
      <c r="C293" s="266"/>
      <c r="D293" s="266"/>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ht="14.25" customHeight="1">
      <c r="A294" s="210"/>
      <c r="B294" s="210"/>
      <c r="C294" s="266"/>
      <c r="D294" s="266"/>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ht="14.25" customHeight="1">
      <c r="A295" s="210"/>
      <c r="B295" s="210"/>
      <c r="C295" s="266"/>
      <c r="D295" s="266"/>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ht="14.25" customHeight="1">
      <c r="A296" s="210"/>
      <c r="B296" s="210"/>
      <c r="C296" s="266"/>
      <c r="D296" s="266"/>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ht="14.25" customHeight="1">
      <c r="A297" s="210"/>
      <c r="B297" s="210"/>
      <c r="C297" s="266"/>
      <c r="D297" s="266"/>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ht="14.25" customHeight="1">
      <c r="A298" s="210"/>
      <c r="B298" s="210"/>
      <c r="C298" s="266"/>
      <c r="D298" s="266"/>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ht="14.25" customHeight="1">
      <c r="A299" s="210"/>
      <c r="B299" s="210"/>
      <c r="C299" s="266"/>
      <c r="D299" s="266"/>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ht="14.25" customHeight="1">
      <c r="A300" s="210"/>
      <c r="B300" s="210"/>
      <c r="C300" s="266"/>
      <c r="D300" s="266"/>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ht="14.25" customHeight="1">
      <c r="A301" s="210"/>
      <c r="B301" s="210"/>
      <c r="C301" s="266"/>
      <c r="D301" s="266"/>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ht="14.25" customHeight="1">
      <c r="A302" s="210"/>
      <c r="B302" s="210"/>
      <c r="C302" s="266"/>
      <c r="D302" s="266"/>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ht="14.25" customHeight="1">
      <c r="A303" s="210"/>
      <c r="B303" s="210"/>
      <c r="C303" s="266"/>
      <c r="D303" s="266"/>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ht="14.25" customHeight="1">
      <c r="A304" s="210"/>
      <c r="B304" s="210"/>
      <c r="C304" s="266"/>
      <c r="D304" s="266"/>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ht="14.25" customHeight="1">
      <c r="A305" s="210"/>
      <c r="B305" s="210"/>
      <c r="C305" s="266"/>
      <c r="D305" s="266"/>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ht="14.25" customHeight="1">
      <c r="A306" s="210"/>
      <c r="B306" s="210"/>
      <c r="C306" s="266"/>
      <c r="D306" s="266"/>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ht="14.25" customHeight="1">
      <c r="A307" s="210"/>
      <c r="B307" s="210"/>
      <c r="C307" s="266"/>
      <c r="D307" s="266"/>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ht="14.25" customHeight="1">
      <c r="A308" s="210"/>
      <c r="B308" s="210"/>
      <c r="C308" s="266"/>
      <c r="D308" s="266"/>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ht="14.25" customHeight="1">
      <c r="A309" s="210"/>
      <c r="B309" s="210"/>
      <c r="C309" s="266"/>
      <c r="D309" s="266"/>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ht="14.25" customHeight="1">
      <c r="A310" s="210"/>
      <c r="B310" s="210"/>
      <c r="C310" s="266"/>
      <c r="D310" s="266"/>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ht="14.25" customHeight="1">
      <c r="A311" s="210"/>
      <c r="B311" s="210"/>
      <c r="C311" s="266"/>
      <c r="D311" s="266"/>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ht="14.25" customHeight="1">
      <c r="A312" s="210"/>
      <c r="B312" s="210"/>
      <c r="C312" s="266"/>
      <c r="D312" s="266"/>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ht="14.25" customHeight="1">
      <c r="A313" s="210"/>
      <c r="B313" s="210"/>
      <c r="C313" s="266"/>
      <c r="D313" s="266"/>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ht="14.25" customHeight="1">
      <c r="A314" s="210"/>
      <c r="B314" s="210"/>
      <c r="C314" s="266"/>
      <c r="D314" s="266"/>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ht="14.25" customHeight="1">
      <c r="A315" s="210"/>
      <c r="B315" s="210"/>
      <c r="C315" s="266"/>
      <c r="D315" s="266"/>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ht="14.25" customHeight="1">
      <c r="A316" s="210"/>
      <c r="B316" s="210"/>
      <c r="C316" s="266"/>
      <c r="D316" s="266"/>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ht="14.25" customHeight="1">
      <c r="A317" s="210"/>
      <c r="B317" s="210"/>
      <c r="C317" s="266"/>
      <c r="D317" s="266"/>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ht="14.25" customHeight="1">
      <c r="A318" s="210"/>
      <c r="B318" s="210"/>
      <c r="C318" s="266"/>
      <c r="D318" s="266"/>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ht="14.25" customHeight="1">
      <c r="A319" s="210"/>
      <c r="B319" s="210"/>
      <c r="C319" s="266"/>
      <c r="D319" s="266"/>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ht="14.25" customHeight="1">
      <c r="A320" s="210"/>
      <c r="B320" s="210"/>
      <c r="C320" s="266"/>
      <c r="D320" s="266"/>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ht="14.25" customHeight="1">
      <c r="A321" s="210"/>
      <c r="B321" s="210"/>
      <c r="C321" s="266"/>
      <c r="D321" s="266"/>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ht="14.25" customHeight="1">
      <c r="A322" s="210"/>
      <c r="B322" s="210"/>
      <c r="C322" s="266"/>
      <c r="D322" s="266"/>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ht="14.25" customHeight="1">
      <c r="A323" s="210"/>
      <c r="B323" s="210"/>
      <c r="C323" s="266"/>
      <c r="D323" s="266"/>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ht="14.25" customHeight="1">
      <c r="A324" s="210"/>
      <c r="B324" s="210"/>
      <c r="C324" s="266"/>
      <c r="D324" s="266"/>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ht="14.25" customHeight="1">
      <c r="A325" s="210"/>
      <c r="B325" s="210"/>
      <c r="C325" s="266"/>
      <c r="D325" s="266"/>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ht="14.25" customHeight="1">
      <c r="A326" s="210"/>
      <c r="B326" s="210"/>
      <c r="C326" s="266"/>
      <c r="D326" s="266"/>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ht="14.25" customHeight="1">
      <c r="A327" s="210"/>
      <c r="B327" s="210"/>
      <c r="C327" s="266"/>
      <c r="D327" s="266"/>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ht="14.25" customHeight="1">
      <c r="A328" s="210"/>
      <c r="B328" s="210"/>
      <c r="C328" s="266"/>
      <c r="D328" s="266"/>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ht="14.25" customHeight="1">
      <c r="A329" s="210"/>
      <c r="B329" s="210"/>
      <c r="C329" s="266"/>
      <c r="D329" s="266"/>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ht="14.25" customHeight="1">
      <c r="A330" s="210"/>
      <c r="B330" s="210"/>
      <c r="C330" s="266"/>
      <c r="D330" s="266"/>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ht="14.25" customHeight="1">
      <c r="A331" s="210"/>
      <c r="B331" s="210"/>
      <c r="C331" s="266"/>
      <c r="D331" s="266"/>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ht="14.25" customHeight="1">
      <c r="A332" s="210"/>
      <c r="B332" s="210"/>
      <c r="C332" s="266"/>
      <c r="D332" s="266"/>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ht="14.25" customHeight="1">
      <c r="A333" s="210"/>
      <c r="B333" s="210"/>
      <c r="C333" s="266"/>
      <c r="D333" s="266"/>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ht="14.25" customHeight="1">
      <c r="A334" s="210"/>
      <c r="B334" s="210"/>
      <c r="C334" s="266"/>
      <c r="D334" s="266"/>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ht="14.25" customHeight="1">
      <c r="A335" s="210"/>
      <c r="B335" s="210"/>
      <c r="C335" s="266"/>
      <c r="D335" s="266"/>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ht="14.25" customHeight="1">
      <c r="A336" s="210"/>
      <c r="B336" s="210"/>
      <c r="C336" s="266"/>
      <c r="D336" s="266"/>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ht="14.25" customHeight="1">
      <c r="A337" s="210"/>
      <c r="B337" s="210"/>
      <c r="C337" s="266"/>
      <c r="D337" s="266"/>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ht="14.25" customHeight="1">
      <c r="A338" s="210"/>
      <c r="B338" s="210"/>
      <c r="C338" s="266"/>
      <c r="D338" s="266"/>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ht="14.25" customHeight="1">
      <c r="A339" s="210"/>
      <c r="B339" s="210"/>
      <c r="C339" s="266"/>
      <c r="D339" s="266"/>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ht="14.25" customHeight="1">
      <c r="A340" s="210"/>
      <c r="B340" s="210"/>
      <c r="C340" s="266"/>
      <c r="D340" s="266"/>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ht="14.25" customHeight="1">
      <c r="A341" s="210"/>
      <c r="B341" s="210"/>
      <c r="C341" s="266"/>
      <c r="D341" s="266"/>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ht="14.25" customHeight="1">
      <c r="A342" s="210"/>
      <c r="B342" s="210"/>
      <c r="C342" s="266"/>
      <c r="D342" s="266"/>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ht="14.25" customHeight="1">
      <c r="A343" s="210"/>
      <c r="B343" s="210"/>
      <c r="C343" s="266"/>
      <c r="D343" s="266"/>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ht="14.25" customHeight="1">
      <c r="A344" s="210"/>
      <c r="B344" s="210"/>
      <c r="C344" s="266"/>
      <c r="D344" s="266"/>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ht="14.25" customHeight="1">
      <c r="A345" s="210"/>
      <c r="B345" s="210"/>
      <c r="C345" s="266"/>
      <c r="D345" s="266"/>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ht="14.25" customHeight="1">
      <c r="A346" s="210"/>
      <c r="B346" s="210"/>
      <c r="C346" s="266"/>
      <c r="D346" s="266"/>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ht="14.25" customHeight="1">
      <c r="A347" s="210"/>
      <c r="B347" s="210"/>
      <c r="C347" s="266"/>
      <c r="D347" s="266"/>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ht="14.25" customHeight="1">
      <c r="A348" s="210"/>
      <c r="B348" s="210"/>
      <c r="C348" s="266"/>
      <c r="D348" s="266"/>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ht="14.25" customHeight="1">
      <c r="A349" s="210"/>
      <c r="B349" s="210"/>
      <c r="C349" s="266"/>
      <c r="D349" s="266"/>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ht="14.25" customHeight="1">
      <c r="A350" s="210"/>
      <c r="B350" s="210"/>
      <c r="C350" s="266"/>
      <c r="D350" s="266"/>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ht="14.25" customHeight="1">
      <c r="A351" s="210"/>
      <c r="B351" s="210"/>
      <c r="C351" s="266"/>
      <c r="D351" s="266"/>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ht="14.25" customHeight="1">
      <c r="A352" s="210"/>
      <c r="B352" s="210"/>
      <c r="C352" s="266"/>
      <c r="D352" s="266"/>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ht="14.25" customHeight="1">
      <c r="A353" s="210"/>
      <c r="B353" s="210"/>
      <c r="C353" s="266"/>
      <c r="D353" s="266"/>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ht="14.25" customHeight="1">
      <c r="A354" s="210"/>
      <c r="B354" s="210"/>
      <c r="C354" s="266"/>
      <c r="D354" s="266"/>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ht="14.25" customHeight="1">
      <c r="A355" s="210"/>
      <c r="B355" s="210"/>
      <c r="C355" s="266"/>
      <c r="D355" s="266"/>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ht="14.25" customHeight="1">
      <c r="A356" s="210"/>
      <c r="B356" s="210"/>
      <c r="C356" s="266"/>
      <c r="D356" s="266"/>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ht="14.25" customHeight="1">
      <c r="A357" s="210"/>
      <c r="B357" s="210"/>
      <c r="C357" s="266"/>
      <c r="D357" s="266"/>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ht="14.25" customHeight="1">
      <c r="A358" s="210"/>
      <c r="B358" s="210"/>
      <c r="C358" s="266"/>
      <c r="D358" s="266"/>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ht="14.25" customHeight="1">
      <c r="A359" s="210"/>
      <c r="B359" s="210"/>
      <c r="C359" s="266"/>
      <c r="D359" s="266"/>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ht="14.25" customHeight="1">
      <c r="A360" s="210"/>
      <c r="B360" s="210"/>
      <c r="C360" s="266"/>
      <c r="D360" s="266"/>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ht="14.25" customHeight="1">
      <c r="A361" s="210"/>
      <c r="B361" s="210"/>
      <c r="C361" s="266"/>
      <c r="D361" s="266"/>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ht="14.25" customHeight="1">
      <c r="A362" s="210"/>
      <c r="B362" s="210"/>
      <c r="C362" s="266"/>
      <c r="D362" s="266"/>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ht="14.25" customHeight="1">
      <c r="A363" s="210"/>
      <c r="B363" s="210"/>
      <c r="C363" s="266"/>
      <c r="D363" s="266"/>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ht="14.25" customHeight="1">
      <c r="A364" s="210"/>
      <c r="B364" s="210"/>
      <c r="C364" s="266"/>
      <c r="D364" s="266"/>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ht="14.25" customHeight="1">
      <c r="A365" s="210"/>
      <c r="B365" s="210"/>
      <c r="C365" s="266"/>
      <c r="D365" s="266"/>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ht="14.25" customHeight="1">
      <c r="A366" s="210"/>
      <c r="B366" s="210"/>
      <c r="C366" s="266"/>
      <c r="D366" s="266"/>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ht="14.25" customHeight="1">
      <c r="A367" s="210"/>
      <c r="B367" s="210"/>
      <c r="C367" s="266"/>
      <c r="D367" s="266"/>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ht="14.25" customHeight="1">
      <c r="A368" s="210"/>
      <c r="B368" s="210"/>
      <c r="C368" s="266"/>
      <c r="D368" s="266"/>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ht="14.25" customHeight="1">
      <c r="A369" s="210"/>
      <c r="B369" s="210"/>
      <c r="C369" s="266"/>
      <c r="D369" s="266"/>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ht="14.25" customHeight="1">
      <c r="A370" s="210"/>
      <c r="B370" s="210"/>
      <c r="C370" s="266"/>
      <c r="D370" s="266"/>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ht="14.25" customHeight="1">
      <c r="A371" s="210"/>
      <c r="B371" s="210"/>
      <c r="C371" s="266"/>
      <c r="D371" s="266"/>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ht="14.25" customHeight="1">
      <c r="A372" s="210"/>
      <c r="B372" s="210"/>
      <c r="C372" s="266"/>
      <c r="D372" s="266"/>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ht="14.25" customHeight="1">
      <c r="A373" s="210"/>
      <c r="B373" s="210"/>
      <c r="C373" s="266"/>
      <c r="D373" s="266"/>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ht="14.25" customHeight="1">
      <c r="A374" s="210"/>
      <c r="B374" s="210"/>
      <c r="C374" s="266"/>
      <c r="D374" s="266"/>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ht="14.25" customHeight="1">
      <c r="A375" s="210"/>
      <c r="B375" s="210"/>
      <c r="C375" s="266"/>
      <c r="D375" s="266"/>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ht="14.25" customHeight="1">
      <c r="A376" s="210"/>
      <c r="B376" s="210"/>
      <c r="C376" s="266"/>
      <c r="D376" s="266"/>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ht="14.25" customHeight="1">
      <c r="A377" s="210"/>
      <c r="B377" s="210"/>
      <c r="C377" s="266"/>
      <c r="D377" s="266"/>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ht="14.25" customHeight="1">
      <c r="A378" s="210"/>
      <c r="B378" s="210"/>
      <c r="C378" s="266"/>
      <c r="D378" s="266"/>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ht="14.25" customHeight="1">
      <c r="A379" s="210"/>
      <c r="B379" s="210"/>
      <c r="C379" s="266"/>
      <c r="D379" s="266"/>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ht="14.25" customHeight="1">
      <c r="A380" s="210"/>
      <c r="B380" s="210"/>
      <c r="C380" s="266"/>
      <c r="D380" s="266"/>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ht="14.25" customHeight="1">
      <c r="A381" s="210"/>
      <c r="B381" s="210"/>
      <c r="C381" s="266"/>
      <c r="D381" s="266"/>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ht="14.25" customHeight="1">
      <c r="A382" s="210"/>
      <c r="B382" s="210"/>
      <c r="C382" s="266"/>
      <c r="D382" s="266"/>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ht="14.25" customHeight="1">
      <c r="A383" s="210"/>
      <c r="B383" s="210"/>
      <c r="C383" s="266"/>
      <c r="D383" s="266"/>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ht="14.25" customHeight="1">
      <c r="A384" s="210"/>
      <c r="B384" s="210"/>
      <c r="C384" s="266"/>
      <c r="D384" s="266"/>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ht="14.25" customHeight="1">
      <c r="A385" s="210"/>
      <c r="B385" s="210"/>
      <c r="C385" s="266"/>
      <c r="D385" s="266"/>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ht="14.25" customHeight="1">
      <c r="A386" s="210"/>
      <c r="B386" s="210"/>
      <c r="C386" s="266"/>
      <c r="D386" s="266"/>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ht="14.25" customHeight="1">
      <c r="A387" s="210"/>
      <c r="B387" s="210"/>
      <c r="C387" s="266"/>
      <c r="D387" s="266"/>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ht="14.25" customHeight="1">
      <c r="A388" s="210"/>
      <c r="B388" s="210"/>
      <c r="C388" s="266"/>
      <c r="D388" s="266"/>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ht="14.25" customHeight="1">
      <c r="A389" s="210"/>
      <c r="B389" s="210"/>
      <c r="C389" s="266"/>
      <c r="D389" s="266"/>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ht="14.25" customHeight="1">
      <c r="A390" s="210"/>
      <c r="B390" s="210"/>
      <c r="C390" s="266"/>
      <c r="D390" s="266"/>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ht="14.25" customHeight="1">
      <c r="A391" s="210"/>
      <c r="B391" s="210"/>
      <c r="C391" s="266"/>
      <c r="D391" s="266"/>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ht="14.25" customHeight="1">
      <c r="A392" s="210"/>
      <c r="B392" s="210"/>
      <c r="C392" s="266"/>
      <c r="D392" s="266"/>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ht="14.25" customHeight="1">
      <c r="A393" s="210"/>
      <c r="B393" s="210"/>
      <c r="C393" s="266"/>
      <c r="D393" s="266"/>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ht="14.25" customHeight="1">
      <c r="A394" s="210"/>
      <c r="B394" s="210"/>
      <c r="C394" s="266"/>
      <c r="D394" s="266"/>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ht="14.25" customHeight="1">
      <c r="A395" s="210"/>
      <c r="B395" s="210"/>
      <c r="C395" s="266"/>
      <c r="D395" s="266"/>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ht="14.25" customHeight="1">
      <c r="A396" s="210"/>
      <c r="B396" s="210"/>
      <c r="C396" s="266"/>
      <c r="D396" s="266"/>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ht="14.25" customHeight="1">
      <c r="A397" s="210"/>
      <c r="B397" s="210"/>
      <c r="C397" s="266"/>
      <c r="D397" s="266"/>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ht="14.25" customHeight="1">
      <c r="A398" s="210"/>
      <c r="B398" s="210"/>
      <c r="C398" s="266"/>
      <c r="D398" s="266"/>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ht="14.25" customHeight="1">
      <c r="A399" s="210"/>
      <c r="B399" s="210"/>
      <c r="C399" s="266"/>
      <c r="D399" s="266"/>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ht="14.25" customHeight="1">
      <c r="A400" s="210"/>
      <c r="B400" s="210"/>
      <c r="C400" s="266"/>
      <c r="D400" s="266"/>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ht="14.25" customHeight="1">
      <c r="A401" s="210"/>
      <c r="B401" s="210"/>
      <c r="C401" s="266"/>
      <c r="D401" s="266"/>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ht="14.25" customHeight="1">
      <c r="A402" s="210"/>
      <c r="B402" s="210"/>
      <c r="C402" s="266"/>
      <c r="D402" s="266"/>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ht="14.25" customHeight="1">
      <c r="A403" s="210"/>
      <c r="B403" s="210"/>
      <c r="C403" s="266"/>
      <c r="D403" s="266"/>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ht="14.25" customHeight="1">
      <c r="A404" s="210"/>
      <c r="B404" s="210"/>
      <c r="C404" s="266"/>
      <c r="D404" s="266"/>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ht="14.25" customHeight="1">
      <c r="A405" s="210"/>
      <c r="B405" s="210"/>
      <c r="C405" s="266"/>
      <c r="D405" s="266"/>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ht="14.25" customHeight="1">
      <c r="A406" s="210"/>
      <c r="B406" s="210"/>
      <c r="C406" s="266"/>
      <c r="D406" s="266"/>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ht="14.25" customHeight="1">
      <c r="A407" s="210"/>
      <c r="B407" s="210"/>
      <c r="C407" s="266"/>
      <c r="D407" s="266"/>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ht="14.25" customHeight="1">
      <c r="A408" s="210"/>
      <c r="B408" s="210"/>
      <c r="C408" s="266"/>
      <c r="D408" s="266"/>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ht="14.25" customHeight="1">
      <c r="A409" s="210"/>
      <c r="B409" s="210"/>
      <c r="C409" s="266"/>
      <c r="D409" s="266"/>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ht="14.25" customHeight="1">
      <c r="A410" s="210"/>
      <c r="B410" s="210"/>
      <c r="C410" s="266"/>
      <c r="D410" s="266"/>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ht="14.25" customHeight="1">
      <c r="A411" s="210"/>
      <c r="B411" s="210"/>
      <c r="C411" s="266"/>
      <c r="D411" s="266"/>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ht="14.25" customHeight="1">
      <c r="A412" s="210"/>
      <c r="B412" s="210"/>
      <c r="C412" s="266"/>
      <c r="D412" s="266"/>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ht="14.25" customHeight="1">
      <c r="A413" s="210"/>
      <c r="B413" s="210"/>
      <c r="C413" s="266"/>
      <c r="D413" s="266"/>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ht="14.25" customHeight="1">
      <c r="A414" s="210"/>
      <c r="B414" s="210"/>
      <c r="C414" s="266"/>
      <c r="D414" s="266"/>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ht="14.25" customHeight="1">
      <c r="A415" s="210"/>
      <c r="B415" s="210"/>
      <c r="C415" s="266"/>
      <c r="D415" s="266"/>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ht="14.25" customHeight="1">
      <c r="A416" s="210"/>
      <c r="B416" s="210"/>
      <c r="C416" s="266"/>
      <c r="D416" s="266"/>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ht="14.25" customHeight="1">
      <c r="A417" s="210"/>
      <c r="B417" s="210"/>
      <c r="C417" s="266"/>
      <c r="D417" s="266"/>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ht="14.25" customHeight="1">
      <c r="A418" s="210"/>
      <c r="B418" s="210"/>
      <c r="C418" s="266"/>
      <c r="D418" s="266"/>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ht="14.25" customHeight="1">
      <c r="A419" s="210"/>
      <c r="B419" s="210"/>
      <c r="C419" s="266"/>
      <c r="D419" s="266"/>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ht="14.25" customHeight="1">
      <c r="A420" s="210"/>
      <c r="B420" s="210"/>
      <c r="C420" s="266"/>
      <c r="D420" s="266"/>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ht="14.25" customHeight="1">
      <c r="A421" s="210"/>
      <c r="B421" s="210"/>
      <c r="C421" s="266"/>
      <c r="D421" s="266"/>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ht="14.25" customHeight="1">
      <c r="A422" s="210"/>
      <c r="B422" s="210"/>
      <c r="C422" s="266"/>
      <c r="D422" s="266"/>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ht="14.25" customHeight="1">
      <c r="A423" s="210"/>
      <c r="B423" s="210"/>
      <c r="C423" s="266"/>
      <c r="D423" s="266"/>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ht="14.25" customHeight="1">
      <c r="A424" s="210"/>
      <c r="B424" s="210"/>
      <c r="C424" s="266"/>
      <c r="D424" s="266"/>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ht="14.25" customHeight="1">
      <c r="A425" s="210"/>
      <c r="B425" s="210"/>
      <c r="C425" s="266"/>
      <c r="D425" s="266"/>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ht="14.25" customHeight="1">
      <c r="A426" s="210"/>
      <c r="B426" s="210"/>
      <c r="C426" s="266"/>
      <c r="D426" s="266"/>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ht="14.25" customHeight="1">
      <c r="A427" s="210"/>
      <c r="B427" s="210"/>
      <c r="C427" s="266"/>
      <c r="D427" s="266"/>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ht="14.25" customHeight="1">
      <c r="A428" s="210"/>
      <c r="B428" s="210"/>
      <c r="C428" s="266"/>
      <c r="D428" s="266"/>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ht="14.25" customHeight="1">
      <c r="A429" s="210"/>
      <c r="B429" s="210"/>
      <c r="C429" s="266"/>
      <c r="D429" s="266"/>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ht="14.25" customHeight="1">
      <c r="A430" s="210"/>
      <c r="B430" s="210"/>
      <c r="C430" s="266"/>
      <c r="D430" s="266"/>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ht="14.25" customHeight="1">
      <c r="A431" s="210"/>
      <c r="B431" s="210"/>
      <c r="C431" s="266"/>
      <c r="D431" s="266"/>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ht="14.25" customHeight="1">
      <c r="A432" s="210"/>
      <c r="B432" s="210"/>
      <c r="C432" s="266"/>
      <c r="D432" s="266"/>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ht="14.25" customHeight="1">
      <c r="A433" s="210"/>
      <c r="B433" s="210"/>
      <c r="C433" s="266"/>
      <c r="D433" s="266"/>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ht="14.25" customHeight="1">
      <c r="A434" s="210"/>
      <c r="B434" s="210"/>
      <c r="C434" s="266"/>
      <c r="D434" s="266"/>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ht="14.25" customHeight="1">
      <c r="A435" s="210"/>
      <c r="B435" s="210"/>
      <c r="C435" s="266"/>
      <c r="D435" s="266"/>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ht="14.25" customHeight="1">
      <c r="A436" s="210"/>
      <c r="B436" s="210"/>
      <c r="C436" s="266"/>
      <c r="D436" s="266"/>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ht="14.25" customHeight="1">
      <c r="A437" s="210"/>
      <c r="B437" s="210"/>
      <c r="C437" s="266"/>
      <c r="D437" s="266"/>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ht="14.25" customHeight="1">
      <c r="A438" s="210"/>
      <c r="B438" s="210"/>
      <c r="C438" s="266"/>
      <c r="D438" s="266"/>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ht="14.25" customHeight="1">
      <c r="A439" s="210"/>
      <c r="B439" s="210"/>
      <c r="C439" s="266"/>
      <c r="D439" s="266"/>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ht="14.25" customHeight="1">
      <c r="A440" s="210"/>
      <c r="B440" s="210"/>
      <c r="C440" s="266"/>
      <c r="D440" s="266"/>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ht="14.25" customHeight="1">
      <c r="A441" s="210"/>
      <c r="B441" s="210"/>
      <c r="C441" s="266"/>
      <c r="D441" s="266"/>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ht="14.25" customHeight="1">
      <c r="A442" s="210"/>
      <c r="B442" s="210"/>
      <c r="C442" s="266"/>
      <c r="D442" s="266"/>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ht="14.25" customHeight="1">
      <c r="A443" s="210"/>
      <c r="B443" s="210"/>
      <c r="C443" s="266"/>
      <c r="D443" s="266"/>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ht="14.25" customHeight="1">
      <c r="A444" s="210"/>
      <c r="B444" s="210"/>
      <c r="C444" s="266"/>
      <c r="D444" s="266"/>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ht="14.25" customHeight="1">
      <c r="A445" s="210"/>
      <c r="B445" s="210"/>
      <c r="C445" s="266"/>
      <c r="D445" s="266"/>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ht="14.25" customHeight="1">
      <c r="A446" s="210"/>
      <c r="B446" s="210"/>
      <c r="C446" s="266"/>
      <c r="D446" s="266"/>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ht="14.25" customHeight="1">
      <c r="A447" s="210"/>
      <c r="B447" s="210"/>
      <c r="C447" s="266"/>
      <c r="D447" s="266"/>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ht="14.25" customHeight="1">
      <c r="A448" s="210"/>
      <c r="B448" s="210"/>
      <c r="C448" s="266"/>
      <c r="D448" s="266"/>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ht="14.25" customHeight="1">
      <c r="A449" s="210"/>
      <c r="B449" s="210"/>
      <c r="C449" s="266"/>
      <c r="D449" s="266"/>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ht="14.25" customHeight="1">
      <c r="A450" s="210"/>
      <c r="B450" s="210"/>
      <c r="C450" s="266"/>
      <c r="D450" s="266"/>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ht="14.25" customHeight="1">
      <c r="A451" s="210"/>
      <c r="B451" s="210"/>
      <c r="C451" s="266"/>
      <c r="D451" s="266"/>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ht="14.25" customHeight="1">
      <c r="A452" s="210"/>
      <c r="B452" s="210"/>
      <c r="C452" s="266"/>
      <c r="D452" s="266"/>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ht="14.25" customHeight="1">
      <c r="A453" s="210"/>
      <c r="B453" s="210"/>
      <c r="C453" s="266"/>
      <c r="D453" s="266"/>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ht="14.25" customHeight="1">
      <c r="A454" s="210"/>
      <c r="B454" s="210"/>
      <c r="C454" s="266"/>
      <c r="D454" s="266"/>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ht="14.25" customHeight="1">
      <c r="A455" s="210"/>
      <c r="B455" s="210"/>
      <c r="C455" s="266"/>
      <c r="D455" s="266"/>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ht="14.25" customHeight="1">
      <c r="A456" s="210"/>
      <c r="B456" s="210"/>
      <c r="C456" s="266"/>
      <c r="D456" s="266"/>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ht="14.25" customHeight="1">
      <c r="A457" s="210"/>
      <c r="B457" s="210"/>
      <c r="C457" s="266"/>
      <c r="D457" s="266"/>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ht="14.25" customHeight="1">
      <c r="A458" s="210"/>
      <c r="B458" s="210"/>
      <c r="C458" s="266"/>
      <c r="D458" s="266"/>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ht="14.25" customHeight="1">
      <c r="A459" s="210"/>
      <c r="B459" s="210"/>
      <c r="C459" s="266"/>
      <c r="D459" s="266"/>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ht="14.25" customHeight="1">
      <c r="A460" s="210"/>
      <c r="B460" s="210"/>
      <c r="C460" s="266"/>
      <c r="D460" s="266"/>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ht="14.25" customHeight="1">
      <c r="A461" s="210"/>
      <c r="B461" s="210"/>
      <c r="C461" s="266"/>
      <c r="D461" s="266"/>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ht="14.25" customHeight="1">
      <c r="A462" s="210"/>
      <c r="B462" s="210"/>
      <c r="C462" s="266"/>
      <c r="D462" s="266"/>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ht="14.25" customHeight="1">
      <c r="A463" s="210"/>
      <c r="B463" s="210"/>
      <c r="C463" s="266"/>
      <c r="D463" s="266"/>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ht="14.25" customHeight="1">
      <c r="A464" s="210"/>
      <c r="B464" s="210"/>
      <c r="C464" s="266"/>
      <c r="D464" s="266"/>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ht="14.25" customHeight="1">
      <c r="A465" s="210"/>
      <c r="B465" s="210"/>
      <c r="C465" s="266"/>
      <c r="D465" s="266"/>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ht="14.25" customHeight="1">
      <c r="A466" s="210"/>
      <c r="B466" s="210"/>
      <c r="C466" s="266"/>
      <c r="D466" s="266"/>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ht="14.25" customHeight="1">
      <c r="A467" s="210"/>
      <c r="B467" s="210"/>
      <c r="C467" s="266"/>
      <c r="D467" s="266"/>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ht="14.25" customHeight="1">
      <c r="A468" s="210"/>
      <c r="B468" s="210"/>
      <c r="C468" s="266"/>
      <c r="D468" s="266"/>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ht="14.25" customHeight="1">
      <c r="A469" s="210"/>
      <c r="B469" s="210"/>
      <c r="C469" s="266"/>
      <c r="D469" s="266"/>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ht="14.25" customHeight="1">
      <c r="A470" s="210"/>
      <c r="B470" s="210"/>
      <c r="C470" s="266"/>
      <c r="D470" s="266"/>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ht="14.25" customHeight="1">
      <c r="A471" s="210"/>
      <c r="B471" s="210"/>
      <c r="C471" s="266"/>
      <c r="D471" s="266"/>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ht="14.25" customHeight="1">
      <c r="A472" s="210"/>
      <c r="B472" s="210"/>
      <c r="C472" s="266"/>
      <c r="D472" s="266"/>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ht="14.25" customHeight="1">
      <c r="A473" s="210"/>
      <c r="B473" s="210"/>
      <c r="C473" s="266"/>
      <c r="D473" s="266"/>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ht="14.25" customHeight="1">
      <c r="A474" s="210"/>
      <c r="B474" s="210"/>
      <c r="C474" s="266"/>
      <c r="D474" s="266"/>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ht="14.25" customHeight="1">
      <c r="A475" s="210"/>
      <c r="B475" s="210"/>
      <c r="C475" s="266"/>
      <c r="D475" s="266"/>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ht="14.25" customHeight="1">
      <c r="A476" s="210"/>
      <c r="B476" s="210"/>
      <c r="C476" s="266"/>
      <c r="D476" s="266"/>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ht="14.25" customHeight="1">
      <c r="A477" s="210"/>
      <c r="B477" s="210"/>
      <c r="C477" s="266"/>
      <c r="D477" s="266"/>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ht="14.25" customHeight="1">
      <c r="A478" s="210"/>
      <c r="B478" s="210"/>
      <c r="C478" s="266"/>
      <c r="D478" s="266"/>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ht="14.25" customHeight="1">
      <c r="A479" s="210"/>
      <c r="B479" s="210"/>
      <c r="C479" s="266"/>
      <c r="D479" s="266"/>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ht="14.25" customHeight="1">
      <c r="A480" s="210"/>
      <c r="B480" s="210"/>
      <c r="C480" s="266"/>
      <c r="D480" s="266"/>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ht="14.25" customHeight="1">
      <c r="A481" s="210"/>
      <c r="B481" s="210"/>
      <c r="C481" s="266"/>
      <c r="D481" s="266"/>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ht="14.25" customHeight="1">
      <c r="A482" s="210"/>
      <c r="B482" s="210"/>
      <c r="C482" s="266"/>
      <c r="D482" s="266"/>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ht="14.25" customHeight="1">
      <c r="A483" s="210"/>
      <c r="B483" s="210"/>
      <c r="C483" s="266"/>
      <c r="D483" s="266"/>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ht="14.25" customHeight="1">
      <c r="A484" s="210"/>
      <c r="B484" s="210"/>
      <c r="C484" s="266"/>
      <c r="D484" s="266"/>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ht="14.25" customHeight="1">
      <c r="A485" s="210"/>
      <c r="B485" s="210"/>
      <c r="C485" s="266"/>
      <c r="D485" s="266"/>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ht="14.25" customHeight="1">
      <c r="A486" s="210"/>
      <c r="B486" s="210"/>
      <c r="C486" s="266"/>
      <c r="D486" s="266"/>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ht="14.25" customHeight="1">
      <c r="A487" s="210"/>
      <c r="B487" s="210"/>
      <c r="C487" s="266"/>
      <c r="D487" s="266"/>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ht="14.25" customHeight="1">
      <c r="A488" s="210"/>
      <c r="B488" s="210"/>
      <c r="C488" s="266"/>
      <c r="D488" s="266"/>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ht="14.25" customHeight="1">
      <c r="A489" s="210"/>
      <c r="B489" s="210"/>
      <c r="C489" s="266"/>
      <c r="D489" s="266"/>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ht="14.25" customHeight="1">
      <c r="A490" s="210"/>
      <c r="B490" s="210"/>
      <c r="C490" s="266"/>
      <c r="D490" s="266"/>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ht="14.25" customHeight="1">
      <c r="A491" s="210"/>
      <c r="B491" s="210"/>
      <c r="C491" s="266"/>
      <c r="D491" s="266"/>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ht="14.25" customHeight="1">
      <c r="A492" s="210"/>
      <c r="B492" s="210"/>
      <c r="C492" s="266"/>
      <c r="D492" s="266"/>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ht="14.25" customHeight="1">
      <c r="A493" s="210"/>
      <c r="B493" s="210"/>
      <c r="C493" s="266"/>
      <c r="D493" s="266"/>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ht="14.25" customHeight="1">
      <c r="A494" s="210"/>
      <c r="B494" s="210"/>
      <c r="C494" s="266"/>
      <c r="D494" s="266"/>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ht="14.25" customHeight="1">
      <c r="A495" s="210"/>
      <c r="B495" s="210"/>
      <c r="C495" s="266"/>
      <c r="D495" s="266"/>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ht="14.25" customHeight="1">
      <c r="A496" s="210"/>
      <c r="B496" s="210"/>
      <c r="C496" s="266"/>
      <c r="D496" s="266"/>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ht="14.25" customHeight="1">
      <c r="A497" s="210"/>
      <c r="B497" s="210"/>
      <c r="C497" s="266"/>
      <c r="D497" s="266"/>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ht="14.25" customHeight="1">
      <c r="A498" s="210"/>
      <c r="B498" s="210"/>
      <c r="C498" s="266"/>
      <c r="D498" s="266"/>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ht="14.25" customHeight="1">
      <c r="A499" s="210"/>
      <c r="B499" s="210"/>
      <c r="C499" s="266"/>
      <c r="D499" s="266"/>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ht="14.25" customHeight="1">
      <c r="A500" s="210"/>
      <c r="B500" s="210"/>
      <c r="C500" s="266"/>
      <c r="D500" s="266"/>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ht="14.25" customHeight="1">
      <c r="A501" s="210"/>
      <c r="B501" s="210"/>
      <c r="C501" s="266"/>
      <c r="D501" s="266"/>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ht="14.25" customHeight="1">
      <c r="A502" s="210"/>
      <c r="B502" s="210"/>
      <c r="C502" s="266"/>
      <c r="D502" s="266"/>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ht="14.25" customHeight="1">
      <c r="A503" s="210"/>
      <c r="B503" s="210"/>
      <c r="C503" s="266"/>
      <c r="D503" s="266"/>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ht="14.25" customHeight="1">
      <c r="A504" s="210"/>
      <c r="B504" s="210"/>
      <c r="C504" s="266"/>
      <c r="D504" s="266"/>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ht="14.25" customHeight="1">
      <c r="A505" s="210"/>
      <c r="B505" s="210"/>
      <c r="C505" s="266"/>
      <c r="D505" s="266"/>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ht="14.25" customHeight="1">
      <c r="A506" s="210"/>
      <c r="B506" s="210"/>
      <c r="C506" s="266"/>
      <c r="D506" s="266"/>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ht="14.25" customHeight="1">
      <c r="A507" s="210"/>
      <c r="B507" s="210"/>
      <c r="C507" s="266"/>
      <c r="D507" s="266"/>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ht="14.25" customHeight="1">
      <c r="A508" s="210"/>
      <c r="B508" s="210"/>
      <c r="C508" s="266"/>
      <c r="D508" s="266"/>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ht="14.25" customHeight="1">
      <c r="A509" s="210"/>
      <c r="B509" s="210"/>
      <c r="C509" s="266"/>
      <c r="D509" s="266"/>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ht="14.25" customHeight="1">
      <c r="A510" s="210"/>
      <c r="B510" s="210"/>
      <c r="C510" s="266"/>
      <c r="D510" s="266"/>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ht="14.25" customHeight="1">
      <c r="A511" s="210"/>
      <c r="B511" s="210"/>
      <c r="C511" s="266"/>
      <c r="D511" s="266"/>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ht="14.25" customHeight="1">
      <c r="A512" s="210"/>
      <c r="B512" s="210"/>
      <c r="C512" s="266"/>
      <c r="D512" s="266"/>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ht="14.25" customHeight="1">
      <c r="A513" s="210"/>
      <c r="B513" s="210"/>
      <c r="C513" s="266"/>
      <c r="D513" s="266"/>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ht="14.25" customHeight="1">
      <c r="A514" s="210"/>
      <c r="B514" s="210"/>
      <c r="C514" s="266"/>
      <c r="D514" s="266"/>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ht="14.25" customHeight="1">
      <c r="A515" s="210"/>
      <c r="B515" s="210"/>
      <c r="C515" s="266"/>
      <c r="D515" s="266"/>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ht="14.25" customHeight="1">
      <c r="A516" s="210"/>
      <c r="B516" s="210"/>
      <c r="C516" s="266"/>
      <c r="D516" s="266"/>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ht="14.25" customHeight="1">
      <c r="A517" s="210"/>
      <c r="B517" s="210"/>
      <c r="C517" s="266"/>
      <c r="D517" s="266"/>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ht="14.25" customHeight="1">
      <c r="A518" s="210"/>
      <c r="B518" s="210"/>
      <c r="C518" s="266"/>
      <c r="D518" s="266"/>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ht="14.25" customHeight="1">
      <c r="A519" s="210"/>
      <c r="B519" s="210"/>
      <c r="C519" s="266"/>
      <c r="D519" s="266"/>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ht="14.25" customHeight="1">
      <c r="A520" s="210"/>
      <c r="B520" s="210"/>
      <c r="C520" s="266"/>
      <c r="D520" s="266"/>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ht="14.25" customHeight="1">
      <c r="A521" s="210"/>
      <c r="B521" s="210"/>
      <c r="C521" s="266"/>
      <c r="D521" s="266"/>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ht="14.25" customHeight="1">
      <c r="A522" s="210"/>
      <c r="B522" s="210"/>
      <c r="C522" s="266"/>
      <c r="D522" s="266"/>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ht="14.25" customHeight="1">
      <c r="A523" s="210"/>
      <c r="B523" s="210"/>
      <c r="C523" s="266"/>
      <c r="D523" s="266"/>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ht="14.25" customHeight="1">
      <c r="A524" s="210"/>
      <c r="B524" s="210"/>
      <c r="C524" s="266"/>
      <c r="D524" s="266"/>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ht="14.25" customHeight="1">
      <c r="A525" s="210"/>
      <c r="B525" s="210"/>
      <c r="C525" s="266"/>
      <c r="D525" s="266"/>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ht="14.25" customHeight="1">
      <c r="A526" s="210"/>
      <c r="B526" s="210"/>
      <c r="C526" s="266"/>
      <c r="D526" s="266"/>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ht="14.25" customHeight="1">
      <c r="A527" s="210"/>
      <c r="B527" s="210"/>
      <c r="C527" s="266"/>
      <c r="D527" s="266"/>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ht="14.25" customHeight="1">
      <c r="A528" s="210"/>
      <c r="B528" s="210"/>
      <c r="C528" s="266"/>
      <c r="D528" s="266"/>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ht="14.25" customHeight="1">
      <c r="A529" s="210"/>
      <c r="B529" s="210"/>
      <c r="C529" s="266"/>
      <c r="D529" s="266"/>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ht="14.25" customHeight="1">
      <c r="A530" s="210"/>
      <c r="B530" s="210"/>
      <c r="C530" s="266"/>
      <c r="D530" s="266"/>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ht="14.25" customHeight="1">
      <c r="A531" s="210"/>
      <c r="B531" s="210"/>
      <c r="C531" s="266"/>
      <c r="D531" s="266"/>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ht="14.25" customHeight="1">
      <c r="A532" s="210"/>
      <c r="B532" s="210"/>
      <c r="C532" s="266"/>
      <c r="D532" s="266"/>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ht="14.25" customHeight="1">
      <c r="A533" s="210"/>
      <c r="B533" s="210"/>
      <c r="C533" s="266"/>
      <c r="D533" s="266"/>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ht="14.25" customHeight="1">
      <c r="A534" s="210"/>
      <c r="B534" s="210"/>
      <c r="C534" s="266"/>
      <c r="D534" s="266"/>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ht="14.25" customHeight="1">
      <c r="A535" s="210"/>
      <c r="B535" s="210"/>
      <c r="C535" s="266"/>
      <c r="D535" s="266"/>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ht="14.25" customHeight="1">
      <c r="A536" s="210"/>
      <c r="B536" s="210"/>
      <c r="C536" s="266"/>
      <c r="D536" s="266"/>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ht="14.25" customHeight="1">
      <c r="A537" s="210"/>
      <c r="B537" s="210"/>
      <c r="C537" s="266"/>
      <c r="D537" s="266"/>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ht="14.25" customHeight="1">
      <c r="A538" s="210"/>
      <c r="B538" s="210"/>
      <c r="C538" s="266"/>
      <c r="D538" s="266"/>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ht="14.25" customHeight="1">
      <c r="A539" s="210"/>
      <c r="B539" s="210"/>
      <c r="C539" s="266"/>
      <c r="D539" s="266"/>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ht="14.25" customHeight="1">
      <c r="A540" s="210"/>
      <c r="B540" s="210"/>
      <c r="C540" s="266"/>
      <c r="D540" s="266"/>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ht="14.25" customHeight="1">
      <c r="A541" s="210"/>
      <c r="B541" s="210"/>
      <c r="C541" s="266"/>
      <c r="D541" s="266"/>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ht="14.25" customHeight="1">
      <c r="A542" s="210"/>
      <c r="B542" s="210"/>
      <c r="C542" s="266"/>
      <c r="D542" s="266"/>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ht="14.25" customHeight="1">
      <c r="A543" s="210"/>
      <c r="B543" s="210"/>
      <c r="C543" s="266"/>
      <c r="D543" s="266"/>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ht="14.25" customHeight="1">
      <c r="A544" s="210"/>
      <c r="B544" s="210"/>
      <c r="C544" s="266"/>
      <c r="D544" s="266"/>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ht="14.25" customHeight="1">
      <c r="A545" s="210"/>
      <c r="B545" s="210"/>
      <c r="C545" s="266"/>
      <c r="D545" s="266"/>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ht="14.25" customHeight="1">
      <c r="A546" s="210"/>
      <c r="B546" s="210"/>
      <c r="C546" s="266"/>
      <c r="D546" s="266"/>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ht="14.25" customHeight="1">
      <c r="A547" s="210"/>
      <c r="B547" s="210"/>
      <c r="C547" s="266"/>
      <c r="D547" s="266"/>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ht="14.25" customHeight="1">
      <c r="A548" s="210"/>
      <c r="B548" s="210"/>
      <c r="C548" s="266"/>
      <c r="D548" s="266"/>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ht="14.25" customHeight="1">
      <c r="A549" s="210"/>
      <c r="B549" s="210"/>
      <c r="C549" s="266"/>
      <c r="D549" s="266"/>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ht="14.25" customHeight="1">
      <c r="A550" s="210"/>
      <c r="B550" s="210"/>
      <c r="C550" s="266"/>
      <c r="D550" s="266"/>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ht="14.25" customHeight="1">
      <c r="A551" s="210"/>
      <c r="B551" s="210"/>
      <c r="C551" s="266"/>
      <c r="D551" s="266"/>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ht="14.25" customHeight="1">
      <c r="A552" s="210"/>
      <c r="B552" s="210"/>
      <c r="C552" s="266"/>
      <c r="D552" s="266"/>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ht="14.25" customHeight="1">
      <c r="A553" s="210"/>
      <c r="B553" s="210"/>
      <c r="C553" s="266"/>
      <c r="D553" s="266"/>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ht="14.25" customHeight="1">
      <c r="A554" s="210"/>
      <c r="B554" s="210"/>
      <c r="C554" s="266"/>
      <c r="D554" s="266"/>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ht="14.25" customHeight="1">
      <c r="A555" s="210"/>
      <c r="B555" s="210"/>
      <c r="C555" s="266"/>
      <c r="D555" s="266"/>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ht="14.25" customHeight="1">
      <c r="A556" s="210"/>
      <c r="B556" s="210"/>
      <c r="C556" s="266"/>
      <c r="D556" s="266"/>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ht="14.25" customHeight="1">
      <c r="A557" s="210"/>
      <c r="B557" s="210"/>
      <c r="C557" s="266"/>
      <c r="D557" s="266"/>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ht="14.25" customHeight="1">
      <c r="A558" s="210"/>
      <c r="B558" s="210"/>
      <c r="C558" s="266"/>
      <c r="D558" s="266"/>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ht="14.25" customHeight="1">
      <c r="A559" s="210"/>
      <c r="B559" s="210"/>
      <c r="C559" s="266"/>
      <c r="D559" s="266"/>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ht="14.25" customHeight="1">
      <c r="A560" s="210"/>
      <c r="B560" s="210"/>
      <c r="C560" s="266"/>
      <c r="D560" s="266"/>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ht="14.25" customHeight="1">
      <c r="A561" s="210"/>
      <c r="B561" s="210"/>
      <c r="C561" s="266"/>
      <c r="D561" s="266"/>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ht="14.25" customHeight="1">
      <c r="A562" s="210"/>
      <c r="B562" s="210"/>
      <c r="C562" s="266"/>
      <c r="D562" s="266"/>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ht="14.25" customHeight="1">
      <c r="A563" s="210"/>
      <c r="B563" s="210"/>
      <c r="C563" s="266"/>
      <c r="D563" s="266"/>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ht="14.25" customHeight="1">
      <c r="A564" s="210"/>
      <c r="B564" s="210"/>
      <c r="C564" s="266"/>
      <c r="D564" s="266"/>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ht="14.25" customHeight="1">
      <c r="A565" s="210"/>
      <c r="B565" s="210"/>
      <c r="C565" s="266"/>
      <c r="D565" s="266"/>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ht="14.25" customHeight="1">
      <c r="A566" s="210"/>
      <c r="B566" s="210"/>
      <c r="C566" s="266"/>
      <c r="D566" s="266"/>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ht="14.25" customHeight="1">
      <c r="A567" s="210"/>
      <c r="B567" s="210"/>
      <c r="C567" s="266"/>
      <c r="D567" s="266"/>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ht="14.25" customHeight="1">
      <c r="A568" s="210"/>
      <c r="B568" s="210"/>
      <c r="C568" s="266"/>
      <c r="D568" s="266"/>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ht="14.25" customHeight="1">
      <c r="A569" s="210"/>
      <c r="B569" s="210"/>
      <c r="C569" s="266"/>
      <c r="D569" s="266"/>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ht="14.25" customHeight="1">
      <c r="A570" s="210"/>
      <c r="B570" s="210"/>
      <c r="C570" s="266"/>
      <c r="D570" s="266"/>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ht="14.25" customHeight="1">
      <c r="A571" s="210"/>
      <c r="B571" s="210"/>
      <c r="C571" s="266"/>
      <c r="D571" s="266"/>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ht="14.25" customHeight="1">
      <c r="A572" s="210"/>
      <c r="B572" s="210"/>
      <c r="C572" s="266"/>
      <c r="D572" s="266"/>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ht="14.25" customHeight="1">
      <c r="A573" s="210"/>
      <c r="B573" s="210"/>
      <c r="C573" s="266"/>
      <c r="D573" s="266"/>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ht="14.25" customHeight="1">
      <c r="A574" s="210"/>
      <c r="B574" s="210"/>
      <c r="C574" s="266"/>
      <c r="D574" s="266"/>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ht="14.25" customHeight="1">
      <c r="A575" s="210"/>
      <c r="B575" s="210"/>
      <c r="C575" s="266"/>
      <c r="D575" s="266"/>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ht="14.25" customHeight="1">
      <c r="A576" s="210"/>
      <c r="B576" s="210"/>
      <c r="C576" s="266"/>
      <c r="D576" s="266"/>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ht="14.25" customHeight="1">
      <c r="A577" s="210"/>
      <c r="B577" s="210"/>
      <c r="C577" s="266"/>
      <c r="D577" s="266"/>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ht="14.25" customHeight="1">
      <c r="A578" s="210"/>
      <c r="B578" s="210"/>
      <c r="C578" s="266"/>
      <c r="D578" s="266"/>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ht="14.25" customHeight="1">
      <c r="A579" s="210"/>
      <c r="B579" s="210"/>
      <c r="C579" s="266"/>
      <c r="D579" s="266"/>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ht="14.25" customHeight="1">
      <c r="A580" s="210"/>
      <c r="B580" s="210"/>
      <c r="C580" s="266"/>
      <c r="D580" s="266"/>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ht="14.25" customHeight="1">
      <c r="A581" s="210"/>
      <c r="B581" s="210"/>
      <c r="C581" s="266"/>
      <c r="D581" s="266"/>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ht="14.25" customHeight="1">
      <c r="A582" s="210"/>
      <c r="B582" s="210"/>
      <c r="C582" s="266"/>
      <c r="D582" s="266"/>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ht="14.25" customHeight="1">
      <c r="A583" s="210"/>
      <c r="B583" s="210"/>
      <c r="C583" s="266"/>
      <c r="D583" s="266"/>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ht="14.25" customHeight="1">
      <c r="A584" s="210"/>
      <c r="B584" s="210"/>
      <c r="C584" s="266"/>
      <c r="D584" s="266"/>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ht="14.25" customHeight="1">
      <c r="A585" s="210"/>
      <c r="B585" s="210"/>
      <c r="C585" s="266"/>
      <c r="D585" s="266"/>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ht="14.25" customHeight="1">
      <c r="A586" s="210"/>
      <c r="B586" s="210"/>
      <c r="C586" s="266"/>
      <c r="D586" s="266"/>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ht="14.25" customHeight="1">
      <c r="A587" s="210"/>
      <c r="B587" s="210"/>
      <c r="C587" s="266"/>
      <c r="D587" s="266"/>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ht="14.25" customHeight="1">
      <c r="A588" s="210"/>
      <c r="B588" s="210"/>
      <c r="C588" s="266"/>
      <c r="D588" s="266"/>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ht="14.25" customHeight="1">
      <c r="A589" s="210"/>
      <c r="B589" s="210"/>
      <c r="C589" s="266"/>
      <c r="D589" s="266"/>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ht="14.25" customHeight="1">
      <c r="A590" s="210"/>
      <c r="B590" s="210"/>
      <c r="C590" s="266"/>
      <c r="D590" s="266"/>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ht="14.25" customHeight="1">
      <c r="A591" s="210"/>
      <c r="B591" s="210"/>
      <c r="C591" s="266"/>
      <c r="D591" s="266"/>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ht="14.25" customHeight="1">
      <c r="A592" s="210"/>
      <c r="B592" s="210"/>
      <c r="C592" s="266"/>
      <c r="D592" s="266"/>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ht="14.25" customHeight="1">
      <c r="A593" s="210"/>
      <c r="B593" s="210"/>
      <c r="C593" s="266"/>
      <c r="D593" s="266"/>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ht="14.25" customHeight="1">
      <c r="A594" s="210"/>
      <c r="B594" s="210"/>
      <c r="C594" s="266"/>
      <c r="D594" s="266"/>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ht="14.25" customHeight="1">
      <c r="A595" s="210"/>
      <c r="B595" s="210"/>
      <c r="C595" s="266"/>
      <c r="D595" s="266"/>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ht="14.25" customHeight="1">
      <c r="A596" s="210"/>
      <c r="B596" s="210"/>
      <c r="C596" s="266"/>
      <c r="D596" s="266"/>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ht="14.25" customHeight="1">
      <c r="A597" s="210"/>
      <c r="B597" s="210"/>
      <c r="C597" s="266"/>
      <c r="D597" s="266"/>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ht="14.25" customHeight="1">
      <c r="A598" s="210"/>
      <c r="B598" s="210"/>
      <c r="C598" s="266"/>
      <c r="D598" s="266"/>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ht="14.25" customHeight="1">
      <c r="A599" s="210"/>
      <c r="B599" s="210"/>
      <c r="C599" s="266"/>
      <c r="D599" s="266"/>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ht="14.25" customHeight="1">
      <c r="A600" s="210"/>
      <c r="B600" s="210"/>
      <c r="C600" s="266"/>
      <c r="D600" s="266"/>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ht="14.25" customHeight="1">
      <c r="A601" s="210"/>
      <c r="B601" s="210"/>
      <c r="C601" s="266"/>
      <c r="D601" s="266"/>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ht="14.25" customHeight="1">
      <c r="A602" s="210"/>
      <c r="B602" s="210"/>
      <c r="C602" s="266"/>
      <c r="D602" s="266"/>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ht="14.25" customHeight="1">
      <c r="A603" s="210"/>
      <c r="B603" s="210"/>
      <c r="C603" s="266"/>
      <c r="D603" s="266"/>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ht="14.25" customHeight="1">
      <c r="A604" s="210"/>
      <c r="B604" s="210"/>
      <c r="C604" s="266"/>
      <c r="D604" s="266"/>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ht="14.25" customHeight="1">
      <c r="A605" s="210"/>
      <c r="B605" s="210"/>
      <c r="C605" s="266"/>
      <c r="D605" s="266"/>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ht="14.25" customHeight="1">
      <c r="A606" s="210"/>
      <c r="B606" s="210"/>
      <c r="C606" s="266"/>
      <c r="D606" s="266"/>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ht="14.25" customHeight="1">
      <c r="A607" s="210"/>
      <c r="B607" s="210"/>
      <c r="C607" s="266"/>
      <c r="D607" s="266"/>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ht="14.25" customHeight="1">
      <c r="A608" s="210"/>
      <c r="B608" s="210"/>
      <c r="C608" s="266"/>
      <c r="D608" s="266"/>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ht="14.25" customHeight="1">
      <c r="A609" s="210"/>
      <c r="B609" s="210"/>
      <c r="C609" s="266"/>
      <c r="D609" s="266"/>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ht="14.25" customHeight="1">
      <c r="A610" s="210"/>
      <c r="B610" s="210"/>
      <c r="C610" s="266"/>
      <c r="D610" s="266"/>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ht="14.25" customHeight="1">
      <c r="A611" s="210"/>
      <c r="B611" s="210"/>
      <c r="C611" s="266"/>
      <c r="D611" s="266"/>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ht="14.25" customHeight="1">
      <c r="A612" s="210"/>
      <c r="B612" s="210"/>
      <c r="C612" s="266"/>
      <c r="D612" s="266"/>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ht="14.25" customHeight="1">
      <c r="A613" s="210"/>
      <c r="B613" s="210"/>
      <c r="C613" s="266"/>
      <c r="D613" s="266"/>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ht="14.25" customHeight="1">
      <c r="A614" s="210"/>
      <c r="B614" s="210"/>
      <c r="C614" s="266"/>
      <c r="D614" s="266"/>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ht="14.25" customHeight="1">
      <c r="A615" s="210"/>
      <c r="B615" s="210"/>
      <c r="C615" s="266"/>
      <c r="D615" s="266"/>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ht="14.25" customHeight="1">
      <c r="A616" s="210"/>
      <c r="B616" s="210"/>
      <c r="C616" s="266"/>
      <c r="D616" s="266"/>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ht="14.25" customHeight="1">
      <c r="A617" s="210"/>
      <c r="B617" s="210"/>
      <c r="C617" s="266"/>
      <c r="D617" s="266"/>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ht="14.25" customHeight="1">
      <c r="A618" s="210"/>
      <c r="B618" s="210"/>
      <c r="C618" s="266"/>
      <c r="D618" s="266"/>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ht="14.25" customHeight="1">
      <c r="A619" s="210"/>
      <c r="B619" s="210"/>
      <c r="C619" s="266"/>
      <c r="D619" s="266"/>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ht="14.25" customHeight="1">
      <c r="A620" s="210"/>
      <c r="B620" s="210"/>
      <c r="C620" s="266"/>
      <c r="D620" s="266"/>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ht="14.25" customHeight="1">
      <c r="A621" s="210"/>
      <c r="B621" s="210"/>
      <c r="C621" s="266"/>
      <c r="D621" s="266"/>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ht="14.25" customHeight="1">
      <c r="A622" s="210"/>
      <c r="B622" s="210"/>
      <c r="C622" s="266"/>
      <c r="D622" s="266"/>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ht="14.25" customHeight="1">
      <c r="A623" s="210"/>
      <c r="B623" s="210"/>
      <c r="C623" s="266"/>
      <c r="D623" s="266"/>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ht="14.25" customHeight="1">
      <c r="A624" s="210"/>
      <c r="B624" s="210"/>
      <c r="C624" s="266"/>
      <c r="D624" s="266"/>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ht="14.25" customHeight="1">
      <c r="A625" s="210"/>
      <c r="B625" s="210"/>
      <c r="C625" s="266"/>
      <c r="D625" s="266"/>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ht="14.25" customHeight="1">
      <c r="A626" s="210"/>
      <c r="B626" s="210"/>
      <c r="C626" s="266"/>
      <c r="D626" s="266"/>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ht="14.25" customHeight="1">
      <c r="A627" s="210"/>
      <c r="B627" s="210"/>
      <c r="C627" s="266"/>
      <c r="D627" s="266"/>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ht="14.25" customHeight="1">
      <c r="A628" s="210"/>
      <c r="B628" s="210"/>
      <c r="C628" s="266"/>
      <c r="D628" s="266"/>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ht="14.25" customHeight="1">
      <c r="A629" s="210"/>
      <c r="B629" s="210"/>
      <c r="C629" s="266"/>
      <c r="D629" s="266"/>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ht="14.25" customHeight="1">
      <c r="A630" s="210"/>
      <c r="B630" s="210"/>
      <c r="C630" s="266"/>
      <c r="D630" s="266"/>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ht="14.25" customHeight="1">
      <c r="A631" s="210"/>
      <c r="B631" s="210"/>
      <c r="C631" s="266"/>
      <c r="D631" s="266"/>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ht="14.25" customHeight="1">
      <c r="A632" s="210"/>
      <c r="B632" s="210"/>
      <c r="C632" s="266"/>
      <c r="D632" s="266"/>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ht="14.25" customHeight="1">
      <c r="A633" s="210"/>
      <c r="B633" s="210"/>
      <c r="C633" s="266"/>
      <c r="D633" s="266"/>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ht="14.25" customHeight="1">
      <c r="A634" s="210"/>
      <c r="B634" s="210"/>
      <c r="C634" s="266"/>
      <c r="D634" s="266"/>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ht="14.25" customHeight="1">
      <c r="A635" s="210"/>
      <c r="B635" s="210"/>
      <c r="C635" s="266"/>
      <c r="D635" s="266"/>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ht="14.25" customHeight="1">
      <c r="A636" s="210"/>
      <c r="B636" s="210"/>
      <c r="C636" s="266"/>
      <c r="D636" s="266"/>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ht="14.25" customHeight="1">
      <c r="A637" s="210"/>
      <c r="B637" s="210"/>
      <c r="C637" s="266"/>
      <c r="D637" s="266"/>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ht="14.25" customHeight="1">
      <c r="A638" s="210"/>
      <c r="B638" s="210"/>
      <c r="C638" s="266"/>
      <c r="D638" s="266"/>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ht="14.25" customHeight="1">
      <c r="A639" s="210"/>
      <c r="B639" s="210"/>
      <c r="C639" s="266"/>
      <c r="D639" s="266"/>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ht="14.25" customHeight="1">
      <c r="A640" s="210"/>
      <c r="B640" s="210"/>
      <c r="C640" s="266"/>
      <c r="D640" s="266"/>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ht="14.25" customHeight="1">
      <c r="A641" s="210"/>
      <c r="B641" s="210"/>
      <c r="C641" s="266"/>
      <c r="D641" s="266"/>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ht="14.25" customHeight="1">
      <c r="A642" s="210"/>
      <c r="B642" s="210"/>
      <c r="C642" s="266"/>
      <c r="D642" s="266"/>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ht="14.25" customHeight="1">
      <c r="A643" s="210"/>
      <c r="B643" s="210"/>
      <c r="C643" s="266"/>
      <c r="D643" s="266"/>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ht="14.25" customHeight="1">
      <c r="A644" s="210"/>
      <c r="B644" s="210"/>
      <c r="C644" s="266"/>
      <c r="D644" s="266"/>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ht="14.25" customHeight="1">
      <c r="A645" s="210"/>
      <c r="B645" s="210"/>
      <c r="C645" s="266"/>
      <c r="D645" s="266"/>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ht="14.25" customHeight="1">
      <c r="A646" s="210"/>
      <c r="B646" s="210"/>
      <c r="C646" s="266"/>
      <c r="D646" s="266"/>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ht="14.25" customHeight="1">
      <c r="A647" s="210"/>
      <c r="B647" s="210"/>
      <c r="C647" s="266"/>
      <c r="D647" s="266"/>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ht="14.25" customHeight="1">
      <c r="A648" s="210"/>
      <c r="B648" s="210"/>
      <c r="C648" s="266"/>
      <c r="D648" s="266"/>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ht="14.25" customHeight="1">
      <c r="A649" s="210"/>
      <c r="B649" s="210"/>
      <c r="C649" s="266"/>
      <c r="D649" s="266"/>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ht="14.25" customHeight="1">
      <c r="A650" s="210"/>
      <c r="B650" s="210"/>
      <c r="C650" s="266"/>
      <c r="D650" s="266"/>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ht="14.25" customHeight="1">
      <c r="A651" s="210"/>
      <c r="B651" s="210"/>
      <c r="C651" s="266"/>
      <c r="D651" s="266"/>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ht="14.25" customHeight="1">
      <c r="A652" s="210"/>
      <c r="B652" s="210"/>
      <c r="C652" s="266"/>
      <c r="D652" s="266"/>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ht="14.25" customHeight="1">
      <c r="A653" s="210"/>
      <c r="B653" s="210"/>
      <c r="C653" s="266"/>
      <c r="D653" s="266"/>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ht="14.25" customHeight="1">
      <c r="A654" s="210"/>
      <c r="B654" s="210"/>
      <c r="C654" s="266"/>
      <c r="D654" s="266"/>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ht="14.25" customHeight="1">
      <c r="A655" s="210"/>
      <c r="B655" s="210"/>
      <c r="C655" s="266"/>
      <c r="D655" s="266"/>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ht="14.25" customHeight="1">
      <c r="A656" s="210"/>
      <c r="B656" s="210"/>
      <c r="C656" s="266"/>
      <c r="D656" s="266"/>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ht="14.25" customHeight="1">
      <c r="A657" s="210"/>
      <c r="B657" s="210"/>
      <c r="C657" s="266"/>
      <c r="D657" s="266"/>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ht="14.25" customHeight="1">
      <c r="A658" s="210"/>
      <c r="B658" s="210"/>
      <c r="C658" s="266"/>
      <c r="D658" s="266"/>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ht="14.25" customHeight="1">
      <c r="A659" s="210"/>
      <c r="B659" s="210"/>
      <c r="C659" s="266"/>
      <c r="D659" s="266"/>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ht="14.25" customHeight="1">
      <c r="A660" s="210"/>
      <c r="B660" s="210"/>
      <c r="C660" s="266"/>
      <c r="D660" s="266"/>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ht="14.25" customHeight="1">
      <c r="A661" s="210"/>
      <c r="B661" s="210"/>
      <c r="C661" s="266"/>
      <c r="D661" s="266"/>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ht="14.25" customHeight="1">
      <c r="A662" s="210"/>
      <c r="B662" s="210"/>
      <c r="C662" s="266"/>
      <c r="D662" s="266"/>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ht="14.25" customHeight="1">
      <c r="A663" s="210"/>
      <c r="B663" s="210"/>
      <c r="C663" s="266"/>
      <c r="D663" s="266"/>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ht="14.25" customHeight="1">
      <c r="A664" s="210"/>
      <c r="B664" s="210"/>
      <c r="C664" s="266"/>
      <c r="D664" s="266"/>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ht="14.25" customHeight="1">
      <c r="A665" s="210"/>
      <c r="B665" s="210"/>
      <c r="C665" s="266"/>
      <c r="D665" s="266"/>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ht="14.25" customHeight="1">
      <c r="A666" s="210"/>
      <c r="B666" s="210"/>
      <c r="C666" s="266"/>
      <c r="D666" s="266"/>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ht="14.25" customHeight="1">
      <c r="A667" s="210"/>
      <c r="B667" s="210"/>
      <c r="C667" s="266"/>
      <c r="D667" s="266"/>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ht="14.25" customHeight="1">
      <c r="A668" s="210"/>
      <c r="B668" s="210"/>
      <c r="C668" s="266"/>
      <c r="D668" s="266"/>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ht="14.25" customHeight="1">
      <c r="A669" s="210"/>
      <c r="B669" s="210"/>
      <c r="C669" s="266"/>
      <c r="D669" s="266"/>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ht="14.25" customHeight="1">
      <c r="A670" s="210"/>
      <c r="B670" s="210"/>
      <c r="C670" s="266"/>
      <c r="D670" s="266"/>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ht="14.25" customHeight="1">
      <c r="A671" s="210"/>
      <c r="B671" s="210"/>
      <c r="C671" s="266"/>
      <c r="D671" s="266"/>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ht="14.25" customHeight="1">
      <c r="A672" s="210"/>
      <c r="B672" s="210"/>
      <c r="C672" s="266"/>
      <c r="D672" s="266"/>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ht="14.25" customHeight="1">
      <c r="A673" s="210"/>
      <c r="B673" s="210"/>
      <c r="C673" s="266"/>
      <c r="D673" s="266"/>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ht="14.25" customHeight="1">
      <c r="A674" s="210"/>
      <c r="B674" s="210"/>
      <c r="C674" s="266"/>
      <c r="D674" s="266"/>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ht="14.25" customHeight="1">
      <c r="A675" s="210"/>
      <c r="B675" s="210"/>
      <c r="C675" s="266"/>
      <c r="D675" s="266"/>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ht="14.25" customHeight="1">
      <c r="A676" s="210"/>
      <c r="B676" s="210"/>
      <c r="C676" s="266"/>
      <c r="D676" s="266"/>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ht="14.25" customHeight="1">
      <c r="A677" s="210"/>
      <c r="B677" s="210"/>
      <c r="C677" s="266"/>
      <c r="D677" s="266"/>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ht="14.25" customHeight="1">
      <c r="A678" s="210"/>
      <c r="B678" s="210"/>
      <c r="C678" s="266"/>
      <c r="D678" s="266"/>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ht="14.25" customHeight="1">
      <c r="A679" s="210"/>
      <c r="B679" s="210"/>
      <c r="C679" s="266"/>
      <c r="D679" s="266"/>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ht="14.25" customHeight="1">
      <c r="A680" s="210"/>
      <c r="B680" s="210"/>
      <c r="C680" s="266"/>
      <c r="D680" s="266"/>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ht="14.25" customHeight="1">
      <c r="A681" s="210"/>
      <c r="B681" s="210"/>
      <c r="C681" s="266"/>
      <c r="D681" s="266"/>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ht="14.25" customHeight="1">
      <c r="A682" s="210"/>
      <c r="B682" s="210"/>
      <c r="C682" s="266"/>
      <c r="D682" s="266"/>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ht="14.25" customHeight="1">
      <c r="A683" s="210"/>
      <c r="B683" s="210"/>
      <c r="C683" s="266"/>
      <c r="D683" s="266"/>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ht="14.25" customHeight="1">
      <c r="A684" s="210"/>
      <c r="B684" s="210"/>
      <c r="C684" s="266"/>
      <c r="D684" s="266"/>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ht="14.25" customHeight="1">
      <c r="A685" s="210"/>
      <c r="B685" s="210"/>
      <c r="C685" s="266"/>
      <c r="D685" s="266"/>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ht="14.25" customHeight="1">
      <c r="A686" s="210"/>
      <c r="B686" s="210"/>
      <c r="C686" s="266"/>
      <c r="D686" s="266"/>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ht="14.25" customHeight="1">
      <c r="A687" s="210"/>
      <c r="B687" s="210"/>
      <c r="C687" s="266"/>
      <c r="D687" s="266"/>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ht="14.25" customHeight="1">
      <c r="A688" s="210"/>
      <c r="B688" s="210"/>
      <c r="C688" s="266"/>
      <c r="D688" s="266"/>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ht="14.25" customHeight="1">
      <c r="A689" s="210"/>
      <c r="B689" s="210"/>
      <c r="C689" s="266"/>
      <c r="D689" s="266"/>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ht="14.25" customHeight="1">
      <c r="A690" s="210"/>
      <c r="B690" s="210"/>
      <c r="C690" s="266"/>
      <c r="D690" s="266"/>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ht="14.25" customHeight="1">
      <c r="A691" s="210"/>
      <c r="B691" s="210"/>
      <c r="C691" s="266"/>
      <c r="D691" s="266"/>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ht="14.25" customHeight="1">
      <c r="A692" s="210"/>
      <c r="B692" s="210"/>
      <c r="C692" s="266"/>
      <c r="D692" s="266"/>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ht="14.25" customHeight="1">
      <c r="A693" s="210"/>
      <c r="B693" s="210"/>
      <c r="C693" s="266"/>
      <c r="D693" s="266"/>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ht="14.25" customHeight="1">
      <c r="A694" s="210"/>
      <c r="B694" s="210"/>
      <c r="C694" s="266"/>
      <c r="D694" s="266"/>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ht="14.25" customHeight="1">
      <c r="A695" s="210"/>
      <c r="B695" s="210"/>
      <c r="C695" s="266"/>
      <c r="D695" s="266"/>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ht="14.25" customHeight="1">
      <c r="A696" s="210"/>
      <c r="B696" s="210"/>
      <c r="C696" s="266"/>
      <c r="D696" s="266"/>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ht="14.25" customHeight="1">
      <c r="A697" s="210"/>
      <c r="B697" s="210"/>
      <c r="C697" s="266"/>
      <c r="D697" s="266"/>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ht="14.25" customHeight="1">
      <c r="A698" s="210"/>
      <c r="B698" s="210"/>
      <c r="C698" s="266"/>
      <c r="D698" s="266"/>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ht="14.25" customHeight="1">
      <c r="A699" s="210"/>
      <c r="B699" s="210"/>
      <c r="C699" s="266"/>
      <c r="D699" s="266"/>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ht="14.25" customHeight="1">
      <c r="A700" s="210"/>
      <c r="B700" s="210"/>
      <c r="C700" s="266"/>
      <c r="D700" s="266"/>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ht="14.25" customHeight="1">
      <c r="A701" s="210"/>
      <c r="B701" s="210"/>
      <c r="C701" s="266"/>
      <c r="D701" s="266"/>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ht="14.25" customHeight="1">
      <c r="A702" s="210"/>
      <c r="B702" s="210"/>
      <c r="C702" s="266"/>
      <c r="D702" s="266"/>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ht="14.25" customHeight="1">
      <c r="A703" s="210"/>
      <c r="B703" s="210"/>
      <c r="C703" s="266"/>
      <c r="D703" s="266"/>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ht="14.25" customHeight="1">
      <c r="A704" s="210"/>
      <c r="B704" s="210"/>
      <c r="C704" s="266"/>
      <c r="D704" s="266"/>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ht="14.25" customHeight="1">
      <c r="A705" s="210"/>
      <c r="B705" s="210"/>
      <c r="C705" s="266"/>
      <c r="D705" s="266"/>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ht="14.25" customHeight="1">
      <c r="A706" s="210"/>
      <c r="B706" s="210"/>
      <c r="C706" s="266"/>
      <c r="D706" s="266"/>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ht="14.25" customHeight="1">
      <c r="A707" s="210"/>
      <c r="B707" s="210"/>
      <c r="C707" s="266"/>
      <c r="D707" s="266"/>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ht="14.25" customHeight="1">
      <c r="A708" s="210"/>
      <c r="B708" s="210"/>
      <c r="C708" s="266"/>
      <c r="D708" s="266"/>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ht="14.25" customHeight="1">
      <c r="A709" s="210"/>
      <c r="B709" s="210"/>
      <c r="C709" s="266"/>
      <c r="D709" s="266"/>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ht="14.25" customHeight="1">
      <c r="A710" s="210"/>
      <c r="B710" s="210"/>
      <c r="C710" s="266"/>
      <c r="D710" s="266"/>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ht="14.25" customHeight="1">
      <c r="A711" s="210"/>
      <c r="B711" s="210"/>
      <c r="C711" s="266"/>
      <c r="D711" s="266"/>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ht="14.25" customHeight="1">
      <c r="A712" s="210"/>
      <c r="B712" s="210"/>
      <c r="C712" s="266"/>
      <c r="D712" s="266"/>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ht="14.25" customHeight="1">
      <c r="A713" s="210"/>
      <c r="B713" s="210"/>
      <c r="C713" s="266"/>
      <c r="D713" s="266"/>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ht="14.25" customHeight="1">
      <c r="A714" s="210"/>
      <c r="B714" s="210"/>
      <c r="C714" s="266"/>
      <c r="D714" s="266"/>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ht="14.25" customHeight="1">
      <c r="A715" s="210"/>
      <c r="B715" s="210"/>
      <c r="C715" s="266"/>
      <c r="D715" s="266"/>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ht="14.25" customHeight="1">
      <c r="A716" s="210"/>
      <c r="B716" s="210"/>
      <c r="C716" s="266"/>
      <c r="D716" s="266"/>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ht="14.25" customHeight="1">
      <c r="A717" s="210"/>
      <c r="B717" s="210"/>
      <c r="C717" s="266"/>
      <c r="D717" s="266"/>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ht="14.25" customHeight="1">
      <c r="A718" s="210"/>
      <c r="B718" s="210"/>
      <c r="C718" s="266"/>
      <c r="D718" s="266"/>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ht="14.25" customHeight="1">
      <c r="A719" s="210"/>
      <c r="B719" s="210"/>
      <c r="C719" s="266"/>
      <c r="D719" s="266"/>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ht="14.25" customHeight="1">
      <c r="A720" s="210"/>
      <c r="B720" s="210"/>
      <c r="C720" s="266"/>
      <c r="D720" s="266"/>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ht="14.25" customHeight="1">
      <c r="A721" s="210"/>
      <c r="B721" s="210"/>
      <c r="C721" s="266"/>
      <c r="D721" s="266"/>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ht="14.25" customHeight="1">
      <c r="A722" s="210"/>
      <c r="B722" s="210"/>
      <c r="C722" s="266"/>
      <c r="D722" s="266"/>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ht="14.25" customHeight="1">
      <c r="A723" s="210"/>
      <c r="B723" s="210"/>
      <c r="C723" s="266"/>
      <c r="D723" s="266"/>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ht="14.25" customHeight="1">
      <c r="A724" s="210"/>
      <c r="B724" s="210"/>
      <c r="C724" s="266"/>
      <c r="D724" s="266"/>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ht="14.25" customHeight="1">
      <c r="A725" s="210"/>
      <c r="B725" s="210"/>
      <c r="C725" s="266"/>
      <c r="D725" s="266"/>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ht="14.25" customHeight="1">
      <c r="A726" s="210"/>
      <c r="B726" s="210"/>
      <c r="C726" s="266"/>
      <c r="D726" s="266"/>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ht="14.25" customHeight="1">
      <c r="A727" s="210"/>
      <c r="B727" s="210"/>
      <c r="C727" s="266"/>
      <c r="D727" s="266"/>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ht="14.25" customHeight="1">
      <c r="A728" s="210"/>
      <c r="B728" s="210"/>
      <c r="C728" s="266"/>
      <c r="D728" s="266"/>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ht="14.25" customHeight="1">
      <c r="A729" s="210"/>
      <c r="B729" s="210"/>
      <c r="C729" s="266"/>
      <c r="D729" s="266"/>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ht="14.25" customHeight="1">
      <c r="A730" s="210"/>
      <c r="B730" s="210"/>
      <c r="C730" s="266"/>
      <c r="D730" s="266"/>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ht="14.25" customHeight="1">
      <c r="A731" s="210"/>
      <c r="B731" s="210"/>
      <c r="C731" s="266"/>
      <c r="D731" s="266"/>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ht="14.25" customHeight="1">
      <c r="A732" s="210"/>
      <c r="B732" s="210"/>
      <c r="C732" s="266"/>
      <c r="D732" s="266"/>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ht="14.25" customHeight="1">
      <c r="A733" s="210"/>
      <c r="B733" s="210"/>
      <c r="C733" s="266"/>
      <c r="D733" s="266"/>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ht="14.25" customHeight="1">
      <c r="A734" s="210"/>
      <c r="B734" s="210"/>
      <c r="C734" s="266"/>
      <c r="D734" s="266"/>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ht="14.25" customHeight="1">
      <c r="A735" s="210"/>
      <c r="B735" s="210"/>
      <c r="C735" s="266"/>
      <c r="D735" s="266"/>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ht="14.25" customHeight="1">
      <c r="A736" s="210"/>
      <c r="B736" s="210"/>
      <c r="C736" s="266"/>
      <c r="D736" s="266"/>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ht="14.25" customHeight="1">
      <c r="A737" s="210"/>
      <c r="B737" s="210"/>
      <c r="C737" s="266"/>
      <c r="D737" s="266"/>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ht="14.25" customHeight="1">
      <c r="A738" s="210"/>
      <c r="B738" s="210"/>
      <c r="C738" s="266"/>
      <c r="D738" s="266"/>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ht="14.25" customHeight="1">
      <c r="A739" s="210"/>
      <c r="B739" s="210"/>
      <c r="C739" s="266"/>
      <c r="D739" s="266"/>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ht="14.25" customHeight="1">
      <c r="A740" s="210"/>
      <c r="B740" s="210"/>
      <c r="C740" s="266"/>
      <c r="D740" s="266"/>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ht="14.25" customHeight="1">
      <c r="A741" s="210"/>
      <c r="B741" s="210"/>
      <c r="C741" s="266"/>
      <c r="D741" s="266"/>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ht="14.25" customHeight="1">
      <c r="A742" s="210"/>
      <c r="B742" s="210"/>
      <c r="C742" s="266"/>
      <c r="D742" s="266"/>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ht="14.25" customHeight="1">
      <c r="A743" s="210"/>
      <c r="B743" s="210"/>
      <c r="C743" s="266"/>
      <c r="D743" s="266"/>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ht="14.25" customHeight="1">
      <c r="A744" s="210"/>
      <c r="B744" s="210"/>
      <c r="C744" s="266"/>
      <c r="D744" s="266"/>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ht="14.25" customHeight="1">
      <c r="A745" s="210"/>
      <c r="B745" s="210"/>
      <c r="C745" s="266"/>
      <c r="D745" s="266"/>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ht="14.25" customHeight="1">
      <c r="A746" s="210"/>
      <c r="B746" s="210"/>
      <c r="C746" s="266"/>
      <c r="D746" s="266"/>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ht="14.25" customHeight="1">
      <c r="A747" s="210"/>
      <c r="B747" s="210"/>
      <c r="C747" s="266"/>
      <c r="D747" s="266"/>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ht="14.25" customHeight="1">
      <c r="A748" s="210"/>
      <c r="B748" s="210"/>
      <c r="C748" s="266"/>
      <c r="D748" s="266"/>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ht="14.25" customHeight="1">
      <c r="A749" s="210"/>
      <c r="B749" s="210"/>
      <c r="C749" s="266"/>
      <c r="D749" s="266"/>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ht="14.25" customHeight="1">
      <c r="A750" s="210"/>
      <c r="B750" s="210"/>
      <c r="C750" s="266"/>
      <c r="D750" s="266"/>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ht="14.25" customHeight="1">
      <c r="A751" s="210"/>
      <c r="B751" s="210"/>
      <c r="C751" s="266"/>
      <c r="D751" s="266"/>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ht="14.25" customHeight="1">
      <c r="A752" s="210"/>
      <c r="B752" s="210"/>
      <c r="C752" s="266"/>
      <c r="D752" s="266"/>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ht="14.25" customHeight="1">
      <c r="A753" s="210"/>
      <c r="B753" s="210"/>
      <c r="C753" s="266"/>
      <c r="D753" s="266"/>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ht="14.25" customHeight="1">
      <c r="A754" s="210"/>
      <c r="B754" s="210"/>
      <c r="C754" s="266"/>
      <c r="D754" s="266"/>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ht="14.25" customHeight="1">
      <c r="A755" s="210"/>
      <c r="B755" s="210"/>
      <c r="C755" s="266"/>
      <c r="D755" s="266"/>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ht="14.25" customHeight="1">
      <c r="A756" s="210"/>
      <c r="B756" s="210"/>
      <c r="C756" s="266"/>
      <c r="D756" s="266"/>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ht="14.25" customHeight="1">
      <c r="A757" s="210"/>
      <c r="B757" s="210"/>
      <c r="C757" s="266"/>
      <c r="D757" s="266"/>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ht="14.25" customHeight="1">
      <c r="A758" s="210"/>
      <c r="B758" s="210"/>
      <c r="C758" s="266"/>
      <c r="D758" s="266"/>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ht="14.25" customHeight="1">
      <c r="A759" s="210"/>
      <c r="B759" s="210"/>
      <c r="C759" s="266"/>
      <c r="D759" s="266"/>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ht="14.25" customHeight="1">
      <c r="A760" s="210"/>
      <c r="B760" s="210"/>
      <c r="C760" s="266"/>
      <c r="D760" s="266"/>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ht="14.25" customHeight="1">
      <c r="A761" s="210"/>
      <c r="B761" s="210"/>
      <c r="C761" s="266"/>
      <c r="D761" s="266"/>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ht="14.25" customHeight="1">
      <c r="A762" s="210"/>
      <c r="B762" s="210"/>
      <c r="C762" s="266"/>
      <c r="D762" s="266"/>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ht="14.25" customHeight="1">
      <c r="A763" s="210"/>
      <c r="B763" s="210"/>
      <c r="C763" s="266"/>
      <c r="D763" s="266"/>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ht="14.25" customHeight="1">
      <c r="A764" s="210"/>
      <c r="B764" s="210"/>
      <c r="C764" s="266"/>
      <c r="D764" s="266"/>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ht="14.25" customHeight="1">
      <c r="A765" s="210"/>
      <c r="B765" s="210"/>
      <c r="C765" s="266"/>
      <c r="D765" s="266"/>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ht="14.25" customHeight="1">
      <c r="A766" s="210"/>
      <c r="B766" s="210"/>
      <c r="C766" s="266"/>
      <c r="D766" s="266"/>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ht="14.25" customHeight="1">
      <c r="A767" s="210"/>
      <c r="B767" s="210"/>
      <c r="C767" s="266"/>
      <c r="D767" s="266"/>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ht="14.25" customHeight="1">
      <c r="A768" s="210"/>
      <c r="B768" s="210"/>
      <c r="C768" s="266"/>
      <c r="D768" s="266"/>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ht="14.25" customHeight="1">
      <c r="A769" s="210"/>
      <c r="B769" s="210"/>
      <c r="C769" s="266"/>
      <c r="D769" s="266"/>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ht="14.25" customHeight="1">
      <c r="A770" s="210"/>
      <c r="B770" s="210"/>
      <c r="C770" s="266"/>
      <c r="D770" s="266"/>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ht="14.25" customHeight="1">
      <c r="A771" s="210"/>
      <c r="B771" s="210"/>
      <c r="C771" s="266"/>
      <c r="D771" s="266"/>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ht="14.25" customHeight="1">
      <c r="A772" s="210"/>
      <c r="B772" s="210"/>
      <c r="C772" s="266"/>
      <c r="D772" s="266"/>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ht="14.25" customHeight="1">
      <c r="A773" s="210"/>
      <c r="B773" s="210"/>
      <c r="C773" s="266"/>
      <c r="D773" s="266"/>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ht="14.25" customHeight="1">
      <c r="A774" s="210"/>
      <c r="B774" s="210"/>
      <c r="C774" s="266"/>
      <c r="D774" s="266"/>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ht="14.25" customHeight="1">
      <c r="A775" s="210"/>
      <c r="B775" s="210"/>
      <c r="C775" s="266"/>
      <c r="D775" s="266"/>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ht="14.25" customHeight="1">
      <c r="A776" s="210"/>
      <c r="B776" s="210"/>
      <c r="C776" s="266"/>
      <c r="D776" s="266"/>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ht="14.25" customHeight="1">
      <c r="A777" s="210"/>
      <c r="B777" s="210"/>
      <c r="C777" s="266"/>
      <c r="D777" s="266"/>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ht="14.25" customHeight="1">
      <c r="A778" s="210"/>
      <c r="B778" s="210"/>
      <c r="C778" s="266"/>
      <c r="D778" s="266"/>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ht="14.25" customHeight="1">
      <c r="A779" s="210"/>
      <c r="B779" s="210"/>
      <c r="C779" s="266"/>
      <c r="D779" s="266"/>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ht="14.25" customHeight="1">
      <c r="A780" s="210"/>
      <c r="B780" s="210"/>
      <c r="C780" s="266"/>
      <c r="D780" s="266"/>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ht="14.25" customHeight="1">
      <c r="A781" s="210"/>
      <c r="B781" s="210"/>
      <c r="C781" s="266"/>
      <c r="D781" s="266"/>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ht="14.25" customHeight="1">
      <c r="A782" s="210"/>
      <c r="B782" s="210"/>
      <c r="C782" s="266"/>
      <c r="D782" s="266"/>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ht="14.25" customHeight="1">
      <c r="A783" s="210"/>
      <c r="B783" s="210"/>
      <c r="C783" s="266"/>
      <c r="D783" s="266"/>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ht="14.25" customHeight="1">
      <c r="A784" s="210"/>
      <c r="B784" s="210"/>
      <c r="C784" s="266"/>
      <c r="D784" s="266"/>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ht="14.25" customHeight="1">
      <c r="A785" s="210"/>
      <c r="B785" s="210"/>
      <c r="C785" s="266"/>
      <c r="D785" s="266"/>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ht="14.25" customHeight="1">
      <c r="A786" s="210"/>
      <c r="B786" s="210"/>
      <c r="C786" s="266"/>
      <c r="D786" s="266"/>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ht="14.25" customHeight="1">
      <c r="A787" s="210"/>
      <c r="B787" s="210"/>
      <c r="C787" s="266"/>
      <c r="D787" s="266"/>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ht="14.25" customHeight="1">
      <c r="A788" s="210"/>
      <c r="B788" s="210"/>
      <c r="C788" s="266"/>
      <c r="D788" s="266"/>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ht="14.25" customHeight="1">
      <c r="A789" s="210"/>
      <c r="B789" s="210"/>
      <c r="C789" s="266"/>
      <c r="D789" s="266"/>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ht="14.25" customHeight="1">
      <c r="A790" s="210"/>
      <c r="B790" s="210"/>
      <c r="C790" s="266"/>
      <c r="D790" s="266"/>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ht="14.25" customHeight="1">
      <c r="A791" s="210"/>
      <c r="B791" s="210"/>
      <c r="C791" s="266"/>
      <c r="D791" s="266"/>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ht="14.25" customHeight="1">
      <c r="A792" s="210"/>
      <c r="B792" s="210"/>
      <c r="C792" s="266"/>
      <c r="D792" s="266"/>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ht="14.25" customHeight="1">
      <c r="A793" s="210"/>
      <c r="B793" s="210"/>
      <c r="C793" s="266"/>
      <c r="D793" s="266"/>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ht="14.25" customHeight="1">
      <c r="A794" s="210"/>
      <c r="B794" s="210"/>
      <c r="C794" s="266"/>
      <c r="D794" s="266"/>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ht="14.25" customHeight="1">
      <c r="A795" s="210"/>
      <c r="B795" s="210"/>
      <c r="C795" s="266"/>
      <c r="D795" s="266"/>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ht="14.25" customHeight="1">
      <c r="A796" s="210"/>
      <c r="B796" s="210"/>
      <c r="C796" s="266"/>
      <c r="D796" s="266"/>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ht="14.25" customHeight="1">
      <c r="A797" s="210"/>
      <c r="B797" s="210"/>
      <c r="C797" s="266"/>
      <c r="D797" s="266"/>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ht="14.25" customHeight="1">
      <c r="A798" s="210"/>
      <c r="B798" s="210"/>
      <c r="C798" s="266"/>
      <c r="D798" s="266"/>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ht="14.25" customHeight="1">
      <c r="A799" s="210"/>
      <c r="B799" s="210"/>
      <c r="C799" s="266"/>
      <c r="D799" s="266"/>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ht="14.25" customHeight="1">
      <c r="A800" s="210"/>
      <c r="B800" s="210"/>
      <c r="C800" s="266"/>
      <c r="D800" s="266"/>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ht="14.25" customHeight="1">
      <c r="A801" s="210"/>
      <c r="B801" s="210"/>
      <c r="C801" s="266"/>
      <c r="D801" s="266"/>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ht="14.25" customHeight="1">
      <c r="A802" s="210"/>
      <c r="B802" s="210"/>
      <c r="C802" s="266"/>
      <c r="D802" s="266"/>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ht="14.25" customHeight="1">
      <c r="A803" s="210"/>
      <c r="B803" s="210"/>
      <c r="C803" s="266"/>
      <c r="D803" s="266"/>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ht="14.25" customHeight="1">
      <c r="A804" s="210"/>
      <c r="B804" s="210"/>
      <c r="C804" s="266"/>
      <c r="D804" s="266"/>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ht="14.25" customHeight="1">
      <c r="A805" s="210"/>
      <c r="B805" s="210"/>
      <c r="C805" s="266"/>
      <c r="D805" s="266"/>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ht="14.25" customHeight="1">
      <c r="A806" s="210"/>
      <c r="B806" s="210"/>
      <c r="C806" s="266"/>
      <c r="D806" s="266"/>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ht="14.25" customHeight="1">
      <c r="A807" s="210"/>
      <c r="B807" s="210"/>
      <c r="C807" s="266"/>
      <c r="D807" s="266"/>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ht="14.25" customHeight="1">
      <c r="A808" s="210"/>
      <c r="B808" s="210"/>
      <c r="C808" s="266"/>
      <c r="D808" s="266"/>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ht="14.25" customHeight="1">
      <c r="A809" s="210"/>
      <c r="B809" s="210"/>
      <c r="C809" s="266"/>
      <c r="D809" s="266"/>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ht="14.25" customHeight="1">
      <c r="A810" s="210"/>
      <c r="B810" s="210"/>
      <c r="C810" s="266"/>
      <c r="D810" s="266"/>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ht="14.25" customHeight="1">
      <c r="A811" s="210"/>
      <c r="B811" s="210"/>
      <c r="C811" s="266"/>
      <c r="D811" s="266"/>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ht="14.25" customHeight="1">
      <c r="A812" s="210"/>
      <c r="B812" s="210"/>
      <c r="C812" s="266"/>
      <c r="D812" s="266"/>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ht="14.25" customHeight="1">
      <c r="A813" s="210"/>
      <c r="B813" s="210"/>
      <c r="C813" s="266"/>
      <c r="D813" s="266"/>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ht="14.25" customHeight="1">
      <c r="A814" s="210"/>
      <c r="B814" s="210"/>
      <c r="C814" s="266"/>
      <c r="D814" s="266"/>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ht="14.25" customHeight="1">
      <c r="A815" s="210"/>
      <c r="B815" s="210"/>
      <c r="C815" s="266"/>
      <c r="D815" s="266"/>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ht="14.25" customHeight="1">
      <c r="A816" s="210"/>
      <c r="B816" s="210"/>
      <c r="C816" s="266"/>
      <c r="D816" s="266"/>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ht="14.25" customHeight="1">
      <c r="A817" s="210"/>
      <c r="B817" s="210"/>
      <c r="C817" s="266"/>
      <c r="D817" s="266"/>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ht="14.25" customHeight="1">
      <c r="A818" s="210"/>
      <c r="B818" s="210"/>
      <c r="C818" s="266"/>
      <c r="D818" s="266"/>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ht="14.25" customHeight="1">
      <c r="A819" s="210"/>
      <c r="B819" s="210"/>
      <c r="C819" s="266"/>
      <c r="D819" s="266"/>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ht="14.25" customHeight="1">
      <c r="A820" s="210"/>
      <c r="B820" s="210"/>
      <c r="C820" s="266"/>
      <c r="D820" s="266"/>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ht="14.25" customHeight="1">
      <c r="A821" s="210"/>
      <c r="B821" s="210"/>
      <c r="C821" s="266"/>
      <c r="D821" s="266"/>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ht="14.25" customHeight="1">
      <c r="A822" s="210"/>
      <c r="B822" s="210"/>
      <c r="C822" s="266"/>
      <c r="D822" s="266"/>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ht="14.25" customHeight="1">
      <c r="A823" s="210"/>
      <c r="B823" s="210"/>
      <c r="C823" s="266"/>
      <c r="D823" s="266"/>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ht="14.25" customHeight="1">
      <c r="A824" s="210"/>
      <c r="B824" s="210"/>
      <c r="C824" s="266"/>
      <c r="D824" s="266"/>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ht="14.25" customHeight="1">
      <c r="A825" s="210"/>
      <c r="B825" s="210"/>
      <c r="C825" s="266"/>
      <c r="D825" s="266"/>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ht="14.25" customHeight="1">
      <c r="A826" s="210"/>
      <c r="B826" s="210"/>
      <c r="C826" s="266"/>
      <c r="D826" s="266"/>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ht="14.25" customHeight="1">
      <c r="A827" s="210"/>
      <c r="B827" s="210"/>
      <c r="C827" s="266"/>
      <c r="D827" s="266"/>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ht="14.25" customHeight="1">
      <c r="A828" s="210"/>
      <c r="B828" s="210"/>
      <c r="C828" s="266"/>
      <c r="D828" s="266"/>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ht="14.25" customHeight="1">
      <c r="A829" s="210"/>
      <c r="B829" s="210"/>
      <c r="C829" s="266"/>
      <c r="D829" s="266"/>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ht="14.25" customHeight="1">
      <c r="A830" s="210"/>
      <c r="B830" s="210"/>
      <c r="C830" s="266"/>
      <c r="D830" s="266"/>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ht="14.25" customHeight="1">
      <c r="A831" s="210"/>
      <c r="B831" s="210"/>
      <c r="C831" s="266"/>
      <c r="D831" s="266"/>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ht="14.25" customHeight="1">
      <c r="A832" s="210"/>
      <c r="B832" s="210"/>
      <c r="C832" s="266"/>
      <c r="D832" s="266"/>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ht="14.25" customHeight="1">
      <c r="A833" s="210"/>
      <c r="B833" s="210"/>
      <c r="C833" s="266"/>
      <c r="D833" s="266"/>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ht="14.25" customHeight="1">
      <c r="A834" s="210"/>
      <c r="B834" s="210"/>
      <c r="C834" s="266"/>
      <c r="D834" s="266"/>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ht="14.25" customHeight="1">
      <c r="A835" s="210"/>
      <c r="B835" s="210"/>
      <c r="C835" s="266"/>
      <c r="D835" s="266"/>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ht="14.25" customHeight="1">
      <c r="A836" s="210"/>
      <c r="B836" s="210"/>
      <c r="C836" s="266"/>
      <c r="D836" s="266"/>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ht="14.25" customHeight="1">
      <c r="A837" s="210"/>
      <c r="B837" s="210"/>
      <c r="C837" s="266"/>
      <c r="D837" s="266"/>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ht="14.25" customHeight="1">
      <c r="A838" s="210"/>
      <c r="B838" s="210"/>
      <c r="C838" s="266"/>
      <c r="D838" s="266"/>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ht="14.25" customHeight="1">
      <c r="A839" s="210"/>
      <c r="B839" s="210"/>
      <c r="C839" s="266"/>
      <c r="D839" s="266"/>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ht="14.25" customHeight="1">
      <c r="A840" s="210"/>
      <c r="B840" s="210"/>
      <c r="C840" s="266"/>
      <c r="D840" s="266"/>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ht="14.25" customHeight="1">
      <c r="A841" s="210"/>
      <c r="B841" s="210"/>
      <c r="C841" s="266"/>
      <c r="D841" s="266"/>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ht="14.25" customHeight="1">
      <c r="A842" s="210"/>
      <c r="B842" s="210"/>
      <c r="C842" s="266"/>
      <c r="D842" s="266"/>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ht="14.25" customHeight="1">
      <c r="A843" s="210"/>
      <c r="B843" s="210"/>
      <c r="C843" s="266"/>
      <c r="D843" s="266"/>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ht="14.25" customHeight="1">
      <c r="A844" s="210"/>
      <c r="B844" s="210"/>
      <c r="C844" s="266"/>
      <c r="D844" s="266"/>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ht="14.25" customHeight="1">
      <c r="A845" s="210"/>
      <c r="B845" s="210"/>
      <c r="C845" s="266"/>
      <c r="D845" s="266"/>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ht="14.25" customHeight="1">
      <c r="A846" s="210"/>
      <c r="B846" s="210"/>
      <c r="C846" s="266"/>
      <c r="D846" s="266"/>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ht="14.25" customHeight="1">
      <c r="A847" s="210"/>
      <c r="B847" s="210"/>
      <c r="C847" s="266"/>
      <c r="D847" s="266"/>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ht="14.25" customHeight="1">
      <c r="A848" s="210"/>
      <c r="B848" s="210"/>
      <c r="C848" s="266"/>
      <c r="D848" s="266"/>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ht="14.25" customHeight="1">
      <c r="A849" s="210"/>
      <c r="B849" s="210"/>
      <c r="C849" s="266"/>
      <c r="D849" s="266"/>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ht="14.25" customHeight="1">
      <c r="A850" s="210"/>
      <c r="B850" s="210"/>
      <c r="C850" s="266"/>
      <c r="D850" s="266"/>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ht="14.25" customHeight="1">
      <c r="A851" s="210"/>
      <c r="B851" s="210"/>
      <c r="C851" s="266"/>
      <c r="D851" s="266"/>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ht="14.25" customHeight="1">
      <c r="A852" s="210"/>
      <c r="B852" s="210"/>
      <c r="C852" s="266"/>
      <c r="D852" s="266"/>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ht="14.25" customHeight="1">
      <c r="A853" s="210"/>
      <c r="B853" s="210"/>
      <c r="C853" s="266"/>
      <c r="D853" s="266"/>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ht="14.25" customHeight="1">
      <c r="A854" s="210"/>
      <c r="B854" s="210"/>
      <c r="C854" s="266"/>
      <c r="D854" s="266"/>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ht="14.25" customHeight="1">
      <c r="A855" s="210"/>
      <c r="B855" s="210"/>
      <c r="C855" s="266"/>
      <c r="D855" s="266"/>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ht="14.25" customHeight="1">
      <c r="A856" s="210"/>
      <c r="B856" s="210"/>
      <c r="C856" s="266"/>
      <c r="D856" s="266"/>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ht="14.25" customHeight="1">
      <c r="A857" s="210"/>
      <c r="B857" s="210"/>
      <c r="C857" s="266"/>
      <c r="D857" s="266"/>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ht="14.25" customHeight="1">
      <c r="A858" s="210"/>
      <c r="B858" s="210"/>
      <c r="C858" s="266"/>
      <c r="D858" s="266"/>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ht="14.25" customHeight="1">
      <c r="A859" s="210"/>
      <c r="B859" s="210"/>
      <c r="C859" s="266"/>
      <c r="D859" s="266"/>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ht="14.25" customHeight="1">
      <c r="A860" s="210"/>
      <c r="B860" s="210"/>
      <c r="C860" s="266"/>
      <c r="D860" s="266"/>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ht="14.25" customHeight="1">
      <c r="A861" s="210"/>
      <c r="B861" s="210"/>
      <c r="C861" s="266"/>
      <c r="D861" s="266"/>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ht="14.25" customHeight="1">
      <c r="A862" s="210"/>
      <c r="B862" s="210"/>
      <c r="C862" s="266"/>
      <c r="D862" s="266"/>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ht="14.25" customHeight="1">
      <c r="A863" s="210"/>
      <c r="B863" s="210"/>
      <c r="C863" s="266"/>
      <c r="D863" s="266"/>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ht="14.25" customHeight="1">
      <c r="A864" s="210"/>
      <c r="B864" s="210"/>
      <c r="C864" s="266"/>
      <c r="D864" s="266"/>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ht="14.25" customHeight="1">
      <c r="A865" s="210"/>
      <c r="B865" s="210"/>
      <c r="C865" s="266"/>
      <c r="D865" s="266"/>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ht="14.25" customHeight="1">
      <c r="A866" s="210"/>
      <c r="B866" s="210"/>
      <c r="C866" s="266"/>
      <c r="D866" s="266"/>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ht="14.25" customHeight="1">
      <c r="A867" s="210"/>
      <c r="B867" s="210"/>
      <c r="C867" s="266"/>
      <c r="D867" s="266"/>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ht="14.25" customHeight="1">
      <c r="A868" s="210"/>
      <c r="B868" s="210"/>
      <c r="C868" s="266"/>
      <c r="D868" s="266"/>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ht="14.25" customHeight="1">
      <c r="A869" s="210"/>
      <c r="B869" s="210"/>
      <c r="C869" s="266"/>
      <c r="D869" s="266"/>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ht="14.25" customHeight="1">
      <c r="A870" s="210"/>
      <c r="B870" s="210"/>
      <c r="C870" s="266"/>
      <c r="D870" s="266"/>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ht="14.25" customHeight="1">
      <c r="A871" s="210"/>
      <c r="B871" s="210"/>
      <c r="C871" s="266"/>
      <c r="D871" s="266"/>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ht="14.25" customHeight="1">
      <c r="A872" s="210"/>
      <c r="B872" s="210"/>
      <c r="C872" s="266"/>
      <c r="D872" s="266"/>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ht="14.25" customHeight="1">
      <c r="A873" s="210"/>
      <c r="B873" s="210"/>
      <c r="C873" s="266"/>
      <c r="D873" s="266"/>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ht="14.25" customHeight="1">
      <c r="A874" s="210"/>
      <c r="B874" s="210"/>
      <c r="C874" s="266"/>
      <c r="D874" s="266"/>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ht="14.25" customHeight="1">
      <c r="A875" s="210"/>
      <c r="B875" s="210"/>
      <c r="C875" s="266"/>
      <c r="D875" s="266"/>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ht="14.25" customHeight="1">
      <c r="A876" s="210"/>
      <c r="B876" s="210"/>
      <c r="C876" s="266"/>
      <c r="D876" s="266"/>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ht="14.25" customHeight="1">
      <c r="A877" s="210"/>
      <c r="B877" s="210"/>
      <c r="C877" s="266"/>
      <c r="D877" s="266"/>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ht="14.25" customHeight="1">
      <c r="A878" s="210"/>
      <c r="B878" s="210"/>
      <c r="C878" s="266"/>
      <c r="D878" s="266"/>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ht="14.25" customHeight="1">
      <c r="A879" s="210"/>
      <c r="B879" s="210"/>
      <c r="C879" s="266"/>
      <c r="D879" s="266"/>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ht="14.25" customHeight="1">
      <c r="A880" s="210"/>
      <c r="B880" s="210"/>
      <c r="C880" s="266"/>
      <c r="D880" s="266"/>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ht="14.25" customHeight="1">
      <c r="A881" s="210"/>
      <c r="B881" s="210"/>
      <c r="C881" s="266"/>
      <c r="D881" s="266"/>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ht="14.25" customHeight="1">
      <c r="A882" s="210"/>
      <c r="B882" s="210"/>
      <c r="C882" s="266"/>
      <c r="D882" s="266"/>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ht="14.25" customHeight="1">
      <c r="A883" s="210"/>
      <c r="B883" s="210"/>
      <c r="C883" s="266"/>
      <c r="D883" s="266"/>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ht="14.25" customHeight="1">
      <c r="A884" s="210"/>
      <c r="B884" s="210"/>
      <c r="C884" s="266"/>
      <c r="D884" s="266"/>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ht="14.25" customHeight="1">
      <c r="A885" s="210"/>
      <c r="B885" s="210"/>
      <c r="C885" s="266"/>
      <c r="D885" s="266"/>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ht="14.25" customHeight="1">
      <c r="A886" s="210"/>
      <c r="B886" s="210"/>
      <c r="C886" s="266"/>
      <c r="D886" s="266"/>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ht="14.25" customHeight="1">
      <c r="A887" s="210"/>
      <c r="B887" s="210"/>
      <c r="C887" s="266"/>
      <c r="D887" s="266"/>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ht="14.25" customHeight="1">
      <c r="A888" s="210"/>
      <c r="B888" s="210"/>
      <c r="C888" s="266"/>
      <c r="D888" s="266"/>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ht="14.25" customHeight="1">
      <c r="A889" s="210"/>
      <c r="B889" s="210"/>
      <c r="C889" s="266"/>
      <c r="D889" s="266"/>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ht="14.25" customHeight="1">
      <c r="A890" s="210"/>
      <c r="B890" s="210"/>
      <c r="C890" s="266"/>
      <c r="D890" s="266"/>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ht="14.25" customHeight="1">
      <c r="A891" s="210"/>
      <c r="B891" s="210"/>
      <c r="C891" s="266"/>
      <c r="D891" s="266"/>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ht="14.25" customHeight="1">
      <c r="A892" s="210"/>
      <c r="B892" s="210"/>
      <c r="C892" s="266"/>
      <c r="D892" s="266"/>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ht="14.25" customHeight="1">
      <c r="A893" s="210"/>
      <c r="B893" s="210"/>
      <c r="C893" s="266"/>
      <c r="D893" s="266"/>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ht="14.25" customHeight="1">
      <c r="A894" s="210"/>
      <c r="B894" s="210"/>
      <c r="C894" s="266"/>
      <c r="D894" s="266"/>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ht="14.25" customHeight="1">
      <c r="A895" s="210"/>
      <c r="B895" s="210"/>
      <c r="C895" s="266"/>
      <c r="D895" s="266"/>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ht="14.25" customHeight="1">
      <c r="A896" s="210"/>
      <c r="B896" s="210"/>
      <c r="C896" s="266"/>
      <c r="D896" s="266"/>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ht="14.25" customHeight="1">
      <c r="A897" s="210"/>
      <c r="B897" s="210"/>
      <c r="C897" s="266"/>
      <c r="D897" s="266"/>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ht="14.25" customHeight="1">
      <c r="A898" s="210"/>
      <c r="B898" s="210"/>
      <c r="C898" s="266"/>
      <c r="D898" s="266"/>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ht="14.25" customHeight="1">
      <c r="A899" s="210"/>
      <c r="B899" s="210"/>
      <c r="C899" s="266"/>
      <c r="D899" s="266"/>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ht="14.25" customHeight="1">
      <c r="A900" s="210"/>
      <c r="B900" s="210"/>
      <c r="C900" s="266"/>
      <c r="D900" s="266"/>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ht="14.25" customHeight="1">
      <c r="A901" s="210"/>
      <c r="B901" s="210"/>
      <c r="C901" s="266"/>
      <c r="D901" s="266"/>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ht="14.25" customHeight="1">
      <c r="A902" s="210"/>
      <c r="B902" s="210"/>
      <c r="C902" s="266"/>
      <c r="D902" s="266"/>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ht="14.25" customHeight="1">
      <c r="A903" s="210"/>
      <c r="B903" s="210"/>
      <c r="C903" s="266"/>
      <c r="D903" s="266"/>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ht="14.25" customHeight="1">
      <c r="A904" s="210"/>
      <c r="B904" s="210"/>
      <c r="C904" s="266"/>
      <c r="D904" s="266"/>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ht="14.25" customHeight="1">
      <c r="A905" s="210"/>
      <c r="B905" s="210"/>
      <c r="C905" s="266"/>
      <c r="D905" s="266"/>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ht="14.25" customHeight="1">
      <c r="A906" s="210"/>
      <c r="B906" s="210"/>
      <c r="C906" s="266"/>
      <c r="D906" s="266"/>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ht="14.25" customHeight="1">
      <c r="A907" s="210"/>
      <c r="B907" s="210"/>
      <c r="C907" s="266"/>
      <c r="D907" s="266"/>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ht="14.25" customHeight="1">
      <c r="A908" s="210"/>
      <c r="B908" s="210"/>
      <c r="C908" s="266"/>
      <c r="D908" s="266"/>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ht="14.25" customHeight="1">
      <c r="A909" s="210"/>
      <c r="B909" s="210"/>
      <c r="C909" s="266"/>
      <c r="D909" s="266"/>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ht="14.25" customHeight="1">
      <c r="A910" s="210"/>
      <c r="B910" s="210"/>
      <c r="C910" s="266"/>
      <c r="D910" s="266"/>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ht="14.25" customHeight="1">
      <c r="A911" s="210"/>
      <c r="B911" s="210"/>
      <c r="C911" s="266"/>
      <c r="D911" s="266"/>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ht="14.25" customHeight="1">
      <c r="A912" s="210"/>
      <c r="B912" s="210"/>
      <c r="C912" s="266"/>
      <c r="D912" s="266"/>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ht="14.25" customHeight="1">
      <c r="A913" s="210"/>
      <c r="B913" s="210"/>
      <c r="C913" s="266"/>
      <c r="D913" s="266"/>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ht="14.25" customHeight="1">
      <c r="A914" s="210"/>
      <c r="B914" s="210"/>
      <c r="C914" s="266"/>
      <c r="D914" s="266"/>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ht="14.25" customHeight="1">
      <c r="A915" s="210"/>
      <c r="B915" s="210"/>
      <c r="C915" s="266"/>
      <c r="D915" s="266"/>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ht="14.25" customHeight="1">
      <c r="A916" s="210"/>
      <c r="B916" s="210"/>
      <c r="C916" s="266"/>
      <c r="D916" s="266"/>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ht="14.25" customHeight="1">
      <c r="A917" s="210"/>
      <c r="B917" s="210"/>
      <c r="C917" s="266"/>
      <c r="D917" s="266"/>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ht="14.25" customHeight="1">
      <c r="A918" s="210"/>
      <c r="B918" s="210"/>
      <c r="C918" s="266"/>
      <c r="D918" s="266"/>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ht="14.25" customHeight="1">
      <c r="A919" s="210"/>
      <c r="B919" s="210"/>
      <c r="C919" s="266"/>
      <c r="D919" s="266"/>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ht="14.25" customHeight="1">
      <c r="A920" s="210"/>
      <c r="B920" s="210"/>
      <c r="C920" s="266"/>
      <c r="D920" s="266"/>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ht="14.25" customHeight="1">
      <c r="A921" s="210"/>
      <c r="B921" s="210"/>
      <c r="C921" s="266"/>
      <c r="D921" s="266"/>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ht="14.25" customHeight="1">
      <c r="A922" s="210"/>
      <c r="B922" s="210"/>
      <c r="C922" s="266"/>
      <c r="D922" s="266"/>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ht="14.25" customHeight="1">
      <c r="A923" s="210"/>
      <c r="B923" s="210"/>
      <c r="C923" s="266"/>
      <c r="D923" s="266"/>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ht="14.25" customHeight="1">
      <c r="A924" s="210"/>
      <c r="B924" s="210"/>
      <c r="C924" s="266"/>
      <c r="D924" s="266"/>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ht="14.25" customHeight="1">
      <c r="A925" s="210"/>
      <c r="B925" s="210"/>
      <c r="C925" s="266"/>
      <c r="D925" s="266"/>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ht="14.25" customHeight="1">
      <c r="A926" s="210"/>
      <c r="B926" s="210"/>
      <c r="C926" s="266"/>
      <c r="D926" s="266"/>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ht="14.25" customHeight="1">
      <c r="A927" s="210"/>
      <c r="B927" s="210"/>
      <c r="C927" s="266"/>
      <c r="D927" s="266"/>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ht="14.25" customHeight="1">
      <c r="A928" s="210"/>
      <c r="B928" s="210"/>
      <c r="C928" s="266"/>
      <c r="D928" s="266"/>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ht="14.25" customHeight="1">
      <c r="A929" s="210"/>
      <c r="B929" s="210"/>
      <c r="C929" s="266"/>
      <c r="D929" s="266"/>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ht="14.25" customHeight="1">
      <c r="A930" s="210"/>
      <c r="B930" s="210"/>
      <c r="C930" s="266"/>
      <c r="D930" s="266"/>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ht="14.25" customHeight="1">
      <c r="A931" s="210"/>
      <c r="B931" s="210"/>
      <c r="C931" s="266"/>
      <c r="D931" s="266"/>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ht="14.25" customHeight="1">
      <c r="A932" s="210"/>
      <c r="B932" s="210"/>
      <c r="C932" s="266"/>
      <c r="D932" s="266"/>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ht="14.25" customHeight="1">
      <c r="A933" s="210"/>
      <c r="B933" s="210"/>
      <c r="C933" s="266"/>
      <c r="D933" s="266"/>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ht="14.25" customHeight="1">
      <c r="A934" s="210"/>
      <c r="B934" s="210"/>
      <c r="C934" s="266"/>
      <c r="D934" s="266"/>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ht="14.25" customHeight="1">
      <c r="A935" s="210"/>
      <c r="B935" s="210"/>
      <c r="C935" s="266"/>
      <c r="D935" s="266"/>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ht="14.25" customHeight="1">
      <c r="A936" s="210"/>
      <c r="B936" s="210"/>
      <c r="C936" s="266"/>
      <c r="D936" s="266"/>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ht="14.25" customHeight="1">
      <c r="A937" s="210"/>
      <c r="B937" s="210"/>
      <c r="C937" s="266"/>
      <c r="D937" s="266"/>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ht="14.25" customHeight="1">
      <c r="A938" s="210"/>
      <c r="B938" s="210"/>
      <c r="C938" s="266"/>
      <c r="D938" s="266"/>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ht="14.25" customHeight="1">
      <c r="A939" s="210"/>
      <c r="B939" s="210"/>
      <c r="C939" s="266"/>
      <c r="D939" s="266"/>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ht="14.25" customHeight="1">
      <c r="A940" s="210"/>
      <c r="B940" s="210"/>
      <c r="C940" s="266"/>
      <c r="D940" s="266"/>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ht="14.25" customHeight="1">
      <c r="A941" s="210"/>
      <c r="B941" s="210"/>
      <c r="C941" s="266"/>
      <c r="D941" s="266"/>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ht="14.25" customHeight="1">
      <c r="A942" s="210"/>
      <c r="B942" s="210"/>
      <c r="C942" s="266"/>
      <c r="D942" s="266"/>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ht="14.25" customHeight="1">
      <c r="A943" s="210"/>
      <c r="B943" s="210"/>
      <c r="C943" s="266"/>
      <c r="D943" s="266"/>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ht="14.25" customHeight="1">
      <c r="A944" s="210"/>
      <c r="B944" s="210"/>
      <c r="C944" s="266"/>
      <c r="D944" s="266"/>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ht="14.25" customHeight="1">
      <c r="A945" s="210"/>
      <c r="B945" s="210"/>
      <c r="C945" s="266"/>
      <c r="D945" s="266"/>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ht="14.25" customHeight="1">
      <c r="A946" s="210"/>
      <c r="B946" s="210"/>
      <c r="C946" s="266"/>
      <c r="D946" s="266"/>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ht="14.25" customHeight="1">
      <c r="A947" s="210"/>
      <c r="B947" s="210"/>
      <c r="C947" s="266"/>
      <c r="D947" s="266"/>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ht="14.25" customHeight="1">
      <c r="A948" s="210"/>
      <c r="B948" s="210"/>
      <c r="C948" s="266"/>
      <c r="D948" s="266"/>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ht="14.25" customHeight="1">
      <c r="A949" s="210"/>
      <c r="B949" s="210"/>
      <c r="C949" s="266"/>
      <c r="D949" s="266"/>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ht="14.25" customHeight="1">
      <c r="A950" s="210"/>
      <c r="B950" s="210"/>
      <c r="C950" s="266"/>
      <c r="D950" s="266"/>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ht="14.25" customHeight="1">
      <c r="A951" s="210"/>
      <c r="B951" s="210"/>
      <c r="C951" s="266"/>
      <c r="D951" s="266"/>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ht="14.25" customHeight="1">
      <c r="A952" s="210"/>
      <c r="B952" s="210"/>
      <c r="C952" s="266"/>
      <c r="D952" s="266"/>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ht="14.25" customHeight="1">
      <c r="A953" s="210"/>
      <c r="B953" s="210"/>
      <c r="C953" s="266"/>
      <c r="D953" s="266"/>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ht="14.25" customHeight="1">
      <c r="A954" s="210"/>
      <c r="B954" s="210"/>
      <c r="C954" s="266"/>
      <c r="D954" s="266"/>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ht="14.25" customHeight="1">
      <c r="A955" s="210"/>
      <c r="B955" s="210"/>
      <c r="C955" s="266"/>
      <c r="D955" s="266"/>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ht="14.25" customHeight="1">
      <c r="A956" s="210"/>
      <c r="B956" s="210"/>
      <c r="C956" s="266"/>
      <c r="D956" s="266"/>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ht="14.25" customHeight="1">
      <c r="A957" s="210"/>
      <c r="B957" s="210"/>
      <c r="C957" s="266"/>
      <c r="D957" s="266"/>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ht="14.25" customHeight="1">
      <c r="A958" s="210"/>
      <c r="B958" s="210"/>
      <c r="C958" s="266"/>
      <c r="D958" s="266"/>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ht="14.25" customHeight="1">
      <c r="A959" s="210"/>
      <c r="B959" s="210"/>
      <c r="C959" s="266"/>
      <c r="D959" s="266"/>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ht="14.25" customHeight="1">
      <c r="A960" s="210"/>
      <c r="B960" s="210"/>
      <c r="C960" s="266"/>
      <c r="D960" s="266"/>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ht="14.25" customHeight="1">
      <c r="A961" s="210"/>
      <c r="B961" s="210"/>
      <c r="C961" s="266"/>
      <c r="D961" s="266"/>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ht="14.25" customHeight="1">
      <c r="A962" s="210"/>
      <c r="B962" s="210"/>
      <c r="C962" s="266"/>
      <c r="D962" s="266"/>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ht="14.25" customHeight="1">
      <c r="A963" s="210"/>
      <c r="B963" s="210"/>
      <c r="C963" s="266"/>
      <c r="D963" s="266"/>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ht="14.25" customHeight="1">
      <c r="A964" s="210"/>
      <c r="B964" s="210"/>
      <c r="C964" s="266"/>
      <c r="D964" s="266"/>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ht="14.25" customHeight="1">
      <c r="A965" s="210"/>
      <c r="B965" s="210"/>
      <c r="C965" s="266"/>
      <c r="D965" s="266"/>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ht="14.25" customHeight="1">
      <c r="A966" s="210"/>
      <c r="B966" s="210"/>
      <c r="C966" s="266"/>
      <c r="D966" s="266"/>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ht="14.25" customHeight="1">
      <c r="A967" s="210"/>
      <c r="B967" s="210"/>
      <c r="C967" s="266"/>
      <c r="D967" s="266"/>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ht="14.25" customHeight="1">
      <c r="A968" s="210"/>
      <c r="B968" s="210"/>
      <c r="C968" s="266"/>
      <c r="D968" s="266"/>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ht="14.25" customHeight="1">
      <c r="A969" s="210"/>
      <c r="B969" s="210"/>
      <c r="C969" s="266"/>
      <c r="D969" s="266"/>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ht="14.25" customHeight="1">
      <c r="A970" s="210"/>
      <c r="B970" s="210"/>
      <c r="C970" s="266"/>
      <c r="D970" s="266"/>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ht="14.25" customHeight="1">
      <c r="A971" s="210"/>
      <c r="B971" s="210"/>
      <c r="C971" s="266"/>
      <c r="D971" s="266"/>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ht="14.25" customHeight="1">
      <c r="A972" s="210"/>
      <c r="B972" s="210"/>
      <c r="C972" s="266"/>
      <c r="D972" s="266"/>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ht="14.25" customHeight="1">
      <c r="A973" s="210"/>
      <c r="B973" s="210"/>
      <c r="C973" s="266"/>
      <c r="D973" s="266"/>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ht="14.25" customHeight="1">
      <c r="A974" s="210"/>
      <c r="B974" s="210"/>
      <c r="C974" s="266"/>
      <c r="D974" s="266"/>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ht="14.25" customHeight="1">
      <c r="A975" s="210"/>
      <c r="B975" s="210"/>
      <c r="C975" s="266"/>
      <c r="D975" s="266"/>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ht="14.25" customHeight="1">
      <c r="A976" s="210"/>
      <c r="B976" s="210"/>
      <c r="C976" s="266"/>
      <c r="D976" s="266"/>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ht="14.25" customHeight="1">
      <c r="A977" s="210"/>
      <c r="B977" s="210"/>
      <c r="C977" s="266"/>
      <c r="D977" s="266"/>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ht="14.25" customHeight="1">
      <c r="A978" s="210"/>
      <c r="B978" s="210"/>
      <c r="C978" s="266"/>
      <c r="D978" s="266"/>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ht="14.25" customHeight="1">
      <c r="A979" s="210"/>
      <c r="B979" s="210"/>
      <c r="C979" s="266"/>
      <c r="D979" s="266"/>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ht="14.25" customHeight="1">
      <c r="A980" s="210"/>
      <c r="B980" s="210"/>
      <c r="C980" s="266"/>
      <c r="D980" s="266"/>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ht="14.25" customHeight="1">
      <c r="A981" s="210"/>
      <c r="B981" s="210"/>
      <c r="C981" s="266"/>
      <c r="D981" s="266"/>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ht="14.25" customHeight="1">
      <c r="A982" s="210"/>
      <c r="B982" s="210"/>
      <c r="C982" s="266"/>
      <c r="D982" s="266"/>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ht="14.25" customHeight="1">
      <c r="A983" s="210"/>
      <c r="B983" s="210"/>
      <c r="C983" s="266"/>
      <c r="D983" s="266"/>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ht="14.25" customHeight="1">
      <c r="A984" s="210"/>
      <c r="B984" s="210"/>
      <c r="C984" s="266"/>
      <c r="D984" s="266"/>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ht="14.25" customHeight="1">
      <c r="A985" s="210"/>
      <c r="B985" s="210"/>
      <c r="C985" s="266"/>
      <c r="D985" s="266"/>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ht="14.25" customHeight="1">
      <c r="A986" s="210"/>
      <c r="B986" s="210"/>
      <c r="C986" s="266"/>
      <c r="D986" s="266"/>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ht="14.25" customHeight="1">
      <c r="A987" s="210"/>
      <c r="B987" s="210"/>
      <c r="C987" s="266"/>
      <c r="D987" s="266"/>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ht="14.25" customHeight="1">
      <c r="A988" s="210"/>
      <c r="B988" s="210"/>
      <c r="C988" s="266"/>
      <c r="D988" s="266"/>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ht="14.25" customHeight="1">
      <c r="A989" s="210"/>
      <c r="B989" s="210"/>
      <c r="C989" s="266"/>
      <c r="D989" s="266"/>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ht="14.25" customHeight="1">
      <c r="A990" s="210"/>
      <c r="B990" s="210"/>
      <c r="C990" s="266"/>
      <c r="D990" s="266"/>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ht="14.25" customHeight="1">
      <c r="A991" s="210"/>
      <c r="B991" s="210"/>
      <c r="C991" s="266"/>
      <c r="D991" s="266"/>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ht="14.25" customHeight="1">
      <c r="A992" s="210"/>
      <c r="B992" s="210"/>
      <c r="C992" s="266"/>
      <c r="D992" s="266"/>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ht="14.25" customHeight="1">
      <c r="A993" s="210"/>
      <c r="B993" s="210"/>
      <c r="C993" s="266"/>
      <c r="D993" s="266"/>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ht="14.25" customHeight="1">
      <c r="A994" s="210"/>
      <c r="B994" s="210"/>
      <c r="C994" s="266"/>
      <c r="D994" s="266"/>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ht="14.25" customHeight="1">
      <c r="A995" s="210"/>
      <c r="B995" s="210"/>
      <c r="C995" s="266"/>
      <c r="D995" s="266"/>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ht="14.25" customHeight="1">
      <c r="A996" s="210"/>
      <c r="B996" s="210"/>
      <c r="C996" s="266"/>
      <c r="D996" s="266"/>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ht="14.25" customHeight="1">
      <c r="A997" s="210"/>
      <c r="B997" s="210"/>
      <c r="C997" s="266"/>
      <c r="D997" s="266"/>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ht="14.25" customHeight="1">
      <c r="A998" s="210"/>
      <c r="B998" s="210"/>
      <c r="C998" s="266"/>
      <c r="D998" s="266"/>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ht="14.25" customHeight="1">
      <c r="A999" s="210"/>
      <c r="B999" s="210"/>
      <c r="C999" s="266"/>
      <c r="D999" s="266"/>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ht="14.25" customHeight="1">
      <c r="A1000" s="210"/>
      <c r="B1000" s="210"/>
      <c r="C1000" s="266"/>
      <c r="D1000" s="266"/>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1">
    <mergeCell ref="A1:B1"/>
  </mergeCells>
  <conditionalFormatting sqref="B4:D23">
    <cfRule type="expression" dxfId="1" priority="1">
      <formula>$I4</formula>
    </cfRule>
  </conditionalFormatting>
  <conditionalFormatting sqref="B24:D33">
    <cfRule type="expression" dxfId="1" priority="2">
      <formula>$I24</formula>
    </cfRule>
  </conditionalFormatting>
  <conditionalFormatting sqref="B34:D38">
    <cfRule type="expression" dxfId="1" priority="3">
      <formula>$I34</formula>
    </cfRule>
  </conditionalFormatting>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7" width="15.86"/>
    <col customWidth="1" min="8" max="26" width="8.0"/>
  </cols>
  <sheetData>
    <row r="1" ht="36.0" customHeight="1">
      <c r="A1" s="318" t="str">
        <f>+Setup!B27</f>
        <v>QuadKids Club</v>
      </c>
    </row>
    <row r="2">
      <c r="B2" s="319" t="s">
        <v>398</v>
      </c>
      <c r="C2" s="320"/>
      <c r="D2" s="320"/>
      <c r="E2" s="320"/>
    </row>
    <row r="3" ht="24.75" customHeight="1">
      <c r="A3" s="321" t="s">
        <v>318</v>
      </c>
      <c r="B3" s="322" t="str">
        <f>+Setup!B30</f>
        <v>75m</v>
      </c>
      <c r="C3" s="322" t="str">
        <f>+Setup!C30</f>
        <v>600m</v>
      </c>
      <c r="D3" s="322" t="str">
        <f>+Setup!D30</f>
        <v>Long_Jump</v>
      </c>
      <c r="E3" s="322" t="str">
        <f>+Setup!E30</f>
        <v>Howler</v>
      </c>
      <c r="F3" s="465"/>
      <c r="G3" s="323" t="s">
        <v>318</v>
      </c>
    </row>
    <row r="4" hidden="1">
      <c r="A4" s="49" t="s">
        <v>73</v>
      </c>
      <c r="B4" s="46">
        <f>+Setup!B33</f>
        <v>0.1</v>
      </c>
      <c r="C4" s="46">
        <f>+Setup!C33</f>
        <v>0.01</v>
      </c>
      <c r="D4" s="46">
        <f>+Setup!D33</f>
        <v>0.03</v>
      </c>
      <c r="E4" s="46">
        <f>+Setup!E33</f>
        <v>0.5</v>
      </c>
      <c r="F4" s="466"/>
      <c r="G4" s="45" t="str">
        <f t="shared" ref="G4:G97" si="1">+A4</f>
        <v>INC</v>
      </c>
    </row>
    <row r="5">
      <c r="A5" s="324" t="s">
        <v>355</v>
      </c>
      <c r="B5" s="325">
        <f>+Setup!B31</f>
        <v>16</v>
      </c>
      <c r="C5" s="325">
        <f>+Setup!C31</f>
        <v>3</v>
      </c>
      <c r="D5" s="325">
        <f>+Setup!D31</f>
        <v>2.2</v>
      </c>
      <c r="E5" s="325">
        <f>+Setup!E31</f>
        <v>5</v>
      </c>
      <c r="F5" s="467"/>
      <c r="G5" s="326" t="str">
        <f t="shared" si="1"/>
        <v>MIN</v>
      </c>
    </row>
    <row r="6">
      <c r="A6" s="324" t="s">
        <v>356</v>
      </c>
      <c r="B6" s="325">
        <f t="shared" ref="B6:E6" si="2">+B97</f>
        <v>7</v>
      </c>
      <c r="C6" s="325">
        <f t="shared" si="2"/>
        <v>1.3</v>
      </c>
      <c r="D6" s="325">
        <f t="shared" si="2"/>
        <v>4.9</v>
      </c>
      <c r="E6" s="325">
        <f t="shared" si="2"/>
        <v>50</v>
      </c>
      <c r="F6" s="467"/>
      <c r="G6" s="326" t="str">
        <f t="shared" si="1"/>
        <v>MAX</v>
      </c>
    </row>
    <row r="7" ht="12.0" customHeight="1">
      <c r="A7" s="49">
        <f>+MinPoints</f>
        <v>10</v>
      </c>
      <c r="B7" s="46">
        <f t="shared" ref="B7:E7" si="3">+B5</f>
        <v>16</v>
      </c>
      <c r="C7" s="46">
        <f t="shared" si="3"/>
        <v>3</v>
      </c>
      <c r="D7" s="46">
        <f t="shared" si="3"/>
        <v>2.2</v>
      </c>
      <c r="E7" s="46">
        <f t="shared" si="3"/>
        <v>5</v>
      </c>
      <c r="F7" s="466"/>
      <c r="G7" s="45">
        <f t="shared" si="1"/>
        <v>10</v>
      </c>
    </row>
    <row r="8" ht="12.0" customHeight="1">
      <c r="A8" s="49">
        <f t="shared" ref="A8:A97" si="4">+A7+1</f>
        <v>11</v>
      </c>
      <c r="B8" s="46">
        <f t="shared" ref="B8:B97" si="5">+B7-$B$4</f>
        <v>15.9</v>
      </c>
      <c r="C8" s="46">
        <f t="shared" ref="C8:C97" si="6">IF(MOD(C7-$C$4,1)&gt;0.59,C7-0.41,C7-$C$4)</f>
        <v>2.59</v>
      </c>
      <c r="D8" s="46">
        <f t="shared" ref="D8:D97" si="7">+D7+$D$4</f>
        <v>2.23</v>
      </c>
      <c r="E8" s="46">
        <f t="shared" ref="E8:E97" si="8">+E7+$E$4</f>
        <v>5.5</v>
      </c>
      <c r="F8" s="466"/>
      <c r="G8" s="45">
        <f t="shared" si="1"/>
        <v>11</v>
      </c>
    </row>
    <row r="9" ht="12.0" customHeight="1">
      <c r="A9" s="49">
        <f t="shared" si="4"/>
        <v>12</v>
      </c>
      <c r="B9" s="46">
        <f t="shared" si="5"/>
        <v>15.8</v>
      </c>
      <c r="C9" s="46">
        <f t="shared" si="6"/>
        <v>2.58</v>
      </c>
      <c r="D9" s="46">
        <f t="shared" si="7"/>
        <v>2.26</v>
      </c>
      <c r="E9" s="46">
        <f t="shared" si="8"/>
        <v>6</v>
      </c>
      <c r="F9" s="466"/>
      <c r="G9" s="45">
        <f t="shared" si="1"/>
        <v>12</v>
      </c>
    </row>
    <row r="10" ht="12.0" customHeight="1">
      <c r="A10" s="49">
        <f t="shared" si="4"/>
        <v>13</v>
      </c>
      <c r="B10" s="46">
        <f t="shared" si="5"/>
        <v>15.7</v>
      </c>
      <c r="C10" s="46">
        <f t="shared" si="6"/>
        <v>2.57</v>
      </c>
      <c r="D10" s="46">
        <f t="shared" si="7"/>
        <v>2.29</v>
      </c>
      <c r="E10" s="46">
        <f t="shared" si="8"/>
        <v>6.5</v>
      </c>
      <c r="F10" s="466"/>
      <c r="G10" s="45">
        <f t="shared" si="1"/>
        <v>13</v>
      </c>
    </row>
    <row r="11" ht="12.0" customHeight="1">
      <c r="A11" s="49">
        <f t="shared" si="4"/>
        <v>14</v>
      </c>
      <c r="B11" s="46">
        <f t="shared" si="5"/>
        <v>15.6</v>
      </c>
      <c r="C11" s="46">
        <f t="shared" si="6"/>
        <v>2.56</v>
      </c>
      <c r="D11" s="46">
        <f t="shared" si="7"/>
        <v>2.32</v>
      </c>
      <c r="E11" s="46">
        <f t="shared" si="8"/>
        <v>7</v>
      </c>
      <c r="F11" s="466"/>
      <c r="G11" s="45">
        <f t="shared" si="1"/>
        <v>14</v>
      </c>
    </row>
    <row r="12" ht="12.0" customHeight="1">
      <c r="A12" s="49">
        <f t="shared" si="4"/>
        <v>15</v>
      </c>
      <c r="B12" s="46">
        <f t="shared" si="5"/>
        <v>15.5</v>
      </c>
      <c r="C12" s="46">
        <f t="shared" si="6"/>
        <v>2.55</v>
      </c>
      <c r="D12" s="46">
        <f t="shared" si="7"/>
        <v>2.35</v>
      </c>
      <c r="E12" s="46">
        <f t="shared" si="8"/>
        <v>7.5</v>
      </c>
      <c r="F12" s="466"/>
      <c r="G12" s="45">
        <f t="shared" si="1"/>
        <v>15</v>
      </c>
    </row>
    <row r="13" ht="12.0" customHeight="1">
      <c r="A13" s="49">
        <f t="shared" si="4"/>
        <v>16</v>
      </c>
      <c r="B13" s="46">
        <f t="shared" si="5"/>
        <v>15.4</v>
      </c>
      <c r="C13" s="46">
        <f t="shared" si="6"/>
        <v>2.54</v>
      </c>
      <c r="D13" s="46">
        <f t="shared" si="7"/>
        <v>2.38</v>
      </c>
      <c r="E13" s="46">
        <f t="shared" si="8"/>
        <v>8</v>
      </c>
      <c r="F13" s="466"/>
      <c r="G13" s="45">
        <f t="shared" si="1"/>
        <v>16</v>
      </c>
    </row>
    <row r="14" ht="12.0" customHeight="1">
      <c r="A14" s="49">
        <f t="shared" si="4"/>
        <v>17</v>
      </c>
      <c r="B14" s="46">
        <f t="shared" si="5"/>
        <v>15.3</v>
      </c>
      <c r="C14" s="46">
        <f t="shared" si="6"/>
        <v>2.53</v>
      </c>
      <c r="D14" s="46">
        <f t="shared" si="7"/>
        <v>2.41</v>
      </c>
      <c r="E14" s="46">
        <f t="shared" si="8"/>
        <v>8.5</v>
      </c>
      <c r="F14" s="466"/>
      <c r="G14" s="45">
        <f t="shared" si="1"/>
        <v>17</v>
      </c>
    </row>
    <row r="15" ht="12.0" customHeight="1">
      <c r="A15" s="49">
        <f t="shared" si="4"/>
        <v>18</v>
      </c>
      <c r="B15" s="46">
        <f t="shared" si="5"/>
        <v>15.2</v>
      </c>
      <c r="C15" s="46">
        <f t="shared" si="6"/>
        <v>2.52</v>
      </c>
      <c r="D15" s="46">
        <f t="shared" si="7"/>
        <v>2.44</v>
      </c>
      <c r="E15" s="46">
        <f t="shared" si="8"/>
        <v>9</v>
      </c>
      <c r="F15" s="466"/>
      <c r="G15" s="45">
        <f t="shared" si="1"/>
        <v>18</v>
      </c>
    </row>
    <row r="16" ht="12.0" customHeight="1">
      <c r="A16" s="49">
        <f t="shared" si="4"/>
        <v>19</v>
      </c>
      <c r="B16" s="46">
        <f t="shared" si="5"/>
        <v>15.1</v>
      </c>
      <c r="C16" s="46">
        <f t="shared" si="6"/>
        <v>2.51</v>
      </c>
      <c r="D16" s="46">
        <f t="shared" si="7"/>
        <v>2.47</v>
      </c>
      <c r="E16" s="46">
        <f t="shared" si="8"/>
        <v>9.5</v>
      </c>
      <c r="F16" s="466"/>
      <c r="G16" s="45">
        <f t="shared" si="1"/>
        <v>19</v>
      </c>
    </row>
    <row r="17" ht="12.0" customHeight="1">
      <c r="A17" s="49">
        <f t="shared" si="4"/>
        <v>20</v>
      </c>
      <c r="B17" s="46">
        <f t="shared" si="5"/>
        <v>15</v>
      </c>
      <c r="C17" s="46">
        <f t="shared" si="6"/>
        <v>2.5</v>
      </c>
      <c r="D17" s="46">
        <f t="shared" si="7"/>
        <v>2.5</v>
      </c>
      <c r="E17" s="46">
        <f t="shared" si="8"/>
        <v>10</v>
      </c>
      <c r="F17" s="466"/>
      <c r="G17" s="45">
        <f t="shared" si="1"/>
        <v>20</v>
      </c>
    </row>
    <row r="18" ht="12.0" customHeight="1">
      <c r="A18" s="49">
        <f t="shared" si="4"/>
        <v>21</v>
      </c>
      <c r="B18" s="46">
        <f t="shared" si="5"/>
        <v>14.9</v>
      </c>
      <c r="C18" s="46">
        <f t="shared" si="6"/>
        <v>2.49</v>
      </c>
      <c r="D18" s="46">
        <f t="shared" si="7"/>
        <v>2.53</v>
      </c>
      <c r="E18" s="46">
        <f t="shared" si="8"/>
        <v>10.5</v>
      </c>
      <c r="F18" s="466"/>
      <c r="G18" s="45">
        <f t="shared" si="1"/>
        <v>21</v>
      </c>
    </row>
    <row r="19" ht="12.0" customHeight="1">
      <c r="A19" s="49">
        <f t="shared" si="4"/>
        <v>22</v>
      </c>
      <c r="B19" s="46">
        <f t="shared" si="5"/>
        <v>14.8</v>
      </c>
      <c r="C19" s="46">
        <f t="shared" si="6"/>
        <v>2.48</v>
      </c>
      <c r="D19" s="46">
        <f t="shared" si="7"/>
        <v>2.56</v>
      </c>
      <c r="E19" s="46">
        <f t="shared" si="8"/>
        <v>11</v>
      </c>
      <c r="F19" s="466"/>
      <c r="G19" s="45">
        <f t="shared" si="1"/>
        <v>22</v>
      </c>
    </row>
    <row r="20" ht="12.0" customHeight="1">
      <c r="A20" s="49">
        <f t="shared" si="4"/>
        <v>23</v>
      </c>
      <c r="B20" s="46">
        <f t="shared" si="5"/>
        <v>14.7</v>
      </c>
      <c r="C20" s="46">
        <f t="shared" si="6"/>
        <v>2.47</v>
      </c>
      <c r="D20" s="46">
        <f t="shared" si="7"/>
        <v>2.59</v>
      </c>
      <c r="E20" s="46">
        <f t="shared" si="8"/>
        <v>11.5</v>
      </c>
      <c r="F20" s="466"/>
      <c r="G20" s="45">
        <f t="shared" si="1"/>
        <v>23</v>
      </c>
    </row>
    <row r="21" ht="12.0" customHeight="1">
      <c r="A21" s="49">
        <f t="shared" si="4"/>
        <v>24</v>
      </c>
      <c r="B21" s="46">
        <f t="shared" si="5"/>
        <v>14.6</v>
      </c>
      <c r="C21" s="46">
        <f t="shared" si="6"/>
        <v>2.46</v>
      </c>
      <c r="D21" s="46">
        <f t="shared" si="7"/>
        <v>2.62</v>
      </c>
      <c r="E21" s="46">
        <f t="shared" si="8"/>
        <v>12</v>
      </c>
      <c r="F21" s="466"/>
      <c r="G21" s="45">
        <f t="shared" si="1"/>
        <v>24</v>
      </c>
    </row>
    <row r="22" ht="12.0" customHeight="1">
      <c r="A22" s="49">
        <f t="shared" si="4"/>
        <v>25</v>
      </c>
      <c r="B22" s="46">
        <f t="shared" si="5"/>
        <v>14.5</v>
      </c>
      <c r="C22" s="46">
        <f t="shared" si="6"/>
        <v>2.45</v>
      </c>
      <c r="D22" s="46">
        <f t="shared" si="7"/>
        <v>2.65</v>
      </c>
      <c r="E22" s="46">
        <f t="shared" si="8"/>
        <v>12.5</v>
      </c>
      <c r="F22" s="466"/>
      <c r="G22" s="45">
        <f t="shared" si="1"/>
        <v>25</v>
      </c>
    </row>
    <row r="23" ht="12.0" customHeight="1">
      <c r="A23" s="49">
        <f t="shared" si="4"/>
        <v>26</v>
      </c>
      <c r="B23" s="46">
        <f t="shared" si="5"/>
        <v>14.4</v>
      </c>
      <c r="C23" s="46">
        <f t="shared" si="6"/>
        <v>2.44</v>
      </c>
      <c r="D23" s="46">
        <f t="shared" si="7"/>
        <v>2.68</v>
      </c>
      <c r="E23" s="46">
        <f t="shared" si="8"/>
        <v>13</v>
      </c>
      <c r="F23" s="466"/>
      <c r="G23" s="45">
        <f t="shared" si="1"/>
        <v>26</v>
      </c>
    </row>
    <row r="24" ht="12.0" customHeight="1">
      <c r="A24" s="49">
        <f t="shared" si="4"/>
        <v>27</v>
      </c>
      <c r="B24" s="46">
        <f t="shared" si="5"/>
        <v>14.3</v>
      </c>
      <c r="C24" s="46">
        <f t="shared" si="6"/>
        <v>2.43</v>
      </c>
      <c r="D24" s="46">
        <f t="shared" si="7"/>
        <v>2.71</v>
      </c>
      <c r="E24" s="46">
        <f t="shared" si="8"/>
        <v>13.5</v>
      </c>
      <c r="F24" s="466"/>
      <c r="G24" s="45">
        <f t="shared" si="1"/>
        <v>27</v>
      </c>
    </row>
    <row r="25" ht="12.0" customHeight="1">
      <c r="A25" s="49">
        <f t="shared" si="4"/>
        <v>28</v>
      </c>
      <c r="B25" s="46">
        <f t="shared" si="5"/>
        <v>14.2</v>
      </c>
      <c r="C25" s="46">
        <f t="shared" si="6"/>
        <v>2.42</v>
      </c>
      <c r="D25" s="46">
        <f t="shared" si="7"/>
        <v>2.74</v>
      </c>
      <c r="E25" s="46">
        <f t="shared" si="8"/>
        <v>14</v>
      </c>
      <c r="F25" s="466"/>
      <c r="G25" s="45">
        <f t="shared" si="1"/>
        <v>28</v>
      </c>
    </row>
    <row r="26" ht="12.0" customHeight="1">
      <c r="A26" s="49">
        <f t="shared" si="4"/>
        <v>29</v>
      </c>
      <c r="B26" s="46">
        <f t="shared" si="5"/>
        <v>14.1</v>
      </c>
      <c r="C26" s="46">
        <f t="shared" si="6"/>
        <v>2.41</v>
      </c>
      <c r="D26" s="46">
        <f t="shared" si="7"/>
        <v>2.77</v>
      </c>
      <c r="E26" s="46">
        <f t="shared" si="8"/>
        <v>14.5</v>
      </c>
      <c r="F26" s="466"/>
      <c r="G26" s="45">
        <f t="shared" si="1"/>
        <v>29</v>
      </c>
    </row>
    <row r="27" ht="12.0" customHeight="1">
      <c r="A27" s="49">
        <f t="shared" si="4"/>
        <v>30</v>
      </c>
      <c r="B27" s="46">
        <f t="shared" si="5"/>
        <v>14</v>
      </c>
      <c r="C27" s="46">
        <f t="shared" si="6"/>
        <v>2.4</v>
      </c>
      <c r="D27" s="46">
        <f t="shared" si="7"/>
        <v>2.8</v>
      </c>
      <c r="E27" s="46">
        <f t="shared" si="8"/>
        <v>15</v>
      </c>
      <c r="F27" s="466"/>
      <c r="G27" s="45">
        <f t="shared" si="1"/>
        <v>30</v>
      </c>
    </row>
    <row r="28" ht="12.0" customHeight="1">
      <c r="A28" s="49">
        <f t="shared" si="4"/>
        <v>31</v>
      </c>
      <c r="B28" s="46">
        <f t="shared" si="5"/>
        <v>13.9</v>
      </c>
      <c r="C28" s="46">
        <f t="shared" si="6"/>
        <v>2.39</v>
      </c>
      <c r="D28" s="46">
        <f t="shared" si="7"/>
        <v>2.83</v>
      </c>
      <c r="E28" s="46">
        <f t="shared" si="8"/>
        <v>15.5</v>
      </c>
      <c r="F28" s="466"/>
      <c r="G28" s="45">
        <f t="shared" si="1"/>
        <v>31</v>
      </c>
    </row>
    <row r="29" ht="12.0" customHeight="1">
      <c r="A29" s="49">
        <f t="shared" si="4"/>
        <v>32</v>
      </c>
      <c r="B29" s="46">
        <f t="shared" si="5"/>
        <v>13.8</v>
      </c>
      <c r="C29" s="46">
        <f t="shared" si="6"/>
        <v>2.38</v>
      </c>
      <c r="D29" s="46">
        <f t="shared" si="7"/>
        <v>2.86</v>
      </c>
      <c r="E29" s="46">
        <f t="shared" si="8"/>
        <v>16</v>
      </c>
      <c r="F29" s="466"/>
      <c r="G29" s="45">
        <f t="shared" si="1"/>
        <v>32</v>
      </c>
    </row>
    <row r="30" ht="12.0" customHeight="1">
      <c r="A30" s="49">
        <f t="shared" si="4"/>
        <v>33</v>
      </c>
      <c r="B30" s="46">
        <f t="shared" si="5"/>
        <v>13.7</v>
      </c>
      <c r="C30" s="46">
        <f t="shared" si="6"/>
        <v>2.37</v>
      </c>
      <c r="D30" s="46">
        <f t="shared" si="7"/>
        <v>2.89</v>
      </c>
      <c r="E30" s="46">
        <f t="shared" si="8"/>
        <v>16.5</v>
      </c>
      <c r="F30" s="466"/>
      <c r="G30" s="45">
        <f t="shared" si="1"/>
        <v>33</v>
      </c>
    </row>
    <row r="31" ht="12.0" customHeight="1">
      <c r="A31" s="49">
        <f t="shared" si="4"/>
        <v>34</v>
      </c>
      <c r="B31" s="46">
        <f t="shared" si="5"/>
        <v>13.6</v>
      </c>
      <c r="C31" s="46">
        <f t="shared" si="6"/>
        <v>2.36</v>
      </c>
      <c r="D31" s="46">
        <f t="shared" si="7"/>
        <v>2.92</v>
      </c>
      <c r="E31" s="46">
        <f t="shared" si="8"/>
        <v>17</v>
      </c>
      <c r="F31" s="466"/>
      <c r="G31" s="45">
        <f t="shared" si="1"/>
        <v>34</v>
      </c>
    </row>
    <row r="32" ht="12.0" customHeight="1">
      <c r="A32" s="49">
        <f t="shared" si="4"/>
        <v>35</v>
      </c>
      <c r="B32" s="46">
        <f t="shared" si="5"/>
        <v>13.5</v>
      </c>
      <c r="C32" s="46">
        <f t="shared" si="6"/>
        <v>2.35</v>
      </c>
      <c r="D32" s="46">
        <f t="shared" si="7"/>
        <v>2.95</v>
      </c>
      <c r="E32" s="46">
        <f t="shared" si="8"/>
        <v>17.5</v>
      </c>
      <c r="F32" s="466"/>
      <c r="G32" s="45">
        <f t="shared" si="1"/>
        <v>35</v>
      </c>
    </row>
    <row r="33" ht="12.0" customHeight="1">
      <c r="A33" s="49">
        <f t="shared" si="4"/>
        <v>36</v>
      </c>
      <c r="B33" s="46">
        <f t="shared" si="5"/>
        <v>13.4</v>
      </c>
      <c r="C33" s="46">
        <f t="shared" si="6"/>
        <v>2.34</v>
      </c>
      <c r="D33" s="46">
        <f t="shared" si="7"/>
        <v>2.98</v>
      </c>
      <c r="E33" s="46">
        <f t="shared" si="8"/>
        <v>18</v>
      </c>
      <c r="F33" s="466"/>
      <c r="G33" s="45">
        <f t="shared" si="1"/>
        <v>36</v>
      </c>
    </row>
    <row r="34" ht="12.0" customHeight="1">
      <c r="A34" s="49">
        <f t="shared" si="4"/>
        <v>37</v>
      </c>
      <c r="B34" s="46">
        <f t="shared" si="5"/>
        <v>13.3</v>
      </c>
      <c r="C34" s="46">
        <f t="shared" si="6"/>
        <v>2.33</v>
      </c>
      <c r="D34" s="46">
        <f t="shared" si="7"/>
        <v>3.01</v>
      </c>
      <c r="E34" s="46">
        <f t="shared" si="8"/>
        <v>18.5</v>
      </c>
      <c r="F34" s="466"/>
      <c r="G34" s="45">
        <f t="shared" si="1"/>
        <v>37</v>
      </c>
    </row>
    <row r="35" ht="12.0" customHeight="1">
      <c r="A35" s="49">
        <f t="shared" si="4"/>
        <v>38</v>
      </c>
      <c r="B35" s="46">
        <f t="shared" si="5"/>
        <v>13.2</v>
      </c>
      <c r="C35" s="46">
        <f t="shared" si="6"/>
        <v>2.32</v>
      </c>
      <c r="D35" s="46">
        <f t="shared" si="7"/>
        <v>3.04</v>
      </c>
      <c r="E35" s="46">
        <f t="shared" si="8"/>
        <v>19</v>
      </c>
      <c r="F35" s="466"/>
      <c r="G35" s="45">
        <f t="shared" si="1"/>
        <v>38</v>
      </c>
    </row>
    <row r="36" ht="12.0" customHeight="1">
      <c r="A36" s="49">
        <f t="shared" si="4"/>
        <v>39</v>
      </c>
      <c r="B36" s="46">
        <f t="shared" si="5"/>
        <v>13.1</v>
      </c>
      <c r="C36" s="46">
        <f t="shared" si="6"/>
        <v>2.31</v>
      </c>
      <c r="D36" s="46">
        <f t="shared" si="7"/>
        <v>3.07</v>
      </c>
      <c r="E36" s="46">
        <f t="shared" si="8"/>
        <v>19.5</v>
      </c>
      <c r="F36" s="466"/>
      <c r="G36" s="45">
        <f t="shared" si="1"/>
        <v>39</v>
      </c>
    </row>
    <row r="37" ht="12.0" customHeight="1">
      <c r="A37" s="49">
        <f t="shared" si="4"/>
        <v>40</v>
      </c>
      <c r="B37" s="46">
        <f t="shared" si="5"/>
        <v>13</v>
      </c>
      <c r="C37" s="46">
        <f t="shared" si="6"/>
        <v>2.3</v>
      </c>
      <c r="D37" s="46">
        <f t="shared" si="7"/>
        <v>3.1</v>
      </c>
      <c r="E37" s="46">
        <f t="shared" si="8"/>
        <v>20</v>
      </c>
      <c r="F37" s="466"/>
      <c r="G37" s="45">
        <f t="shared" si="1"/>
        <v>40</v>
      </c>
    </row>
    <row r="38" ht="12.0" customHeight="1">
      <c r="A38" s="49">
        <f t="shared" si="4"/>
        <v>41</v>
      </c>
      <c r="B38" s="46">
        <f t="shared" si="5"/>
        <v>12.9</v>
      </c>
      <c r="C38" s="46">
        <f t="shared" si="6"/>
        <v>2.29</v>
      </c>
      <c r="D38" s="46">
        <f t="shared" si="7"/>
        <v>3.13</v>
      </c>
      <c r="E38" s="46">
        <f t="shared" si="8"/>
        <v>20.5</v>
      </c>
      <c r="F38" s="466"/>
      <c r="G38" s="45">
        <f t="shared" si="1"/>
        <v>41</v>
      </c>
    </row>
    <row r="39" ht="12.0" customHeight="1">
      <c r="A39" s="49">
        <f t="shared" si="4"/>
        <v>42</v>
      </c>
      <c r="B39" s="46">
        <f t="shared" si="5"/>
        <v>12.8</v>
      </c>
      <c r="C39" s="46">
        <f t="shared" si="6"/>
        <v>2.28</v>
      </c>
      <c r="D39" s="46">
        <f t="shared" si="7"/>
        <v>3.16</v>
      </c>
      <c r="E39" s="46">
        <f t="shared" si="8"/>
        <v>21</v>
      </c>
      <c r="F39" s="466"/>
      <c r="G39" s="45">
        <f t="shared" si="1"/>
        <v>42</v>
      </c>
    </row>
    <row r="40" ht="12.0" customHeight="1">
      <c r="A40" s="49">
        <f t="shared" si="4"/>
        <v>43</v>
      </c>
      <c r="B40" s="46">
        <f t="shared" si="5"/>
        <v>12.7</v>
      </c>
      <c r="C40" s="46">
        <f t="shared" si="6"/>
        <v>2.27</v>
      </c>
      <c r="D40" s="46">
        <f t="shared" si="7"/>
        <v>3.19</v>
      </c>
      <c r="E40" s="46">
        <f t="shared" si="8"/>
        <v>21.5</v>
      </c>
      <c r="F40" s="466"/>
      <c r="G40" s="45">
        <f t="shared" si="1"/>
        <v>43</v>
      </c>
    </row>
    <row r="41" ht="12.0" customHeight="1">
      <c r="A41" s="49">
        <f t="shared" si="4"/>
        <v>44</v>
      </c>
      <c r="B41" s="46">
        <f t="shared" si="5"/>
        <v>12.6</v>
      </c>
      <c r="C41" s="46">
        <f t="shared" si="6"/>
        <v>2.26</v>
      </c>
      <c r="D41" s="46">
        <f t="shared" si="7"/>
        <v>3.22</v>
      </c>
      <c r="E41" s="46">
        <f t="shared" si="8"/>
        <v>22</v>
      </c>
      <c r="F41" s="466"/>
      <c r="G41" s="45">
        <f t="shared" si="1"/>
        <v>44</v>
      </c>
    </row>
    <row r="42" ht="12.0" customHeight="1">
      <c r="A42" s="49">
        <f t="shared" si="4"/>
        <v>45</v>
      </c>
      <c r="B42" s="46">
        <f t="shared" si="5"/>
        <v>12.5</v>
      </c>
      <c r="C42" s="46">
        <f t="shared" si="6"/>
        <v>2.25</v>
      </c>
      <c r="D42" s="46">
        <f t="shared" si="7"/>
        <v>3.25</v>
      </c>
      <c r="E42" s="46">
        <f t="shared" si="8"/>
        <v>22.5</v>
      </c>
      <c r="F42" s="466"/>
      <c r="G42" s="45">
        <f t="shared" si="1"/>
        <v>45</v>
      </c>
    </row>
    <row r="43" ht="12.0" customHeight="1">
      <c r="A43" s="49">
        <f t="shared" si="4"/>
        <v>46</v>
      </c>
      <c r="B43" s="46">
        <f t="shared" si="5"/>
        <v>12.4</v>
      </c>
      <c r="C43" s="46">
        <f t="shared" si="6"/>
        <v>2.24</v>
      </c>
      <c r="D43" s="46">
        <f t="shared" si="7"/>
        <v>3.28</v>
      </c>
      <c r="E43" s="46">
        <f t="shared" si="8"/>
        <v>23</v>
      </c>
      <c r="F43" s="466"/>
      <c r="G43" s="45">
        <f t="shared" si="1"/>
        <v>46</v>
      </c>
    </row>
    <row r="44" ht="12.0" customHeight="1">
      <c r="A44" s="49">
        <f t="shared" si="4"/>
        <v>47</v>
      </c>
      <c r="B44" s="46">
        <f t="shared" si="5"/>
        <v>12.3</v>
      </c>
      <c r="C44" s="46">
        <f t="shared" si="6"/>
        <v>2.23</v>
      </c>
      <c r="D44" s="46">
        <f t="shared" si="7"/>
        <v>3.31</v>
      </c>
      <c r="E44" s="46">
        <f t="shared" si="8"/>
        <v>23.5</v>
      </c>
      <c r="F44" s="466"/>
      <c r="G44" s="45">
        <f t="shared" si="1"/>
        <v>47</v>
      </c>
    </row>
    <row r="45" ht="12.0" customHeight="1">
      <c r="A45" s="49">
        <f t="shared" si="4"/>
        <v>48</v>
      </c>
      <c r="B45" s="46">
        <f t="shared" si="5"/>
        <v>12.2</v>
      </c>
      <c r="C45" s="46">
        <f t="shared" si="6"/>
        <v>2.22</v>
      </c>
      <c r="D45" s="46">
        <f t="shared" si="7"/>
        <v>3.34</v>
      </c>
      <c r="E45" s="46">
        <f t="shared" si="8"/>
        <v>24</v>
      </c>
      <c r="F45" s="466"/>
      <c r="G45" s="45">
        <f t="shared" si="1"/>
        <v>48</v>
      </c>
    </row>
    <row r="46" ht="12.0" customHeight="1">
      <c r="A46" s="49">
        <f t="shared" si="4"/>
        <v>49</v>
      </c>
      <c r="B46" s="46">
        <f t="shared" si="5"/>
        <v>12.1</v>
      </c>
      <c r="C46" s="46">
        <f t="shared" si="6"/>
        <v>2.21</v>
      </c>
      <c r="D46" s="46">
        <f t="shared" si="7"/>
        <v>3.37</v>
      </c>
      <c r="E46" s="46">
        <f t="shared" si="8"/>
        <v>24.5</v>
      </c>
      <c r="F46" s="466"/>
      <c r="G46" s="45">
        <f t="shared" si="1"/>
        <v>49</v>
      </c>
    </row>
    <row r="47" ht="12.0" customHeight="1">
      <c r="A47" s="327">
        <f t="shared" si="4"/>
        <v>50</v>
      </c>
      <c r="B47" s="328">
        <f t="shared" si="5"/>
        <v>12</v>
      </c>
      <c r="C47" s="328">
        <f t="shared" si="6"/>
        <v>2.2</v>
      </c>
      <c r="D47" s="328">
        <f t="shared" si="7"/>
        <v>3.4</v>
      </c>
      <c r="E47" s="328">
        <f t="shared" si="8"/>
        <v>25</v>
      </c>
      <c r="F47" s="468"/>
      <c r="G47" s="329">
        <f t="shared" si="1"/>
        <v>50</v>
      </c>
    </row>
    <row r="48" ht="12.0" customHeight="1">
      <c r="A48" s="49">
        <f t="shared" si="4"/>
        <v>51</v>
      </c>
      <c r="B48" s="46">
        <f t="shared" si="5"/>
        <v>11.9</v>
      </c>
      <c r="C48" s="46">
        <f t="shared" si="6"/>
        <v>2.19</v>
      </c>
      <c r="D48" s="46">
        <f t="shared" si="7"/>
        <v>3.43</v>
      </c>
      <c r="E48" s="46">
        <f t="shared" si="8"/>
        <v>25.5</v>
      </c>
      <c r="F48" s="466"/>
      <c r="G48" s="45">
        <f t="shared" si="1"/>
        <v>51</v>
      </c>
    </row>
    <row r="49" ht="12.0" customHeight="1">
      <c r="A49" s="49">
        <f t="shared" si="4"/>
        <v>52</v>
      </c>
      <c r="B49" s="46">
        <f t="shared" si="5"/>
        <v>11.8</v>
      </c>
      <c r="C49" s="46">
        <f t="shared" si="6"/>
        <v>2.18</v>
      </c>
      <c r="D49" s="46">
        <f t="shared" si="7"/>
        <v>3.46</v>
      </c>
      <c r="E49" s="46">
        <f t="shared" si="8"/>
        <v>26</v>
      </c>
      <c r="F49" s="466"/>
      <c r="G49" s="45">
        <f t="shared" si="1"/>
        <v>52</v>
      </c>
    </row>
    <row r="50" ht="12.0" customHeight="1">
      <c r="A50" s="49">
        <f t="shared" si="4"/>
        <v>53</v>
      </c>
      <c r="B50" s="46">
        <f t="shared" si="5"/>
        <v>11.7</v>
      </c>
      <c r="C50" s="46">
        <f t="shared" si="6"/>
        <v>2.17</v>
      </c>
      <c r="D50" s="46">
        <f t="shared" si="7"/>
        <v>3.49</v>
      </c>
      <c r="E50" s="46">
        <f t="shared" si="8"/>
        <v>26.5</v>
      </c>
      <c r="F50" s="466"/>
      <c r="G50" s="45">
        <f t="shared" si="1"/>
        <v>53</v>
      </c>
    </row>
    <row r="51" ht="12.0" customHeight="1">
      <c r="A51" s="49">
        <f t="shared" si="4"/>
        <v>54</v>
      </c>
      <c r="B51" s="46">
        <f t="shared" si="5"/>
        <v>11.6</v>
      </c>
      <c r="C51" s="46">
        <f t="shared" si="6"/>
        <v>2.16</v>
      </c>
      <c r="D51" s="46">
        <f t="shared" si="7"/>
        <v>3.52</v>
      </c>
      <c r="E51" s="46">
        <f t="shared" si="8"/>
        <v>27</v>
      </c>
      <c r="F51" s="466"/>
      <c r="G51" s="45">
        <f t="shared" si="1"/>
        <v>54</v>
      </c>
    </row>
    <row r="52" ht="12.0" customHeight="1">
      <c r="A52" s="49">
        <f t="shared" si="4"/>
        <v>55</v>
      </c>
      <c r="B52" s="46">
        <f t="shared" si="5"/>
        <v>11.5</v>
      </c>
      <c r="C52" s="46">
        <f t="shared" si="6"/>
        <v>2.15</v>
      </c>
      <c r="D52" s="46">
        <f t="shared" si="7"/>
        <v>3.55</v>
      </c>
      <c r="E52" s="46">
        <f t="shared" si="8"/>
        <v>27.5</v>
      </c>
      <c r="F52" s="466"/>
      <c r="G52" s="45">
        <f t="shared" si="1"/>
        <v>55</v>
      </c>
    </row>
    <row r="53" ht="12.0" customHeight="1">
      <c r="A53" s="49">
        <f t="shared" si="4"/>
        <v>56</v>
      </c>
      <c r="B53" s="46">
        <f t="shared" si="5"/>
        <v>11.4</v>
      </c>
      <c r="C53" s="46">
        <f t="shared" si="6"/>
        <v>2.14</v>
      </c>
      <c r="D53" s="46">
        <f t="shared" si="7"/>
        <v>3.58</v>
      </c>
      <c r="E53" s="46">
        <f t="shared" si="8"/>
        <v>28</v>
      </c>
      <c r="F53" s="466"/>
      <c r="G53" s="45">
        <f t="shared" si="1"/>
        <v>56</v>
      </c>
    </row>
    <row r="54" ht="12.0" customHeight="1">
      <c r="A54" s="49">
        <f t="shared" si="4"/>
        <v>57</v>
      </c>
      <c r="B54" s="46">
        <f t="shared" si="5"/>
        <v>11.3</v>
      </c>
      <c r="C54" s="46">
        <f t="shared" si="6"/>
        <v>2.13</v>
      </c>
      <c r="D54" s="46">
        <f t="shared" si="7"/>
        <v>3.61</v>
      </c>
      <c r="E54" s="46">
        <f t="shared" si="8"/>
        <v>28.5</v>
      </c>
      <c r="F54" s="466"/>
      <c r="G54" s="45">
        <f t="shared" si="1"/>
        <v>57</v>
      </c>
    </row>
    <row r="55" ht="12.0" customHeight="1">
      <c r="A55" s="49">
        <f t="shared" si="4"/>
        <v>58</v>
      </c>
      <c r="B55" s="46">
        <f t="shared" si="5"/>
        <v>11.2</v>
      </c>
      <c r="C55" s="46">
        <f t="shared" si="6"/>
        <v>2.12</v>
      </c>
      <c r="D55" s="46">
        <f t="shared" si="7"/>
        <v>3.64</v>
      </c>
      <c r="E55" s="46">
        <f t="shared" si="8"/>
        <v>29</v>
      </c>
      <c r="F55" s="466"/>
      <c r="G55" s="45">
        <f t="shared" si="1"/>
        <v>58</v>
      </c>
    </row>
    <row r="56" ht="12.0" customHeight="1">
      <c r="A56" s="49">
        <f t="shared" si="4"/>
        <v>59</v>
      </c>
      <c r="B56" s="46">
        <f t="shared" si="5"/>
        <v>11.1</v>
      </c>
      <c r="C56" s="46">
        <f t="shared" si="6"/>
        <v>2.11</v>
      </c>
      <c r="D56" s="46">
        <f t="shared" si="7"/>
        <v>3.67</v>
      </c>
      <c r="E56" s="46">
        <f t="shared" si="8"/>
        <v>29.5</v>
      </c>
      <c r="F56" s="466"/>
      <c r="G56" s="45">
        <f t="shared" si="1"/>
        <v>59</v>
      </c>
    </row>
    <row r="57" ht="12.0" customHeight="1">
      <c r="A57" s="49">
        <f t="shared" si="4"/>
        <v>60</v>
      </c>
      <c r="B57" s="46">
        <f t="shared" si="5"/>
        <v>11</v>
      </c>
      <c r="C57" s="46">
        <f t="shared" si="6"/>
        <v>2.1</v>
      </c>
      <c r="D57" s="46">
        <f t="shared" si="7"/>
        <v>3.7</v>
      </c>
      <c r="E57" s="46">
        <f t="shared" si="8"/>
        <v>30</v>
      </c>
      <c r="F57" s="466"/>
      <c r="G57" s="45">
        <f t="shared" si="1"/>
        <v>60</v>
      </c>
    </row>
    <row r="58" ht="12.0" customHeight="1">
      <c r="A58" s="49">
        <f t="shared" si="4"/>
        <v>61</v>
      </c>
      <c r="B58" s="46">
        <f t="shared" si="5"/>
        <v>10.9</v>
      </c>
      <c r="C58" s="46">
        <f t="shared" si="6"/>
        <v>2.09</v>
      </c>
      <c r="D58" s="46">
        <f t="shared" si="7"/>
        <v>3.73</v>
      </c>
      <c r="E58" s="46">
        <f t="shared" si="8"/>
        <v>30.5</v>
      </c>
      <c r="F58" s="466"/>
      <c r="G58" s="45">
        <f t="shared" si="1"/>
        <v>61</v>
      </c>
    </row>
    <row r="59" ht="12.0" customHeight="1">
      <c r="A59" s="49">
        <f t="shared" si="4"/>
        <v>62</v>
      </c>
      <c r="B59" s="46">
        <f t="shared" si="5"/>
        <v>10.8</v>
      </c>
      <c r="C59" s="46">
        <f t="shared" si="6"/>
        <v>2.08</v>
      </c>
      <c r="D59" s="46">
        <f t="shared" si="7"/>
        <v>3.76</v>
      </c>
      <c r="E59" s="46">
        <f t="shared" si="8"/>
        <v>31</v>
      </c>
      <c r="F59" s="466"/>
      <c r="G59" s="45">
        <f t="shared" si="1"/>
        <v>62</v>
      </c>
    </row>
    <row r="60" ht="12.0" customHeight="1">
      <c r="A60" s="49">
        <f t="shared" si="4"/>
        <v>63</v>
      </c>
      <c r="B60" s="46">
        <f t="shared" si="5"/>
        <v>10.7</v>
      </c>
      <c r="C60" s="46">
        <f t="shared" si="6"/>
        <v>2.07</v>
      </c>
      <c r="D60" s="46">
        <f t="shared" si="7"/>
        <v>3.79</v>
      </c>
      <c r="E60" s="46">
        <f t="shared" si="8"/>
        <v>31.5</v>
      </c>
      <c r="F60" s="466"/>
      <c r="G60" s="45">
        <f t="shared" si="1"/>
        <v>63</v>
      </c>
    </row>
    <row r="61" ht="12.0" customHeight="1">
      <c r="A61" s="49">
        <f t="shared" si="4"/>
        <v>64</v>
      </c>
      <c r="B61" s="46">
        <f t="shared" si="5"/>
        <v>10.6</v>
      </c>
      <c r="C61" s="46">
        <f t="shared" si="6"/>
        <v>2.06</v>
      </c>
      <c r="D61" s="46">
        <f t="shared" si="7"/>
        <v>3.82</v>
      </c>
      <c r="E61" s="46">
        <f t="shared" si="8"/>
        <v>32</v>
      </c>
      <c r="F61" s="466"/>
      <c r="G61" s="45">
        <f t="shared" si="1"/>
        <v>64</v>
      </c>
    </row>
    <row r="62" ht="12.0" customHeight="1">
      <c r="A62" s="49">
        <f t="shared" si="4"/>
        <v>65</v>
      </c>
      <c r="B62" s="46">
        <f t="shared" si="5"/>
        <v>10.5</v>
      </c>
      <c r="C62" s="46">
        <f t="shared" si="6"/>
        <v>2.05</v>
      </c>
      <c r="D62" s="46">
        <f t="shared" si="7"/>
        <v>3.85</v>
      </c>
      <c r="E62" s="46">
        <f t="shared" si="8"/>
        <v>32.5</v>
      </c>
      <c r="F62" s="466"/>
      <c r="G62" s="45">
        <f t="shared" si="1"/>
        <v>65</v>
      </c>
    </row>
    <row r="63" ht="12.0" customHeight="1">
      <c r="A63" s="49">
        <f t="shared" si="4"/>
        <v>66</v>
      </c>
      <c r="B63" s="46">
        <f t="shared" si="5"/>
        <v>10.4</v>
      </c>
      <c r="C63" s="46">
        <f t="shared" si="6"/>
        <v>2.04</v>
      </c>
      <c r="D63" s="46">
        <f t="shared" si="7"/>
        <v>3.88</v>
      </c>
      <c r="E63" s="46">
        <f t="shared" si="8"/>
        <v>33</v>
      </c>
      <c r="F63" s="466"/>
      <c r="G63" s="45">
        <f t="shared" si="1"/>
        <v>66</v>
      </c>
    </row>
    <row r="64" ht="12.0" customHeight="1">
      <c r="A64" s="49">
        <f t="shared" si="4"/>
        <v>67</v>
      </c>
      <c r="B64" s="46">
        <f t="shared" si="5"/>
        <v>10.3</v>
      </c>
      <c r="C64" s="46">
        <f t="shared" si="6"/>
        <v>2.03</v>
      </c>
      <c r="D64" s="46">
        <f t="shared" si="7"/>
        <v>3.91</v>
      </c>
      <c r="E64" s="46">
        <f t="shared" si="8"/>
        <v>33.5</v>
      </c>
      <c r="F64" s="466"/>
      <c r="G64" s="45">
        <f t="shared" si="1"/>
        <v>67</v>
      </c>
    </row>
    <row r="65" ht="12.0" customHeight="1">
      <c r="A65" s="49">
        <f t="shared" si="4"/>
        <v>68</v>
      </c>
      <c r="B65" s="46">
        <f t="shared" si="5"/>
        <v>10.2</v>
      </c>
      <c r="C65" s="46">
        <f t="shared" si="6"/>
        <v>2.02</v>
      </c>
      <c r="D65" s="46">
        <f t="shared" si="7"/>
        <v>3.94</v>
      </c>
      <c r="E65" s="46">
        <f t="shared" si="8"/>
        <v>34</v>
      </c>
      <c r="F65" s="466"/>
      <c r="G65" s="45">
        <f t="shared" si="1"/>
        <v>68</v>
      </c>
    </row>
    <row r="66" ht="12.0" customHeight="1">
      <c r="A66" s="49">
        <f t="shared" si="4"/>
        <v>69</v>
      </c>
      <c r="B66" s="46">
        <f t="shared" si="5"/>
        <v>10.1</v>
      </c>
      <c r="C66" s="46">
        <f t="shared" si="6"/>
        <v>2.01</v>
      </c>
      <c r="D66" s="46">
        <f t="shared" si="7"/>
        <v>3.97</v>
      </c>
      <c r="E66" s="46">
        <f t="shared" si="8"/>
        <v>34.5</v>
      </c>
      <c r="F66" s="466"/>
      <c r="G66" s="45">
        <f t="shared" si="1"/>
        <v>69</v>
      </c>
    </row>
    <row r="67" ht="12.0" customHeight="1">
      <c r="A67" s="49">
        <f t="shared" si="4"/>
        <v>70</v>
      </c>
      <c r="B67" s="46">
        <f t="shared" si="5"/>
        <v>10</v>
      </c>
      <c r="C67" s="46">
        <f t="shared" si="6"/>
        <v>2</v>
      </c>
      <c r="D67" s="46">
        <f t="shared" si="7"/>
        <v>4</v>
      </c>
      <c r="E67" s="46">
        <f t="shared" si="8"/>
        <v>35</v>
      </c>
      <c r="F67" s="466"/>
      <c r="G67" s="45">
        <f t="shared" si="1"/>
        <v>70</v>
      </c>
    </row>
    <row r="68" ht="12.0" customHeight="1">
      <c r="A68" s="49">
        <f t="shared" si="4"/>
        <v>71</v>
      </c>
      <c r="B68" s="46">
        <f t="shared" si="5"/>
        <v>9.9</v>
      </c>
      <c r="C68" s="46">
        <f t="shared" si="6"/>
        <v>1.59</v>
      </c>
      <c r="D68" s="46">
        <f t="shared" si="7"/>
        <v>4.03</v>
      </c>
      <c r="E68" s="46">
        <f t="shared" si="8"/>
        <v>35.5</v>
      </c>
      <c r="F68" s="466"/>
      <c r="G68" s="45">
        <f t="shared" si="1"/>
        <v>71</v>
      </c>
    </row>
    <row r="69" ht="12.0" customHeight="1">
      <c r="A69" s="49">
        <f t="shared" si="4"/>
        <v>72</v>
      </c>
      <c r="B69" s="46">
        <f t="shared" si="5"/>
        <v>9.8</v>
      </c>
      <c r="C69" s="46">
        <f t="shared" si="6"/>
        <v>1.58</v>
      </c>
      <c r="D69" s="46">
        <f t="shared" si="7"/>
        <v>4.06</v>
      </c>
      <c r="E69" s="46">
        <f t="shared" si="8"/>
        <v>36</v>
      </c>
      <c r="F69" s="466"/>
      <c r="G69" s="45">
        <f t="shared" si="1"/>
        <v>72</v>
      </c>
    </row>
    <row r="70" ht="12.0" customHeight="1">
      <c r="A70" s="49">
        <f t="shared" si="4"/>
        <v>73</v>
      </c>
      <c r="B70" s="46">
        <f t="shared" si="5"/>
        <v>9.7</v>
      </c>
      <c r="C70" s="46">
        <f t="shared" si="6"/>
        <v>1.57</v>
      </c>
      <c r="D70" s="46">
        <f t="shared" si="7"/>
        <v>4.09</v>
      </c>
      <c r="E70" s="46">
        <f t="shared" si="8"/>
        <v>36.5</v>
      </c>
      <c r="F70" s="466"/>
      <c r="G70" s="45">
        <f t="shared" si="1"/>
        <v>73</v>
      </c>
    </row>
    <row r="71" ht="12.0" customHeight="1">
      <c r="A71" s="49">
        <f t="shared" si="4"/>
        <v>74</v>
      </c>
      <c r="B71" s="46">
        <f t="shared" si="5"/>
        <v>9.6</v>
      </c>
      <c r="C71" s="46">
        <f t="shared" si="6"/>
        <v>1.56</v>
      </c>
      <c r="D71" s="46">
        <f t="shared" si="7"/>
        <v>4.12</v>
      </c>
      <c r="E71" s="46">
        <f t="shared" si="8"/>
        <v>37</v>
      </c>
      <c r="F71" s="466"/>
      <c r="G71" s="45">
        <f t="shared" si="1"/>
        <v>74</v>
      </c>
    </row>
    <row r="72" ht="12.0" customHeight="1">
      <c r="A72" s="49">
        <f t="shared" si="4"/>
        <v>75</v>
      </c>
      <c r="B72" s="46">
        <f t="shared" si="5"/>
        <v>9.5</v>
      </c>
      <c r="C72" s="46">
        <f t="shared" si="6"/>
        <v>1.55</v>
      </c>
      <c r="D72" s="46">
        <f t="shared" si="7"/>
        <v>4.15</v>
      </c>
      <c r="E72" s="46">
        <f t="shared" si="8"/>
        <v>37.5</v>
      </c>
      <c r="F72" s="466"/>
      <c r="G72" s="45">
        <f t="shared" si="1"/>
        <v>75</v>
      </c>
    </row>
    <row r="73" ht="12.0" customHeight="1">
      <c r="A73" s="49">
        <f t="shared" si="4"/>
        <v>76</v>
      </c>
      <c r="B73" s="46">
        <f t="shared" si="5"/>
        <v>9.4</v>
      </c>
      <c r="C73" s="46">
        <f t="shared" si="6"/>
        <v>1.54</v>
      </c>
      <c r="D73" s="46">
        <f t="shared" si="7"/>
        <v>4.18</v>
      </c>
      <c r="E73" s="46">
        <f t="shared" si="8"/>
        <v>38</v>
      </c>
      <c r="F73" s="466"/>
      <c r="G73" s="45">
        <f t="shared" si="1"/>
        <v>76</v>
      </c>
    </row>
    <row r="74" ht="12.0" customHeight="1">
      <c r="A74" s="49">
        <f t="shared" si="4"/>
        <v>77</v>
      </c>
      <c r="B74" s="46">
        <f t="shared" si="5"/>
        <v>9.3</v>
      </c>
      <c r="C74" s="46">
        <f t="shared" si="6"/>
        <v>1.53</v>
      </c>
      <c r="D74" s="46">
        <f t="shared" si="7"/>
        <v>4.21</v>
      </c>
      <c r="E74" s="46">
        <f t="shared" si="8"/>
        <v>38.5</v>
      </c>
      <c r="F74" s="466"/>
      <c r="G74" s="45">
        <f t="shared" si="1"/>
        <v>77</v>
      </c>
    </row>
    <row r="75" ht="12.0" customHeight="1">
      <c r="A75" s="49">
        <f t="shared" si="4"/>
        <v>78</v>
      </c>
      <c r="B75" s="46">
        <f t="shared" si="5"/>
        <v>9.2</v>
      </c>
      <c r="C75" s="46">
        <f t="shared" si="6"/>
        <v>1.52</v>
      </c>
      <c r="D75" s="46">
        <f t="shared" si="7"/>
        <v>4.24</v>
      </c>
      <c r="E75" s="46">
        <f t="shared" si="8"/>
        <v>39</v>
      </c>
      <c r="F75" s="466"/>
      <c r="G75" s="45">
        <f t="shared" si="1"/>
        <v>78</v>
      </c>
    </row>
    <row r="76" ht="12.0" customHeight="1">
      <c r="A76" s="49">
        <f t="shared" si="4"/>
        <v>79</v>
      </c>
      <c r="B76" s="46">
        <f t="shared" si="5"/>
        <v>9.1</v>
      </c>
      <c r="C76" s="46">
        <f t="shared" si="6"/>
        <v>1.51</v>
      </c>
      <c r="D76" s="46">
        <f t="shared" si="7"/>
        <v>4.27</v>
      </c>
      <c r="E76" s="46">
        <f t="shared" si="8"/>
        <v>39.5</v>
      </c>
      <c r="F76" s="466"/>
      <c r="G76" s="45">
        <f t="shared" si="1"/>
        <v>79</v>
      </c>
    </row>
    <row r="77" ht="12.0" customHeight="1">
      <c r="A77" s="49">
        <f t="shared" si="4"/>
        <v>80</v>
      </c>
      <c r="B77" s="46">
        <f t="shared" si="5"/>
        <v>9</v>
      </c>
      <c r="C77" s="46">
        <f t="shared" si="6"/>
        <v>1.5</v>
      </c>
      <c r="D77" s="46">
        <f t="shared" si="7"/>
        <v>4.3</v>
      </c>
      <c r="E77" s="46">
        <f t="shared" si="8"/>
        <v>40</v>
      </c>
      <c r="F77" s="466"/>
      <c r="G77" s="45">
        <f t="shared" si="1"/>
        <v>80</v>
      </c>
    </row>
    <row r="78" ht="12.0" customHeight="1">
      <c r="A78" s="49">
        <f t="shared" si="4"/>
        <v>81</v>
      </c>
      <c r="B78" s="46">
        <f t="shared" si="5"/>
        <v>8.9</v>
      </c>
      <c r="C78" s="46">
        <f t="shared" si="6"/>
        <v>1.49</v>
      </c>
      <c r="D78" s="46">
        <f t="shared" si="7"/>
        <v>4.33</v>
      </c>
      <c r="E78" s="46">
        <f t="shared" si="8"/>
        <v>40.5</v>
      </c>
      <c r="F78" s="466"/>
      <c r="G78" s="45">
        <f t="shared" si="1"/>
        <v>81</v>
      </c>
    </row>
    <row r="79" ht="12.0" customHeight="1">
      <c r="A79" s="49">
        <f t="shared" si="4"/>
        <v>82</v>
      </c>
      <c r="B79" s="46">
        <f t="shared" si="5"/>
        <v>8.8</v>
      </c>
      <c r="C79" s="46">
        <f t="shared" si="6"/>
        <v>1.48</v>
      </c>
      <c r="D79" s="46">
        <f t="shared" si="7"/>
        <v>4.36</v>
      </c>
      <c r="E79" s="46">
        <f t="shared" si="8"/>
        <v>41</v>
      </c>
      <c r="F79" s="466"/>
      <c r="G79" s="45">
        <f t="shared" si="1"/>
        <v>82</v>
      </c>
    </row>
    <row r="80" ht="12.0" customHeight="1">
      <c r="A80" s="49">
        <f t="shared" si="4"/>
        <v>83</v>
      </c>
      <c r="B80" s="46">
        <f t="shared" si="5"/>
        <v>8.7</v>
      </c>
      <c r="C80" s="46">
        <f t="shared" si="6"/>
        <v>1.47</v>
      </c>
      <c r="D80" s="46">
        <f t="shared" si="7"/>
        <v>4.39</v>
      </c>
      <c r="E80" s="46">
        <f t="shared" si="8"/>
        <v>41.5</v>
      </c>
      <c r="F80" s="466"/>
      <c r="G80" s="45">
        <f t="shared" si="1"/>
        <v>83</v>
      </c>
    </row>
    <row r="81" ht="12.0" customHeight="1">
      <c r="A81" s="49">
        <f t="shared" si="4"/>
        <v>84</v>
      </c>
      <c r="B81" s="46">
        <f t="shared" si="5"/>
        <v>8.6</v>
      </c>
      <c r="C81" s="46">
        <f t="shared" si="6"/>
        <v>1.46</v>
      </c>
      <c r="D81" s="46">
        <f t="shared" si="7"/>
        <v>4.42</v>
      </c>
      <c r="E81" s="46">
        <f t="shared" si="8"/>
        <v>42</v>
      </c>
      <c r="F81" s="466"/>
      <c r="G81" s="45">
        <f t="shared" si="1"/>
        <v>84</v>
      </c>
    </row>
    <row r="82" ht="12.0" customHeight="1">
      <c r="A82" s="49">
        <f t="shared" si="4"/>
        <v>85</v>
      </c>
      <c r="B82" s="46">
        <f t="shared" si="5"/>
        <v>8.5</v>
      </c>
      <c r="C82" s="46">
        <f t="shared" si="6"/>
        <v>1.45</v>
      </c>
      <c r="D82" s="46">
        <f t="shared" si="7"/>
        <v>4.45</v>
      </c>
      <c r="E82" s="46">
        <f t="shared" si="8"/>
        <v>42.5</v>
      </c>
      <c r="F82" s="466"/>
      <c r="G82" s="45">
        <f t="shared" si="1"/>
        <v>85</v>
      </c>
    </row>
    <row r="83" ht="12.0" customHeight="1">
      <c r="A83" s="49">
        <f t="shared" si="4"/>
        <v>86</v>
      </c>
      <c r="B83" s="46">
        <f t="shared" si="5"/>
        <v>8.4</v>
      </c>
      <c r="C83" s="46">
        <f t="shared" si="6"/>
        <v>1.44</v>
      </c>
      <c r="D83" s="46">
        <f t="shared" si="7"/>
        <v>4.48</v>
      </c>
      <c r="E83" s="46">
        <f t="shared" si="8"/>
        <v>43</v>
      </c>
      <c r="F83" s="466"/>
      <c r="G83" s="45">
        <f t="shared" si="1"/>
        <v>86</v>
      </c>
    </row>
    <row r="84" ht="12.0" customHeight="1">
      <c r="A84" s="49">
        <f t="shared" si="4"/>
        <v>87</v>
      </c>
      <c r="B84" s="46">
        <f t="shared" si="5"/>
        <v>8.3</v>
      </c>
      <c r="C84" s="46">
        <f t="shared" si="6"/>
        <v>1.43</v>
      </c>
      <c r="D84" s="46">
        <f t="shared" si="7"/>
        <v>4.51</v>
      </c>
      <c r="E84" s="46">
        <f t="shared" si="8"/>
        <v>43.5</v>
      </c>
      <c r="F84" s="466"/>
      <c r="G84" s="45">
        <f t="shared" si="1"/>
        <v>87</v>
      </c>
    </row>
    <row r="85" ht="12.0" customHeight="1">
      <c r="A85" s="49">
        <f t="shared" si="4"/>
        <v>88</v>
      </c>
      <c r="B85" s="46">
        <f t="shared" si="5"/>
        <v>8.2</v>
      </c>
      <c r="C85" s="46">
        <f t="shared" si="6"/>
        <v>1.42</v>
      </c>
      <c r="D85" s="46">
        <f t="shared" si="7"/>
        <v>4.54</v>
      </c>
      <c r="E85" s="46">
        <f t="shared" si="8"/>
        <v>44</v>
      </c>
      <c r="F85" s="466"/>
      <c r="G85" s="45">
        <f t="shared" si="1"/>
        <v>88</v>
      </c>
    </row>
    <row r="86" ht="12.0" customHeight="1">
      <c r="A86" s="49">
        <f t="shared" si="4"/>
        <v>89</v>
      </c>
      <c r="B86" s="46">
        <f t="shared" si="5"/>
        <v>8.1</v>
      </c>
      <c r="C86" s="46">
        <f t="shared" si="6"/>
        <v>1.41</v>
      </c>
      <c r="D86" s="46">
        <f t="shared" si="7"/>
        <v>4.57</v>
      </c>
      <c r="E86" s="46">
        <f t="shared" si="8"/>
        <v>44.5</v>
      </c>
      <c r="F86" s="466"/>
      <c r="G86" s="45">
        <f t="shared" si="1"/>
        <v>89</v>
      </c>
    </row>
    <row r="87" ht="12.0" customHeight="1">
      <c r="A87" s="49">
        <f t="shared" si="4"/>
        <v>90</v>
      </c>
      <c r="B87" s="46">
        <f t="shared" si="5"/>
        <v>8</v>
      </c>
      <c r="C87" s="46">
        <f t="shared" si="6"/>
        <v>1.4</v>
      </c>
      <c r="D87" s="46">
        <f t="shared" si="7"/>
        <v>4.6</v>
      </c>
      <c r="E87" s="46">
        <f t="shared" si="8"/>
        <v>45</v>
      </c>
      <c r="F87" s="466"/>
      <c r="G87" s="45">
        <f t="shared" si="1"/>
        <v>90</v>
      </c>
    </row>
    <row r="88" ht="12.0" customHeight="1">
      <c r="A88" s="49">
        <f t="shared" si="4"/>
        <v>91</v>
      </c>
      <c r="B88" s="46">
        <f t="shared" si="5"/>
        <v>7.9</v>
      </c>
      <c r="C88" s="46">
        <f t="shared" si="6"/>
        <v>1.39</v>
      </c>
      <c r="D88" s="46">
        <f t="shared" si="7"/>
        <v>4.63</v>
      </c>
      <c r="E88" s="46">
        <f t="shared" si="8"/>
        <v>45.5</v>
      </c>
      <c r="F88" s="466"/>
      <c r="G88" s="45">
        <f t="shared" si="1"/>
        <v>91</v>
      </c>
    </row>
    <row r="89" ht="12.0" customHeight="1">
      <c r="A89" s="49">
        <f t="shared" si="4"/>
        <v>92</v>
      </c>
      <c r="B89" s="46">
        <f t="shared" si="5"/>
        <v>7.8</v>
      </c>
      <c r="C89" s="46">
        <f t="shared" si="6"/>
        <v>1.38</v>
      </c>
      <c r="D89" s="46">
        <f t="shared" si="7"/>
        <v>4.66</v>
      </c>
      <c r="E89" s="46">
        <f t="shared" si="8"/>
        <v>46</v>
      </c>
      <c r="F89" s="466"/>
      <c r="G89" s="45">
        <f t="shared" si="1"/>
        <v>92</v>
      </c>
    </row>
    <row r="90" ht="12.0" customHeight="1">
      <c r="A90" s="49">
        <f t="shared" si="4"/>
        <v>93</v>
      </c>
      <c r="B90" s="46">
        <f t="shared" si="5"/>
        <v>7.7</v>
      </c>
      <c r="C90" s="46">
        <f t="shared" si="6"/>
        <v>1.37</v>
      </c>
      <c r="D90" s="46">
        <f t="shared" si="7"/>
        <v>4.69</v>
      </c>
      <c r="E90" s="46">
        <f t="shared" si="8"/>
        <v>46.5</v>
      </c>
      <c r="F90" s="466"/>
      <c r="G90" s="45">
        <f t="shared" si="1"/>
        <v>93</v>
      </c>
    </row>
    <row r="91" ht="12.0" customHeight="1">
      <c r="A91" s="49">
        <f t="shared" si="4"/>
        <v>94</v>
      </c>
      <c r="B91" s="46">
        <f t="shared" si="5"/>
        <v>7.6</v>
      </c>
      <c r="C91" s="46">
        <f t="shared" si="6"/>
        <v>1.36</v>
      </c>
      <c r="D91" s="46">
        <f t="shared" si="7"/>
        <v>4.72</v>
      </c>
      <c r="E91" s="46">
        <f t="shared" si="8"/>
        <v>47</v>
      </c>
      <c r="F91" s="466"/>
      <c r="G91" s="45">
        <f t="shared" si="1"/>
        <v>94</v>
      </c>
    </row>
    <row r="92" ht="12.0" customHeight="1">
      <c r="A92" s="49">
        <f t="shared" si="4"/>
        <v>95</v>
      </c>
      <c r="B92" s="46">
        <f t="shared" si="5"/>
        <v>7.5</v>
      </c>
      <c r="C92" s="46">
        <f t="shared" si="6"/>
        <v>1.35</v>
      </c>
      <c r="D92" s="46">
        <f t="shared" si="7"/>
        <v>4.75</v>
      </c>
      <c r="E92" s="46">
        <f t="shared" si="8"/>
        <v>47.5</v>
      </c>
      <c r="F92" s="466"/>
      <c r="G92" s="45">
        <f t="shared" si="1"/>
        <v>95</v>
      </c>
    </row>
    <row r="93" ht="12.0" customHeight="1">
      <c r="A93" s="49">
        <f t="shared" si="4"/>
        <v>96</v>
      </c>
      <c r="B93" s="46">
        <f t="shared" si="5"/>
        <v>7.4</v>
      </c>
      <c r="C93" s="46">
        <f t="shared" si="6"/>
        <v>1.34</v>
      </c>
      <c r="D93" s="46">
        <f t="shared" si="7"/>
        <v>4.78</v>
      </c>
      <c r="E93" s="46">
        <f t="shared" si="8"/>
        <v>48</v>
      </c>
      <c r="F93" s="466"/>
      <c r="G93" s="45">
        <f t="shared" si="1"/>
        <v>96</v>
      </c>
    </row>
    <row r="94" ht="12.0" customHeight="1">
      <c r="A94" s="49">
        <f t="shared" si="4"/>
        <v>97</v>
      </c>
      <c r="B94" s="46">
        <f t="shared" si="5"/>
        <v>7.3</v>
      </c>
      <c r="C94" s="46">
        <f t="shared" si="6"/>
        <v>1.33</v>
      </c>
      <c r="D94" s="46">
        <f t="shared" si="7"/>
        <v>4.81</v>
      </c>
      <c r="E94" s="46">
        <f t="shared" si="8"/>
        <v>48.5</v>
      </c>
      <c r="F94" s="466"/>
      <c r="G94" s="45">
        <f t="shared" si="1"/>
        <v>97</v>
      </c>
    </row>
    <row r="95" ht="12.0" customHeight="1">
      <c r="A95" s="49">
        <f t="shared" si="4"/>
        <v>98</v>
      </c>
      <c r="B95" s="46">
        <f t="shared" si="5"/>
        <v>7.2</v>
      </c>
      <c r="C95" s="46">
        <f t="shared" si="6"/>
        <v>1.32</v>
      </c>
      <c r="D95" s="46">
        <f t="shared" si="7"/>
        <v>4.84</v>
      </c>
      <c r="E95" s="46">
        <f t="shared" si="8"/>
        <v>49</v>
      </c>
      <c r="F95" s="466"/>
      <c r="G95" s="45">
        <f t="shared" si="1"/>
        <v>98</v>
      </c>
    </row>
    <row r="96" ht="12.0" customHeight="1">
      <c r="A96" s="49">
        <f t="shared" si="4"/>
        <v>99</v>
      </c>
      <c r="B96" s="46">
        <f t="shared" si="5"/>
        <v>7.1</v>
      </c>
      <c r="C96" s="46">
        <f t="shared" si="6"/>
        <v>1.31</v>
      </c>
      <c r="D96" s="46">
        <f t="shared" si="7"/>
        <v>4.87</v>
      </c>
      <c r="E96" s="46">
        <f t="shared" si="8"/>
        <v>49.5</v>
      </c>
      <c r="F96" s="466"/>
      <c r="G96" s="45">
        <f t="shared" si="1"/>
        <v>99</v>
      </c>
    </row>
    <row r="97" ht="12.0" customHeight="1">
      <c r="A97" s="331">
        <f t="shared" si="4"/>
        <v>100</v>
      </c>
      <c r="B97" s="332">
        <f t="shared" si="5"/>
        <v>7</v>
      </c>
      <c r="C97" s="332">
        <f t="shared" si="6"/>
        <v>1.3</v>
      </c>
      <c r="D97" s="332">
        <f t="shared" si="7"/>
        <v>4.9</v>
      </c>
      <c r="E97" s="332">
        <f t="shared" si="8"/>
        <v>50</v>
      </c>
      <c r="F97" s="469"/>
      <c r="G97" s="333">
        <f t="shared" si="1"/>
        <v>100</v>
      </c>
    </row>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G1"/>
    <mergeCell ref="B2:E2"/>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5.71"/>
    <col customWidth="1" min="2" max="26" width="8.0"/>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0000"/>
    <pageSetUpPr/>
  </sheetPr>
  <sheetViews>
    <sheetView showGridLines="0" workbookViewId="0"/>
  </sheetViews>
  <sheetFormatPr customHeight="1" defaultColWidth="14.43" defaultRowHeight="15.0"/>
  <cols>
    <col customWidth="1" min="1" max="1" width="15.57"/>
    <col customWidth="1" min="2" max="2" width="2.57"/>
    <col customWidth="1" min="3" max="3" width="9.14"/>
    <col customWidth="1" min="4" max="4" width="10.57"/>
    <col customWidth="1" min="5" max="6" width="9.14"/>
    <col customWidth="1" min="7" max="7" width="3.71"/>
    <col customWidth="1" min="8" max="8" width="35.71"/>
    <col customWidth="1" min="9" max="13" width="9.14"/>
    <col customWidth="1" min="14" max="26" width="8.0"/>
  </cols>
  <sheetData>
    <row r="1" ht="12.75" customHeight="1">
      <c r="A1" s="1"/>
      <c r="B1" s="1"/>
      <c r="C1" s="1"/>
      <c r="D1" s="1"/>
      <c r="E1" s="1"/>
      <c r="F1" s="1"/>
      <c r="G1" s="1"/>
      <c r="H1" s="1"/>
      <c r="I1" s="66" t="s">
        <v>2</v>
      </c>
      <c r="J1" s="1"/>
      <c r="K1" s="1"/>
      <c r="L1" s="1"/>
      <c r="M1" s="1"/>
      <c r="N1" s="1"/>
      <c r="O1" s="1"/>
      <c r="P1" s="1"/>
      <c r="Q1" s="1"/>
      <c r="R1" s="1"/>
      <c r="S1" s="1"/>
      <c r="T1" s="1"/>
      <c r="U1" s="1"/>
      <c r="V1" s="1"/>
      <c r="W1" s="1"/>
      <c r="X1" s="1"/>
      <c r="Y1" s="1"/>
      <c r="Z1" s="1"/>
    </row>
    <row r="2" ht="12.75" customHeight="1">
      <c r="A2" s="1"/>
      <c r="B2" s="1"/>
      <c r="C2" s="1"/>
      <c r="D2" s="1"/>
      <c r="E2" s="1"/>
      <c r="F2" s="1"/>
      <c r="G2" s="1"/>
      <c r="H2" s="1"/>
      <c r="I2" s="1"/>
      <c r="J2" s="1"/>
      <c r="K2" s="1"/>
      <c r="L2" s="1"/>
      <c r="M2" s="1"/>
      <c r="N2" s="1"/>
      <c r="O2" s="1"/>
      <c r="P2" s="1"/>
      <c r="Q2" s="1"/>
      <c r="R2" s="1"/>
      <c r="S2" s="1"/>
      <c r="T2" s="1"/>
      <c r="U2" s="1"/>
      <c r="V2" s="1"/>
      <c r="W2" s="1"/>
      <c r="X2" s="1"/>
      <c r="Y2" s="1"/>
      <c r="Z2" s="1"/>
    </row>
    <row r="3" ht="12.75" customHeight="1">
      <c r="A3" s="1"/>
      <c r="B3" s="1"/>
      <c r="C3" s="1"/>
      <c r="D3" s="1"/>
      <c r="E3" s="1"/>
      <c r="F3" s="1"/>
      <c r="G3" s="1"/>
      <c r="H3" s="1"/>
      <c r="I3" s="1"/>
      <c r="J3" s="1"/>
      <c r="K3" s="1"/>
      <c r="L3" s="1"/>
      <c r="M3" s="1"/>
      <c r="N3" s="1"/>
      <c r="O3" s="1"/>
      <c r="P3" s="1"/>
      <c r="Q3" s="1"/>
      <c r="R3" s="1"/>
      <c r="S3" s="1"/>
      <c r="T3" s="1"/>
      <c r="U3" s="1"/>
      <c r="V3" s="1"/>
      <c r="W3" s="1"/>
      <c r="X3" s="1"/>
      <c r="Y3" s="1"/>
      <c r="Z3" s="1"/>
    </row>
    <row r="4" ht="12.75" customHeight="1">
      <c r="A4" s="1"/>
      <c r="B4" s="1"/>
      <c r="C4" s="1"/>
      <c r="D4" s="1"/>
      <c r="E4" s="1"/>
      <c r="F4" s="1"/>
      <c r="G4" s="1"/>
      <c r="H4" s="1"/>
      <c r="I4" s="1"/>
      <c r="J4" s="1"/>
      <c r="K4" s="1"/>
      <c r="L4" s="1"/>
      <c r="M4" s="1"/>
      <c r="N4" s="1"/>
      <c r="O4" s="1"/>
      <c r="P4" s="1"/>
      <c r="Q4" s="1"/>
      <c r="R4" s="1"/>
      <c r="S4" s="1"/>
      <c r="T4" s="1"/>
      <c r="U4" s="1"/>
      <c r="V4" s="1"/>
      <c r="W4" s="1"/>
      <c r="X4" s="1"/>
      <c r="Y4" s="1"/>
      <c r="Z4" s="1"/>
    </row>
    <row r="5" ht="12.75" customHeight="1">
      <c r="A5" s="1"/>
      <c r="B5" s="1"/>
      <c r="C5" s="1"/>
      <c r="D5" s="1"/>
      <c r="E5" s="1"/>
      <c r="F5" s="1"/>
      <c r="G5" s="1"/>
      <c r="H5" s="1"/>
      <c r="I5" s="1"/>
      <c r="J5" s="1"/>
      <c r="K5" s="1"/>
      <c r="L5" s="1"/>
      <c r="M5" s="1"/>
      <c r="N5" s="1"/>
      <c r="O5" s="1"/>
      <c r="P5" s="1"/>
      <c r="Q5" s="1"/>
      <c r="R5" s="1"/>
      <c r="S5" s="1"/>
      <c r="T5" s="1"/>
      <c r="U5" s="1"/>
      <c r="V5" s="1"/>
      <c r="W5" s="1"/>
      <c r="X5" s="1"/>
      <c r="Y5" s="1"/>
      <c r="Z5" s="1"/>
    </row>
    <row r="6" ht="12.75" customHeight="1">
      <c r="A6" s="1"/>
      <c r="B6" s="1"/>
      <c r="C6" s="1"/>
      <c r="D6" s="1"/>
      <c r="E6" s="1"/>
      <c r="F6" s="1"/>
      <c r="G6" s="1"/>
      <c r="H6" s="1"/>
      <c r="I6" s="1"/>
      <c r="J6" s="1"/>
      <c r="K6" s="1"/>
      <c r="L6" s="1"/>
      <c r="M6" s="1"/>
      <c r="N6" s="1"/>
      <c r="O6" s="1"/>
      <c r="P6" s="1"/>
      <c r="Q6" s="1"/>
      <c r="R6" s="1"/>
      <c r="S6" s="1"/>
      <c r="T6" s="1"/>
      <c r="U6" s="1"/>
      <c r="V6" s="1"/>
      <c r="W6" s="1"/>
      <c r="X6" s="1"/>
      <c r="Y6" s="1"/>
      <c r="Z6" s="1"/>
    </row>
    <row r="7" ht="12.75" customHeight="1">
      <c r="A7" s="1"/>
      <c r="B7" s="1"/>
      <c r="C7" s="1"/>
      <c r="D7" s="1"/>
      <c r="E7" s="1"/>
      <c r="F7" s="1"/>
      <c r="G7" s="1"/>
      <c r="H7" s="1"/>
      <c r="I7" s="1"/>
      <c r="J7" s="1"/>
      <c r="K7" s="1"/>
      <c r="L7" s="1"/>
      <c r="M7" s="1"/>
      <c r="N7" s="1"/>
      <c r="O7" s="1"/>
      <c r="P7" s="1"/>
      <c r="Q7" s="1"/>
      <c r="R7" s="1"/>
      <c r="S7" s="1"/>
      <c r="T7" s="1"/>
      <c r="U7" s="1"/>
      <c r="V7" s="1"/>
      <c r="W7" s="1"/>
      <c r="X7" s="1"/>
      <c r="Y7" s="1"/>
      <c r="Z7" s="1"/>
    </row>
    <row r="8" ht="12.75" customHeight="1">
      <c r="A8" s="1"/>
      <c r="B8" s="1"/>
      <c r="C8" s="1"/>
      <c r="D8" s="1"/>
      <c r="E8" s="1"/>
      <c r="F8" s="1"/>
      <c r="G8" s="1"/>
      <c r="H8" s="1"/>
      <c r="I8" s="1"/>
      <c r="J8" s="1"/>
      <c r="K8" s="1"/>
      <c r="L8" s="1"/>
      <c r="M8" s="1"/>
      <c r="N8" s="1"/>
      <c r="O8" s="1"/>
      <c r="P8" s="1"/>
      <c r="Q8" s="1"/>
      <c r="R8" s="1"/>
      <c r="S8" s="1"/>
      <c r="T8" s="1"/>
      <c r="U8" s="1"/>
      <c r="V8" s="1"/>
      <c r="W8" s="1"/>
      <c r="X8" s="1"/>
      <c r="Y8" s="1"/>
      <c r="Z8" s="1"/>
    </row>
    <row r="9" ht="12.75" customHeight="1">
      <c r="A9" s="1"/>
      <c r="B9" s="1"/>
      <c r="C9" s="1"/>
      <c r="D9" s="1"/>
      <c r="E9" s="1"/>
      <c r="F9" s="1"/>
      <c r="G9" s="1"/>
      <c r="H9" s="1"/>
      <c r="I9" s="1"/>
      <c r="J9" s="1"/>
      <c r="K9" s="1"/>
      <c r="L9" s="1"/>
      <c r="M9" s="1"/>
      <c r="N9" s="1"/>
      <c r="O9" s="1"/>
      <c r="P9" s="1"/>
      <c r="Q9" s="1"/>
      <c r="R9" s="1"/>
      <c r="S9" s="1"/>
      <c r="T9" s="1"/>
      <c r="U9" s="1"/>
      <c r="V9" s="1"/>
      <c r="W9" s="1"/>
      <c r="X9" s="1"/>
      <c r="Y9" s="1"/>
      <c r="Z9" s="1"/>
    </row>
    <row r="10" ht="12.7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2.7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2.7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67" t="s">
        <v>74</v>
      </c>
      <c r="B13" s="1"/>
      <c r="C13" s="68" t="s">
        <v>75</v>
      </c>
      <c r="D13" s="69"/>
      <c r="E13" s="69"/>
      <c r="F13" s="69"/>
      <c r="G13" s="69"/>
      <c r="H13" s="70"/>
      <c r="I13" s="1"/>
      <c r="J13" s="1"/>
      <c r="K13" s="1"/>
      <c r="L13" s="1"/>
      <c r="M13" s="1"/>
      <c r="N13" s="1"/>
      <c r="O13" s="1"/>
      <c r="P13" s="1"/>
      <c r="Q13" s="1"/>
      <c r="R13" s="1"/>
      <c r="S13" s="1"/>
      <c r="T13" s="1"/>
      <c r="U13" s="1"/>
      <c r="V13" s="1"/>
      <c r="W13" s="1"/>
      <c r="X13" s="1"/>
      <c r="Y13" s="1"/>
      <c r="Z13" s="1"/>
    </row>
    <row r="14" ht="12.75" customHeight="1">
      <c r="A14" s="7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67" t="s">
        <v>76</v>
      </c>
      <c r="B15" s="1"/>
      <c r="C15" s="72">
        <v>43555.0</v>
      </c>
      <c r="D15" s="70"/>
      <c r="E15" s="1"/>
      <c r="F15" s="1"/>
      <c r="G15" s="1"/>
      <c r="H15" s="1"/>
      <c r="I15" s="1"/>
      <c r="J15" s="1"/>
      <c r="K15" s="1"/>
      <c r="L15" s="1"/>
      <c r="M15" s="1"/>
      <c r="N15" s="1"/>
      <c r="O15" s="1"/>
      <c r="P15" s="1"/>
      <c r="Q15" s="1"/>
      <c r="R15" s="1"/>
      <c r="S15" s="1"/>
      <c r="T15" s="1"/>
      <c r="U15" s="1"/>
      <c r="V15" s="1"/>
      <c r="W15" s="1"/>
      <c r="X15" s="1"/>
      <c r="Y15" s="1"/>
      <c r="Z15" s="1"/>
    </row>
    <row r="16" ht="12.75" customHeight="1">
      <c r="A16" s="71"/>
      <c r="B16" s="1"/>
      <c r="C16" s="1"/>
      <c r="D16" s="1"/>
      <c r="E16" s="1"/>
      <c r="F16" s="1"/>
      <c r="G16" s="1"/>
      <c r="H16" s="1"/>
      <c r="I16" s="1"/>
      <c r="J16" s="1"/>
      <c r="K16" s="1"/>
      <c r="L16" s="1"/>
      <c r="M16" s="1"/>
      <c r="N16" s="1"/>
      <c r="O16" s="1"/>
      <c r="P16" s="1"/>
      <c r="Q16" s="1"/>
      <c r="R16" s="1"/>
      <c r="S16" s="1"/>
      <c r="T16" s="1"/>
      <c r="U16" s="1"/>
      <c r="V16" s="1"/>
      <c r="W16" s="1"/>
      <c r="X16" s="1"/>
      <c r="Y16" s="1"/>
      <c r="Z16" s="1"/>
    </row>
    <row r="17" ht="15.0" customHeight="1">
      <c r="A17" s="67" t="s">
        <v>77</v>
      </c>
      <c r="B17" s="1"/>
      <c r="C17" s="73" t="s">
        <v>60</v>
      </c>
      <c r="D17" s="69"/>
      <c r="E17" s="69"/>
      <c r="F17" s="70"/>
      <c r="G17" s="1"/>
      <c r="H17" s="74" t="str">
        <f>+TypeMessage</f>
        <v>&lt;-- Please select the type of QuadKids competition. If you do not then the default option is 'QuadKids Primary'</v>
      </c>
      <c r="I17" s="1"/>
      <c r="J17" s="1"/>
      <c r="K17" s="1"/>
      <c r="L17" s="1"/>
      <c r="M17" s="1"/>
      <c r="N17" s="1"/>
      <c r="O17" s="1"/>
      <c r="P17" s="1"/>
      <c r="Q17" s="1"/>
      <c r="R17" s="1"/>
      <c r="S17" s="1"/>
      <c r="T17" s="1"/>
      <c r="U17" s="1"/>
      <c r="V17" s="1"/>
      <c r="W17" s="1"/>
      <c r="X17" s="1"/>
      <c r="Y17" s="1"/>
      <c r="Z17" s="1"/>
    </row>
    <row r="18" ht="15.0"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0" customHeight="1">
      <c r="A19" s="67" t="s">
        <v>78</v>
      </c>
      <c r="B19" s="1"/>
      <c r="C19" s="68" t="s">
        <v>79</v>
      </c>
      <c r="D19" s="69"/>
      <c r="E19" s="69"/>
      <c r="F19" s="69"/>
      <c r="G19" s="69"/>
      <c r="H19" s="70"/>
      <c r="I19" s="1"/>
      <c r="J19" s="1"/>
      <c r="K19" s="1"/>
      <c r="L19" s="1"/>
      <c r="M19" s="1"/>
      <c r="N19" s="1"/>
      <c r="O19" s="1"/>
      <c r="P19" s="1"/>
      <c r="Q19" s="1"/>
      <c r="R19" s="1"/>
      <c r="S19" s="1"/>
      <c r="T19" s="1"/>
      <c r="U19" s="1"/>
      <c r="V19" s="1"/>
      <c r="W19" s="1"/>
      <c r="X19" s="1"/>
      <c r="Y19" s="1"/>
      <c r="Z19" s="1"/>
    </row>
    <row r="20" ht="12.75" customHeight="1">
      <c r="A20" s="1"/>
      <c r="B20" s="1"/>
      <c r="C20" s="75" t="str">
        <f>IF(ISBLANK(conftype),"*** The default option of  "&amp;DefaultComp&amp;" has been selected! ***","")</f>
        <v/>
      </c>
      <c r="D20" s="1"/>
      <c r="E20" s="1"/>
      <c r="F20" s="1"/>
      <c r="G20" s="1"/>
      <c r="H20" s="1"/>
      <c r="I20" s="1"/>
      <c r="J20" s="1"/>
      <c r="K20" s="1"/>
      <c r="L20" s="1"/>
      <c r="M20" s="1"/>
      <c r="N20" s="1"/>
      <c r="O20" s="1"/>
      <c r="P20" s="1"/>
      <c r="Q20" s="1"/>
      <c r="R20" s="1"/>
      <c r="S20" s="1"/>
      <c r="T20" s="1"/>
      <c r="U20" s="1"/>
      <c r="V20" s="1"/>
      <c r="W20" s="1"/>
      <c r="X20" s="1"/>
      <c r="Y20" s="1"/>
      <c r="Z20" s="1"/>
    </row>
    <row r="21" ht="18.0" hidden="1" customHeight="1">
      <c r="A21" s="76" t="s">
        <v>80</v>
      </c>
      <c r="B21" s="1"/>
      <c r="C21" s="77"/>
      <c r="D21" s="1"/>
      <c r="E21" s="1"/>
      <c r="F21" s="1"/>
      <c r="G21" s="1"/>
      <c r="H21" s="78" t="str">
        <f>+SelectMessage</f>
        <v>QuadKids Start = Years 3/4
QuadKids Primary = Years 5/6
QuadKids Secondary = Year 7/8
QuadKids Club U9   - Under 9s
QuadKids Club        - Under 11s
QuadKids Club U13 - Under 13s</v>
      </c>
      <c r="I21" s="1"/>
      <c r="J21" s="1"/>
      <c r="K21" s="1"/>
      <c r="L21" s="1"/>
      <c r="M21" s="1"/>
      <c r="N21" s="1"/>
      <c r="O21" s="1"/>
      <c r="P21" s="1"/>
      <c r="Q21" s="1"/>
      <c r="R21" s="1"/>
      <c r="S21" s="1"/>
      <c r="T21" s="1"/>
      <c r="U21" s="1"/>
      <c r="V21" s="1"/>
      <c r="W21" s="1"/>
      <c r="X21" s="1"/>
      <c r="Y21" s="1"/>
      <c r="Z21" s="1"/>
    </row>
    <row r="22" ht="12.75" customHeight="1">
      <c r="A22" s="1"/>
      <c r="B22" s="1"/>
      <c r="C22" s="1"/>
      <c r="D22" s="1"/>
      <c r="E22" s="1"/>
      <c r="F22" s="1"/>
      <c r="G22" s="1"/>
      <c r="H22" s="79"/>
      <c r="I22" s="1"/>
      <c r="J22" s="1"/>
      <c r="K22" s="1"/>
      <c r="L22" s="1"/>
      <c r="M22" s="1"/>
      <c r="N22" s="1"/>
      <c r="O22" s="1"/>
      <c r="P22" s="1"/>
      <c r="Q22" s="1"/>
      <c r="R22" s="1"/>
      <c r="S22" s="1"/>
      <c r="T22" s="1"/>
      <c r="U22" s="1"/>
      <c r="V22" s="1"/>
      <c r="W22" s="1"/>
      <c r="X22" s="1"/>
      <c r="Y22" s="1"/>
      <c r="Z22" s="1"/>
    </row>
    <row r="23" ht="18.0" customHeight="1">
      <c r="A23" s="67" t="s">
        <v>81</v>
      </c>
      <c r="B23" s="1"/>
      <c r="C23" s="77" t="s">
        <v>82</v>
      </c>
      <c r="D23" s="1"/>
      <c r="E23" s="1"/>
      <c r="F23" s="1"/>
      <c r="G23" s="1"/>
      <c r="H23" s="79"/>
      <c r="I23" s="1"/>
      <c r="J23" s="1"/>
      <c r="K23" s="1"/>
      <c r="L23" s="1"/>
      <c r="M23" s="1"/>
      <c r="N23" s="1"/>
      <c r="O23" s="1"/>
      <c r="P23" s="1"/>
      <c r="Q23" s="1"/>
      <c r="R23" s="1"/>
      <c r="S23" s="1"/>
      <c r="T23" s="1"/>
      <c r="U23" s="1"/>
      <c r="V23" s="1"/>
      <c r="W23" s="1"/>
      <c r="X23" s="1"/>
      <c r="Y23" s="1"/>
      <c r="Z23" s="1"/>
    </row>
    <row r="24" ht="12.75" customHeight="1">
      <c r="A24" s="71"/>
      <c r="B24" s="1"/>
      <c r="C24" s="1"/>
      <c r="D24" s="1"/>
      <c r="E24" s="1"/>
      <c r="F24" s="1"/>
      <c r="G24" s="1"/>
      <c r="H24" s="79"/>
      <c r="I24" s="1"/>
      <c r="J24" s="1"/>
      <c r="K24" s="1"/>
      <c r="L24" s="1"/>
      <c r="M24" s="1"/>
      <c r="N24" s="1"/>
      <c r="O24" s="1"/>
      <c r="P24" s="1"/>
      <c r="Q24" s="1"/>
      <c r="R24" s="1"/>
      <c r="S24" s="1"/>
      <c r="T24" s="1"/>
      <c r="U24" s="1"/>
      <c r="V24" s="1"/>
      <c r="W24" s="1"/>
      <c r="X24" s="1"/>
      <c r="Y24" s="1"/>
      <c r="Z24" s="1"/>
    </row>
    <row r="25" ht="18.0" customHeight="1">
      <c r="A25" s="67" t="s">
        <v>83</v>
      </c>
      <c r="B25" s="1"/>
      <c r="C25" s="77" t="s">
        <v>82</v>
      </c>
      <c r="D25" s="1"/>
      <c r="E25" s="1"/>
      <c r="F25" s="1"/>
      <c r="G25" s="1"/>
      <c r="H25" s="80"/>
      <c r="I25" s="1"/>
      <c r="J25" s="1"/>
      <c r="K25" s="1"/>
      <c r="L25" s="1"/>
      <c r="M25" s="1"/>
      <c r="N25" s="1"/>
      <c r="O25" s="1"/>
      <c r="P25" s="1"/>
      <c r="Q25" s="1"/>
      <c r="R25" s="1"/>
      <c r="S25" s="1"/>
      <c r="T25" s="1"/>
      <c r="U25" s="1"/>
      <c r="V25" s="1"/>
      <c r="W25" s="1"/>
      <c r="X25" s="1"/>
      <c r="Y25" s="1"/>
      <c r="Z25" s="1"/>
    </row>
    <row r="26" ht="12.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2.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2.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32.25" customHeight="1">
      <c r="A29" s="81" t="s">
        <v>84</v>
      </c>
      <c r="M29" s="1"/>
      <c r="N29" s="1"/>
      <c r="O29" s="1"/>
      <c r="P29" s="1"/>
      <c r="Q29" s="1"/>
      <c r="R29" s="1"/>
      <c r="S29" s="1"/>
      <c r="T29" s="1"/>
      <c r="U29" s="1"/>
      <c r="V29" s="1"/>
      <c r="W29" s="1"/>
      <c r="X29" s="1"/>
      <c r="Y29" s="1"/>
      <c r="Z29" s="1"/>
    </row>
    <row r="30" ht="12.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8.0" customHeight="1">
      <c r="A31" s="82" t="s">
        <v>85</v>
      </c>
      <c r="I31" s="83" t="s">
        <v>86</v>
      </c>
      <c r="M31" s="1"/>
      <c r="N31" s="1"/>
      <c r="O31" s="1"/>
      <c r="P31" s="1"/>
      <c r="Q31" s="1"/>
      <c r="R31" s="1"/>
      <c r="S31" s="1"/>
      <c r="T31" s="1"/>
      <c r="U31" s="1"/>
      <c r="V31" s="1"/>
      <c r="W31" s="1"/>
      <c r="X31" s="1"/>
      <c r="Y31" s="1"/>
      <c r="Z31" s="1"/>
    </row>
    <row r="32" ht="15.0" customHeight="1">
      <c r="A32" s="1"/>
      <c r="B32" s="84"/>
      <c r="C32" s="84"/>
      <c r="D32" s="84"/>
      <c r="E32" s="84"/>
      <c r="F32" s="84"/>
      <c r="G32" s="84"/>
      <c r="H32" s="84"/>
      <c r="I32" s="84"/>
      <c r="J32" s="84"/>
      <c r="K32" s="84"/>
      <c r="L32" s="84"/>
      <c r="M32" s="84"/>
      <c r="N32" s="1"/>
      <c r="O32" s="1"/>
      <c r="P32" s="1"/>
      <c r="Q32" s="1"/>
      <c r="R32" s="1"/>
      <c r="S32" s="1"/>
      <c r="T32" s="1"/>
      <c r="U32" s="1"/>
      <c r="V32" s="1"/>
      <c r="W32" s="1"/>
      <c r="X32" s="1"/>
      <c r="Y32" s="1"/>
      <c r="Z32" s="1"/>
    </row>
    <row r="33" ht="15.75" customHeight="1">
      <c r="A33" s="82" t="s">
        <v>87</v>
      </c>
      <c r="I33" s="85" t="s">
        <v>88</v>
      </c>
      <c r="N33" s="1"/>
      <c r="O33" s="1"/>
      <c r="P33" s="1"/>
      <c r="Q33" s="1"/>
      <c r="R33" s="1"/>
      <c r="S33" s="1"/>
      <c r="T33" s="1"/>
      <c r="U33" s="1"/>
      <c r="V33" s="1"/>
      <c r="W33" s="1"/>
      <c r="X33" s="1"/>
      <c r="Y33" s="1"/>
      <c r="Z33" s="1"/>
    </row>
    <row r="34"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8.0" customHeight="1">
      <c r="A37" s="86" t="s">
        <v>89</v>
      </c>
      <c r="B37" s="1"/>
      <c r="C37" s="1"/>
      <c r="D37" s="1"/>
      <c r="E37" s="1"/>
      <c r="F37" s="1"/>
      <c r="G37" s="1"/>
      <c r="H37" s="1"/>
      <c r="I37" s="1"/>
      <c r="J37" s="1"/>
      <c r="K37" s="1"/>
      <c r="L37" s="1"/>
      <c r="M37" s="1"/>
      <c r="N37" s="1"/>
      <c r="O37" s="1"/>
      <c r="P37" s="1"/>
      <c r="Q37" s="1"/>
      <c r="R37" s="1"/>
      <c r="S37" s="1"/>
      <c r="T37" s="1"/>
      <c r="U37" s="1"/>
      <c r="V37" s="1"/>
      <c r="W37" s="1"/>
      <c r="X37" s="1"/>
      <c r="Y37" s="1"/>
      <c r="Z37" s="1"/>
    </row>
    <row r="38" ht="15.0" customHeight="1">
      <c r="A38" s="87" t="s">
        <v>90</v>
      </c>
      <c r="B38" s="88"/>
      <c r="C38" s="90">
        <f>+TotalAthletes</f>
        <v>77</v>
      </c>
      <c r="D38" s="88"/>
      <c r="E38" s="91" t="s">
        <v>91</v>
      </c>
      <c r="F38" s="92"/>
      <c r="G38" s="1"/>
      <c r="H38" s="1"/>
      <c r="I38" s="1"/>
      <c r="J38" s="1"/>
      <c r="K38" s="1"/>
      <c r="L38" s="1"/>
      <c r="M38" s="1"/>
      <c r="N38" s="1"/>
      <c r="O38" s="1"/>
      <c r="P38" s="1"/>
      <c r="Q38" s="1"/>
      <c r="R38" s="1"/>
      <c r="S38" s="1"/>
      <c r="T38" s="1"/>
      <c r="U38" s="1"/>
      <c r="V38" s="1"/>
      <c r="W38" s="1"/>
      <c r="X38" s="1"/>
      <c r="Y38" s="1"/>
      <c r="Z38" s="1"/>
    </row>
    <row r="39" ht="12.75" customHeight="1">
      <c r="A39" s="93" t="s">
        <v>92</v>
      </c>
      <c r="B39" s="97"/>
      <c r="C39" s="99">
        <f>+Declarations!L1</f>
        <v>0</v>
      </c>
      <c r="D39" s="97"/>
      <c r="E39" s="100" t="str">
        <f>+'EVENT - SPRNT'!C1</f>
        <v>SPRINT</v>
      </c>
      <c r="F39" s="101">
        <f>+'EVENT - SPRNT'!F1</f>
        <v>0.8961038961</v>
      </c>
      <c r="G39" s="1"/>
      <c r="H39" s="1"/>
      <c r="I39" s="1"/>
      <c r="J39" s="1"/>
      <c r="K39" s="1"/>
      <c r="L39" s="1"/>
      <c r="M39" s="1"/>
      <c r="N39" s="1"/>
      <c r="O39" s="1"/>
      <c r="P39" s="1"/>
      <c r="Q39" s="1"/>
      <c r="R39" s="1"/>
      <c r="S39" s="1"/>
      <c r="T39" s="1"/>
      <c r="U39" s="1"/>
      <c r="V39" s="1"/>
      <c r="W39" s="1"/>
      <c r="X39" s="1"/>
      <c r="Y39" s="1"/>
      <c r="Z39" s="1"/>
    </row>
    <row r="40" ht="12.75" customHeight="1">
      <c r="A40" s="102"/>
      <c r="B40" s="97"/>
      <c r="C40" s="97"/>
      <c r="D40" s="97"/>
      <c r="E40" s="100" t="str">
        <f>+'EVENT - RUN'!C1</f>
        <v>RUN</v>
      </c>
      <c r="F40" s="101">
        <f>+'EVENT - RUN'!F1</f>
        <v>0.8571428571</v>
      </c>
      <c r="G40" s="1"/>
      <c r="H40" s="1"/>
      <c r="I40" s="1"/>
      <c r="J40" s="1"/>
      <c r="K40" s="1"/>
      <c r="L40" s="1"/>
      <c r="M40" s="1"/>
      <c r="N40" s="1"/>
      <c r="O40" s="1"/>
      <c r="P40" s="1"/>
      <c r="Q40" s="1"/>
      <c r="R40" s="1"/>
      <c r="S40" s="1"/>
      <c r="T40" s="1"/>
      <c r="U40" s="1"/>
      <c r="V40" s="1"/>
      <c r="W40" s="1"/>
      <c r="X40" s="1"/>
      <c r="Y40" s="1"/>
      <c r="Z40" s="1"/>
    </row>
    <row r="41" ht="12.75" customHeight="1">
      <c r="A41" s="102"/>
      <c r="B41" s="97"/>
      <c r="C41" s="97"/>
      <c r="D41" s="97"/>
      <c r="E41" s="100" t="str">
        <f>+'EVENT - JUMP'!C1</f>
        <v>JUMP</v>
      </c>
      <c r="F41" s="101">
        <f>+'EVENT - JUMP'!F1</f>
        <v>0.8831168831</v>
      </c>
      <c r="G41" s="1"/>
      <c r="H41" s="1"/>
      <c r="I41" s="1"/>
      <c r="J41" s="1"/>
      <c r="K41" s="1"/>
      <c r="L41" s="1"/>
      <c r="M41" s="1"/>
      <c r="N41" s="1"/>
      <c r="O41" s="1"/>
      <c r="P41" s="1"/>
      <c r="Q41" s="1"/>
      <c r="R41" s="1"/>
      <c r="S41" s="1"/>
      <c r="T41" s="1"/>
      <c r="U41" s="1"/>
      <c r="V41" s="1"/>
      <c r="W41" s="1"/>
      <c r="X41" s="1"/>
      <c r="Y41" s="1"/>
      <c r="Z41" s="1"/>
    </row>
    <row r="42" ht="12.75" customHeight="1">
      <c r="A42" s="102"/>
      <c r="B42" s="97"/>
      <c r="C42" s="97"/>
      <c r="D42" s="97"/>
      <c r="E42" s="100" t="str">
        <f>+'EVENT - THROW'!C1</f>
        <v>THROW</v>
      </c>
      <c r="F42" s="101">
        <f>+'EVENT - THROW'!F1</f>
        <v>0.8701298701</v>
      </c>
      <c r="G42" s="1"/>
      <c r="H42" s="1"/>
      <c r="I42" s="1"/>
      <c r="J42" s="1"/>
      <c r="K42" s="1"/>
      <c r="L42" s="1"/>
      <c r="M42" s="1"/>
      <c r="N42" s="1"/>
      <c r="O42" s="1"/>
      <c r="P42" s="1"/>
      <c r="Q42" s="1"/>
      <c r="R42" s="1"/>
      <c r="S42" s="1"/>
      <c r="T42" s="1"/>
      <c r="U42" s="1"/>
      <c r="V42" s="1"/>
      <c r="W42" s="1"/>
      <c r="X42" s="1"/>
      <c r="Y42" s="1"/>
      <c r="Z42" s="1"/>
    </row>
    <row r="43" ht="12.75" customHeight="1">
      <c r="A43" s="105"/>
      <c r="B43" s="106"/>
      <c r="C43" s="106"/>
      <c r="D43" s="106"/>
      <c r="E43" s="107" t="s">
        <v>48</v>
      </c>
      <c r="F43" s="109">
        <f>+'EVENT-RELAY'!F1</f>
        <v>0</v>
      </c>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8.0" customHeight="1">
      <c r="A52" s="67" t="s">
        <v>95</v>
      </c>
      <c r="B52" s="1"/>
      <c r="C52" s="112">
        <v>0.75</v>
      </c>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1">
    <mergeCell ref="A33:H33"/>
    <mergeCell ref="E38:F38"/>
    <mergeCell ref="C15:D15"/>
    <mergeCell ref="C17:F17"/>
    <mergeCell ref="A31:H31"/>
    <mergeCell ref="I33:M33"/>
    <mergeCell ref="C13:H13"/>
    <mergeCell ref="H21:H25"/>
    <mergeCell ref="A29:L29"/>
    <mergeCell ref="C19:H19"/>
    <mergeCell ref="I31:L31"/>
  </mergeCells>
  <dataValidations>
    <dataValidation type="list" allowBlank="1" showInputMessage="1" showErrorMessage="1" prompt=" - " sqref="C17">
      <formula1>EventList</formula1>
    </dataValidation>
    <dataValidation type="list" allowBlank="1" showInputMessage="1" showErrorMessage="1" prompt=" - " sqref="C52">
      <formula1>"0.75,0.5,0.25,0.0"</formula1>
    </dataValidation>
    <dataValidation type="list" allowBlank="1" showInputMessage="1" showErrorMessage="1" prompt=" - " sqref="C25">
      <formula1>"YES,NO"</formula1>
    </dataValidation>
    <dataValidation type="list" allowBlank="1" showInputMessage="1" showErrorMessage="1" prompt="Will the event have a Relay? - If this QuadKids event is to have a relay please enter YES. If not please enter NO." sqref="C23">
      <formula1>"YES,NO"</formula1>
    </dataValidation>
    <dataValidation type="list" allowBlank="1" showInputMessage="1" showErrorMessage="1" prompt=" - " sqref="I1">
      <formula1>MATCHTYPES</formula1>
    </dataValidation>
    <dataValidation type="decimal" allowBlank="1" showInputMessage="1" showErrorMessage="1" prompt="How many teams? - QuadKids can cater for competitions upto 20 teams. Please enter how many teams will compete" sqref="C21">
      <formula1>1.0</formula1>
      <formula2>50.0</formula2>
    </dataValidation>
  </dataValidations>
  <hyperlinks>
    <hyperlink r:id="rId1" ref="I33"/>
  </hyperlinks>
  <printOptions/>
  <pageMargins bottom="0.75" footer="0.0" header="0.0" left="0.7" right="0.7" top="0.75"/>
  <pageSetup orientation="landscape"/>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2.57"/>
    <col customWidth="1" min="2" max="29" width="8.0"/>
  </cols>
  <sheetData>
    <row r="1">
      <c r="A1" t="s">
        <v>0</v>
      </c>
    </row>
    <row r="3">
      <c r="A3" s="17" t="s">
        <v>1</v>
      </c>
      <c r="B3" s="18" t="s">
        <v>31</v>
      </c>
      <c r="C3" s="19"/>
      <c r="D3" s="20"/>
      <c r="E3" s="18" t="s">
        <v>32</v>
      </c>
      <c r="F3" s="19"/>
      <c r="G3" s="20"/>
      <c r="H3" s="18" t="s">
        <v>33</v>
      </c>
      <c r="I3" s="19"/>
      <c r="J3" s="20"/>
      <c r="K3" s="18" t="s">
        <v>34</v>
      </c>
      <c r="L3" s="19"/>
      <c r="M3" s="20"/>
      <c r="N3" s="18" t="s">
        <v>35</v>
      </c>
      <c r="O3" s="19"/>
      <c r="P3" s="20"/>
      <c r="Q3" s="21" t="s">
        <v>36</v>
      </c>
      <c r="R3" s="22" t="s">
        <v>37</v>
      </c>
      <c r="S3" s="23" t="s">
        <v>38</v>
      </c>
      <c r="T3" s="24" t="s">
        <v>39</v>
      </c>
    </row>
    <row r="4">
      <c r="A4" s="25"/>
      <c r="B4" s="26" t="s">
        <v>40</v>
      </c>
      <c r="C4" s="27" t="s">
        <v>41</v>
      </c>
      <c r="D4" s="28" t="s">
        <v>42</v>
      </c>
      <c r="E4" s="26" t="s">
        <v>40</v>
      </c>
      <c r="F4" s="27" t="s">
        <v>41</v>
      </c>
      <c r="G4" s="28" t="s">
        <v>42</v>
      </c>
      <c r="H4" s="26" t="s">
        <v>40</v>
      </c>
      <c r="I4" s="27" t="s">
        <v>41</v>
      </c>
      <c r="J4" s="28" t="s">
        <v>42</v>
      </c>
      <c r="K4" s="26" t="s">
        <v>40</v>
      </c>
      <c r="L4" s="27" t="s">
        <v>41</v>
      </c>
      <c r="M4" s="28" t="s">
        <v>42</v>
      </c>
      <c r="N4" s="26" t="s">
        <v>40</v>
      </c>
      <c r="O4" s="27" t="s">
        <v>41</v>
      </c>
      <c r="P4" s="28" t="s">
        <v>42</v>
      </c>
      <c r="Q4" s="29"/>
      <c r="R4" s="30"/>
      <c r="S4" s="31"/>
      <c r="T4" s="32"/>
    </row>
    <row r="5">
      <c r="A5" s="33" t="s">
        <v>43</v>
      </c>
      <c r="B5" s="34" t="s">
        <v>44</v>
      </c>
      <c r="C5" s="35">
        <v>16.0</v>
      </c>
      <c r="D5" s="36">
        <v>0.1</v>
      </c>
      <c r="E5" s="34" t="s">
        <v>45</v>
      </c>
      <c r="F5" s="37">
        <v>3.0</v>
      </c>
      <c r="G5" s="36">
        <v>0.01</v>
      </c>
      <c r="H5" s="34" t="s">
        <v>46</v>
      </c>
      <c r="I5" s="37">
        <v>2.2</v>
      </c>
      <c r="J5" s="38">
        <v>0.03</v>
      </c>
      <c r="K5" s="34" t="s">
        <v>47</v>
      </c>
      <c r="L5" s="35">
        <v>5.0</v>
      </c>
      <c r="M5" s="36">
        <v>0.5</v>
      </c>
      <c r="N5" s="34" t="s">
        <v>48</v>
      </c>
      <c r="O5" s="39">
        <v>94.0</v>
      </c>
      <c r="P5" s="36">
        <v>0.5</v>
      </c>
      <c r="Q5" s="40">
        <v>4.0</v>
      </c>
      <c r="R5" s="39">
        <v>10.0</v>
      </c>
      <c r="S5" s="36">
        <v>100.0</v>
      </c>
      <c r="T5" s="41">
        <v>1.0</v>
      </c>
    </row>
    <row r="6">
      <c r="A6" s="42" t="s">
        <v>49</v>
      </c>
      <c r="B6" s="43" t="s">
        <v>50</v>
      </c>
      <c r="C6" s="44">
        <v>20.0</v>
      </c>
      <c r="D6" s="45">
        <v>0.1</v>
      </c>
      <c r="E6" s="43" t="s">
        <v>51</v>
      </c>
      <c r="F6" s="46">
        <v>3.5</v>
      </c>
      <c r="G6" s="45">
        <v>0.01</v>
      </c>
      <c r="H6" s="43" t="s">
        <v>46</v>
      </c>
      <c r="I6" s="46">
        <v>2.0</v>
      </c>
      <c r="J6" s="47">
        <v>0.04</v>
      </c>
      <c r="K6" s="43" t="s">
        <v>52</v>
      </c>
      <c r="L6" s="44">
        <v>2.0</v>
      </c>
      <c r="M6" s="45">
        <v>0.1</v>
      </c>
      <c r="N6" s="43" t="s">
        <v>48</v>
      </c>
      <c r="O6" s="48">
        <v>94.0</v>
      </c>
      <c r="P6" s="45">
        <v>0.5</v>
      </c>
      <c r="Q6" s="49">
        <v>4.0</v>
      </c>
      <c r="R6" s="48">
        <v>10.0</v>
      </c>
      <c r="S6" s="45">
        <v>100.0</v>
      </c>
      <c r="T6" s="41">
        <v>2.0</v>
      </c>
    </row>
    <row r="7">
      <c r="A7" s="42" t="s">
        <v>53</v>
      </c>
      <c r="B7" s="43" t="s">
        <v>54</v>
      </c>
      <c r="C7" s="44">
        <v>19.5</v>
      </c>
      <c r="D7" s="45">
        <v>0.1</v>
      </c>
      <c r="E7" s="43" t="s">
        <v>51</v>
      </c>
      <c r="F7" s="46">
        <v>3.5</v>
      </c>
      <c r="G7" s="45">
        <v>0.01</v>
      </c>
      <c r="H7" s="43" t="s">
        <v>46</v>
      </c>
      <c r="I7" s="46">
        <v>2.0</v>
      </c>
      <c r="J7" s="47">
        <v>0.05</v>
      </c>
      <c r="K7" s="43" t="s">
        <v>47</v>
      </c>
      <c r="L7" s="44">
        <v>6.0</v>
      </c>
      <c r="M7" s="45">
        <v>0.6</v>
      </c>
      <c r="N7" s="43" t="s">
        <v>48</v>
      </c>
      <c r="O7" s="48">
        <v>94.0</v>
      </c>
      <c r="P7" s="45">
        <v>0.5</v>
      </c>
      <c r="Q7" s="49">
        <v>4.0</v>
      </c>
      <c r="R7" s="48">
        <v>10.0</v>
      </c>
      <c r="S7" s="45">
        <v>100.0</v>
      </c>
      <c r="T7" s="41">
        <v>2.0</v>
      </c>
    </row>
    <row r="8">
      <c r="A8" s="42" t="s">
        <v>55</v>
      </c>
      <c r="B8" s="43" t="s">
        <v>44</v>
      </c>
      <c r="C8" s="44">
        <v>16.0</v>
      </c>
      <c r="D8" s="45">
        <v>0.1</v>
      </c>
      <c r="E8" s="43" t="s">
        <v>45</v>
      </c>
      <c r="F8" s="46">
        <v>3.0</v>
      </c>
      <c r="G8" s="45">
        <v>0.01</v>
      </c>
      <c r="H8" s="43" t="s">
        <v>56</v>
      </c>
      <c r="I8" s="46">
        <v>1.02</v>
      </c>
      <c r="J8" s="47">
        <v>0.02</v>
      </c>
      <c r="K8" s="43" t="s">
        <v>47</v>
      </c>
      <c r="L8" s="44">
        <v>5.0</v>
      </c>
      <c r="M8" s="45">
        <v>0.5</v>
      </c>
      <c r="N8" s="43" t="s">
        <v>48</v>
      </c>
      <c r="O8" s="48">
        <v>94.0</v>
      </c>
      <c r="P8" s="45">
        <v>0.5</v>
      </c>
      <c r="Q8" s="49">
        <v>4.0</v>
      </c>
      <c r="R8" s="48">
        <v>10.0</v>
      </c>
      <c r="S8" s="45">
        <v>100.0</v>
      </c>
      <c r="T8" s="41">
        <v>2.0</v>
      </c>
    </row>
    <row r="9">
      <c r="A9" s="42" t="s">
        <v>57</v>
      </c>
      <c r="B9" s="43" t="s">
        <v>58</v>
      </c>
      <c r="C9" s="44">
        <v>12.0</v>
      </c>
      <c r="D9" s="45">
        <v>0.1</v>
      </c>
      <c r="E9" s="43" t="s">
        <v>59</v>
      </c>
      <c r="F9" s="46">
        <v>2.05</v>
      </c>
      <c r="G9" s="45">
        <v>0.01</v>
      </c>
      <c r="H9" s="43" t="s">
        <v>56</v>
      </c>
      <c r="I9" s="46">
        <v>0.75</v>
      </c>
      <c r="J9" s="47">
        <v>0.025</v>
      </c>
      <c r="K9" s="43" t="s">
        <v>47</v>
      </c>
      <c r="L9" s="44">
        <v>2.5</v>
      </c>
      <c r="M9" s="45">
        <v>0.5</v>
      </c>
      <c r="N9" s="43" t="s">
        <v>48</v>
      </c>
      <c r="O9" s="48">
        <v>94.0</v>
      </c>
      <c r="P9" s="45">
        <v>0.5</v>
      </c>
      <c r="Q9" s="49">
        <v>4.0</v>
      </c>
      <c r="R9" s="48">
        <v>10.0</v>
      </c>
      <c r="S9" s="45">
        <v>100.0</v>
      </c>
      <c r="T9" s="41">
        <v>1.0</v>
      </c>
    </row>
    <row r="10">
      <c r="A10" s="42" t="s">
        <v>60</v>
      </c>
      <c r="B10" s="43" t="s">
        <v>44</v>
      </c>
      <c r="C10" s="44">
        <v>16.0</v>
      </c>
      <c r="D10" s="45">
        <v>0.1</v>
      </c>
      <c r="E10" s="43" t="s">
        <v>45</v>
      </c>
      <c r="F10" s="46">
        <v>3.0</v>
      </c>
      <c r="G10" s="45">
        <v>0.01</v>
      </c>
      <c r="H10" s="43" t="s">
        <v>46</v>
      </c>
      <c r="I10" s="46">
        <v>2.2</v>
      </c>
      <c r="J10" s="47">
        <v>0.03</v>
      </c>
      <c r="K10" s="43" t="s">
        <v>47</v>
      </c>
      <c r="L10" s="44">
        <v>5.0</v>
      </c>
      <c r="M10" s="45">
        <v>0.5</v>
      </c>
      <c r="N10" s="43" t="s">
        <v>48</v>
      </c>
      <c r="O10" s="48">
        <v>94.0</v>
      </c>
      <c r="P10" s="45">
        <v>0.5</v>
      </c>
      <c r="Q10" s="49">
        <v>4.0</v>
      </c>
      <c r="R10" s="48">
        <v>10.0</v>
      </c>
      <c r="S10" s="45">
        <v>100.0</v>
      </c>
      <c r="T10" s="41">
        <v>2.0</v>
      </c>
    </row>
    <row r="11">
      <c r="A11" s="42" t="s">
        <v>61</v>
      </c>
      <c r="B11" s="43" t="s">
        <v>54</v>
      </c>
      <c r="C11" s="44">
        <v>19.5</v>
      </c>
      <c r="D11" s="45">
        <v>0.1</v>
      </c>
      <c r="E11" s="43" t="s">
        <v>51</v>
      </c>
      <c r="F11" s="46">
        <v>3.5</v>
      </c>
      <c r="G11" s="45">
        <v>0.01</v>
      </c>
      <c r="H11" s="43" t="s">
        <v>46</v>
      </c>
      <c r="I11" s="46">
        <v>2.0</v>
      </c>
      <c r="J11" s="47">
        <v>0.05</v>
      </c>
      <c r="K11" s="43" t="s">
        <v>47</v>
      </c>
      <c r="L11" s="44">
        <v>6.0</v>
      </c>
      <c r="M11" s="45">
        <v>0.6</v>
      </c>
      <c r="N11" s="43" t="s">
        <v>48</v>
      </c>
      <c r="O11" s="48">
        <v>94.0</v>
      </c>
      <c r="P11" s="45">
        <v>0.5</v>
      </c>
      <c r="Q11" s="49">
        <v>4.0</v>
      </c>
      <c r="R11" s="48">
        <v>10.0</v>
      </c>
      <c r="S11" s="45">
        <v>100.0</v>
      </c>
      <c r="T11" s="41">
        <v>2.0</v>
      </c>
    </row>
    <row r="12">
      <c r="A12" s="42" t="s">
        <v>62</v>
      </c>
      <c r="B12" s="43" t="s">
        <v>58</v>
      </c>
      <c r="C12" s="44">
        <v>12.0</v>
      </c>
      <c r="D12" s="45">
        <v>0.1</v>
      </c>
      <c r="E12" s="43" t="s">
        <v>59</v>
      </c>
      <c r="F12" s="46">
        <v>2.1</v>
      </c>
      <c r="G12" s="45">
        <v>0.01</v>
      </c>
      <c r="H12" s="43" t="s">
        <v>56</v>
      </c>
      <c r="I12" s="46">
        <v>0.9</v>
      </c>
      <c r="J12" s="47">
        <v>0.02</v>
      </c>
      <c r="K12" s="43" t="s">
        <v>47</v>
      </c>
      <c r="L12" s="44">
        <v>0.0</v>
      </c>
      <c r="M12" s="45">
        <v>0.5</v>
      </c>
      <c r="N12" s="43" t="s">
        <v>48</v>
      </c>
      <c r="O12" s="48">
        <v>94.0</v>
      </c>
      <c r="P12" s="45">
        <v>0.5</v>
      </c>
      <c r="Q12" s="49">
        <v>4.0</v>
      </c>
      <c r="R12" s="48">
        <v>10.0</v>
      </c>
      <c r="S12" s="45">
        <v>100.0</v>
      </c>
      <c r="T12" s="41">
        <v>1.0</v>
      </c>
    </row>
    <row r="13">
      <c r="A13" s="42" t="s">
        <v>63</v>
      </c>
      <c r="B13" s="43" t="s">
        <v>58</v>
      </c>
      <c r="C13" s="44">
        <v>13.0</v>
      </c>
      <c r="D13" s="45">
        <v>0.1</v>
      </c>
      <c r="E13" s="43" t="s">
        <v>64</v>
      </c>
      <c r="F13" s="46">
        <v>2.15</v>
      </c>
      <c r="G13" s="45">
        <v>0.01</v>
      </c>
      <c r="H13" s="43" t="s">
        <v>56</v>
      </c>
      <c r="I13" s="46">
        <v>0.5</v>
      </c>
      <c r="J13" s="47">
        <v>0.03</v>
      </c>
      <c r="K13" s="43" t="s">
        <v>47</v>
      </c>
      <c r="L13" s="44">
        <v>0.0</v>
      </c>
      <c r="M13" s="45">
        <v>0.5</v>
      </c>
      <c r="N13" s="43" t="s">
        <v>48</v>
      </c>
      <c r="O13" s="48">
        <v>99.0</v>
      </c>
      <c r="P13" s="45">
        <v>0.5</v>
      </c>
      <c r="Q13" s="49">
        <v>4.0</v>
      </c>
      <c r="R13" s="48">
        <v>10.0</v>
      </c>
      <c r="S13" s="45">
        <v>100.0</v>
      </c>
      <c r="T13" s="41">
        <v>1.0</v>
      </c>
    </row>
    <row r="14">
      <c r="A14" s="42"/>
      <c r="B14" s="43"/>
      <c r="C14" s="48"/>
      <c r="D14" s="45"/>
      <c r="E14" s="43"/>
      <c r="F14" s="48"/>
      <c r="G14" s="45"/>
      <c r="H14" s="43"/>
      <c r="I14" s="48"/>
      <c r="J14" s="45"/>
      <c r="K14" s="43"/>
      <c r="L14" s="48"/>
      <c r="M14" s="45"/>
      <c r="N14" s="43"/>
      <c r="O14" s="48"/>
      <c r="P14" s="45"/>
      <c r="Q14" s="49"/>
      <c r="R14" s="48"/>
      <c r="S14" s="45"/>
      <c r="T14" s="42"/>
    </row>
    <row r="15">
      <c r="A15" s="42"/>
      <c r="B15" s="43"/>
      <c r="C15" s="48"/>
      <c r="D15" s="45"/>
      <c r="E15" s="43"/>
      <c r="F15" s="48"/>
      <c r="G15" s="45"/>
      <c r="H15" s="43"/>
      <c r="I15" s="48"/>
      <c r="J15" s="45"/>
      <c r="K15" s="43"/>
      <c r="L15" s="48"/>
      <c r="M15" s="45"/>
      <c r="N15" s="43"/>
      <c r="O15" s="48"/>
      <c r="P15" s="45"/>
      <c r="Q15" s="49"/>
      <c r="R15" s="48"/>
      <c r="S15" s="45"/>
      <c r="T15" s="42"/>
    </row>
    <row r="16">
      <c r="A16" s="42"/>
      <c r="B16" s="43"/>
      <c r="C16" s="48"/>
      <c r="D16" s="45"/>
      <c r="E16" s="43"/>
      <c r="F16" s="48"/>
      <c r="G16" s="45"/>
      <c r="H16" s="43"/>
      <c r="I16" s="48"/>
      <c r="J16" s="45"/>
      <c r="K16" s="43"/>
      <c r="L16" s="48"/>
      <c r="M16" s="45"/>
      <c r="N16" s="43"/>
      <c r="O16" s="48"/>
      <c r="P16" s="45"/>
      <c r="Q16" s="49"/>
      <c r="R16" s="48"/>
      <c r="S16" s="45"/>
      <c r="T16" s="42"/>
    </row>
    <row r="17">
      <c r="A17" s="42"/>
      <c r="B17" s="43"/>
      <c r="C17" s="48"/>
      <c r="D17" s="45"/>
      <c r="E17" s="43"/>
      <c r="F17" s="48"/>
      <c r="G17" s="45"/>
      <c r="H17" s="43"/>
      <c r="I17" s="48"/>
      <c r="J17" s="45"/>
      <c r="K17" s="43"/>
      <c r="L17" s="48"/>
      <c r="M17" s="45"/>
      <c r="N17" s="43"/>
      <c r="O17" s="48"/>
      <c r="P17" s="45"/>
      <c r="Q17" s="49"/>
      <c r="R17" s="48"/>
      <c r="S17" s="45"/>
      <c r="T17" s="42"/>
    </row>
    <row r="18">
      <c r="A18" s="42"/>
      <c r="B18" s="43"/>
      <c r="C18" s="48"/>
      <c r="D18" s="45"/>
      <c r="E18" s="43"/>
      <c r="F18" s="48"/>
      <c r="G18" s="45"/>
      <c r="H18" s="43"/>
      <c r="I18" s="48"/>
      <c r="J18" s="45"/>
      <c r="K18" s="43"/>
      <c r="L18" s="48"/>
      <c r="M18" s="45"/>
      <c r="N18" s="43"/>
      <c r="O18" s="48"/>
      <c r="P18" s="45"/>
      <c r="Q18" s="49"/>
      <c r="R18" s="48"/>
      <c r="S18" s="45"/>
      <c r="T18" s="42"/>
    </row>
    <row r="19">
      <c r="A19" s="42"/>
      <c r="B19" s="43"/>
      <c r="C19" s="48"/>
      <c r="D19" s="45"/>
      <c r="E19" s="43"/>
      <c r="F19" s="48"/>
      <c r="G19" s="45"/>
      <c r="H19" s="43"/>
      <c r="I19" s="48"/>
      <c r="J19" s="45"/>
      <c r="K19" s="43"/>
      <c r="L19" s="48"/>
      <c r="M19" s="45"/>
      <c r="N19" s="43"/>
      <c r="O19" s="48"/>
      <c r="P19" s="45"/>
      <c r="Q19" s="49"/>
      <c r="R19" s="48"/>
      <c r="S19" s="45"/>
      <c r="T19" s="42"/>
    </row>
    <row r="20">
      <c r="A20" s="42"/>
      <c r="B20" s="43"/>
      <c r="C20" s="48"/>
      <c r="D20" s="45"/>
      <c r="E20" s="43"/>
      <c r="F20" s="48"/>
      <c r="G20" s="45"/>
      <c r="H20" s="43"/>
      <c r="I20" s="48"/>
      <c r="J20" s="45"/>
      <c r="K20" s="43"/>
      <c r="L20" s="48"/>
      <c r="M20" s="45"/>
      <c r="N20" s="43"/>
      <c r="O20" s="48"/>
      <c r="P20" s="45"/>
      <c r="Q20" s="49"/>
      <c r="R20" s="48"/>
      <c r="S20" s="45"/>
      <c r="T20" s="42"/>
    </row>
    <row r="21" ht="15.75" customHeight="1">
      <c r="A21" s="42"/>
      <c r="B21" s="43"/>
      <c r="C21" s="48"/>
      <c r="D21" s="45"/>
      <c r="E21" s="43"/>
      <c r="F21" s="48"/>
      <c r="G21" s="45"/>
      <c r="H21" s="43"/>
      <c r="I21" s="48"/>
      <c r="J21" s="45"/>
      <c r="K21" s="43"/>
      <c r="L21" s="48"/>
      <c r="M21" s="45"/>
      <c r="N21" s="43"/>
      <c r="O21" s="48"/>
      <c r="P21" s="45"/>
      <c r="Q21" s="49"/>
      <c r="R21" s="48"/>
      <c r="S21" s="45"/>
      <c r="T21" s="42"/>
    </row>
    <row r="22" ht="15.75" customHeight="1">
      <c r="A22" s="42"/>
      <c r="B22" s="43"/>
      <c r="C22" s="48"/>
      <c r="D22" s="45"/>
      <c r="E22" s="43"/>
      <c r="F22" s="48"/>
      <c r="G22" s="45"/>
      <c r="H22" s="43"/>
      <c r="I22" s="48"/>
      <c r="J22" s="45"/>
      <c r="K22" s="43"/>
      <c r="L22" s="48"/>
      <c r="M22" s="45"/>
      <c r="N22" s="43"/>
      <c r="O22" s="48"/>
      <c r="P22" s="45"/>
      <c r="Q22" s="49"/>
      <c r="R22" s="48"/>
      <c r="S22" s="45"/>
      <c r="T22" s="42"/>
    </row>
    <row r="23" ht="15.75" customHeight="1">
      <c r="A23" s="42"/>
      <c r="B23" s="43"/>
      <c r="C23" s="48"/>
      <c r="D23" s="45"/>
      <c r="E23" s="43"/>
      <c r="F23" s="48"/>
      <c r="G23" s="45"/>
      <c r="H23" s="43"/>
      <c r="I23" s="48"/>
      <c r="J23" s="45"/>
      <c r="K23" s="43"/>
      <c r="L23" s="48"/>
      <c r="M23" s="45"/>
      <c r="N23" s="43"/>
      <c r="O23" s="48"/>
      <c r="P23" s="45"/>
      <c r="Q23" s="49"/>
      <c r="R23" s="48"/>
      <c r="S23" s="45"/>
      <c r="T23" s="42"/>
    </row>
    <row r="24" ht="15.75" customHeight="1">
      <c r="A24" s="42"/>
      <c r="B24" s="43"/>
      <c r="C24" s="48"/>
      <c r="D24" s="45"/>
      <c r="E24" s="43"/>
      <c r="F24" s="48"/>
      <c r="G24" s="45"/>
      <c r="H24" s="43"/>
      <c r="I24" s="48"/>
      <c r="J24" s="45"/>
      <c r="K24" s="43"/>
      <c r="L24" s="48"/>
      <c r="M24" s="45"/>
      <c r="N24" s="43"/>
      <c r="O24" s="48"/>
      <c r="P24" s="45"/>
      <c r="Q24" s="49"/>
      <c r="R24" s="48"/>
      <c r="S24" s="45"/>
      <c r="T24" s="42"/>
    </row>
    <row r="25" ht="15.75" customHeight="1">
      <c r="A25" s="50"/>
      <c r="B25" s="51"/>
      <c r="C25" s="52"/>
      <c r="D25" s="53"/>
      <c r="E25" s="51"/>
      <c r="F25" s="52"/>
      <c r="G25" s="53"/>
      <c r="H25" s="51"/>
      <c r="I25" s="52"/>
      <c r="J25" s="53"/>
      <c r="K25" s="51"/>
      <c r="L25" s="52"/>
      <c r="M25" s="53"/>
      <c r="N25" s="51"/>
      <c r="O25" s="52"/>
      <c r="P25" s="53"/>
      <c r="Q25" s="54"/>
      <c r="R25" s="52"/>
      <c r="S25" s="53"/>
      <c r="T25" s="50"/>
    </row>
    <row r="26" ht="15.75" customHeight="1"/>
    <row r="27" ht="15.75" customHeight="1">
      <c r="A27" t="s">
        <v>65</v>
      </c>
      <c r="B27" s="55" t="str">
        <f>IF(ISBLANK(+Configuration!C17),DefaultComp,Configuration!C17)</f>
        <v>QuadKids Club</v>
      </c>
    </row>
    <row r="28" ht="15.75" customHeight="1">
      <c r="A28" t="s">
        <v>66</v>
      </c>
      <c r="B28" s="56">
        <f>MATCH(B27,MatchNames,0)</f>
        <v>6</v>
      </c>
    </row>
    <row r="29" ht="15.75" customHeight="1"/>
    <row r="30" ht="15.75" customHeight="1">
      <c r="A30" s="57" t="s">
        <v>67</v>
      </c>
      <c r="B30" s="58" t="str">
        <f t="array" ref="B30">INDEX(MatchScoreTable,EventIndex,2)</f>
        <v>75m</v>
      </c>
      <c r="C30" s="58" t="str">
        <f t="array" ref="C30">INDEX(MatchScoreTable,EventIndex,5)</f>
        <v>600m</v>
      </c>
      <c r="D30" s="58" t="str">
        <f t="array" ref="D30">INDEX(MatchScoreTable,EventIndex,8)</f>
        <v>Long_Jump</v>
      </c>
      <c r="E30" s="58" t="str">
        <f t="array" ref="E30">INDEX(MatchScoreTable,EventIndex,11)</f>
        <v>Howler</v>
      </c>
      <c r="F30" s="59" t="str">
        <f t="array" ref="F30">INDEX(MatchScoreTable,EventIndex,14)</f>
        <v>Relay</v>
      </c>
      <c r="I30" s="60" t="s">
        <v>68</v>
      </c>
      <c r="J30" s="61" t="s">
        <v>69</v>
      </c>
      <c r="K30" s="61" t="s">
        <v>70</v>
      </c>
      <c r="L30" s="61" t="s">
        <v>71</v>
      </c>
      <c r="M30" s="62" t="s">
        <v>72</v>
      </c>
      <c r="O30" s="60" t="s">
        <v>73</v>
      </c>
      <c r="P30" s="61" t="s">
        <v>69</v>
      </c>
      <c r="Q30" s="61" t="s">
        <v>70</v>
      </c>
      <c r="R30" s="61" t="s">
        <v>71</v>
      </c>
      <c r="S30" s="62" t="s">
        <v>72</v>
      </c>
    </row>
    <row r="31" ht="15.75" customHeight="1">
      <c r="A31" s="63" t="s">
        <v>41</v>
      </c>
      <c r="B31" s="64">
        <f t="array" ref="B31">INDEX(MatchScoreTable,EventIndex,3)</f>
        <v>16</v>
      </c>
      <c r="C31" s="64">
        <f t="array" ref="C31">INDEX(MatchScoreTable,EventIndex,6)</f>
        <v>3</v>
      </c>
      <c r="D31" s="64">
        <f t="array" ref="D31">INDEX(MatchScoreTable,EventIndex,9)</f>
        <v>2.2</v>
      </c>
      <c r="E31" s="64">
        <f t="array" ref="E31">INDEX(MatchScoreTable,EventIndex,12)</f>
        <v>5</v>
      </c>
      <c r="F31" s="65">
        <f t="array" ref="F31">INDEX(MatchScoreTable,EventIndex,15)</f>
        <v>94</v>
      </c>
      <c r="I31" s="43" t="str">
        <f t="shared" ref="I31:I42" si="1">+A5</f>
        <v>Wessex League</v>
      </c>
      <c r="J31" s="89">
        <f t="shared" ref="J31:J42" si="2">+C5</f>
        <v>16</v>
      </c>
      <c r="K31" s="64">
        <f t="shared" ref="K31:K42" si="3">+F5</f>
        <v>3</v>
      </c>
      <c r="L31" s="64">
        <f t="shared" ref="L31:L42" si="4">+I5</f>
        <v>2.2</v>
      </c>
      <c r="M31" s="94">
        <f t="shared" ref="M31:M42" si="5">+L5</f>
        <v>5</v>
      </c>
      <c r="O31" s="43" t="str">
        <f t="shared" ref="O31:O42" si="6">+A5</f>
        <v>Wessex League</v>
      </c>
      <c r="P31" s="95">
        <f t="shared" ref="P31:P42" si="7">+D5</f>
        <v>0.1</v>
      </c>
      <c r="Q31" s="95">
        <f t="shared" ref="Q31:Q42" si="8">+G5</f>
        <v>0.01</v>
      </c>
      <c r="R31" s="96">
        <f t="shared" ref="R31:R42" si="9">+J5</f>
        <v>0.03</v>
      </c>
      <c r="S31" s="98">
        <f t="shared" ref="S31:S42" si="10">+M5</f>
        <v>0.5</v>
      </c>
    </row>
    <row r="32" ht="15.75" customHeight="1">
      <c r="A32" s="63" t="s">
        <v>93</v>
      </c>
      <c r="B32" s="64">
        <f>+ScorngTable!B97</f>
        <v>7</v>
      </c>
      <c r="C32" s="64">
        <f>+ScorngTable!E97</f>
        <v>1.3</v>
      </c>
      <c r="D32" s="64">
        <f>+ScorngTable!F97</f>
        <v>4.9</v>
      </c>
      <c r="E32" s="64">
        <f>+ScorngTable!G97</f>
        <v>50</v>
      </c>
      <c r="F32" s="65">
        <f>+ScorngTable!H97</f>
        <v>49</v>
      </c>
      <c r="I32" s="43" t="str">
        <f t="shared" si="1"/>
        <v>Wessex League (U13)</v>
      </c>
      <c r="J32" s="89">
        <f t="shared" si="2"/>
        <v>20</v>
      </c>
      <c r="K32" s="64">
        <f t="shared" si="3"/>
        <v>3.5</v>
      </c>
      <c r="L32" s="64">
        <f t="shared" si="4"/>
        <v>2</v>
      </c>
      <c r="M32" s="94">
        <f t="shared" si="5"/>
        <v>2</v>
      </c>
      <c r="O32" s="43" t="str">
        <f t="shared" si="6"/>
        <v>Wessex League (U13)</v>
      </c>
      <c r="P32" s="95">
        <f t="shared" si="7"/>
        <v>0.1</v>
      </c>
      <c r="Q32" s="95">
        <f t="shared" si="8"/>
        <v>0.01</v>
      </c>
      <c r="R32" s="96">
        <f t="shared" si="9"/>
        <v>0.04</v>
      </c>
      <c r="S32" s="98">
        <f t="shared" si="10"/>
        <v>0.1</v>
      </c>
    </row>
    <row r="33" ht="15.75" customHeight="1">
      <c r="A33" s="103" t="s">
        <v>94</v>
      </c>
      <c r="B33" s="104">
        <f t="array" ref="B33">INDEX(MatchScoreTable,EventIndex,4)</f>
        <v>0.1</v>
      </c>
      <c r="C33" s="108">
        <f t="array" ref="C33">INDEX(MatchScoreTable,EventIndex,7)</f>
        <v>0.01</v>
      </c>
      <c r="D33" s="110">
        <f t="array" ref="D33">INDEX(MatchScoreTable,EventIndex,10)</f>
        <v>0.03</v>
      </c>
      <c r="E33" s="104">
        <f t="array" ref="E33">INDEX(MatchScoreTable,EventIndex,13)</f>
        <v>0.5</v>
      </c>
      <c r="F33" s="111">
        <f t="array" ref="F33">INDEX(MatchScoreTable,EventIndex,16)</f>
        <v>0.5</v>
      </c>
      <c r="I33" s="43" t="str">
        <f t="shared" si="1"/>
        <v>QuadKids Secondary</v>
      </c>
      <c r="J33" s="89">
        <f t="shared" si="2"/>
        <v>19.5</v>
      </c>
      <c r="K33" s="64">
        <f t="shared" si="3"/>
        <v>3.5</v>
      </c>
      <c r="L33" s="64">
        <f t="shared" si="4"/>
        <v>2</v>
      </c>
      <c r="M33" s="94">
        <f t="shared" si="5"/>
        <v>6</v>
      </c>
      <c r="O33" s="43" t="str">
        <f t="shared" si="6"/>
        <v>QuadKids Secondary</v>
      </c>
      <c r="P33" s="95">
        <f t="shared" si="7"/>
        <v>0.1</v>
      </c>
      <c r="Q33" s="95">
        <f t="shared" si="8"/>
        <v>0.01</v>
      </c>
      <c r="R33" s="96">
        <f t="shared" si="9"/>
        <v>0.05</v>
      </c>
      <c r="S33" s="98">
        <f t="shared" si="10"/>
        <v>0.6</v>
      </c>
    </row>
    <row r="34" ht="15.75" customHeight="1">
      <c r="I34" s="43" t="str">
        <f t="shared" si="1"/>
        <v>QuadKids Primary</v>
      </c>
      <c r="J34" s="89">
        <f t="shared" si="2"/>
        <v>16</v>
      </c>
      <c r="K34" s="64">
        <f t="shared" si="3"/>
        <v>3</v>
      </c>
      <c r="L34" s="64">
        <f t="shared" si="4"/>
        <v>1.02</v>
      </c>
      <c r="M34" s="94">
        <f t="shared" si="5"/>
        <v>5</v>
      </c>
      <c r="O34" s="43" t="str">
        <f t="shared" si="6"/>
        <v>QuadKids Primary</v>
      </c>
      <c r="P34" s="95">
        <f t="shared" si="7"/>
        <v>0.1</v>
      </c>
      <c r="Q34" s="95">
        <f t="shared" si="8"/>
        <v>0.01</v>
      </c>
      <c r="R34" s="96">
        <f t="shared" si="9"/>
        <v>0.02</v>
      </c>
      <c r="S34" s="98">
        <f t="shared" si="10"/>
        <v>0.5</v>
      </c>
    </row>
    <row r="35" ht="15.75" customHeight="1">
      <c r="A35" s="113" t="s">
        <v>96</v>
      </c>
      <c r="B35" s="114">
        <f t="array" ref="B35">INDEX(MatchScoreTable,EventIndex,17)</f>
        <v>4</v>
      </c>
      <c r="D35" t="s">
        <v>97</v>
      </c>
      <c r="E35" s="115">
        <v>45.0</v>
      </c>
      <c r="I35" s="43" t="str">
        <f t="shared" si="1"/>
        <v>QuadKids Start</v>
      </c>
      <c r="J35" s="89">
        <f t="shared" si="2"/>
        <v>12</v>
      </c>
      <c r="K35" s="64">
        <f t="shared" si="3"/>
        <v>2.05</v>
      </c>
      <c r="L35" s="64">
        <f t="shared" si="4"/>
        <v>0.75</v>
      </c>
      <c r="M35" s="94">
        <f t="shared" si="5"/>
        <v>2.5</v>
      </c>
      <c r="O35" s="43" t="str">
        <f t="shared" si="6"/>
        <v>QuadKids Start</v>
      </c>
      <c r="P35" s="95">
        <f t="shared" si="7"/>
        <v>0.1</v>
      </c>
      <c r="Q35" s="95">
        <f t="shared" si="8"/>
        <v>0.01</v>
      </c>
      <c r="R35" s="96">
        <f t="shared" si="9"/>
        <v>0.025</v>
      </c>
      <c r="S35" s="98">
        <f t="shared" si="10"/>
        <v>0.5</v>
      </c>
    </row>
    <row r="36" ht="15.75" customHeight="1">
      <c r="A36" s="113" t="s">
        <v>98</v>
      </c>
      <c r="B36" s="114">
        <f t="array" ref="B36">INDEX(MatchScoreTable,EventIndex,18)</f>
        <v>10</v>
      </c>
      <c r="D36" t="s">
        <v>99</v>
      </c>
      <c r="E36" s="114" t="b">
        <f>IF(G36&gt;=FlexTrigger,TRUE,FALSE)</f>
        <v>1</v>
      </c>
      <c r="G36" s="116">
        <f>SUM(Configuration!F39:F42)/4</f>
        <v>0.8766233766</v>
      </c>
      <c r="I36" s="43" t="str">
        <f t="shared" si="1"/>
        <v>QuadKids Club</v>
      </c>
      <c r="J36" s="89">
        <f t="shared" si="2"/>
        <v>16</v>
      </c>
      <c r="K36" s="64">
        <f t="shared" si="3"/>
        <v>3</v>
      </c>
      <c r="L36" s="64">
        <f t="shared" si="4"/>
        <v>2.2</v>
      </c>
      <c r="M36" s="94">
        <f t="shared" si="5"/>
        <v>5</v>
      </c>
      <c r="O36" s="43" t="str">
        <f t="shared" si="6"/>
        <v>QuadKids Club</v>
      </c>
      <c r="P36" s="95">
        <f t="shared" si="7"/>
        <v>0.1</v>
      </c>
      <c r="Q36" s="95">
        <f t="shared" si="8"/>
        <v>0.01</v>
      </c>
      <c r="R36" s="96">
        <f t="shared" si="9"/>
        <v>0.03</v>
      </c>
      <c r="S36" s="98">
        <f t="shared" si="10"/>
        <v>0.5</v>
      </c>
    </row>
    <row r="37" ht="15.75" customHeight="1">
      <c r="A37" s="113" t="s">
        <v>100</v>
      </c>
      <c r="B37" s="114">
        <f t="array" ref="B37">INDEX(MatchScoreTable,EventIndex,19)</f>
        <v>100</v>
      </c>
      <c r="I37" s="43" t="str">
        <f t="shared" si="1"/>
        <v>QuadKids Club U13</v>
      </c>
      <c r="J37" s="89">
        <f t="shared" si="2"/>
        <v>19.5</v>
      </c>
      <c r="K37" s="64">
        <f t="shared" si="3"/>
        <v>3.5</v>
      </c>
      <c r="L37" s="64">
        <f t="shared" si="4"/>
        <v>2</v>
      </c>
      <c r="M37" s="94">
        <f t="shared" si="5"/>
        <v>6</v>
      </c>
      <c r="O37" s="43" t="str">
        <f t="shared" si="6"/>
        <v>QuadKids Club U13</v>
      </c>
      <c r="P37" s="95">
        <f t="shared" si="7"/>
        <v>0.1</v>
      </c>
      <c r="Q37" s="95">
        <f t="shared" si="8"/>
        <v>0.01</v>
      </c>
      <c r="R37" s="96">
        <f t="shared" si="9"/>
        <v>0.05</v>
      </c>
      <c r="S37" s="98">
        <f t="shared" si="10"/>
        <v>0.6</v>
      </c>
    </row>
    <row r="38" ht="15.75" customHeight="1">
      <c r="A38" s="113" t="s">
        <v>101</v>
      </c>
      <c r="B38" s="114">
        <v>10.0</v>
      </c>
      <c r="I38" s="43" t="str">
        <f t="shared" si="1"/>
        <v>QuadKids Club U9</v>
      </c>
      <c r="J38" s="89">
        <f t="shared" si="2"/>
        <v>12</v>
      </c>
      <c r="K38" s="64">
        <f t="shared" si="3"/>
        <v>2.1</v>
      </c>
      <c r="L38" s="64">
        <f t="shared" si="4"/>
        <v>0.9</v>
      </c>
      <c r="M38" s="94">
        <f t="shared" si="5"/>
        <v>0</v>
      </c>
      <c r="O38" s="43" t="str">
        <f t="shared" si="6"/>
        <v>QuadKids Club U9</v>
      </c>
      <c r="P38" s="95">
        <f t="shared" si="7"/>
        <v>0.1</v>
      </c>
      <c r="Q38" s="95">
        <f t="shared" si="8"/>
        <v>0.01</v>
      </c>
      <c r="R38" s="96">
        <f t="shared" si="9"/>
        <v>0.02</v>
      </c>
      <c r="S38" s="98">
        <f t="shared" si="10"/>
        <v>0.5</v>
      </c>
    </row>
    <row r="39" ht="15.75" customHeight="1">
      <c r="I39" s="43" t="str">
        <f t="shared" si="1"/>
        <v>QuadKids Pre-Start</v>
      </c>
      <c r="J39" s="89">
        <f t="shared" si="2"/>
        <v>13</v>
      </c>
      <c r="K39" s="64">
        <f t="shared" si="3"/>
        <v>2.15</v>
      </c>
      <c r="L39" s="64">
        <f t="shared" si="4"/>
        <v>0.5</v>
      </c>
      <c r="M39" s="94">
        <f t="shared" si="5"/>
        <v>0</v>
      </c>
      <c r="O39" s="43" t="str">
        <f t="shared" si="6"/>
        <v>QuadKids Pre-Start</v>
      </c>
      <c r="P39" s="95">
        <f t="shared" si="7"/>
        <v>0.1</v>
      </c>
      <c r="Q39" s="95">
        <f t="shared" si="8"/>
        <v>0.01</v>
      </c>
      <c r="R39" s="96">
        <f t="shared" si="9"/>
        <v>0.03</v>
      </c>
      <c r="S39" s="98">
        <f t="shared" si="10"/>
        <v>0.5</v>
      </c>
    </row>
    <row r="40" ht="21.0" customHeight="1">
      <c r="A40" s="117" t="s">
        <v>102</v>
      </c>
      <c r="I40" s="43" t="str">
        <f t="shared" si="1"/>
        <v/>
      </c>
      <c r="J40" s="89" t="str">
        <f t="shared" si="2"/>
        <v/>
      </c>
      <c r="K40" s="64" t="str">
        <f t="shared" si="3"/>
        <v/>
      </c>
      <c r="L40" s="64" t="str">
        <f t="shared" si="4"/>
        <v/>
      </c>
      <c r="M40" s="94" t="str">
        <f t="shared" si="5"/>
        <v/>
      </c>
      <c r="O40" s="43" t="str">
        <f t="shared" si="6"/>
        <v/>
      </c>
      <c r="P40" s="95" t="str">
        <f t="shared" si="7"/>
        <v/>
      </c>
      <c r="Q40" s="95" t="str">
        <f t="shared" si="8"/>
        <v/>
      </c>
      <c r="R40" s="95" t="str">
        <f t="shared" si="9"/>
        <v/>
      </c>
      <c r="S40" s="98" t="str">
        <f t="shared" si="10"/>
        <v/>
      </c>
    </row>
    <row r="41" ht="15.75" customHeight="1">
      <c r="A41" s="118" t="s">
        <v>103</v>
      </c>
      <c r="B41" s="61" t="str">
        <f t="shared" ref="B41:E41" si="11">+B30</f>
        <v>75m</v>
      </c>
      <c r="C41" s="61" t="str">
        <f t="shared" si="11"/>
        <v>600m</v>
      </c>
      <c r="D41" s="119" t="str">
        <f t="shared" si="11"/>
        <v>Long_Jump</v>
      </c>
      <c r="E41" s="62" t="str">
        <f t="shared" si="11"/>
        <v>Howler</v>
      </c>
      <c r="I41" s="43" t="str">
        <f t="shared" si="1"/>
        <v/>
      </c>
      <c r="J41" s="89" t="str">
        <f t="shared" si="2"/>
        <v/>
      </c>
      <c r="K41" s="64" t="str">
        <f t="shared" si="3"/>
        <v/>
      </c>
      <c r="L41" s="64" t="str">
        <f t="shared" si="4"/>
        <v/>
      </c>
      <c r="M41" s="94" t="str">
        <f t="shared" si="5"/>
        <v/>
      </c>
      <c r="O41" s="43" t="str">
        <f t="shared" si="6"/>
        <v/>
      </c>
      <c r="P41" s="95" t="str">
        <f t="shared" si="7"/>
        <v/>
      </c>
      <c r="Q41" s="95" t="str">
        <f t="shared" si="8"/>
        <v/>
      </c>
      <c r="R41" s="95" t="str">
        <f t="shared" si="9"/>
        <v/>
      </c>
      <c r="S41" s="98" t="str">
        <f t="shared" si="10"/>
        <v/>
      </c>
    </row>
    <row r="42" ht="15.75" customHeight="1">
      <c r="A42" s="49">
        <v>0.0</v>
      </c>
      <c r="B42" s="95">
        <v>1.0</v>
      </c>
      <c r="C42" s="95">
        <v>1.0</v>
      </c>
      <c r="D42" s="95">
        <v>1.0</v>
      </c>
      <c r="E42" s="98">
        <v>1.0</v>
      </c>
      <c r="I42" s="51" t="str">
        <f t="shared" si="1"/>
        <v/>
      </c>
      <c r="J42" s="120" t="str">
        <f t="shared" si="2"/>
        <v/>
      </c>
      <c r="K42" s="104" t="str">
        <f t="shared" si="3"/>
        <v/>
      </c>
      <c r="L42" s="104" t="str">
        <f t="shared" si="4"/>
        <v/>
      </c>
      <c r="M42" s="121" t="str">
        <f t="shared" si="5"/>
        <v/>
      </c>
      <c r="O42" s="51" t="str">
        <f t="shared" si="6"/>
        <v/>
      </c>
      <c r="P42" s="108" t="str">
        <f t="shared" si="7"/>
        <v/>
      </c>
      <c r="Q42" s="108" t="str">
        <f t="shared" si="8"/>
        <v/>
      </c>
      <c r="R42" s="108" t="str">
        <f t="shared" si="9"/>
        <v/>
      </c>
      <c r="S42" s="122" t="str">
        <f t="shared" si="10"/>
        <v/>
      </c>
    </row>
    <row r="43" ht="15.75" customHeight="1">
      <c r="A43" s="49">
        <v>1.0</v>
      </c>
      <c r="B43" s="95">
        <v>0.5</v>
      </c>
      <c r="C43" s="95">
        <v>0.5</v>
      </c>
      <c r="D43" s="95">
        <v>2.0</v>
      </c>
      <c r="E43" s="98">
        <v>2.0</v>
      </c>
    </row>
    <row r="44" ht="15.75" customHeight="1">
      <c r="A44" s="49">
        <v>2.0</v>
      </c>
      <c r="B44" s="95">
        <v>0.6</v>
      </c>
      <c r="C44" s="95">
        <v>0.6</v>
      </c>
      <c r="D44" s="95">
        <v>1.9</v>
      </c>
      <c r="E44" s="98">
        <v>1.9</v>
      </c>
    </row>
    <row r="45" ht="15.75" customHeight="1">
      <c r="A45" s="49">
        <v>3.0</v>
      </c>
      <c r="B45" s="95">
        <v>0.75</v>
      </c>
      <c r="C45" s="95">
        <v>0.75</v>
      </c>
      <c r="D45" s="95">
        <v>1.6</v>
      </c>
      <c r="E45" s="98">
        <v>1.6</v>
      </c>
    </row>
    <row r="46" ht="15.75" customHeight="1">
      <c r="A46" s="54">
        <v>4.0</v>
      </c>
      <c r="B46" s="108">
        <v>0.9</v>
      </c>
      <c r="C46" s="108">
        <v>0.9</v>
      </c>
      <c r="D46" s="108">
        <v>1.25</v>
      </c>
      <c r="E46" s="122">
        <v>1.25</v>
      </c>
    </row>
    <row r="47" ht="15.75" customHeight="1"/>
    <row r="48" ht="15.75" customHeight="1">
      <c r="A48" s="123"/>
      <c r="B48" s="124" t="s">
        <v>104</v>
      </c>
      <c r="C48" s="125"/>
      <c r="D48" s="125"/>
      <c r="E48" s="125"/>
      <c r="F48" s="125"/>
      <c r="G48" s="125"/>
      <c r="H48" s="126"/>
      <c r="I48" s="124" t="s">
        <v>105</v>
      </c>
      <c r="J48" s="125"/>
      <c r="K48" s="125"/>
      <c r="L48" s="125"/>
      <c r="M48" s="125"/>
      <c r="N48" s="125"/>
      <c r="O48" s="126"/>
      <c r="P48" s="124" t="s">
        <v>106</v>
      </c>
      <c r="Q48" s="125"/>
      <c r="R48" s="125"/>
      <c r="S48" s="125"/>
      <c r="T48" s="125"/>
      <c r="U48" s="125"/>
      <c r="V48" s="126"/>
      <c r="W48" s="124" t="s">
        <v>107</v>
      </c>
      <c r="X48" s="125"/>
      <c r="Y48" s="125"/>
      <c r="Z48" s="125"/>
      <c r="AA48" s="125"/>
      <c r="AB48" s="125"/>
      <c r="AC48" s="126"/>
    </row>
    <row r="49" ht="15.75" customHeight="1">
      <c r="A49" s="127"/>
      <c r="B49" s="128"/>
      <c r="C49" s="129" t="s">
        <v>108</v>
      </c>
      <c r="D49" s="130" t="s">
        <v>109</v>
      </c>
      <c r="E49" s="62" t="s">
        <v>110</v>
      </c>
      <c r="F49" s="129" t="s">
        <v>108</v>
      </c>
      <c r="G49" s="130" t="s">
        <v>109</v>
      </c>
      <c r="H49" s="62" t="s">
        <v>110</v>
      </c>
      <c r="I49" s="128"/>
      <c r="J49" s="129" t="s">
        <v>108</v>
      </c>
      <c r="K49" s="130" t="s">
        <v>109</v>
      </c>
      <c r="L49" s="62" t="s">
        <v>110</v>
      </c>
      <c r="M49" s="129" t="s">
        <v>108</v>
      </c>
      <c r="N49" s="130" t="s">
        <v>109</v>
      </c>
      <c r="O49" s="62" t="s">
        <v>110</v>
      </c>
      <c r="P49" s="128"/>
      <c r="Q49" s="129" t="s">
        <v>108</v>
      </c>
      <c r="R49" s="130" t="s">
        <v>109</v>
      </c>
      <c r="S49" s="62" t="s">
        <v>110</v>
      </c>
      <c r="T49" s="129" t="s">
        <v>108</v>
      </c>
      <c r="U49" s="130" t="s">
        <v>109</v>
      </c>
      <c r="V49" s="62" t="s">
        <v>110</v>
      </c>
      <c r="W49" s="128"/>
      <c r="X49" s="129" t="s">
        <v>108</v>
      </c>
      <c r="Y49" s="130" t="s">
        <v>109</v>
      </c>
      <c r="Z49" s="62" t="s">
        <v>110</v>
      </c>
      <c r="AA49" s="129" t="s">
        <v>108</v>
      </c>
      <c r="AB49" s="130" t="s">
        <v>109</v>
      </c>
      <c r="AC49" s="62" t="s">
        <v>110</v>
      </c>
    </row>
    <row r="50" ht="15.75" customHeight="1">
      <c r="A50" s="131"/>
      <c r="B50" s="132" t="s">
        <v>40</v>
      </c>
      <c r="C50" s="133" t="s">
        <v>111</v>
      </c>
      <c r="D50" s="134"/>
      <c r="E50" s="135"/>
      <c r="F50" s="133" t="s">
        <v>94</v>
      </c>
      <c r="G50" s="134"/>
      <c r="H50" s="135"/>
      <c r="I50" s="132" t="s">
        <v>40</v>
      </c>
      <c r="J50" s="133" t="s">
        <v>111</v>
      </c>
      <c r="K50" s="134"/>
      <c r="L50" s="135"/>
      <c r="M50" s="133" t="s">
        <v>94</v>
      </c>
      <c r="N50" s="134"/>
      <c r="O50" s="135"/>
      <c r="P50" s="132" t="s">
        <v>40</v>
      </c>
      <c r="Q50" s="133" t="s">
        <v>111</v>
      </c>
      <c r="R50" s="134"/>
      <c r="S50" s="135"/>
      <c r="T50" s="133" t="s">
        <v>94</v>
      </c>
      <c r="U50" s="134"/>
      <c r="V50" s="135"/>
      <c r="W50" s="132" t="s">
        <v>40</v>
      </c>
      <c r="X50" s="133" t="s">
        <v>111</v>
      </c>
      <c r="Y50" s="134"/>
      <c r="Z50" s="135"/>
      <c r="AA50" s="133" t="s">
        <v>94</v>
      </c>
      <c r="AB50" s="134"/>
      <c r="AC50" s="135"/>
    </row>
    <row r="51" ht="15.75" customHeight="1">
      <c r="A51" s="33" t="s">
        <v>112</v>
      </c>
      <c r="B51" s="136" t="s">
        <v>58</v>
      </c>
      <c r="C51" s="137">
        <v>60.0</v>
      </c>
      <c r="D51" s="138">
        <v>37.0</v>
      </c>
      <c r="E51" s="139">
        <v>34.0</v>
      </c>
      <c r="F51" s="137">
        <v>0.5</v>
      </c>
      <c r="G51" s="138">
        <v>0.3</v>
      </c>
      <c r="H51" s="139">
        <v>0.3</v>
      </c>
      <c r="I51" s="140" t="s">
        <v>59</v>
      </c>
      <c r="J51" s="141">
        <v>480.0</v>
      </c>
      <c r="K51" s="142">
        <v>450.0</v>
      </c>
      <c r="L51" s="143">
        <v>480.0</v>
      </c>
      <c r="M51" s="141">
        <v>2.0</v>
      </c>
      <c r="N51" s="142">
        <v>3.0</v>
      </c>
      <c r="O51" s="143">
        <v>4.0</v>
      </c>
      <c r="P51" s="144" t="s">
        <v>71</v>
      </c>
      <c r="Q51" s="145">
        <v>0.0</v>
      </c>
      <c r="R51" s="146">
        <v>0.2</v>
      </c>
      <c r="S51" s="147">
        <v>0.2</v>
      </c>
      <c r="T51" s="145">
        <v>0.0</v>
      </c>
      <c r="U51" s="146">
        <v>0.02</v>
      </c>
      <c r="V51" s="147">
        <v>0.02</v>
      </c>
      <c r="W51" s="148" t="s">
        <v>113</v>
      </c>
      <c r="X51" s="149">
        <v>2.0</v>
      </c>
      <c r="Y51" s="150">
        <v>2.0</v>
      </c>
      <c r="Z51" s="151">
        <v>2.0</v>
      </c>
      <c r="AA51" s="149">
        <v>0.2</v>
      </c>
      <c r="AB51" s="150">
        <v>0.3</v>
      </c>
      <c r="AC51" s="151">
        <v>0.2</v>
      </c>
    </row>
    <row r="52" ht="15.75" customHeight="1">
      <c r="A52" s="42" t="s">
        <v>114</v>
      </c>
      <c r="B52" s="152" t="s">
        <v>44</v>
      </c>
      <c r="C52" s="153">
        <v>60.0</v>
      </c>
      <c r="D52" s="154">
        <v>55.0</v>
      </c>
      <c r="E52" s="155">
        <v>34.0</v>
      </c>
      <c r="F52" s="153">
        <v>0.5</v>
      </c>
      <c r="G52" s="154">
        <v>0.5</v>
      </c>
      <c r="H52" s="155">
        <v>0.3</v>
      </c>
      <c r="I52" s="156" t="s">
        <v>45</v>
      </c>
      <c r="J52" s="157">
        <v>480.0</v>
      </c>
      <c r="K52" s="158">
        <v>450.0</v>
      </c>
      <c r="L52" s="159">
        <v>480.0</v>
      </c>
      <c r="M52" s="157">
        <v>2.0</v>
      </c>
      <c r="N52" s="158">
        <v>3.0</v>
      </c>
      <c r="O52" s="159">
        <v>4.0</v>
      </c>
      <c r="P52" s="160" t="s">
        <v>71</v>
      </c>
      <c r="Q52" s="161">
        <v>0.0</v>
      </c>
      <c r="R52" s="162">
        <v>0.2</v>
      </c>
      <c r="S52" s="163">
        <v>0.2</v>
      </c>
      <c r="T52" s="161">
        <v>0.0</v>
      </c>
      <c r="U52" s="162">
        <v>0.03</v>
      </c>
      <c r="V52" s="163">
        <v>0.03</v>
      </c>
      <c r="W52" s="164" t="s">
        <v>113</v>
      </c>
      <c r="X52" s="165">
        <v>2.0</v>
      </c>
      <c r="Y52" s="166">
        <v>2.0</v>
      </c>
      <c r="Z52" s="167">
        <v>2.0</v>
      </c>
      <c r="AA52" s="165">
        <v>0.2</v>
      </c>
      <c r="AB52" s="166">
        <v>0.3</v>
      </c>
      <c r="AC52" s="167">
        <v>0.4</v>
      </c>
    </row>
    <row r="53" ht="15.75" customHeight="1">
      <c r="A53" s="42"/>
      <c r="B53" s="152"/>
      <c r="C53" s="153"/>
      <c r="D53" s="154"/>
      <c r="E53" s="155"/>
      <c r="F53" s="153"/>
      <c r="G53" s="154"/>
      <c r="H53" s="155"/>
      <c r="I53" s="156"/>
      <c r="J53" s="157"/>
      <c r="K53" s="158"/>
      <c r="L53" s="159"/>
      <c r="M53" s="157"/>
      <c r="N53" s="158"/>
      <c r="O53" s="159"/>
      <c r="P53" s="160"/>
      <c r="Q53" s="161"/>
      <c r="R53" s="162"/>
      <c r="S53" s="163"/>
      <c r="T53" s="161"/>
      <c r="U53" s="162"/>
      <c r="V53" s="163"/>
      <c r="W53" s="164"/>
      <c r="X53" s="165"/>
      <c r="Y53" s="166"/>
      <c r="Z53" s="167"/>
      <c r="AA53" s="165"/>
      <c r="AB53" s="166"/>
      <c r="AC53" s="167"/>
    </row>
    <row r="54" ht="15.75" customHeight="1">
      <c r="A54" s="42"/>
      <c r="B54" s="152"/>
      <c r="C54" s="153"/>
      <c r="D54" s="154"/>
      <c r="E54" s="155"/>
      <c r="F54" s="153"/>
      <c r="G54" s="154"/>
      <c r="H54" s="155"/>
      <c r="I54" s="156"/>
      <c r="J54" s="157"/>
      <c r="K54" s="158"/>
      <c r="L54" s="159"/>
      <c r="M54" s="157"/>
      <c r="N54" s="158"/>
      <c r="O54" s="159"/>
      <c r="P54" s="160"/>
      <c r="Q54" s="161"/>
      <c r="R54" s="162"/>
      <c r="S54" s="163"/>
      <c r="T54" s="161"/>
      <c r="U54" s="162"/>
      <c r="V54" s="163"/>
      <c r="W54" s="164"/>
      <c r="X54" s="165"/>
      <c r="Y54" s="166"/>
      <c r="Z54" s="167"/>
      <c r="AA54" s="165"/>
      <c r="AB54" s="166"/>
      <c r="AC54" s="167"/>
    </row>
    <row r="55" ht="15.75" customHeight="1">
      <c r="A55" s="42"/>
      <c r="B55" s="152"/>
      <c r="C55" s="153"/>
      <c r="D55" s="154"/>
      <c r="E55" s="155"/>
      <c r="F55" s="153"/>
      <c r="G55" s="154"/>
      <c r="H55" s="155"/>
      <c r="I55" s="156"/>
      <c r="J55" s="157"/>
      <c r="K55" s="158"/>
      <c r="L55" s="159"/>
      <c r="M55" s="157"/>
      <c r="N55" s="158"/>
      <c r="O55" s="159"/>
      <c r="P55" s="160"/>
      <c r="Q55" s="161"/>
      <c r="R55" s="162"/>
      <c r="S55" s="163"/>
      <c r="T55" s="161"/>
      <c r="U55" s="162"/>
      <c r="V55" s="163"/>
      <c r="W55" s="164"/>
      <c r="X55" s="165"/>
      <c r="Y55" s="166"/>
      <c r="Z55" s="167"/>
      <c r="AA55" s="165"/>
      <c r="AB55" s="166"/>
      <c r="AC55" s="167"/>
    </row>
    <row r="56" ht="15.75" customHeight="1">
      <c r="A56" s="42"/>
      <c r="B56" s="152"/>
      <c r="C56" s="153"/>
      <c r="D56" s="154"/>
      <c r="E56" s="155"/>
      <c r="F56" s="153"/>
      <c r="G56" s="154"/>
      <c r="H56" s="155"/>
      <c r="I56" s="156"/>
      <c r="J56" s="157"/>
      <c r="K56" s="158"/>
      <c r="L56" s="159"/>
      <c r="M56" s="157"/>
      <c r="N56" s="158"/>
      <c r="O56" s="159"/>
      <c r="P56" s="160"/>
      <c r="Q56" s="161"/>
      <c r="R56" s="162"/>
      <c r="S56" s="163"/>
      <c r="T56" s="161"/>
      <c r="U56" s="162"/>
      <c r="V56" s="163"/>
      <c r="W56" s="164"/>
      <c r="X56" s="165"/>
      <c r="Y56" s="166"/>
      <c r="Z56" s="167"/>
      <c r="AA56" s="165"/>
      <c r="AB56" s="166"/>
      <c r="AC56" s="167"/>
    </row>
    <row r="57" ht="15.75" customHeight="1">
      <c r="A57" s="50"/>
      <c r="B57" s="168"/>
      <c r="C57" s="169"/>
      <c r="D57" s="170"/>
      <c r="E57" s="171"/>
      <c r="F57" s="169"/>
      <c r="G57" s="170"/>
      <c r="H57" s="171"/>
      <c r="I57" s="172"/>
      <c r="J57" s="173"/>
      <c r="K57" s="174"/>
      <c r="L57" s="175"/>
      <c r="M57" s="173"/>
      <c r="N57" s="174"/>
      <c r="O57" s="175"/>
      <c r="P57" s="176"/>
      <c r="Q57" s="177"/>
      <c r="R57" s="178"/>
      <c r="S57" s="179"/>
      <c r="T57" s="177"/>
      <c r="U57" s="178"/>
      <c r="V57" s="179"/>
      <c r="W57" s="180"/>
      <c r="X57" s="181"/>
      <c r="Y57" s="182"/>
      <c r="Z57" s="183"/>
      <c r="AA57" s="181"/>
      <c r="AB57" s="182"/>
      <c r="AC57" s="183"/>
    </row>
    <row r="58" ht="15.75" customHeight="1">
      <c r="A58" s="184"/>
      <c r="B58" s="185" t="str">
        <f t="array" ref="B58">INDEX(IncScoreTable,IncMatchIdx,2+(7*(1-1)))</f>
        <v>75m</v>
      </c>
      <c r="C58" s="186">
        <f t="array" ref="C58">INDEX(IncScoreTable,IncMatchIdx,2+(7*(1-1))+1)</f>
        <v>60</v>
      </c>
      <c r="D58" s="186">
        <f t="array" ref="D58">INDEX(IncScoreTable,IncMatchIdx,2+(7*(1-1))+2)</f>
        <v>55</v>
      </c>
      <c r="E58" s="186">
        <f t="array" ref="E58">INDEX(IncScoreTable,IncMatchIdx,2+(7*(1-1))+3)</f>
        <v>34</v>
      </c>
      <c r="F58" s="186">
        <f t="array" ref="F58">INDEX(IncScoreTable,IncMatchIdx,2+(7*(1-1))+4)</f>
        <v>0.5</v>
      </c>
      <c r="G58" s="186">
        <f t="array" ref="G58">INDEX(IncScoreTable,IncMatchIdx,2+(7*(1-1))+5)</f>
        <v>0.5</v>
      </c>
      <c r="H58" s="187">
        <f t="array" ref="H58">INDEX(IncScoreTable,IncMatchIdx,2+(7*(1-1))+6)</f>
        <v>0.3</v>
      </c>
      <c r="I58" s="188" t="str">
        <f t="array" ref="I58">INDEX(IncScoreTable,IncMatchIdx,2+(7*(2-1)))</f>
        <v>600m</v>
      </c>
      <c r="J58" s="189">
        <f t="array" ref="J58">INDEX(IncScoreTable,IncMatchIdx,2+(7*(2-1))+1)</f>
        <v>480</v>
      </c>
      <c r="K58" s="189">
        <f t="array" ref="K58">INDEX(IncScoreTable,IncMatchIdx,2+(7*(2-1))+2)</f>
        <v>450</v>
      </c>
      <c r="L58" s="189">
        <f t="array" ref="L58">INDEX(IncScoreTable,IncMatchIdx,2+(7*(2-1))+3)</f>
        <v>480</v>
      </c>
      <c r="M58" s="189">
        <f t="array" ref="M58">INDEX(IncScoreTable,IncMatchIdx,2+(7*(2-1))+4)</f>
        <v>2</v>
      </c>
      <c r="N58" s="189">
        <f t="array" ref="N58">INDEX(IncScoreTable,IncMatchIdx,2+(7*(2-1))+5)</f>
        <v>3</v>
      </c>
      <c r="O58" s="190">
        <f t="array" ref="O58">INDEX(IncScoreTable,IncMatchIdx,2+(7*(2-1))+6)</f>
        <v>4</v>
      </c>
      <c r="P58" s="191" t="str">
        <f t="array" ref="P58">INDEX(IncScoreTable,IncMatchIdx,2+(7*(3-1)))</f>
        <v>Jump</v>
      </c>
      <c r="Q58" s="192">
        <f t="array" ref="Q58">INDEX(IncScoreTable,IncMatchIdx,2+(7*(3-1))+1)</f>
        <v>0</v>
      </c>
      <c r="R58" s="192">
        <f t="array" ref="R58">INDEX(IncScoreTable,IncMatchIdx,2+(7*(3-1))+2)</f>
        <v>0.2</v>
      </c>
      <c r="S58" s="192">
        <f t="array" ref="S58">INDEX(IncScoreTable,IncMatchIdx,2+(7*(3-1))+3)</f>
        <v>0.2</v>
      </c>
      <c r="T58" s="192">
        <f t="array" ref="T58">INDEX(IncScoreTable,IncMatchIdx,2+(7*(3-1))+4)</f>
        <v>0</v>
      </c>
      <c r="U58" s="192">
        <f t="array" ref="U58">INDEX(IncScoreTable,IncMatchIdx,2+(7*(3-1))+5)</f>
        <v>0.03</v>
      </c>
      <c r="V58" s="193">
        <f t="array" ref="V58">INDEX(IncScoreTable,IncMatchIdx,2+(7*(3-1))+6)</f>
        <v>0.03</v>
      </c>
      <c r="W58" s="194" t="str">
        <f t="array" ref="W58">INDEX(IncScoreTable,IncMatchIdx,2+(7*(4-1)))</f>
        <v>Vortex</v>
      </c>
      <c r="X58" s="195">
        <f t="array" ref="X58">INDEX(IncScoreTable,IncMatchIdx,2+(7*(4-1))+1)</f>
        <v>2</v>
      </c>
      <c r="Y58" s="195">
        <f t="array" ref="Y58">INDEX(IncScoreTable,IncMatchIdx,2+(7*(4-1))+2)</f>
        <v>2</v>
      </c>
      <c r="Z58" s="195">
        <f t="array" ref="Z58">INDEX(IncScoreTable,IncMatchIdx,2+(7*(4-1))+3)</f>
        <v>2</v>
      </c>
      <c r="AA58" s="195">
        <f t="array" ref="AA58">INDEX(IncScoreTable,IncMatchIdx,2+(7*(4-1))+4)</f>
        <v>0.2</v>
      </c>
      <c r="AB58" s="195">
        <f t="array" ref="AB58">INDEX(IncScoreTable,IncMatchIdx,2+(7*(4-1))+5)</f>
        <v>0.3</v>
      </c>
      <c r="AC58" s="208">
        <f t="array" ref="AC58">INDEX(IncScoreTable,IncMatchIdx,2+(7*(4-1))+6)</f>
        <v>0.4</v>
      </c>
    </row>
    <row r="59" ht="15.75" customHeight="1">
      <c r="B59" s="212"/>
      <c r="I59" s="212"/>
      <c r="P59" s="212"/>
      <c r="W59" s="212"/>
    </row>
    <row r="60" ht="15.75" customHeight="1">
      <c r="A60" t="s">
        <v>305</v>
      </c>
      <c r="B60">
        <f t="array" ref="B60">INDEX(MatchScoreTable,EventIndex,20)</f>
        <v>2</v>
      </c>
    </row>
    <row r="61" ht="15.75" customHeight="1"/>
    <row r="62" ht="18.75" customHeight="1">
      <c r="A62" s="215" t="s">
        <v>112</v>
      </c>
      <c r="B62" s="217" t="s">
        <v>69</v>
      </c>
      <c r="C62" s="19"/>
      <c r="D62" s="20"/>
      <c r="E62" s="217" t="s">
        <v>70</v>
      </c>
      <c r="F62" s="19"/>
      <c r="G62" s="20"/>
      <c r="H62" s="217" t="s">
        <v>71</v>
      </c>
      <c r="I62" s="19"/>
      <c r="J62" s="20"/>
      <c r="K62" s="217" t="s">
        <v>72</v>
      </c>
      <c r="L62" s="19"/>
      <c r="M62" s="20"/>
      <c r="O62" s="57"/>
      <c r="P62" s="220" t="s">
        <v>68</v>
      </c>
      <c r="Q62" s="61" t="s">
        <v>69</v>
      </c>
      <c r="R62" s="61" t="s">
        <v>70</v>
      </c>
      <c r="S62" s="61" t="s">
        <v>71</v>
      </c>
      <c r="T62" s="62" t="s">
        <v>72</v>
      </c>
      <c r="V62" s="57"/>
      <c r="W62" s="220" t="s">
        <v>68</v>
      </c>
      <c r="X62" s="61" t="s">
        <v>69</v>
      </c>
      <c r="Y62" s="61" t="s">
        <v>70</v>
      </c>
      <c r="Z62" s="61" t="s">
        <v>71</v>
      </c>
      <c r="AA62" s="62" t="s">
        <v>72</v>
      </c>
    </row>
    <row r="63" ht="15.75" customHeight="1">
      <c r="A63" s="32"/>
      <c r="B63" s="221" t="s">
        <v>40</v>
      </c>
      <c r="C63" s="222" t="s">
        <v>41</v>
      </c>
      <c r="D63" s="223" t="s">
        <v>42</v>
      </c>
      <c r="E63" s="221" t="s">
        <v>40</v>
      </c>
      <c r="F63" s="222" t="s">
        <v>41</v>
      </c>
      <c r="G63" s="223" t="s">
        <v>42</v>
      </c>
      <c r="H63" s="221" t="s">
        <v>40</v>
      </c>
      <c r="I63" s="222" t="s">
        <v>41</v>
      </c>
      <c r="J63" s="223" t="s">
        <v>42</v>
      </c>
      <c r="K63" s="221" t="s">
        <v>40</v>
      </c>
      <c r="L63" s="222" t="s">
        <v>41</v>
      </c>
      <c r="M63" s="223" t="s">
        <v>42</v>
      </c>
      <c r="O63" s="224" t="s">
        <v>309</v>
      </c>
      <c r="P63" s="222" t="s">
        <v>310</v>
      </c>
      <c r="Q63" s="227">
        <f t="shared" ref="Q63:Q66" si="12">+C64</f>
        <v>0</v>
      </c>
      <c r="R63" s="227">
        <f t="shared" ref="R63:R66" si="13">+F64</f>
        <v>0</v>
      </c>
      <c r="S63" s="230">
        <f t="shared" ref="S63:S66" si="14">+I64</f>
        <v>0</v>
      </c>
      <c r="T63" s="232">
        <f t="shared" ref="T63:T66" si="15">+L64</f>
        <v>2</v>
      </c>
      <c r="V63" s="224" t="s">
        <v>309</v>
      </c>
      <c r="W63" s="222" t="s">
        <v>310</v>
      </c>
      <c r="X63" s="230">
        <f t="shared" ref="X63:X66" si="16">+D64</f>
        <v>0</v>
      </c>
      <c r="Y63" s="227">
        <f t="shared" ref="Y63:Y66" si="17">+G64</f>
        <v>0</v>
      </c>
      <c r="Z63" s="238">
        <f t="shared" ref="Z63:Z66" si="18">+J64</f>
        <v>0</v>
      </c>
      <c r="AA63" s="241">
        <f t="shared" ref="AA63:AA66" si="19">+M64</f>
        <v>0.02</v>
      </c>
    </row>
    <row r="64" ht="15.75" customHeight="1">
      <c r="A64" s="42" t="s">
        <v>310</v>
      </c>
      <c r="B64" s="43" t="s">
        <v>58</v>
      </c>
      <c r="C64" s="95">
        <v>0.0</v>
      </c>
      <c r="D64" s="98">
        <v>0.0</v>
      </c>
      <c r="E64" s="43" t="s">
        <v>59</v>
      </c>
      <c r="F64" s="95">
        <v>0.0</v>
      </c>
      <c r="G64" s="98">
        <v>0.0</v>
      </c>
      <c r="H64" s="43" t="s">
        <v>71</v>
      </c>
      <c r="I64" s="95">
        <v>0.0</v>
      </c>
      <c r="J64" s="98">
        <v>0.0</v>
      </c>
      <c r="K64" s="43" t="s">
        <v>72</v>
      </c>
      <c r="L64" s="95">
        <v>2.0</v>
      </c>
      <c r="M64" s="98">
        <v>0.02</v>
      </c>
      <c r="O64" s="244"/>
      <c r="P64" s="222" t="s">
        <v>108</v>
      </c>
      <c r="Q64" s="227">
        <f t="shared" si="12"/>
        <v>60</v>
      </c>
      <c r="R64" s="227">
        <f t="shared" si="13"/>
        <v>480</v>
      </c>
      <c r="S64" s="230">
        <f t="shared" si="14"/>
        <v>0</v>
      </c>
      <c r="T64" s="232">
        <f t="shared" si="15"/>
        <v>2</v>
      </c>
      <c r="V64" s="244"/>
      <c r="W64" s="222" t="s">
        <v>108</v>
      </c>
      <c r="X64" s="230">
        <f t="shared" si="16"/>
        <v>0.5</v>
      </c>
      <c r="Y64" s="227">
        <f t="shared" si="17"/>
        <v>2</v>
      </c>
      <c r="Z64" s="238">
        <f t="shared" si="18"/>
        <v>0</v>
      </c>
      <c r="AA64" s="241">
        <f t="shared" si="19"/>
        <v>0.02</v>
      </c>
    </row>
    <row r="65" ht="15.75" customHeight="1">
      <c r="A65" s="42" t="s">
        <v>108</v>
      </c>
      <c r="B65" s="43" t="str">
        <f t="shared" ref="B65:B67" si="20">+B64</f>
        <v>50m</v>
      </c>
      <c r="C65" s="95">
        <v>60.0</v>
      </c>
      <c r="D65" s="98">
        <v>0.5</v>
      </c>
      <c r="E65" s="43" t="str">
        <f t="shared" ref="E65:E67" si="21">+E64</f>
        <v>400m</v>
      </c>
      <c r="F65" s="95">
        <v>480.0</v>
      </c>
      <c r="G65" s="98">
        <v>2.0</v>
      </c>
      <c r="H65" s="43" t="str">
        <f t="shared" ref="H65:H67" si="22">+H64</f>
        <v>Jump</v>
      </c>
      <c r="I65" s="95">
        <v>0.0</v>
      </c>
      <c r="J65" s="98">
        <v>0.0</v>
      </c>
      <c r="K65" s="43" t="str">
        <f t="shared" ref="K65:K67" si="23">+K64</f>
        <v>Throw</v>
      </c>
      <c r="L65" s="95">
        <v>2.0</v>
      </c>
      <c r="M65" s="98">
        <v>0.02</v>
      </c>
      <c r="O65" s="244"/>
      <c r="P65" s="222" t="s">
        <v>109</v>
      </c>
      <c r="Q65" s="227">
        <f t="shared" si="12"/>
        <v>37</v>
      </c>
      <c r="R65" s="227">
        <f t="shared" si="13"/>
        <v>450</v>
      </c>
      <c r="S65" s="230">
        <f t="shared" si="14"/>
        <v>0.2</v>
      </c>
      <c r="T65" s="232">
        <f t="shared" si="15"/>
        <v>2</v>
      </c>
      <c r="V65" s="244"/>
      <c r="W65" s="222" t="s">
        <v>109</v>
      </c>
      <c r="X65" s="230">
        <f t="shared" si="16"/>
        <v>0.3</v>
      </c>
      <c r="Y65" s="227">
        <f t="shared" si="17"/>
        <v>3</v>
      </c>
      <c r="Z65" s="238">
        <f t="shared" si="18"/>
        <v>0.02</v>
      </c>
      <c r="AA65" s="241">
        <f t="shared" si="19"/>
        <v>0.03</v>
      </c>
    </row>
    <row r="66" ht="15.75" customHeight="1">
      <c r="A66" s="42" t="s">
        <v>109</v>
      </c>
      <c r="B66" s="43" t="str">
        <f t="shared" si="20"/>
        <v>50m</v>
      </c>
      <c r="C66" s="95">
        <v>37.0</v>
      </c>
      <c r="D66" s="98">
        <v>0.3</v>
      </c>
      <c r="E66" s="43" t="str">
        <f t="shared" si="21"/>
        <v>400m</v>
      </c>
      <c r="F66" s="95">
        <v>450.0</v>
      </c>
      <c r="G66" s="98">
        <v>3.0</v>
      </c>
      <c r="H66" s="43" t="str">
        <f t="shared" si="22"/>
        <v>Jump</v>
      </c>
      <c r="I66" s="95">
        <v>0.2</v>
      </c>
      <c r="J66" s="98">
        <v>0.02</v>
      </c>
      <c r="K66" s="43" t="str">
        <f t="shared" si="23"/>
        <v>Throw</v>
      </c>
      <c r="L66" s="95">
        <v>2.0</v>
      </c>
      <c r="M66" s="98">
        <v>0.03</v>
      </c>
      <c r="O66" s="249"/>
      <c r="P66" s="222" t="s">
        <v>110</v>
      </c>
      <c r="Q66" s="227">
        <f t="shared" si="12"/>
        <v>34</v>
      </c>
      <c r="R66" s="227">
        <f t="shared" si="13"/>
        <v>480</v>
      </c>
      <c r="S66" s="230">
        <f t="shared" si="14"/>
        <v>0.2</v>
      </c>
      <c r="T66" s="232">
        <f t="shared" si="15"/>
        <v>2.5</v>
      </c>
      <c r="V66" s="249"/>
      <c r="W66" s="222" t="s">
        <v>110</v>
      </c>
      <c r="X66" s="230">
        <f t="shared" si="16"/>
        <v>0.3</v>
      </c>
      <c r="Y66" s="227">
        <f t="shared" si="17"/>
        <v>4</v>
      </c>
      <c r="Z66" s="238">
        <f t="shared" si="18"/>
        <v>0.02</v>
      </c>
      <c r="AA66" s="241">
        <f t="shared" si="19"/>
        <v>0.5</v>
      </c>
    </row>
    <row r="67" ht="15.75" customHeight="1">
      <c r="A67" s="50" t="s">
        <v>110</v>
      </c>
      <c r="B67" s="51" t="str">
        <f t="shared" si="20"/>
        <v>50m</v>
      </c>
      <c r="C67" s="108">
        <v>34.0</v>
      </c>
      <c r="D67" s="122">
        <v>0.3</v>
      </c>
      <c r="E67" s="51" t="str">
        <f t="shared" si="21"/>
        <v>400m</v>
      </c>
      <c r="F67" s="108">
        <v>480.0</v>
      </c>
      <c r="G67" s="122">
        <v>4.0</v>
      </c>
      <c r="H67" s="51" t="str">
        <f t="shared" si="22"/>
        <v>Jump</v>
      </c>
      <c r="I67" s="108">
        <v>0.2</v>
      </c>
      <c r="J67" s="122">
        <v>0.02</v>
      </c>
      <c r="K67" s="51" t="str">
        <f t="shared" si="23"/>
        <v>Throw</v>
      </c>
      <c r="L67" s="108">
        <v>2.5</v>
      </c>
      <c r="M67" s="122">
        <v>0.5</v>
      </c>
      <c r="O67" s="224" t="s">
        <v>327</v>
      </c>
      <c r="P67" s="222" t="s">
        <v>310</v>
      </c>
      <c r="Q67" s="95">
        <f t="shared" ref="Q67:Q70" si="24">+C71</f>
        <v>0</v>
      </c>
      <c r="R67" s="95">
        <f t="shared" ref="R67:R70" si="25">+F71</f>
        <v>0</v>
      </c>
      <c r="S67" s="89">
        <f t="shared" ref="S67:S70" si="26">+I71</f>
        <v>0</v>
      </c>
      <c r="T67" s="94">
        <f t="shared" ref="T67:T70" si="27">+L71</f>
        <v>2</v>
      </c>
      <c r="V67" s="224" t="s">
        <v>327</v>
      </c>
      <c r="W67" s="222" t="s">
        <v>310</v>
      </c>
      <c r="X67" s="89">
        <f t="shared" ref="X67:X70" si="28">+D71</f>
        <v>0</v>
      </c>
      <c r="Y67" s="95">
        <f t="shared" ref="Y67:Y70" si="29">+G71</f>
        <v>0</v>
      </c>
      <c r="Z67" s="64">
        <f t="shared" ref="Z67:Z70" si="30">+J71</f>
        <v>0</v>
      </c>
      <c r="AA67" s="65">
        <f t="shared" ref="AA67:AA70" si="31">+M71</f>
        <v>0.02</v>
      </c>
    </row>
    <row r="68" ht="15.75" customHeight="1">
      <c r="O68" s="244"/>
      <c r="P68" s="222" t="s">
        <v>108</v>
      </c>
      <c r="Q68" s="95">
        <f t="shared" si="24"/>
        <v>60</v>
      </c>
      <c r="R68" s="95">
        <f t="shared" si="25"/>
        <v>480</v>
      </c>
      <c r="S68" s="89">
        <f t="shared" si="26"/>
        <v>0</v>
      </c>
      <c r="T68" s="94">
        <f t="shared" si="27"/>
        <v>2</v>
      </c>
      <c r="V68" s="244"/>
      <c r="W68" s="222" t="s">
        <v>108</v>
      </c>
      <c r="X68" s="89">
        <f t="shared" si="28"/>
        <v>0.5</v>
      </c>
      <c r="Y68" s="95">
        <f t="shared" si="29"/>
        <v>2</v>
      </c>
      <c r="Z68" s="64">
        <f t="shared" si="30"/>
        <v>0</v>
      </c>
      <c r="AA68" s="65">
        <f t="shared" si="31"/>
        <v>0.02</v>
      </c>
    </row>
    <row r="69" ht="18.75" customHeight="1">
      <c r="A69" s="215" t="s">
        <v>114</v>
      </c>
      <c r="B69" s="217" t="s">
        <v>69</v>
      </c>
      <c r="C69" s="19"/>
      <c r="D69" s="20"/>
      <c r="E69" s="217" t="s">
        <v>70</v>
      </c>
      <c r="F69" s="19"/>
      <c r="G69" s="20"/>
      <c r="H69" s="217" t="s">
        <v>71</v>
      </c>
      <c r="I69" s="19"/>
      <c r="J69" s="20"/>
      <c r="K69" s="217" t="s">
        <v>72</v>
      </c>
      <c r="L69" s="19"/>
      <c r="M69" s="20"/>
      <c r="O69" s="244"/>
      <c r="P69" s="222" t="s">
        <v>109</v>
      </c>
      <c r="Q69" s="95">
        <f t="shared" si="24"/>
        <v>55</v>
      </c>
      <c r="R69" s="95">
        <f t="shared" si="25"/>
        <v>450</v>
      </c>
      <c r="S69" s="89">
        <f t="shared" si="26"/>
        <v>0.2</v>
      </c>
      <c r="T69" s="94">
        <f t="shared" si="27"/>
        <v>2</v>
      </c>
      <c r="V69" s="244"/>
      <c r="W69" s="222" t="s">
        <v>109</v>
      </c>
      <c r="X69" s="89">
        <f t="shared" si="28"/>
        <v>0.5</v>
      </c>
      <c r="Y69" s="95">
        <f t="shared" si="29"/>
        <v>3</v>
      </c>
      <c r="Z69" s="64">
        <f t="shared" si="30"/>
        <v>0.03</v>
      </c>
      <c r="AA69" s="65">
        <f t="shared" si="31"/>
        <v>0.03</v>
      </c>
    </row>
    <row r="70" ht="15.75" customHeight="1">
      <c r="A70" s="32"/>
      <c r="B70" s="221" t="s">
        <v>40</v>
      </c>
      <c r="C70" s="222" t="s">
        <v>41</v>
      </c>
      <c r="D70" s="223" t="s">
        <v>42</v>
      </c>
      <c r="E70" s="221" t="s">
        <v>40</v>
      </c>
      <c r="F70" s="222" t="s">
        <v>41</v>
      </c>
      <c r="G70" s="223" t="s">
        <v>42</v>
      </c>
      <c r="H70" s="221" t="s">
        <v>40</v>
      </c>
      <c r="I70" s="222" t="s">
        <v>41</v>
      </c>
      <c r="J70" s="223" t="s">
        <v>42</v>
      </c>
      <c r="K70" s="221" t="s">
        <v>40</v>
      </c>
      <c r="L70" s="222" t="s">
        <v>41</v>
      </c>
      <c r="M70" s="223" t="s">
        <v>42</v>
      </c>
      <c r="O70" s="29"/>
      <c r="P70" s="256" t="s">
        <v>110</v>
      </c>
      <c r="Q70" s="108">
        <f t="shared" si="24"/>
        <v>34</v>
      </c>
      <c r="R70" s="108">
        <f t="shared" si="25"/>
        <v>480</v>
      </c>
      <c r="S70" s="120">
        <f t="shared" si="26"/>
        <v>0.2</v>
      </c>
      <c r="T70" s="121">
        <f t="shared" si="27"/>
        <v>5</v>
      </c>
      <c r="V70" s="29"/>
      <c r="W70" s="256" t="s">
        <v>110</v>
      </c>
      <c r="X70" s="120">
        <f t="shared" si="28"/>
        <v>0.3</v>
      </c>
      <c r="Y70" s="108">
        <f t="shared" si="29"/>
        <v>4</v>
      </c>
      <c r="Z70" s="104">
        <f t="shared" si="30"/>
        <v>0.03</v>
      </c>
      <c r="AA70" s="111">
        <f t="shared" si="31"/>
        <v>0.5</v>
      </c>
    </row>
    <row r="71" ht="15.75" customHeight="1">
      <c r="A71" s="42" t="s">
        <v>310</v>
      </c>
      <c r="B71" s="43" t="s">
        <v>44</v>
      </c>
      <c r="C71" s="95">
        <v>0.0</v>
      </c>
      <c r="D71" s="98">
        <v>0.0</v>
      </c>
      <c r="E71" s="43" t="s">
        <v>45</v>
      </c>
      <c r="F71" s="95">
        <v>0.0</v>
      </c>
      <c r="G71" s="98">
        <v>0.0</v>
      </c>
      <c r="H71" s="43" t="s">
        <v>71</v>
      </c>
      <c r="I71" s="95">
        <v>0.0</v>
      </c>
      <c r="J71" s="98">
        <v>0.0</v>
      </c>
      <c r="K71" s="43" t="s">
        <v>72</v>
      </c>
      <c r="L71" s="95">
        <v>2.0</v>
      </c>
      <c r="M71" s="98">
        <v>0.02</v>
      </c>
    </row>
    <row r="72" ht="15.75" customHeight="1">
      <c r="A72" s="42" t="s">
        <v>108</v>
      </c>
      <c r="B72" s="43" t="str">
        <f t="shared" ref="B72:B74" si="32">+B71</f>
        <v>75m</v>
      </c>
      <c r="C72" s="95">
        <v>60.0</v>
      </c>
      <c r="D72" s="98">
        <v>0.5</v>
      </c>
      <c r="E72" s="43" t="str">
        <f t="shared" ref="E72:E74" si="33">+E71</f>
        <v>600m</v>
      </c>
      <c r="F72" s="95">
        <v>480.0</v>
      </c>
      <c r="G72" s="98">
        <v>2.0</v>
      </c>
      <c r="H72" s="43" t="str">
        <f t="shared" ref="H72:H74" si="34">+H71</f>
        <v>Jump</v>
      </c>
      <c r="I72" s="95">
        <v>0.0</v>
      </c>
      <c r="J72" s="98">
        <v>0.0</v>
      </c>
      <c r="K72" s="43" t="str">
        <f t="shared" ref="K72:K74" si="35">+K71</f>
        <v>Throw</v>
      </c>
      <c r="L72" s="95">
        <v>2.0</v>
      </c>
      <c r="M72" s="98">
        <v>0.02</v>
      </c>
    </row>
    <row r="73" ht="15.75" customHeight="1">
      <c r="A73" s="42" t="s">
        <v>109</v>
      </c>
      <c r="B73" s="43" t="str">
        <f t="shared" si="32"/>
        <v>75m</v>
      </c>
      <c r="C73" s="95">
        <v>55.0</v>
      </c>
      <c r="D73" s="98">
        <v>0.5</v>
      </c>
      <c r="E73" s="43" t="str">
        <f t="shared" si="33"/>
        <v>600m</v>
      </c>
      <c r="F73" s="95">
        <v>450.0</v>
      </c>
      <c r="G73" s="98">
        <v>3.0</v>
      </c>
      <c r="H73" s="43" t="str">
        <f t="shared" si="34"/>
        <v>Jump</v>
      </c>
      <c r="I73" s="95">
        <v>0.2</v>
      </c>
      <c r="J73" s="98">
        <v>0.03</v>
      </c>
      <c r="K73" s="43" t="str">
        <f t="shared" si="35"/>
        <v>Throw</v>
      </c>
      <c r="L73" s="95">
        <v>2.0</v>
      </c>
      <c r="M73" s="98">
        <v>0.03</v>
      </c>
    </row>
    <row r="74" ht="15.75" customHeight="1">
      <c r="A74" s="50" t="s">
        <v>110</v>
      </c>
      <c r="B74" s="51" t="str">
        <f t="shared" si="32"/>
        <v>75m</v>
      </c>
      <c r="C74" s="108">
        <v>34.0</v>
      </c>
      <c r="D74" s="122">
        <v>0.3</v>
      </c>
      <c r="E74" s="51" t="str">
        <f t="shared" si="33"/>
        <v>600m</v>
      </c>
      <c r="F74" s="108">
        <v>480.0</v>
      </c>
      <c r="G74" s="122">
        <v>4.0</v>
      </c>
      <c r="H74" s="51" t="str">
        <f t="shared" si="34"/>
        <v>Jump</v>
      </c>
      <c r="I74" s="108">
        <v>0.2</v>
      </c>
      <c r="J74" s="122">
        <v>0.03</v>
      </c>
      <c r="K74" s="51" t="str">
        <f t="shared" si="35"/>
        <v>Throw</v>
      </c>
      <c r="L74" s="108">
        <v>5.0</v>
      </c>
      <c r="M74" s="122">
        <v>0.5</v>
      </c>
    </row>
    <row r="75" ht="15.75" customHeight="1"/>
    <row r="76" ht="18.75" customHeight="1">
      <c r="A76" s="215" t="s">
        <v>114</v>
      </c>
      <c r="B76" s="217" t="s">
        <v>69</v>
      </c>
      <c r="C76" s="19"/>
      <c r="D76" s="20"/>
      <c r="E76" s="217" t="s">
        <v>70</v>
      </c>
      <c r="F76" s="19"/>
      <c r="G76" s="20"/>
      <c r="H76" s="217" t="s">
        <v>71</v>
      </c>
      <c r="I76" s="19"/>
      <c r="J76" s="20"/>
      <c r="K76" s="217" t="s">
        <v>72</v>
      </c>
      <c r="L76" s="19"/>
      <c r="M76" s="20"/>
    </row>
    <row r="77" ht="15.75" customHeight="1">
      <c r="A77" s="32"/>
      <c r="B77" s="221" t="s">
        <v>40</v>
      </c>
      <c r="C77" s="222" t="s">
        <v>41</v>
      </c>
      <c r="D77" s="223" t="s">
        <v>42</v>
      </c>
      <c r="E77" s="221" t="s">
        <v>40</v>
      </c>
      <c r="F77" s="222" t="s">
        <v>41</v>
      </c>
      <c r="G77" s="223" t="s">
        <v>42</v>
      </c>
      <c r="H77" s="221" t="s">
        <v>40</v>
      </c>
      <c r="I77" s="222" t="s">
        <v>41</v>
      </c>
      <c r="J77" s="223" t="s">
        <v>42</v>
      </c>
      <c r="K77" s="221" t="s">
        <v>40</v>
      </c>
      <c r="L77" s="222" t="s">
        <v>41</v>
      </c>
      <c r="M77" s="223" t="s">
        <v>42</v>
      </c>
    </row>
    <row r="78" ht="15.75" customHeight="1">
      <c r="A78" s="42" t="s">
        <v>310</v>
      </c>
      <c r="B78" s="43" t="str">
        <f>IF(IncMatchIdx=1,B64,B71)</f>
        <v>75m</v>
      </c>
      <c r="C78" s="95">
        <f>IF(IncMatchIdx=1,C64,C71)</f>
        <v>0</v>
      </c>
      <c r="D78" s="98">
        <f>IF(IncMatchIdx=1,D64,D71)</f>
        <v>0</v>
      </c>
      <c r="E78" s="43" t="str">
        <f>IF(IncMatchIdx=1,E64,E71)</f>
        <v>600m</v>
      </c>
      <c r="F78" s="95">
        <f>IF(IncMatchIdx=1,F64,F71)</f>
        <v>0</v>
      </c>
      <c r="G78" s="98">
        <f>IF(IncMatchIdx=1,G64,G71)</f>
        <v>0</v>
      </c>
      <c r="H78" s="43" t="str">
        <f>IF(IncMatchIdx=1,H64,H71)</f>
        <v>Jump</v>
      </c>
      <c r="I78" s="95">
        <f>IF(IncMatchIdx=1,I64,I71)</f>
        <v>0</v>
      </c>
      <c r="J78" s="98">
        <f>IF(IncMatchIdx=1,J64,J71)</f>
        <v>0</v>
      </c>
      <c r="K78" s="43" t="str">
        <f>IF(IncMatchIdx=1,K64,K71)</f>
        <v>Throw</v>
      </c>
      <c r="L78" s="95">
        <f>IF(IncMatchIdx=1,L64,L71)</f>
        <v>2</v>
      </c>
      <c r="M78" s="98">
        <f>IF(IncMatchIdx=1,M64,M71)</f>
        <v>0.02</v>
      </c>
    </row>
    <row r="79" ht="15.75" customHeight="1">
      <c r="A79" s="42" t="s">
        <v>108</v>
      </c>
      <c r="B79" s="43" t="str">
        <f>IF(IncMatchIdx=1,B65,B72)</f>
        <v>75m</v>
      </c>
      <c r="C79" s="95">
        <f>IF(IncMatchIdx=1,C65,C72)</f>
        <v>60</v>
      </c>
      <c r="D79" s="98">
        <f>IF(IncMatchIdx=1,D65,D72)</f>
        <v>0.5</v>
      </c>
      <c r="E79" s="43" t="str">
        <f>IF(IncMatchIdx=1,E65,E72)</f>
        <v>600m</v>
      </c>
      <c r="F79" s="95">
        <f>IF(IncMatchIdx=1,F65,F72)</f>
        <v>480</v>
      </c>
      <c r="G79" s="98">
        <f>IF(IncMatchIdx=1,G65,G72)</f>
        <v>2</v>
      </c>
      <c r="H79" s="43" t="str">
        <f>IF(IncMatchIdx=1,H65,H72)</f>
        <v>Jump</v>
      </c>
      <c r="I79" s="95">
        <f>IF(IncMatchIdx=1,I65,I72)</f>
        <v>0</v>
      </c>
      <c r="J79" s="98">
        <f>IF(IncMatchIdx=1,J65,J72)</f>
        <v>0</v>
      </c>
      <c r="K79" s="43" t="str">
        <f>IF(IncMatchIdx=1,K65,K72)</f>
        <v>Throw</v>
      </c>
      <c r="L79" s="95">
        <f>IF(IncMatchIdx=1,L65,L72)</f>
        <v>2</v>
      </c>
      <c r="M79" s="98">
        <f>IF(IncMatchIdx=1,M65,M72)</f>
        <v>0.02</v>
      </c>
    </row>
    <row r="80" ht="15.75" customHeight="1">
      <c r="A80" s="42" t="s">
        <v>109</v>
      </c>
      <c r="B80" s="43" t="str">
        <f>IF(IncMatchIdx=1,B66,B73)</f>
        <v>75m</v>
      </c>
      <c r="C80" s="95">
        <f>IF(IncMatchIdx=1,C66,C73)</f>
        <v>55</v>
      </c>
      <c r="D80" s="98">
        <f>IF(IncMatchIdx=1,D66,D73)</f>
        <v>0.5</v>
      </c>
      <c r="E80" s="43" t="str">
        <f>IF(IncMatchIdx=1,E66,E73)</f>
        <v>600m</v>
      </c>
      <c r="F80" s="95">
        <f>IF(IncMatchIdx=1,F66,F73)</f>
        <v>450</v>
      </c>
      <c r="G80" s="98">
        <f>IF(IncMatchIdx=1,G66,G73)</f>
        <v>3</v>
      </c>
      <c r="H80" s="43" t="str">
        <f>IF(IncMatchIdx=1,H66,H73)</f>
        <v>Jump</v>
      </c>
      <c r="I80" s="95">
        <f>IF(IncMatchIdx=1,I66,I73)</f>
        <v>0.2</v>
      </c>
      <c r="J80" s="98">
        <f>IF(IncMatchIdx=1,J66,J73)</f>
        <v>0.03</v>
      </c>
      <c r="K80" s="43" t="str">
        <f>IF(IncMatchIdx=1,K66,K73)</f>
        <v>Throw</v>
      </c>
      <c r="L80" s="95">
        <f>IF(IncMatchIdx=1,L66,L73)</f>
        <v>2</v>
      </c>
      <c r="M80" s="98">
        <f>IF(IncMatchIdx=1,M66,M73)</f>
        <v>0.03</v>
      </c>
    </row>
    <row r="81" ht="15.75" customHeight="1">
      <c r="A81" s="50" t="s">
        <v>110</v>
      </c>
      <c r="B81" s="51" t="str">
        <f>IF(IncMatchIdx=1,B67,B74)</f>
        <v>75m</v>
      </c>
      <c r="C81" s="108">
        <f>IF(IncMatchIdx=1,C67,C74)</f>
        <v>34</v>
      </c>
      <c r="D81" s="122">
        <f>IF(IncMatchIdx=1,D67,D74)</f>
        <v>0.3</v>
      </c>
      <c r="E81" s="51" t="str">
        <f>IF(IncMatchIdx=1,E67,E74)</f>
        <v>600m</v>
      </c>
      <c r="F81" s="108">
        <f>IF(IncMatchIdx=1,F67,F74)</f>
        <v>480</v>
      </c>
      <c r="G81" s="122">
        <f>IF(IncMatchIdx=1,G67,G74)</f>
        <v>4</v>
      </c>
      <c r="H81" s="51" t="str">
        <f>IF(IncMatchIdx=1,H67,H74)</f>
        <v>Jump</v>
      </c>
      <c r="I81" s="108">
        <f>IF(IncMatchIdx=1,I67,I74)</f>
        <v>0.2</v>
      </c>
      <c r="J81" s="122">
        <f>IF(IncMatchIdx=1,J67,J74)</f>
        <v>0.03</v>
      </c>
      <c r="K81" s="51" t="str">
        <f>IF(IncMatchIdx=1,K67,K74)</f>
        <v>Throw</v>
      </c>
      <c r="L81" s="108">
        <f>IF(IncMatchIdx=1,L67,L74)</f>
        <v>5</v>
      </c>
      <c r="M81" s="122">
        <f>IF(IncMatchIdx=1,M67,M74)</f>
        <v>0.5</v>
      </c>
    </row>
    <row r="82" ht="15.75" customHeight="1"/>
    <row r="83" ht="15.75" customHeight="1"/>
    <row r="84" ht="15.75" customHeight="1">
      <c r="A84" s="300" t="s">
        <v>340</v>
      </c>
      <c r="B84" s="300" t="b">
        <v>0</v>
      </c>
      <c r="H84" t="s">
        <v>341</v>
      </c>
      <c r="J84" s="204" t="str">
        <f>+A8</f>
        <v>QuadKids Primary</v>
      </c>
      <c r="K84" s="204" t="str">
        <f t="shared" ref="K84:K86" si="36">+A10</f>
        <v>QuadKids Club</v>
      </c>
      <c r="L84" s="204" t="str">
        <f>+A8</f>
        <v>QuadKids Primary</v>
      </c>
      <c r="M84" s="204"/>
    </row>
    <row r="85" ht="15.75" customHeight="1">
      <c r="A85" s="300" t="s">
        <v>342</v>
      </c>
      <c r="B85" s="300" t="b">
        <f>IF(confrelay="YES",TRUE,FALSE)</f>
        <v>0</v>
      </c>
      <c r="H85" t="s">
        <v>343</v>
      </c>
      <c r="J85" s="204" t="str">
        <f>+A7</f>
        <v>QuadKids Secondary</v>
      </c>
      <c r="K85" s="204" t="str">
        <f t="shared" si="36"/>
        <v>QuadKids Club U13</v>
      </c>
      <c r="L85" s="204" t="str">
        <f>+A7</f>
        <v>QuadKids Secondary</v>
      </c>
      <c r="M85" s="204"/>
    </row>
    <row r="86" ht="15.75" customHeight="1">
      <c r="H86" t="s">
        <v>2</v>
      </c>
      <c r="J86" s="204" t="str">
        <f>+A9</f>
        <v>QuadKids Start</v>
      </c>
      <c r="K86" s="204" t="str">
        <f t="shared" si="36"/>
        <v>QuadKids Club U9</v>
      </c>
      <c r="L86" s="204" t="str">
        <f t="shared" ref="L86:L87" si="37">+A9</f>
        <v>QuadKids Start</v>
      </c>
      <c r="M86" s="204"/>
    </row>
    <row r="87" ht="15.75" customHeight="1">
      <c r="J87" s="97" t="str">
        <f>+A13</f>
        <v>QuadKids Pre-Start</v>
      </c>
      <c r="K87" s="97" t="s">
        <v>131</v>
      </c>
      <c r="L87" s="204" t="str">
        <f t="shared" si="37"/>
        <v>QuadKids Club</v>
      </c>
      <c r="M87" s="204"/>
    </row>
    <row r="88" ht="15.75" customHeight="1">
      <c r="J88" s="97" t="s">
        <v>131</v>
      </c>
      <c r="K88" s="97" t="s">
        <v>131</v>
      </c>
      <c r="L88" s="204" t="str">
        <f>+A12</f>
        <v>QuadKids Club U9</v>
      </c>
      <c r="M88" s="204"/>
    </row>
    <row r="89" ht="15.75" customHeight="1">
      <c r="J89" s="97" t="s">
        <v>131</v>
      </c>
      <c r="K89" s="97" t="s">
        <v>131</v>
      </c>
      <c r="L89" s="204" t="str">
        <f>+A11</f>
        <v>QuadKids Club U13</v>
      </c>
      <c r="M89" s="204"/>
    </row>
    <row r="90" ht="281.25" customHeight="1">
      <c r="J90" s="4" t="s">
        <v>344</v>
      </c>
      <c r="K90" s="4" t="s">
        <v>345</v>
      </c>
      <c r="L90" s="4" t="s">
        <v>346</v>
      </c>
    </row>
    <row r="91" ht="15.75" customHeight="1">
      <c r="J91" t="str">
        <f>"&lt;-- Please select the type of QuadKids competition. If you do not then the default option is '"&amp;DefaultComp&amp;"'"</f>
        <v>&lt;-- Please select the type of QuadKids competition. If you do not then the default option is 'QuadKids Primary'</v>
      </c>
    </row>
    <row r="92" ht="15.75" customHeight="1"/>
    <row r="93" ht="15.75" customHeight="1"/>
    <row r="94" ht="15.75" customHeight="1"/>
    <row r="95" ht="15.75" customHeight="1"/>
    <row r="96" ht="15.75" customHeight="1"/>
    <row r="97" ht="15.75" customHeight="1">
      <c r="B97" s="97" t="s">
        <v>347</v>
      </c>
    </row>
    <row r="98" ht="15.75" customHeight="1">
      <c r="B98" s="97" t="s">
        <v>348</v>
      </c>
    </row>
    <row r="99" ht="15.75" customHeight="1"/>
    <row r="100" ht="15.75" customHeight="1">
      <c r="A100" t="s">
        <v>349</v>
      </c>
      <c r="B100" s="301" t="s">
        <v>55</v>
      </c>
      <c r="H100" t="str">
        <f>+J84</f>
        <v>QuadKids Primary</v>
      </c>
    </row>
    <row r="101" ht="15.75" customHeight="1">
      <c r="A101" s="97" t="s">
        <v>350</v>
      </c>
      <c r="B101" t="str">
        <f>+confmatchtype</f>
        <v>OPEN</v>
      </c>
      <c r="D101">
        <f>MATCH(ScoreType,MATCHTYPES,0)</f>
        <v>3</v>
      </c>
      <c r="H101" t="str">
        <f>+K84</f>
        <v>QuadKids Club</v>
      </c>
    </row>
    <row r="102" ht="15.75" customHeight="1"/>
    <row r="103" ht="15.75" customHeight="1">
      <c r="B103" s="302" t="str">
        <f t="array" ref="B103">INDEX(edata,1,MatchOffset)</f>
        <v>QuadKids Primary</v>
      </c>
    </row>
    <row r="104" ht="15.75" customHeight="1">
      <c r="B104" s="302" t="str">
        <f t="array" ref="B104">INDEX(edata,2,MatchOffset)</f>
        <v>QuadKids Secondary</v>
      </c>
    </row>
    <row r="105" ht="15.75" customHeight="1">
      <c r="B105" s="302" t="str">
        <f t="array" ref="B105">INDEX(edata,3,MatchOffset)</f>
        <v>QuadKids Start</v>
      </c>
    </row>
    <row r="106" ht="15.75" customHeight="1">
      <c r="B106" s="302" t="str">
        <f t="array" ref="B106">INDEX(edata,4,MatchOffset)</f>
        <v>QuadKids Club</v>
      </c>
    </row>
    <row r="107" ht="15.75" customHeight="1">
      <c r="B107" s="302" t="str">
        <f t="array" ref="B107">INDEX(edata,5,MatchOffset)</f>
        <v>QuadKids Club U9</v>
      </c>
    </row>
    <row r="108" ht="15.75" customHeight="1">
      <c r="B108" s="302" t="str">
        <f t="array" ref="B108">INDEX(edata,6,MatchOffset)</f>
        <v>QuadKids Club U13</v>
      </c>
    </row>
    <row r="109" ht="15.75" customHeight="1"/>
    <row r="110" ht="15.75" customHeight="1"/>
    <row r="111" ht="15.75" customHeight="1">
      <c r="A111" s="97" t="s">
        <v>351</v>
      </c>
      <c r="B111" t="str">
        <f>"&lt;-- Please select the type of QuadKids competition. If you do not then the default option is '"&amp;DefaultComp&amp;"'"</f>
        <v>&lt;-- Please select the type of QuadKids competition. If you do not then the default option is 'QuadKids Primary'</v>
      </c>
    </row>
    <row r="112" ht="375.0" customHeight="1">
      <c r="A112" s="97" t="s">
        <v>352</v>
      </c>
      <c r="B112" s="202" t="str">
        <f t="array" ref="B112">INDEX(edata,7,MatchOffset)</f>
        <v>QuadKids Start = Years 3/4
QuadKids Primary = Years 5/6
QuadKids Secondary = Year 7/8
QuadKids Club U9   - Under 9s
QuadKids Club        - Under 11s
QuadKids Club U13 - Under 13s</v>
      </c>
    </row>
    <row r="113" ht="15.75" customHeight="1"/>
    <row r="114" ht="15.75" customHeight="1"/>
    <row r="115" ht="15.75" customHeight="1">
      <c r="A115" s="97" t="s">
        <v>353</v>
      </c>
      <c r="B115" s="303" t="b">
        <f>IF(confmatchtype="SCHOOL",TRUE,TRUE)</f>
        <v>1</v>
      </c>
    </row>
    <row r="116" ht="15.75" customHeight="1">
      <c r="A116" s="97" t="s">
        <v>354</v>
      </c>
      <c r="B116" s="303">
        <f>IF(AwardsValid,SUM(C116:G116),6)</f>
        <v>3</v>
      </c>
      <c r="C116" s="304">
        <f>IF(MatchType="QuadKids Start",1,0)</f>
        <v>0</v>
      </c>
      <c r="D116" s="304">
        <f>IF(MatchType="QuadKids Primary",2,0)</f>
        <v>0</v>
      </c>
      <c r="E116" s="304">
        <f>IF(OR(MatchType="QuadKids Secondary",MatchType="QuadKids Club"),3,0)</f>
        <v>3</v>
      </c>
      <c r="F116" s="304">
        <f>IF(MatchType="QuadKids Pre-Start",4,0)</f>
        <v>0</v>
      </c>
      <c r="G116" s="304">
        <f>IF(SUM(C116:F116)=0,6,0)</f>
        <v>0</v>
      </c>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3">
    <mergeCell ref="J50:L50"/>
    <mergeCell ref="M50:O50"/>
    <mergeCell ref="Q50:S50"/>
    <mergeCell ref="T50:V50"/>
    <mergeCell ref="P48:V48"/>
    <mergeCell ref="X50:Z50"/>
    <mergeCell ref="AA50:AC50"/>
    <mergeCell ref="I48:O48"/>
    <mergeCell ref="W48:AC48"/>
    <mergeCell ref="H76:J76"/>
    <mergeCell ref="K76:M76"/>
    <mergeCell ref="K69:M69"/>
    <mergeCell ref="V63:V66"/>
    <mergeCell ref="V67:V70"/>
    <mergeCell ref="H69:J69"/>
    <mergeCell ref="O67:O70"/>
    <mergeCell ref="O63:O66"/>
    <mergeCell ref="B62:D62"/>
    <mergeCell ref="E62:G62"/>
    <mergeCell ref="H62:J62"/>
    <mergeCell ref="K62:M62"/>
    <mergeCell ref="A76:A77"/>
    <mergeCell ref="B76:D76"/>
    <mergeCell ref="A62:A63"/>
    <mergeCell ref="A69:A70"/>
    <mergeCell ref="B69:D69"/>
    <mergeCell ref="E76:G76"/>
    <mergeCell ref="B100:E100"/>
    <mergeCell ref="E69:G69"/>
    <mergeCell ref="Q3:Q4"/>
    <mergeCell ref="R3:R4"/>
    <mergeCell ref="H3:J3"/>
    <mergeCell ref="K3:M3"/>
    <mergeCell ref="F50:H50"/>
    <mergeCell ref="B48:H48"/>
    <mergeCell ref="C50:E50"/>
    <mergeCell ref="B27:E27"/>
    <mergeCell ref="A3:A4"/>
    <mergeCell ref="B3:D3"/>
    <mergeCell ref="E3:G3"/>
    <mergeCell ref="T3:T4"/>
    <mergeCell ref="S3:S4"/>
    <mergeCell ref="N3:P3"/>
  </mergeCells>
  <dataValidations>
    <dataValidation type="list" allowBlank="1" showInputMessage="1" showErrorMessage="1" prompt=" - " sqref="B27">
      <formula1>MatchNames</formula1>
    </dataValidation>
    <dataValidation type="list" allowBlank="1" showInputMessage="1" showErrorMessage="1" prompt=" - " sqref="B100">
      <formula1>DefaultList</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FF00"/>
    <pageSetUpPr/>
  </sheetPr>
  <sheetViews>
    <sheetView workbookViewId="0">
      <pane ySplit="1.0" topLeftCell="A2" activePane="bottomLeft" state="frozen"/>
      <selection activeCell="B3" sqref="B3" pane="bottomLeft"/>
    </sheetView>
  </sheetViews>
  <sheetFormatPr customHeight="1" defaultColWidth="14.43" defaultRowHeight="15.0"/>
  <cols>
    <col customWidth="1" min="1" max="1" width="8.43"/>
    <col customWidth="1" min="2" max="2" width="25.14"/>
    <col customWidth="1" min="3" max="3" width="23.14"/>
    <col customWidth="1" min="4" max="5" width="11.43"/>
    <col customWidth="1" min="6" max="6" width="24.57"/>
    <col customWidth="1" min="7" max="7" width="9.14"/>
    <col customWidth="1" min="8" max="8" width="8.0"/>
    <col customWidth="1" min="9" max="9" width="10.14"/>
    <col customWidth="1" min="10" max="26" width="8.0"/>
  </cols>
  <sheetData>
    <row r="1" ht="30.0" customHeight="1">
      <c r="A1" s="129" t="s">
        <v>115</v>
      </c>
      <c r="B1" s="61" t="s">
        <v>40</v>
      </c>
      <c r="C1" s="61" t="s">
        <v>116</v>
      </c>
      <c r="D1" s="130" t="s">
        <v>117</v>
      </c>
      <c r="E1" s="196" t="s">
        <v>118</v>
      </c>
      <c r="F1" s="197" t="s">
        <v>119</v>
      </c>
      <c r="G1" s="198" t="s">
        <v>103</v>
      </c>
      <c r="I1" s="199">
        <f>COUNTA($A$2:$A$1001)</f>
        <v>77</v>
      </c>
      <c r="J1" s="200" t="s">
        <v>120</v>
      </c>
      <c r="L1" s="201">
        <f>COUNTIF(G2:G1001,"&gt;0")</f>
        <v>0</v>
      </c>
      <c r="M1" s="202" t="s">
        <v>92</v>
      </c>
    </row>
    <row r="2">
      <c r="A2" s="203" t="s">
        <v>121</v>
      </c>
      <c r="B2" s="204" t="s">
        <v>122</v>
      </c>
      <c r="C2" s="204" t="s">
        <v>123</v>
      </c>
      <c r="D2" s="48" t="s">
        <v>124</v>
      </c>
      <c r="E2" s="205"/>
      <c r="F2" s="206"/>
      <c r="G2" s="45"/>
    </row>
    <row r="3">
      <c r="A3" s="203" t="s">
        <v>125</v>
      </c>
      <c r="B3" s="204" t="s">
        <v>126</v>
      </c>
      <c r="C3" s="204" t="s">
        <v>127</v>
      </c>
      <c r="D3" s="48" t="s">
        <v>124</v>
      </c>
      <c r="E3" s="205"/>
      <c r="F3" s="207"/>
      <c r="G3" s="45"/>
    </row>
    <row r="4">
      <c r="A4" s="203" t="s">
        <v>128</v>
      </c>
      <c r="B4" s="204" t="s">
        <v>129</v>
      </c>
      <c r="C4" s="204" t="s">
        <v>130</v>
      </c>
      <c r="D4" s="48" t="s">
        <v>124</v>
      </c>
      <c r="E4" s="205"/>
      <c r="F4" s="207" t="s">
        <v>131</v>
      </c>
      <c r="G4" s="45"/>
    </row>
    <row r="5">
      <c r="A5" s="203" t="s">
        <v>132</v>
      </c>
      <c r="B5" s="204" t="s">
        <v>133</v>
      </c>
      <c r="C5" s="204" t="s">
        <v>123</v>
      </c>
      <c r="D5" s="48" t="s">
        <v>124</v>
      </c>
      <c r="E5" s="205"/>
      <c r="F5" s="207"/>
      <c r="G5" s="45"/>
    </row>
    <row r="6">
      <c r="A6" s="203" t="s">
        <v>134</v>
      </c>
      <c r="B6" s="204" t="s">
        <v>135</v>
      </c>
      <c r="C6" s="204" t="s">
        <v>136</v>
      </c>
      <c r="D6" s="48" t="s">
        <v>124</v>
      </c>
      <c r="E6" s="48"/>
      <c r="F6" s="207"/>
      <c r="G6" s="45"/>
    </row>
    <row r="7">
      <c r="A7" s="203" t="s">
        <v>137</v>
      </c>
      <c r="B7" s="204" t="s">
        <v>138</v>
      </c>
      <c r="C7" s="204" t="s">
        <v>139</v>
      </c>
      <c r="D7" s="48" t="s">
        <v>124</v>
      </c>
      <c r="E7" s="48"/>
      <c r="F7" s="207"/>
      <c r="G7" s="45"/>
    </row>
    <row r="8">
      <c r="A8" s="203" t="s">
        <v>140</v>
      </c>
      <c r="B8" s="204" t="s">
        <v>141</v>
      </c>
      <c r="C8" s="204" t="s">
        <v>130</v>
      </c>
      <c r="D8" s="48" t="s">
        <v>124</v>
      </c>
      <c r="E8" s="48"/>
      <c r="F8" s="207"/>
      <c r="G8" s="45"/>
    </row>
    <row r="9">
      <c r="A9" s="203" t="s">
        <v>142</v>
      </c>
      <c r="B9" s="204" t="s">
        <v>143</v>
      </c>
      <c r="C9" s="204" t="s">
        <v>130</v>
      </c>
      <c r="D9" s="48" t="s">
        <v>124</v>
      </c>
      <c r="E9" s="48"/>
      <c r="F9" s="207"/>
      <c r="G9" s="45"/>
    </row>
    <row r="10">
      <c r="A10" s="203" t="s">
        <v>144</v>
      </c>
      <c r="B10" s="204" t="s">
        <v>145</v>
      </c>
      <c r="C10" s="204" t="s">
        <v>127</v>
      </c>
      <c r="D10" s="48" t="s">
        <v>124</v>
      </c>
      <c r="E10" s="48"/>
      <c r="F10" s="207"/>
      <c r="G10" s="45"/>
    </row>
    <row r="11">
      <c r="A11" s="203" t="s">
        <v>146</v>
      </c>
      <c r="B11" s="204" t="s">
        <v>147</v>
      </c>
      <c r="C11" s="204" t="s">
        <v>127</v>
      </c>
      <c r="D11" s="48" t="s">
        <v>124</v>
      </c>
      <c r="E11" s="48"/>
      <c r="F11" s="207"/>
      <c r="G11" s="45"/>
    </row>
    <row r="12">
      <c r="A12" s="203" t="s">
        <v>148</v>
      </c>
      <c r="B12" s="204" t="s">
        <v>149</v>
      </c>
      <c r="C12" s="204" t="s">
        <v>150</v>
      </c>
      <c r="D12" s="48" t="s">
        <v>124</v>
      </c>
      <c r="E12" s="48"/>
      <c r="F12" s="207"/>
      <c r="G12" s="45"/>
    </row>
    <row r="13">
      <c r="A13" s="203" t="s">
        <v>151</v>
      </c>
      <c r="B13" s="204" t="s">
        <v>152</v>
      </c>
      <c r="C13" s="204" t="s">
        <v>123</v>
      </c>
      <c r="D13" s="48" t="s">
        <v>124</v>
      </c>
      <c r="E13" s="48"/>
      <c r="F13" s="207"/>
      <c r="G13" s="45"/>
    </row>
    <row r="14">
      <c r="A14" s="203" t="s">
        <v>153</v>
      </c>
      <c r="B14" s="204" t="s">
        <v>154</v>
      </c>
      <c r="C14" s="204" t="s">
        <v>136</v>
      </c>
      <c r="D14" s="48" t="s">
        <v>124</v>
      </c>
      <c r="E14" s="48"/>
      <c r="F14" s="207"/>
      <c r="G14" s="45"/>
    </row>
    <row r="15">
      <c r="A15" s="203" t="s">
        <v>155</v>
      </c>
      <c r="B15" s="204" t="s">
        <v>156</v>
      </c>
      <c r="C15" s="204" t="s">
        <v>157</v>
      </c>
      <c r="D15" s="48" t="s">
        <v>124</v>
      </c>
      <c r="E15" s="48"/>
      <c r="F15" s="207"/>
      <c r="G15" s="45"/>
    </row>
    <row r="16">
      <c r="A16" s="203" t="s">
        <v>158</v>
      </c>
      <c r="B16" s="204" t="s">
        <v>159</v>
      </c>
      <c r="C16" s="204" t="s">
        <v>130</v>
      </c>
      <c r="D16" s="48" t="s">
        <v>124</v>
      </c>
      <c r="E16" s="48"/>
      <c r="F16" s="207"/>
      <c r="G16" s="45"/>
    </row>
    <row r="17">
      <c r="A17" s="203" t="s">
        <v>160</v>
      </c>
      <c r="B17" s="204" t="s">
        <v>161</v>
      </c>
      <c r="C17" s="204" t="s">
        <v>139</v>
      </c>
      <c r="D17" s="48" t="s">
        <v>124</v>
      </c>
      <c r="E17" s="48"/>
      <c r="F17" s="207"/>
      <c r="G17" s="45"/>
    </row>
    <row r="18">
      <c r="A18" s="203" t="s">
        <v>162</v>
      </c>
      <c r="B18" s="204" t="s">
        <v>163</v>
      </c>
      <c r="C18" s="204" t="s">
        <v>164</v>
      </c>
      <c r="D18" s="48" t="s">
        <v>124</v>
      </c>
      <c r="E18" s="48"/>
      <c r="F18" s="207"/>
      <c r="G18" s="45"/>
    </row>
    <row r="19">
      <c r="A19" s="203" t="s">
        <v>165</v>
      </c>
      <c r="B19" s="204" t="s">
        <v>166</v>
      </c>
      <c r="C19" s="204" t="s">
        <v>139</v>
      </c>
      <c r="D19" s="48" t="s">
        <v>124</v>
      </c>
      <c r="E19" s="48"/>
      <c r="F19" s="207"/>
      <c r="G19" s="45"/>
    </row>
    <row r="20">
      <c r="A20" s="203" t="s">
        <v>167</v>
      </c>
      <c r="B20" s="204" t="s">
        <v>168</v>
      </c>
      <c r="C20" s="204" t="s">
        <v>139</v>
      </c>
      <c r="D20" s="48" t="s">
        <v>124</v>
      </c>
      <c r="E20" s="48"/>
      <c r="F20" s="207"/>
      <c r="G20" s="45"/>
    </row>
    <row r="21" ht="15.75" customHeight="1">
      <c r="A21" s="203" t="s">
        <v>169</v>
      </c>
      <c r="B21" s="204" t="s">
        <v>170</v>
      </c>
      <c r="C21" s="204" t="s">
        <v>171</v>
      </c>
      <c r="D21" s="48" t="s">
        <v>124</v>
      </c>
      <c r="E21" s="48"/>
      <c r="F21" s="207"/>
      <c r="G21" s="45"/>
    </row>
    <row r="22" ht="15.75" customHeight="1">
      <c r="A22" s="203" t="s">
        <v>172</v>
      </c>
      <c r="B22" s="204" t="s">
        <v>173</v>
      </c>
      <c r="C22" s="204"/>
      <c r="D22" s="48" t="s">
        <v>124</v>
      </c>
      <c r="E22" s="48"/>
      <c r="F22" s="207"/>
      <c r="G22" s="45"/>
    </row>
    <row r="23" ht="15.75" customHeight="1">
      <c r="A23" s="203" t="s">
        <v>174</v>
      </c>
      <c r="B23" s="204" t="s">
        <v>175</v>
      </c>
      <c r="C23" s="204" t="s">
        <v>139</v>
      </c>
      <c r="D23" s="48" t="s">
        <v>124</v>
      </c>
      <c r="E23" s="48"/>
      <c r="F23" s="207"/>
      <c r="G23" s="45"/>
    </row>
    <row r="24" ht="15.75" customHeight="1">
      <c r="A24" s="203" t="s">
        <v>176</v>
      </c>
      <c r="B24" s="204" t="s">
        <v>177</v>
      </c>
      <c r="C24" s="204" t="s">
        <v>139</v>
      </c>
      <c r="D24" s="48" t="s">
        <v>124</v>
      </c>
      <c r="E24" s="48"/>
      <c r="F24" s="207"/>
      <c r="G24" s="45"/>
    </row>
    <row r="25" ht="15.75" customHeight="1">
      <c r="A25" s="203" t="s">
        <v>178</v>
      </c>
      <c r="B25" s="204" t="s">
        <v>179</v>
      </c>
      <c r="C25" s="204" t="s">
        <v>139</v>
      </c>
      <c r="D25" s="48" t="s">
        <v>124</v>
      </c>
      <c r="E25" s="48"/>
      <c r="F25" s="207"/>
      <c r="G25" s="45"/>
    </row>
    <row r="26" ht="15.75" customHeight="1">
      <c r="A26" s="203" t="s">
        <v>180</v>
      </c>
      <c r="B26" s="204" t="s">
        <v>181</v>
      </c>
      <c r="C26" s="204" t="s">
        <v>123</v>
      </c>
      <c r="D26" s="48" t="s">
        <v>124</v>
      </c>
      <c r="E26" s="48"/>
      <c r="F26" s="207"/>
      <c r="G26" s="45"/>
    </row>
    <row r="27" ht="15.75" customHeight="1">
      <c r="A27" s="203" t="s">
        <v>182</v>
      </c>
      <c r="B27" s="204" t="s">
        <v>183</v>
      </c>
      <c r="C27" s="204" t="s">
        <v>127</v>
      </c>
      <c r="D27" s="48" t="s">
        <v>124</v>
      </c>
      <c r="E27" s="48"/>
      <c r="F27" s="207"/>
      <c r="G27" s="45"/>
    </row>
    <row r="28" ht="15.75" customHeight="1">
      <c r="A28" s="203" t="s">
        <v>184</v>
      </c>
      <c r="B28" s="204" t="s">
        <v>185</v>
      </c>
      <c r="C28" s="204" t="s">
        <v>139</v>
      </c>
      <c r="D28" s="48" t="s">
        <v>124</v>
      </c>
      <c r="E28" s="48"/>
      <c r="F28" s="207"/>
      <c r="G28" s="45"/>
    </row>
    <row r="29" ht="15.75" customHeight="1">
      <c r="A29" s="203" t="s">
        <v>186</v>
      </c>
      <c r="B29" s="204" t="s">
        <v>187</v>
      </c>
      <c r="C29" s="204" t="s">
        <v>123</v>
      </c>
      <c r="D29" s="48" t="s">
        <v>124</v>
      </c>
      <c r="E29" s="48"/>
      <c r="F29" s="207"/>
      <c r="G29" s="45"/>
    </row>
    <row r="30" ht="15.75" customHeight="1">
      <c r="A30" s="203" t="s">
        <v>188</v>
      </c>
      <c r="B30" s="204" t="s">
        <v>189</v>
      </c>
      <c r="C30" s="204" t="s">
        <v>139</v>
      </c>
      <c r="D30" s="48" t="s">
        <v>124</v>
      </c>
      <c r="E30" s="48"/>
      <c r="F30" s="207"/>
      <c r="G30" s="45"/>
    </row>
    <row r="31" ht="15.75" customHeight="1">
      <c r="A31" s="203" t="s">
        <v>190</v>
      </c>
      <c r="B31" s="204" t="s">
        <v>191</v>
      </c>
      <c r="C31" s="204" t="s">
        <v>139</v>
      </c>
      <c r="D31" s="48" t="s">
        <v>124</v>
      </c>
      <c r="E31" s="48"/>
      <c r="F31" s="207"/>
      <c r="G31" s="45"/>
    </row>
    <row r="32" ht="15.75" customHeight="1">
      <c r="A32" s="203" t="s">
        <v>192</v>
      </c>
      <c r="B32" s="204" t="s">
        <v>193</v>
      </c>
      <c r="C32" s="204" t="s">
        <v>136</v>
      </c>
      <c r="D32" s="48" t="s">
        <v>124</v>
      </c>
      <c r="E32" s="48"/>
      <c r="F32" s="207"/>
      <c r="G32" s="45"/>
    </row>
    <row r="33" ht="15.75" customHeight="1">
      <c r="A33" s="203" t="s">
        <v>194</v>
      </c>
      <c r="B33" s="204" t="s">
        <v>195</v>
      </c>
      <c r="C33" s="204" t="s">
        <v>139</v>
      </c>
      <c r="D33" s="48" t="s">
        <v>124</v>
      </c>
      <c r="E33" s="48"/>
      <c r="F33" s="207"/>
      <c r="G33" s="45"/>
    </row>
    <row r="34" ht="15.75" customHeight="1">
      <c r="A34" s="203" t="s">
        <v>196</v>
      </c>
      <c r="B34" s="204" t="s">
        <v>197</v>
      </c>
      <c r="C34" s="204" t="s">
        <v>198</v>
      </c>
      <c r="D34" s="48" t="s">
        <v>124</v>
      </c>
      <c r="E34" s="48"/>
      <c r="F34" s="207"/>
      <c r="G34" s="45"/>
    </row>
    <row r="35" ht="15.75" customHeight="1">
      <c r="A35" s="203" t="s">
        <v>199</v>
      </c>
      <c r="B35" s="204" t="s">
        <v>200</v>
      </c>
      <c r="C35" s="204" t="s">
        <v>201</v>
      </c>
      <c r="D35" s="48" t="s">
        <v>202</v>
      </c>
      <c r="E35" s="48"/>
      <c r="F35" s="207"/>
      <c r="G35" s="45"/>
    </row>
    <row r="36" ht="15.75" customHeight="1">
      <c r="A36" s="203" t="s">
        <v>203</v>
      </c>
      <c r="B36" s="204" t="s">
        <v>204</v>
      </c>
      <c r="C36" s="204" t="s">
        <v>205</v>
      </c>
      <c r="D36" s="48" t="s">
        <v>202</v>
      </c>
      <c r="E36" s="48"/>
      <c r="F36" s="207"/>
      <c r="G36" s="45"/>
    </row>
    <row r="37" ht="15.75" customHeight="1">
      <c r="A37" s="203" t="s">
        <v>206</v>
      </c>
      <c r="B37" s="204" t="s">
        <v>207</v>
      </c>
      <c r="C37" s="204" t="s">
        <v>208</v>
      </c>
      <c r="D37" s="48" t="s">
        <v>202</v>
      </c>
      <c r="E37" s="48"/>
      <c r="F37" s="207"/>
      <c r="G37" s="45"/>
    </row>
    <row r="38" ht="15.75" customHeight="1">
      <c r="A38" s="203" t="s">
        <v>209</v>
      </c>
      <c r="B38" s="204" t="s">
        <v>210</v>
      </c>
      <c r="C38" s="204" t="s">
        <v>139</v>
      </c>
      <c r="D38" s="48" t="s">
        <v>202</v>
      </c>
      <c r="E38" s="48"/>
      <c r="F38" s="207"/>
      <c r="G38" s="45"/>
    </row>
    <row r="39" ht="15.75" customHeight="1">
      <c r="A39" s="203" t="s">
        <v>211</v>
      </c>
      <c r="B39" s="204" t="s">
        <v>212</v>
      </c>
      <c r="C39" s="204" t="s">
        <v>139</v>
      </c>
      <c r="D39" s="48" t="s">
        <v>202</v>
      </c>
      <c r="E39" s="48"/>
      <c r="F39" s="207"/>
      <c r="G39" s="45"/>
    </row>
    <row r="40" ht="15.75" customHeight="1">
      <c r="A40" s="203" t="s">
        <v>213</v>
      </c>
      <c r="B40" s="204" t="s">
        <v>214</v>
      </c>
      <c r="C40" s="204" t="s">
        <v>215</v>
      </c>
      <c r="D40" s="48" t="s">
        <v>202</v>
      </c>
      <c r="E40" s="48"/>
      <c r="F40" s="207"/>
      <c r="G40" s="45"/>
    </row>
    <row r="41" ht="15.75" customHeight="1">
      <c r="A41" s="203" t="s">
        <v>216</v>
      </c>
      <c r="B41" s="204" t="s">
        <v>217</v>
      </c>
      <c r="C41" s="204" t="s">
        <v>136</v>
      </c>
      <c r="D41" s="48" t="s">
        <v>202</v>
      </c>
      <c r="E41" s="48"/>
      <c r="F41" s="207"/>
      <c r="G41" s="45"/>
    </row>
    <row r="42" ht="15.75" customHeight="1">
      <c r="A42" s="203" t="s">
        <v>218</v>
      </c>
      <c r="B42" s="204" t="s">
        <v>219</v>
      </c>
      <c r="C42" s="204" t="s">
        <v>127</v>
      </c>
      <c r="D42" s="48" t="s">
        <v>202</v>
      </c>
      <c r="E42" s="48"/>
      <c r="F42" s="207"/>
      <c r="G42" s="45"/>
    </row>
    <row r="43" ht="15.75" customHeight="1">
      <c r="A43" s="203" t="s">
        <v>220</v>
      </c>
      <c r="B43" s="204" t="s">
        <v>221</v>
      </c>
      <c r="C43" s="204" t="s">
        <v>130</v>
      </c>
      <c r="D43" s="48" t="s">
        <v>202</v>
      </c>
      <c r="E43" s="48"/>
      <c r="F43" s="207"/>
      <c r="G43" s="45"/>
    </row>
    <row r="44" ht="15.75" customHeight="1">
      <c r="A44" s="203" t="s">
        <v>222</v>
      </c>
      <c r="B44" s="204" t="s">
        <v>223</v>
      </c>
      <c r="C44" s="204" t="s">
        <v>139</v>
      </c>
      <c r="D44" s="48" t="s">
        <v>202</v>
      </c>
      <c r="E44" s="48"/>
      <c r="F44" s="207"/>
      <c r="G44" s="45"/>
    </row>
    <row r="45" ht="15.75" customHeight="1">
      <c r="A45" s="203" t="s">
        <v>224</v>
      </c>
      <c r="B45" s="204" t="s">
        <v>225</v>
      </c>
      <c r="C45" s="204" t="s">
        <v>136</v>
      </c>
      <c r="D45" s="48" t="s">
        <v>202</v>
      </c>
      <c r="E45" s="48"/>
      <c r="F45" s="207"/>
      <c r="G45" s="45"/>
    </row>
    <row r="46" ht="15.75" customHeight="1">
      <c r="A46" s="203" t="s">
        <v>226</v>
      </c>
      <c r="B46" s="204" t="s">
        <v>227</v>
      </c>
      <c r="C46" s="204" t="s">
        <v>130</v>
      </c>
      <c r="D46" s="48" t="s">
        <v>202</v>
      </c>
      <c r="E46" s="48"/>
      <c r="F46" s="207"/>
      <c r="G46" s="45"/>
    </row>
    <row r="47" ht="15.75" customHeight="1">
      <c r="A47" s="203" t="s">
        <v>228</v>
      </c>
      <c r="B47" s="204" t="s">
        <v>229</v>
      </c>
      <c r="C47" s="204" t="s">
        <v>164</v>
      </c>
      <c r="D47" s="48" t="s">
        <v>202</v>
      </c>
      <c r="E47" s="48"/>
      <c r="F47" s="207"/>
      <c r="G47" s="45"/>
    </row>
    <row r="48" ht="15.75" customHeight="1">
      <c r="A48" s="203" t="s">
        <v>230</v>
      </c>
      <c r="B48" s="204" t="s">
        <v>231</v>
      </c>
      <c r="C48" s="204" t="s">
        <v>139</v>
      </c>
      <c r="D48" s="48" t="s">
        <v>202</v>
      </c>
      <c r="E48" s="48"/>
      <c r="F48" s="207"/>
      <c r="G48" s="45"/>
    </row>
    <row r="49" ht="15.75" customHeight="1">
      <c r="A49" s="203" t="s">
        <v>232</v>
      </c>
      <c r="B49" s="204" t="s">
        <v>233</v>
      </c>
      <c r="C49" s="204" t="s">
        <v>123</v>
      </c>
      <c r="D49" s="48" t="s">
        <v>202</v>
      </c>
      <c r="E49" s="48"/>
      <c r="F49" s="207"/>
      <c r="G49" s="45"/>
    </row>
    <row r="50" ht="15.75" customHeight="1">
      <c r="A50" s="203" t="s">
        <v>234</v>
      </c>
      <c r="B50" s="204" t="s">
        <v>235</v>
      </c>
      <c r="C50" s="204" t="s">
        <v>208</v>
      </c>
      <c r="D50" s="48" t="s">
        <v>202</v>
      </c>
      <c r="E50" s="48"/>
      <c r="F50" s="207"/>
      <c r="G50" s="45"/>
    </row>
    <row r="51" ht="15.75" customHeight="1">
      <c r="A51" s="203" t="s">
        <v>236</v>
      </c>
      <c r="B51" s="204" t="s">
        <v>237</v>
      </c>
      <c r="C51" s="204" t="s">
        <v>127</v>
      </c>
      <c r="D51" s="48" t="s">
        <v>202</v>
      </c>
      <c r="E51" s="48"/>
      <c r="F51" s="207"/>
      <c r="G51" s="45"/>
    </row>
    <row r="52" ht="15.75" customHeight="1">
      <c r="A52" s="203" t="s">
        <v>238</v>
      </c>
      <c r="B52" s="204" t="s">
        <v>239</v>
      </c>
      <c r="C52" s="204" t="s">
        <v>240</v>
      </c>
      <c r="D52" s="48" t="s">
        <v>202</v>
      </c>
      <c r="E52" s="48"/>
      <c r="F52" s="207"/>
      <c r="G52" s="45"/>
    </row>
    <row r="53" ht="15.75" customHeight="1">
      <c r="A53" s="203" t="s">
        <v>241</v>
      </c>
      <c r="B53" s="204" t="s">
        <v>242</v>
      </c>
      <c r="C53" s="204" t="s">
        <v>139</v>
      </c>
      <c r="D53" s="48" t="s">
        <v>202</v>
      </c>
      <c r="E53" s="48"/>
      <c r="F53" s="207"/>
      <c r="G53" s="45"/>
    </row>
    <row r="54" ht="15.75" customHeight="1">
      <c r="A54" s="203" t="s">
        <v>243</v>
      </c>
      <c r="B54" s="204" t="s">
        <v>244</v>
      </c>
      <c r="C54" s="204" t="s">
        <v>245</v>
      </c>
      <c r="D54" s="48" t="s">
        <v>202</v>
      </c>
      <c r="E54" s="48"/>
      <c r="F54" s="207"/>
      <c r="G54" s="45"/>
    </row>
    <row r="55" ht="15.75" customHeight="1">
      <c r="A55" s="203" t="s">
        <v>246</v>
      </c>
      <c r="B55" s="204" t="s">
        <v>247</v>
      </c>
      <c r="C55" s="204" t="s">
        <v>127</v>
      </c>
      <c r="D55" s="48" t="s">
        <v>202</v>
      </c>
      <c r="E55" s="48"/>
      <c r="F55" s="207"/>
      <c r="G55" s="45"/>
    </row>
    <row r="56" ht="15.75" customHeight="1">
      <c r="A56" s="203" t="s">
        <v>248</v>
      </c>
      <c r="B56" s="204" t="s">
        <v>249</v>
      </c>
      <c r="C56" s="204" t="s">
        <v>250</v>
      </c>
      <c r="D56" s="48" t="s">
        <v>202</v>
      </c>
      <c r="E56" s="48"/>
      <c r="F56" s="207"/>
      <c r="G56" s="45"/>
    </row>
    <row r="57" ht="15.75" customHeight="1">
      <c r="A57" s="203" t="s">
        <v>251</v>
      </c>
      <c r="B57" s="204" t="s">
        <v>252</v>
      </c>
      <c r="C57" s="204" t="s">
        <v>139</v>
      </c>
      <c r="D57" s="48" t="s">
        <v>202</v>
      </c>
      <c r="E57" s="48"/>
      <c r="F57" s="207"/>
      <c r="G57" s="45"/>
    </row>
    <row r="58" ht="15.75" customHeight="1">
      <c r="A58" s="203" t="s">
        <v>253</v>
      </c>
      <c r="B58" s="204" t="s">
        <v>254</v>
      </c>
      <c r="C58" s="204" t="s">
        <v>136</v>
      </c>
      <c r="D58" s="48" t="s">
        <v>202</v>
      </c>
      <c r="E58" s="48"/>
      <c r="F58" s="207"/>
      <c r="G58" s="45"/>
    </row>
    <row r="59" ht="15.75" customHeight="1">
      <c r="A59" s="203" t="s">
        <v>255</v>
      </c>
      <c r="B59" s="204" t="s">
        <v>256</v>
      </c>
      <c r="C59" s="204" t="s">
        <v>136</v>
      </c>
      <c r="D59" s="48" t="s">
        <v>202</v>
      </c>
      <c r="E59" s="48"/>
      <c r="F59" s="207"/>
      <c r="G59" s="45"/>
    </row>
    <row r="60" ht="15.75" customHeight="1">
      <c r="A60" s="203" t="s">
        <v>257</v>
      </c>
      <c r="B60" s="204" t="s">
        <v>258</v>
      </c>
      <c r="C60" s="204" t="s">
        <v>139</v>
      </c>
      <c r="D60" s="48" t="s">
        <v>202</v>
      </c>
      <c r="E60" s="48"/>
      <c r="F60" s="207"/>
      <c r="G60" s="45"/>
    </row>
    <row r="61" ht="15.75" customHeight="1">
      <c r="A61" s="203" t="s">
        <v>259</v>
      </c>
      <c r="B61" s="204" t="s">
        <v>260</v>
      </c>
      <c r="C61" s="204" t="s">
        <v>139</v>
      </c>
      <c r="D61" s="48" t="s">
        <v>202</v>
      </c>
      <c r="E61" s="48"/>
      <c r="F61" s="207"/>
      <c r="G61" s="45"/>
    </row>
    <row r="62" ht="15.75" customHeight="1">
      <c r="A62" s="203" t="s">
        <v>261</v>
      </c>
      <c r="B62" s="204" t="s">
        <v>262</v>
      </c>
      <c r="C62" s="204" t="s">
        <v>215</v>
      </c>
      <c r="D62" s="48" t="s">
        <v>202</v>
      </c>
      <c r="E62" s="48"/>
      <c r="F62" s="207"/>
      <c r="G62" s="45"/>
    </row>
    <row r="63" ht="15.75" customHeight="1">
      <c r="A63" s="203" t="s">
        <v>263</v>
      </c>
      <c r="B63" s="204" t="s">
        <v>264</v>
      </c>
      <c r="C63" s="204" t="s">
        <v>215</v>
      </c>
      <c r="D63" s="48" t="s">
        <v>202</v>
      </c>
      <c r="E63" s="48"/>
      <c r="F63" s="207"/>
      <c r="G63" s="45"/>
    </row>
    <row r="64" ht="15.75" customHeight="1">
      <c r="A64" s="203" t="s">
        <v>265</v>
      </c>
      <c r="B64" s="204" t="s">
        <v>266</v>
      </c>
      <c r="C64" s="204" t="s">
        <v>267</v>
      </c>
      <c r="D64" s="48" t="s">
        <v>202</v>
      </c>
      <c r="E64" s="48"/>
      <c r="F64" s="207"/>
      <c r="G64" s="45"/>
    </row>
    <row r="65" ht="15.75" customHeight="1">
      <c r="A65" s="203" t="s">
        <v>268</v>
      </c>
      <c r="B65" s="204" t="s">
        <v>269</v>
      </c>
      <c r="C65" s="204" t="s">
        <v>245</v>
      </c>
      <c r="D65" s="48" t="s">
        <v>202</v>
      </c>
      <c r="E65" s="48"/>
      <c r="F65" s="207"/>
      <c r="G65" s="45"/>
    </row>
    <row r="66" ht="15.75" customHeight="1">
      <c r="A66" s="203" t="s">
        <v>270</v>
      </c>
      <c r="B66" s="204" t="s">
        <v>271</v>
      </c>
      <c r="C66" s="204" t="s">
        <v>272</v>
      </c>
      <c r="D66" s="48" t="s">
        <v>202</v>
      </c>
      <c r="E66" s="48"/>
      <c r="F66" s="207"/>
      <c r="G66" s="45"/>
    </row>
    <row r="67" ht="15.75" customHeight="1">
      <c r="A67" s="203" t="s">
        <v>273</v>
      </c>
      <c r="B67" s="204" t="s">
        <v>274</v>
      </c>
      <c r="C67" s="204" t="s">
        <v>275</v>
      </c>
      <c r="D67" s="48" t="s">
        <v>202</v>
      </c>
      <c r="E67" s="48"/>
      <c r="F67" s="207"/>
      <c r="G67" s="45"/>
    </row>
    <row r="68" ht="15.75" customHeight="1">
      <c r="A68" s="203" t="s">
        <v>276</v>
      </c>
      <c r="B68" s="204" t="s">
        <v>277</v>
      </c>
      <c r="C68" s="204" t="s">
        <v>278</v>
      </c>
      <c r="D68" s="48" t="s">
        <v>202</v>
      </c>
      <c r="E68" s="48"/>
      <c r="F68" s="207"/>
      <c r="G68" s="45"/>
    </row>
    <row r="69" ht="15.75" customHeight="1">
      <c r="A69" s="203" t="s">
        <v>279</v>
      </c>
      <c r="B69" s="204" t="s">
        <v>280</v>
      </c>
      <c r="C69" s="204" t="s">
        <v>205</v>
      </c>
      <c r="D69" s="48" t="s">
        <v>202</v>
      </c>
      <c r="E69" s="48"/>
      <c r="F69" s="207"/>
      <c r="G69" s="45"/>
    </row>
    <row r="70" ht="15.75" customHeight="1">
      <c r="A70" s="203" t="s">
        <v>281</v>
      </c>
      <c r="B70" s="204" t="s">
        <v>282</v>
      </c>
      <c r="C70" s="204" t="s">
        <v>139</v>
      </c>
      <c r="D70" s="48" t="s">
        <v>202</v>
      </c>
      <c r="E70" s="48"/>
      <c r="F70" s="207"/>
      <c r="G70" s="45"/>
    </row>
    <row r="71" ht="15.75" customHeight="1">
      <c r="A71" s="203" t="s">
        <v>283</v>
      </c>
      <c r="B71" s="204" t="s">
        <v>284</v>
      </c>
      <c r="C71" s="204" t="s">
        <v>285</v>
      </c>
      <c r="D71" s="48" t="s">
        <v>202</v>
      </c>
      <c r="E71" s="48"/>
      <c r="F71" s="207"/>
      <c r="G71" s="45"/>
    </row>
    <row r="72" ht="15.75" customHeight="1">
      <c r="A72" s="203" t="s">
        <v>286</v>
      </c>
      <c r="B72" s="204" t="s">
        <v>287</v>
      </c>
      <c r="C72" s="204"/>
      <c r="D72" s="48" t="s">
        <v>202</v>
      </c>
      <c r="E72" s="48"/>
      <c r="F72" s="207"/>
      <c r="G72" s="45"/>
    </row>
    <row r="73" ht="15.75" customHeight="1">
      <c r="A73" s="203" t="s">
        <v>288</v>
      </c>
      <c r="B73" s="204" t="s">
        <v>289</v>
      </c>
      <c r="C73" s="204" t="s">
        <v>139</v>
      </c>
      <c r="D73" s="48" t="s">
        <v>202</v>
      </c>
      <c r="E73" s="48"/>
      <c r="F73" s="207"/>
      <c r="G73" s="45"/>
    </row>
    <row r="74" ht="15.75" customHeight="1">
      <c r="A74" s="203" t="s">
        <v>290</v>
      </c>
      <c r="B74" s="204" t="s">
        <v>291</v>
      </c>
      <c r="C74" s="204" t="s">
        <v>136</v>
      </c>
      <c r="D74" s="48" t="s">
        <v>202</v>
      </c>
      <c r="E74" s="48"/>
      <c r="F74" s="207"/>
      <c r="G74" s="45"/>
    </row>
    <row r="75" ht="15.75" customHeight="1">
      <c r="A75" s="203" t="s">
        <v>292</v>
      </c>
      <c r="B75" s="204" t="s">
        <v>293</v>
      </c>
      <c r="C75" s="204" t="s">
        <v>294</v>
      </c>
      <c r="D75" s="48" t="s">
        <v>202</v>
      </c>
      <c r="E75" s="48"/>
      <c r="F75" s="207"/>
      <c r="G75" s="45"/>
    </row>
    <row r="76" ht="15.75" customHeight="1">
      <c r="A76" s="203" t="s">
        <v>295</v>
      </c>
      <c r="B76" s="204" t="s">
        <v>296</v>
      </c>
      <c r="C76" s="204" t="s">
        <v>297</v>
      </c>
      <c r="D76" s="48" t="s">
        <v>202</v>
      </c>
      <c r="E76" s="48"/>
      <c r="F76" s="207"/>
      <c r="G76" s="45"/>
    </row>
    <row r="77" ht="15.75" customHeight="1">
      <c r="A77" s="203" t="s">
        <v>298</v>
      </c>
      <c r="B77" s="95" t="s">
        <v>299</v>
      </c>
      <c r="C77" s="95" t="s">
        <v>300</v>
      </c>
      <c r="D77" s="48" t="s">
        <v>202</v>
      </c>
      <c r="E77" s="48"/>
      <c r="F77" s="207"/>
      <c r="G77" s="45"/>
    </row>
    <row r="78" ht="15.75" customHeight="1">
      <c r="A78" s="203" t="s">
        <v>301</v>
      </c>
      <c r="B78" s="95" t="s">
        <v>302</v>
      </c>
      <c r="C78" s="95" t="s">
        <v>303</v>
      </c>
      <c r="D78" s="48" t="s">
        <v>202</v>
      </c>
      <c r="E78" s="48"/>
      <c r="F78" s="207"/>
      <c r="G78" s="45"/>
    </row>
    <row r="79" ht="15.75" customHeight="1">
      <c r="A79" s="203"/>
      <c r="B79" s="95"/>
      <c r="C79" s="95"/>
      <c r="D79" s="48"/>
      <c r="E79" s="48"/>
      <c r="F79" s="207"/>
      <c r="G79" s="45"/>
    </row>
    <row r="80" ht="15.75" customHeight="1">
      <c r="A80" s="203"/>
      <c r="B80" s="95"/>
      <c r="C80" s="95"/>
      <c r="D80" s="48"/>
      <c r="E80" s="48"/>
      <c r="F80" s="207"/>
      <c r="G80" s="45"/>
    </row>
    <row r="81" ht="15.75" customHeight="1">
      <c r="A81" s="203"/>
      <c r="B81" s="95"/>
      <c r="C81" s="95"/>
      <c r="D81" s="48"/>
      <c r="E81" s="48"/>
      <c r="F81" s="207"/>
      <c r="G81" s="45"/>
    </row>
    <row r="82" ht="15.75" customHeight="1">
      <c r="A82" s="203"/>
      <c r="B82" s="95"/>
      <c r="C82" s="95"/>
      <c r="D82" s="48"/>
      <c r="E82" s="48"/>
      <c r="F82" s="207"/>
      <c r="G82" s="45"/>
    </row>
    <row r="83" ht="15.75" customHeight="1">
      <c r="A83" s="203"/>
      <c r="B83" s="95"/>
      <c r="C83" s="95"/>
      <c r="D83" s="48"/>
      <c r="E83" s="48"/>
      <c r="F83" s="207"/>
      <c r="G83" s="45"/>
    </row>
    <row r="84" ht="15.75" customHeight="1">
      <c r="A84" s="203"/>
      <c r="B84" s="95"/>
      <c r="C84" s="95"/>
      <c r="D84" s="48"/>
      <c r="E84" s="48"/>
      <c r="F84" s="207"/>
      <c r="G84" s="45"/>
    </row>
    <row r="85" ht="15.75" customHeight="1">
      <c r="A85" s="203"/>
      <c r="B85" s="95"/>
      <c r="C85" s="95"/>
      <c r="D85" s="48"/>
      <c r="E85" s="48"/>
      <c r="F85" s="207"/>
      <c r="G85" s="45"/>
    </row>
    <row r="86" ht="15.75" customHeight="1">
      <c r="A86" s="203"/>
      <c r="B86" s="95"/>
      <c r="C86" s="95"/>
      <c r="D86" s="48"/>
      <c r="E86" s="48"/>
      <c r="F86" s="207"/>
      <c r="G86" s="45"/>
    </row>
    <row r="87" ht="15.75" customHeight="1">
      <c r="A87" s="203"/>
      <c r="B87" s="95"/>
      <c r="C87" s="95"/>
      <c r="D87" s="48"/>
      <c r="E87" s="48"/>
      <c r="F87" s="207"/>
      <c r="G87" s="45"/>
    </row>
    <row r="88" ht="15.75" customHeight="1">
      <c r="A88" s="203"/>
      <c r="B88" s="95"/>
      <c r="C88" s="95"/>
      <c r="D88" s="48"/>
      <c r="E88" s="48"/>
      <c r="F88" s="207"/>
      <c r="G88" s="45"/>
    </row>
    <row r="89" ht="15.75" customHeight="1">
      <c r="A89" s="203"/>
      <c r="B89" s="95"/>
      <c r="C89" s="95"/>
      <c r="D89" s="48"/>
      <c r="E89" s="48"/>
      <c r="F89" s="207"/>
      <c r="G89" s="45"/>
    </row>
    <row r="90" ht="15.75" customHeight="1">
      <c r="A90" s="203"/>
      <c r="B90" s="95"/>
      <c r="C90" s="95"/>
      <c r="D90" s="48"/>
      <c r="E90" s="48"/>
      <c r="F90" s="207"/>
      <c r="G90" s="45"/>
    </row>
    <row r="91" ht="15.75" customHeight="1">
      <c r="A91" s="203"/>
      <c r="B91" s="95"/>
      <c r="C91" s="95"/>
      <c r="D91" s="48"/>
      <c r="E91" s="48"/>
      <c r="F91" s="207"/>
      <c r="G91" s="45"/>
    </row>
    <row r="92" ht="15.75" customHeight="1">
      <c r="A92" s="203"/>
      <c r="B92" s="95"/>
      <c r="C92" s="95"/>
      <c r="D92" s="48"/>
      <c r="E92" s="48"/>
      <c r="F92" s="207"/>
      <c r="G92" s="45"/>
    </row>
    <row r="93" ht="15.75" customHeight="1">
      <c r="A93" s="203"/>
      <c r="B93" s="95"/>
      <c r="C93" s="95"/>
      <c r="D93" s="48"/>
      <c r="E93" s="48"/>
      <c r="F93" s="207"/>
      <c r="G93" s="45"/>
    </row>
    <row r="94" ht="15.75" customHeight="1">
      <c r="A94" s="203"/>
      <c r="B94" s="95"/>
      <c r="C94" s="95"/>
      <c r="D94" s="48"/>
      <c r="E94" s="48"/>
      <c r="F94" s="207"/>
      <c r="G94" s="45"/>
    </row>
    <row r="95" ht="15.75" customHeight="1">
      <c r="A95" s="203"/>
      <c r="B95" s="95"/>
      <c r="C95" s="95"/>
      <c r="D95" s="48"/>
      <c r="E95" s="48"/>
      <c r="F95" s="207"/>
      <c r="G95" s="45"/>
    </row>
    <row r="96" ht="15.75" customHeight="1">
      <c r="A96" s="203"/>
      <c r="B96" s="95"/>
      <c r="C96" s="95"/>
      <c r="D96" s="48"/>
      <c r="E96" s="48"/>
      <c r="F96" s="207"/>
      <c r="G96" s="45"/>
    </row>
    <row r="97" ht="15.75" customHeight="1">
      <c r="A97" s="203"/>
      <c r="B97" s="95"/>
      <c r="C97" s="95"/>
      <c r="D97" s="48"/>
      <c r="E97" s="48"/>
      <c r="F97" s="207"/>
      <c r="G97" s="45"/>
    </row>
    <row r="98" ht="15.75" customHeight="1">
      <c r="A98" s="203"/>
      <c r="B98" s="95"/>
      <c r="C98" s="95"/>
      <c r="D98" s="48"/>
      <c r="E98" s="48"/>
      <c r="F98" s="207"/>
      <c r="G98" s="45"/>
    </row>
    <row r="99" ht="15.75" customHeight="1">
      <c r="A99" s="203"/>
      <c r="B99" s="95"/>
      <c r="C99" s="95"/>
      <c r="D99" s="48"/>
      <c r="E99" s="48"/>
      <c r="F99" s="207"/>
      <c r="G99" s="45"/>
    </row>
    <row r="100" ht="15.75" customHeight="1">
      <c r="A100" s="203"/>
      <c r="B100" s="95"/>
      <c r="C100" s="95"/>
      <c r="D100" s="48"/>
      <c r="E100" s="48"/>
      <c r="F100" s="207"/>
      <c r="G100" s="45"/>
    </row>
    <row r="101" ht="15.75" customHeight="1">
      <c r="A101" s="203"/>
      <c r="B101" s="95"/>
      <c r="C101" s="95"/>
      <c r="D101" s="48"/>
      <c r="E101" s="48"/>
      <c r="F101" s="207"/>
      <c r="G101" s="45"/>
    </row>
    <row r="102" ht="15.75" customHeight="1">
      <c r="A102" s="203"/>
      <c r="B102" s="95"/>
      <c r="C102" s="95"/>
      <c r="D102" s="48"/>
      <c r="E102" s="48"/>
      <c r="F102" s="207"/>
      <c r="G102" s="45"/>
    </row>
    <row r="103" ht="15.75" customHeight="1">
      <c r="A103" s="203"/>
      <c r="B103" s="95"/>
      <c r="C103" s="95"/>
      <c r="D103" s="48"/>
      <c r="E103" s="48"/>
      <c r="F103" s="207"/>
      <c r="G103" s="45"/>
    </row>
    <row r="104" ht="15.75" customHeight="1">
      <c r="A104" s="203"/>
      <c r="B104" s="95"/>
      <c r="C104" s="95"/>
      <c r="D104" s="48"/>
      <c r="E104" s="48"/>
      <c r="F104" s="207"/>
      <c r="G104" s="45"/>
    </row>
    <row r="105" ht="15.75" customHeight="1">
      <c r="A105" s="203"/>
      <c r="B105" s="95"/>
      <c r="C105" s="95"/>
      <c r="D105" s="48"/>
      <c r="E105" s="48"/>
      <c r="F105" s="207"/>
      <c r="G105" s="45"/>
    </row>
    <row r="106" ht="15.75" customHeight="1">
      <c r="A106" s="203"/>
      <c r="B106" s="95"/>
      <c r="C106" s="95"/>
      <c r="D106" s="48"/>
      <c r="E106" s="48"/>
      <c r="F106" s="207"/>
      <c r="G106" s="45"/>
    </row>
    <row r="107" ht="15.75" customHeight="1">
      <c r="A107" s="203"/>
      <c r="B107" s="95"/>
      <c r="C107" s="95"/>
      <c r="D107" s="48"/>
      <c r="E107" s="48"/>
      <c r="F107" s="207"/>
      <c r="G107" s="45"/>
    </row>
    <row r="108" ht="15.75" customHeight="1">
      <c r="A108" s="203"/>
      <c r="B108" s="95"/>
      <c r="C108" s="95"/>
      <c r="D108" s="48"/>
      <c r="E108" s="48"/>
      <c r="F108" s="207"/>
      <c r="G108" s="45"/>
    </row>
    <row r="109" ht="15.75" customHeight="1">
      <c r="A109" s="203"/>
      <c r="B109" s="95"/>
      <c r="C109" s="95"/>
      <c r="D109" s="48"/>
      <c r="E109" s="48"/>
      <c r="F109" s="207"/>
      <c r="G109" s="45"/>
    </row>
    <row r="110" ht="15.75" customHeight="1">
      <c r="A110" s="203"/>
      <c r="B110" s="95"/>
      <c r="C110" s="95"/>
      <c r="D110" s="48"/>
      <c r="E110" s="48"/>
      <c r="F110" s="207"/>
      <c r="G110" s="45"/>
    </row>
    <row r="111" ht="15.75" customHeight="1">
      <c r="A111" s="203"/>
      <c r="B111" s="95"/>
      <c r="C111" s="95"/>
      <c r="D111" s="48"/>
      <c r="E111" s="48"/>
      <c r="F111" s="207"/>
      <c r="G111" s="45"/>
    </row>
    <row r="112" ht="15.75" customHeight="1">
      <c r="A112" s="203"/>
      <c r="B112" s="95"/>
      <c r="C112" s="95"/>
      <c r="D112" s="48"/>
      <c r="E112" s="48"/>
      <c r="F112" s="207"/>
      <c r="G112" s="45"/>
    </row>
    <row r="113" ht="15.75" customHeight="1">
      <c r="A113" s="203"/>
      <c r="B113" s="95"/>
      <c r="C113" s="95"/>
      <c r="D113" s="48"/>
      <c r="E113" s="48"/>
      <c r="F113" s="207"/>
      <c r="G113" s="45"/>
    </row>
    <row r="114" ht="15.75" customHeight="1">
      <c r="A114" s="203"/>
      <c r="B114" s="95"/>
      <c r="C114" s="95"/>
      <c r="D114" s="48"/>
      <c r="E114" s="48"/>
      <c r="F114" s="207"/>
      <c r="G114" s="45"/>
    </row>
    <row r="115" ht="15.75" customHeight="1">
      <c r="A115" s="203"/>
      <c r="B115" s="95"/>
      <c r="C115" s="95"/>
      <c r="D115" s="48"/>
      <c r="E115" s="48"/>
      <c r="F115" s="207"/>
      <c r="G115" s="45"/>
    </row>
    <row r="116" ht="15.75" customHeight="1">
      <c r="A116" s="203"/>
      <c r="B116" s="95"/>
      <c r="C116" s="95"/>
      <c r="D116" s="48"/>
      <c r="E116" s="48"/>
      <c r="F116" s="207"/>
      <c r="G116" s="45"/>
    </row>
    <row r="117" ht="15.75" customHeight="1">
      <c r="A117" s="203"/>
      <c r="B117" s="95"/>
      <c r="C117" s="95"/>
      <c r="D117" s="48"/>
      <c r="E117" s="48"/>
      <c r="F117" s="207"/>
      <c r="G117" s="45"/>
    </row>
    <row r="118" ht="15.75" customHeight="1">
      <c r="A118" s="203"/>
      <c r="B118" s="95"/>
      <c r="C118" s="95"/>
      <c r="D118" s="48"/>
      <c r="E118" s="48"/>
      <c r="F118" s="207"/>
      <c r="G118" s="45"/>
    </row>
    <row r="119" ht="15.75" customHeight="1">
      <c r="A119" s="203"/>
      <c r="B119" s="95"/>
      <c r="C119" s="95"/>
      <c r="D119" s="48"/>
      <c r="E119" s="48"/>
      <c r="F119" s="207"/>
      <c r="G119" s="45"/>
    </row>
    <row r="120" ht="15.75" customHeight="1">
      <c r="A120" s="203"/>
      <c r="B120" s="95"/>
      <c r="C120" s="95"/>
      <c r="D120" s="48"/>
      <c r="E120" s="48"/>
      <c r="F120" s="207"/>
      <c r="G120" s="45"/>
    </row>
    <row r="121" ht="15.75" customHeight="1">
      <c r="A121" s="203"/>
      <c r="B121" s="95"/>
      <c r="C121" s="95"/>
      <c r="D121" s="48"/>
      <c r="E121" s="48"/>
      <c r="F121" s="207"/>
      <c r="G121" s="45"/>
    </row>
    <row r="122" ht="15.75" customHeight="1">
      <c r="A122" s="203"/>
      <c r="B122" s="95"/>
      <c r="C122" s="95"/>
      <c r="D122" s="48"/>
      <c r="E122" s="48"/>
      <c r="F122" s="207"/>
      <c r="G122" s="45"/>
    </row>
    <row r="123" ht="15.75" customHeight="1">
      <c r="A123" s="203"/>
      <c r="B123" s="95"/>
      <c r="C123" s="95"/>
      <c r="D123" s="48"/>
      <c r="E123" s="48"/>
      <c r="F123" s="207"/>
      <c r="G123" s="45"/>
    </row>
    <row r="124" ht="15.75" customHeight="1">
      <c r="A124" s="203"/>
      <c r="B124" s="95"/>
      <c r="C124" s="95"/>
      <c r="D124" s="48"/>
      <c r="E124" s="48"/>
      <c r="F124" s="207"/>
      <c r="G124" s="45"/>
    </row>
    <row r="125" ht="15.75" customHeight="1">
      <c r="A125" s="203"/>
      <c r="B125" s="95"/>
      <c r="C125" s="95"/>
      <c r="D125" s="48"/>
      <c r="E125" s="48"/>
      <c r="F125" s="207"/>
      <c r="G125" s="45"/>
    </row>
    <row r="126" ht="15.75" customHeight="1">
      <c r="A126" s="203"/>
      <c r="B126" s="95"/>
      <c r="C126" s="95"/>
      <c r="D126" s="48"/>
      <c r="E126" s="48"/>
      <c r="F126" s="207"/>
      <c r="G126" s="45"/>
    </row>
    <row r="127" ht="15.75" customHeight="1">
      <c r="A127" s="203"/>
      <c r="B127" s="95"/>
      <c r="C127" s="95"/>
      <c r="D127" s="48"/>
      <c r="E127" s="48"/>
      <c r="F127" s="207"/>
      <c r="G127" s="45"/>
    </row>
    <row r="128" ht="15.75" customHeight="1">
      <c r="A128" s="203"/>
      <c r="B128" s="95"/>
      <c r="C128" s="95"/>
      <c r="D128" s="48"/>
      <c r="E128" s="48"/>
      <c r="F128" s="207"/>
      <c r="G128" s="45"/>
    </row>
    <row r="129" ht="15.75" customHeight="1">
      <c r="A129" s="203"/>
      <c r="B129" s="95"/>
      <c r="C129" s="95"/>
      <c r="D129" s="48"/>
      <c r="E129" s="48"/>
      <c r="F129" s="207"/>
      <c r="G129" s="45"/>
    </row>
    <row r="130" ht="15.75" customHeight="1">
      <c r="A130" s="203"/>
      <c r="B130" s="95"/>
      <c r="C130" s="95"/>
      <c r="D130" s="48"/>
      <c r="E130" s="48"/>
      <c r="F130" s="207"/>
      <c r="G130" s="45"/>
    </row>
    <row r="131" ht="15.75" customHeight="1">
      <c r="A131" s="203"/>
      <c r="B131" s="95"/>
      <c r="C131" s="95"/>
      <c r="D131" s="48"/>
      <c r="E131" s="48"/>
      <c r="F131" s="207"/>
      <c r="G131" s="45"/>
    </row>
    <row r="132" ht="15.75" customHeight="1">
      <c r="A132" s="203"/>
      <c r="B132" s="95"/>
      <c r="C132" s="95"/>
      <c r="D132" s="48"/>
      <c r="E132" s="48"/>
      <c r="F132" s="207"/>
      <c r="G132" s="45"/>
    </row>
    <row r="133" ht="15.75" customHeight="1">
      <c r="A133" s="203"/>
      <c r="B133" s="95"/>
      <c r="C133" s="95"/>
      <c r="D133" s="48"/>
      <c r="E133" s="48"/>
      <c r="F133" s="207"/>
      <c r="G133" s="45"/>
    </row>
    <row r="134" ht="15.75" customHeight="1">
      <c r="A134" s="203"/>
      <c r="B134" s="95"/>
      <c r="C134" s="95"/>
      <c r="D134" s="48"/>
      <c r="E134" s="48"/>
      <c r="F134" s="207"/>
      <c r="G134" s="45"/>
    </row>
    <row r="135" ht="15.75" customHeight="1">
      <c r="A135" s="203"/>
      <c r="B135" s="95"/>
      <c r="C135" s="95"/>
      <c r="D135" s="48"/>
      <c r="E135" s="48"/>
      <c r="F135" s="207"/>
      <c r="G135" s="45"/>
    </row>
    <row r="136" ht="15.75" customHeight="1">
      <c r="A136" s="203"/>
      <c r="B136" s="95"/>
      <c r="C136" s="95"/>
      <c r="D136" s="48"/>
      <c r="E136" s="48"/>
      <c r="F136" s="207"/>
      <c r="G136" s="45"/>
    </row>
    <row r="137" ht="15.75" customHeight="1">
      <c r="A137" s="203"/>
      <c r="B137" s="95"/>
      <c r="C137" s="95"/>
      <c r="D137" s="48"/>
      <c r="E137" s="48"/>
      <c r="F137" s="207"/>
      <c r="G137" s="45"/>
    </row>
    <row r="138" ht="15.75" customHeight="1">
      <c r="A138" s="203"/>
      <c r="B138" s="95"/>
      <c r="C138" s="95"/>
      <c r="D138" s="48"/>
      <c r="E138" s="48"/>
      <c r="F138" s="207"/>
      <c r="G138" s="45"/>
    </row>
    <row r="139" ht="15.75" customHeight="1">
      <c r="A139" s="203"/>
      <c r="B139" s="95"/>
      <c r="C139" s="95"/>
      <c r="D139" s="48"/>
      <c r="E139" s="48"/>
      <c r="F139" s="207"/>
      <c r="G139" s="45"/>
    </row>
    <row r="140" ht="15.75" customHeight="1">
      <c r="A140" s="203"/>
      <c r="B140" s="95"/>
      <c r="C140" s="95"/>
      <c r="D140" s="48"/>
      <c r="E140" s="48"/>
      <c r="F140" s="207"/>
      <c r="G140" s="45"/>
    </row>
    <row r="141" ht="15.75" customHeight="1">
      <c r="A141" s="203"/>
      <c r="B141" s="95"/>
      <c r="C141" s="95"/>
      <c r="D141" s="48"/>
      <c r="E141" s="48"/>
      <c r="F141" s="207"/>
      <c r="G141" s="45"/>
    </row>
    <row r="142" ht="15.75" customHeight="1">
      <c r="A142" s="203"/>
      <c r="B142" s="95"/>
      <c r="C142" s="95"/>
      <c r="D142" s="48"/>
      <c r="E142" s="48"/>
      <c r="F142" s="207"/>
      <c r="G142" s="45"/>
    </row>
    <row r="143" ht="15.75" customHeight="1">
      <c r="A143" s="203"/>
      <c r="B143" s="95"/>
      <c r="C143" s="95"/>
      <c r="D143" s="48"/>
      <c r="E143" s="48"/>
      <c r="F143" s="207"/>
      <c r="G143" s="45"/>
    </row>
    <row r="144" ht="15.75" customHeight="1">
      <c r="A144" s="203"/>
      <c r="B144" s="95"/>
      <c r="C144" s="95"/>
      <c r="D144" s="48"/>
      <c r="E144" s="48"/>
      <c r="F144" s="207"/>
      <c r="G144" s="45"/>
    </row>
    <row r="145" ht="15.75" customHeight="1">
      <c r="A145" s="203"/>
      <c r="B145" s="95"/>
      <c r="C145" s="95"/>
      <c r="D145" s="48"/>
      <c r="E145" s="48"/>
      <c r="F145" s="207"/>
      <c r="G145" s="45"/>
    </row>
    <row r="146" ht="15.75" customHeight="1">
      <c r="A146" s="203"/>
      <c r="B146" s="95"/>
      <c r="C146" s="95"/>
      <c r="D146" s="48"/>
      <c r="E146" s="48"/>
      <c r="F146" s="207"/>
      <c r="G146" s="45"/>
    </row>
    <row r="147" ht="15.75" customHeight="1">
      <c r="A147" s="203"/>
      <c r="B147" s="95"/>
      <c r="C147" s="95"/>
      <c r="D147" s="48"/>
      <c r="E147" s="48"/>
      <c r="F147" s="207"/>
      <c r="G147" s="45"/>
    </row>
    <row r="148" ht="15.75" customHeight="1">
      <c r="A148" s="203"/>
      <c r="B148" s="95"/>
      <c r="C148" s="95"/>
      <c r="D148" s="48"/>
      <c r="E148" s="48"/>
      <c r="F148" s="207"/>
      <c r="G148" s="45"/>
    </row>
    <row r="149" ht="15.75" customHeight="1">
      <c r="A149" s="203"/>
      <c r="B149" s="95"/>
      <c r="C149" s="95"/>
      <c r="D149" s="48"/>
      <c r="E149" s="48"/>
      <c r="F149" s="207"/>
      <c r="G149" s="45"/>
    </row>
    <row r="150" ht="15.75" customHeight="1">
      <c r="A150" s="203"/>
      <c r="B150" s="95"/>
      <c r="C150" s="95"/>
      <c r="D150" s="48"/>
      <c r="E150" s="48"/>
      <c r="F150" s="207"/>
      <c r="G150" s="45"/>
    </row>
    <row r="151" ht="15.75" customHeight="1">
      <c r="A151" s="203"/>
      <c r="B151" s="95"/>
      <c r="C151" s="95"/>
      <c r="D151" s="48"/>
      <c r="E151" s="48"/>
      <c r="F151" s="207"/>
      <c r="G151" s="45"/>
    </row>
    <row r="152" ht="15.75" customHeight="1">
      <c r="A152" s="203"/>
      <c r="B152" s="95"/>
      <c r="C152" s="95"/>
      <c r="D152" s="48"/>
      <c r="E152" s="48"/>
      <c r="F152" s="207"/>
      <c r="G152" s="45"/>
    </row>
    <row r="153" ht="15.75" customHeight="1">
      <c r="A153" s="203"/>
      <c r="B153" s="95"/>
      <c r="C153" s="95"/>
      <c r="D153" s="48"/>
      <c r="E153" s="48"/>
      <c r="F153" s="207"/>
      <c r="G153" s="45"/>
    </row>
    <row r="154" ht="15.75" customHeight="1">
      <c r="A154" s="203"/>
      <c r="B154" s="95"/>
      <c r="C154" s="95"/>
      <c r="D154" s="48"/>
      <c r="E154" s="48"/>
      <c r="F154" s="207"/>
      <c r="G154" s="45"/>
    </row>
    <row r="155" ht="15.75" customHeight="1">
      <c r="A155" s="203"/>
      <c r="B155" s="95"/>
      <c r="C155" s="95"/>
      <c r="D155" s="48"/>
      <c r="E155" s="48"/>
      <c r="F155" s="207"/>
      <c r="G155" s="45"/>
    </row>
    <row r="156" ht="15.75" customHeight="1">
      <c r="A156" s="203"/>
      <c r="B156" s="95"/>
      <c r="C156" s="95"/>
      <c r="D156" s="48"/>
      <c r="E156" s="48"/>
      <c r="F156" s="207"/>
      <c r="G156" s="45"/>
    </row>
    <row r="157" ht="15.75" customHeight="1">
      <c r="A157" s="203"/>
      <c r="B157" s="95"/>
      <c r="C157" s="95"/>
      <c r="D157" s="48"/>
      <c r="E157" s="48"/>
      <c r="F157" s="207"/>
      <c r="G157" s="45"/>
    </row>
    <row r="158" ht="15.75" customHeight="1">
      <c r="A158" s="203"/>
      <c r="B158" s="95"/>
      <c r="C158" s="95"/>
      <c r="D158" s="48"/>
      <c r="E158" s="48"/>
      <c r="F158" s="207"/>
      <c r="G158" s="45"/>
    </row>
    <row r="159" ht="15.75" customHeight="1">
      <c r="A159" s="203"/>
      <c r="B159" s="95"/>
      <c r="C159" s="95"/>
      <c r="D159" s="48"/>
      <c r="E159" s="48"/>
      <c r="F159" s="207"/>
      <c r="G159" s="45"/>
    </row>
    <row r="160" ht="15.75" customHeight="1">
      <c r="A160" s="203"/>
      <c r="B160" s="95"/>
      <c r="C160" s="95"/>
      <c r="D160" s="48"/>
      <c r="E160" s="48"/>
      <c r="F160" s="207"/>
      <c r="G160" s="45"/>
    </row>
    <row r="161" ht="15.75" customHeight="1">
      <c r="A161" s="203"/>
      <c r="B161" s="95"/>
      <c r="C161" s="95"/>
      <c r="D161" s="48"/>
      <c r="E161" s="48"/>
      <c r="F161" s="207"/>
      <c r="G161" s="45"/>
    </row>
    <row r="162" ht="15.75" customHeight="1">
      <c r="A162" s="203"/>
      <c r="B162" s="95"/>
      <c r="C162" s="95"/>
      <c r="D162" s="48"/>
      <c r="E162" s="48"/>
      <c r="F162" s="207"/>
      <c r="G162" s="45"/>
    </row>
    <row r="163" ht="15.75" customHeight="1">
      <c r="A163" s="203"/>
      <c r="B163" s="95"/>
      <c r="C163" s="95"/>
      <c r="D163" s="48"/>
      <c r="E163" s="48"/>
      <c r="F163" s="207"/>
      <c r="G163" s="45"/>
    </row>
    <row r="164" ht="15.75" customHeight="1">
      <c r="A164" s="203"/>
      <c r="B164" s="95"/>
      <c r="C164" s="95"/>
      <c r="D164" s="48"/>
      <c r="E164" s="48"/>
      <c r="F164" s="207"/>
      <c r="G164" s="45"/>
    </row>
    <row r="165" ht="15.75" customHeight="1">
      <c r="A165" s="203"/>
      <c r="B165" s="95"/>
      <c r="C165" s="95"/>
      <c r="D165" s="48"/>
      <c r="E165" s="48"/>
      <c r="F165" s="207"/>
      <c r="G165" s="45"/>
    </row>
    <row r="166" ht="15.75" customHeight="1">
      <c r="A166" s="203"/>
      <c r="B166" s="95"/>
      <c r="C166" s="95"/>
      <c r="D166" s="48"/>
      <c r="E166" s="48"/>
      <c r="F166" s="207"/>
      <c r="G166" s="45"/>
    </row>
    <row r="167" ht="15.75" customHeight="1">
      <c r="A167" s="203"/>
      <c r="B167" s="95"/>
      <c r="C167" s="95"/>
      <c r="D167" s="48"/>
      <c r="E167" s="48"/>
      <c r="F167" s="207"/>
      <c r="G167" s="45"/>
    </row>
    <row r="168" ht="15.75" customHeight="1">
      <c r="A168" s="203"/>
      <c r="B168" s="95"/>
      <c r="C168" s="95"/>
      <c r="D168" s="48"/>
      <c r="E168" s="48"/>
      <c r="F168" s="207"/>
      <c r="G168" s="45"/>
    </row>
    <row r="169" ht="15.75" customHeight="1">
      <c r="A169" s="203"/>
      <c r="B169" s="95"/>
      <c r="C169" s="95"/>
      <c r="D169" s="48"/>
      <c r="E169" s="48"/>
      <c r="F169" s="207"/>
      <c r="G169" s="45"/>
    </row>
    <row r="170" ht="15.75" customHeight="1">
      <c r="A170" s="203"/>
      <c r="B170" s="95"/>
      <c r="C170" s="95"/>
      <c r="D170" s="48"/>
      <c r="E170" s="48"/>
      <c r="F170" s="207"/>
      <c r="G170" s="45"/>
    </row>
    <row r="171" ht="15.75" customHeight="1">
      <c r="A171" s="203"/>
      <c r="B171" s="95"/>
      <c r="C171" s="95"/>
      <c r="D171" s="48"/>
      <c r="E171" s="48"/>
      <c r="F171" s="207"/>
      <c r="G171" s="45"/>
    </row>
    <row r="172" ht="15.75" customHeight="1">
      <c r="A172" s="203"/>
      <c r="B172" s="95"/>
      <c r="C172" s="95"/>
      <c r="D172" s="48"/>
      <c r="E172" s="48"/>
      <c r="F172" s="207"/>
      <c r="G172" s="45"/>
    </row>
    <row r="173" ht="15.75" customHeight="1">
      <c r="A173" s="203"/>
      <c r="B173" s="95"/>
      <c r="C173" s="95"/>
      <c r="D173" s="48"/>
      <c r="E173" s="48"/>
      <c r="F173" s="207"/>
      <c r="G173" s="45"/>
    </row>
    <row r="174" ht="15.75" customHeight="1">
      <c r="A174" s="203"/>
      <c r="B174" s="95"/>
      <c r="C174" s="95"/>
      <c r="D174" s="48"/>
      <c r="E174" s="48"/>
      <c r="F174" s="207"/>
      <c r="G174" s="45"/>
    </row>
    <row r="175" ht="15.75" customHeight="1">
      <c r="A175" s="203"/>
      <c r="B175" s="95"/>
      <c r="C175" s="95"/>
      <c r="D175" s="48"/>
      <c r="E175" s="48"/>
      <c r="F175" s="207"/>
      <c r="G175" s="45"/>
    </row>
    <row r="176" ht="15.75" customHeight="1">
      <c r="A176" s="203"/>
      <c r="B176" s="95"/>
      <c r="C176" s="95"/>
      <c r="D176" s="48"/>
      <c r="E176" s="48"/>
      <c r="F176" s="207"/>
      <c r="G176" s="45"/>
    </row>
    <row r="177" ht="15.75" customHeight="1">
      <c r="A177" s="203"/>
      <c r="B177" s="95"/>
      <c r="C177" s="95"/>
      <c r="D177" s="48"/>
      <c r="E177" s="48"/>
      <c r="F177" s="207"/>
      <c r="G177" s="45"/>
    </row>
    <row r="178" ht="15.75" customHeight="1">
      <c r="A178" s="203"/>
      <c r="B178" s="95"/>
      <c r="C178" s="95"/>
      <c r="D178" s="48"/>
      <c r="E178" s="48"/>
      <c r="F178" s="207"/>
      <c r="G178" s="45"/>
    </row>
    <row r="179" ht="15.75" customHeight="1">
      <c r="A179" s="203"/>
      <c r="B179" s="95"/>
      <c r="C179" s="95"/>
      <c r="D179" s="48"/>
      <c r="E179" s="48"/>
      <c r="F179" s="207"/>
      <c r="G179" s="45"/>
    </row>
    <row r="180" ht="15.75" customHeight="1">
      <c r="A180" s="203"/>
      <c r="B180" s="95"/>
      <c r="C180" s="95"/>
      <c r="D180" s="48"/>
      <c r="E180" s="48"/>
      <c r="F180" s="207"/>
      <c r="G180" s="45"/>
    </row>
    <row r="181" ht="15.75" customHeight="1">
      <c r="A181" s="203"/>
      <c r="B181" s="95"/>
      <c r="C181" s="95"/>
      <c r="D181" s="48"/>
      <c r="E181" s="48"/>
      <c r="F181" s="207"/>
      <c r="G181" s="45"/>
    </row>
    <row r="182" ht="15.75" customHeight="1">
      <c r="A182" s="203"/>
      <c r="B182" s="95"/>
      <c r="C182" s="95"/>
      <c r="D182" s="48"/>
      <c r="E182" s="48"/>
      <c r="F182" s="207"/>
      <c r="G182" s="45"/>
    </row>
    <row r="183" ht="15.75" customHeight="1">
      <c r="A183" s="203"/>
      <c r="B183" s="95"/>
      <c r="C183" s="95"/>
      <c r="D183" s="48"/>
      <c r="E183" s="48"/>
      <c r="F183" s="207"/>
      <c r="G183" s="45"/>
    </row>
    <row r="184" ht="15.75" customHeight="1">
      <c r="A184" s="203"/>
      <c r="B184" s="95"/>
      <c r="C184" s="95"/>
      <c r="D184" s="48"/>
      <c r="E184" s="48"/>
      <c r="F184" s="207"/>
      <c r="G184" s="45"/>
    </row>
    <row r="185" ht="15.75" customHeight="1">
      <c r="A185" s="203"/>
      <c r="B185" s="95"/>
      <c r="C185" s="95"/>
      <c r="D185" s="48"/>
      <c r="E185" s="48"/>
      <c r="F185" s="207"/>
      <c r="G185" s="45"/>
    </row>
    <row r="186" ht="15.75" customHeight="1">
      <c r="A186" s="203"/>
      <c r="B186" s="95"/>
      <c r="C186" s="95"/>
      <c r="D186" s="48"/>
      <c r="E186" s="48"/>
      <c r="F186" s="207"/>
      <c r="G186" s="45"/>
    </row>
    <row r="187" ht="15.75" customHeight="1">
      <c r="A187" s="203"/>
      <c r="B187" s="95"/>
      <c r="C187" s="95"/>
      <c r="D187" s="48"/>
      <c r="E187" s="48"/>
      <c r="F187" s="207"/>
      <c r="G187" s="45"/>
    </row>
    <row r="188" ht="15.75" customHeight="1">
      <c r="A188" s="203"/>
      <c r="B188" s="95"/>
      <c r="C188" s="95"/>
      <c r="D188" s="48"/>
      <c r="E188" s="48"/>
      <c r="F188" s="207"/>
      <c r="G188" s="45"/>
    </row>
    <row r="189" ht="15.75" customHeight="1">
      <c r="A189" s="203"/>
      <c r="B189" s="95"/>
      <c r="C189" s="95"/>
      <c r="D189" s="48"/>
      <c r="E189" s="48"/>
      <c r="F189" s="207"/>
      <c r="G189" s="45"/>
    </row>
    <row r="190" ht="15.75" customHeight="1">
      <c r="A190" s="203"/>
      <c r="B190" s="95"/>
      <c r="C190" s="95"/>
      <c r="D190" s="48"/>
      <c r="E190" s="48"/>
      <c r="F190" s="207"/>
      <c r="G190" s="45"/>
    </row>
    <row r="191" ht="15.75" customHeight="1">
      <c r="A191" s="203"/>
      <c r="B191" s="95"/>
      <c r="C191" s="95"/>
      <c r="D191" s="48"/>
      <c r="E191" s="48"/>
      <c r="F191" s="207"/>
      <c r="G191" s="45"/>
    </row>
    <row r="192" ht="15.75" customHeight="1">
      <c r="A192" s="203"/>
      <c r="B192" s="95"/>
      <c r="C192" s="95"/>
      <c r="D192" s="48"/>
      <c r="E192" s="48"/>
      <c r="F192" s="207"/>
      <c r="G192" s="45"/>
    </row>
    <row r="193" ht="15.75" customHeight="1">
      <c r="A193" s="203"/>
      <c r="B193" s="95"/>
      <c r="C193" s="95"/>
      <c r="D193" s="48"/>
      <c r="E193" s="48"/>
      <c r="F193" s="207"/>
      <c r="G193" s="45"/>
    </row>
    <row r="194" ht="15.75" customHeight="1">
      <c r="A194" s="203"/>
      <c r="B194" s="95"/>
      <c r="C194" s="95"/>
      <c r="D194" s="48"/>
      <c r="E194" s="48"/>
      <c r="F194" s="207"/>
      <c r="G194" s="45"/>
    </row>
    <row r="195" ht="15.75" customHeight="1">
      <c r="A195" s="203"/>
      <c r="B195" s="95"/>
      <c r="C195" s="95"/>
      <c r="D195" s="48"/>
      <c r="E195" s="48"/>
      <c r="F195" s="207"/>
      <c r="G195" s="45"/>
    </row>
    <row r="196" ht="15.75" customHeight="1">
      <c r="A196" s="203"/>
      <c r="B196" s="95"/>
      <c r="C196" s="95"/>
      <c r="D196" s="48"/>
      <c r="E196" s="48"/>
      <c r="F196" s="207"/>
      <c r="G196" s="45"/>
    </row>
    <row r="197" ht="15.75" customHeight="1">
      <c r="A197" s="203"/>
      <c r="B197" s="95"/>
      <c r="C197" s="95"/>
      <c r="D197" s="48"/>
      <c r="E197" s="48"/>
      <c r="F197" s="207"/>
      <c r="G197" s="45"/>
    </row>
    <row r="198" ht="15.75" customHeight="1">
      <c r="A198" s="203"/>
      <c r="B198" s="95"/>
      <c r="C198" s="95"/>
      <c r="D198" s="48"/>
      <c r="E198" s="48"/>
      <c r="F198" s="207"/>
      <c r="G198" s="45"/>
    </row>
    <row r="199" ht="15.75" customHeight="1">
      <c r="A199" s="203"/>
      <c r="B199" s="95"/>
      <c r="C199" s="95"/>
      <c r="D199" s="48"/>
      <c r="E199" s="48"/>
      <c r="F199" s="207"/>
      <c r="G199" s="45"/>
    </row>
    <row r="200" ht="15.75" customHeight="1">
      <c r="A200" s="203"/>
      <c r="B200" s="95"/>
      <c r="C200" s="95"/>
      <c r="D200" s="48"/>
      <c r="E200" s="48"/>
      <c r="F200" s="207"/>
      <c r="G200" s="45"/>
    </row>
    <row r="201" ht="15.75" customHeight="1">
      <c r="A201" s="203"/>
      <c r="B201" s="95"/>
      <c r="C201" s="95"/>
      <c r="D201" s="48"/>
      <c r="E201" s="48"/>
      <c r="F201" s="207"/>
      <c r="G201" s="45"/>
    </row>
    <row r="202" ht="15.75" customHeight="1">
      <c r="A202" s="203"/>
      <c r="B202" s="95"/>
      <c r="C202" s="95"/>
      <c r="D202" s="48"/>
      <c r="E202" s="48"/>
      <c r="F202" s="207"/>
      <c r="G202" s="45"/>
    </row>
    <row r="203" ht="15.75" customHeight="1">
      <c r="A203" s="203"/>
      <c r="B203" s="95"/>
      <c r="C203" s="95"/>
      <c r="D203" s="48"/>
      <c r="E203" s="48"/>
      <c r="F203" s="207"/>
      <c r="G203" s="45"/>
    </row>
    <row r="204" ht="15.75" customHeight="1">
      <c r="A204" s="203"/>
      <c r="B204" s="95"/>
      <c r="C204" s="95"/>
      <c r="D204" s="48"/>
      <c r="E204" s="48"/>
      <c r="F204" s="207"/>
      <c r="G204" s="45"/>
    </row>
    <row r="205" ht="15.75" customHeight="1">
      <c r="A205" s="203"/>
      <c r="B205" s="95"/>
      <c r="C205" s="95"/>
      <c r="D205" s="48"/>
      <c r="E205" s="48"/>
      <c r="F205" s="207"/>
      <c r="G205" s="45"/>
    </row>
    <row r="206" ht="15.75" customHeight="1">
      <c r="A206" s="203"/>
      <c r="B206" s="95"/>
      <c r="C206" s="95"/>
      <c r="D206" s="48"/>
      <c r="E206" s="48"/>
      <c r="F206" s="207"/>
      <c r="G206" s="45"/>
    </row>
    <row r="207" ht="15.75" customHeight="1">
      <c r="A207" s="203"/>
      <c r="B207" s="95"/>
      <c r="C207" s="95"/>
      <c r="D207" s="48"/>
      <c r="E207" s="48"/>
      <c r="F207" s="207"/>
      <c r="G207" s="45"/>
    </row>
    <row r="208" ht="15.75" customHeight="1">
      <c r="A208" s="203"/>
      <c r="B208" s="95"/>
      <c r="C208" s="95"/>
      <c r="D208" s="48"/>
      <c r="E208" s="48"/>
      <c r="F208" s="207"/>
      <c r="G208" s="45"/>
    </row>
    <row r="209" ht="15.75" customHeight="1">
      <c r="A209" s="203"/>
      <c r="B209" s="95"/>
      <c r="C209" s="95"/>
      <c r="D209" s="48"/>
      <c r="E209" s="48"/>
      <c r="F209" s="207"/>
      <c r="G209" s="45"/>
    </row>
    <row r="210" ht="15.75" customHeight="1">
      <c r="A210" s="203"/>
      <c r="B210" s="95"/>
      <c r="C210" s="95"/>
      <c r="D210" s="48"/>
      <c r="E210" s="48"/>
      <c r="F210" s="207"/>
      <c r="G210" s="45"/>
    </row>
    <row r="211" ht="15.75" customHeight="1">
      <c r="A211" s="203"/>
      <c r="B211" s="95"/>
      <c r="C211" s="95"/>
      <c r="D211" s="48"/>
      <c r="E211" s="48"/>
      <c r="F211" s="207"/>
      <c r="G211" s="45"/>
    </row>
    <row r="212" ht="15.75" customHeight="1">
      <c r="A212" s="203"/>
      <c r="B212" s="95"/>
      <c r="C212" s="95"/>
      <c r="D212" s="48"/>
      <c r="E212" s="48"/>
      <c r="F212" s="207"/>
      <c r="G212" s="45"/>
    </row>
    <row r="213" ht="15.75" customHeight="1">
      <c r="A213" s="203"/>
      <c r="B213" s="95"/>
      <c r="C213" s="95"/>
      <c r="D213" s="48"/>
      <c r="E213" s="48"/>
      <c r="F213" s="207"/>
      <c r="G213" s="45"/>
    </row>
    <row r="214" ht="15.75" customHeight="1">
      <c r="A214" s="203"/>
      <c r="B214" s="95"/>
      <c r="C214" s="95"/>
      <c r="D214" s="48"/>
      <c r="E214" s="48"/>
      <c r="F214" s="207"/>
      <c r="G214" s="45"/>
    </row>
    <row r="215" ht="15.75" customHeight="1">
      <c r="A215" s="203"/>
      <c r="B215" s="95"/>
      <c r="C215" s="95"/>
      <c r="D215" s="48"/>
      <c r="E215" s="48"/>
      <c r="F215" s="207"/>
      <c r="G215" s="45"/>
    </row>
    <row r="216" ht="15.75" customHeight="1">
      <c r="A216" s="203"/>
      <c r="B216" s="95"/>
      <c r="C216" s="95"/>
      <c r="D216" s="48"/>
      <c r="E216" s="48"/>
      <c r="F216" s="207"/>
      <c r="G216" s="45"/>
    </row>
    <row r="217" ht="15.75" customHeight="1">
      <c r="A217" s="203"/>
      <c r="B217" s="95"/>
      <c r="C217" s="95"/>
      <c r="D217" s="48"/>
      <c r="E217" s="48"/>
      <c r="F217" s="207"/>
      <c r="G217" s="45"/>
    </row>
    <row r="218" ht="15.75" customHeight="1">
      <c r="A218" s="203"/>
      <c r="B218" s="95"/>
      <c r="C218" s="95"/>
      <c r="D218" s="48"/>
      <c r="E218" s="48"/>
      <c r="F218" s="207"/>
      <c r="G218" s="45"/>
    </row>
    <row r="219" ht="15.75" customHeight="1">
      <c r="A219" s="203"/>
      <c r="B219" s="95"/>
      <c r="C219" s="95"/>
      <c r="D219" s="48"/>
      <c r="E219" s="48"/>
      <c r="F219" s="207"/>
      <c r="G219" s="45"/>
    </row>
    <row r="220" ht="15.75" customHeight="1">
      <c r="A220" s="203"/>
      <c r="B220" s="95"/>
      <c r="C220" s="95"/>
      <c r="D220" s="48"/>
      <c r="E220" s="48"/>
      <c r="F220" s="207"/>
      <c r="G220" s="45"/>
    </row>
    <row r="221" ht="15.75" customHeight="1">
      <c r="A221" s="203"/>
      <c r="B221" s="95"/>
      <c r="C221" s="95"/>
      <c r="D221" s="48"/>
      <c r="E221" s="48"/>
      <c r="F221" s="207"/>
      <c r="G221" s="45"/>
    </row>
    <row r="222" ht="15.75" customHeight="1">
      <c r="A222" s="203"/>
      <c r="B222" s="95"/>
      <c r="C222" s="95"/>
      <c r="D222" s="48"/>
      <c r="E222" s="48"/>
      <c r="F222" s="207"/>
      <c r="G222" s="45"/>
    </row>
    <row r="223" ht="15.75" customHeight="1">
      <c r="A223" s="203"/>
      <c r="B223" s="95"/>
      <c r="C223" s="95"/>
      <c r="D223" s="48"/>
      <c r="E223" s="48"/>
      <c r="F223" s="207"/>
      <c r="G223" s="45"/>
    </row>
    <row r="224" ht="15.75" customHeight="1">
      <c r="A224" s="203"/>
      <c r="B224" s="95"/>
      <c r="C224" s="95"/>
      <c r="D224" s="48"/>
      <c r="E224" s="48"/>
      <c r="F224" s="207"/>
      <c r="G224" s="45"/>
    </row>
    <row r="225" ht="15.75" customHeight="1">
      <c r="A225" s="203"/>
      <c r="B225" s="95"/>
      <c r="C225" s="95"/>
      <c r="D225" s="48"/>
      <c r="E225" s="48"/>
      <c r="F225" s="207"/>
      <c r="G225" s="45"/>
    </row>
    <row r="226" ht="15.75" customHeight="1">
      <c r="A226" s="203"/>
      <c r="B226" s="95"/>
      <c r="C226" s="95"/>
      <c r="D226" s="48"/>
      <c r="E226" s="48"/>
      <c r="F226" s="207"/>
      <c r="G226" s="45"/>
    </row>
    <row r="227" ht="15.75" customHeight="1">
      <c r="A227" s="203"/>
      <c r="B227" s="95"/>
      <c r="C227" s="95"/>
      <c r="D227" s="48"/>
      <c r="E227" s="48"/>
      <c r="F227" s="207"/>
      <c r="G227" s="45"/>
    </row>
    <row r="228" ht="15.75" customHeight="1">
      <c r="A228" s="203"/>
      <c r="B228" s="95"/>
      <c r="C228" s="95"/>
      <c r="D228" s="48"/>
      <c r="E228" s="48"/>
      <c r="F228" s="207"/>
      <c r="G228" s="45"/>
    </row>
    <row r="229" ht="15.75" customHeight="1">
      <c r="A229" s="203"/>
      <c r="B229" s="95"/>
      <c r="C229" s="95"/>
      <c r="D229" s="48"/>
      <c r="E229" s="48"/>
      <c r="F229" s="207"/>
      <c r="G229" s="45"/>
    </row>
    <row r="230" ht="15.75" customHeight="1">
      <c r="A230" s="203"/>
      <c r="B230" s="95"/>
      <c r="C230" s="95"/>
      <c r="D230" s="48"/>
      <c r="E230" s="48"/>
      <c r="F230" s="207"/>
      <c r="G230" s="45"/>
    </row>
    <row r="231" ht="15.75" customHeight="1">
      <c r="A231" s="203"/>
      <c r="B231" s="95"/>
      <c r="C231" s="95"/>
      <c r="D231" s="48"/>
      <c r="E231" s="48"/>
      <c r="F231" s="207"/>
      <c r="G231" s="45"/>
    </row>
    <row r="232" ht="15.75" customHeight="1">
      <c r="A232" s="203"/>
      <c r="B232" s="95"/>
      <c r="C232" s="95"/>
      <c r="D232" s="48"/>
      <c r="E232" s="48"/>
      <c r="F232" s="207"/>
      <c r="G232" s="45"/>
    </row>
    <row r="233" ht="15.75" customHeight="1">
      <c r="A233" s="203"/>
      <c r="B233" s="95"/>
      <c r="C233" s="95"/>
      <c r="D233" s="48"/>
      <c r="E233" s="48"/>
      <c r="F233" s="207"/>
      <c r="G233" s="45"/>
    </row>
    <row r="234" ht="15.75" customHeight="1">
      <c r="A234" s="203"/>
      <c r="B234" s="95"/>
      <c r="C234" s="95"/>
      <c r="D234" s="48"/>
      <c r="E234" s="48"/>
      <c r="F234" s="207"/>
      <c r="G234" s="45"/>
    </row>
    <row r="235" ht="15.75" customHeight="1">
      <c r="A235" s="203"/>
      <c r="B235" s="95"/>
      <c r="C235" s="95"/>
      <c r="D235" s="48"/>
      <c r="E235" s="48"/>
      <c r="F235" s="207"/>
      <c r="G235" s="45"/>
    </row>
    <row r="236" ht="15.75" customHeight="1">
      <c r="A236" s="203"/>
      <c r="B236" s="95"/>
      <c r="C236" s="95"/>
      <c r="D236" s="48"/>
      <c r="E236" s="48"/>
      <c r="F236" s="207"/>
      <c r="G236" s="45"/>
    </row>
    <row r="237" ht="15.75" customHeight="1">
      <c r="A237" s="203"/>
      <c r="B237" s="95"/>
      <c r="C237" s="95"/>
      <c r="D237" s="48"/>
      <c r="E237" s="48"/>
      <c r="F237" s="207"/>
      <c r="G237" s="45"/>
    </row>
    <row r="238" ht="15.75" customHeight="1">
      <c r="A238" s="203"/>
      <c r="B238" s="95"/>
      <c r="C238" s="95"/>
      <c r="D238" s="48"/>
      <c r="E238" s="48"/>
      <c r="F238" s="207"/>
      <c r="G238" s="45"/>
    </row>
    <row r="239" ht="15.75" customHeight="1">
      <c r="A239" s="203"/>
      <c r="B239" s="95"/>
      <c r="C239" s="95"/>
      <c r="D239" s="48"/>
      <c r="E239" s="48"/>
      <c r="F239" s="207"/>
      <c r="G239" s="45"/>
    </row>
    <row r="240" ht="15.75" customHeight="1">
      <c r="A240" s="203"/>
      <c r="B240" s="95"/>
      <c r="C240" s="95"/>
      <c r="D240" s="48"/>
      <c r="E240" s="48"/>
      <c r="F240" s="207"/>
      <c r="G240" s="45"/>
    </row>
    <row r="241" ht="15.75" customHeight="1">
      <c r="A241" s="203"/>
      <c r="B241" s="95"/>
      <c r="C241" s="95"/>
      <c r="D241" s="48"/>
      <c r="E241" s="48"/>
      <c r="F241" s="207"/>
      <c r="G241" s="45"/>
    </row>
    <row r="242" ht="15.75" customHeight="1">
      <c r="A242" s="203"/>
      <c r="B242" s="95"/>
      <c r="C242" s="95"/>
      <c r="D242" s="48"/>
      <c r="E242" s="48"/>
      <c r="F242" s="207"/>
      <c r="G242" s="45"/>
    </row>
    <row r="243" ht="15.75" customHeight="1">
      <c r="A243" s="203"/>
      <c r="B243" s="95"/>
      <c r="C243" s="95"/>
      <c r="D243" s="48"/>
      <c r="E243" s="48"/>
      <c r="F243" s="207"/>
      <c r="G243" s="45"/>
    </row>
    <row r="244" ht="15.75" customHeight="1">
      <c r="A244" s="203"/>
      <c r="B244" s="95"/>
      <c r="C244" s="95"/>
      <c r="D244" s="48"/>
      <c r="E244" s="48"/>
      <c r="F244" s="207"/>
      <c r="G244" s="45"/>
    </row>
    <row r="245" ht="15.75" customHeight="1">
      <c r="A245" s="203"/>
      <c r="B245" s="95"/>
      <c r="C245" s="95"/>
      <c r="D245" s="48"/>
      <c r="E245" s="48"/>
      <c r="F245" s="207"/>
      <c r="G245" s="45"/>
    </row>
    <row r="246" ht="15.75" customHeight="1">
      <c r="A246" s="203"/>
      <c r="B246" s="95"/>
      <c r="C246" s="95"/>
      <c r="D246" s="48"/>
      <c r="E246" s="48"/>
      <c r="F246" s="207"/>
      <c r="G246" s="45"/>
    </row>
    <row r="247" ht="15.75" customHeight="1">
      <c r="A247" s="203"/>
      <c r="B247" s="95"/>
      <c r="C247" s="95"/>
      <c r="D247" s="48"/>
      <c r="E247" s="48"/>
      <c r="F247" s="207"/>
      <c r="G247" s="45"/>
    </row>
    <row r="248" ht="15.75" customHeight="1">
      <c r="A248" s="203"/>
      <c r="B248" s="95"/>
      <c r="C248" s="95"/>
      <c r="D248" s="48"/>
      <c r="E248" s="48"/>
      <c r="F248" s="207"/>
      <c r="G248" s="45"/>
    </row>
    <row r="249" ht="15.75" customHeight="1">
      <c r="A249" s="203"/>
      <c r="B249" s="95"/>
      <c r="C249" s="95"/>
      <c r="D249" s="48"/>
      <c r="E249" s="48"/>
      <c r="F249" s="207"/>
      <c r="G249" s="45"/>
    </row>
    <row r="250" ht="15.75" customHeight="1">
      <c r="A250" s="203"/>
      <c r="B250" s="95"/>
      <c r="C250" s="95"/>
      <c r="D250" s="48"/>
      <c r="E250" s="48"/>
      <c r="F250" s="207"/>
      <c r="G250" s="45"/>
    </row>
    <row r="251" ht="15.75" customHeight="1">
      <c r="A251" s="203"/>
      <c r="B251" s="95"/>
      <c r="C251" s="95"/>
      <c r="D251" s="48"/>
      <c r="E251" s="48"/>
      <c r="F251" s="207"/>
      <c r="G251" s="45"/>
    </row>
    <row r="252" ht="15.75" customHeight="1">
      <c r="A252" s="203"/>
      <c r="B252" s="95"/>
      <c r="C252" s="95"/>
      <c r="D252" s="48"/>
      <c r="E252" s="48"/>
      <c r="F252" s="207"/>
      <c r="G252" s="45"/>
    </row>
    <row r="253" ht="15.75" customHeight="1">
      <c r="A253" s="203"/>
      <c r="B253" s="95"/>
      <c r="C253" s="95"/>
      <c r="D253" s="48"/>
      <c r="E253" s="48"/>
      <c r="F253" s="207"/>
      <c r="G253" s="45"/>
    </row>
    <row r="254" ht="15.75" customHeight="1">
      <c r="A254" s="203"/>
      <c r="B254" s="95"/>
      <c r="C254" s="95"/>
      <c r="D254" s="48"/>
      <c r="E254" s="48"/>
      <c r="F254" s="207"/>
      <c r="G254" s="45"/>
    </row>
    <row r="255" ht="15.75" customHeight="1">
      <c r="A255" s="203"/>
      <c r="B255" s="95"/>
      <c r="C255" s="95"/>
      <c r="D255" s="48"/>
      <c r="E255" s="48"/>
      <c r="F255" s="207"/>
      <c r="G255" s="45"/>
    </row>
    <row r="256" ht="15.75" customHeight="1">
      <c r="A256" s="203"/>
      <c r="B256" s="95"/>
      <c r="C256" s="95"/>
      <c r="D256" s="48"/>
      <c r="E256" s="48"/>
      <c r="F256" s="207"/>
      <c r="G256" s="45"/>
    </row>
    <row r="257" ht="15.75" customHeight="1">
      <c r="A257" s="203"/>
      <c r="B257" s="95"/>
      <c r="C257" s="95"/>
      <c r="D257" s="48"/>
      <c r="E257" s="48"/>
      <c r="F257" s="207"/>
      <c r="G257" s="45"/>
    </row>
    <row r="258" ht="15.75" customHeight="1">
      <c r="A258" s="203"/>
      <c r="B258" s="95"/>
      <c r="C258" s="95"/>
      <c r="D258" s="48"/>
      <c r="E258" s="48"/>
      <c r="F258" s="207"/>
      <c r="G258" s="45"/>
    </row>
    <row r="259" ht="15.75" customHeight="1">
      <c r="A259" s="203"/>
      <c r="B259" s="95"/>
      <c r="C259" s="95"/>
      <c r="D259" s="48"/>
      <c r="E259" s="48"/>
      <c r="F259" s="207"/>
      <c r="G259" s="45"/>
    </row>
    <row r="260" ht="15.75" customHeight="1">
      <c r="A260" s="203"/>
      <c r="B260" s="95"/>
      <c r="C260" s="95"/>
      <c r="D260" s="48"/>
      <c r="E260" s="48"/>
      <c r="F260" s="207"/>
      <c r="G260" s="45"/>
    </row>
    <row r="261" ht="15.75" customHeight="1">
      <c r="A261" s="203"/>
      <c r="B261" s="95"/>
      <c r="C261" s="95"/>
      <c r="D261" s="48"/>
      <c r="E261" s="48"/>
      <c r="F261" s="207"/>
      <c r="G261" s="45"/>
    </row>
    <row r="262" ht="15.75" customHeight="1">
      <c r="A262" s="203"/>
      <c r="B262" s="95"/>
      <c r="C262" s="95"/>
      <c r="D262" s="48"/>
      <c r="E262" s="48"/>
      <c r="F262" s="207"/>
      <c r="G262" s="45"/>
    </row>
    <row r="263" ht="15.75" customHeight="1">
      <c r="A263" s="203"/>
      <c r="B263" s="95"/>
      <c r="C263" s="95"/>
      <c r="D263" s="48"/>
      <c r="E263" s="48"/>
      <c r="F263" s="207"/>
      <c r="G263" s="45"/>
    </row>
    <row r="264" ht="15.75" customHeight="1">
      <c r="A264" s="203"/>
      <c r="B264" s="95"/>
      <c r="C264" s="95"/>
      <c r="D264" s="48"/>
      <c r="E264" s="48"/>
      <c r="F264" s="207"/>
      <c r="G264" s="45"/>
    </row>
    <row r="265" ht="15.75" customHeight="1">
      <c r="A265" s="203"/>
      <c r="B265" s="95"/>
      <c r="C265" s="95"/>
      <c r="D265" s="48"/>
      <c r="E265" s="48"/>
      <c r="F265" s="207"/>
      <c r="G265" s="45"/>
    </row>
    <row r="266" ht="15.75" customHeight="1">
      <c r="A266" s="203"/>
      <c r="B266" s="95"/>
      <c r="C266" s="95"/>
      <c r="D266" s="48"/>
      <c r="E266" s="48"/>
      <c r="F266" s="207"/>
      <c r="G266" s="45"/>
    </row>
    <row r="267" ht="15.75" customHeight="1">
      <c r="A267" s="203"/>
      <c r="B267" s="95"/>
      <c r="C267" s="95"/>
      <c r="D267" s="48"/>
      <c r="E267" s="48"/>
      <c r="F267" s="207"/>
      <c r="G267" s="45"/>
    </row>
    <row r="268" ht="15.75" customHeight="1">
      <c r="A268" s="203"/>
      <c r="B268" s="95"/>
      <c r="C268" s="95"/>
      <c r="D268" s="48"/>
      <c r="E268" s="48"/>
      <c r="F268" s="207"/>
      <c r="G268" s="45"/>
    </row>
    <row r="269" ht="15.75" customHeight="1">
      <c r="A269" s="203"/>
      <c r="B269" s="95"/>
      <c r="C269" s="95"/>
      <c r="D269" s="48"/>
      <c r="E269" s="48"/>
      <c r="F269" s="207"/>
      <c r="G269" s="45"/>
    </row>
    <row r="270" ht="15.75" customHeight="1">
      <c r="A270" s="203"/>
      <c r="B270" s="95"/>
      <c r="C270" s="95"/>
      <c r="D270" s="48"/>
      <c r="E270" s="48"/>
      <c r="F270" s="207"/>
      <c r="G270" s="45"/>
    </row>
    <row r="271" ht="15.75" customHeight="1">
      <c r="A271" s="203"/>
      <c r="B271" s="95"/>
      <c r="C271" s="95"/>
      <c r="D271" s="48"/>
      <c r="E271" s="48"/>
      <c r="F271" s="207"/>
      <c r="G271" s="45"/>
    </row>
    <row r="272" ht="15.75" customHeight="1">
      <c r="A272" s="203"/>
      <c r="B272" s="95"/>
      <c r="C272" s="95"/>
      <c r="D272" s="48"/>
      <c r="E272" s="48"/>
      <c r="F272" s="207"/>
      <c r="G272" s="45"/>
    </row>
    <row r="273" ht="15.75" customHeight="1">
      <c r="A273" s="203"/>
      <c r="B273" s="95"/>
      <c r="C273" s="95"/>
      <c r="D273" s="48"/>
      <c r="E273" s="48"/>
      <c r="F273" s="207"/>
      <c r="G273" s="45"/>
    </row>
    <row r="274" ht="15.75" customHeight="1">
      <c r="A274" s="203"/>
      <c r="B274" s="95"/>
      <c r="C274" s="95"/>
      <c r="D274" s="48"/>
      <c r="E274" s="48"/>
      <c r="F274" s="207"/>
      <c r="G274" s="45"/>
    </row>
    <row r="275" ht="15.75" customHeight="1">
      <c r="A275" s="203"/>
      <c r="B275" s="95"/>
      <c r="C275" s="95"/>
      <c r="D275" s="48"/>
      <c r="E275" s="48"/>
      <c r="F275" s="207"/>
      <c r="G275" s="45"/>
    </row>
    <row r="276" ht="15.75" customHeight="1">
      <c r="A276" s="203"/>
      <c r="B276" s="95"/>
      <c r="C276" s="95"/>
      <c r="D276" s="48"/>
      <c r="E276" s="48"/>
      <c r="F276" s="207"/>
      <c r="G276" s="45"/>
    </row>
    <row r="277" ht="15.75" customHeight="1">
      <c r="A277" s="203"/>
      <c r="B277" s="95"/>
      <c r="C277" s="95"/>
      <c r="D277" s="48"/>
      <c r="E277" s="48"/>
      <c r="F277" s="207"/>
      <c r="G277" s="45"/>
    </row>
    <row r="278" ht="15.75" customHeight="1">
      <c r="A278" s="203"/>
      <c r="B278" s="95"/>
      <c r="C278" s="95"/>
      <c r="D278" s="48"/>
      <c r="E278" s="48"/>
      <c r="F278" s="207"/>
      <c r="G278" s="45"/>
    </row>
    <row r="279" ht="15.75" customHeight="1">
      <c r="A279" s="209"/>
      <c r="D279" s="209"/>
      <c r="E279" s="209"/>
      <c r="F279" s="209"/>
      <c r="G279" s="209"/>
    </row>
    <row r="280" ht="15.75" customHeight="1">
      <c r="A280" s="209"/>
      <c r="D280" s="209"/>
      <c r="E280" s="209"/>
      <c r="F280" s="209"/>
      <c r="G280" s="209"/>
    </row>
    <row r="281" ht="15.75" customHeight="1">
      <c r="A281" s="209"/>
      <c r="D281" s="209"/>
      <c r="E281" s="209"/>
      <c r="F281" s="209"/>
      <c r="G281" s="209"/>
    </row>
    <row r="282" ht="15.75" customHeight="1">
      <c r="A282" s="209"/>
      <c r="D282" s="209"/>
      <c r="E282" s="209"/>
      <c r="F282" s="209"/>
      <c r="G282" s="209"/>
    </row>
    <row r="283" ht="15.75" customHeight="1">
      <c r="A283" s="209"/>
      <c r="D283" s="209"/>
      <c r="E283" s="209"/>
      <c r="F283" s="209"/>
      <c r="G283" s="209"/>
    </row>
    <row r="284" ht="15.75" customHeight="1">
      <c r="A284" s="209"/>
      <c r="D284" s="209"/>
      <c r="E284" s="209"/>
      <c r="F284" s="209"/>
      <c r="G284" s="209"/>
    </row>
    <row r="285" ht="15.75" customHeight="1">
      <c r="A285" s="209"/>
      <c r="D285" s="209"/>
      <c r="E285" s="209"/>
      <c r="F285" s="209"/>
      <c r="G285" s="209"/>
    </row>
    <row r="286" ht="15.75" customHeight="1">
      <c r="A286" s="209"/>
      <c r="D286" s="209"/>
      <c r="E286" s="209"/>
      <c r="F286" s="209"/>
      <c r="G286" s="209"/>
    </row>
    <row r="287" ht="15.75" customHeight="1">
      <c r="A287" s="209"/>
      <c r="D287" s="209"/>
      <c r="E287" s="209"/>
      <c r="F287" s="209"/>
      <c r="G287" s="209"/>
    </row>
    <row r="288" ht="15.75" customHeight="1">
      <c r="A288" s="209"/>
      <c r="D288" s="209"/>
      <c r="E288" s="209"/>
      <c r="F288" s="209"/>
      <c r="G288" s="209"/>
    </row>
    <row r="289" ht="15.75" customHeight="1">
      <c r="A289" s="209"/>
      <c r="D289" s="209"/>
      <c r="E289" s="209"/>
      <c r="F289" s="209"/>
      <c r="G289" s="209"/>
    </row>
    <row r="290" ht="15.75" customHeight="1">
      <c r="A290" s="209"/>
      <c r="D290" s="209"/>
      <c r="E290" s="209"/>
      <c r="F290" s="209"/>
      <c r="G290" s="209"/>
    </row>
    <row r="291" ht="15.75" customHeight="1">
      <c r="A291" s="209"/>
      <c r="D291" s="209"/>
      <c r="E291" s="209"/>
      <c r="F291" s="209"/>
      <c r="G291" s="209"/>
    </row>
    <row r="292" ht="15.75" customHeight="1">
      <c r="A292" s="209"/>
      <c r="D292" s="209"/>
      <c r="E292" s="209"/>
      <c r="F292" s="209"/>
      <c r="G292" s="209"/>
    </row>
    <row r="293" ht="15.75" customHeight="1">
      <c r="A293" s="209"/>
      <c r="D293" s="209"/>
      <c r="E293" s="209"/>
      <c r="F293" s="209"/>
      <c r="G293" s="209"/>
    </row>
    <row r="294" ht="15.75" customHeight="1">
      <c r="A294" s="209"/>
      <c r="D294" s="209"/>
      <c r="E294" s="209"/>
      <c r="F294" s="209"/>
      <c r="G294" s="209"/>
    </row>
    <row r="295" ht="15.75" customHeight="1">
      <c r="A295" s="209"/>
      <c r="D295" s="209"/>
      <c r="E295" s="209"/>
      <c r="F295" s="209"/>
      <c r="G295" s="209"/>
    </row>
    <row r="296" ht="15.75" customHeight="1">
      <c r="A296" s="209"/>
      <c r="D296" s="209"/>
      <c r="E296" s="209"/>
      <c r="F296" s="209"/>
      <c r="G296" s="209"/>
    </row>
    <row r="297" ht="15.75" customHeight="1">
      <c r="A297" s="209"/>
      <c r="D297" s="209"/>
      <c r="E297" s="209"/>
      <c r="F297" s="209"/>
      <c r="G297" s="209"/>
    </row>
    <row r="298" ht="15.75" customHeight="1">
      <c r="A298" s="209"/>
      <c r="D298" s="209"/>
      <c r="E298" s="209"/>
      <c r="F298" s="209"/>
      <c r="G298" s="209"/>
    </row>
    <row r="299" ht="15.75" customHeight="1">
      <c r="A299" s="209"/>
      <c r="D299" s="209"/>
      <c r="E299" s="209"/>
      <c r="F299" s="209"/>
      <c r="G299" s="209"/>
    </row>
    <row r="300" ht="15.75" customHeight="1">
      <c r="A300" s="209"/>
      <c r="D300" s="209"/>
      <c r="E300" s="209"/>
      <c r="F300" s="209"/>
      <c r="G300" s="209"/>
    </row>
    <row r="301" ht="15.75" customHeight="1">
      <c r="A301" s="209"/>
      <c r="D301" s="209"/>
      <c r="E301" s="209"/>
      <c r="F301" s="209"/>
      <c r="G301" s="209"/>
    </row>
    <row r="302" ht="15.75" customHeight="1">
      <c r="A302" s="209"/>
      <c r="D302" s="209"/>
      <c r="E302" s="209"/>
      <c r="F302" s="209"/>
      <c r="G302" s="209"/>
    </row>
    <row r="303" ht="15.75" customHeight="1">
      <c r="A303" s="209"/>
      <c r="D303" s="209"/>
      <c r="E303" s="209"/>
      <c r="F303" s="209"/>
      <c r="G303" s="209"/>
    </row>
    <row r="304" ht="15.75" customHeight="1">
      <c r="A304" s="209"/>
      <c r="D304" s="209"/>
      <c r="E304" s="209"/>
      <c r="F304" s="209"/>
      <c r="G304" s="209"/>
    </row>
    <row r="305" ht="15.75" customHeight="1">
      <c r="A305" s="209"/>
      <c r="D305" s="209"/>
      <c r="E305" s="209"/>
      <c r="F305" s="209"/>
      <c r="G305" s="209"/>
    </row>
    <row r="306" ht="15.75" customHeight="1">
      <c r="A306" s="209"/>
      <c r="D306" s="209"/>
      <c r="E306" s="209"/>
      <c r="F306" s="209"/>
      <c r="G306" s="209"/>
    </row>
    <row r="307" ht="15.75" customHeight="1">
      <c r="A307" s="209"/>
      <c r="D307" s="209"/>
      <c r="E307" s="209"/>
      <c r="F307" s="209"/>
      <c r="G307" s="209"/>
    </row>
    <row r="308" ht="15.75" customHeight="1">
      <c r="A308" s="209"/>
      <c r="D308" s="209"/>
      <c r="E308" s="209"/>
      <c r="F308" s="209"/>
      <c r="G308" s="209"/>
    </row>
    <row r="309" ht="15.75" customHeight="1">
      <c r="A309" s="209"/>
      <c r="D309" s="209"/>
      <c r="E309" s="209"/>
      <c r="F309" s="209"/>
      <c r="G309" s="209"/>
    </row>
    <row r="310" ht="15.75" customHeight="1">
      <c r="A310" s="209"/>
      <c r="D310" s="209"/>
      <c r="E310" s="209"/>
      <c r="F310" s="209"/>
      <c r="G310" s="209"/>
    </row>
    <row r="311" ht="15.75" customHeight="1">
      <c r="A311" s="209"/>
      <c r="D311" s="209"/>
      <c r="E311" s="209"/>
      <c r="F311" s="209"/>
      <c r="G311" s="209"/>
    </row>
    <row r="312" ht="15.75" customHeight="1">
      <c r="A312" s="209"/>
      <c r="D312" s="209"/>
      <c r="E312" s="209"/>
      <c r="F312" s="209"/>
      <c r="G312" s="209"/>
    </row>
    <row r="313" ht="15.75" customHeight="1">
      <c r="A313" s="209"/>
      <c r="D313" s="209"/>
      <c r="E313" s="209"/>
      <c r="F313" s="209"/>
      <c r="G313" s="209"/>
    </row>
    <row r="314" ht="15.75" customHeight="1">
      <c r="A314" s="209"/>
      <c r="D314" s="209"/>
      <c r="E314" s="209"/>
      <c r="F314" s="209"/>
      <c r="G314" s="209"/>
    </row>
    <row r="315" ht="15.75" customHeight="1">
      <c r="A315" s="209"/>
      <c r="D315" s="209"/>
      <c r="E315" s="209"/>
      <c r="F315" s="209"/>
      <c r="G315" s="209"/>
    </row>
    <row r="316" ht="15.75" customHeight="1">
      <c r="A316" s="209"/>
      <c r="D316" s="209"/>
      <c r="E316" s="209"/>
      <c r="F316" s="209"/>
      <c r="G316" s="209"/>
    </row>
    <row r="317" ht="15.75" customHeight="1">
      <c r="A317" s="209"/>
      <c r="D317" s="209"/>
      <c r="E317" s="209"/>
      <c r="F317" s="209"/>
      <c r="G317" s="209"/>
    </row>
    <row r="318" ht="15.75" customHeight="1">
      <c r="A318" s="209"/>
      <c r="D318" s="209"/>
      <c r="E318" s="209"/>
      <c r="F318" s="209"/>
      <c r="G318" s="209"/>
    </row>
    <row r="319" ht="15.75" customHeight="1">
      <c r="A319" s="209"/>
      <c r="D319" s="209"/>
      <c r="E319" s="209"/>
      <c r="F319" s="209"/>
      <c r="G319" s="209"/>
    </row>
    <row r="320" ht="15.75" customHeight="1">
      <c r="A320" s="209"/>
      <c r="D320" s="209"/>
      <c r="E320" s="209"/>
      <c r="F320" s="209"/>
      <c r="G320" s="209"/>
    </row>
    <row r="321" ht="15.75" customHeight="1">
      <c r="A321" s="209"/>
      <c r="D321" s="209"/>
      <c r="E321" s="209"/>
      <c r="F321" s="209"/>
      <c r="G321" s="209"/>
    </row>
    <row r="322" ht="15.75" customHeight="1">
      <c r="A322" s="209"/>
      <c r="D322" s="209"/>
      <c r="E322" s="209"/>
      <c r="F322" s="209"/>
      <c r="G322" s="209"/>
    </row>
    <row r="323" ht="15.75" customHeight="1">
      <c r="A323" s="209"/>
      <c r="D323" s="209"/>
      <c r="E323" s="209"/>
      <c r="F323" s="209"/>
      <c r="G323" s="209"/>
    </row>
    <row r="324" ht="15.75" customHeight="1">
      <c r="A324" s="209"/>
      <c r="D324" s="209"/>
      <c r="E324" s="209"/>
      <c r="F324" s="209"/>
      <c r="G324" s="209"/>
    </row>
    <row r="325" ht="15.75" customHeight="1">
      <c r="A325" s="209"/>
      <c r="D325" s="209"/>
      <c r="E325" s="209"/>
      <c r="F325" s="209"/>
      <c r="G325" s="209"/>
    </row>
    <row r="326" ht="15.75" customHeight="1">
      <c r="A326" s="209"/>
      <c r="D326" s="209"/>
      <c r="E326" s="209"/>
      <c r="F326" s="209"/>
      <c r="G326" s="209"/>
    </row>
    <row r="327" ht="15.75" customHeight="1">
      <c r="A327" s="209"/>
      <c r="D327" s="209"/>
      <c r="E327" s="209"/>
      <c r="F327" s="209"/>
      <c r="G327" s="209"/>
    </row>
    <row r="328" ht="15.75" customHeight="1">
      <c r="A328" s="209"/>
      <c r="D328" s="209"/>
      <c r="E328" s="209"/>
      <c r="F328" s="209"/>
      <c r="G328" s="209"/>
    </row>
    <row r="329" ht="15.75" customHeight="1">
      <c r="A329" s="209"/>
      <c r="D329" s="209"/>
      <c r="E329" s="209"/>
      <c r="F329" s="209"/>
      <c r="G329" s="209"/>
    </row>
    <row r="330" ht="15.75" customHeight="1">
      <c r="A330" s="209"/>
      <c r="D330" s="209"/>
      <c r="E330" s="209"/>
      <c r="F330" s="209"/>
      <c r="G330" s="209"/>
    </row>
    <row r="331" ht="15.75" customHeight="1">
      <c r="A331" s="209"/>
      <c r="D331" s="209"/>
      <c r="E331" s="209"/>
      <c r="F331" s="209"/>
      <c r="G331" s="209"/>
    </row>
    <row r="332" ht="15.75" customHeight="1">
      <c r="A332" s="209"/>
      <c r="D332" s="209"/>
      <c r="E332" s="209"/>
      <c r="F332" s="209"/>
      <c r="G332" s="209"/>
    </row>
    <row r="333" ht="15.75" customHeight="1">
      <c r="A333" s="209"/>
      <c r="D333" s="209"/>
      <c r="E333" s="209"/>
      <c r="F333" s="209"/>
      <c r="G333" s="209"/>
    </row>
    <row r="334" ht="15.75" customHeight="1">
      <c r="A334" s="209"/>
      <c r="D334" s="209"/>
      <c r="E334" s="209"/>
      <c r="F334" s="209"/>
      <c r="G334" s="209"/>
    </row>
    <row r="335" ht="15.75" customHeight="1">
      <c r="A335" s="209"/>
      <c r="D335" s="209"/>
      <c r="E335" s="209"/>
      <c r="F335" s="209"/>
      <c r="G335" s="209"/>
    </row>
    <row r="336" ht="15.75" customHeight="1">
      <c r="A336" s="209"/>
      <c r="D336" s="209"/>
      <c r="E336" s="209"/>
      <c r="F336" s="209"/>
      <c r="G336" s="209"/>
    </row>
    <row r="337" ht="15.75" customHeight="1">
      <c r="A337" s="209"/>
      <c r="D337" s="209"/>
      <c r="E337" s="209"/>
      <c r="F337" s="209"/>
      <c r="G337" s="209"/>
    </row>
    <row r="338" ht="15.75" customHeight="1">
      <c r="A338" s="209"/>
      <c r="D338" s="209"/>
      <c r="E338" s="209"/>
      <c r="F338" s="209"/>
      <c r="G338" s="209"/>
    </row>
    <row r="339" ht="15.75" customHeight="1">
      <c r="A339" s="209"/>
      <c r="D339" s="209"/>
      <c r="E339" s="209"/>
      <c r="F339" s="209"/>
      <c r="G339" s="209"/>
    </row>
    <row r="340" ht="15.75" customHeight="1">
      <c r="A340" s="209"/>
      <c r="D340" s="209"/>
      <c r="E340" s="209"/>
      <c r="F340" s="209"/>
      <c r="G340" s="209"/>
    </row>
    <row r="341" ht="15.75" customHeight="1">
      <c r="A341" s="209"/>
      <c r="D341" s="209"/>
      <c r="E341" s="209"/>
      <c r="F341" s="209"/>
      <c r="G341" s="209"/>
    </row>
    <row r="342" ht="15.75" customHeight="1">
      <c r="A342" s="209"/>
      <c r="D342" s="209"/>
      <c r="E342" s="209"/>
      <c r="F342" s="209"/>
      <c r="G342" s="209"/>
    </row>
    <row r="343" ht="15.75" customHeight="1">
      <c r="A343" s="209"/>
      <c r="D343" s="209"/>
      <c r="E343" s="209"/>
      <c r="F343" s="209"/>
      <c r="G343" s="209"/>
    </row>
    <row r="344" ht="15.75" customHeight="1">
      <c r="A344" s="209"/>
      <c r="D344" s="209"/>
      <c r="E344" s="209"/>
      <c r="F344" s="209"/>
      <c r="G344" s="209"/>
    </row>
    <row r="345" ht="15.75" customHeight="1">
      <c r="A345" s="209"/>
      <c r="D345" s="209"/>
      <c r="E345" s="209"/>
      <c r="F345" s="209"/>
      <c r="G345" s="209"/>
    </row>
    <row r="346" ht="15.75" customHeight="1">
      <c r="A346" s="209"/>
      <c r="D346" s="209"/>
      <c r="E346" s="209"/>
      <c r="F346" s="209"/>
      <c r="G346" s="209"/>
    </row>
    <row r="347" ht="15.75" customHeight="1">
      <c r="A347" s="209"/>
      <c r="D347" s="209"/>
      <c r="E347" s="209"/>
      <c r="F347" s="209"/>
      <c r="G347" s="209"/>
    </row>
    <row r="348" ht="15.75" customHeight="1">
      <c r="A348" s="209"/>
      <c r="D348" s="209"/>
      <c r="E348" s="209"/>
      <c r="F348" s="209"/>
      <c r="G348" s="209"/>
    </row>
    <row r="349" ht="15.75" customHeight="1">
      <c r="A349" s="209"/>
      <c r="D349" s="209"/>
      <c r="E349" s="209"/>
      <c r="F349" s="209"/>
      <c r="G349" s="209"/>
    </row>
    <row r="350" ht="15.75" customHeight="1">
      <c r="A350" s="209"/>
      <c r="D350" s="209"/>
      <c r="E350" s="209"/>
      <c r="F350" s="209"/>
      <c r="G350" s="209"/>
    </row>
    <row r="351" ht="15.75" customHeight="1">
      <c r="A351" s="209"/>
      <c r="D351" s="209"/>
      <c r="E351" s="209"/>
      <c r="F351" s="209"/>
      <c r="G351" s="209"/>
    </row>
    <row r="352" ht="15.75" customHeight="1">
      <c r="A352" s="209"/>
      <c r="D352" s="209"/>
      <c r="E352" s="209"/>
      <c r="F352" s="209"/>
      <c r="G352" s="209"/>
    </row>
    <row r="353" ht="15.75" customHeight="1">
      <c r="A353" s="209"/>
      <c r="D353" s="209"/>
      <c r="E353" s="209"/>
      <c r="F353" s="209"/>
      <c r="G353" s="209"/>
    </row>
    <row r="354" ht="15.75" customHeight="1">
      <c r="A354" s="209"/>
      <c r="D354" s="209"/>
      <c r="E354" s="209"/>
      <c r="F354" s="209"/>
      <c r="G354" s="209"/>
    </row>
    <row r="355" ht="15.75" customHeight="1">
      <c r="A355" s="209"/>
      <c r="D355" s="209"/>
      <c r="E355" s="209"/>
      <c r="F355" s="209"/>
      <c r="G355" s="209"/>
    </row>
    <row r="356" ht="15.75" customHeight="1">
      <c r="A356" s="209"/>
      <c r="D356" s="209"/>
      <c r="E356" s="209"/>
      <c r="F356" s="209"/>
      <c r="G356" s="209"/>
    </row>
    <row r="357" ht="15.75" customHeight="1">
      <c r="A357" s="209"/>
      <c r="D357" s="209"/>
      <c r="E357" s="209"/>
      <c r="F357" s="209"/>
      <c r="G357" s="209"/>
    </row>
    <row r="358" ht="15.75" customHeight="1">
      <c r="A358" s="209"/>
      <c r="D358" s="209"/>
      <c r="E358" s="209"/>
      <c r="F358" s="209"/>
      <c r="G358" s="209"/>
    </row>
    <row r="359" ht="15.75" customHeight="1">
      <c r="A359" s="209"/>
      <c r="D359" s="209"/>
      <c r="E359" s="209"/>
      <c r="F359" s="209"/>
      <c r="G359" s="209"/>
    </row>
    <row r="360" ht="15.75" customHeight="1">
      <c r="A360" s="209"/>
      <c r="D360" s="209"/>
      <c r="E360" s="209"/>
      <c r="F360" s="209"/>
      <c r="G360" s="209"/>
    </row>
    <row r="361" ht="15.75" customHeight="1">
      <c r="A361" s="209"/>
      <c r="D361" s="209"/>
      <c r="E361" s="209"/>
      <c r="F361" s="209"/>
      <c r="G361" s="209"/>
    </row>
    <row r="362" ht="15.75" customHeight="1">
      <c r="A362" s="209"/>
      <c r="D362" s="209"/>
      <c r="E362" s="209"/>
      <c r="F362" s="209"/>
      <c r="G362" s="209"/>
    </row>
    <row r="363" ht="15.75" customHeight="1">
      <c r="A363" s="209"/>
      <c r="D363" s="209"/>
      <c r="E363" s="209"/>
      <c r="F363" s="209"/>
      <c r="G363" s="209"/>
    </row>
    <row r="364" ht="15.75" customHeight="1">
      <c r="A364" s="209"/>
      <c r="D364" s="209"/>
      <c r="E364" s="209"/>
      <c r="F364" s="209"/>
      <c r="G364" s="209"/>
    </row>
    <row r="365" ht="15.75" customHeight="1">
      <c r="A365" s="209"/>
      <c r="D365" s="209"/>
      <c r="E365" s="209"/>
      <c r="F365" s="209"/>
      <c r="G365" s="209"/>
    </row>
    <row r="366" ht="15.75" customHeight="1">
      <c r="A366" s="209"/>
      <c r="D366" s="209"/>
      <c r="E366" s="209"/>
      <c r="F366" s="209"/>
      <c r="G366" s="209"/>
    </row>
    <row r="367" ht="15.75" customHeight="1">
      <c r="A367" s="209"/>
      <c r="D367" s="209"/>
      <c r="E367" s="209"/>
      <c r="F367" s="209"/>
      <c r="G367" s="209"/>
    </row>
    <row r="368" ht="15.75" customHeight="1">
      <c r="A368" s="209"/>
      <c r="D368" s="209"/>
      <c r="E368" s="209"/>
      <c r="F368" s="209"/>
      <c r="G368" s="209"/>
    </row>
    <row r="369" ht="15.75" customHeight="1">
      <c r="A369" s="209"/>
      <c r="D369" s="209"/>
      <c r="E369" s="209"/>
      <c r="F369" s="209"/>
      <c r="G369" s="209"/>
    </row>
    <row r="370" ht="15.75" customHeight="1">
      <c r="A370" s="209"/>
      <c r="D370" s="209"/>
      <c r="E370" s="209"/>
      <c r="F370" s="209"/>
      <c r="G370" s="209"/>
    </row>
    <row r="371" ht="15.75" customHeight="1">
      <c r="A371" s="209"/>
      <c r="D371" s="209"/>
      <c r="E371" s="209"/>
      <c r="F371" s="209"/>
      <c r="G371" s="209"/>
    </row>
    <row r="372" ht="15.75" customHeight="1">
      <c r="A372" s="209"/>
      <c r="D372" s="209"/>
      <c r="E372" s="209"/>
      <c r="F372" s="209"/>
      <c r="G372" s="209"/>
    </row>
    <row r="373" ht="15.75" customHeight="1">
      <c r="A373" s="209"/>
      <c r="D373" s="209"/>
      <c r="E373" s="209"/>
      <c r="F373" s="209"/>
      <c r="G373" s="209"/>
    </row>
    <row r="374" ht="15.75" customHeight="1">
      <c r="A374" s="209"/>
      <c r="D374" s="209"/>
      <c r="E374" s="209"/>
      <c r="F374" s="209"/>
      <c r="G374" s="209"/>
    </row>
    <row r="375" ht="15.75" customHeight="1">
      <c r="A375" s="209"/>
      <c r="D375" s="209"/>
      <c r="E375" s="209"/>
      <c r="F375" s="209"/>
      <c r="G375" s="209"/>
    </row>
    <row r="376" ht="15.75" customHeight="1">
      <c r="A376" s="209"/>
      <c r="D376" s="209"/>
      <c r="E376" s="209"/>
      <c r="F376" s="209"/>
      <c r="G376" s="209"/>
    </row>
    <row r="377" ht="15.75" customHeight="1">
      <c r="A377" s="209"/>
      <c r="D377" s="209"/>
      <c r="E377" s="209"/>
      <c r="F377" s="209"/>
      <c r="G377" s="209"/>
    </row>
    <row r="378" ht="15.75" customHeight="1">
      <c r="A378" s="209"/>
      <c r="D378" s="209"/>
      <c r="E378" s="209"/>
      <c r="F378" s="209"/>
      <c r="G378" s="209"/>
    </row>
    <row r="379" ht="15.75" customHeight="1">
      <c r="A379" s="209"/>
      <c r="D379" s="209"/>
      <c r="E379" s="209"/>
      <c r="F379" s="209"/>
      <c r="G379" s="209"/>
    </row>
    <row r="380" ht="15.75" customHeight="1">
      <c r="A380" s="209"/>
      <c r="D380" s="209"/>
      <c r="E380" s="209"/>
      <c r="F380" s="209"/>
      <c r="G380" s="209"/>
    </row>
    <row r="381" ht="15.75" customHeight="1">
      <c r="A381" s="209"/>
      <c r="D381" s="209"/>
      <c r="E381" s="209"/>
      <c r="F381" s="209"/>
      <c r="G381" s="209"/>
    </row>
    <row r="382" ht="15.75" customHeight="1">
      <c r="A382" s="209"/>
      <c r="D382" s="209"/>
      <c r="E382" s="209"/>
      <c r="F382" s="209"/>
      <c r="G382" s="209"/>
    </row>
    <row r="383" ht="15.75" customHeight="1">
      <c r="A383" s="209"/>
      <c r="D383" s="209"/>
      <c r="E383" s="209"/>
      <c r="F383" s="209"/>
      <c r="G383" s="209"/>
    </row>
    <row r="384" ht="15.75" customHeight="1">
      <c r="A384" s="209"/>
      <c r="D384" s="209"/>
      <c r="E384" s="209"/>
      <c r="F384" s="209"/>
      <c r="G384" s="209"/>
    </row>
    <row r="385" ht="15.75" customHeight="1">
      <c r="A385" s="209"/>
      <c r="D385" s="209"/>
      <c r="E385" s="209"/>
      <c r="F385" s="209"/>
      <c r="G385" s="209"/>
    </row>
    <row r="386" ht="15.75" customHeight="1">
      <c r="A386" s="209"/>
      <c r="D386" s="209"/>
      <c r="E386" s="209"/>
      <c r="F386" s="209"/>
      <c r="G386" s="209"/>
    </row>
    <row r="387" ht="15.75" customHeight="1">
      <c r="A387" s="209"/>
      <c r="D387" s="209"/>
      <c r="E387" s="209"/>
      <c r="F387" s="209"/>
      <c r="G387" s="209"/>
    </row>
    <row r="388" ht="15.75" customHeight="1">
      <c r="A388" s="209"/>
      <c r="D388" s="209"/>
      <c r="E388" s="209"/>
      <c r="F388" s="209"/>
      <c r="G388" s="209"/>
    </row>
    <row r="389" ht="15.75" customHeight="1">
      <c r="A389" s="209"/>
      <c r="D389" s="209"/>
      <c r="E389" s="209"/>
      <c r="F389" s="209"/>
      <c r="G389" s="209"/>
    </row>
    <row r="390" ht="15.75" customHeight="1">
      <c r="A390" s="209"/>
      <c r="D390" s="209"/>
      <c r="E390" s="209"/>
      <c r="F390" s="209"/>
      <c r="G390" s="209"/>
    </row>
    <row r="391" ht="15.75" customHeight="1">
      <c r="A391" s="209"/>
      <c r="D391" s="209"/>
      <c r="E391" s="209"/>
      <c r="F391" s="209"/>
      <c r="G391" s="209"/>
    </row>
    <row r="392" ht="15.75" customHeight="1">
      <c r="A392" s="209"/>
      <c r="D392" s="209"/>
      <c r="E392" s="209"/>
      <c r="F392" s="209"/>
      <c r="G392" s="209"/>
    </row>
    <row r="393" ht="15.75" customHeight="1">
      <c r="A393" s="209"/>
      <c r="D393" s="209"/>
      <c r="E393" s="209"/>
      <c r="F393" s="209"/>
      <c r="G393" s="209"/>
    </row>
    <row r="394" ht="15.75" customHeight="1">
      <c r="A394" s="209"/>
      <c r="D394" s="209"/>
      <c r="E394" s="209"/>
      <c r="F394" s="209"/>
      <c r="G394" s="209"/>
    </row>
    <row r="395" ht="15.75" customHeight="1">
      <c r="A395" s="209"/>
      <c r="D395" s="209"/>
      <c r="E395" s="209"/>
      <c r="F395" s="209"/>
      <c r="G395" s="209"/>
    </row>
    <row r="396" ht="15.75" customHeight="1">
      <c r="A396" s="209"/>
      <c r="D396" s="209"/>
      <c r="E396" s="209"/>
      <c r="F396" s="209"/>
      <c r="G396" s="209"/>
    </row>
    <row r="397" ht="15.75" customHeight="1">
      <c r="A397" s="209"/>
      <c r="D397" s="209"/>
      <c r="E397" s="209"/>
      <c r="F397" s="209"/>
      <c r="G397" s="209"/>
    </row>
    <row r="398" ht="15.75" customHeight="1">
      <c r="A398" s="209"/>
      <c r="D398" s="209"/>
      <c r="E398" s="209"/>
      <c r="F398" s="209"/>
      <c r="G398" s="209"/>
    </row>
    <row r="399" ht="15.75" customHeight="1">
      <c r="A399" s="209"/>
      <c r="D399" s="209"/>
      <c r="E399" s="209"/>
      <c r="F399" s="209"/>
      <c r="G399" s="209"/>
    </row>
    <row r="400" ht="15.75" customHeight="1">
      <c r="A400" s="209"/>
      <c r="D400" s="209"/>
      <c r="E400" s="209"/>
      <c r="F400" s="209"/>
      <c r="G400" s="209"/>
    </row>
    <row r="401" ht="15.75" customHeight="1">
      <c r="A401" s="209"/>
      <c r="D401" s="209"/>
      <c r="E401" s="209"/>
      <c r="F401" s="209"/>
      <c r="G401" s="209"/>
    </row>
    <row r="402" ht="15.75" customHeight="1">
      <c r="A402" s="209"/>
      <c r="D402" s="209"/>
      <c r="E402" s="209"/>
      <c r="F402" s="209"/>
      <c r="G402" s="209"/>
    </row>
    <row r="403" ht="15.75" customHeight="1">
      <c r="A403" s="209"/>
      <c r="D403" s="209"/>
      <c r="E403" s="209"/>
      <c r="F403" s="209"/>
      <c r="G403" s="209"/>
    </row>
    <row r="404" ht="15.75" customHeight="1">
      <c r="A404" s="209"/>
      <c r="D404" s="209"/>
      <c r="E404" s="209"/>
      <c r="F404" s="209"/>
      <c r="G404" s="209"/>
    </row>
    <row r="405" ht="15.75" customHeight="1">
      <c r="A405" s="209"/>
      <c r="D405" s="209"/>
      <c r="E405" s="209"/>
      <c r="F405" s="209"/>
      <c r="G405" s="209"/>
    </row>
    <row r="406" ht="15.75" customHeight="1">
      <c r="A406" s="209"/>
      <c r="D406" s="209"/>
      <c r="E406" s="209"/>
      <c r="F406" s="209"/>
      <c r="G406" s="209"/>
    </row>
    <row r="407" ht="15.75" customHeight="1">
      <c r="A407" s="209"/>
      <c r="D407" s="209"/>
      <c r="E407" s="209"/>
      <c r="F407" s="209"/>
      <c r="G407" s="209"/>
    </row>
    <row r="408" ht="15.75" customHeight="1">
      <c r="A408" s="209"/>
      <c r="D408" s="209"/>
      <c r="E408" s="209"/>
      <c r="F408" s="209"/>
      <c r="G408" s="209"/>
    </row>
    <row r="409" ht="15.75" customHeight="1">
      <c r="A409" s="209"/>
      <c r="D409" s="209"/>
      <c r="E409" s="209"/>
      <c r="F409" s="209"/>
      <c r="G409" s="209"/>
    </row>
    <row r="410" ht="15.75" customHeight="1">
      <c r="A410" s="209"/>
      <c r="D410" s="209"/>
      <c r="E410" s="209"/>
      <c r="F410" s="209"/>
      <c r="G410" s="209"/>
    </row>
    <row r="411" ht="15.75" customHeight="1">
      <c r="A411" s="209"/>
      <c r="D411" s="209"/>
      <c r="E411" s="209"/>
      <c r="F411" s="209"/>
      <c r="G411" s="209"/>
    </row>
    <row r="412" ht="15.75" customHeight="1">
      <c r="A412" s="209"/>
      <c r="D412" s="209"/>
      <c r="E412" s="209"/>
      <c r="F412" s="209"/>
      <c r="G412" s="209"/>
    </row>
    <row r="413" ht="15.75" customHeight="1">
      <c r="A413" s="209"/>
      <c r="D413" s="209"/>
      <c r="E413" s="209"/>
      <c r="F413" s="209"/>
      <c r="G413" s="209"/>
    </row>
    <row r="414" ht="15.75" customHeight="1">
      <c r="A414" s="209"/>
      <c r="D414" s="209"/>
      <c r="E414" s="209"/>
      <c r="F414" s="209"/>
      <c r="G414" s="209"/>
    </row>
    <row r="415" ht="15.75" customHeight="1">
      <c r="A415" s="209"/>
      <c r="D415" s="209"/>
      <c r="E415" s="209"/>
      <c r="F415" s="209"/>
      <c r="G415" s="209"/>
    </row>
    <row r="416" ht="15.75" customHeight="1">
      <c r="A416" s="209"/>
      <c r="D416" s="209"/>
      <c r="E416" s="209"/>
      <c r="F416" s="209"/>
      <c r="G416" s="209"/>
    </row>
    <row r="417" ht="15.75" customHeight="1">
      <c r="A417" s="209"/>
      <c r="D417" s="209"/>
      <c r="E417" s="209"/>
      <c r="F417" s="209"/>
      <c r="G417" s="209"/>
    </row>
    <row r="418" ht="15.75" customHeight="1">
      <c r="A418" s="209"/>
      <c r="D418" s="209"/>
      <c r="E418" s="209"/>
      <c r="F418" s="209"/>
      <c r="G418" s="209"/>
    </row>
    <row r="419" ht="15.75" customHeight="1">
      <c r="A419" s="209"/>
      <c r="D419" s="209"/>
      <c r="E419" s="209"/>
      <c r="F419" s="209"/>
      <c r="G419" s="209"/>
    </row>
    <row r="420" ht="15.75" customHeight="1">
      <c r="A420" s="209"/>
      <c r="D420" s="209"/>
      <c r="E420" s="209"/>
      <c r="F420" s="209"/>
      <c r="G420" s="209"/>
    </row>
    <row r="421" ht="15.75" customHeight="1">
      <c r="A421" s="209"/>
      <c r="D421" s="209"/>
      <c r="E421" s="209"/>
      <c r="F421" s="209"/>
      <c r="G421" s="209"/>
    </row>
    <row r="422" ht="15.75" customHeight="1">
      <c r="A422" s="209"/>
      <c r="D422" s="209"/>
      <c r="E422" s="209"/>
      <c r="F422" s="209"/>
      <c r="G422" s="209"/>
    </row>
    <row r="423" ht="15.75" customHeight="1">
      <c r="A423" s="209"/>
      <c r="D423" s="209"/>
      <c r="E423" s="209"/>
      <c r="F423" s="209"/>
      <c r="G423" s="209"/>
    </row>
    <row r="424" ht="15.75" customHeight="1">
      <c r="A424" s="209"/>
      <c r="D424" s="209"/>
      <c r="E424" s="209"/>
      <c r="F424" s="209"/>
      <c r="G424" s="209"/>
    </row>
    <row r="425" ht="15.75" customHeight="1">
      <c r="A425" s="209"/>
      <c r="D425" s="209"/>
      <c r="E425" s="209"/>
      <c r="F425" s="209"/>
      <c r="G425" s="209"/>
    </row>
    <row r="426" ht="15.75" customHeight="1">
      <c r="A426" s="209"/>
      <c r="D426" s="209"/>
      <c r="E426" s="209"/>
      <c r="F426" s="209"/>
      <c r="G426" s="209"/>
    </row>
    <row r="427" ht="15.75" customHeight="1">
      <c r="A427" s="209"/>
      <c r="D427" s="209"/>
      <c r="E427" s="209"/>
      <c r="F427" s="209"/>
      <c r="G427" s="209"/>
    </row>
    <row r="428" ht="15.75" customHeight="1">
      <c r="A428" s="209"/>
      <c r="D428" s="209"/>
      <c r="E428" s="209"/>
      <c r="F428" s="209"/>
      <c r="G428" s="209"/>
    </row>
    <row r="429" ht="15.75" customHeight="1">
      <c r="A429" s="209"/>
      <c r="D429" s="209"/>
      <c r="E429" s="209"/>
      <c r="F429" s="209"/>
      <c r="G429" s="209"/>
    </row>
    <row r="430" ht="15.75" customHeight="1">
      <c r="A430" s="209"/>
      <c r="D430" s="209"/>
      <c r="E430" s="209"/>
      <c r="F430" s="209"/>
      <c r="G430" s="209"/>
    </row>
    <row r="431" ht="15.75" customHeight="1">
      <c r="A431" s="209"/>
      <c r="D431" s="209"/>
      <c r="E431" s="209"/>
      <c r="F431" s="209"/>
      <c r="G431" s="209"/>
    </row>
    <row r="432" ht="15.75" customHeight="1">
      <c r="A432" s="209"/>
      <c r="D432" s="209"/>
      <c r="E432" s="209"/>
      <c r="F432" s="209"/>
      <c r="G432" s="209"/>
    </row>
    <row r="433" ht="15.75" customHeight="1">
      <c r="A433" s="209"/>
      <c r="D433" s="209"/>
      <c r="E433" s="209"/>
      <c r="F433" s="209"/>
      <c r="G433" s="209"/>
    </row>
    <row r="434" ht="15.75" customHeight="1">
      <c r="A434" s="209"/>
      <c r="D434" s="209"/>
      <c r="E434" s="209"/>
      <c r="F434" s="209"/>
      <c r="G434" s="209"/>
    </row>
    <row r="435" ht="15.75" customHeight="1">
      <c r="A435" s="209"/>
      <c r="D435" s="209"/>
      <c r="E435" s="209"/>
      <c r="F435" s="209"/>
      <c r="G435" s="209"/>
    </row>
    <row r="436" ht="15.75" customHeight="1">
      <c r="A436" s="209"/>
      <c r="D436" s="209"/>
      <c r="E436" s="209"/>
      <c r="F436" s="209"/>
      <c r="G436" s="209"/>
    </row>
    <row r="437" ht="15.75" customHeight="1">
      <c r="A437" s="209"/>
      <c r="D437" s="209"/>
      <c r="E437" s="209"/>
      <c r="F437" s="209"/>
      <c r="G437" s="209"/>
    </row>
    <row r="438" ht="15.75" customHeight="1">
      <c r="A438" s="209"/>
      <c r="D438" s="209"/>
      <c r="E438" s="209"/>
      <c r="F438" s="209"/>
      <c r="G438" s="209"/>
    </row>
    <row r="439" ht="15.75" customHeight="1">
      <c r="A439" s="209"/>
      <c r="D439" s="209"/>
      <c r="E439" s="209"/>
      <c r="F439" s="209"/>
      <c r="G439" s="209"/>
    </row>
    <row r="440" ht="15.75" customHeight="1">
      <c r="A440" s="209"/>
      <c r="D440" s="209"/>
      <c r="E440" s="209"/>
      <c r="F440" s="209"/>
      <c r="G440" s="209"/>
    </row>
    <row r="441" ht="15.75" customHeight="1">
      <c r="A441" s="209"/>
      <c r="D441" s="209"/>
      <c r="E441" s="209"/>
      <c r="F441" s="209"/>
      <c r="G441" s="209"/>
    </row>
    <row r="442" ht="15.75" customHeight="1">
      <c r="A442" s="209"/>
      <c r="D442" s="209"/>
      <c r="E442" s="209"/>
      <c r="F442" s="209"/>
      <c r="G442" s="209"/>
    </row>
    <row r="443" ht="15.75" customHeight="1">
      <c r="A443" s="209"/>
      <c r="D443" s="209"/>
      <c r="E443" s="209"/>
      <c r="F443" s="209"/>
      <c r="G443" s="209"/>
    </row>
    <row r="444" ht="15.75" customHeight="1">
      <c r="A444" s="209"/>
      <c r="D444" s="209"/>
      <c r="E444" s="209"/>
      <c r="F444" s="209"/>
      <c r="G444" s="209"/>
    </row>
    <row r="445" ht="15.75" customHeight="1">
      <c r="A445" s="209"/>
      <c r="D445" s="209"/>
      <c r="E445" s="209"/>
      <c r="F445" s="209"/>
      <c r="G445" s="209"/>
    </row>
    <row r="446" ht="15.75" customHeight="1">
      <c r="A446" s="209"/>
      <c r="D446" s="209"/>
      <c r="E446" s="209"/>
      <c r="F446" s="209"/>
      <c r="G446" s="209"/>
    </row>
    <row r="447" ht="15.75" customHeight="1">
      <c r="A447" s="209"/>
      <c r="D447" s="209"/>
      <c r="E447" s="209"/>
      <c r="F447" s="209"/>
      <c r="G447" s="209"/>
    </row>
    <row r="448" ht="15.75" customHeight="1">
      <c r="A448" s="209"/>
      <c r="D448" s="209"/>
      <c r="E448" s="209"/>
      <c r="F448" s="209"/>
      <c r="G448" s="209"/>
    </row>
    <row r="449" ht="15.75" customHeight="1">
      <c r="A449" s="209"/>
      <c r="D449" s="209"/>
      <c r="E449" s="209"/>
      <c r="F449" s="209"/>
      <c r="G449" s="209"/>
    </row>
    <row r="450" ht="15.75" customHeight="1">
      <c r="A450" s="209"/>
      <c r="D450" s="209"/>
      <c r="E450" s="209"/>
      <c r="F450" s="209"/>
      <c r="G450" s="209"/>
    </row>
    <row r="451" ht="15.75" customHeight="1">
      <c r="A451" s="209"/>
      <c r="D451" s="209"/>
      <c r="E451" s="209"/>
      <c r="F451" s="209"/>
      <c r="G451" s="209"/>
    </row>
    <row r="452" ht="15.75" customHeight="1">
      <c r="A452" s="209"/>
      <c r="D452" s="209"/>
      <c r="E452" s="209"/>
      <c r="F452" s="209"/>
      <c r="G452" s="209"/>
    </row>
    <row r="453" ht="15.75" customHeight="1">
      <c r="A453" s="209"/>
      <c r="D453" s="209"/>
      <c r="E453" s="209"/>
      <c r="F453" s="209"/>
      <c r="G453" s="209"/>
    </row>
    <row r="454" ht="15.75" customHeight="1">
      <c r="A454" s="209"/>
      <c r="D454" s="209"/>
      <c r="E454" s="209"/>
      <c r="F454" s="209"/>
      <c r="G454" s="209"/>
    </row>
    <row r="455" ht="15.75" customHeight="1">
      <c r="A455" s="209"/>
      <c r="D455" s="209"/>
      <c r="E455" s="209"/>
      <c r="F455" s="209"/>
      <c r="G455" s="209"/>
    </row>
    <row r="456" ht="15.75" customHeight="1">
      <c r="A456" s="209"/>
      <c r="D456" s="209"/>
      <c r="E456" s="209"/>
      <c r="F456" s="209"/>
      <c r="G456" s="209"/>
    </row>
    <row r="457" ht="15.75" customHeight="1">
      <c r="A457" s="209"/>
      <c r="D457" s="209"/>
      <c r="E457" s="209"/>
      <c r="F457" s="209"/>
      <c r="G457" s="209"/>
    </row>
    <row r="458" ht="15.75" customHeight="1">
      <c r="A458" s="209"/>
      <c r="D458" s="209"/>
      <c r="E458" s="209"/>
      <c r="F458" s="209"/>
      <c r="G458" s="209"/>
    </row>
    <row r="459" ht="15.75" customHeight="1">
      <c r="A459" s="209"/>
      <c r="D459" s="209"/>
      <c r="E459" s="209"/>
      <c r="F459" s="209"/>
      <c r="G459" s="209"/>
    </row>
    <row r="460" ht="15.75" customHeight="1">
      <c r="A460" s="209"/>
      <c r="D460" s="209"/>
      <c r="E460" s="209"/>
      <c r="F460" s="209"/>
      <c r="G460" s="209"/>
    </row>
    <row r="461" ht="15.75" customHeight="1">
      <c r="A461" s="209"/>
      <c r="D461" s="209"/>
      <c r="E461" s="209"/>
      <c r="F461" s="209"/>
      <c r="G461" s="209"/>
    </row>
    <row r="462" ht="15.75" customHeight="1">
      <c r="A462" s="209"/>
      <c r="D462" s="209"/>
      <c r="E462" s="209"/>
      <c r="F462" s="209"/>
      <c r="G462" s="209"/>
    </row>
    <row r="463" ht="15.75" customHeight="1">
      <c r="A463" s="209"/>
      <c r="D463" s="209"/>
      <c r="E463" s="209"/>
      <c r="F463" s="209"/>
      <c r="G463" s="209"/>
    </row>
    <row r="464" ht="15.75" customHeight="1">
      <c r="A464" s="209"/>
      <c r="D464" s="209"/>
      <c r="E464" s="209"/>
      <c r="F464" s="209"/>
      <c r="G464" s="209"/>
    </row>
    <row r="465" ht="15.75" customHeight="1">
      <c r="A465" s="209"/>
      <c r="D465" s="209"/>
      <c r="E465" s="209"/>
      <c r="F465" s="209"/>
      <c r="G465" s="209"/>
    </row>
    <row r="466" ht="15.75" customHeight="1">
      <c r="A466" s="209"/>
      <c r="D466" s="209"/>
      <c r="E466" s="209"/>
      <c r="F466" s="209"/>
      <c r="G466" s="209"/>
    </row>
    <row r="467" ht="15.75" customHeight="1">
      <c r="A467" s="209"/>
      <c r="D467" s="209"/>
      <c r="E467" s="209"/>
      <c r="F467" s="209"/>
      <c r="G467" s="209"/>
    </row>
    <row r="468" ht="15.75" customHeight="1">
      <c r="A468" s="209"/>
      <c r="D468" s="209"/>
      <c r="E468" s="209"/>
      <c r="F468" s="209"/>
      <c r="G468" s="209"/>
    </row>
    <row r="469" ht="15.75" customHeight="1">
      <c r="A469" s="209"/>
      <c r="D469" s="209"/>
      <c r="E469" s="209"/>
      <c r="F469" s="209"/>
      <c r="G469" s="209"/>
    </row>
    <row r="470" ht="15.75" customHeight="1">
      <c r="A470" s="209"/>
      <c r="D470" s="209"/>
      <c r="E470" s="209"/>
      <c r="F470" s="209"/>
      <c r="G470" s="209"/>
    </row>
    <row r="471" ht="15.75" customHeight="1">
      <c r="A471" s="209"/>
      <c r="D471" s="209"/>
      <c r="E471" s="209"/>
      <c r="F471" s="209"/>
      <c r="G471" s="209"/>
    </row>
    <row r="472" ht="15.75" customHeight="1">
      <c r="A472" s="209"/>
      <c r="D472" s="209"/>
      <c r="E472" s="209"/>
      <c r="F472" s="209"/>
      <c r="G472" s="209"/>
    </row>
    <row r="473" ht="15.75" customHeight="1">
      <c r="A473" s="209"/>
      <c r="D473" s="209"/>
      <c r="E473" s="209"/>
      <c r="F473" s="209"/>
      <c r="G473" s="209"/>
    </row>
    <row r="474" ht="15.75" customHeight="1">
      <c r="A474" s="209"/>
      <c r="D474" s="209"/>
      <c r="E474" s="209"/>
      <c r="F474" s="209"/>
      <c r="G474" s="209"/>
    </row>
    <row r="475" ht="15.75" customHeight="1">
      <c r="A475" s="209"/>
      <c r="D475" s="209"/>
      <c r="E475" s="209"/>
      <c r="F475" s="209"/>
      <c r="G475" s="209"/>
    </row>
    <row r="476" ht="15.75" customHeight="1">
      <c r="A476" s="209"/>
      <c r="D476" s="209"/>
      <c r="E476" s="209"/>
      <c r="F476" s="209"/>
      <c r="G476" s="209"/>
    </row>
    <row r="477" ht="15.75" customHeight="1">
      <c r="A477" s="209"/>
      <c r="D477" s="209"/>
      <c r="E477" s="209"/>
      <c r="F477" s="209"/>
      <c r="G477" s="209"/>
    </row>
    <row r="478" ht="15.75" customHeight="1">
      <c r="A478" s="209"/>
      <c r="D478" s="209"/>
      <c r="E478" s="209"/>
      <c r="F478" s="209"/>
      <c r="G478" s="209"/>
    </row>
    <row r="479" ht="15.75" customHeight="1">
      <c r="A479" s="209"/>
      <c r="D479" s="209"/>
      <c r="E479" s="209"/>
      <c r="F479" s="209"/>
      <c r="G479" s="209"/>
    </row>
    <row r="480" ht="15.75" customHeight="1">
      <c r="A480" s="209"/>
      <c r="D480" s="209"/>
      <c r="E480" s="209"/>
      <c r="F480" s="209"/>
      <c r="G480" s="209"/>
    </row>
    <row r="481" ht="15.75" customHeight="1">
      <c r="A481" s="209"/>
      <c r="D481" s="209"/>
      <c r="E481" s="209"/>
      <c r="F481" s="209"/>
      <c r="G481" s="209"/>
    </row>
    <row r="482" ht="15.75" customHeight="1">
      <c r="A482" s="209"/>
      <c r="D482" s="209"/>
      <c r="E482" s="209"/>
      <c r="F482" s="209"/>
      <c r="G482" s="209"/>
    </row>
    <row r="483" ht="15.75" customHeight="1">
      <c r="A483" s="209"/>
      <c r="D483" s="209"/>
      <c r="E483" s="209"/>
      <c r="F483" s="209"/>
      <c r="G483" s="209"/>
    </row>
    <row r="484" ht="15.75" customHeight="1">
      <c r="A484" s="209"/>
      <c r="D484" s="209"/>
      <c r="E484" s="209"/>
      <c r="F484" s="209"/>
      <c r="G484" s="209"/>
    </row>
    <row r="485" ht="15.75" customHeight="1">
      <c r="A485" s="209"/>
      <c r="D485" s="209"/>
      <c r="E485" s="209"/>
      <c r="F485" s="209"/>
      <c r="G485" s="209"/>
    </row>
    <row r="486" ht="15.75" customHeight="1">
      <c r="A486" s="209"/>
      <c r="D486" s="209"/>
      <c r="E486" s="209"/>
      <c r="F486" s="209"/>
      <c r="G486" s="209"/>
    </row>
    <row r="487" ht="15.75" customHeight="1">
      <c r="A487" s="209"/>
      <c r="D487" s="209"/>
      <c r="E487" s="209"/>
      <c r="F487" s="209"/>
      <c r="G487" s="209"/>
    </row>
    <row r="488" ht="15.75" customHeight="1">
      <c r="A488" s="209"/>
      <c r="D488" s="209"/>
      <c r="E488" s="209"/>
      <c r="F488" s="209"/>
      <c r="G488" s="209"/>
    </row>
    <row r="489" ht="15.75" customHeight="1">
      <c r="A489" s="209"/>
      <c r="D489" s="209"/>
      <c r="E489" s="209"/>
      <c r="F489" s="209"/>
      <c r="G489" s="209"/>
    </row>
    <row r="490" ht="15.75" customHeight="1">
      <c r="A490" s="209"/>
      <c r="D490" s="209"/>
      <c r="E490" s="209"/>
      <c r="F490" s="209"/>
      <c r="G490" s="209"/>
    </row>
    <row r="491" ht="15.75" customHeight="1">
      <c r="A491" s="209"/>
      <c r="D491" s="209"/>
      <c r="E491" s="209"/>
      <c r="F491" s="209"/>
      <c r="G491" s="209"/>
    </row>
    <row r="492" ht="15.75" customHeight="1">
      <c r="A492" s="209"/>
      <c r="D492" s="209"/>
      <c r="E492" s="209"/>
      <c r="F492" s="209"/>
      <c r="G492" s="209"/>
    </row>
    <row r="493" ht="15.75" customHeight="1">
      <c r="A493" s="209"/>
      <c r="D493" s="209"/>
      <c r="E493" s="209"/>
      <c r="F493" s="209"/>
      <c r="G493" s="209"/>
    </row>
    <row r="494" ht="15.75" customHeight="1">
      <c r="A494" s="209"/>
      <c r="D494" s="209"/>
      <c r="E494" s="209"/>
      <c r="F494" s="209"/>
      <c r="G494" s="209"/>
    </row>
    <row r="495" ht="15.75" customHeight="1">
      <c r="A495" s="209"/>
      <c r="D495" s="209"/>
      <c r="E495" s="209"/>
      <c r="F495" s="209"/>
      <c r="G495" s="209"/>
    </row>
    <row r="496" ht="15.75" customHeight="1">
      <c r="A496" s="209"/>
      <c r="D496" s="209"/>
      <c r="E496" s="209"/>
      <c r="F496" s="209"/>
      <c r="G496" s="209"/>
    </row>
    <row r="497" ht="15.75" customHeight="1">
      <c r="A497" s="209"/>
      <c r="D497" s="209"/>
      <c r="E497" s="209"/>
      <c r="F497" s="209"/>
      <c r="G497" s="209"/>
    </row>
    <row r="498" ht="15.75" customHeight="1">
      <c r="A498" s="209"/>
      <c r="D498" s="209"/>
      <c r="E498" s="209"/>
      <c r="F498" s="209"/>
      <c r="G498" s="209"/>
    </row>
    <row r="499" ht="15.75" customHeight="1">
      <c r="A499" s="209"/>
      <c r="D499" s="209"/>
      <c r="E499" s="209"/>
      <c r="F499" s="209"/>
      <c r="G499" s="209"/>
    </row>
    <row r="500" ht="15.75" customHeight="1">
      <c r="A500" s="209"/>
      <c r="D500" s="209"/>
      <c r="E500" s="209"/>
      <c r="F500" s="209"/>
      <c r="G500" s="209"/>
    </row>
    <row r="501" ht="15.75" customHeight="1">
      <c r="A501" s="209"/>
      <c r="D501" s="209"/>
      <c r="E501" s="209"/>
      <c r="F501" s="209"/>
      <c r="G501" s="209"/>
    </row>
    <row r="502" ht="15.75" customHeight="1">
      <c r="A502" s="209"/>
      <c r="D502" s="209"/>
      <c r="E502" s="209"/>
      <c r="F502" s="209"/>
      <c r="G502" s="209"/>
    </row>
    <row r="503" ht="15.75" customHeight="1">
      <c r="A503" s="209"/>
      <c r="D503" s="209"/>
      <c r="E503" s="209"/>
      <c r="F503" s="209"/>
      <c r="G503" s="209"/>
    </row>
    <row r="504" ht="15.75" customHeight="1">
      <c r="A504" s="209"/>
      <c r="D504" s="209"/>
      <c r="E504" s="209"/>
      <c r="F504" s="209"/>
      <c r="G504" s="209"/>
    </row>
    <row r="505" ht="15.75" customHeight="1">
      <c r="A505" s="209"/>
      <c r="D505" s="209"/>
      <c r="E505" s="209"/>
      <c r="F505" s="209"/>
      <c r="G505" s="209"/>
    </row>
    <row r="506" ht="15.75" customHeight="1">
      <c r="A506" s="209"/>
      <c r="D506" s="209"/>
      <c r="E506" s="209"/>
      <c r="F506" s="209"/>
      <c r="G506" s="209"/>
    </row>
    <row r="507" ht="15.75" customHeight="1">
      <c r="A507" s="209"/>
      <c r="D507" s="209"/>
      <c r="E507" s="209"/>
      <c r="F507" s="209"/>
      <c r="G507" s="209"/>
    </row>
    <row r="508" ht="15.75" customHeight="1">
      <c r="A508" s="209"/>
      <c r="D508" s="209"/>
      <c r="E508" s="209"/>
      <c r="F508" s="209"/>
      <c r="G508" s="209"/>
    </row>
    <row r="509" ht="15.75" customHeight="1">
      <c r="A509" s="209"/>
      <c r="D509" s="209"/>
      <c r="E509" s="209"/>
      <c r="F509" s="209"/>
      <c r="G509" s="209"/>
    </row>
    <row r="510" ht="15.75" customHeight="1">
      <c r="A510" s="209"/>
      <c r="D510" s="209"/>
      <c r="E510" s="209"/>
      <c r="F510" s="209"/>
      <c r="G510" s="209"/>
    </row>
    <row r="511" ht="15.75" customHeight="1">
      <c r="A511" s="209"/>
      <c r="D511" s="209"/>
      <c r="E511" s="209"/>
      <c r="F511" s="209"/>
      <c r="G511" s="209"/>
    </row>
    <row r="512" ht="15.75" customHeight="1">
      <c r="A512" s="209"/>
      <c r="D512" s="209"/>
      <c r="E512" s="209"/>
      <c r="F512" s="209"/>
      <c r="G512" s="209"/>
    </row>
    <row r="513" ht="15.75" customHeight="1">
      <c r="A513" s="209"/>
      <c r="D513" s="209"/>
      <c r="E513" s="209"/>
      <c r="F513" s="209"/>
      <c r="G513" s="209"/>
    </row>
    <row r="514" ht="15.75" customHeight="1">
      <c r="A514" s="209"/>
      <c r="D514" s="209"/>
      <c r="E514" s="209"/>
      <c r="F514" s="209"/>
      <c r="G514" s="209"/>
    </row>
    <row r="515" ht="15.75" customHeight="1">
      <c r="A515" s="209"/>
      <c r="D515" s="209"/>
      <c r="E515" s="209"/>
      <c r="F515" s="209"/>
      <c r="G515" s="209"/>
    </row>
    <row r="516" ht="15.75" customHeight="1">
      <c r="A516" s="209"/>
      <c r="D516" s="209"/>
      <c r="E516" s="209"/>
      <c r="F516" s="209"/>
      <c r="G516" s="209"/>
    </row>
    <row r="517" ht="15.75" customHeight="1">
      <c r="A517" s="209"/>
      <c r="D517" s="209"/>
      <c r="E517" s="209"/>
      <c r="F517" s="209"/>
      <c r="G517" s="209"/>
    </row>
    <row r="518" ht="15.75" customHeight="1">
      <c r="A518" s="209"/>
      <c r="D518" s="209"/>
      <c r="E518" s="209"/>
      <c r="F518" s="209"/>
      <c r="G518" s="209"/>
    </row>
    <row r="519" ht="15.75" customHeight="1">
      <c r="A519" s="209"/>
      <c r="D519" s="209"/>
      <c r="E519" s="209"/>
      <c r="F519" s="209"/>
      <c r="G519" s="209"/>
    </row>
    <row r="520" ht="15.75" customHeight="1">
      <c r="A520" s="209"/>
      <c r="D520" s="209"/>
      <c r="E520" s="209"/>
      <c r="F520" s="209"/>
      <c r="G520" s="209"/>
    </row>
    <row r="521" ht="15.75" customHeight="1">
      <c r="A521" s="209"/>
      <c r="D521" s="209"/>
      <c r="E521" s="209"/>
      <c r="F521" s="209"/>
      <c r="G521" s="209"/>
    </row>
    <row r="522" ht="15.75" customHeight="1">
      <c r="A522" s="209"/>
      <c r="D522" s="209"/>
      <c r="E522" s="209"/>
      <c r="F522" s="209"/>
      <c r="G522" s="209"/>
    </row>
    <row r="523" ht="15.75" customHeight="1">
      <c r="A523" s="209"/>
      <c r="D523" s="209"/>
      <c r="E523" s="209"/>
      <c r="F523" s="209"/>
      <c r="G523" s="209"/>
    </row>
    <row r="524" ht="15.75" customHeight="1">
      <c r="A524" s="209"/>
      <c r="D524" s="209"/>
      <c r="E524" s="209"/>
      <c r="F524" s="209"/>
      <c r="G524" s="209"/>
    </row>
    <row r="525" ht="15.75" customHeight="1">
      <c r="A525" s="209"/>
      <c r="D525" s="209"/>
      <c r="E525" s="209"/>
      <c r="F525" s="209"/>
      <c r="G525" s="209"/>
    </row>
    <row r="526" ht="15.75" customHeight="1">
      <c r="A526" s="209"/>
      <c r="D526" s="209"/>
      <c r="E526" s="209"/>
      <c r="F526" s="209"/>
      <c r="G526" s="209"/>
    </row>
    <row r="527" ht="15.75" customHeight="1">
      <c r="A527" s="209"/>
      <c r="D527" s="209"/>
      <c r="E527" s="209"/>
      <c r="F527" s="209"/>
      <c r="G527" s="209"/>
    </row>
    <row r="528" ht="15.75" customHeight="1">
      <c r="A528" s="209"/>
      <c r="D528" s="209"/>
      <c r="E528" s="209"/>
      <c r="F528" s="209"/>
      <c r="G528" s="209"/>
    </row>
    <row r="529" ht="15.75" customHeight="1">
      <c r="A529" s="209"/>
      <c r="D529" s="209"/>
      <c r="E529" s="209"/>
      <c r="F529" s="209"/>
      <c r="G529" s="209"/>
    </row>
    <row r="530" ht="15.75" customHeight="1">
      <c r="A530" s="209"/>
      <c r="D530" s="209"/>
      <c r="E530" s="209"/>
      <c r="F530" s="209"/>
      <c r="G530" s="209"/>
    </row>
    <row r="531" ht="15.75" customHeight="1">
      <c r="A531" s="209"/>
      <c r="D531" s="209"/>
      <c r="E531" s="209"/>
      <c r="F531" s="209"/>
      <c r="G531" s="209"/>
    </row>
    <row r="532" ht="15.75" customHeight="1">
      <c r="A532" s="209"/>
      <c r="D532" s="209"/>
      <c r="E532" s="209"/>
      <c r="F532" s="209"/>
      <c r="G532" s="209"/>
    </row>
    <row r="533" ht="15.75" customHeight="1">
      <c r="A533" s="209"/>
      <c r="D533" s="209"/>
      <c r="E533" s="209"/>
      <c r="F533" s="209"/>
      <c r="G533" s="209"/>
    </row>
    <row r="534" ht="15.75" customHeight="1">
      <c r="A534" s="209"/>
      <c r="D534" s="209"/>
      <c r="E534" s="209"/>
      <c r="F534" s="209"/>
      <c r="G534" s="209"/>
    </row>
    <row r="535" ht="15.75" customHeight="1">
      <c r="A535" s="209"/>
      <c r="D535" s="209"/>
      <c r="E535" s="209"/>
      <c r="F535" s="209"/>
      <c r="G535" s="209"/>
    </row>
    <row r="536" ht="15.75" customHeight="1">
      <c r="A536" s="209"/>
      <c r="D536" s="209"/>
      <c r="E536" s="209"/>
      <c r="F536" s="209"/>
      <c r="G536" s="209"/>
    </row>
    <row r="537" ht="15.75" customHeight="1">
      <c r="A537" s="209"/>
      <c r="D537" s="209"/>
      <c r="E537" s="209"/>
      <c r="F537" s="209"/>
      <c r="G537" s="209"/>
    </row>
    <row r="538" ht="15.75" customHeight="1">
      <c r="A538" s="209"/>
      <c r="D538" s="209"/>
      <c r="E538" s="209"/>
      <c r="F538" s="209"/>
      <c r="G538" s="209"/>
    </row>
    <row r="539" ht="15.75" customHeight="1">
      <c r="A539" s="209"/>
      <c r="D539" s="209"/>
      <c r="E539" s="209"/>
      <c r="F539" s="209"/>
      <c r="G539" s="209"/>
    </row>
    <row r="540" ht="15.75" customHeight="1">
      <c r="A540" s="209"/>
      <c r="D540" s="209"/>
      <c r="E540" s="209"/>
      <c r="F540" s="209"/>
      <c r="G540" s="209"/>
    </row>
    <row r="541" ht="15.75" customHeight="1">
      <c r="A541" s="209"/>
      <c r="D541" s="209"/>
      <c r="E541" s="209"/>
      <c r="F541" s="209"/>
      <c r="G541" s="209"/>
    </row>
    <row r="542" ht="15.75" customHeight="1">
      <c r="A542" s="209"/>
      <c r="D542" s="209"/>
      <c r="E542" s="209"/>
      <c r="F542" s="209"/>
      <c r="G542" s="209"/>
    </row>
    <row r="543" ht="15.75" customHeight="1">
      <c r="A543" s="209"/>
      <c r="D543" s="209"/>
      <c r="E543" s="209"/>
      <c r="F543" s="209"/>
      <c r="G543" s="209"/>
    </row>
    <row r="544" ht="15.75" customHeight="1">
      <c r="A544" s="209"/>
      <c r="D544" s="209"/>
      <c r="E544" s="209"/>
      <c r="F544" s="209"/>
      <c r="G544" s="209"/>
    </row>
    <row r="545" ht="15.75" customHeight="1">
      <c r="A545" s="209"/>
      <c r="D545" s="209"/>
      <c r="E545" s="209"/>
      <c r="F545" s="209"/>
      <c r="G545" s="209"/>
    </row>
    <row r="546" ht="15.75" customHeight="1">
      <c r="A546" s="209"/>
      <c r="D546" s="209"/>
      <c r="E546" s="209"/>
      <c r="F546" s="209"/>
      <c r="G546" s="209"/>
    </row>
    <row r="547" ht="15.75" customHeight="1">
      <c r="A547" s="209"/>
      <c r="D547" s="209"/>
      <c r="E547" s="209"/>
      <c r="F547" s="209"/>
      <c r="G547" s="209"/>
    </row>
    <row r="548" ht="15.75" customHeight="1">
      <c r="A548" s="209"/>
      <c r="D548" s="209"/>
      <c r="E548" s="209"/>
      <c r="F548" s="209"/>
      <c r="G548" s="209"/>
    </row>
    <row r="549" ht="15.75" customHeight="1">
      <c r="A549" s="209"/>
      <c r="D549" s="209"/>
      <c r="E549" s="209"/>
      <c r="F549" s="209"/>
      <c r="G549" s="209"/>
    </row>
    <row r="550" ht="15.75" customHeight="1">
      <c r="A550" s="209"/>
      <c r="D550" s="209"/>
      <c r="E550" s="209"/>
      <c r="F550" s="209"/>
      <c r="G550" s="209"/>
    </row>
    <row r="551" ht="15.75" customHeight="1">
      <c r="A551" s="209"/>
      <c r="D551" s="209"/>
      <c r="E551" s="209"/>
      <c r="F551" s="209"/>
      <c r="G551" s="209"/>
    </row>
    <row r="552" ht="15.75" customHeight="1">
      <c r="A552" s="209"/>
      <c r="D552" s="209"/>
      <c r="E552" s="209"/>
      <c r="F552" s="209"/>
      <c r="G552" s="209"/>
    </row>
    <row r="553" ht="15.75" customHeight="1">
      <c r="A553" s="209"/>
      <c r="D553" s="209"/>
      <c r="E553" s="209"/>
      <c r="F553" s="209"/>
      <c r="G553" s="209"/>
    </row>
    <row r="554" ht="15.75" customHeight="1">
      <c r="A554" s="209"/>
      <c r="D554" s="209"/>
      <c r="E554" s="209"/>
      <c r="F554" s="209"/>
      <c r="G554" s="209"/>
    </row>
    <row r="555" ht="15.75" customHeight="1">
      <c r="A555" s="209"/>
      <c r="D555" s="209"/>
      <c r="E555" s="209"/>
      <c r="F555" s="209"/>
      <c r="G555" s="209"/>
    </row>
    <row r="556" ht="15.75" customHeight="1">
      <c r="A556" s="209"/>
      <c r="D556" s="209"/>
      <c r="E556" s="209"/>
      <c r="F556" s="209"/>
      <c r="G556" s="209"/>
    </row>
    <row r="557" ht="15.75" customHeight="1">
      <c r="A557" s="209"/>
      <c r="D557" s="209"/>
      <c r="E557" s="209"/>
      <c r="F557" s="209"/>
      <c r="G557" s="209"/>
    </row>
    <row r="558" ht="15.75" customHeight="1">
      <c r="A558" s="209"/>
      <c r="D558" s="209"/>
      <c r="E558" s="209"/>
      <c r="F558" s="209"/>
      <c r="G558" s="209"/>
    </row>
    <row r="559" ht="15.75" customHeight="1">
      <c r="A559" s="209"/>
      <c r="D559" s="209"/>
      <c r="E559" s="209"/>
      <c r="F559" s="209"/>
      <c r="G559" s="209"/>
    </row>
    <row r="560" ht="15.75" customHeight="1">
      <c r="A560" s="209"/>
      <c r="D560" s="209"/>
      <c r="E560" s="209"/>
      <c r="F560" s="209"/>
      <c r="G560" s="209"/>
    </row>
    <row r="561" ht="15.75" customHeight="1">
      <c r="A561" s="209"/>
      <c r="D561" s="209"/>
      <c r="E561" s="209"/>
      <c r="F561" s="209"/>
      <c r="G561" s="209"/>
    </row>
    <row r="562" ht="15.75" customHeight="1">
      <c r="A562" s="209"/>
      <c r="D562" s="209"/>
      <c r="E562" s="209"/>
      <c r="F562" s="209"/>
      <c r="G562" s="209"/>
    </row>
    <row r="563" ht="15.75" customHeight="1">
      <c r="A563" s="209"/>
      <c r="D563" s="209"/>
      <c r="E563" s="209"/>
      <c r="F563" s="209"/>
      <c r="G563" s="209"/>
    </row>
    <row r="564" ht="15.75" customHeight="1">
      <c r="A564" s="209"/>
      <c r="D564" s="209"/>
      <c r="E564" s="209"/>
      <c r="F564" s="209"/>
      <c r="G564" s="209"/>
    </row>
    <row r="565" ht="15.75" customHeight="1">
      <c r="A565" s="209"/>
      <c r="D565" s="209"/>
      <c r="E565" s="209"/>
      <c r="F565" s="209"/>
      <c r="G565" s="209"/>
    </row>
    <row r="566" ht="15.75" customHeight="1">
      <c r="A566" s="209"/>
      <c r="D566" s="209"/>
      <c r="E566" s="209"/>
      <c r="F566" s="209"/>
      <c r="G566" s="209"/>
    </row>
    <row r="567" ht="15.75" customHeight="1">
      <c r="A567" s="209"/>
      <c r="D567" s="209"/>
      <c r="E567" s="209"/>
      <c r="F567" s="209"/>
      <c r="G567" s="209"/>
    </row>
    <row r="568" ht="15.75" customHeight="1">
      <c r="A568" s="209"/>
      <c r="D568" s="209"/>
      <c r="E568" s="209"/>
      <c r="F568" s="209"/>
      <c r="G568" s="209"/>
    </row>
    <row r="569" ht="15.75" customHeight="1">
      <c r="A569" s="209"/>
      <c r="D569" s="209"/>
      <c r="E569" s="209"/>
      <c r="F569" s="209"/>
      <c r="G569" s="209"/>
    </row>
    <row r="570" ht="15.75" customHeight="1">
      <c r="A570" s="209"/>
      <c r="D570" s="209"/>
      <c r="E570" s="209"/>
      <c r="F570" s="209"/>
      <c r="G570" s="209"/>
    </row>
    <row r="571" ht="15.75" customHeight="1">
      <c r="A571" s="209"/>
      <c r="D571" s="209"/>
      <c r="E571" s="209"/>
      <c r="F571" s="209"/>
      <c r="G571" s="209"/>
    </row>
    <row r="572" ht="15.75" customHeight="1">
      <c r="A572" s="209"/>
      <c r="D572" s="209"/>
      <c r="E572" s="209"/>
      <c r="F572" s="209"/>
      <c r="G572" s="209"/>
    </row>
    <row r="573" ht="15.75" customHeight="1">
      <c r="A573" s="209"/>
      <c r="D573" s="209"/>
      <c r="E573" s="209"/>
      <c r="F573" s="209"/>
      <c r="G573" s="209"/>
    </row>
    <row r="574" ht="15.75" customHeight="1">
      <c r="A574" s="209"/>
      <c r="D574" s="209"/>
      <c r="E574" s="209"/>
      <c r="F574" s="209"/>
      <c r="G574" s="209"/>
    </row>
    <row r="575" ht="15.75" customHeight="1">
      <c r="A575" s="209"/>
      <c r="D575" s="209"/>
      <c r="E575" s="209"/>
      <c r="F575" s="209"/>
      <c r="G575" s="209"/>
    </row>
    <row r="576" ht="15.75" customHeight="1">
      <c r="A576" s="209"/>
      <c r="D576" s="209"/>
      <c r="E576" s="209"/>
      <c r="F576" s="209"/>
      <c r="G576" s="209"/>
    </row>
    <row r="577" ht="15.75" customHeight="1">
      <c r="A577" s="209"/>
      <c r="D577" s="209"/>
      <c r="E577" s="209"/>
      <c r="F577" s="209"/>
      <c r="G577" s="209"/>
    </row>
    <row r="578" ht="15.75" customHeight="1">
      <c r="A578" s="209"/>
      <c r="D578" s="209"/>
      <c r="E578" s="209"/>
      <c r="F578" s="209"/>
      <c r="G578" s="209"/>
    </row>
    <row r="579" ht="15.75" customHeight="1">
      <c r="A579" s="209"/>
      <c r="D579" s="209"/>
      <c r="E579" s="209"/>
      <c r="F579" s="209"/>
      <c r="G579" s="209"/>
    </row>
    <row r="580" ht="15.75" customHeight="1">
      <c r="A580" s="209"/>
      <c r="D580" s="209"/>
      <c r="E580" s="209"/>
      <c r="F580" s="209"/>
      <c r="G580" s="209"/>
    </row>
    <row r="581" ht="15.75" customHeight="1">
      <c r="A581" s="209"/>
      <c r="D581" s="209"/>
      <c r="E581" s="209"/>
      <c r="F581" s="209"/>
      <c r="G581" s="209"/>
    </row>
    <row r="582" ht="15.75" customHeight="1">
      <c r="A582" s="209"/>
      <c r="D582" s="209"/>
      <c r="E582" s="209"/>
      <c r="F582" s="209"/>
      <c r="G582" s="209"/>
    </row>
    <row r="583" ht="15.75" customHeight="1">
      <c r="A583" s="209"/>
      <c r="D583" s="209"/>
      <c r="E583" s="209"/>
      <c r="F583" s="209"/>
      <c r="G583" s="209"/>
    </row>
    <row r="584" ht="15.75" customHeight="1">
      <c r="A584" s="209"/>
      <c r="D584" s="209"/>
      <c r="E584" s="209"/>
      <c r="F584" s="209"/>
      <c r="G584" s="209"/>
    </row>
    <row r="585" ht="15.75" customHeight="1">
      <c r="A585" s="209"/>
      <c r="D585" s="209"/>
      <c r="E585" s="209"/>
      <c r="F585" s="209"/>
      <c r="G585" s="209"/>
    </row>
    <row r="586" ht="15.75" customHeight="1">
      <c r="A586" s="209"/>
      <c r="D586" s="209"/>
      <c r="E586" s="209"/>
      <c r="F586" s="209"/>
      <c r="G586" s="209"/>
    </row>
    <row r="587" ht="15.75" customHeight="1">
      <c r="A587" s="209"/>
      <c r="D587" s="209"/>
      <c r="E587" s="209"/>
      <c r="F587" s="209"/>
      <c r="G587" s="209"/>
    </row>
    <row r="588" ht="15.75" customHeight="1">
      <c r="A588" s="209"/>
      <c r="D588" s="209"/>
      <c r="E588" s="209"/>
      <c r="F588" s="209"/>
      <c r="G588" s="209"/>
    </row>
    <row r="589" ht="15.75" customHeight="1">
      <c r="A589" s="209"/>
      <c r="D589" s="209"/>
      <c r="E589" s="209"/>
      <c r="F589" s="209"/>
      <c r="G589" s="209"/>
    </row>
    <row r="590" ht="15.75" customHeight="1">
      <c r="A590" s="209"/>
      <c r="D590" s="209"/>
      <c r="E590" s="209"/>
      <c r="F590" s="209"/>
      <c r="G590" s="209"/>
    </row>
    <row r="591" ht="15.75" customHeight="1">
      <c r="A591" s="209"/>
      <c r="D591" s="209"/>
      <c r="E591" s="209"/>
      <c r="F591" s="209"/>
      <c r="G591" s="209"/>
    </row>
    <row r="592" ht="15.75" customHeight="1">
      <c r="A592" s="209"/>
      <c r="D592" s="209"/>
      <c r="E592" s="209"/>
      <c r="F592" s="209"/>
      <c r="G592" s="209"/>
    </row>
    <row r="593" ht="15.75" customHeight="1">
      <c r="A593" s="209"/>
      <c r="D593" s="209"/>
      <c r="E593" s="209"/>
      <c r="F593" s="209"/>
      <c r="G593" s="209"/>
    </row>
    <row r="594" ht="15.75" customHeight="1">
      <c r="A594" s="209"/>
      <c r="D594" s="209"/>
      <c r="E594" s="209"/>
      <c r="F594" s="209"/>
      <c r="G594" s="209"/>
    </row>
    <row r="595" ht="15.75" customHeight="1">
      <c r="A595" s="209"/>
      <c r="D595" s="209"/>
      <c r="E595" s="209"/>
      <c r="F595" s="209"/>
      <c r="G595" s="209"/>
    </row>
    <row r="596" ht="15.75" customHeight="1">
      <c r="A596" s="209"/>
      <c r="D596" s="209"/>
      <c r="E596" s="209"/>
      <c r="F596" s="209"/>
      <c r="G596" s="209"/>
    </row>
    <row r="597" ht="15.75" customHeight="1">
      <c r="A597" s="209"/>
      <c r="D597" s="209"/>
      <c r="E597" s="209"/>
      <c r="F597" s="209"/>
      <c r="G597" s="209"/>
    </row>
    <row r="598" ht="15.75" customHeight="1">
      <c r="A598" s="209"/>
      <c r="D598" s="209"/>
      <c r="E598" s="209"/>
      <c r="F598" s="209"/>
      <c r="G598" s="209"/>
    </row>
    <row r="599" ht="15.75" customHeight="1">
      <c r="A599" s="209"/>
      <c r="D599" s="209"/>
      <c r="E599" s="209"/>
      <c r="F599" s="209"/>
      <c r="G599" s="209"/>
    </row>
    <row r="600" ht="15.75" customHeight="1">
      <c r="A600" s="209"/>
      <c r="D600" s="209"/>
      <c r="E600" s="209"/>
      <c r="F600" s="209"/>
      <c r="G600" s="209"/>
    </row>
    <row r="601" ht="15.75" customHeight="1">
      <c r="A601" s="209"/>
      <c r="D601" s="209"/>
      <c r="E601" s="209"/>
      <c r="F601" s="209"/>
      <c r="G601" s="209"/>
    </row>
    <row r="602" ht="15.75" customHeight="1">
      <c r="A602" s="209"/>
      <c r="D602" s="209"/>
      <c r="E602" s="209"/>
      <c r="F602" s="209"/>
      <c r="G602" s="209"/>
    </row>
    <row r="603" ht="15.75" customHeight="1">
      <c r="A603" s="209"/>
      <c r="D603" s="209"/>
      <c r="E603" s="209"/>
      <c r="F603" s="209"/>
      <c r="G603" s="209"/>
    </row>
    <row r="604" ht="15.75" customHeight="1">
      <c r="A604" s="209"/>
      <c r="D604" s="209"/>
      <c r="E604" s="209"/>
      <c r="F604" s="209"/>
      <c r="G604" s="209"/>
    </row>
    <row r="605" ht="15.75" customHeight="1">
      <c r="A605" s="209"/>
      <c r="D605" s="209"/>
      <c r="E605" s="209"/>
      <c r="F605" s="209"/>
      <c r="G605" s="209"/>
    </row>
    <row r="606" ht="15.75" customHeight="1">
      <c r="A606" s="209"/>
      <c r="D606" s="209"/>
      <c r="E606" s="209"/>
      <c r="F606" s="209"/>
      <c r="G606" s="209"/>
    </row>
    <row r="607" ht="15.75" customHeight="1">
      <c r="A607" s="209"/>
      <c r="D607" s="209"/>
      <c r="E607" s="209"/>
      <c r="F607" s="209"/>
      <c r="G607" s="209"/>
    </row>
    <row r="608" ht="15.75" customHeight="1">
      <c r="A608" s="209"/>
      <c r="D608" s="209"/>
      <c r="E608" s="209"/>
      <c r="F608" s="209"/>
      <c r="G608" s="209"/>
    </row>
    <row r="609" ht="15.75" customHeight="1">
      <c r="A609" s="209"/>
      <c r="D609" s="209"/>
      <c r="E609" s="209"/>
      <c r="F609" s="209"/>
      <c r="G609" s="209"/>
    </row>
    <row r="610" ht="15.75" customHeight="1">
      <c r="A610" s="209"/>
      <c r="D610" s="209"/>
      <c r="E610" s="209"/>
      <c r="F610" s="209"/>
      <c r="G610" s="209"/>
    </row>
    <row r="611" ht="15.75" customHeight="1">
      <c r="A611" s="209"/>
      <c r="D611" s="209"/>
      <c r="E611" s="209"/>
      <c r="F611" s="209"/>
      <c r="G611" s="209"/>
    </row>
    <row r="612" ht="15.75" customHeight="1">
      <c r="A612" s="209"/>
      <c r="D612" s="209"/>
      <c r="E612" s="209"/>
      <c r="F612" s="209"/>
      <c r="G612" s="209"/>
    </row>
    <row r="613" ht="15.75" customHeight="1">
      <c r="A613" s="209"/>
      <c r="D613" s="209"/>
      <c r="E613" s="209"/>
      <c r="F613" s="209"/>
      <c r="G613" s="209"/>
    </row>
    <row r="614" ht="15.75" customHeight="1">
      <c r="A614" s="209"/>
      <c r="D614" s="209"/>
      <c r="E614" s="209"/>
      <c r="F614" s="209"/>
      <c r="G614" s="209"/>
    </row>
    <row r="615" ht="15.75" customHeight="1">
      <c r="A615" s="209"/>
      <c r="D615" s="209"/>
      <c r="E615" s="209"/>
      <c r="F615" s="209"/>
      <c r="G615" s="209"/>
    </row>
    <row r="616" ht="15.75" customHeight="1">
      <c r="A616" s="209"/>
      <c r="D616" s="209"/>
      <c r="E616" s="209"/>
      <c r="F616" s="209"/>
      <c r="G616" s="209"/>
    </row>
    <row r="617" ht="15.75" customHeight="1">
      <c r="A617" s="209"/>
      <c r="D617" s="209"/>
      <c r="E617" s="209"/>
      <c r="F617" s="209"/>
      <c r="G617" s="209"/>
    </row>
    <row r="618" ht="15.75" customHeight="1">
      <c r="A618" s="209"/>
      <c r="D618" s="209"/>
      <c r="E618" s="209"/>
      <c r="F618" s="209"/>
      <c r="G618" s="209"/>
    </row>
    <row r="619" ht="15.75" customHeight="1">
      <c r="A619" s="209"/>
      <c r="D619" s="209"/>
      <c r="E619" s="209"/>
      <c r="F619" s="209"/>
      <c r="G619" s="209"/>
    </row>
    <row r="620" ht="15.75" customHeight="1">
      <c r="A620" s="209"/>
      <c r="D620" s="209"/>
      <c r="E620" s="209"/>
      <c r="F620" s="209"/>
      <c r="G620" s="209"/>
    </row>
    <row r="621" ht="15.75" customHeight="1">
      <c r="A621" s="209"/>
      <c r="D621" s="209"/>
      <c r="E621" s="209"/>
      <c r="F621" s="209"/>
      <c r="G621" s="209"/>
    </row>
    <row r="622" ht="15.75" customHeight="1">
      <c r="A622" s="209"/>
      <c r="D622" s="209"/>
      <c r="E622" s="209"/>
      <c r="F622" s="209"/>
      <c r="G622" s="209"/>
    </row>
    <row r="623" ht="15.75" customHeight="1">
      <c r="A623" s="209"/>
      <c r="D623" s="209"/>
      <c r="E623" s="209"/>
      <c r="F623" s="209"/>
      <c r="G623" s="209"/>
    </row>
    <row r="624" ht="15.75" customHeight="1">
      <c r="A624" s="209"/>
      <c r="D624" s="209"/>
      <c r="E624" s="209"/>
      <c r="F624" s="209"/>
      <c r="G624" s="209"/>
    </row>
    <row r="625" ht="15.75" customHeight="1">
      <c r="A625" s="209"/>
      <c r="D625" s="209"/>
      <c r="E625" s="209"/>
      <c r="F625" s="209"/>
      <c r="G625" s="209"/>
    </row>
    <row r="626" ht="15.75" customHeight="1">
      <c r="A626" s="209"/>
      <c r="D626" s="209"/>
      <c r="E626" s="209"/>
      <c r="F626" s="209"/>
      <c r="G626" s="209"/>
    </row>
    <row r="627" ht="15.75" customHeight="1">
      <c r="A627" s="209"/>
      <c r="D627" s="209"/>
      <c r="E627" s="209"/>
      <c r="F627" s="209"/>
      <c r="G627" s="209"/>
    </row>
    <row r="628" ht="15.75" customHeight="1">
      <c r="A628" s="209"/>
      <c r="D628" s="209"/>
      <c r="E628" s="209"/>
      <c r="F628" s="209"/>
      <c r="G628" s="209"/>
    </row>
    <row r="629" ht="15.75" customHeight="1">
      <c r="A629" s="209"/>
      <c r="D629" s="209"/>
      <c r="E629" s="209"/>
      <c r="F629" s="209"/>
      <c r="G629" s="209"/>
    </row>
    <row r="630" ht="15.75" customHeight="1">
      <c r="A630" s="209"/>
      <c r="D630" s="209"/>
      <c r="E630" s="209"/>
      <c r="F630" s="209"/>
      <c r="G630" s="209"/>
    </row>
    <row r="631" ht="15.75" customHeight="1">
      <c r="A631" s="209"/>
      <c r="D631" s="209"/>
      <c r="E631" s="209"/>
      <c r="F631" s="209"/>
      <c r="G631" s="209"/>
    </row>
    <row r="632" ht="15.75" customHeight="1">
      <c r="A632" s="209"/>
      <c r="D632" s="209"/>
      <c r="E632" s="209"/>
      <c r="F632" s="209"/>
      <c r="G632" s="209"/>
    </row>
    <row r="633" ht="15.75" customHeight="1">
      <c r="A633" s="209"/>
      <c r="D633" s="209"/>
      <c r="E633" s="209"/>
      <c r="F633" s="209"/>
      <c r="G633" s="209"/>
    </row>
    <row r="634" ht="15.75" customHeight="1">
      <c r="A634" s="209"/>
      <c r="D634" s="209"/>
      <c r="E634" s="209"/>
      <c r="F634" s="209"/>
      <c r="G634" s="209"/>
    </row>
    <row r="635" ht="15.75" customHeight="1">
      <c r="A635" s="209"/>
      <c r="D635" s="209"/>
      <c r="E635" s="209"/>
      <c r="F635" s="209"/>
      <c r="G635" s="209"/>
    </row>
    <row r="636" ht="15.75" customHeight="1">
      <c r="A636" s="209"/>
      <c r="D636" s="209"/>
      <c r="E636" s="209"/>
      <c r="F636" s="209"/>
      <c r="G636" s="209"/>
    </row>
    <row r="637" ht="15.75" customHeight="1">
      <c r="A637" s="209"/>
      <c r="D637" s="209"/>
      <c r="E637" s="209"/>
      <c r="F637" s="209"/>
      <c r="G637" s="209"/>
    </row>
    <row r="638" ht="15.75" customHeight="1">
      <c r="A638" s="209"/>
      <c r="D638" s="209"/>
      <c r="E638" s="209"/>
      <c r="F638" s="209"/>
      <c r="G638" s="209"/>
    </row>
    <row r="639" ht="15.75" customHeight="1">
      <c r="A639" s="209"/>
      <c r="D639" s="209"/>
      <c r="E639" s="209"/>
      <c r="F639" s="209"/>
      <c r="G639" s="209"/>
    </row>
    <row r="640" ht="15.75" customHeight="1">
      <c r="A640" s="209"/>
      <c r="D640" s="209"/>
      <c r="E640" s="209"/>
      <c r="F640" s="209"/>
      <c r="G640" s="209"/>
    </row>
    <row r="641" ht="15.75" customHeight="1">
      <c r="A641" s="209"/>
      <c r="D641" s="209"/>
      <c r="E641" s="209"/>
      <c r="F641" s="209"/>
      <c r="G641" s="209"/>
    </row>
    <row r="642" ht="15.75" customHeight="1">
      <c r="A642" s="209"/>
      <c r="D642" s="209"/>
      <c r="E642" s="209"/>
      <c r="F642" s="209"/>
      <c r="G642" s="209"/>
    </row>
    <row r="643" ht="15.75" customHeight="1">
      <c r="A643" s="209"/>
      <c r="D643" s="209"/>
      <c r="E643" s="209"/>
      <c r="F643" s="209"/>
      <c r="G643" s="209"/>
    </row>
    <row r="644" ht="15.75" customHeight="1">
      <c r="A644" s="209"/>
      <c r="D644" s="209"/>
      <c r="E644" s="209"/>
      <c r="F644" s="209"/>
      <c r="G644" s="209"/>
    </row>
    <row r="645" ht="15.75" customHeight="1">
      <c r="A645" s="209"/>
      <c r="D645" s="209"/>
      <c r="E645" s="209"/>
      <c r="F645" s="209"/>
      <c r="G645" s="209"/>
    </row>
    <row r="646" ht="15.75" customHeight="1">
      <c r="A646" s="209"/>
      <c r="D646" s="209"/>
      <c r="E646" s="209"/>
      <c r="F646" s="209"/>
      <c r="G646" s="209"/>
    </row>
    <row r="647" ht="15.75" customHeight="1">
      <c r="A647" s="209"/>
      <c r="D647" s="209"/>
      <c r="E647" s="209"/>
      <c r="F647" s="209"/>
      <c r="G647" s="209"/>
    </row>
    <row r="648" ht="15.75" customHeight="1">
      <c r="A648" s="209"/>
      <c r="D648" s="209"/>
      <c r="E648" s="209"/>
      <c r="F648" s="209"/>
      <c r="G648" s="209"/>
    </row>
    <row r="649" ht="15.75" customHeight="1">
      <c r="A649" s="209"/>
      <c r="D649" s="209"/>
      <c r="E649" s="209"/>
      <c r="F649" s="209"/>
      <c r="G649" s="209"/>
    </row>
    <row r="650" ht="15.75" customHeight="1">
      <c r="A650" s="209"/>
      <c r="D650" s="209"/>
      <c r="E650" s="209"/>
      <c r="F650" s="209"/>
      <c r="G650" s="209"/>
    </row>
    <row r="651" ht="15.75" customHeight="1">
      <c r="A651" s="209"/>
      <c r="D651" s="209"/>
      <c r="E651" s="209"/>
      <c r="F651" s="209"/>
      <c r="G651" s="209"/>
    </row>
    <row r="652" ht="15.75" customHeight="1">
      <c r="A652" s="209"/>
      <c r="D652" s="209"/>
      <c r="E652" s="209"/>
      <c r="F652" s="209"/>
      <c r="G652" s="209"/>
    </row>
    <row r="653" ht="15.75" customHeight="1">
      <c r="A653" s="209"/>
      <c r="D653" s="209"/>
      <c r="E653" s="209"/>
      <c r="F653" s="209"/>
      <c r="G653" s="209"/>
    </row>
    <row r="654" ht="15.75" customHeight="1">
      <c r="A654" s="209"/>
      <c r="D654" s="209"/>
      <c r="E654" s="209"/>
      <c r="F654" s="209"/>
      <c r="G654" s="209"/>
    </row>
    <row r="655" ht="15.75" customHeight="1">
      <c r="A655" s="209"/>
      <c r="D655" s="209"/>
      <c r="E655" s="209"/>
      <c r="F655" s="209"/>
      <c r="G655" s="209"/>
    </row>
    <row r="656" ht="15.75" customHeight="1">
      <c r="A656" s="209"/>
      <c r="D656" s="209"/>
      <c r="E656" s="209"/>
      <c r="F656" s="209"/>
      <c r="G656" s="209"/>
    </row>
    <row r="657" ht="15.75" customHeight="1">
      <c r="A657" s="209"/>
      <c r="D657" s="209"/>
      <c r="E657" s="209"/>
      <c r="F657" s="209"/>
      <c r="G657" s="209"/>
    </row>
    <row r="658" ht="15.75" customHeight="1">
      <c r="A658" s="209"/>
      <c r="D658" s="209"/>
      <c r="E658" s="209"/>
      <c r="F658" s="209"/>
      <c r="G658" s="209"/>
    </row>
    <row r="659" ht="15.75" customHeight="1">
      <c r="A659" s="209"/>
      <c r="D659" s="209"/>
      <c r="E659" s="209"/>
      <c r="F659" s="209"/>
      <c r="G659" s="209"/>
    </row>
    <row r="660" ht="15.75" customHeight="1">
      <c r="A660" s="209"/>
      <c r="D660" s="209"/>
      <c r="E660" s="209"/>
      <c r="F660" s="209"/>
      <c r="G660" s="209"/>
    </row>
    <row r="661" ht="15.75" customHeight="1">
      <c r="A661" s="209"/>
      <c r="D661" s="209"/>
      <c r="E661" s="209"/>
      <c r="F661" s="209"/>
      <c r="G661" s="209"/>
    </row>
    <row r="662" ht="15.75" customHeight="1">
      <c r="A662" s="209"/>
      <c r="D662" s="209"/>
      <c r="E662" s="209"/>
      <c r="F662" s="209"/>
      <c r="G662" s="209"/>
    </row>
    <row r="663" ht="15.75" customHeight="1">
      <c r="A663" s="209"/>
      <c r="D663" s="209"/>
      <c r="E663" s="209"/>
      <c r="F663" s="209"/>
      <c r="G663" s="209"/>
    </row>
    <row r="664" ht="15.75" customHeight="1">
      <c r="A664" s="209"/>
      <c r="D664" s="209"/>
      <c r="E664" s="209"/>
      <c r="F664" s="209"/>
      <c r="G664" s="209"/>
    </row>
    <row r="665" ht="15.75" customHeight="1">
      <c r="A665" s="209"/>
      <c r="D665" s="209"/>
      <c r="E665" s="209"/>
      <c r="F665" s="209"/>
      <c r="G665" s="209"/>
    </row>
    <row r="666" ht="15.75" customHeight="1">
      <c r="A666" s="209"/>
      <c r="D666" s="209"/>
      <c r="E666" s="209"/>
      <c r="F666" s="209"/>
      <c r="G666" s="209"/>
    </row>
    <row r="667" ht="15.75" customHeight="1">
      <c r="A667" s="209"/>
      <c r="D667" s="209"/>
      <c r="E667" s="209"/>
      <c r="F667" s="209"/>
      <c r="G667" s="209"/>
    </row>
    <row r="668" ht="15.75" customHeight="1">
      <c r="A668" s="209"/>
      <c r="D668" s="209"/>
      <c r="E668" s="209"/>
      <c r="F668" s="209"/>
      <c r="G668" s="209"/>
    </row>
    <row r="669" ht="15.75" customHeight="1">
      <c r="A669" s="209"/>
      <c r="D669" s="209"/>
      <c r="E669" s="209"/>
      <c r="F669" s="209"/>
      <c r="G669" s="209"/>
    </row>
    <row r="670" ht="15.75" customHeight="1">
      <c r="A670" s="209"/>
      <c r="D670" s="209"/>
      <c r="E670" s="209"/>
      <c r="F670" s="209"/>
      <c r="G670" s="209"/>
    </row>
    <row r="671" ht="15.75" customHeight="1">
      <c r="A671" s="209"/>
      <c r="D671" s="209"/>
      <c r="E671" s="209"/>
      <c r="F671" s="209"/>
      <c r="G671" s="209"/>
    </row>
    <row r="672" ht="15.75" customHeight="1">
      <c r="A672" s="209"/>
      <c r="D672" s="209"/>
      <c r="E672" s="209"/>
      <c r="F672" s="209"/>
      <c r="G672" s="209"/>
    </row>
    <row r="673" ht="15.75" customHeight="1">
      <c r="A673" s="209"/>
      <c r="D673" s="209"/>
      <c r="E673" s="209"/>
      <c r="F673" s="209"/>
      <c r="G673" s="209"/>
    </row>
    <row r="674" ht="15.75" customHeight="1">
      <c r="A674" s="209"/>
      <c r="D674" s="209"/>
      <c r="E674" s="209"/>
      <c r="F674" s="209"/>
      <c r="G674" s="209"/>
    </row>
    <row r="675" ht="15.75" customHeight="1">
      <c r="A675" s="209"/>
      <c r="D675" s="209"/>
      <c r="E675" s="209"/>
      <c r="F675" s="209"/>
      <c r="G675" s="209"/>
    </row>
    <row r="676" ht="15.75" customHeight="1">
      <c r="A676" s="209"/>
      <c r="D676" s="209"/>
      <c r="E676" s="209"/>
      <c r="F676" s="209"/>
      <c r="G676" s="209"/>
    </row>
    <row r="677" ht="15.75" customHeight="1">
      <c r="A677" s="209"/>
      <c r="D677" s="209"/>
      <c r="E677" s="209"/>
      <c r="F677" s="209"/>
      <c r="G677" s="209"/>
    </row>
    <row r="678" ht="15.75" customHeight="1">
      <c r="A678" s="209"/>
      <c r="D678" s="209"/>
      <c r="E678" s="209"/>
      <c r="F678" s="209"/>
      <c r="G678" s="209"/>
    </row>
    <row r="679" ht="15.75" customHeight="1">
      <c r="A679" s="209"/>
      <c r="D679" s="209"/>
      <c r="E679" s="209"/>
      <c r="F679" s="209"/>
      <c r="G679" s="209"/>
    </row>
    <row r="680" ht="15.75" customHeight="1">
      <c r="A680" s="209"/>
      <c r="D680" s="209"/>
      <c r="E680" s="209"/>
      <c r="F680" s="209"/>
      <c r="G680" s="209"/>
    </row>
    <row r="681" ht="15.75" customHeight="1">
      <c r="A681" s="209"/>
      <c r="D681" s="209"/>
      <c r="E681" s="209"/>
      <c r="F681" s="209"/>
      <c r="G681" s="209"/>
    </row>
    <row r="682" ht="15.75" customHeight="1">
      <c r="A682" s="209"/>
      <c r="D682" s="209"/>
      <c r="E682" s="209"/>
      <c r="F682" s="209"/>
      <c r="G682" s="209"/>
    </row>
    <row r="683" ht="15.75" customHeight="1">
      <c r="A683" s="209"/>
      <c r="D683" s="209"/>
      <c r="E683" s="209"/>
      <c r="F683" s="209"/>
      <c r="G683" s="209"/>
    </row>
    <row r="684" ht="15.75" customHeight="1">
      <c r="A684" s="209"/>
      <c r="D684" s="209"/>
      <c r="E684" s="209"/>
      <c r="F684" s="209"/>
      <c r="G684" s="209"/>
    </row>
    <row r="685" ht="15.75" customHeight="1">
      <c r="A685" s="209"/>
      <c r="D685" s="209"/>
      <c r="E685" s="209"/>
      <c r="F685" s="209"/>
      <c r="G685" s="209"/>
    </row>
    <row r="686" ht="15.75" customHeight="1">
      <c r="A686" s="209"/>
      <c r="D686" s="209"/>
      <c r="E686" s="209"/>
      <c r="F686" s="209"/>
      <c r="G686" s="209"/>
    </row>
    <row r="687" ht="15.75" customHeight="1">
      <c r="A687" s="209"/>
      <c r="D687" s="209"/>
      <c r="E687" s="209"/>
      <c r="F687" s="209"/>
      <c r="G687" s="209"/>
    </row>
    <row r="688" ht="15.75" customHeight="1">
      <c r="A688" s="209"/>
      <c r="D688" s="209"/>
      <c r="E688" s="209"/>
      <c r="F688" s="209"/>
      <c r="G688" s="209"/>
    </row>
    <row r="689" ht="15.75" customHeight="1">
      <c r="A689" s="209"/>
      <c r="D689" s="209"/>
      <c r="E689" s="209"/>
      <c r="F689" s="209"/>
      <c r="G689" s="209"/>
    </row>
    <row r="690" ht="15.75" customHeight="1">
      <c r="A690" s="209"/>
      <c r="D690" s="209"/>
      <c r="E690" s="209"/>
      <c r="F690" s="209"/>
      <c r="G690" s="209"/>
    </row>
    <row r="691" ht="15.75" customHeight="1">
      <c r="A691" s="209"/>
      <c r="D691" s="209"/>
      <c r="E691" s="209"/>
      <c r="F691" s="209"/>
      <c r="G691" s="209"/>
    </row>
    <row r="692" ht="15.75" customHeight="1">
      <c r="A692" s="209"/>
      <c r="D692" s="209"/>
      <c r="E692" s="209"/>
      <c r="F692" s="209"/>
      <c r="G692" s="209"/>
    </row>
    <row r="693" ht="15.75" customHeight="1">
      <c r="A693" s="209"/>
      <c r="D693" s="209"/>
      <c r="E693" s="209"/>
      <c r="F693" s="209"/>
      <c r="G693" s="209"/>
    </row>
    <row r="694" ht="15.75" customHeight="1">
      <c r="A694" s="209"/>
      <c r="D694" s="209"/>
      <c r="E694" s="209"/>
      <c r="F694" s="209"/>
      <c r="G694" s="209"/>
    </row>
    <row r="695" ht="15.75" customHeight="1">
      <c r="A695" s="209"/>
      <c r="D695" s="209"/>
      <c r="E695" s="209"/>
      <c r="F695" s="209"/>
      <c r="G695" s="209"/>
    </row>
    <row r="696" ht="15.75" customHeight="1">
      <c r="A696" s="209"/>
      <c r="D696" s="209"/>
      <c r="E696" s="209"/>
      <c r="F696" s="209"/>
      <c r="G696" s="209"/>
    </row>
    <row r="697" ht="15.75" customHeight="1">
      <c r="A697" s="209"/>
      <c r="D697" s="209"/>
      <c r="E697" s="209"/>
      <c r="F697" s="209"/>
      <c r="G697" s="209"/>
    </row>
    <row r="698" ht="15.75" customHeight="1">
      <c r="A698" s="209"/>
      <c r="D698" s="209"/>
      <c r="E698" s="209"/>
      <c r="F698" s="209"/>
      <c r="G698" s="209"/>
    </row>
    <row r="699" ht="15.75" customHeight="1">
      <c r="A699" s="209"/>
      <c r="D699" s="209"/>
      <c r="E699" s="209"/>
      <c r="F699" s="209"/>
      <c r="G699" s="209"/>
    </row>
    <row r="700" ht="15.75" customHeight="1">
      <c r="A700" s="209"/>
      <c r="D700" s="209"/>
      <c r="E700" s="209"/>
      <c r="F700" s="209"/>
      <c r="G700" s="209"/>
    </row>
    <row r="701" ht="15.75" customHeight="1">
      <c r="A701" s="209"/>
      <c r="D701" s="209"/>
      <c r="E701" s="209"/>
      <c r="F701" s="209"/>
      <c r="G701" s="209"/>
    </row>
    <row r="702" ht="15.75" customHeight="1">
      <c r="A702" s="209"/>
      <c r="D702" s="209"/>
      <c r="E702" s="209"/>
      <c r="F702" s="209"/>
      <c r="G702" s="209"/>
    </row>
    <row r="703" ht="15.75" customHeight="1">
      <c r="A703" s="209"/>
      <c r="D703" s="209"/>
      <c r="E703" s="209"/>
      <c r="F703" s="209"/>
      <c r="G703" s="209"/>
    </row>
    <row r="704" ht="15.75" customHeight="1">
      <c r="A704" s="209"/>
      <c r="D704" s="209"/>
      <c r="E704" s="209"/>
      <c r="F704" s="209"/>
      <c r="G704" s="209"/>
    </row>
    <row r="705" ht="15.75" customHeight="1">
      <c r="A705" s="209"/>
      <c r="D705" s="209"/>
      <c r="E705" s="209"/>
      <c r="F705" s="209"/>
      <c r="G705" s="209"/>
    </row>
    <row r="706" ht="15.75" customHeight="1">
      <c r="A706" s="209"/>
      <c r="D706" s="209"/>
      <c r="E706" s="209"/>
      <c r="F706" s="209"/>
      <c r="G706" s="209"/>
    </row>
    <row r="707" ht="15.75" customHeight="1">
      <c r="A707" s="209"/>
      <c r="D707" s="209"/>
      <c r="E707" s="209"/>
      <c r="F707" s="209"/>
      <c r="G707" s="209"/>
    </row>
    <row r="708" ht="15.75" customHeight="1">
      <c r="A708" s="209"/>
      <c r="D708" s="209"/>
      <c r="E708" s="209"/>
      <c r="F708" s="209"/>
      <c r="G708" s="209"/>
    </row>
    <row r="709" ht="15.75" customHeight="1">
      <c r="A709" s="209"/>
      <c r="D709" s="209"/>
      <c r="E709" s="209"/>
      <c r="F709" s="209"/>
      <c r="G709" s="209"/>
    </row>
    <row r="710" ht="15.75" customHeight="1">
      <c r="A710" s="209"/>
      <c r="D710" s="209"/>
      <c r="E710" s="209"/>
      <c r="F710" s="209"/>
      <c r="G710" s="209"/>
    </row>
    <row r="711" ht="15.75" customHeight="1">
      <c r="A711" s="209"/>
      <c r="D711" s="209"/>
      <c r="E711" s="209"/>
      <c r="F711" s="209"/>
      <c r="G711" s="209"/>
    </row>
    <row r="712" ht="15.75" customHeight="1">
      <c r="A712" s="209"/>
      <c r="D712" s="209"/>
      <c r="E712" s="209"/>
      <c r="F712" s="209"/>
      <c r="G712" s="209"/>
    </row>
    <row r="713" ht="15.75" customHeight="1">
      <c r="A713" s="209"/>
      <c r="D713" s="209"/>
      <c r="E713" s="209"/>
      <c r="F713" s="209"/>
      <c r="G713" s="209"/>
    </row>
    <row r="714" ht="15.75" customHeight="1">
      <c r="A714" s="209"/>
      <c r="D714" s="209"/>
      <c r="E714" s="209"/>
      <c r="F714" s="209"/>
      <c r="G714" s="209"/>
    </row>
    <row r="715" ht="15.75" customHeight="1">
      <c r="A715" s="209"/>
      <c r="D715" s="209"/>
      <c r="E715" s="209"/>
      <c r="F715" s="209"/>
      <c r="G715" s="209"/>
    </row>
    <row r="716" ht="15.75" customHeight="1">
      <c r="A716" s="209"/>
      <c r="D716" s="209"/>
      <c r="E716" s="209"/>
      <c r="F716" s="209"/>
      <c r="G716" s="209"/>
    </row>
    <row r="717" ht="15.75" customHeight="1">
      <c r="A717" s="209"/>
      <c r="D717" s="209"/>
      <c r="E717" s="209"/>
      <c r="F717" s="209"/>
      <c r="G717" s="209"/>
    </row>
    <row r="718" ht="15.75" customHeight="1">
      <c r="A718" s="209"/>
      <c r="D718" s="209"/>
      <c r="E718" s="209"/>
      <c r="F718" s="209"/>
      <c r="G718" s="209"/>
    </row>
    <row r="719" ht="15.75" customHeight="1">
      <c r="A719" s="209"/>
      <c r="D719" s="209"/>
      <c r="E719" s="209"/>
      <c r="F719" s="209"/>
      <c r="G719" s="209"/>
    </row>
    <row r="720" ht="15.75" customHeight="1">
      <c r="A720" s="209"/>
      <c r="D720" s="209"/>
      <c r="E720" s="209"/>
      <c r="F720" s="209"/>
      <c r="G720" s="209"/>
    </row>
    <row r="721" ht="15.75" customHeight="1">
      <c r="A721" s="209"/>
      <c r="D721" s="209"/>
      <c r="E721" s="209"/>
      <c r="F721" s="209"/>
      <c r="G721" s="209"/>
    </row>
    <row r="722" ht="15.75" customHeight="1">
      <c r="A722" s="209"/>
      <c r="D722" s="209"/>
      <c r="E722" s="209"/>
      <c r="F722" s="209"/>
      <c r="G722" s="209"/>
    </row>
    <row r="723" ht="15.75" customHeight="1">
      <c r="A723" s="209"/>
      <c r="D723" s="209"/>
      <c r="E723" s="209"/>
      <c r="F723" s="209"/>
      <c r="G723" s="209"/>
    </row>
    <row r="724" ht="15.75" customHeight="1">
      <c r="A724" s="209"/>
      <c r="D724" s="209"/>
      <c r="E724" s="209"/>
      <c r="F724" s="209"/>
      <c r="G724" s="209"/>
    </row>
    <row r="725" ht="15.75" customHeight="1">
      <c r="A725" s="209"/>
      <c r="D725" s="209"/>
      <c r="E725" s="209"/>
      <c r="F725" s="209"/>
      <c r="G725" s="209"/>
    </row>
    <row r="726" ht="15.75" customHeight="1">
      <c r="A726" s="209"/>
      <c r="D726" s="209"/>
      <c r="E726" s="209"/>
      <c r="F726" s="209"/>
      <c r="G726" s="209"/>
    </row>
    <row r="727" ht="15.75" customHeight="1">
      <c r="A727" s="209"/>
      <c r="D727" s="209"/>
      <c r="E727" s="209"/>
      <c r="F727" s="209"/>
      <c r="G727" s="209"/>
    </row>
    <row r="728" ht="15.75" customHeight="1">
      <c r="A728" s="209"/>
      <c r="D728" s="209"/>
      <c r="E728" s="209"/>
      <c r="F728" s="209"/>
      <c r="G728" s="209"/>
    </row>
    <row r="729" ht="15.75" customHeight="1">
      <c r="A729" s="209"/>
      <c r="D729" s="209"/>
      <c r="E729" s="209"/>
      <c r="F729" s="209"/>
      <c r="G729" s="209"/>
    </row>
    <row r="730" ht="15.75" customHeight="1">
      <c r="A730" s="209"/>
      <c r="D730" s="209"/>
      <c r="E730" s="209"/>
      <c r="F730" s="209"/>
      <c r="G730" s="209"/>
    </row>
    <row r="731" ht="15.75" customHeight="1">
      <c r="A731" s="209"/>
      <c r="D731" s="209"/>
      <c r="E731" s="209"/>
      <c r="F731" s="209"/>
      <c r="G731" s="209"/>
    </row>
    <row r="732" ht="15.75" customHeight="1">
      <c r="A732" s="209"/>
      <c r="D732" s="209"/>
      <c r="E732" s="209"/>
      <c r="F732" s="209"/>
      <c r="G732" s="209"/>
    </row>
    <row r="733" ht="15.75" customHeight="1">
      <c r="A733" s="209"/>
      <c r="D733" s="209"/>
      <c r="E733" s="209"/>
      <c r="F733" s="209"/>
      <c r="G733" s="209"/>
    </row>
    <row r="734" ht="15.75" customHeight="1">
      <c r="A734" s="209"/>
      <c r="D734" s="209"/>
      <c r="E734" s="209"/>
      <c r="F734" s="209"/>
      <c r="G734" s="209"/>
    </row>
    <row r="735" ht="15.75" customHeight="1">
      <c r="A735" s="209"/>
      <c r="D735" s="209"/>
      <c r="E735" s="209"/>
      <c r="F735" s="209"/>
      <c r="G735" s="209"/>
    </row>
    <row r="736" ht="15.75" customHeight="1">
      <c r="A736" s="209"/>
      <c r="D736" s="209"/>
      <c r="E736" s="209"/>
      <c r="F736" s="209"/>
      <c r="G736" s="209"/>
    </row>
    <row r="737" ht="15.75" customHeight="1">
      <c r="A737" s="209"/>
      <c r="D737" s="209"/>
      <c r="E737" s="209"/>
      <c r="F737" s="209"/>
      <c r="G737" s="209"/>
    </row>
    <row r="738" ht="15.75" customHeight="1">
      <c r="A738" s="209"/>
      <c r="D738" s="209"/>
      <c r="E738" s="209"/>
      <c r="F738" s="209"/>
      <c r="G738" s="209"/>
    </row>
    <row r="739" ht="15.75" customHeight="1">
      <c r="A739" s="209"/>
      <c r="D739" s="209"/>
      <c r="E739" s="209"/>
      <c r="F739" s="209"/>
      <c r="G739" s="209"/>
    </row>
    <row r="740" ht="15.75" customHeight="1">
      <c r="A740" s="209"/>
      <c r="D740" s="209"/>
      <c r="E740" s="209"/>
      <c r="F740" s="209"/>
      <c r="G740" s="209"/>
    </row>
    <row r="741" ht="15.75" customHeight="1">
      <c r="A741" s="209"/>
      <c r="D741" s="209"/>
      <c r="E741" s="209"/>
      <c r="F741" s="209"/>
      <c r="G741" s="209"/>
    </row>
    <row r="742" ht="15.75" customHeight="1">
      <c r="A742" s="209"/>
      <c r="D742" s="209"/>
      <c r="E742" s="209"/>
      <c r="F742" s="209"/>
      <c r="G742" s="209"/>
    </row>
    <row r="743" ht="15.75" customHeight="1">
      <c r="A743" s="209"/>
      <c r="D743" s="209"/>
      <c r="E743" s="209"/>
      <c r="F743" s="209"/>
      <c r="G743" s="209"/>
    </row>
    <row r="744" ht="15.75" customHeight="1">
      <c r="A744" s="209"/>
      <c r="D744" s="209"/>
      <c r="E744" s="209"/>
      <c r="F744" s="209"/>
      <c r="G744" s="209"/>
    </row>
    <row r="745" ht="15.75" customHeight="1">
      <c r="A745" s="209"/>
      <c r="D745" s="209"/>
      <c r="E745" s="209"/>
      <c r="F745" s="209"/>
      <c r="G745" s="209"/>
    </row>
    <row r="746" ht="15.75" customHeight="1">
      <c r="A746" s="209"/>
      <c r="D746" s="209"/>
      <c r="E746" s="209"/>
      <c r="F746" s="209"/>
      <c r="G746" s="209"/>
    </row>
    <row r="747" ht="15.75" customHeight="1">
      <c r="A747" s="209"/>
      <c r="D747" s="209"/>
      <c r="E747" s="209"/>
      <c r="F747" s="209"/>
      <c r="G747" s="209"/>
    </row>
    <row r="748" ht="15.75" customHeight="1">
      <c r="A748" s="209"/>
      <c r="D748" s="209"/>
      <c r="E748" s="209"/>
      <c r="F748" s="209"/>
      <c r="G748" s="209"/>
    </row>
    <row r="749" ht="15.75" customHeight="1">
      <c r="A749" s="209"/>
      <c r="D749" s="209"/>
      <c r="E749" s="209"/>
      <c r="F749" s="209"/>
      <c r="G749" s="209"/>
    </row>
    <row r="750" ht="15.75" customHeight="1">
      <c r="A750" s="209"/>
      <c r="D750" s="209"/>
      <c r="E750" s="209"/>
      <c r="F750" s="209"/>
      <c r="G750" s="209"/>
    </row>
    <row r="751" ht="15.75" customHeight="1">
      <c r="A751" s="209"/>
      <c r="D751" s="209"/>
      <c r="E751" s="209"/>
      <c r="F751" s="209"/>
      <c r="G751" s="209"/>
    </row>
    <row r="752" ht="15.75" customHeight="1">
      <c r="A752" s="209"/>
      <c r="D752" s="209"/>
      <c r="E752" s="209"/>
      <c r="F752" s="209"/>
      <c r="G752" s="209"/>
    </row>
    <row r="753" ht="15.75" customHeight="1">
      <c r="A753" s="209"/>
      <c r="D753" s="209"/>
      <c r="E753" s="209"/>
      <c r="F753" s="209"/>
      <c r="G753" s="209"/>
    </row>
    <row r="754" ht="15.75" customHeight="1">
      <c r="A754" s="209"/>
      <c r="D754" s="209"/>
      <c r="E754" s="209"/>
      <c r="F754" s="209"/>
      <c r="G754" s="209"/>
    </row>
    <row r="755" ht="15.75" customHeight="1">
      <c r="A755" s="209"/>
      <c r="D755" s="209"/>
      <c r="E755" s="209"/>
      <c r="F755" s="209"/>
      <c r="G755" s="209"/>
    </row>
    <row r="756" ht="15.75" customHeight="1">
      <c r="A756" s="209"/>
      <c r="D756" s="209"/>
      <c r="E756" s="209"/>
      <c r="F756" s="209"/>
      <c r="G756" s="209"/>
    </row>
    <row r="757" ht="15.75" customHeight="1">
      <c r="A757" s="209"/>
      <c r="D757" s="209"/>
      <c r="E757" s="209"/>
      <c r="F757" s="209"/>
      <c r="G757" s="209"/>
    </row>
    <row r="758" ht="15.75" customHeight="1">
      <c r="A758" s="209"/>
      <c r="D758" s="209"/>
      <c r="E758" s="209"/>
      <c r="F758" s="209"/>
      <c r="G758" s="209"/>
    </row>
    <row r="759" ht="15.75" customHeight="1">
      <c r="A759" s="209"/>
      <c r="D759" s="209"/>
      <c r="E759" s="209"/>
      <c r="F759" s="209"/>
      <c r="G759" s="209"/>
    </row>
    <row r="760" ht="15.75" customHeight="1">
      <c r="A760" s="209"/>
      <c r="D760" s="209"/>
      <c r="E760" s="209"/>
      <c r="F760" s="209"/>
      <c r="G760" s="209"/>
    </row>
    <row r="761" ht="15.75" customHeight="1">
      <c r="A761" s="209"/>
      <c r="D761" s="209"/>
      <c r="E761" s="209"/>
      <c r="F761" s="209"/>
      <c r="G761" s="209"/>
    </row>
    <row r="762" ht="15.75" customHeight="1">
      <c r="A762" s="209"/>
      <c r="D762" s="209"/>
      <c r="E762" s="209"/>
      <c r="F762" s="209"/>
      <c r="G762" s="209"/>
    </row>
    <row r="763" ht="15.75" customHeight="1">
      <c r="A763" s="209"/>
      <c r="D763" s="209"/>
      <c r="E763" s="209"/>
      <c r="F763" s="209"/>
      <c r="G763" s="209"/>
    </row>
    <row r="764" ht="15.75" customHeight="1">
      <c r="A764" s="209"/>
      <c r="D764" s="209"/>
      <c r="E764" s="209"/>
      <c r="F764" s="209"/>
      <c r="G764" s="209"/>
    </row>
    <row r="765" ht="15.75" customHeight="1">
      <c r="A765" s="209"/>
      <c r="D765" s="209"/>
      <c r="E765" s="209"/>
      <c r="F765" s="209"/>
      <c r="G765" s="209"/>
    </row>
    <row r="766" ht="15.75" customHeight="1">
      <c r="A766" s="209"/>
      <c r="D766" s="209"/>
      <c r="E766" s="209"/>
      <c r="F766" s="209"/>
      <c r="G766" s="209"/>
    </row>
    <row r="767" ht="15.75" customHeight="1">
      <c r="A767" s="209"/>
      <c r="D767" s="209"/>
      <c r="E767" s="209"/>
      <c r="F767" s="209"/>
      <c r="G767" s="209"/>
    </row>
    <row r="768" ht="15.75" customHeight="1">
      <c r="A768" s="209"/>
      <c r="D768" s="209"/>
      <c r="E768" s="209"/>
      <c r="F768" s="209"/>
      <c r="G768" s="209"/>
    </row>
    <row r="769" ht="15.75" customHeight="1">
      <c r="A769" s="209"/>
      <c r="D769" s="209"/>
      <c r="E769" s="209"/>
      <c r="F769" s="209"/>
      <c r="G769" s="209"/>
    </row>
    <row r="770" ht="15.75" customHeight="1">
      <c r="A770" s="209"/>
      <c r="D770" s="209"/>
      <c r="E770" s="209"/>
      <c r="F770" s="209"/>
      <c r="G770" s="209"/>
    </row>
    <row r="771" ht="15.75" customHeight="1">
      <c r="A771" s="209"/>
      <c r="D771" s="209"/>
      <c r="E771" s="209"/>
      <c r="F771" s="209"/>
      <c r="G771" s="209"/>
    </row>
    <row r="772" ht="15.75" customHeight="1">
      <c r="A772" s="209"/>
      <c r="D772" s="209"/>
      <c r="E772" s="209"/>
      <c r="F772" s="209"/>
      <c r="G772" s="209"/>
    </row>
    <row r="773" ht="15.75" customHeight="1">
      <c r="A773" s="209"/>
      <c r="D773" s="209"/>
      <c r="E773" s="209"/>
      <c r="F773" s="209"/>
      <c r="G773" s="209"/>
    </row>
    <row r="774" ht="15.75" customHeight="1">
      <c r="A774" s="209"/>
      <c r="D774" s="209"/>
      <c r="E774" s="209"/>
      <c r="F774" s="209"/>
      <c r="G774" s="209"/>
    </row>
    <row r="775" ht="15.75" customHeight="1">
      <c r="A775" s="209"/>
      <c r="D775" s="209"/>
      <c r="E775" s="209"/>
      <c r="F775" s="209"/>
      <c r="G775" s="209"/>
    </row>
    <row r="776" ht="15.75" customHeight="1">
      <c r="A776" s="209"/>
      <c r="D776" s="209"/>
      <c r="E776" s="209"/>
      <c r="F776" s="209"/>
      <c r="G776" s="209"/>
    </row>
    <row r="777" ht="15.75" customHeight="1">
      <c r="A777" s="209"/>
      <c r="D777" s="209"/>
      <c r="E777" s="209"/>
      <c r="F777" s="209"/>
      <c r="G777" s="209"/>
    </row>
    <row r="778" ht="15.75" customHeight="1">
      <c r="A778" s="209"/>
      <c r="D778" s="209"/>
      <c r="E778" s="209"/>
      <c r="F778" s="209"/>
      <c r="G778" s="209"/>
    </row>
    <row r="779" ht="15.75" customHeight="1">
      <c r="A779" s="209"/>
      <c r="D779" s="209"/>
      <c r="E779" s="209"/>
      <c r="F779" s="209"/>
      <c r="G779" s="209"/>
    </row>
    <row r="780" ht="15.75" customHeight="1">
      <c r="A780" s="209"/>
      <c r="D780" s="209"/>
      <c r="E780" s="209"/>
      <c r="F780" s="209"/>
      <c r="G780" s="209"/>
    </row>
    <row r="781" ht="15.75" customHeight="1">
      <c r="A781" s="209"/>
      <c r="D781" s="209"/>
      <c r="E781" s="209"/>
      <c r="F781" s="209"/>
      <c r="G781" s="209"/>
    </row>
    <row r="782" ht="15.75" customHeight="1">
      <c r="A782" s="209"/>
      <c r="D782" s="209"/>
      <c r="E782" s="209"/>
      <c r="F782" s="209"/>
      <c r="G782" s="209"/>
    </row>
    <row r="783" ht="15.75" customHeight="1">
      <c r="A783" s="209"/>
      <c r="D783" s="209"/>
      <c r="E783" s="209"/>
      <c r="F783" s="209"/>
      <c r="G783" s="209"/>
    </row>
    <row r="784" ht="15.75" customHeight="1">
      <c r="A784" s="209"/>
      <c r="D784" s="209"/>
      <c r="E784" s="209"/>
      <c r="F784" s="209"/>
      <c r="G784" s="209"/>
    </row>
    <row r="785" ht="15.75" customHeight="1">
      <c r="A785" s="209"/>
      <c r="D785" s="209"/>
      <c r="E785" s="209"/>
      <c r="F785" s="209"/>
      <c r="G785" s="209"/>
    </row>
    <row r="786" ht="15.75" customHeight="1">
      <c r="A786" s="209"/>
      <c r="D786" s="209"/>
      <c r="E786" s="209"/>
      <c r="F786" s="209"/>
      <c r="G786" s="209"/>
    </row>
    <row r="787" ht="15.75" customHeight="1">
      <c r="A787" s="209"/>
      <c r="D787" s="209"/>
      <c r="E787" s="209"/>
      <c r="F787" s="209"/>
      <c r="G787" s="209"/>
    </row>
    <row r="788" ht="15.75" customHeight="1">
      <c r="A788" s="209"/>
      <c r="D788" s="209"/>
      <c r="E788" s="209"/>
      <c r="F788" s="209"/>
      <c r="G788" s="209"/>
    </row>
    <row r="789" ht="15.75" customHeight="1">
      <c r="A789" s="209"/>
      <c r="D789" s="209"/>
      <c r="E789" s="209"/>
      <c r="F789" s="209"/>
      <c r="G789" s="209"/>
    </row>
    <row r="790" ht="15.75" customHeight="1">
      <c r="A790" s="209"/>
      <c r="D790" s="209"/>
      <c r="E790" s="209"/>
      <c r="F790" s="209"/>
      <c r="G790" s="209"/>
    </row>
    <row r="791" ht="15.75" customHeight="1">
      <c r="A791" s="209"/>
      <c r="D791" s="209"/>
      <c r="E791" s="209"/>
      <c r="F791" s="209"/>
      <c r="G791" s="209"/>
    </row>
    <row r="792" ht="15.75" customHeight="1">
      <c r="A792" s="209"/>
      <c r="D792" s="209"/>
      <c r="E792" s="209"/>
      <c r="F792" s="209"/>
      <c r="G792" s="209"/>
    </row>
    <row r="793" ht="15.75" customHeight="1">
      <c r="A793" s="209"/>
      <c r="D793" s="209"/>
      <c r="E793" s="209"/>
      <c r="F793" s="209"/>
      <c r="G793" s="209"/>
    </row>
    <row r="794" ht="15.75" customHeight="1">
      <c r="A794" s="209"/>
      <c r="D794" s="209"/>
      <c r="E794" s="209"/>
      <c r="F794" s="209"/>
      <c r="G794" s="209"/>
    </row>
    <row r="795" ht="15.75" customHeight="1">
      <c r="A795" s="209"/>
      <c r="D795" s="209"/>
      <c r="E795" s="209"/>
      <c r="F795" s="209"/>
      <c r="G795" s="209"/>
    </row>
    <row r="796" ht="15.75" customHeight="1">
      <c r="A796" s="209"/>
      <c r="D796" s="209"/>
      <c r="E796" s="209"/>
      <c r="F796" s="209"/>
      <c r="G796" s="209"/>
    </row>
    <row r="797" ht="15.75" customHeight="1">
      <c r="A797" s="209"/>
      <c r="D797" s="209"/>
      <c r="E797" s="209"/>
      <c r="F797" s="209"/>
      <c r="G797" s="209"/>
    </row>
    <row r="798" ht="15.75" customHeight="1">
      <c r="A798" s="209"/>
      <c r="D798" s="209"/>
      <c r="E798" s="209"/>
      <c r="F798" s="209"/>
      <c r="G798" s="209"/>
    </row>
    <row r="799" ht="15.75" customHeight="1">
      <c r="A799" s="209"/>
      <c r="D799" s="209"/>
      <c r="E799" s="209"/>
      <c r="F799" s="209"/>
      <c r="G799" s="209"/>
    </row>
    <row r="800" ht="15.75" customHeight="1">
      <c r="A800" s="209"/>
      <c r="D800" s="209"/>
      <c r="E800" s="209"/>
      <c r="F800" s="209"/>
      <c r="G800" s="209"/>
    </row>
    <row r="801" ht="15.75" customHeight="1">
      <c r="A801" s="209"/>
      <c r="D801" s="209"/>
      <c r="E801" s="209"/>
      <c r="F801" s="209"/>
      <c r="G801" s="209"/>
    </row>
    <row r="802" ht="15.75" customHeight="1">
      <c r="A802" s="209"/>
      <c r="D802" s="209"/>
      <c r="E802" s="209"/>
      <c r="F802" s="209"/>
      <c r="G802" s="209"/>
    </row>
    <row r="803" ht="15.75" customHeight="1">
      <c r="A803" s="209"/>
      <c r="D803" s="209"/>
      <c r="E803" s="209"/>
      <c r="F803" s="209"/>
      <c r="G803" s="209"/>
    </row>
    <row r="804" ht="15.75" customHeight="1">
      <c r="A804" s="209"/>
      <c r="D804" s="209"/>
      <c r="E804" s="209"/>
      <c r="F804" s="209"/>
      <c r="G804" s="209"/>
    </row>
    <row r="805" ht="15.75" customHeight="1">
      <c r="A805" s="209"/>
      <c r="D805" s="209"/>
      <c r="E805" s="209"/>
      <c r="F805" s="209"/>
      <c r="G805" s="209"/>
    </row>
    <row r="806" ht="15.75" customHeight="1">
      <c r="A806" s="209"/>
      <c r="D806" s="209"/>
      <c r="E806" s="209"/>
      <c r="F806" s="209"/>
      <c r="G806" s="209"/>
    </row>
    <row r="807" ht="15.75" customHeight="1">
      <c r="A807" s="209"/>
      <c r="D807" s="209"/>
      <c r="E807" s="209"/>
      <c r="F807" s="209"/>
      <c r="G807" s="209"/>
    </row>
    <row r="808" ht="15.75" customHeight="1">
      <c r="A808" s="209"/>
      <c r="D808" s="209"/>
      <c r="E808" s="209"/>
      <c r="F808" s="209"/>
      <c r="G808" s="209"/>
    </row>
    <row r="809" ht="15.75" customHeight="1">
      <c r="A809" s="209"/>
      <c r="D809" s="209"/>
      <c r="E809" s="209"/>
      <c r="F809" s="209"/>
      <c r="G809" s="209"/>
    </row>
    <row r="810" ht="15.75" customHeight="1">
      <c r="A810" s="209"/>
      <c r="D810" s="209"/>
      <c r="E810" s="209"/>
      <c r="F810" s="209"/>
      <c r="G810" s="209"/>
    </row>
    <row r="811" ht="15.75" customHeight="1">
      <c r="A811" s="209"/>
      <c r="D811" s="209"/>
      <c r="E811" s="209"/>
      <c r="F811" s="209"/>
      <c r="G811" s="209"/>
    </row>
    <row r="812" ht="15.75" customHeight="1">
      <c r="A812" s="209"/>
      <c r="D812" s="209"/>
      <c r="E812" s="209"/>
      <c r="F812" s="209"/>
      <c r="G812" s="209"/>
    </row>
    <row r="813" ht="15.75" customHeight="1">
      <c r="A813" s="209"/>
      <c r="D813" s="209"/>
      <c r="E813" s="209"/>
      <c r="F813" s="209"/>
      <c r="G813" s="209"/>
    </row>
    <row r="814" ht="15.75" customHeight="1">
      <c r="A814" s="209"/>
      <c r="D814" s="209"/>
      <c r="E814" s="209"/>
      <c r="F814" s="209"/>
      <c r="G814" s="209"/>
    </row>
    <row r="815" ht="15.75" customHeight="1">
      <c r="A815" s="209"/>
      <c r="D815" s="209"/>
      <c r="E815" s="209"/>
      <c r="F815" s="209"/>
      <c r="G815" s="209"/>
    </row>
    <row r="816" ht="15.75" customHeight="1">
      <c r="A816" s="209"/>
      <c r="D816" s="209"/>
      <c r="E816" s="209"/>
      <c r="F816" s="209"/>
      <c r="G816" s="209"/>
    </row>
    <row r="817" ht="15.75" customHeight="1">
      <c r="A817" s="209"/>
      <c r="D817" s="209"/>
      <c r="E817" s="209"/>
      <c r="F817" s="209"/>
      <c r="G817" s="209"/>
    </row>
    <row r="818" ht="15.75" customHeight="1">
      <c r="A818" s="209"/>
      <c r="D818" s="209"/>
      <c r="E818" s="209"/>
      <c r="F818" s="209"/>
      <c r="G818" s="209"/>
    </row>
    <row r="819" ht="15.75" customHeight="1">
      <c r="A819" s="209"/>
      <c r="D819" s="209"/>
      <c r="E819" s="209"/>
      <c r="F819" s="209"/>
      <c r="G819" s="209"/>
    </row>
    <row r="820" ht="15.75" customHeight="1">
      <c r="A820" s="209"/>
      <c r="D820" s="209"/>
      <c r="E820" s="209"/>
      <c r="F820" s="209"/>
      <c r="G820" s="209"/>
    </row>
    <row r="821" ht="15.75" customHeight="1">
      <c r="A821" s="209"/>
      <c r="D821" s="209"/>
      <c r="E821" s="209"/>
      <c r="F821" s="209"/>
      <c r="G821" s="209"/>
    </row>
    <row r="822" ht="15.75" customHeight="1">
      <c r="A822" s="209"/>
      <c r="D822" s="209"/>
      <c r="E822" s="209"/>
      <c r="F822" s="209"/>
      <c r="G822" s="209"/>
    </row>
    <row r="823" ht="15.75" customHeight="1">
      <c r="A823" s="209"/>
      <c r="D823" s="209"/>
      <c r="E823" s="209"/>
      <c r="F823" s="209"/>
      <c r="G823" s="209"/>
    </row>
    <row r="824" ht="15.75" customHeight="1">
      <c r="A824" s="209"/>
      <c r="D824" s="209"/>
      <c r="E824" s="209"/>
      <c r="F824" s="209"/>
      <c r="G824" s="209"/>
    </row>
    <row r="825" ht="15.75" customHeight="1">
      <c r="A825" s="209"/>
      <c r="D825" s="209"/>
      <c r="E825" s="209"/>
      <c r="F825" s="209"/>
      <c r="G825" s="209"/>
    </row>
    <row r="826" ht="15.75" customHeight="1">
      <c r="A826" s="209"/>
      <c r="D826" s="209"/>
      <c r="E826" s="209"/>
      <c r="F826" s="209"/>
      <c r="G826" s="209"/>
    </row>
    <row r="827" ht="15.75" customHeight="1">
      <c r="A827" s="209"/>
      <c r="D827" s="209"/>
      <c r="E827" s="209"/>
      <c r="F827" s="209"/>
      <c r="G827" s="209"/>
    </row>
    <row r="828" ht="15.75" customHeight="1">
      <c r="A828" s="209"/>
      <c r="D828" s="209"/>
      <c r="E828" s="209"/>
      <c r="F828" s="209"/>
      <c r="G828" s="209"/>
    </row>
    <row r="829" ht="15.75" customHeight="1">
      <c r="A829" s="209"/>
      <c r="D829" s="209"/>
      <c r="E829" s="209"/>
      <c r="F829" s="209"/>
      <c r="G829" s="209"/>
    </row>
    <row r="830" ht="15.75" customHeight="1">
      <c r="A830" s="209"/>
      <c r="D830" s="209"/>
      <c r="E830" s="209"/>
      <c r="F830" s="209"/>
      <c r="G830" s="209"/>
    </row>
    <row r="831" ht="15.75" customHeight="1">
      <c r="A831" s="209"/>
      <c r="D831" s="209"/>
      <c r="E831" s="209"/>
      <c r="F831" s="209"/>
      <c r="G831" s="209"/>
    </row>
    <row r="832" ht="15.75" customHeight="1">
      <c r="A832" s="209"/>
      <c r="D832" s="209"/>
      <c r="E832" s="209"/>
      <c r="F832" s="209"/>
      <c r="G832" s="209"/>
    </row>
    <row r="833" ht="15.75" customHeight="1">
      <c r="A833" s="209"/>
      <c r="D833" s="209"/>
      <c r="E833" s="209"/>
      <c r="F833" s="209"/>
      <c r="G833" s="209"/>
    </row>
    <row r="834" ht="15.75" customHeight="1">
      <c r="A834" s="209"/>
      <c r="D834" s="209"/>
      <c r="E834" s="209"/>
      <c r="F834" s="209"/>
      <c r="G834" s="209"/>
    </row>
    <row r="835" ht="15.75" customHeight="1">
      <c r="A835" s="209"/>
      <c r="D835" s="209"/>
      <c r="E835" s="209"/>
      <c r="F835" s="209"/>
      <c r="G835" s="209"/>
    </row>
    <row r="836" ht="15.75" customHeight="1">
      <c r="A836" s="209"/>
      <c r="D836" s="209"/>
      <c r="E836" s="209"/>
      <c r="F836" s="209"/>
      <c r="G836" s="209"/>
    </row>
    <row r="837" ht="15.75" customHeight="1">
      <c r="A837" s="209"/>
      <c r="D837" s="209"/>
      <c r="E837" s="209"/>
      <c r="F837" s="209"/>
      <c r="G837" s="209"/>
    </row>
    <row r="838" ht="15.75" customHeight="1">
      <c r="A838" s="209"/>
      <c r="D838" s="209"/>
      <c r="E838" s="209"/>
      <c r="F838" s="209"/>
      <c r="G838" s="209"/>
    </row>
    <row r="839" ht="15.75" customHeight="1">
      <c r="A839" s="209"/>
      <c r="D839" s="209"/>
      <c r="E839" s="209"/>
      <c r="F839" s="209"/>
      <c r="G839" s="209"/>
    </row>
    <row r="840" ht="15.75" customHeight="1">
      <c r="A840" s="209"/>
      <c r="D840" s="209"/>
      <c r="E840" s="209"/>
      <c r="F840" s="209"/>
      <c r="G840" s="209"/>
    </row>
    <row r="841" ht="15.75" customHeight="1">
      <c r="A841" s="209"/>
      <c r="D841" s="209"/>
      <c r="E841" s="209"/>
      <c r="F841" s="209"/>
      <c r="G841" s="209"/>
    </row>
    <row r="842" ht="15.75" customHeight="1">
      <c r="A842" s="209"/>
      <c r="D842" s="209"/>
      <c r="E842" s="209"/>
      <c r="F842" s="209"/>
      <c r="G842" s="209"/>
    </row>
    <row r="843" ht="15.75" customHeight="1">
      <c r="A843" s="209"/>
      <c r="D843" s="209"/>
      <c r="E843" s="209"/>
      <c r="F843" s="209"/>
      <c r="G843" s="209"/>
    </row>
    <row r="844" ht="15.75" customHeight="1">
      <c r="A844" s="209"/>
      <c r="D844" s="209"/>
      <c r="E844" s="209"/>
      <c r="F844" s="209"/>
      <c r="G844" s="209"/>
    </row>
    <row r="845" ht="15.75" customHeight="1">
      <c r="A845" s="209"/>
      <c r="D845" s="209"/>
      <c r="E845" s="209"/>
      <c r="F845" s="209"/>
      <c r="G845" s="209"/>
    </row>
    <row r="846" ht="15.75" customHeight="1">
      <c r="A846" s="209"/>
      <c r="D846" s="209"/>
      <c r="E846" s="209"/>
      <c r="F846" s="209"/>
      <c r="G846" s="209"/>
    </row>
    <row r="847" ht="15.75" customHeight="1">
      <c r="A847" s="209"/>
      <c r="D847" s="209"/>
      <c r="E847" s="209"/>
      <c r="F847" s="209"/>
      <c r="G847" s="209"/>
    </row>
    <row r="848" ht="15.75" customHeight="1">
      <c r="A848" s="209"/>
      <c r="D848" s="209"/>
      <c r="E848" s="209"/>
      <c r="F848" s="209"/>
      <c r="G848" s="209"/>
    </row>
    <row r="849" ht="15.75" customHeight="1">
      <c r="A849" s="209"/>
      <c r="D849" s="209"/>
      <c r="E849" s="209"/>
      <c r="F849" s="209"/>
      <c r="G849" s="209"/>
    </row>
    <row r="850" ht="15.75" customHeight="1">
      <c r="A850" s="209"/>
      <c r="D850" s="209"/>
      <c r="E850" s="209"/>
      <c r="F850" s="209"/>
      <c r="G850" s="209"/>
    </row>
    <row r="851" ht="15.75" customHeight="1">
      <c r="A851" s="209"/>
      <c r="D851" s="209"/>
      <c r="E851" s="209"/>
      <c r="F851" s="209"/>
      <c r="G851" s="209"/>
    </row>
    <row r="852" ht="15.75" customHeight="1">
      <c r="A852" s="209"/>
      <c r="D852" s="209"/>
      <c r="E852" s="209"/>
      <c r="F852" s="209"/>
      <c r="G852" s="209"/>
    </row>
    <row r="853" ht="15.75" customHeight="1">
      <c r="A853" s="209"/>
      <c r="D853" s="209"/>
      <c r="E853" s="209"/>
      <c r="F853" s="209"/>
      <c r="G853" s="209"/>
    </row>
    <row r="854" ht="15.75" customHeight="1">
      <c r="A854" s="209"/>
      <c r="D854" s="209"/>
      <c r="E854" s="209"/>
      <c r="F854" s="209"/>
      <c r="G854" s="209"/>
    </row>
    <row r="855" ht="15.75" customHeight="1">
      <c r="A855" s="209"/>
      <c r="D855" s="209"/>
      <c r="E855" s="209"/>
      <c r="F855" s="209"/>
      <c r="G855" s="209"/>
    </row>
    <row r="856" ht="15.75" customHeight="1">
      <c r="A856" s="209"/>
      <c r="D856" s="209"/>
      <c r="E856" s="209"/>
      <c r="F856" s="209"/>
      <c r="G856" s="209"/>
    </row>
    <row r="857" ht="15.75" customHeight="1">
      <c r="A857" s="209"/>
      <c r="D857" s="209"/>
      <c r="E857" s="209"/>
      <c r="F857" s="209"/>
      <c r="G857" s="209"/>
    </row>
    <row r="858" ht="15.75" customHeight="1">
      <c r="A858" s="209"/>
      <c r="D858" s="209"/>
      <c r="E858" s="209"/>
      <c r="F858" s="209"/>
      <c r="G858" s="209"/>
    </row>
    <row r="859" ht="15.75" customHeight="1">
      <c r="A859" s="209"/>
      <c r="D859" s="209"/>
      <c r="E859" s="209"/>
      <c r="F859" s="209"/>
      <c r="G859" s="209"/>
    </row>
    <row r="860" ht="15.75" customHeight="1">
      <c r="A860" s="209"/>
      <c r="D860" s="209"/>
      <c r="E860" s="209"/>
      <c r="F860" s="209"/>
      <c r="G860" s="209"/>
    </row>
    <row r="861" ht="15.75" customHeight="1">
      <c r="A861" s="209"/>
      <c r="D861" s="209"/>
      <c r="E861" s="209"/>
      <c r="F861" s="209"/>
      <c r="G861" s="209"/>
    </row>
    <row r="862" ht="15.75" customHeight="1">
      <c r="A862" s="209"/>
      <c r="D862" s="209"/>
      <c r="E862" s="209"/>
      <c r="F862" s="209"/>
      <c r="G862" s="209"/>
    </row>
    <row r="863" ht="15.75" customHeight="1">
      <c r="A863" s="209"/>
      <c r="D863" s="209"/>
      <c r="E863" s="209"/>
      <c r="F863" s="209"/>
      <c r="G863" s="209"/>
    </row>
    <row r="864" ht="15.75" customHeight="1">
      <c r="A864" s="209"/>
      <c r="D864" s="209"/>
      <c r="E864" s="209"/>
      <c r="F864" s="209"/>
      <c r="G864" s="209"/>
    </row>
    <row r="865" ht="15.75" customHeight="1">
      <c r="A865" s="209"/>
      <c r="D865" s="209"/>
      <c r="E865" s="209"/>
      <c r="F865" s="209"/>
      <c r="G865" s="209"/>
    </row>
    <row r="866" ht="15.75" customHeight="1">
      <c r="A866" s="209"/>
      <c r="D866" s="209"/>
      <c r="E866" s="209"/>
      <c r="F866" s="209"/>
      <c r="G866" s="209"/>
    </row>
    <row r="867" ht="15.75" customHeight="1">
      <c r="A867" s="209"/>
      <c r="D867" s="209"/>
      <c r="E867" s="209"/>
      <c r="F867" s="209"/>
      <c r="G867" s="209"/>
    </row>
    <row r="868" ht="15.75" customHeight="1">
      <c r="A868" s="209"/>
      <c r="D868" s="209"/>
      <c r="E868" s="209"/>
      <c r="F868" s="209"/>
      <c r="G868" s="209"/>
    </row>
    <row r="869" ht="15.75" customHeight="1">
      <c r="A869" s="209"/>
      <c r="D869" s="209"/>
      <c r="E869" s="209"/>
      <c r="F869" s="209"/>
      <c r="G869" s="209"/>
    </row>
    <row r="870" ht="15.75" customHeight="1">
      <c r="A870" s="209"/>
      <c r="D870" s="209"/>
      <c r="E870" s="209"/>
      <c r="F870" s="209"/>
      <c r="G870" s="209"/>
    </row>
    <row r="871" ht="15.75" customHeight="1">
      <c r="A871" s="209"/>
      <c r="D871" s="209"/>
      <c r="E871" s="209"/>
      <c r="F871" s="209"/>
      <c r="G871" s="209"/>
    </row>
    <row r="872" ht="15.75" customHeight="1">
      <c r="A872" s="209"/>
      <c r="D872" s="209"/>
      <c r="E872" s="209"/>
      <c r="F872" s="209"/>
      <c r="G872" s="209"/>
    </row>
    <row r="873" ht="15.75" customHeight="1">
      <c r="A873" s="209"/>
      <c r="D873" s="209"/>
      <c r="E873" s="209"/>
      <c r="F873" s="209"/>
      <c r="G873" s="209"/>
    </row>
    <row r="874" ht="15.75" customHeight="1">
      <c r="A874" s="209"/>
      <c r="D874" s="209"/>
      <c r="E874" s="209"/>
      <c r="F874" s="209"/>
      <c r="G874" s="209"/>
    </row>
    <row r="875" ht="15.75" customHeight="1">
      <c r="A875" s="209"/>
      <c r="D875" s="209"/>
      <c r="E875" s="209"/>
      <c r="F875" s="209"/>
      <c r="G875" s="209"/>
    </row>
    <row r="876" ht="15.75" customHeight="1">
      <c r="A876" s="209"/>
      <c r="D876" s="209"/>
      <c r="E876" s="209"/>
      <c r="F876" s="209"/>
      <c r="G876" s="209"/>
    </row>
    <row r="877" ht="15.75" customHeight="1">
      <c r="A877" s="209"/>
      <c r="D877" s="209"/>
      <c r="E877" s="209"/>
      <c r="F877" s="209"/>
      <c r="G877" s="209"/>
    </row>
    <row r="878" ht="15.75" customHeight="1">
      <c r="A878" s="209"/>
      <c r="D878" s="209"/>
      <c r="E878" s="209"/>
      <c r="F878" s="209"/>
      <c r="G878" s="209"/>
    </row>
    <row r="879" ht="15.75" customHeight="1">
      <c r="A879" s="209"/>
      <c r="D879" s="209"/>
      <c r="E879" s="209"/>
      <c r="F879" s="209"/>
      <c r="G879" s="209"/>
    </row>
    <row r="880" ht="15.75" customHeight="1">
      <c r="A880" s="209"/>
      <c r="D880" s="209"/>
      <c r="E880" s="209"/>
      <c r="F880" s="209"/>
      <c r="G880" s="209"/>
    </row>
    <row r="881" ht="15.75" customHeight="1">
      <c r="A881" s="209"/>
      <c r="D881" s="209"/>
      <c r="E881" s="209"/>
      <c r="F881" s="209"/>
      <c r="G881" s="209"/>
    </row>
    <row r="882" ht="15.75" customHeight="1">
      <c r="A882" s="209"/>
      <c r="D882" s="209"/>
      <c r="E882" s="209"/>
      <c r="F882" s="209"/>
      <c r="G882" s="209"/>
    </row>
    <row r="883" ht="15.75" customHeight="1">
      <c r="A883" s="209"/>
      <c r="D883" s="209"/>
      <c r="E883" s="209"/>
      <c r="F883" s="209"/>
      <c r="G883" s="209"/>
    </row>
    <row r="884" ht="15.75" customHeight="1">
      <c r="A884" s="209"/>
      <c r="D884" s="209"/>
      <c r="E884" s="209"/>
      <c r="F884" s="209"/>
      <c r="G884" s="209"/>
    </row>
    <row r="885" ht="15.75" customHeight="1">
      <c r="A885" s="209"/>
      <c r="D885" s="209"/>
      <c r="E885" s="209"/>
      <c r="F885" s="209"/>
      <c r="G885" s="209"/>
    </row>
    <row r="886" ht="15.75" customHeight="1">
      <c r="A886" s="209"/>
      <c r="D886" s="209"/>
      <c r="E886" s="209"/>
      <c r="F886" s="209"/>
      <c r="G886" s="209"/>
    </row>
    <row r="887" ht="15.75" customHeight="1">
      <c r="A887" s="209"/>
      <c r="D887" s="209"/>
      <c r="E887" s="209"/>
      <c r="F887" s="209"/>
      <c r="G887" s="209"/>
    </row>
    <row r="888" ht="15.75" customHeight="1">
      <c r="A888" s="209"/>
      <c r="D888" s="209"/>
      <c r="E888" s="209"/>
      <c r="F888" s="209"/>
      <c r="G888" s="209"/>
    </row>
    <row r="889" ht="15.75" customHeight="1">
      <c r="A889" s="209"/>
      <c r="D889" s="209"/>
      <c r="E889" s="209"/>
      <c r="F889" s="209"/>
      <c r="G889" s="209"/>
    </row>
    <row r="890" ht="15.75" customHeight="1">
      <c r="A890" s="209"/>
      <c r="D890" s="209"/>
      <c r="E890" s="209"/>
      <c r="F890" s="209"/>
      <c r="G890" s="209"/>
    </row>
    <row r="891" ht="15.75" customHeight="1">
      <c r="A891" s="209"/>
      <c r="D891" s="209"/>
      <c r="E891" s="209"/>
      <c r="F891" s="209"/>
      <c r="G891" s="209"/>
    </row>
    <row r="892" ht="15.75" customHeight="1">
      <c r="A892" s="209"/>
      <c r="D892" s="209"/>
      <c r="E892" s="209"/>
      <c r="F892" s="209"/>
      <c r="G892" s="209"/>
    </row>
    <row r="893" ht="15.75" customHeight="1">
      <c r="A893" s="209"/>
      <c r="D893" s="209"/>
      <c r="E893" s="209"/>
      <c r="F893" s="209"/>
      <c r="G893" s="209"/>
    </row>
    <row r="894" ht="15.75" customHeight="1">
      <c r="A894" s="209"/>
      <c r="D894" s="209"/>
      <c r="E894" s="209"/>
      <c r="F894" s="209"/>
      <c r="G894" s="209"/>
    </row>
    <row r="895" ht="15.75" customHeight="1">
      <c r="A895" s="209"/>
      <c r="D895" s="209"/>
      <c r="E895" s="209"/>
      <c r="F895" s="209"/>
      <c r="G895" s="209"/>
    </row>
    <row r="896" ht="15.75" customHeight="1">
      <c r="A896" s="209"/>
      <c r="D896" s="209"/>
      <c r="E896" s="209"/>
      <c r="F896" s="209"/>
      <c r="G896" s="209"/>
    </row>
    <row r="897" ht="15.75" customHeight="1">
      <c r="A897" s="209"/>
      <c r="D897" s="209"/>
      <c r="E897" s="209"/>
      <c r="F897" s="209"/>
      <c r="G897" s="209"/>
    </row>
    <row r="898" ht="15.75" customHeight="1">
      <c r="A898" s="209"/>
      <c r="D898" s="209"/>
      <c r="E898" s="209"/>
      <c r="F898" s="209"/>
      <c r="G898" s="209"/>
    </row>
    <row r="899" ht="15.75" customHeight="1">
      <c r="A899" s="209"/>
      <c r="D899" s="209"/>
      <c r="E899" s="209"/>
      <c r="F899" s="209"/>
      <c r="G899" s="209"/>
    </row>
    <row r="900" ht="15.75" customHeight="1">
      <c r="A900" s="209"/>
      <c r="D900" s="209"/>
      <c r="E900" s="209"/>
      <c r="F900" s="209"/>
      <c r="G900" s="209"/>
    </row>
    <row r="901" ht="15.75" customHeight="1">
      <c r="A901" s="209"/>
      <c r="D901" s="209"/>
      <c r="E901" s="209"/>
      <c r="F901" s="209"/>
      <c r="G901" s="209"/>
    </row>
    <row r="902" ht="15.75" customHeight="1">
      <c r="A902" s="209"/>
      <c r="D902" s="209"/>
      <c r="E902" s="209"/>
      <c r="F902" s="209"/>
      <c r="G902" s="209"/>
    </row>
    <row r="903" ht="15.75" customHeight="1">
      <c r="A903" s="209"/>
      <c r="D903" s="209"/>
      <c r="E903" s="209"/>
      <c r="F903" s="209"/>
      <c r="G903" s="209"/>
    </row>
    <row r="904" ht="15.75" customHeight="1">
      <c r="A904" s="209"/>
      <c r="D904" s="209"/>
      <c r="E904" s="209"/>
      <c r="F904" s="209"/>
      <c r="G904" s="209"/>
    </row>
    <row r="905" ht="15.75" customHeight="1">
      <c r="A905" s="209"/>
      <c r="D905" s="209"/>
      <c r="E905" s="209"/>
      <c r="F905" s="209"/>
      <c r="G905" s="209"/>
    </row>
    <row r="906" ht="15.75" customHeight="1">
      <c r="A906" s="209"/>
      <c r="D906" s="209"/>
      <c r="E906" s="209"/>
      <c r="F906" s="209"/>
      <c r="G906" s="209"/>
    </row>
    <row r="907" ht="15.75" customHeight="1">
      <c r="A907" s="209"/>
      <c r="D907" s="209"/>
      <c r="E907" s="209"/>
      <c r="F907" s="209"/>
      <c r="G907" s="209"/>
    </row>
    <row r="908" ht="15.75" customHeight="1">
      <c r="A908" s="209"/>
      <c r="D908" s="209"/>
      <c r="E908" s="209"/>
      <c r="F908" s="209"/>
      <c r="G908" s="209"/>
    </row>
    <row r="909" ht="15.75" customHeight="1">
      <c r="A909" s="209"/>
      <c r="D909" s="209"/>
      <c r="E909" s="209"/>
      <c r="F909" s="209"/>
      <c r="G909" s="209"/>
    </row>
    <row r="910" ht="15.75" customHeight="1">
      <c r="A910" s="209"/>
      <c r="D910" s="209"/>
      <c r="E910" s="209"/>
      <c r="F910" s="209"/>
      <c r="G910" s="209"/>
    </row>
    <row r="911" ht="15.75" customHeight="1">
      <c r="A911" s="209"/>
      <c r="D911" s="209"/>
      <c r="E911" s="209"/>
      <c r="F911" s="209"/>
      <c r="G911" s="209"/>
    </row>
    <row r="912" ht="15.75" customHeight="1">
      <c r="A912" s="209"/>
      <c r="D912" s="209"/>
      <c r="E912" s="209"/>
      <c r="F912" s="209"/>
      <c r="G912" s="209"/>
    </row>
    <row r="913" ht="15.75" customHeight="1">
      <c r="A913" s="209"/>
      <c r="D913" s="209"/>
      <c r="E913" s="209"/>
      <c r="F913" s="209"/>
      <c r="G913" s="209"/>
    </row>
    <row r="914" ht="15.75" customHeight="1">
      <c r="A914" s="209"/>
      <c r="D914" s="209"/>
      <c r="E914" s="209"/>
      <c r="F914" s="209"/>
      <c r="G914" s="209"/>
    </row>
    <row r="915" ht="15.75" customHeight="1">
      <c r="A915" s="209"/>
      <c r="D915" s="209"/>
      <c r="E915" s="209"/>
      <c r="F915" s="209"/>
      <c r="G915" s="209"/>
    </row>
    <row r="916" ht="15.75" customHeight="1">
      <c r="A916" s="209"/>
      <c r="D916" s="209"/>
      <c r="E916" s="209"/>
      <c r="F916" s="209"/>
      <c r="G916" s="209"/>
    </row>
    <row r="917" ht="15.75" customHeight="1">
      <c r="A917" s="209"/>
      <c r="D917" s="209"/>
      <c r="E917" s="209"/>
      <c r="F917" s="209"/>
      <c r="G917" s="209"/>
    </row>
    <row r="918" ht="15.75" customHeight="1">
      <c r="A918" s="209"/>
      <c r="D918" s="209"/>
      <c r="E918" s="209"/>
      <c r="F918" s="209"/>
      <c r="G918" s="209"/>
    </row>
    <row r="919" ht="15.75" customHeight="1">
      <c r="A919" s="209"/>
      <c r="D919" s="209"/>
      <c r="E919" s="209"/>
      <c r="F919" s="209"/>
      <c r="G919" s="209"/>
    </row>
    <row r="920" ht="15.75" customHeight="1">
      <c r="A920" s="209"/>
      <c r="D920" s="209"/>
      <c r="E920" s="209"/>
      <c r="F920" s="209"/>
      <c r="G920" s="209"/>
    </row>
    <row r="921" ht="15.75" customHeight="1">
      <c r="A921" s="209"/>
      <c r="D921" s="209"/>
      <c r="E921" s="209"/>
      <c r="F921" s="209"/>
      <c r="G921" s="209"/>
    </row>
    <row r="922" ht="15.75" customHeight="1">
      <c r="A922" s="209"/>
      <c r="D922" s="209"/>
      <c r="E922" s="209"/>
      <c r="F922" s="209"/>
      <c r="G922" s="209"/>
    </row>
    <row r="923" ht="15.75" customHeight="1">
      <c r="A923" s="209"/>
      <c r="D923" s="209"/>
      <c r="E923" s="209"/>
      <c r="F923" s="209"/>
      <c r="G923" s="209"/>
    </row>
    <row r="924" ht="15.75" customHeight="1">
      <c r="A924" s="209"/>
      <c r="D924" s="209"/>
      <c r="E924" s="209"/>
      <c r="F924" s="209"/>
      <c r="G924" s="209"/>
    </row>
    <row r="925" ht="15.75" customHeight="1">
      <c r="A925" s="209"/>
      <c r="D925" s="209"/>
      <c r="E925" s="209"/>
      <c r="F925" s="209"/>
      <c r="G925" s="209"/>
    </row>
    <row r="926" ht="15.75" customHeight="1">
      <c r="A926" s="209"/>
      <c r="D926" s="209"/>
      <c r="E926" s="209"/>
      <c r="F926" s="209"/>
      <c r="G926" s="209"/>
    </row>
    <row r="927" ht="15.75" customHeight="1">
      <c r="A927" s="209"/>
      <c r="D927" s="209"/>
      <c r="E927" s="209"/>
      <c r="F927" s="209"/>
      <c r="G927" s="209"/>
    </row>
    <row r="928" ht="15.75" customHeight="1">
      <c r="A928" s="209"/>
      <c r="D928" s="209"/>
      <c r="E928" s="209"/>
      <c r="F928" s="209"/>
      <c r="G928" s="209"/>
    </row>
    <row r="929" ht="15.75" customHeight="1">
      <c r="A929" s="209"/>
      <c r="D929" s="209"/>
      <c r="E929" s="209"/>
      <c r="F929" s="209"/>
      <c r="G929" s="209"/>
    </row>
    <row r="930" ht="15.75" customHeight="1">
      <c r="A930" s="209"/>
      <c r="D930" s="209"/>
      <c r="E930" s="209"/>
      <c r="F930" s="209"/>
      <c r="G930" s="209"/>
    </row>
    <row r="931" ht="15.75" customHeight="1">
      <c r="A931" s="209"/>
      <c r="D931" s="209"/>
      <c r="E931" s="209"/>
      <c r="F931" s="209"/>
      <c r="G931" s="209"/>
    </row>
    <row r="932" ht="15.75" customHeight="1">
      <c r="A932" s="209"/>
      <c r="D932" s="209"/>
      <c r="E932" s="209"/>
      <c r="F932" s="209"/>
      <c r="G932" s="209"/>
    </row>
    <row r="933" ht="15.75" customHeight="1">
      <c r="A933" s="209"/>
      <c r="D933" s="209"/>
      <c r="E933" s="209"/>
      <c r="F933" s="209"/>
      <c r="G933" s="209"/>
    </row>
    <row r="934" ht="15.75" customHeight="1">
      <c r="A934" s="209"/>
      <c r="D934" s="209"/>
      <c r="E934" s="209"/>
      <c r="F934" s="209"/>
      <c r="G934" s="209"/>
    </row>
    <row r="935" ht="15.75" customHeight="1">
      <c r="A935" s="209"/>
      <c r="D935" s="209"/>
      <c r="E935" s="209"/>
      <c r="F935" s="209"/>
      <c r="G935" s="209"/>
    </row>
    <row r="936" ht="15.75" customHeight="1">
      <c r="A936" s="209"/>
      <c r="D936" s="209"/>
      <c r="E936" s="209"/>
      <c r="F936" s="209"/>
      <c r="G936" s="209"/>
    </row>
    <row r="937" ht="15.75" customHeight="1">
      <c r="A937" s="209"/>
      <c r="D937" s="209"/>
      <c r="E937" s="209"/>
      <c r="F937" s="209"/>
      <c r="G937" s="209"/>
    </row>
    <row r="938" ht="15.75" customHeight="1">
      <c r="A938" s="209"/>
      <c r="D938" s="209"/>
      <c r="E938" s="209"/>
      <c r="F938" s="209"/>
      <c r="G938" s="209"/>
    </row>
    <row r="939" ht="15.75" customHeight="1">
      <c r="A939" s="209"/>
      <c r="D939" s="209"/>
      <c r="E939" s="209"/>
      <c r="F939" s="209"/>
      <c r="G939" s="209"/>
    </row>
    <row r="940" ht="15.75" customHeight="1">
      <c r="A940" s="209"/>
      <c r="D940" s="209"/>
      <c r="E940" s="209"/>
      <c r="F940" s="209"/>
      <c r="G940" s="209"/>
    </row>
    <row r="941" ht="15.75" customHeight="1">
      <c r="A941" s="209"/>
      <c r="D941" s="209"/>
      <c r="E941" s="209"/>
      <c r="F941" s="209"/>
      <c r="G941" s="209"/>
    </row>
    <row r="942" ht="15.75" customHeight="1">
      <c r="A942" s="209"/>
      <c r="D942" s="209"/>
      <c r="E942" s="209"/>
      <c r="F942" s="209"/>
      <c r="G942" s="209"/>
    </row>
    <row r="943" ht="15.75" customHeight="1">
      <c r="A943" s="209"/>
      <c r="D943" s="209"/>
      <c r="E943" s="209"/>
      <c r="F943" s="209"/>
      <c r="G943" s="209"/>
    </row>
    <row r="944" ht="15.75" customHeight="1">
      <c r="A944" s="209"/>
      <c r="D944" s="209"/>
      <c r="E944" s="209"/>
      <c r="F944" s="209"/>
      <c r="G944" s="209"/>
    </row>
    <row r="945" ht="15.75" customHeight="1">
      <c r="A945" s="209"/>
      <c r="D945" s="209"/>
      <c r="E945" s="209"/>
      <c r="F945" s="209"/>
      <c r="G945" s="209"/>
    </row>
    <row r="946" ht="15.75" customHeight="1">
      <c r="A946" s="209"/>
      <c r="D946" s="209"/>
      <c r="E946" s="209"/>
      <c r="F946" s="209"/>
      <c r="G946" s="209"/>
    </row>
    <row r="947" ht="15.75" customHeight="1">
      <c r="A947" s="209"/>
      <c r="D947" s="209"/>
      <c r="E947" s="209"/>
      <c r="F947" s="209"/>
      <c r="G947" s="209"/>
    </row>
    <row r="948" ht="15.75" customHeight="1">
      <c r="A948" s="209"/>
      <c r="D948" s="209"/>
      <c r="E948" s="209"/>
      <c r="F948" s="209"/>
      <c r="G948" s="209"/>
    </row>
    <row r="949" ht="15.75" customHeight="1">
      <c r="A949" s="209"/>
      <c r="D949" s="209"/>
      <c r="E949" s="209"/>
      <c r="F949" s="209"/>
      <c r="G949" s="209"/>
    </row>
    <row r="950" ht="15.75" customHeight="1">
      <c r="A950" s="209"/>
      <c r="D950" s="209"/>
      <c r="E950" s="209"/>
      <c r="F950" s="209"/>
      <c r="G950" s="209"/>
    </row>
    <row r="951" ht="15.75" customHeight="1">
      <c r="A951" s="209"/>
      <c r="D951" s="209"/>
      <c r="E951" s="209"/>
      <c r="F951" s="209"/>
      <c r="G951" s="209"/>
    </row>
    <row r="952" ht="15.75" customHeight="1">
      <c r="A952" s="209"/>
      <c r="D952" s="209"/>
      <c r="E952" s="209"/>
      <c r="F952" s="209"/>
      <c r="G952" s="209"/>
    </row>
    <row r="953" ht="15.75" customHeight="1">
      <c r="A953" s="209"/>
      <c r="D953" s="209"/>
      <c r="E953" s="209"/>
      <c r="F953" s="209"/>
      <c r="G953" s="209"/>
    </row>
    <row r="954" ht="15.75" customHeight="1">
      <c r="A954" s="209"/>
      <c r="D954" s="209"/>
      <c r="E954" s="209"/>
      <c r="F954" s="209"/>
      <c r="G954" s="209"/>
    </row>
    <row r="955" ht="15.75" customHeight="1">
      <c r="A955" s="209"/>
      <c r="D955" s="209"/>
      <c r="E955" s="209"/>
      <c r="F955" s="209"/>
      <c r="G955" s="209"/>
    </row>
    <row r="956" ht="15.75" customHeight="1">
      <c r="A956" s="209"/>
      <c r="D956" s="209"/>
      <c r="E956" s="209"/>
      <c r="F956" s="209"/>
      <c r="G956" s="209"/>
    </row>
    <row r="957" ht="15.75" customHeight="1">
      <c r="A957" s="209"/>
      <c r="D957" s="209"/>
      <c r="E957" s="209"/>
      <c r="F957" s="209"/>
      <c r="G957" s="209"/>
    </row>
    <row r="958" ht="15.75" customHeight="1">
      <c r="A958" s="209"/>
      <c r="D958" s="209"/>
      <c r="E958" s="209"/>
      <c r="F958" s="209"/>
      <c r="G958" s="209"/>
    </row>
    <row r="959" ht="15.75" customHeight="1">
      <c r="A959" s="209"/>
      <c r="D959" s="209"/>
      <c r="E959" s="209"/>
      <c r="F959" s="209"/>
      <c r="G959" s="209"/>
    </row>
    <row r="960" ht="15.75" customHeight="1">
      <c r="A960" s="209"/>
      <c r="D960" s="209"/>
      <c r="E960" s="209"/>
      <c r="F960" s="209"/>
      <c r="G960" s="209"/>
    </row>
    <row r="961" ht="15.75" customHeight="1">
      <c r="A961" s="209"/>
      <c r="D961" s="209"/>
      <c r="E961" s="209"/>
      <c r="F961" s="209"/>
      <c r="G961" s="209"/>
    </row>
    <row r="962" ht="15.75" customHeight="1">
      <c r="A962" s="209"/>
      <c r="D962" s="209"/>
      <c r="E962" s="209"/>
      <c r="F962" s="209"/>
      <c r="G962" s="209"/>
    </row>
    <row r="963" ht="15.75" customHeight="1">
      <c r="A963" s="209"/>
      <c r="D963" s="209"/>
      <c r="E963" s="209"/>
      <c r="F963" s="209"/>
      <c r="G963" s="209"/>
    </row>
    <row r="964" ht="15.75" customHeight="1">
      <c r="A964" s="209"/>
      <c r="D964" s="209"/>
      <c r="E964" s="209"/>
      <c r="F964" s="209"/>
      <c r="G964" s="209"/>
    </row>
    <row r="965" ht="15.75" customHeight="1">
      <c r="A965" s="209"/>
      <c r="D965" s="209"/>
      <c r="E965" s="209"/>
      <c r="F965" s="209"/>
      <c r="G965" s="209"/>
    </row>
    <row r="966" ht="15.75" customHeight="1">
      <c r="A966" s="209"/>
      <c r="D966" s="209"/>
      <c r="E966" s="209"/>
      <c r="F966" s="209"/>
      <c r="G966" s="209"/>
    </row>
    <row r="967" ht="15.75" customHeight="1">
      <c r="A967" s="209"/>
      <c r="D967" s="209"/>
      <c r="E967" s="209"/>
      <c r="F967" s="209"/>
      <c r="G967" s="209"/>
    </row>
    <row r="968" ht="15.75" customHeight="1">
      <c r="A968" s="209"/>
      <c r="D968" s="209"/>
      <c r="E968" s="209"/>
      <c r="F968" s="209"/>
      <c r="G968" s="209"/>
    </row>
    <row r="969" ht="15.75" customHeight="1">
      <c r="A969" s="209"/>
      <c r="D969" s="209"/>
      <c r="E969" s="209"/>
      <c r="F969" s="209"/>
      <c r="G969" s="209"/>
    </row>
    <row r="970" ht="15.75" customHeight="1">
      <c r="A970" s="209"/>
      <c r="D970" s="209"/>
      <c r="E970" s="209"/>
      <c r="F970" s="209"/>
      <c r="G970" s="209"/>
    </row>
    <row r="971" ht="15.75" customHeight="1">
      <c r="A971" s="209"/>
      <c r="D971" s="209"/>
      <c r="E971" s="209"/>
      <c r="F971" s="209"/>
      <c r="G971" s="209"/>
    </row>
    <row r="972" ht="15.75" customHeight="1">
      <c r="A972" s="209"/>
      <c r="D972" s="209"/>
      <c r="E972" s="209"/>
      <c r="F972" s="209"/>
      <c r="G972" s="209"/>
    </row>
    <row r="973" ht="15.75" customHeight="1">
      <c r="A973" s="209"/>
      <c r="D973" s="209"/>
      <c r="E973" s="209"/>
      <c r="F973" s="209"/>
      <c r="G973" s="209"/>
    </row>
    <row r="974" ht="15.75" customHeight="1">
      <c r="A974" s="209"/>
      <c r="D974" s="209"/>
      <c r="E974" s="209"/>
      <c r="F974" s="209"/>
      <c r="G974" s="209"/>
    </row>
    <row r="975" ht="15.75" customHeight="1">
      <c r="A975" s="209"/>
      <c r="D975" s="209"/>
      <c r="E975" s="209"/>
      <c r="F975" s="209"/>
      <c r="G975" s="209"/>
    </row>
    <row r="976" ht="15.75" customHeight="1">
      <c r="A976" s="209"/>
      <c r="D976" s="209"/>
      <c r="E976" s="209"/>
      <c r="F976" s="209"/>
      <c r="G976" s="209"/>
    </row>
    <row r="977" ht="15.75" customHeight="1">
      <c r="A977" s="209"/>
      <c r="D977" s="209"/>
      <c r="E977" s="209"/>
      <c r="F977" s="209"/>
      <c r="G977" s="209"/>
    </row>
    <row r="978" ht="15.75" customHeight="1">
      <c r="A978" s="209"/>
      <c r="D978" s="209"/>
      <c r="E978" s="209"/>
      <c r="F978" s="209"/>
      <c r="G978" s="209"/>
    </row>
    <row r="979" ht="15.75" customHeight="1">
      <c r="A979" s="209"/>
      <c r="D979" s="209"/>
      <c r="E979" s="209"/>
      <c r="F979" s="209"/>
      <c r="G979" s="209"/>
    </row>
    <row r="980" ht="15.75" customHeight="1">
      <c r="A980" s="209"/>
      <c r="D980" s="209"/>
      <c r="E980" s="209"/>
      <c r="F980" s="209"/>
      <c r="G980" s="209"/>
    </row>
    <row r="981" ht="15.75" customHeight="1">
      <c r="A981" s="209"/>
      <c r="D981" s="209"/>
      <c r="E981" s="209"/>
      <c r="F981" s="209"/>
      <c r="G981" s="209"/>
    </row>
    <row r="982" ht="15.75" customHeight="1">
      <c r="A982" s="209"/>
      <c r="D982" s="209"/>
      <c r="E982" s="209"/>
      <c r="F982" s="209"/>
      <c r="G982" s="209"/>
    </row>
    <row r="983" ht="15.75" customHeight="1">
      <c r="A983" s="209"/>
      <c r="D983" s="209"/>
      <c r="E983" s="209"/>
      <c r="F983" s="209"/>
      <c r="G983" s="209"/>
    </row>
    <row r="984" ht="15.75" customHeight="1">
      <c r="A984" s="209"/>
      <c r="D984" s="209"/>
      <c r="E984" s="209"/>
      <c r="F984" s="209"/>
      <c r="G984" s="209"/>
    </row>
    <row r="985" ht="15.75" customHeight="1">
      <c r="A985" s="209"/>
      <c r="D985" s="209"/>
      <c r="E985" s="209"/>
      <c r="F985" s="209"/>
      <c r="G985" s="209"/>
    </row>
    <row r="986" ht="15.75" customHeight="1">
      <c r="A986" s="209"/>
      <c r="D986" s="209"/>
      <c r="E986" s="209"/>
      <c r="F986" s="209"/>
      <c r="G986" s="209"/>
    </row>
    <row r="987" ht="15.75" customHeight="1">
      <c r="A987" s="209"/>
      <c r="D987" s="209"/>
      <c r="E987" s="209"/>
      <c r="F987" s="209"/>
      <c r="G987" s="209"/>
    </row>
    <row r="988" ht="15.75" customHeight="1">
      <c r="A988" s="209"/>
      <c r="D988" s="209"/>
      <c r="E988" s="209"/>
      <c r="F988" s="209"/>
      <c r="G988" s="209"/>
    </row>
    <row r="989" ht="15.75" customHeight="1">
      <c r="A989" s="209"/>
      <c r="D989" s="209"/>
      <c r="E989" s="209"/>
      <c r="F989" s="209"/>
      <c r="G989" s="209"/>
    </row>
    <row r="990" ht="15.75" customHeight="1">
      <c r="A990" s="209"/>
      <c r="D990" s="209"/>
      <c r="E990" s="209"/>
      <c r="F990" s="209"/>
      <c r="G990" s="209"/>
    </row>
    <row r="991" ht="15.75" customHeight="1">
      <c r="A991" s="209"/>
      <c r="D991" s="209"/>
      <c r="E991" s="209"/>
      <c r="F991" s="209"/>
      <c r="G991" s="209"/>
    </row>
    <row r="992" ht="15.75" customHeight="1">
      <c r="A992" s="209"/>
      <c r="D992" s="209"/>
      <c r="E992" s="209"/>
      <c r="F992" s="209"/>
      <c r="G992" s="209"/>
    </row>
    <row r="993" ht="15.75" customHeight="1">
      <c r="A993" s="209"/>
      <c r="D993" s="209"/>
      <c r="E993" s="209"/>
      <c r="F993" s="209"/>
      <c r="G993" s="209"/>
    </row>
    <row r="994" ht="15.75" customHeight="1">
      <c r="A994" s="209"/>
      <c r="D994" s="209"/>
      <c r="E994" s="209"/>
      <c r="F994" s="209"/>
      <c r="G994" s="209"/>
    </row>
    <row r="995" ht="15.75" customHeight="1">
      <c r="A995" s="209"/>
      <c r="D995" s="209"/>
      <c r="E995" s="209"/>
      <c r="F995" s="209"/>
      <c r="G995" s="209"/>
    </row>
    <row r="996" ht="15.75" customHeight="1">
      <c r="A996" s="209"/>
      <c r="D996" s="209"/>
      <c r="E996" s="209"/>
      <c r="F996" s="209"/>
      <c r="G996" s="209"/>
    </row>
    <row r="997" ht="15.75" customHeight="1">
      <c r="A997" s="209"/>
      <c r="D997" s="209"/>
      <c r="E997" s="209"/>
      <c r="F997" s="209"/>
      <c r="G997" s="209"/>
    </row>
    <row r="998" ht="15.75" customHeight="1">
      <c r="A998" s="209"/>
      <c r="D998" s="209"/>
      <c r="E998" s="209"/>
      <c r="F998" s="209"/>
      <c r="G998" s="209"/>
    </row>
    <row r="999" ht="15.75" customHeight="1">
      <c r="A999" s="209"/>
      <c r="D999" s="209"/>
      <c r="E999" s="209"/>
      <c r="F999" s="209"/>
      <c r="G999" s="209"/>
    </row>
    <row r="1000" ht="15.75" customHeight="1">
      <c r="A1000" s="209"/>
      <c r="D1000" s="209"/>
      <c r="E1000" s="209"/>
      <c r="F1000" s="209"/>
      <c r="G1000" s="209"/>
    </row>
  </sheetData>
  <dataValidations>
    <dataValidation type="list" allowBlank="1" showInputMessage="1" showErrorMessage="1" prompt=" - " sqref="F2:F1000">
      <formula1>EventList</formula1>
    </dataValidation>
    <dataValidation type="list" allowBlank="1" showInputMessage="1" showErrorMessage="1" prompt="Gender? - Please enter M=Male, F=Female&#10;" sqref="D2:D1000">
      <formula1>"M,F,m,f"</formula1>
    </dataValidation>
    <dataValidation type="decimal" allowBlank="1" showInputMessage="1" showErrorMessage="1" prompt="EA Disability Group - Please enter a valid EA Disability Group&#10;0 = Non-disabled&#10;1 = Power Chair User&#10;2 = Manual Chair User&#10;3 = Ambulant - Moderate&#10;4 = Ambulant - Minimal" sqref="G2:G1000">
      <formula1>0.0</formula1>
      <formula2>4.0</formula2>
    </dataValidation>
  </dataValidations>
  <printOptions/>
  <pageMargins bottom="0.75" footer="0.0" header="0.0" left="0.7" right="0.7" top="0.75"/>
  <pageSetup orientation="landscape"/>
  <headerFooter>
    <oddHeader/>
    <oddFooter>&amp;C(c) 2013 QuadKids Limited www.quadkids.org</oddFoot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666699"/>
    <pageSetUpPr/>
  </sheetPr>
  <sheetViews>
    <sheetView workbookViewId="0">
      <pane xSplit="5.0" ySplit="4.0" topLeftCell="F5" activePane="bottomRight" state="frozen"/>
      <selection activeCell="F1" sqref="F1" pane="topRight"/>
      <selection activeCell="A5" sqref="A5" pane="bottomLeft"/>
      <selection activeCell="F5" sqref="F5" pane="bottomRight"/>
    </sheetView>
  </sheetViews>
  <sheetFormatPr customHeight="1" defaultColWidth="14.43" defaultRowHeight="15.0"/>
  <cols>
    <col customWidth="1" min="1" max="1" width="4.0"/>
    <col customWidth="1" hidden="1" min="2" max="2" width="4.43"/>
    <col customWidth="1" min="3" max="3" width="10.14"/>
    <col customWidth="1" min="4" max="4" width="22.86"/>
    <col customWidth="1" min="5" max="5" width="24.0"/>
    <col customWidth="1" min="6" max="13" width="9.14"/>
    <col customWidth="1" hidden="1" min="14" max="14" width="11.0"/>
    <col customWidth="1" min="15" max="15" width="9.14"/>
    <col customWidth="1" hidden="1" min="16" max="16" width="10.86"/>
    <col customWidth="1" min="17" max="17" width="9.57"/>
    <col customWidth="1" min="18" max="18" width="8.0"/>
    <col customWidth="1" min="19" max="19" width="6.71"/>
    <col customWidth="1" min="20" max="20" width="8.43"/>
    <col customWidth="1" min="21" max="21" width="4.71"/>
    <col customWidth="1" min="22" max="22" width="9.14"/>
    <col customWidth="1" min="23" max="23" width="3.14"/>
    <col customWidth="1" min="24" max="24" width="9.14"/>
    <col customWidth="1" min="25" max="25" width="3.71"/>
    <col customWidth="1" hidden="1" min="26" max="36" width="9.14"/>
  </cols>
  <sheetData>
    <row r="1" ht="26.25" customHeight="1">
      <c r="A1" s="210"/>
      <c r="B1" s="210"/>
      <c r="C1" s="211" t="s">
        <v>304</v>
      </c>
      <c r="D1" s="213" t="str">
        <f>IF(ISBLANK(+Configuration!C13),"QuadKids ",Configuration!C13)</f>
        <v>Bournemouth Spring Open</v>
      </c>
      <c r="E1" s="69"/>
      <c r="F1" s="69"/>
      <c r="G1" s="70"/>
      <c r="H1" s="210"/>
      <c r="I1" s="210"/>
      <c r="J1" s="210"/>
      <c r="K1" s="210"/>
      <c r="L1" s="210"/>
      <c r="M1" s="210"/>
      <c r="N1" s="210"/>
      <c r="O1" s="210"/>
      <c r="P1" s="210"/>
      <c r="Q1" s="210"/>
      <c r="R1" s="210"/>
      <c r="S1" s="210"/>
      <c r="T1" s="210"/>
      <c r="U1" s="210"/>
      <c r="V1" s="210"/>
      <c r="W1" s="210"/>
      <c r="X1" s="210"/>
      <c r="Y1" s="210"/>
      <c r="Z1" s="210"/>
      <c r="AA1" s="210"/>
      <c r="AB1" s="210"/>
      <c r="AC1" s="210"/>
      <c r="AD1" s="210"/>
      <c r="AE1" s="210"/>
      <c r="AF1" s="210"/>
      <c r="AG1" s="210"/>
      <c r="AH1" s="210"/>
      <c r="AI1" s="210"/>
      <c r="AJ1" s="210"/>
    </row>
    <row r="2" ht="14.2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row>
    <row r="3" ht="30.0" customHeight="1">
      <c r="A3" s="210"/>
      <c r="B3" s="210"/>
      <c r="C3" s="214" t="s">
        <v>306</v>
      </c>
      <c r="D3" s="216" t="s">
        <v>307</v>
      </c>
      <c r="E3" s="218" t="s">
        <v>308</v>
      </c>
      <c r="F3" s="219" t="str">
        <f>+Setup!B30</f>
        <v>75m</v>
      </c>
      <c r="G3" s="20"/>
      <c r="H3" s="219" t="str">
        <f>+Setup!C30</f>
        <v>600m</v>
      </c>
      <c r="I3" s="20"/>
      <c r="J3" s="219" t="str">
        <f>+Setup!D30</f>
        <v>Long_Jump</v>
      </c>
      <c r="K3" s="20"/>
      <c r="L3" s="219" t="str">
        <f>+Setup!E30</f>
        <v>Howler</v>
      </c>
      <c r="M3" s="20"/>
      <c r="N3" s="225" t="s">
        <v>48</v>
      </c>
      <c r="O3" s="226" t="s">
        <v>311</v>
      </c>
      <c r="P3" s="20"/>
      <c r="Q3" s="210"/>
      <c r="R3" s="228" t="s">
        <v>312</v>
      </c>
      <c r="S3" s="19"/>
      <c r="T3" s="20"/>
      <c r="U3" s="210"/>
      <c r="V3" s="229" t="s">
        <v>313</v>
      </c>
      <c r="W3" s="210"/>
      <c r="X3" s="210"/>
      <c r="Y3" s="210"/>
      <c r="Z3" s="231" t="s">
        <v>314</v>
      </c>
      <c r="AA3" s="19"/>
      <c r="AB3" s="20"/>
      <c r="AC3" s="210"/>
      <c r="AD3" s="231" t="s">
        <v>315</v>
      </c>
      <c r="AE3" s="19"/>
      <c r="AF3" s="20"/>
      <c r="AG3" s="210"/>
      <c r="AH3" s="210"/>
      <c r="AI3" s="233" t="s">
        <v>316</v>
      </c>
      <c r="AJ3" s="20"/>
    </row>
    <row r="4" ht="15.0" customHeight="1">
      <c r="A4" s="210"/>
      <c r="B4" s="210"/>
      <c r="C4" s="29"/>
      <c r="D4" s="30"/>
      <c r="E4" s="31"/>
      <c r="F4" s="234" t="s">
        <v>317</v>
      </c>
      <c r="G4" s="235" t="s">
        <v>318</v>
      </c>
      <c r="H4" s="234" t="s">
        <v>317</v>
      </c>
      <c r="I4" s="235" t="s">
        <v>318</v>
      </c>
      <c r="J4" s="234" t="s">
        <v>319</v>
      </c>
      <c r="K4" s="235" t="s">
        <v>318</v>
      </c>
      <c r="L4" s="234" t="s">
        <v>319</v>
      </c>
      <c r="M4" s="235" t="s">
        <v>318</v>
      </c>
      <c r="N4" s="236"/>
      <c r="O4" s="234" t="s">
        <v>320</v>
      </c>
      <c r="P4" s="235" t="s">
        <v>308</v>
      </c>
      <c r="Q4" s="210"/>
      <c r="R4" s="234" t="s">
        <v>321</v>
      </c>
      <c r="S4" s="237" t="s">
        <v>322</v>
      </c>
      <c r="T4" s="235" t="s">
        <v>323</v>
      </c>
      <c r="U4" s="210"/>
      <c r="V4" s="239" t="s">
        <v>324</v>
      </c>
      <c r="W4" s="210"/>
      <c r="X4" s="240" t="s">
        <v>117</v>
      </c>
      <c r="Y4" s="210"/>
      <c r="Z4" s="242" t="s">
        <v>318</v>
      </c>
      <c r="AA4" s="243" t="s">
        <v>325</v>
      </c>
      <c r="AB4" s="245" t="s">
        <v>326</v>
      </c>
      <c r="AC4" s="210"/>
      <c r="AD4" s="242" t="s">
        <v>318</v>
      </c>
      <c r="AE4" s="243" t="s">
        <v>325</v>
      </c>
      <c r="AF4" s="245" t="s">
        <v>326</v>
      </c>
      <c r="AG4" s="210"/>
      <c r="AH4" s="210"/>
      <c r="AI4" s="246" t="s">
        <v>321</v>
      </c>
      <c r="AJ4" s="247" t="s">
        <v>322</v>
      </c>
    </row>
    <row r="5" ht="15.0" customHeight="1">
      <c r="A5" s="248"/>
      <c r="B5" s="250">
        <f>IF(OR(ISNA(MATCH(C5&amp;"",AthleteNumbers,0)),ISBLANK(C5)),0,MATCH(C5&amp;"",AthleteNumbers,0))</f>
        <v>1</v>
      </c>
      <c r="C5" s="251" t="s">
        <v>121</v>
      </c>
      <c r="D5" s="252" t="str">
        <f t="array" ref="D5">IF($B5&gt;0,INDEX(DB,$B5,8),"")</f>
        <v>Harry Adams</v>
      </c>
      <c r="E5" s="253" t="str">
        <f t="array" ref="E5">IF($B5&gt;0,INDEX(DB,$B5,3),"")</f>
        <v>WADAC</v>
      </c>
      <c r="F5" s="254">
        <f t="array" ref="F5">IF($B5&gt;0,INDEX(DB,$B5,13),0)</f>
        <v>14.3</v>
      </c>
      <c r="G5" s="255">
        <f t="array" ref="G5">IF($B5&gt;0,INDEX(DB,$B5,17),0)</f>
        <v>27</v>
      </c>
      <c r="H5" s="257">
        <f t="array" ref="H5">IF($B5&gt;0,INDEX(DB,$B5,15),0)</f>
        <v>2.16</v>
      </c>
      <c r="I5" s="255">
        <f t="array" ref="I5">IF($B5&gt;0,INDEX(DB,$B5,19),0)</f>
        <v>54</v>
      </c>
      <c r="J5" s="257">
        <f t="array" ref="J5">IF($B5&gt;0,INDEX(DB,$B5,14),0)</f>
        <v>2.39</v>
      </c>
      <c r="K5" s="255">
        <f t="array" ref="K5">IF($B5&gt;0,INDEX(DB,$B5,18),0)</f>
        <v>16</v>
      </c>
      <c r="L5" s="254">
        <f t="array" ref="L5">IF($B5&gt;0,INDEX(DB,$B5,16),0)</f>
        <v>13.25</v>
      </c>
      <c r="M5" s="255">
        <f t="array" ref="M5">IF($B5&gt;0,INDEX(DB,$B5,20),0)</f>
        <v>26</v>
      </c>
      <c r="N5" s="258" t="str">
        <f t="array" ref="N5:N21">INDEX(RelayPoints,A20)</f>
        <v>#REF!</v>
      </c>
      <c r="O5" s="259">
        <f t="shared" ref="O5:O564" si="1">+G5+I5+K5+M5</f>
        <v>123</v>
      </c>
      <c r="P5" s="260" t="str">
        <f>+AC20+AG20+N5</f>
        <v>#REF!</v>
      </c>
      <c r="Q5" s="261" t="str">
        <f t="shared" ref="Q5:Q564" si="2">IF(AB5+AF5&gt;0,"*","")</f>
        <v/>
      </c>
      <c r="R5" s="262" t="str">
        <f>IF($AI5&gt;0,RANK($AI5,BoysPoints),0)</f>
        <v>#REF!</v>
      </c>
      <c r="S5" s="263">
        <f>IF($AJ5&gt;0,RANK($AJ5,GirlsPoints),0)</f>
        <v>0</v>
      </c>
      <c r="T5" s="264">
        <f>IF($O5&gt;0,RANK(O5,AthletePoints),0)</f>
        <v>48</v>
      </c>
      <c r="U5" s="210"/>
      <c r="V5" s="265" t="str">
        <f>IF(O5&gt;=40,IF(X5="M",VLOOKUP(O5,UKABoysAwards,2),IF(X5="F",VLOOKUP(O5,UKAGirlsAwards,2),"")),"")</f>
        <v>Step 2</v>
      </c>
      <c r="W5" s="210"/>
      <c r="X5" s="266" t="str">
        <f t="array" ref="X5">INDEX(DB,$B5,4)</f>
        <v>M</v>
      </c>
      <c r="Y5" s="210"/>
      <c r="Z5" s="267">
        <f t="shared" ref="Z5:Z564" si="3">IF($X5="M",$O5+(ROW()/10000),0)</f>
        <v>123.0005</v>
      </c>
      <c r="AA5" s="268">
        <f>IF($Z5&gt;=1,RANK($Z5,$Z5:$Z20),0)</f>
        <v>15</v>
      </c>
      <c r="AB5" s="269">
        <f>IF(AA5&lt;=MaxS,INT(Z5),0)</f>
        <v>0</v>
      </c>
      <c r="AC5" s="210"/>
      <c r="AD5" s="267">
        <f t="shared" ref="AD5:AD564" si="4">IF($X5="F",$O5+(ROW()/10000),0)</f>
        <v>0</v>
      </c>
      <c r="AE5" s="268">
        <f>IF($AD5&gt;=1,RANK($AD5,$AD5:$AD20),0)</f>
        <v>0</v>
      </c>
      <c r="AF5" s="269">
        <f>IF(AE5&lt;=MaxS,INT(AD5),0)</f>
        <v>0</v>
      </c>
      <c r="AG5" s="210"/>
      <c r="AH5" s="210"/>
      <c r="AI5" s="270">
        <f t="shared" ref="AI5:AI564" si="5">IF($X5="M",$O5,0)</f>
        <v>123</v>
      </c>
      <c r="AJ5" s="271">
        <f t="shared" ref="AJ5:AJ564" si="6">IF($X5="F",$O5,0)</f>
        <v>0</v>
      </c>
    </row>
    <row r="6" ht="15.0" customHeight="1">
      <c r="A6" s="272"/>
      <c r="B6" s="250">
        <f>IF(OR(ISNA(MATCH(C6&amp;"",AthleteNumbers,0)),ISBLANK(C6)),0,MATCH(C6&amp;"",AthleteNumbers,0))</f>
        <v>2</v>
      </c>
      <c r="C6" s="251" t="s">
        <v>125</v>
      </c>
      <c r="D6" s="273" t="str">
        <f t="array" ref="D6">IF($B6&gt;0,INDEX(DB,$B6,8),"")</f>
        <v>Connor Bailey-Pierce</v>
      </c>
      <c r="E6" s="274" t="str">
        <f t="array" ref="E6">IF($B6&gt;0,INDEX(DB,$B6,3),"")</f>
        <v>BAC</v>
      </c>
      <c r="F6" s="275">
        <f t="array" ref="F6">IF($B6&gt;0,INDEX(DB,$B6,13),0)</f>
        <v>12.8</v>
      </c>
      <c r="G6" s="276">
        <f t="array" ref="G6">IF($B6&gt;0,INDEX(DB,$B6,17),0)</f>
        <v>42</v>
      </c>
      <c r="H6" s="277">
        <f t="array" ref="H6">IF($B6&gt;0,INDEX(DB,$B6,15),0)</f>
        <v>2.22</v>
      </c>
      <c r="I6" s="276">
        <f t="array" ref="I6">IF($B6&gt;0,INDEX(DB,$B6,19),0)</f>
        <v>48</v>
      </c>
      <c r="J6" s="277">
        <f t="array" ref="J6">IF($B6&gt;0,INDEX(DB,$B6,14),0)</f>
        <v>2.96</v>
      </c>
      <c r="K6" s="276">
        <f t="array" ref="K6">IF($B6&gt;0,INDEX(DB,$B6,18),0)</f>
        <v>35</v>
      </c>
      <c r="L6" s="275">
        <f t="array" ref="L6">IF($B6&gt;0,INDEX(DB,$B6,16),0)</f>
        <v>19.11</v>
      </c>
      <c r="M6" s="276">
        <f t="array" ref="M6">IF($B6&gt;0,INDEX(DB,$B6,20),0)</f>
        <v>38</v>
      </c>
      <c r="N6" s="278"/>
      <c r="O6" s="279">
        <f t="shared" si="1"/>
        <v>163</v>
      </c>
      <c r="P6" s="280"/>
      <c r="Q6" s="261" t="str">
        <f t="shared" si="2"/>
        <v/>
      </c>
      <c r="R6" s="281" t="str">
        <f>IF($AI6&gt;0,RANK($AI6,BoysPoints),0)</f>
        <v>#REF!</v>
      </c>
      <c r="S6" s="282">
        <f>IF($AJ6&gt;0,RANK($AJ6,GirlsPoints),0)</f>
        <v>0</v>
      </c>
      <c r="T6" s="283">
        <f>IF($O6&gt;0,RANK(O6,AthletePoints),0)</f>
        <v>22</v>
      </c>
      <c r="U6" s="210"/>
      <c r="V6" s="284" t="str">
        <f>IF(O6&gt;=40,IF(X6="M",VLOOKUP(O6,UKABoysAwards,2),IF(X6="F",VLOOKUP(O6,UKAGirlsAwards,2),"")),"")</f>
        <v>Step 4</v>
      </c>
      <c r="W6" s="210"/>
      <c r="X6" s="266" t="str">
        <f t="array" ref="X6">INDEX(DB,$B6,4)</f>
        <v>M</v>
      </c>
      <c r="Y6" s="210"/>
      <c r="Z6" s="285">
        <f t="shared" si="3"/>
        <v>163.0006</v>
      </c>
      <c r="AA6" s="286">
        <f>IF($Z6&gt;=1,RANK($Z6,$Z5:$Z20),0)</f>
        <v>7</v>
      </c>
      <c r="AB6" s="287">
        <f>IF(AA6&lt;=MaxS,INT(Z6),0)</f>
        <v>0</v>
      </c>
      <c r="AC6" s="210"/>
      <c r="AD6" s="285">
        <f t="shared" si="4"/>
        <v>0</v>
      </c>
      <c r="AE6" s="286">
        <f>IF($AD6&gt;=1,RANK($AD6,$AD5:$AD20),0)</f>
        <v>0</v>
      </c>
      <c r="AF6" s="287">
        <f>IF(AE6&lt;=MaxS,INT(AD6),0)</f>
        <v>0</v>
      </c>
      <c r="AG6" s="210"/>
      <c r="AH6" s="210"/>
      <c r="AI6" s="288">
        <f t="shared" si="5"/>
        <v>163</v>
      </c>
      <c r="AJ6" s="289">
        <f t="shared" si="6"/>
        <v>0</v>
      </c>
    </row>
    <row r="7" ht="15.0" customHeight="1">
      <c r="A7" s="272"/>
      <c r="B7" s="250">
        <f>IF(OR(ISNA(MATCH(C7&amp;"",AthleteNumbers,0)),ISBLANK(C7)),0,MATCH(C7&amp;"",AthleteNumbers,0))</f>
        <v>3</v>
      </c>
      <c r="C7" s="251" t="s">
        <v>128</v>
      </c>
      <c r="D7" s="273" t="str">
        <f t="array" ref="D7">IF($B7&gt;0,INDEX(DB,$B7,8),"")</f>
        <v>Elouan Biwole</v>
      </c>
      <c r="E7" s="274" t="str">
        <f t="array" ref="E7">IF($B7&gt;0,INDEX(DB,$B7,3),"")</f>
        <v>Poole AC</v>
      </c>
      <c r="F7" s="275">
        <f t="array" ref="F7">IF($B7&gt;0,INDEX(DB,$B7,13),0)</f>
        <v>11.9</v>
      </c>
      <c r="G7" s="276">
        <f t="array" ref="G7">IF($B7&gt;0,INDEX(DB,$B7,17),0)</f>
        <v>51</v>
      </c>
      <c r="H7" s="277">
        <f t="array" ref="H7">IF($B7&gt;0,INDEX(DB,$B7,15),0)</f>
        <v>2.18</v>
      </c>
      <c r="I7" s="276">
        <f t="array" ref="I7">IF($B7&gt;0,INDEX(DB,$B7,19),0)</f>
        <v>52</v>
      </c>
      <c r="J7" s="277">
        <f t="array" ref="J7">IF($B7&gt;0,INDEX(DB,$B7,14),0)</f>
        <v>3.13</v>
      </c>
      <c r="K7" s="276">
        <f t="array" ref="K7">IF($B7&gt;0,INDEX(DB,$B7,18),0)</f>
        <v>41</v>
      </c>
      <c r="L7" s="275">
        <f t="array" ref="L7">IF($B7&gt;0,INDEX(DB,$B7,16),0)</f>
        <v>25.55</v>
      </c>
      <c r="M7" s="276">
        <f t="array" ref="M7">IF($B7&gt;0,INDEX(DB,$B7,20),0)</f>
        <v>51</v>
      </c>
      <c r="N7" s="278"/>
      <c r="O7" s="279">
        <f t="shared" si="1"/>
        <v>195</v>
      </c>
      <c r="P7" s="280"/>
      <c r="Q7" s="261" t="str">
        <f t="shared" si="2"/>
        <v>*</v>
      </c>
      <c r="R7" s="290" t="str">
        <f>IF($AI7&gt;0,RANK($AI7,BoysPoints),0)</f>
        <v>#REF!</v>
      </c>
      <c r="S7" s="291">
        <f>IF($AJ7&gt;0,RANK($AJ7,GirlsPoints),0)</f>
        <v>0</v>
      </c>
      <c r="T7" s="292">
        <f>IF($O7&gt;0,RANK(O7,AthletePoints),0)</f>
        <v>7</v>
      </c>
      <c r="U7" s="210"/>
      <c r="V7" s="293" t="str">
        <f>IF(O7&gt;=40,IF(X7="M",VLOOKUP(O7,UKABoysAwards,2),IF(X7="F",VLOOKUP(O7,UKAGirlsAwards,2),"")),"")</f>
        <v>Step 5</v>
      </c>
      <c r="W7" s="210"/>
      <c r="X7" s="266" t="str">
        <f t="array" ref="X7">INDEX(DB,$B7,4)</f>
        <v>M</v>
      </c>
      <c r="Y7" s="210"/>
      <c r="Z7" s="285">
        <f t="shared" si="3"/>
        <v>195.0007</v>
      </c>
      <c r="AA7" s="286">
        <f>IF($Z7&gt;=1,RANK($Z7,$Z5:$Z20),0)</f>
        <v>3</v>
      </c>
      <c r="AB7" s="287">
        <f>IF(AA7&lt;=MaxS,INT(Z7),0)</f>
        <v>195</v>
      </c>
      <c r="AC7" s="210"/>
      <c r="AD7" s="285">
        <f t="shared" si="4"/>
        <v>0</v>
      </c>
      <c r="AE7" s="286">
        <f>IF($AD7&gt;=1,RANK($AD7,$AD5:$AD20),0)</f>
        <v>0</v>
      </c>
      <c r="AF7" s="287">
        <f>IF(AE7&lt;=MaxS,INT(AD7),0)</f>
        <v>0</v>
      </c>
      <c r="AG7" s="210"/>
      <c r="AH7" s="210"/>
      <c r="AI7" s="288">
        <f t="shared" si="5"/>
        <v>195</v>
      </c>
      <c r="AJ7" s="289">
        <f t="shared" si="6"/>
        <v>0</v>
      </c>
    </row>
    <row r="8" ht="15.0" customHeight="1">
      <c r="A8" s="272"/>
      <c r="B8" s="250">
        <f>IF(OR(ISNA(MATCH(C8&amp;"",AthleteNumbers,0)),ISBLANK(C8)),0,MATCH(C8&amp;"",AthleteNumbers,0))</f>
        <v>4</v>
      </c>
      <c r="C8" s="251" t="s">
        <v>132</v>
      </c>
      <c r="D8" s="273" t="str">
        <f t="array" ref="D8">IF($B8&gt;0,INDEX(DB,$B8,8),"")</f>
        <v>Felix Bowyer</v>
      </c>
      <c r="E8" s="274" t="str">
        <f t="array" ref="E8">IF($B8&gt;0,INDEX(DB,$B8,3),"")</f>
        <v>WADAC</v>
      </c>
      <c r="F8" s="275">
        <f t="array" ref="F8">IF($B8&gt;0,INDEX(DB,$B8,13),0)</f>
        <v>11.9</v>
      </c>
      <c r="G8" s="276">
        <f t="array" ref="G8">IF($B8&gt;0,INDEX(DB,$B8,17),0)</f>
        <v>51</v>
      </c>
      <c r="H8" s="277">
        <f t="array" ref="H8">IF($B8&gt;0,INDEX(DB,$B8,15),0)</f>
        <v>2.03</v>
      </c>
      <c r="I8" s="276">
        <f t="array" ref="I8">IF($B8&gt;0,INDEX(DB,$B8,19),0)</f>
        <v>67</v>
      </c>
      <c r="J8" s="277">
        <f t="array" ref="J8">IF($B8&gt;0,INDEX(DB,$B8,14),0)</f>
        <v>3.23</v>
      </c>
      <c r="K8" s="276">
        <f t="array" ref="K8">IF($B8&gt;0,INDEX(DB,$B8,18),0)</f>
        <v>44</v>
      </c>
      <c r="L8" s="275">
        <f t="array" ref="L8">IF($B8&gt;0,INDEX(DB,$B8,16),0)</f>
        <v>22.98</v>
      </c>
      <c r="M8" s="276">
        <f t="array" ref="M8">IF($B8&gt;0,INDEX(DB,$B8,20),0)</f>
        <v>45</v>
      </c>
      <c r="N8" s="278"/>
      <c r="O8" s="279">
        <f t="shared" si="1"/>
        <v>207</v>
      </c>
      <c r="P8" s="280"/>
      <c r="Q8" s="261" t="str">
        <f t="shared" si="2"/>
        <v>*</v>
      </c>
      <c r="R8" s="281" t="str">
        <f>IF($AI8&gt;0,RANK($AI8,BoysPoints),0)</f>
        <v>#REF!</v>
      </c>
      <c r="S8" s="282">
        <f>IF($AJ8&gt;0,RANK($AJ8,GirlsPoints),0)</f>
        <v>0</v>
      </c>
      <c r="T8" s="283">
        <f>IF($O8&gt;0,RANK(O8,AthletePoints),0)</f>
        <v>4</v>
      </c>
      <c r="U8" s="210"/>
      <c r="V8" s="284" t="str">
        <f>IF(O8&gt;=40,IF(X8="M",VLOOKUP(O8,UKABoysAwards,2),IF(X8="F",VLOOKUP(O8,UKAGirlsAwards,2),"")),"")</f>
        <v>Step 6</v>
      </c>
      <c r="W8" s="210"/>
      <c r="X8" s="266" t="str">
        <f t="array" ref="X8">INDEX(DB,$B8,4)</f>
        <v>M</v>
      </c>
      <c r="Y8" s="210"/>
      <c r="Z8" s="285">
        <f t="shared" si="3"/>
        <v>207.0008</v>
      </c>
      <c r="AA8" s="286">
        <f>IF($Z8&gt;=1,RANK($Z8,$Z5:$Z20),0)</f>
        <v>1</v>
      </c>
      <c r="AB8" s="287">
        <f>IF(AA8&lt;=MaxS,INT(Z8),0)</f>
        <v>207</v>
      </c>
      <c r="AC8" s="210"/>
      <c r="AD8" s="285">
        <f t="shared" si="4"/>
        <v>0</v>
      </c>
      <c r="AE8" s="286">
        <f>IF($AD8&gt;=1,RANK($AD8,$AD5:$AD20),0)</f>
        <v>0</v>
      </c>
      <c r="AF8" s="287">
        <f>IF(AE8&lt;=MaxS,INT(AD8),0)</f>
        <v>0</v>
      </c>
      <c r="AG8" s="210"/>
      <c r="AH8" s="210"/>
      <c r="AI8" s="288">
        <f t="shared" si="5"/>
        <v>207</v>
      </c>
      <c r="AJ8" s="289">
        <f t="shared" si="6"/>
        <v>0</v>
      </c>
    </row>
    <row r="9" ht="15.0" customHeight="1">
      <c r="A9" s="272"/>
      <c r="B9" s="250">
        <f>IF(OR(ISNA(MATCH(C9&amp;"",AthleteNumbers,0)),ISBLANK(C9)),0,MATCH(C9&amp;"",AthleteNumbers,0))</f>
        <v>5</v>
      </c>
      <c r="C9" s="251" t="s">
        <v>134</v>
      </c>
      <c r="D9" s="273" t="str">
        <f t="array" ref="D9">IF($B9&gt;0,INDEX(DB,$B9,8),"")</f>
        <v>Finlay Carvell</v>
      </c>
      <c r="E9" s="274" t="str">
        <f t="array" ref="E9">IF($B9&gt;0,INDEX(DB,$B9,3),"")</f>
        <v>Wimborne AC</v>
      </c>
      <c r="F9" s="275">
        <f t="array" ref="F9">IF($B9&gt;0,INDEX(DB,$B9,13),0)</f>
        <v>12.5</v>
      </c>
      <c r="G9" s="276">
        <f t="array" ref="G9">IF($B9&gt;0,INDEX(DB,$B9,17),0)</f>
        <v>45</v>
      </c>
      <c r="H9" s="277">
        <f t="array" ref="H9">IF($B9&gt;0,INDEX(DB,$B9,15),0)</f>
        <v>2.15</v>
      </c>
      <c r="I9" s="276">
        <f t="array" ref="I9">IF($B9&gt;0,INDEX(DB,$B9,19),0)</f>
        <v>55</v>
      </c>
      <c r="J9" s="277">
        <f t="array" ref="J9">IF($B9&gt;0,INDEX(DB,$B9,14),0)</f>
        <v>2.63</v>
      </c>
      <c r="K9" s="276">
        <f t="array" ref="K9">IF($B9&gt;0,INDEX(DB,$B9,18),0)</f>
        <v>24</v>
      </c>
      <c r="L9" s="275">
        <f t="array" ref="L9">IF($B9&gt;0,INDEX(DB,$B9,16),0)</f>
        <v>14.09</v>
      </c>
      <c r="M9" s="276">
        <f t="array" ref="M9">IF($B9&gt;0,INDEX(DB,$B9,20),0)</f>
        <v>28</v>
      </c>
      <c r="N9" s="278"/>
      <c r="O9" s="279">
        <f t="shared" si="1"/>
        <v>152</v>
      </c>
      <c r="P9" s="280"/>
      <c r="Q9" s="261" t="str">
        <f t="shared" si="2"/>
        <v/>
      </c>
      <c r="R9" s="290" t="str">
        <f>IF($AI9&gt;0,RANK($AI9,BoysPoints),0)</f>
        <v>#REF!</v>
      </c>
      <c r="S9" s="291">
        <f>IF($AJ9&gt;0,RANK($AJ9,GirlsPoints),0)</f>
        <v>0</v>
      </c>
      <c r="T9" s="292">
        <f>IF($O9&gt;0,RANK(O9,AthletePoints),0)</f>
        <v>30</v>
      </c>
      <c r="U9" s="210"/>
      <c r="V9" s="293" t="str">
        <f>IF(O9&gt;=40,IF(X9="M",VLOOKUP(O9,UKABoysAwards,2),IF(X9="F",VLOOKUP(O9,UKAGirlsAwards,2),"")),"")</f>
        <v>Step 3</v>
      </c>
      <c r="W9" s="210"/>
      <c r="X9" s="266" t="str">
        <f t="array" ref="X9">INDEX(DB,$B9,4)</f>
        <v>M</v>
      </c>
      <c r="Y9" s="210"/>
      <c r="Z9" s="285">
        <f t="shared" si="3"/>
        <v>152.0009</v>
      </c>
      <c r="AA9" s="286">
        <f>IF($Z9&gt;=1,RANK($Z9,$Z5:$Z20),0)</f>
        <v>10</v>
      </c>
      <c r="AB9" s="287">
        <f>IF(AA9&lt;=MaxS,INT(Z9),0)</f>
        <v>0</v>
      </c>
      <c r="AC9" s="210"/>
      <c r="AD9" s="285">
        <f t="shared" si="4"/>
        <v>0</v>
      </c>
      <c r="AE9" s="286">
        <f>IF($AD9&gt;=1,RANK($AD9,$AD5:$AD20),0)</f>
        <v>0</v>
      </c>
      <c r="AF9" s="287">
        <f>IF(AE9&lt;=MaxS,INT(AD9),0)</f>
        <v>0</v>
      </c>
      <c r="AG9" s="210"/>
      <c r="AH9" s="210"/>
      <c r="AI9" s="288">
        <f t="shared" si="5"/>
        <v>152</v>
      </c>
      <c r="AJ9" s="289">
        <f t="shared" si="6"/>
        <v>0</v>
      </c>
    </row>
    <row r="10" ht="15.0" customHeight="1">
      <c r="A10" s="272"/>
      <c r="B10" s="250">
        <f>IF(OR(ISNA(MATCH(C10&amp;"",AthleteNumbers,0)),ISBLANK(C10)),0,MATCH(C10&amp;"",AthleteNumbers,0))</f>
        <v>6</v>
      </c>
      <c r="C10" s="251" t="s">
        <v>137</v>
      </c>
      <c r="D10" s="273" t="str">
        <f t="array" ref="D10">IF($B10&gt;0,INDEX(DB,$B10,8),"")</f>
        <v>Sam Coltman</v>
      </c>
      <c r="E10" s="274" t="str">
        <f t="array" ref="E10">IF($B10&gt;0,INDEX(DB,$B10,3),"")</f>
        <v>Bournemouth AC</v>
      </c>
      <c r="F10" s="275">
        <f t="array" ref="F10">IF($B10&gt;0,INDEX(DB,$B10,13),0)</f>
        <v>13.2</v>
      </c>
      <c r="G10" s="276">
        <f t="array" ref="G10">IF($B10&gt;0,INDEX(DB,$B10,17),0)</f>
        <v>38</v>
      </c>
      <c r="H10" s="277">
        <f t="array" ref="H10">IF($B10&gt;0,INDEX(DB,$B10,15),0)</f>
        <v>2.19</v>
      </c>
      <c r="I10" s="276">
        <f t="array" ref="I10">IF($B10&gt;0,INDEX(DB,$B10,19),0)</f>
        <v>51</v>
      </c>
      <c r="J10" s="277">
        <f t="array" ref="J10">IF($B10&gt;0,INDEX(DB,$B10,14),0)</f>
        <v>2.61</v>
      </c>
      <c r="K10" s="276">
        <f t="array" ref="K10">IF($B10&gt;0,INDEX(DB,$B10,18),0)</f>
        <v>23</v>
      </c>
      <c r="L10" s="275">
        <f t="array" ref="L10">IF($B10&gt;0,INDEX(DB,$B10,16),0)</f>
        <v>20.03</v>
      </c>
      <c r="M10" s="276">
        <f t="array" ref="M10">IF($B10&gt;0,INDEX(DB,$B10,20),0)</f>
        <v>40</v>
      </c>
      <c r="N10" s="278"/>
      <c r="O10" s="279">
        <f t="shared" si="1"/>
        <v>152</v>
      </c>
      <c r="P10" s="280"/>
      <c r="Q10" s="261" t="str">
        <f t="shared" si="2"/>
        <v/>
      </c>
      <c r="R10" s="281" t="str">
        <f>IF($AI10&gt;0,RANK($AI10,BoysPoints),0)</f>
        <v>#REF!</v>
      </c>
      <c r="S10" s="282">
        <f>IF($AJ10&gt;0,RANK($AJ10,GirlsPoints),0)</f>
        <v>0</v>
      </c>
      <c r="T10" s="283">
        <f>IF($O10&gt;0,RANK(O10,AthletePoints),0)</f>
        <v>30</v>
      </c>
      <c r="U10" s="210"/>
      <c r="V10" s="284" t="str">
        <f>IF(O10&gt;=40,IF(X10="M",VLOOKUP(O10,UKABoysAwards,2),IF(X10="F",VLOOKUP(O10,UKAGirlsAwards,2),"")),"")</f>
        <v>Step 3</v>
      </c>
      <c r="W10" s="210"/>
      <c r="X10" s="266" t="str">
        <f t="array" ref="X10">INDEX(DB,$B10,4)</f>
        <v>M</v>
      </c>
      <c r="Y10" s="210"/>
      <c r="Z10" s="285">
        <f t="shared" si="3"/>
        <v>152.001</v>
      </c>
      <c r="AA10" s="286">
        <f>IF($Z10&gt;=1,RANK($Z10,$Z5:$Z20),0)</f>
        <v>9</v>
      </c>
      <c r="AB10" s="287">
        <f>IF(AA10&lt;=MaxS,INT(Z10),0)</f>
        <v>0</v>
      </c>
      <c r="AC10" s="210"/>
      <c r="AD10" s="285">
        <f t="shared" si="4"/>
        <v>0</v>
      </c>
      <c r="AE10" s="286">
        <f>IF($AD10&gt;=1,RANK($AD10,$AD5:$AD20),0)</f>
        <v>0</v>
      </c>
      <c r="AF10" s="287">
        <f>IF(AE10&lt;=MaxS,INT(AD10),0)</f>
        <v>0</v>
      </c>
      <c r="AG10" s="210"/>
      <c r="AH10" s="210"/>
      <c r="AI10" s="288">
        <f t="shared" si="5"/>
        <v>152</v>
      </c>
      <c r="AJ10" s="289">
        <f t="shared" si="6"/>
        <v>0</v>
      </c>
    </row>
    <row r="11" ht="15.0" customHeight="1">
      <c r="A11" s="272"/>
      <c r="B11" s="250">
        <f>IF(OR(ISNA(MATCH(C11&amp;"",AthleteNumbers,0)),ISBLANK(C11)),0,MATCH(C11&amp;"",AthleteNumbers,0))</f>
        <v>7</v>
      </c>
      <c r="C11" s="251" t="s">
        <v>140</v>
      </c>
      <c r="D11" s="273" t="str">
        <f t="array" ref="D11">IF($B11&gt;0,INDEX(DB,$B11,8),"")</f>
        <v>Ethan Crowley</v>
      </c>
      <c r="E11" s="274" t="str">
        <f t="array" ref="E11">IF($B11&gt;0,INDEX(DB,$B11,3),"")</f>
        <v>Poole AC</v>
      </c>
      <c r="F11" s="275">
        <f t="array" ref="F11">IF($B11&gt;0,INDEX(DB,$B11,13),0)</f>
        <v>13.6</v>
      </c>
      <c r="G11" s="276">
        <f t="array" ref="G11">IF($B11&gt;0,INDEX(DB,$B11,17),0)</f>
        <v>34</v>
      </c>
      <c r="H11" s="277">
        <f t="array" ref="H11">IF($B11&gt;0,INDEX(DB,$B11,15),0)</f>
        <v>2.07</v>
      </c>
      <c r="I11" s="276">
        <f t="array" ref="I11">IF($B11&gt;0,INDEX(DB,$B11,19),0)</f>
        <v>63</v>
      </c>
      <c r="J11" s="277">
        <f t="array" ref="J11">IF($B11&gt;0,INDEX(DB,$B11,14),0)</f>
        <v>2.9</v>
      </c>
      <c r="K11" s="276">
        <f t="array" ref="K11">IF($B11&gt;0,INDEX(DB,$B11,18),0)</f>
        <v>33</v>
      </c>
      <c r="L11" s="275">
        <f t="array" ref="L11">IF($B11&gt;0,INDEX(DB,$B11,16),0)</f>
        <v>31.74</v>
      </c>
      <c r="M11" s="276">
        <f t="array" ref="M11">IF($B11&gt;0,INDEX(DB,$B11,20),0)</f>
        <v>63</v>
      </c>
      <c r="N11" s="278"/>
      <c r="O11" s="279">
        <f t="shared" si="1"/>
        <v>193</v>
      </c>
      <c r="P11" s="280"/>
      <c r="Q11" s="261" t="str">
        <f t="shared" si="2"/>
        <v>*</v>
      </c>
      <c r="R11" s="290" t="str">
        <f>IF($AI11&gt;0,RANK($AI11,BoysPoints),0)</f>
        <v>#REF!</v>
      </c>
      <c r="S11" s="291">
        <f>IF($AJ11&gt;0,RANK($AJ11,GirlsPoints),0)</f>
        <v>0</v>
      </c>
      <c r="T11" s="292">
        <f>IF($O11&gt;0,RANK(O11,AthletePoints),0)</f>
        <v>8</v>
      </c>
      <c r="U11" s="210"/>
      <c r="V11" s="293" t="str">
        <f>IF(O11&gt;=40,IF(X11="M",VLOOKUP(O11,UKABoysAwards,2),IF(X11="F",VLOOKUP(O11,UKAGirlsAwards,2),"")),"")</f>
        <v>Step 5</v>
      </c>
      <c r="W11" s="210"/>
      <c r="X11" s="266" t="str">
        <f t="array" ref="X11">INDEX(DB,$B11,4)</f>
        <v>M</v>
      </c>
      <c r="Y11" s="210"/>
      <c r="Z11" s="285">
        <f t="shared" si="3"/>
        <v>193.0011</v>
      </c>
      <c r="AA11" s="286">
        <f>IF($Z11&gt;=1,RANK($Z11,$Z5:$Z20),0)</f>
        <v>4</v>
      </c>
      <c r="AB11" s="287">
        <f>IF(AA11&lt;=MaxS,INT(Z11),0)</f>
        <v>193</v>
      </c>
      <c r="AC11" s="210"/>
      <c r="AD11" s="285">
        <f t="shared" si="4"/>
        <v>0</v>
      </c>
      <c r="AE11" s="286">
        <f>IF($AD11&gt;=1,RANK($AD11,$AD5:$AD20),0)</f>
        <v>0</v>
      </c>
      <c r="AF11" s="287">
        <f>IF(AE11&lt;=MaxS,INT(AD11),0)</f>
        <v>0</v>
      </c>
      <c r="AG11" s="210"/>
      <c r="AH11" s="210"/>
      <c r="AI11" s="288">
        <f t="shared" si="5"/>
        <v>193</v>
      </c>
      <c r="AJ11" s="289">
        <f t="shared" si="6"/>
        <v>0</v>
      </c>
    </row>
    <row r="12" ht="15.0" customHeight="1">
      <c r="A12" s="272"/>
      <c r="B12" s="250">
        <f>IF(OR(ISNA(MATCH(C12&amp;"",AthleteNumbers,0)),ISBLANK(C12)),0,MATCH(C12&amp;"",AthleteNumbers,0))</f>
        <v>8</v>
      </c>
      <c r="C12" s="251" t="s">
        <v>142</v>
      </c>
      <c r="D12" s="273" t="str">
        <f t="array" ref="D12">IF($B12&gt;0,INDEX(DB,$B12,8),"")</f>
        <v>Alfie Curtis</v>
      </c>
      <c r="E12" s="274" t="str">
        <f t="array" ref="E12">IF($B12&gt;0,INDEX(DB,$B12,3),"")</f>
        <v>Poole AC</v>
      </c>
      <c r="F12" s="275">
        <f t="array" ref="F12">IF($B12&gt;0,INDEX(DB,$B12,13),0)</f>
        <v>11.8</v>
      </c>
      <c r="G12" s="276">
        <f t="array" ref="G12">IF($B12&gt;0,INDEX(DB,$B12,17),0)</f>
        <v>52</v>
      </c>
      <c r="H12" s="277">
        <f t="array" ref="H12">IF($B12&gt;0,INDEX(DB,$B12,15),0)</f>
        <v>2.17</v>
      </c>
      <c r="I12" s="276">
        <f t="array" ref="I12">IF($B12&gt;0,INDEX(DB,$B12,19),0)</f>
        <v>53</v>
      </c>
      <c r="J12" s="277">
        <f t="array" ref="J12">IF($B12&gt;0,INDEX(DB,$B12,14),0)</f>
        <v>3.5</v>
      </c>
      <c r="K12" s="276">
        <f t="array" ref="K12">IF($B12&gt;0,INDEX(DB,$B12,18),0)</f>
        <v>53</v>
      </c>
      <c r="L12" s="275">
        <f t="array" ref="L12">IF($B12&gt;0,INDEX(DB,$B12,16),0)</f>
        <v>20.9</v>
      </c>
      <c r="M12" s="276">
        <f t="array" ref="M12">IF($B12&gt;0,INDEX(DB,$B12,20),0)</f>
        <v>41</v>
      </c>
      <c r="N12" s="278"/>
      <c r="O12" s="279">
        <f t="shared" si="1"/>
        <v>199</v>
      </c>
      <c r="P12" s="280"/>
      <c r="Q12" s="261" t="str">
        <f t="shared" si="2"/>
        <v>*</v>
      </c>
      <c r="R12" s="281" t="str">
        <f>IF($AI12&gt;0,RANK($AI12,BoysPoints),0)</f>
        <v>#REF!</v>
      </c>
      <c r="S12" s="282">
        <f>IF($AJ12&gt;0,RANK($AJ12,GirlsPoints),0)</f>
        <v>0</v>
      </c>
      <c r="T12" s="283">
        <f>IF($O12&gt;0,RANK(O12,AthletePoints),0)</f>
        <v>5</v>
      </c>
      <c r="U12" s="210"/>
      <c r="V12" s="284" t="str">
        <f>IF(O12&gt;=40,IF(X12="M",VLOOKUP(O12,UKABoysAwards,2),IF(X12="F",VLOOKUP(O12,UKAGirlsAwards,2),"")),"")</f>
        <v>Step 5</v>
      </c>
      <c r="W12" s="210"/>
      <c r="X12" s="266" t="str">
        <f t="array" ref="X12">INDEX(DB,$B12,4)</f>
        <v>M</v>
      </c>
      <c r="Y12" s="210"/>
      <c r="Z12" s="285">
        <f t="shared" si="3"/>
        <v>199.0012</v>
      </c>
      <c r="AA12" s="286">
        <f>IF($Z12&gt;=1,RANK($Z12,$Z5:$Z20),0)</f>
        <v>2</v>
      </c>
      <c r="AB12" s="287">
        <f>IF(AA12&lt;=MaxS,INT(Z12),0)</f>
        <v>199</v>
      </c>
      <c r="AC12" s="210"/>
      <c r="AD12" s="285">
        <f t="shared" si="4"/>
        <v>0</v>
      </c>
      <c r="AE12" s="286">
        <f>IF($AD12&gt;=1,RANK($AD12,$AD5:$AD20),0)</f>
        <v>0</v>
      </c>
      <c r="AF12" s="287">
        <f>IF(AE12&lt;=MaxS,INT(AD12),0)</f>
        <v>0</v>
      </c>
      <c r="AG12" s="210"/>
      <c r="AH12" s="210"/>
      <c r="AI12" s="288">
        <f t="shared" si="5"/>
        <v>199</v>
      </c>
      <c r="AJ12" s="289">
        <f t="shared" si="6"/>
        <v>0</v>
      </c>
    </row>
    <row r="13" ht="15.0" customHeight="1">
      <c r="A13" s="272"/>
      <c r="B13" s="250">
        <f>IF(OR(ISNA(MATCH(C13&amp;"",AthleteNumbers,0)),ISBLANK(C13)),0,MATCH(C13&amp;"",AthleteNumbers,0))</f>
        <v>9</v>
      </c>
      <c r="C13" s="251" t="s">
        <v>144</v>
      </c>
      <c r="D13" s="273" t="str">
        <f t="array" ref="D13">IF($B13&gt;0,INDEX(DB,$B13,8),"")</f>
        <v>James Davie</v>
      </c>
      <c r="E13" s="274" t="str">
        <f t="array" ref="E13">IF($B13&gt;0,INDEX(DB,$B13,3),"")</f>
        <v>BAC</v>
      </c>
      <c r="F13" s="275">
        <f t="array" ref="F13">IF($B13&gt;0,INDEX(DB,$B13,13),0)</f>
        <v>12.3</v>
      </c>
      <c r="G13" s="276">
        <f t="array" ref="G13">IF($B13&gt;0,INDEX(DB,$B13,17),0)</f>
        <v>47</v>
      </c>
      <c r="H13" s="277">
        <f t="array" ref="H13">IF($B13&gt;0,INDEX(DB,$B13,15),0)</f>
        <v>2.2</v>
      </c>
      <c r="I13" s="276">
        <f t="array" ref="I13">IF($B13&gt;0,INDEX(DB,$B13,19),0)</f>
        <v>50</v>
      </c>
      <c r="J13" s="277">
        <f t="array" ref="J13">IF($B13&gt;0,INDEX(DB,$B13,14),0)</f>
        <v>3</v>
      </c>
      <c r="K13" s="276">
        <f t="array" ref="K13">IF($B13&gt;0,INDEX(DB,$B13,18),0)</f>
        <v>36</v>
      </c>
      <c r="L13" s="275">
        <f t="array" ref="L13">IF($B13&gt;0,INDEX(DB,$B13,16),0)</f>
        <v>21.05</v>
      </c>
      <c r="M13" s="276">
        <f t="array" ref="M13">IF($B13&gt;0,INDEX(DB,$B13,20),0)</f>
        <v>42</v>
      </c>
      <c r="N13" s="278"/>
      <c r="O13" s="279">
        <f t="shared" si="1"/>
        <v>175</v>
      </c>
      <c r="P13" s="280"/>
      <c r="Q13" s="261" t="str">
        <f t="shared" si="2"/>
        <v/>
      </c>
      <c r="R13" s="290" t="str">
        <f>IF($AI13&gt;0,RANK($AI13,BoysPoints),0)</f>
        <v>#REF!</v>
      </c>
      <c r="S13" s="291">
        <f>IF($AJ13&gt;0,RANK($AJ13,GirlsPoints),0)</f>
        <v>0</v>
      </c>
      <c r="T13" s="292">
        <f>IF($O13&gt;0,RANK(O13,AthletePoints),0)</f>
        <v>18</v>
      </c>
      <c r="U13" s="210"/>
      <c r="V13" s="293" t="str">
        <f>IF(O13&gt;=40,IF(X13="M",VLOOKUP(O13,UKABoysAwards,2),IF(X13="F",VLOOKUP(O13,UKAGirlsAwards,2),"")),"")</f>
        <v>Step 4</v>
      </c>
      <c r="W13" s="210"/>
      <c r="X13" s="266" t="str">
        <f t="array" ref="X13">INDEX(DB,$B13,4)</f>
        <v>M</v>
      </c>
      <c r="Y13" s="210"/>
      <c r="Z13" s="285">
        <f t="shared" si="3"/>
        <v>175.0013</v>
      </c>
      <c r="AA13" s="286">
        <f>IF($Z13&gt;=1,RANK($Z13,$Z5:$Z20),0)</f>
        <v>6</v>
      </c>
      <c r="AB13" s="287">
        <f>IF(AA13&lt;=MaxS,INT(Z13),0)</f>
        <v>0</v>
      </c>
      <c r="AC13" s="210"/>
      <c r="AD13" s="285">
        <f t="shared" si="4"/>
        <v>0</v>
      </c>
      <c r="AE13" s="286">
        <f>IF($AD13&gt;=1,RANK($AD13,$AD5:$AD20),0)</f>
        <v>0</v>
      </c>
      <c r="AF13" s="287">
        <f>IF(AE13&lt;=MaxS,INT(AD13),0)</f>
        <v>0</v>
      </c>
      <c r="AG13" s="210"/>
      <c r="AH13" s="210"/>
      <c r="AI13" s="288">
        <f t="shared" si="5"/>
        <v>175</v>
      </c>
      <c r="AJ13" s="289">
        <f t="shared" si="6"/>
        <v>0</v>
      </c>
    </row>
    <row r="14" ht="15.0" customHeight="1">
      <c r="A14" s="272"/>
      <c r="B14" s="250">
        <f>IF(OR(ISNA(MATCH(C14&amp;"",AthleteNumbers,0)),ISBLANK(C14)),0,MATCH(C14&amp;"",AthleteNumbers,0))</f>
        <v>10</v>
      </c>
      <c r="C14" s="251" t="s">
        <v>146</v>
      </c>
      <c r="D14" s="273" t="str">
        <f t="array" ref="D14">IF($B14&gt;0,INDEX(DB,$B14,8),"")</f>
        <v>Ethan Dolman</v>
      </c>
      <c r="E14" s="274" t="str">
        <f t="array" ref="E14">IF($B14&gt;0,INDEX(DB,$B14,3),"")</f>
        <v>BAC</v>
      </c>
      <c r="F14" s="275">
        <f t="array" ref="F14">IF($B14&gt;0,INDEX(DB,$B14,13),0)</f>
        <v>14</v>
      </c>
      <c r="G14" s="276">
        <f t="array" ref="G14">IF($B14&gt;0,INDEX(DB,$B14,17),0)</f>
        <v>30</v>
      </c>
      <c r="H14" s="277">
        <f t="array" ref="H14">IF($B14&gt;0,INDEX(DB,$B14,15),0)</f>
        <v>2.13</v>
      </c>
      <c r="I14" s="276">
        <f t="array" ref="I14">IF($B14&gt;0,INDEX(DB,$B14,19),0)</f>
        <v>57</v>
      </c>
      <c r="J14" s="277">
        <f t="array" ref="J14">IF($B14&gt;0,INDEX(DB,$B14,14),0)</f>
        <v>2.7</v>
      </c>
      <c r="K14" s="276">
        <f t="array" ref="K14">IF($B14&gt;0,INDEX(DB,$B14,18),0)</f>
        <v>26</v>
      </c>
      <c r="L14" s="275">
        <f t="array" ref="L14">IF($B14&gt;0,INDEX(DB,$B14,16),0)</f>
        <v>22.95</v>
      </c>
      <c r="M14" s="276">
        <f t="array" ref="M14">IF($B14&gt;0,INDEX(DB,$B14,20),0)</f>
        <v>45</v>
      </c>
      <c r="N14" s="278"/>
      <c r="O14" s="279">
        <f t="shared" si="1"/>
        <v>158</v>
      </c>
      <c r="P14" s="280"/>
      <c r="Q14" s="261" t="str">
        <f t="shared" si="2"/>
        <v/>
      </c>
      <c r="R14" s="281" t="str">
        <f>IF($AI14&gt;0,RANK($AI14,BoysPoints),0)</f>
        <v>#REF!</v>
      </c>
      <c r="S14" s="282">
        <f>IF($AJ14&gt;0,RANK($AJ14,GirlsPoints),0)</f>
        <v>0</v>
      </c>
      <c r="T14" s="283">
        <f>IF($O14&gt;0,RANK(O14,AthletePoints),0)</f>
        <v>25</v>
      </c>
      <c r="U14" s="210"/>
      <c r="V14" s="284" t="str">
        <f>IF(O14&gt;=40,IF(X14="M",VLOOKUP(O14,UKABoysAwards,2),IF(X14="F",VLOOKUP(O14,UKAGirlsAwards,2),"")),"")</f>
        <v>Step 3</v>
      </c>
      <c r="W14" s="210"/>
      <c r="X14" s="266" t="str">
        <f t="array" ref="X14">INDEX(DB,$B14,4)</f>
        <v>M</v>
      </c>
      <c r="Y14" s="210"/>
      <c r="Z14" s="285">
        <f t="shared" si="3"/>
        <v>158.0014</v>
      </c>
      <c r="AA14" s="286">
        <f>IF($Z14&gt;=1,RANK($Z14,$Z5:$Z20),0)</f>
        <v>8</v>
      </c>
      <c r="AB14" s="287">
        <f>IF(AA14&lt;=MaxS,INT(Z14),0)</f>
        <v>0</v>
      </c>
      <c r="AC14" s="210"/>
      <c r="AD14" s="285">
        <f t="shared" si="4"/>
        <v>0</v>
      </c>
      <c r="AE14" s="286">
        <f>IF($AD14&gt;=1,RANK($AD14,$AD5:$AD20),0)</f>
        <v>0</v>
      </c>
      <c r="AF14" s="287">
        <f>IF(AE14&lt;=MaxS,INT(AD14),0)</f>
        <v>0</v>
      </c>
      <c r="AG14" s="210"/>
      <c r="AH14" s="210"/>
      <c r="AI14" s="288">
        <f t="shared" si="5"/>
        <v>158</v>
      </c>
      <c r="AJ14" s="289">
        <f t="shared" si="6"/>
        <v>0</v>
      </c>
    </row>
    <row r="15" ht="15.0" customHeight="1">
      <c r="A15" s="272"/>
      <c r="B15" s="250">
        <f>IF(OR(ISNA(MATCH(C15&amp;"",AthleteNumbers,0)),ISBLANK(C15)),0,MATCH(C15&amp;"",AthleteNumbers,0))</f>
        <v>11</v>
      </c>
      <c r="C15" s="251" t="s">
        <v>148</v>
      </c>
      <c r="D15" s="273" t="str">
        <f t="array" ref="D15">IF($B15&gt;0,INDEX(DB,$B15,8),"")</f>
        <v>Hugo English</v>
      </c>
      <c r="E15" s="274" t="str">
        <f t="array" ref="E15">IF($B15&gt;0,INDEX(DB,$B15,3),"")</f>
        <v>Dorchester</v>
      </c>
      <c r="F15" s="275">
        <f t="array" ref="F15">IF($B15&gt;0,INDEX(DB,$B15,13),0)</f>
        <v>11.8</v>
      </c>
      <c r="G15" s="276">
        <f t="array" ref="G15">IF($B15&gt;0,INDEX(DB,$B15,17),0)</f>
        <v>52</v>
      </c>
      <c r="H15" s="277">
        <f t="array" ref="H15">IF($B15&gt;0,INDEX(DB,$B15,15),0)</f>
        <v>2.36</v>
      </c>
      <c r="I15" s="276">
        <f t="array" ref="I15">IF($B15&gt;0,INDEX(DB,$B15,19),0)</f>
        <v>34</v>
      </c>
      <c r="J15" s="277">
        <f t="array" ref="J15">IF($B15&gt;0,INDEX(DB,$B15,14),0)</f>
        <v>3.43</v>
      </c>
      <c r="K15" s="276">
        <f t="array" ref="K15">IF($B15&gt;0,INDEX(DB,$B15,18),0)</f>
        <v>51</v>
      </c>
      <c r="L15" s="275">
        <f t="array" ref="L15">IF($B15&gt;0,INDEX(DB,$B15,16),0)</f>
        <v>20.48</v>
      </c>
      <c r="M15" s="276">
        <f t="array" ref="M15">IF($B15&gt;0,INDEX(DB,$B15,20),0)</f>
        <v>40</v>
      </c>
      <c r="N15" s="278"/>
      <c r="O15" s="279">
        <f t="shared" si="1"/>
        <v>177</v>
      </c>
      <c r="P15" s="280"/>
      <c r="Q15" s="261" t="str">
        <f t="shared" si="2"/>
        <v/>
      </c>
      <c r="R15" s="290" t="str">
        <f>IF($AI15&gt;0,RANK($AI15,BoysPoints),0)</f>
        <v>#REF!</v>
      </c>
      <c r="S15" s="291">
        <f>IF($AJ15&gt;0,RANK($AJ15,GirlsPoints),0)</f>
        <v>0</v>
      </c>
      <c r="T15" s="292">
        <f>IF($O15&gt;0,RANK(O15,AthletePoints),0)</f>
        <v>16</v>
      </c>
      <c r="U15" s="210"/>
      <c r="V15" s="293" t="str">
        <f>IF(O15&gt;=40,IF(X15="M",VLOOKUP(O15,UKABoysAwards,2),IF(X15="F",VLOOKUP(O15,UKAGirlsAwards,2),"")),"")</f>
        <v>Step 4</v>
      </c>
      <c r="W15" s="210"/>
      <c r="X15" s="266" t="str">
        <f t="array" ref="X15">INDEX(DB,$B15,4)</f>
        <v>M</v>
      </c>
      <c r="Y15" s="210"/>
      <c r="Z15" s="285">
        <f t="shared" si="3"/>
        <v>177.0015</v>
      </c>
      <c r="AA15" s="286">
        <f>IF($Z15&gt;=1,RANK($Z15,$Z5:$Z20),0)</f>
        <v>5</v>
      </c>
      <c r="AB15" s="287">
        <f>IF(AA15&lt;=MaxS,INT(Z15),0)</f>
        <v>0</v>
      </c>
      <c r="AC15" s="210"/>
      <c r="AD15" s="285">
        <f t="shared" si="4"/>
        <v>0</v>
      </c>
      <c r="AE15" s="286">
        <f>IF($AD15&gt;=1,RANK($AD15,$AD5:$AD20),0)</f>
        <v>0</v>
      </c>
      <c r="AF15" s="287">
        <f>IF(AE15&lt;=MaxS,INT(AD15),0)</f>
        <v>0</v>
      </c>
      <c r="AG15" s="210"/>
      <c r="AH15" s="210"/>
      <c r="AI15" s="288">
        <f t="shared" si="5"/>
        <v>177</v>
      </c>
      <c r="AJ15" s="289">
        <f t="shared" si="6"/>
        <v>0</v>
      </c>
    </row>
    <row r="16" ht="15.0" customHeight="1">
      <c r="A16" s="272"/>
      <c r="B16" s="250">
        <f>IF(OR(ISNA(MATCH(C16&amp;"",AthleteNumbers,0)),ISBLANK(C16)),0,MATCH(C16&amp;"",AthleteNumbers,0))</f>
        <v>12</v>
      </c>
      <c r="C16" s="251" t="s">
        <v>151</v>
      </c>
      <c r="D16" s="273" t="str">
        <f t="array" ref="D16">IF($B16&gt;0,INDEX(DB,$B16,8),"")</f>
        <v>Jude Fisher</v>
      </c>
      <c r="E16" s="274" t="str">
        <f t="array" ref="E16">IF($B16&gt;0,INDEX(DB,$B16,3),"")</f>
        <v>WADAC</v>
      </c>
      <c r="F16" s="275">
        <f t="array" ref="F16">IF($B16&gt;0,INDEX(DB,$B16,13),0)</f>
        <v>13</v>
      </c>
      <c r="G16" s="276">
        <f t="array" ref="G16">IF($B16&gt;0,INDEX(DB,$B16,17),0)</f>
        <v>40</v>
      </c>
      <c r="H16" s="277">
        <f t="array" ref="H16">IF($B16&gt;0,INDEX(DB,$B16,15),0)</f>
        <v>2.18</v>
      </c>
      <c r="I16" s="276">
        <f t="array" ref="I16">IF($B16&gt;0,INDEX(DB,$B16,19),0)</f>
        <v>52</v>
      </c>
      <c r="J16" s="277">
        <f t="array" ref="J16">IF($B16&gt;0,INDEX(DB,$B16,14),0)</f>
        <v>2.37</v>
      </c>
      <c r="K16" s="276">
        <f t="array" ref="K16">IF($B16&gt;0,INDEX(DB,$B16,18),0)</f>
        <v>15</v>
      </c>
      <c r="L16" s="275">
        <f t="array" ref="L16">IF($B16&gt;0,INDEX(DB,$B16,16),0)</f>
        <v>19.26</v>
      </c>
      <c r="M16" s="276">
        <f t="array" ref="M16">IF($B16&gt;0,INDEX(DB,$B16,20),0)</f>
        <v>38</v>
      </c>
      <c r="N16" s="278"/>
      <c r="O16" s="279">
        <f t="shared" si="1"/>
        <v>145</v>
      </c>
      <c r="P16" s="280"/>
      <c r="Q16" s="261" t="str">
        <f t="shared" si="2"/>
        <v/>
      </c>
      <c r="R16" s="281" t="str">
        <f>IF($AI16&gt;0,RANK($AI16,BoysPoints),0)</f>
        <v>#REF!</v>
      </c>
      <c r="S16" s="282">
        <f>IF($AJ16&gt;0,RANK($AJ16,GirlsPoints),0)</f>
        <v>0</v>
      </c>
      <c r="T16" s="283">
        <f>IF($O16&gt;0,RANK(O16,AthletePoints),0)</f>
        <v>38</v>
      </c>
      <c r="U16" s="210"/>
      <c r="V16" s="284" t="str">
        <f>IF(O16&gt;=40,IF(X16="M",VLOOKUP(O16,UKABoysAwards,2),IF(X16="F",VLOOKUP(O16,UKAGirlsAwards,2),"")),"")</f>
        <v>Step 3</v>
      </c>
      <c r="W16" s="210"/>
      <c r="X16" s="266" t="str">
        <f t="array" ref="X16">INDEX(DB,$B16,4)</f>
        <v>M</v>
      </c>
      <c r="Y16" s="210"/>
      <c r="Z16" s="285">
        <f t="shared" si="3"/>
        <v>145.0016</v>
      </c>
      <c r="AA16" s="286">
        <f>IF($Z16&gt;=1,RANK($Z16,$Z5:$Z20),0)</f>
        <v>12</v>
      </c>
      <c r="AB16" s="287">
        <f>IF(AA16&lt;=MaxS,INT(Z16),0)</f>
        <v>0</v>
      </c>
      <c r="AC16" s="210"/>
      <c r="AD16" s="285">
        <f t="shared" si="4"/>
        <v>0</v>
      </c>
      <c r="AE16" s="286">
        <f>IF($AD16&gt;=1,RANK($AD16,$AD5:$AD20),0)</f>
        <v>0</v>
      </c>
      <c r="AF16" s="287">
        <f>IF(AE16&lt;=MaxS,INT(AD16),0)</f>
        <v>0</v>
      </c>
      <c r="AG16" s="210"/>
      <c r="AH16" s="210"/>
      <c r="AI16" s="288">
        <f t="shared" si="5"/>
        <v>145</v>
      </c>
      <c r="AJ16" s="289">
        <f t="shared" si="6"/>
        <v>0</v>
      </c>
    </row>
    <row r="17" ht="15.0" customHeight="1">
      <c r="A17" s="272"/>
      <c r="B17" s="250">
        <f>IF(OR(ISNA(MATCH(C17&amp;"",AthleteNumbers,0)),ISBLANK(C17)),0,MATCH(C17&amp;"",AthleteNumbers,0))</f>
        <v>13</v>
      </c>
      <c r="C17" s="251" t="s">
        <v>153</v>
      </c>
      <c r="D17" s="273" t="str">
        <f t="array" ref="D17">IF($B17&gt;0,INDEX(DB,$B17,8),"")</f>
        <v>Toby Fry</v>
      </c>
      <c r="E17" s="274" t="str">
        <f t="array" ref="E17">IF($B17&gt;0,INDEX(DB,$B17,3),"")</f>
        <v>Wimborne AC</v>
      </c>
      <c r="F17" s="275">
        <f t="array" ref="F17">IF($B17&gt;0,INDEX(DB,$B17,13),0)</f>
        <v>13.6</v>
      </c>
      <c r="G17" s="276">
        <f t="array" ref="G17">IF($B17&gt;0,INDEX(DB,$B17,17),0)</f>
        <v>34</v>
      </c>
      <c r="H17" s="277">
        <f t="array" ref="H17">IF($B17&gt;0,INDEX(DB,$B17,15),0)</f>
        <v>2.29</v>
      </c>
      <c r="I17" s="276">
        <f t="array" ref="I17">IF($B17&gt;0,INDEX(DB,$B17,19),0)</f>
        <v>41</v>
      </c>
      <c r="J17" s="277">
        <f t="array" ref="J17">IF($B17&gt;0,INDEX(DB,$B17,14),0)</f>
        <v>2.58</v>
      </c>
      <c r="K17" s="276">
        <f t="array" ref="K17">IF($B17&gt;0,INDEX(DB,$B17,18),0)</f>
        <v>22</v>
      </c>
      <c r="L17" s="275">
        <f t="array" ref="L17">IF($B17&gt;0,INDEX(DB,$B17,16),0)</f>
        <v>18.74</v>
      </c>
      <c r="M17" s="276">
        <f t="array" ref="M17">IF($B17&gt;0,INDEX(DB,$B17,20),0)</f>
        <v>37</v>
      </c>
      <c r="N17" s="278"/>
      <c r="O17" s="279">
        <f t="shared" si="1"/>
        <v>134</v>
      </c>
      <c r="P17" s="280"/>
      <c r="Q17" s="261" t="str">
        <f t="shared" si="2"/>
        <v/>
      </c>
      <c r="R17" s="290" t="str">
        <f>IF($AI17&gt;0,RANK($AI17,BoysPoints),0)</f>
        <v>#REF!</v>
      </c>
      <c r="S17" s="291">
        <f>IF($AJ17&gt;0,RANK($AJ17,GirlsPoints),0)</f>
        <v>0</v>
      </c>
      <c r="T17" s="292">
        <f>IF($O17&gt;0,RANK(O17,AthletePoints),0)</f>
        <v>45</v>
      </c>
      <c r="U17" s="210"/>
      <c r="V17" s="293" t="str">
        <f>IF(O17&gt;=40,IF(X17="M",VLOOKUP(O17,UKABoysAwards,2),IF(X17="F",VLOOKUP(O17,UKAGirlsAwards,2),"")),"")</f>
        <v>Step 2</v>
      </c>
      <c r="W17" s="210"/>
      <c r="X17" s="266" t="str">
        <f t="array" ref="X17">INDEX(DB,$B17,4)</f>
        <v>M</v>
      </c>
      <c r="Y17" s="210"/>
      <c r="Z17" s="285">
        <f t="shared" si="3"/>
        <v>134.0017</v>
      </c>
      <c r="AA17" s="286">
        <f>IF($Z17&gt;=1,RANK($Z17,$Z5:$Z20),0)</f>
        <v>14</v>
      </c>
      <c r="AB17" s="287">
        <f>IF(AA17&lt;=MaxS,INT(Z17),0)</f>
        <v>0</v>
      </c>
      <c r="AC17" s="210"/>
      <c r="AD17" s="285">
        <f t="shared" si="4"/>
        <v>0</v>
      </c>
      <c r="AE17" s="286">
        <f>IF($AD17&gt;=1,RANK($AD17,$AD5:$AD20),0)</f>
        <v>0</v>
      </c>
      <c r="AF17" s="287">
        <f>IF(AE17&lt;=MaxS,INT(AD17),0)</f>
        <v>0</v>
      </c>
      <c r="AG17" s="210"/>
      <c r="AH17" s="210"/>
      <c r="AI17" s="288">
        <f t="shared" si="5"/>
        <v>134</v>
      </c>
      <c r="AJ17" s="289">
        <f t="shared" si="6"/>
        <v>0</v>
      </c>
    </row>
    <row r="18" ht="15.0" customHeight="1">
      <c r="A18" s="248"/>
      <c r="B18" s="250">
        <f>IF(OR(ISNA(MATCH(C18&amp;"",AthleteNumbers,0)),ISBLANK(C18)),0,MATCH(C18&amp;"",AthleteNumbers,0))</f>
        <v>14</v>
      </c>
      <c r="C18" s="251" t="s">
        <v>155</v>
      </c>
      <c r="D18" s="273" t="str">
        <f t="array" ref="D18">IF($B18&gt;0,INDEX(DB,$B18,8),"")</f>
        <v>Tom Fry</v>
      </c>
      <c r="E18" s="274" t="str">
        <f t="array" ref="E18">IF($B18&gt;0,INDEX(DB,$B18,3),"")</f>
        <v>City of Portsmouth </v>
      </c>
      <c r="F18" s="275">
        <f t="array" ref="F18">IF($B18&gt;0,INDEX(DB,$B18,13),0)</f>
        <v>14.8</v>
      </c>
      <c r="G18" s="276">
        <f t="array" ref="G18">IF($B18&gt;0,INDEX(DB,$B18,17),0)</f>
        <v>22</v>
      </c>
      <c r="H18" s="277">
        <f t="array" ref="H18">IF($B18&gt;0,INDEX(DB,$B18,15),0)</f>
        <v>2.37</v>
      </c>
      <c r="I18" s="276">
        <f t="array" ref="I18">IF($B18&gt;0,INDEX(DB,$B18,19),0)</f>
        <v>33</v>
      </c>
      <c r="J18" s="277">
        <f t="array" ref="J18">IF($B18&gt;0,INDEX(DB,$B18,14),0)</f>
        <v>2.32</v>
      </c>
      <c r="K18" s="276">
        <f t="array" ref="K18">IF($B18&gt;0,INDEX(DB,$B18,18),0)</f>
        <v>13</v>
      </c>
      <c r="L18" s="275">
        <f t="array" ref="L18">IF($B18&gt;0,INDEX(DB,$B18,16),0)</f>
        <v>18.49</v>
      </c>
      <c r="M18" s="276">
        <f t="array" ref="M18">IF($B18&gt;0,INDEX(DB,$B18,20),0)</f>
        <v>36</v>
      </c>
      <c r="N18" s="278"/>
      <c r="O18" s="279">
        <f t="shared" si="1"/>
        <v>104</v>
      </c>
      <c r="P18" s="280"/>
      <c r="Q18" s="261" t="str">
        <f t="shared" si="2"/>
        <v/>
      </c>
      <c r="R18" s="281" t="str">
        <f>IF($AI18&gt;0,RANK($AI18,BoysPoints),0)</f>
        <v>#REF!</v>
      </c>
      <c r="S18" s="282">
        <f>IF($AJ18&gt;0,RANK($AJ18,GirlsPoints),0)</f>
        <v>0</v>
      </c>
      <c r="T18" s="283">
        <f>IF($O18&gt;0,RANK(O18,AthletePoints),0)</f>
        <v>58</v>
      </c>
      <c r="U18" s="210"/>
      <c r="V18" s="284" t="str">
        <f>IF(O18&gt;=40,IF(X18="M",VLOOKUP(O18,UKABoysAwards,2),IF(X18="F",VLOOKUP(O18,UKAGirlsAwards,2),"")),"")</f>
        <v>Step 1</v>
      </c>
      <c r="W18" s="210"/>
      <c r="X18" s="266" t="str">
        <f t="array" ref="X18">INDEX(DB,$B18,4)</f>
        <v>M</v>
      </c>
      <c r="Y18" s="210"/>
      <c r="Z18" s="285">
        <f t="shared" si="3"/>
        <v>104.0018</v>
      </c>
      <c r="AA18" s="286">
        <f>IF($Z18&gt;=1,RANK($Z18,$Z5:$Z20),0)</f>
        <v>16</v>
      </c>
      <c r="AB18" s="287">
        <f>IF(AA18&lt;=MaxS,INT(Z18),0)</f>
        <v>0</v>
      </c>
      <c r="AC18" s="210"/>
      <c r="AD18" s="285">
        <f t="shared" si="4"/>
        <v>0</v>
      </c>
      <c r="AE18" s="286">
        <f>IF($AD18&gt;=1,RANK($AD18,$AD5:$AD20),0)</f>
        <v>0</v>
      </c>
      <c r="AF18" s="287">
        <f>IF(AE18&lt;=MaxS,INT(AD18),0)</f>
        <v>0</v>
      </c>
      <c r="AG18" s="210"/>
      <c r="AH18" s="210"/>
      <c r="AI18" s="288">
        <f t="shared" si="5"/>
        <v>104</v>
      </c>
      <c r="AJ18" s="289">
        <f t="shared" si="6"/>
        <v>0</v>
      </c>
    </row>
    <row r="19" ht="15.0" customHeight="1">
      <c r="A19" s="248"/>
      <c r="B19" s="250">
        <f>IF(OR(ISNA(MATCH(C19&amp;"",AthleteNumbers,0)),ISBLANK(C19)),0,MATCH(C19&amp;"",AthleteNumbers,0))</f>
        <v>15</v>
      </c>
      <c r="C19" s="251" t="s">
        <v>158</v>
      </c>
      <c r="D19" s="273" t="str">
        <f t="array" ref="D19">IF($B19&gt;0,INDEX(DB,$B19,8),"")</f>
        <v>Jake Goddard</v>
      </c>
      <c r="E19" s="274" t="str">
        <f t="array" ref="E19">IF($B19&gt;0,INDEX(DB,$B19,3),"")</f>
        <v>Poole AC</v>
      </c>
      <c r="F19" s="275">
        <f t="array" ref="F19">IF($B19&gt;0,INDEX(DB,$B19,13),0)</f>
        <v>13.1</v>
      </c>
      <c r="G19" s="276">
        <f t="array" ref="G19">IF($B19&gt;0,INDEX(DB,$B19,17),0)</f>
        <v>39</v>
      </c>
      <c r="H19" s="277">
        <f t="array" ref="H19">IF($B19&gt;0,INDEX(DB,$B19,15),0)</f>
        <v>2.23</v>
      </c>
      <c r="I19" s="276">
        <f t="array" ref="I19">IF($B19&gt;0,INDEX(DB,$B19,19),0)</f>
        <v>47</v>
      </c>
      <c r="J19" s="277">
        <f t="array" ref="J19">IF($B19&gt;0,INDEX(DB,$B19,14),0)</f>
        <v>2.71</v>
      </c>
      <c r="K19" s="276">
        <f t="array" ref="K19">IF($B19&gt;0,INDEX(DB,$B19,18),0)</f>
        <v>27</v>
      </c>
      <c r="L19" s="275">
        <f t="array" ref="L19">IF($B19&gt;0,INDEX(DB,$B19,16),0)</f>
        <v>19.27</v>
      </c>
      <c r="M19" s="276">
        <f t="array" ref="M19">IF($B19&gt;0,INDEX(DB,$B19,20),0)</f>
        <v>38</v>
      </c>
      <c r="N19" s="278"/>
      <c r="O19" s="279">
        <f t="shared" si="1"/>
        <v>151</v>
      </c>
      <c r="P19" s="280"/>
      <c r="Q19" s="261" t="str">
        <f t="shared" si="2"/>
        <v/>
      </c>
      <c r="R19" s="290" t="str">
        <f>IF($AI19&gt;0,RANK($AI19,BoysPoints),0)</f>
        <v>#REF!</v>
      </c>
      <c r="S19" s="291">
        <f>IF($AJ19&gt;0,RANK($AJ19,GirlsPoints),0)</f>
        <v>0</v>
      </c>
      <c r="T19" s="292">
        <f>IF($O19&gt;0,RANK(O19,AthletePoints),0)</f>
        <v>33</v>
      </c>
      <c r="U19" s="210"/>
      <c r="V19" s="293" t="str">
        <f>IF(O19&gt;=40,IF(X19="M",VLOOKUP(O19,UKABoysAwards,2),IF(X19="F",VLOOKUP(O19,UKAGirlsAwards,2),"")),"")</f>
        <v>Step 3</v>
      </c>
      <c r="W19" s="210"/>
      <c r="X19" s="266" t="str">
        <f t="array" ref="X19">INDEX(DB,$B19,4)</f>
        <v>M</v>
      </c>
      <c r="Y19" s="210"/>
      <c r="Z19" s="285">
        <f t="shared" si="3"/>
        <v>151.0019</v>
      </c>
      <c r="AA19" s="286">
        <f>IF($Z19&gt;=1,RANK($Z19,$Z5:$Z20),0)</f>
        <v>11</v>
      </c>
      <c r="AB19" s="287">
        <f>IF(AA19&lt;=MaxS,INT(Z19),0)</f>
        <v>0</v>
      </c>
      <c r="AC19" s="210"/>
      <c r="AD19" s="285">
        <f t="shared" si="4"/>
        <v>0</v>
      </c>
      <c r="AE19" s="286">
        <f>IF($AD19&gt;=1,RANK($AD19,$AD5:$AD20),0)</f>
        <v>0</v>
      </c>
      <c r="AF19" s="287">
        <f>IF(AE19&lt;=MaxS,INT(AD19),0)</f>
        <v>0</v>
      </c>
      <c r="AG19" s="210"/>
      <c r="AH19" s="210"/>
      <c r="AI19" s="288">
        <f t="shared" si="5"/>
        <v>151</v>
      </c>
      <c r="AJ19" s="289">
        <f t="shared" si="6"/>
        <v>0</v>
      </c>
    </row>
    <row r="20" ht="15.0" customHeight="1">
      <c r="A20" s="305"/>
      <c r="B20" s="250">
        <f>IF(OR(ISNA(MATCH(C20&amp;"",AthleteNumbers,0)),ISBLANK(C20)),0,MATCH(C20&amp;"",AthleteNumbers,0))</f>
        <v>16</v>
      </c>
      <c r="C20" s="251" t="s">
        <v>160</v>
      </c>
      <c r="D20" s="306" t="str">
        <f t="array" ref="D20">IF($B20&gt;0,INDEX(DB,$B20,8),"")</f>
        <v>Jacob Green</v>
      </c>
      <c r="E20" s="307" t="str">
        <f t="array" ref="E20">IF($B20&gt;0,INDEX(DB,$B20,3),"")</f>
        <v>Bournemouth AC</v>
      </c>
      <c r="F20" s="308">
        <f t="array" ref="F20">IF($B20&gt;0,INDEX(DB,$B20,13),0)</f>
        <v>13.6</v>
      </c>
      <c r="G20" s="309">
        <f t="array" ref="G20">IF($B20&gt;0,INDEX(DB,$B20,17),0)</f>
        <v>34</v>
      </c>
      <c r="H20" s="310">
        <f t="array" ref="H20">IF($B20&gt;0,INDEX(DB,$B20,15),0)</f>
        <v>2.27</v>
      </c>
      <c r="I20" s="309">
        <f t="array" ref="I20">IF($B20&gt;0,INDEX(DB,$B20,19),0)</f>
        <v>43</v>
      </c>
      <c r="J20" s="310">
        <f t="array" ref="J20">IF($B20&gt;0,INDEX(DB,$B20,14),0)</f>
        <v>2.43</v>
      </c>
      <c r="K20" s="309">
        <f t="array" ref="K20">IF($B20&gt;0,INDEX(DB,$B20,18),0)</f>
        <v>17</v>
      </c>
      <c r="L20" s="308">
        <f t="array" ref="L20">IF($B20&gt;0,INDEX(DB,$B20,16),0)</f>
        <v>20.21</v>
      </c>
      <c r="M20" s="309">
        <f t="array" ref="M20">IF($B20&gt;0,INDEX(DB,$B20,20),0)</f>
        <v>40</v>
      </c>
      <c r="N20" s="25"/>
      <c r="O20" s="311">
        <f t="shared" si="1"/>
        <v>134</v>
      </c>
      <c r="P20" s="31"/>
      <c r="Q20" s="261" t="str">
        <f t="shared" si="2"/>
        <v/>
      </c>
      <c r="R20" s="312" t="str">
        <f>IF($AI20&gt;0,RANK($AI20,BoysPoints),0)</f>
        <v>#REF!</v>
      </c>
      <c r="S20" s="313">
        <f>IF($AJ20&gt;0,RANK($AJ20,GirlsPoints),0)</f>
        <v>0</v>
      </c>
      <c r="T20" s="314">
        <f>IF($O20&gt;0,RANK(O20,AthletePoints),0)</f>
        <v>45</v>
      </c>
      <c r="U20" s="210"/>
      <c r="V20" s="315" t="str">
        <f>IF(O20&gt;=40,IF(X20="M",VLOOKUP(O20,UKABoysAwards,2),IF(X20="F",VLOOKUP(O20,UKAGirlsAwards,2),"")),"")</f>
        <v>Step 2</v>
      </c>
      <c r="W20" s="210"/>
      <c r="X20" s="266" t="str">
        <f t="array" ref="X20">INDEX(DB,$B20,4)</f>
        <v>M</v>
      </c>
      <c r="Y20" s="210"/>
      <c r="Z20" s="316">
        <f t="shared" si="3"/>
        <v>134.002</v>
      </c>
      <c r="AA20" s="243">
        <f>IF($Z20&gt;=1,RANK($Z20,$Z5:$Z20),0)</f>
        <v>13</v>
      </c>
      <c r="AB20" s="245">
        <f>IF(AA20&lt;=MaxS,INT(Z20),0)</f>
        <v>0</v>
      </c>
      <c r="AC20" s="210">
        <f>SUM(AB5:AB20)</f>
        <v>794</v>
      </c>
      <c r="AD20" s="316">
        <f t="shared" si="4"/>
        <v>0</v>
      </c>
      <c r="AE20" s="243">
        <f>IF($AD20&gt;=1,RANK($AD20,$AD5:$AD20),0)</f>
        <v>0</v>
      </c>
      <c r="AF20" s="245">
        <f>IF(AE20&lt;=MaxS,INT(AD20),0)</f>
        <v>0</v>
      </c>
      <c r="AG20" s="210">
        <f>SUM(AF5:AF20)</f>
        <v>0</v>
      </c>
      <c r="AH20" s="210"/>
      <c r="AI20" s="288">
        <f t="shared" si="5"/>
        <v>134</v>
      </c>
      <c r="AJ20" s="289">
        <f t="shared" si="6"/>
        <v>0</v>
      </c>
    </row>
    <row r="21" ht="15.0" customHeight="1">
      <c r="A21" s="248"/>
      <c r="B21" s="250">
        <f>IF(OR(ISNA(MATCH(C21&amp;"",AthleteNumbers,0)),ISBLANK(C21)),0,MATCH(C21&amp;"",AthleteNumbers,0))</f>
        <v>17</v>
      </c>
      <c r="C21" s="251" t="s">
        <v>162</v>
      </c>
      <c r="D21" s="252" t="str">
        <f t="array" ref="D21">IF($B21&gt;0,INDEX(DB,$B21,8),"")</f>
        <v>Elliott Groom</v>
      </c>
      <c r="E21" s="253" t="str">
        <f t="array" ref="E21">IF($B21&gt;0,INDEX(DB,$B21,3),"")</f>
        <v>Havant</v>
      </c>
      <c r="F21" s="254">
        <f t="array" ref="F21">IF($B21&gt;0,INDEX(DB,$B21,13),0)</f>
        <v>0</v>
      </c>
      <c r="G21" s="255">
        <f t="array" ref="G21">IF($B21&gt;0,INDEX(DB,$B21,17),0)</f>
        <v>0</v>
      </c>
      <c r="H21" s="257">
        <f t="array" ref="H21">IF($B21&gt;0,INDEX(DB,$B21,15),0)</f>
        <v>0</v>
      </c>
      <c r="I21" s="255">
        <f t="array" ref="I21">IF($B21&gt;0,INDEX(DB,$B21,19),0)</f>
        <v>0</v>
      </c>
      <c r="J21" s="257">
        <f t="array" ref="J21">IF($B21&gt;0,INDEX(DB,$B21,14),0)</f>
        <v>0</v>
      </c>
      <c r="K21" s="255">
        <f t="array" ref="K21">IF($B21&gt;0,INDEX(DB,$B21,18),0)</f>
        <v>0</v>
      </c>
      <c r="L21" s="254">
        <f t="array" ref="L21">IF($B21&gt;0,INDEX(DB,$B21,16),0)</f>
        <v>0</v>
      </c>
      <c r="M21" s="255">
        <f t="array" ref="M21">IF($B21&gt;0,INDEX(DB,$B21,20),0)</f>
        <v>0</v>
      </c>
      <c r="N21" s="258" t="str">
        <f t="array" ref="N21:N37">INDEX(RelayPoints,A36)</f>
        <v>#REF!</v>
      </c>
      <c r="O21" s="259">
        <f t="shared" si="1"/>
        <v>0</v>
      </c>
      <c r="P21" s="260" t="str">
        <f>+AC36+AG36+N21</f>
        <v>#REF!</v>
      </c>
      <c r="Q21" s="261" t="str">
        <f t="shared" si="2"/>
        <v/>
      </c>
      <c r="R21" s="262">
        <f>IF($AI21&gt;0,RANK($AI21,BoysPoints),0)</f>
        <v>0</v>
      </c>
      <c r="S21" s="263">
        <f>IF($AJ21&gt;0,RANK($AJ21,GirlsPoints),0)</f>
        <v>0</v>
      </c>
      <c r="T21" s="264">
        <f>IF($O21&gt;0,RANK(O21,AthletePoints),0)</f>
        <v>0</v>
      </c>
      <c r="U21" s="210"/>
      <c r="V21" s="317" t="str">
        <f>IF(O21&gt;=40,IF(X21="M",VLOOKUP(O21,UKABoysAwards,2),IF(X21="F",VLOOKUP(O21,UKAGirlsAwards,2),"")),"")</f>
        <v/>
      </c>
      <c r="W21" s="210"/>
      <c r="X21" s="266" t="str">
        <f t="array" ref="X21">INDEX(DB,$B21,4)</f>
        <v>M</v>
      </c>
      <c r="Y21" s="210"/>
      <c r="Z21" s="267">
        <f t="shared" si="3"/>
        <v>0.0021</v>
      </c>
      <c r="AA21" s="268">
        <f>IF($Z21&gt;=1,RANK($Z21,$Z21:$Z36),0)</f>
        <v>0</v>
      </c>
      <c r="AB21" s="269">
        <f>IF(AA21&lt;=MaxS,INT(Z21),0)</f>
        <v>0</v>
      </c>
      <c r="AC21" s="210"/>
      <c r="AD21" s="267">
        <f t="shared" si="4"/>
        <v>0</v>
      </c>
      <c r="AE21" s="268">
        <f>IF($AD21&gt;=1,RANK($AD21,$AD21:$AD36),0)</f>
        <v>0</v>
      </c>
      <c r="AF21" s="269">
        <f>IF(AE21&lt;=MaxS,INT(AD21),0)</f>
        <v>0</v>
      </c>
      <c r="AG21" s="210"/>
      <c r="AH21" s="210"/>
      <c r="AI21" s="288">
        <f t="shared" si="5"/>
        <v>0</v>
      </c>
      <c r="AJ21" s="289">
        <f t="shared" si="6"/>
        <v>0</v>
      </c>
    </row>
    <row r="22" ht="15.0" customHeight="1">
      <c r="A22" s="272"/>
      <c r="B22" s="250">
        <f>IF(OR(ISNA(MATCH(C22&amp;"",AthleteNumbers,0)),ISBLANK(C22)),0,MATCH(C22&amp;"",AthleteNumbers,0))</f>
        <v>18</v>
      </c>
      <c r="C22" s="251" t="s">
        <v>165</v>
      </c>
      <c r="D22" s="273" t="str">
        <f t="array" ref="D22">IF($B22&gt;0,INDEX(DB,$B22,8),"")</f>
        <v>William Launder</v>
      </c>
      <c r="E22" s="274" t="str">
        <f t="array" ref="E22">IF($B22&gt;0,INDEX(DB,$B22,3),"")</f>
        <v>Bournemouth AC</v>
      </c>
      <c r="F22" s="275">
        <f t="array" ref="F22">IF($B22&gt;0,INDEX(DB,$B22,13),0)</f>
        <v>12.1</v>
      </c>
      <c r="G22" s="276">
        <f t="array" ref="G22">IF($B22&gt;0,INDEX(DB,$B22,17),0)</f>
        <v>49</v>
      </c>
      <c r="H22" s="277">
        <f t="array" ref="H22">IF($B22&gt;0,INDEX(DB,$B22,15),0)</f>
        <v>1.59</v>
      </c>
      <c r="I22" s="276">
        <f t="array" ref="I22">IF($B22&gt;0,INDEX(DB,$B22,19),0)</f>
        <v>71</v>
      </c>
      <c r="J22" s="277">
        <f t="array" ref="J22">IF($B22&gt;0,INDEX(DB,$B22,14),0)</f>
        <v>3.8</v>
      </c>
      <c r="K22" s="276">
        <f t="array" ref="K22">IF($B22&gt;0,INDEX(DB,$B22,18),0)</f>
        <v>63</v>
      </c>
      <c r="L22" s="275">
        <f t="array" ref="L22">IF($B22&gt;0,INDEX(DB,$B22,16),0)</f>
        <v>28.2</v>
      </c>
      <c r="M22" s="276">
        <f t="array" ref="M22">IF($B22&gt;0,INDEX(DB,$B22,20),0)</f>
        <v>56</v>
      </c>
      <c r="N22" s="278"/>
      <c r="O22" s="279">
        <f t="shared" si="1"/>
        <v>239</v>
      </c>
      <c r="P22" s="280"/>
      <c r="Q22" s="261" t="str">
        <f t="shared" si="2"/>
        <v>*</v>
      </c>
      <c r="R22" s="281" t="str">
        <f>IF($AI22&gt;0,RANK($AI22,BoysPoints),0)</f>
        <v>#REF!</v>
      </c>
      <c r="S22" s="282">
        <f>IF($AJ22&gt;0,RANK($AJ22,GirlsPoints),0)</f>
        <v>0</v>
      </c>
      <c r="T22" s="283">
        <f>IF($O22&gt;0,RANK(O22,AthletePoints),0)</f>
        <v>1</v>
      </c>
      <c r="U22" s="210"/>
      <c r="V22" s="284" t="str">
        <f>IF(O22&gt;=40,IF(X22="M",VLOOKUP(O22,UKABoysAwards,2),IF(X22="F",VLOOKUP(O22,UKAGirlsAwards,2),"")),"")</f>
        <v>Bronze</v>
      </c>
      <c r="W22" s="210"/>
      <c r="X22" s="266" t="str">
        <f t="array" ref="X22">INDEX(DB,$B22,4)</f>
        <v>M</v>
      </c>
      <c r="Y22" s="210"/>
      <c r="Z22" s="285">
        <f t="shared" si="3"/>
        <v>239.0022</v>
      </c>
      <c r="AA22" s="286">
        <f>IF($Z22&gt;=1,RANK($Z22,$Z21:$Z36),0)</f>
        <v>1</v>
      </c>
      <c r="AB22" s="287">
        <f>IF(AA22&lt;=MaxS,INT(Z22),0)</f>
        <v>239</v>
      </c>
      <c r="AC22" s="210"/>
      <c r="AD22" s="285">
        <f t="shared" si="4"/>
        <v>0</v>
      </c>
      <c r="AE22" s="286">
        <f>IF($AD22&gt;=1,RANK($AD22,$AD21:$AD36),0)</f>
        <v>0</v>
      </c>
      <c r="AF22" s="287">
        <f>IF(AE22&lt;=MaxS,INT(AD22),0)</f>
        <v>0</v>
      </c>
      <c r="AG22" s="210"/>
      <c r="AH22" s="210"/>
      <c r="AI22" s="288">
        <f t="shared" si="5"/>
        <v>239</v>
      </c>
      <c r="AJ22" s="289">
        <f t="shared" si="6"/>
        <v>0</v>
      </c>
    </row>
    <row r="23" ht="15.0" customHeight="1">
      <c r="A23" s="272"/>
      <c r="B23" s="250">
        <f>IF(OR(ISNA(MATCH(C23&amp;"",AthleteNumbers,0)),ISBLANK(C23)),0,MATCH(C23&amp;"",AthleteNumbers,0))</f>
        <v>19</v>
      </c>
      <c r="C23" s="251" t="s">
        <v>167</v>
      </c>
      <c r="D23" s="273" t="str">
        <f t="array" ref="D23">IF($B23&gt;0,INDEX(DB,$B23,8),"")</f>
        <v>Marvin Marshall</v>
      </c>
      <c r="E23" s="274" t="str">
        <f t="array" ref="E23">IF($B23&gt;0,INDEX(DB,$B23,3),"")</f>
        <v>Bournemouth AC</v>
      </c>
      <c r="F23" s="275">
        <f t="array" ref="F23">IF($B23&gt;0,INDEX(DB,$B23,13),0)</f>
        <v>14.3</v>
      </c>
      <c r="G23" s="276">
        <f t="array" ref="G23">IF($B23&gt;0,INDEX(DB,$B23,17),0)</f>
        <v>27</v>
      </c>
      <c r="H23" s="277">
        <f t="array" ref="H23">IF($B23&gt;0,INDEX(DB,$B23,15),0)</f>
        <v>3.03</v>
      </c>
      <c r="I23" s="276">
        <f t="array" ref="I23">IF($B23&gt;0,INDEX(DB,$B23,19),0)</f>
        <v>10</v>
      </c>
      <c r="J23" s="277">
        <f t="array" ref="J23">IF($B23&gt;0,INDEX(DB,$B23,14),0)</f>
        <v>2.11</v>
      </c>
      <c r="K23" s="276">
        <f t="array" ref="K23">IF($B23&gt;0,INDEX(DB,$B23,18),0)</f>
        <v>10</v>
      </c>
      <c r="L23" s="275">
        <f t="array" ref="L23">IF($B23&gt;0,INDEX(DB,$B23,16),0)</f>
        <v>11.75</v>
      </c>
      <c r="M23" s="276">
        <f t="array" ref="M23">IF($B23&gt;0,INDEX(DB,$B23,20),0)</f>
        <v>23</v>
      </c>
      <c r="N23" s="278"/>
      <c r="O23" s="279">
        <f t="shared" si="1"/>
        <v>70</v>
      </c>
      <c r="P23" s="280"/>
      <c r="Q23" s="261" t="str">
        <f t="shared" si="2"/>
        <v/>
      </c>
      <c r="R23" s="290" t="str">
        <f>IF($AI23&gt;0,RANK($AI23,BoysPoints),0)</f>
        <v>#REF!</v>
      </c>
      <c r="S23" s="291">
        <f>IF($AJ23&gt;0,RANK($AJ23,GirlsPoints),0)</f>
        <v>0</v>
      </c>
      <c r="T23" s="292">
        <f>IF($O23&gt;0,RANK(O23,AthletePoints),0)</f>
        <v>65</v>
      </c>
      <c r="U23" s="210"/>
      <c r="V23" s="293" t="str">
        <f>IF(O23&gt;=40,IF(X23="M",VLOOKUP(O23,UKABoysAwards,2),IF(X23="F",VLOOKUP(O23,UKAGirlsAwards,2),"")),"")</f>
        <v>Step 1</v>
      </c>
      <c r="W23" s="210"/>
      <c r="X23" s="266" t="str">
        <f t="array" ref="X23">INDEX(DB,$B23,4)</f>
        <v>M</v>
      </c>
      <c r="Y23" s="210"/>
      <c r="Z23" s="285">
        <f t="shared" si="3"/>
        <v>70.0023</v>
      </c>
      <c r="AA23" s="286">
        <f>IF($Z23&gt;=1,RANK($Z23,$Z21:$Z36),0)</f>
        <v>14</v>
      </c>
      <c r="AB23" s="287">
        <f>IF(AA23&lt;=MaxS,INT(Z23),0)</f>
        <v>0</v>
      </c>
      <c r="AC23" s="210"/>
      <c r="AD23" s="285">
        <f t="shared" si="4"/>
        <v>0</v>
      </c>
      <c r="AE23" s="286">
        <f>IF($AD23&gt;=1,RANK($AD23,$AD21:$AD36),0)</f>
        <v>0</v>
      </c>
      <c r="AF23" s="287">
        <f>IF(AE23&lt;=MaxS,INT(AD23),0)</f>
        <v>0</v>
      </c>
      <c r="AG23" s="210"/>
      <c r="AH23" s="210"/>
      <c r="AI23" s="288">
        <f t="shared" si="5"/>
        <v>70</v>
      </c>
      <c r="AJ23" s="289">
        <f t="shared" si="6"/>
        <v>0</v>
      </c>
    </row>
    <row r="24" ht="15.0" customHeight="1">
      <c r="A24" s="272"/>
      <c r="B24" s="250">
        <f>IF(OR(ISNA(MATCH(C24&amp;"",AthleteNumbers,0)),ISBLANK(C24)),0,MATCH(C24&amp;"",AthleteNumbers,0))</f>
        <v>20</v>
      </c>
      <c r="C24" s="251" t="s">
        <v>169</v>
      </c>
      <c r="D24" s="273" t="str">
        <f t="array" ref="D24">IF($B24&gt;0,INDEX(DB,$B24,8),"")</f>
        <v>Ciaran Merrett</v>
      </c>
      <c r="E24" s="274" t="str">
        <f t="array" ref="E24">IF($B24&gt;0,INDEX(DB,$B24,3),"")</f>
        <v>Yate &amp; District AC</v>
      </c>
      <c r="F24" s="275">
        <f t="array" ref="F24">IF($B24&gt;0,INDEX(DB,$B24,13),0)</f>
        <v>14.7</v>
      </c>
      <c r="G24" s="276">
        <f t="array" ref="G24">IF($B24&gt;0,INDEX(DB,$B24,17),0)</f>
        <v>23</v>
      </c>
      <c r="H24" s="277">
        <f t="array" ref="H24">IF($B24&gt;0,INDEX(DB,$B24,15),0)</f>
        <v>2.44</v>
      </c>
      <c r="I24" s="276">
        <f t="array" ref="I24">IF($B24&gt;0,INDEX(DB,$B24,19),0)</f>
        <v>26</v>
      </c>
      <c r="J24" s="277">
        <f t="array" ref="J24">IF($B24&gt;0,INDEX(DB,$B24,14),0)</f>
        <v>1.5</v>
      </c>
      <c r="K24" s="276">
        <f t="array" ref="K24">IF($B24&gt;0,INDEX(DB,$B24,18),0)</f>
        <v>10</v>
      </c>
      <c r="L24" s="275">
        <f t="array" ref="L24">IF($B24&gt;0,INDEX(DB,$B24,16),0)</f>
        <v>19.63</v>
      </c>
      <c r="M24" s="276">
        <f t="array" ref="M24">IF($B24&gt;0,INDEX(DB,$B24,20),0)</f>
        <v>39</v>
      </c>
      <c r="N24" s="278"/>
      <c r="O24" s="279">
        <f t="shared" si="1"/>
        <v>98</v>
      </c>
      <c r="P24" s="280"/>
      <c r="Q24" s="261" t="str">
        <f t="shared" si="2"/>
        <v/>
      </c>
      <c r="R24" s="281" t="str">
        <f>IF($AI24&gt;0,RANK($AI24,BoysPoints),0)</f>
        <v>#REF!</v>
      </c>
      <c r="S24" s="282">
        <f>IF($AJ24&gt;0,RANK($AJ24,GirlsPoints),0)</f>
        <v>0</v>
      </c>
      <c r="T24" s="283">
        <f>IF($O24&gt;0,RANK(O24,AthletePoints),0)</f>
        <v>60</v>
      </c>
      <c r="U24" s="210"/>
      <c r="V24" s="284" t="str">
        <f>IF(O24&gt;=40,IF(X24="M",VLOOKUP(O24,UKABoysAwards,2),IF(X24="F",VLOOKUP(O24,UKAGirlsAwards,2),"")),"")</f>
        <v>Step 1</v>
      </c>
      <c r="W24" s="210"/>
      <c r="X24" s="266" t="str">
        <f t="array" ref="X24">INDEX(DB,$B24,4)</f>
        <v>M</v>
      </c>
      <c r="Y24" s="210"/>
      <c r="Z24" s="285">
        <f t="shared" si="3"/>
        <v>98.0024</v>
      </c>
      <c r="AA24" s="286">
        <f>IF($Z24&gt;=1,RANK($Z24,$Z21:$Z36),0)</f>
        <v>12</v>
      </c>
      <c r="AB24" s="287">
        <f>IF(AA24&lt;=MaxS,INT(Z24),0)</f>
        <v>0</v>
      </c>
      <c r="AC24" s="210"/>
      <c r="AD24" s="285">
        <f t="shared" si="4"/>
        <v>0</v>
      </c>
      <c r="AE24" s="286">
        <f>IF($AD24&gt;=1,RANK($AD24,$AD21:$AD36),0)</f>
        <v>0</v>
      </c>
      <c r="AF24" s="287">
        <f>IF(AE24&lt;=MaxS,INT(AD24),0)</f>
        <v>0</v>
      </c>
      <c r="AG24" s="210"/>
      <c r="AH24" s="210"/>
      <c r="AI24" s="288">
        <f t="shared" si="5"/>
        <v>98</v>
      </c>
      <c r="AJ24" s="289">
        <f t="shared" si="6"/>
        <v>0</v>
      </c>
    </row>
    <row r="25" ht="15.0" customHeight="1">
      <c r="A25" s="272"/>
      <c r="B25" s="250">
        <f>IF(OR(ISNA(MATCH(C25&amp;"",AthleteNumbers,0)),ISBLANK(C25)),0,MATCH(C25&amp;"",AthleteNumbers,0))</f>
        <v>21</v>
      </c>
      <c r="C25" s="251" t="s">
        <v>172</v>
      </c>
      <c r="D25" s="273" t="str">
        <f t="array" ref="D25">IF($B25&gt;0,INDEX(DB,$B25,8),"")</f>
        <v>spare</v>
      </c>
      <c r="E25" s="274" t="str">
        <f t="array" ref="E25">IF($B25&gt;0,INDEX(DB,$B25,3),"")</f>
        <v>...</v>
      </c>
      <c r="F25" s="275">
        <f t="array" ref="F25">IF($B25&gt;0,INDEX(DB,$B25,13),0)</f>
        <v>0</v>
      </c>
      <c r="G25" s="276">
        <f t="array" ref="G25">IF($B25&gt;0,INDEX(DB,$B25,17),0)</f>
        <v>0</v>
      </c>
      <c r="H25" s="277">
        <f t="array" ref="H25">IF($B25&gt;0,INDEX(DB,$B25,15),0)</f>
        <v>0</v>
      </c>
      <c r="I25" s="276">
        <f t="array" ref="I25">IF($B25&gt;0,INDEX(DB,$B25,19),0)</f>
        <v>0</v>
      </c>
      <c r="J25" s="277">
        <f t="array" ref="J25">IF($B25&gt;0,INDEX(DB,$B25,14),0)</f>
        <v>0</v>
      </c>
      <c r="K25" s="276">
        <f t="array" ref="K25">IF($B25&gt;0,INDEX(DB,$B25,18),0)</f>
        <v>0</v>
      </c>
      <c r="L25" s="275">
        <f t="array" ref="L25">IF($B25&gt;0,INDEX(DB,$B25,16),0)</f>
        <v>0</v>
      </c>
      <c r="M25" s="276">
        <f t="array" ref="M25">IF($B25&gt;0,INDEX(DB,$B25,20),0)</f>
        <v>0</v>
      </c>
      <c r="N25" s="278"/>
      <c r="O25" s="279">
        <f t="shared" si="1"/>
        <v>0</v>
      </c>
      <c r="P25" s="280"/>
      <c r="Q25" s="261" t="str">
        <f t="shared" si="2"/>
        <v/>
      </c>
      <c r="R25" s="290">
        <f>IF($AI25&gt;0,RANK($AI25,BoysPoints),0)</f>
        <v>0</v>
      </c>
      <c r="S25" s="291">
        <f>IF($AJ25&gt;0,RANK($AJ25,GirlsPoints),0)</f>
        <v>0</v>
      </c>
      <c r="T25" s="292">
        <f>IF($O25&gt;0,RANK(O25,AthletePoints),0)</f>
        <v>0</v>
      </c>
      <c r="U25" s="210"/>
      <c r="V25" s="330" t="str">
        <f>IF(O25&gt;=40,IF(X25="M",VLOOKUP(O25,UKABoysAwards,2),IF(X25="F",VLOOKUP(O25,UKAGirlsAwards,2),"")),"")</f>
        <v/>
      </c>
      <c r="W25" s="210"/>
      <c r="X25" s="266" t="str">
        <f t="array" ref="X25">INDEX(DB,$B25,4)</f>
        <v>M</v>
      </c>
      <c r="Y25" s="210"/>
      <c r="Z25" s="285">
        <f t="shared" si="3"/>
        <v>0.0025</v>
      </c>
      <c r="AA25" s="286">
        <f>IF($Z25&gt;=1,RANK($Z25,$Z21:$Z36),0)</f>
        <v>0</v>
      </c>
      <c r="AB25" s="287">
        <f>IF(AA25&lt;=MaxS,INT(Z25),0)</f>
        <v>0</v>
      </c>
      <c r="AC25" s="210"/>
      <c r="AD25" s="285">
        <f t="shared" si="4"/>
        <v>0</v>
      </c>
      <c r="AE25" s="286">
        <f>IF($AD25&gt;=1,RANK($AD25,$AD21:$AD36),0)</f>
        <v>0</v>
      </c>
      <c r="AF25" s="287">
        <f>IF(AE25&lt;=MaxS,INT(AD25),0)</f>
        <v>0</v>
      </c>
      <c r="AG25" s="210"/>
      <c r="AH25" s="210"/>
      <c r="AI25" s="288">
        <f t="shared" si="5"/>
        <v>0</v>
      </c>
      <c r="AJ25" s="289">
        <f t="shared" si="6"/>
        <v>0</v>
      </c>
    </row>
    <row r="26" ht="15.0" customHeight="1">
      <c r="A26" s="272"/>
      <c r="B26" s="250">
        <f>IF(OR(ISNA(MATCH(C26&amp;"",AthleteNumbers,0)),ISBLANK(C26)),0,MATCH(C26&amp;"",AthleteNumbers,0))</f>
        <v>22</v>
      </c>
      <c r="C26" s="251" t="s">
        <v>174</v>
      </c>
      <c r="D26" s="273" t="str">
        <f t="array" ref="D26">IF($B26&gt;0,INDEX(DB,$B26,8),"")</f>
        <v>Rufus Parsons</v>
      </c>
      <c r="E26" s="274" t="str">
        <f t="array" ref="E26">IF($B26&gt;0,INDEX(DB,$B26,3),"")</f>
        <v>Bournemouth AC</v>
      </c>
      <c r="F26" s="275">
        <f t="array" ref="F26">IF($B26&gt;0,INDEX(DB,$B26,13),0)</f>
        <v>14.4</v>
      </c>
      <c r="G26" s="276">
        <f t="array" ref="G26">IF($B26&gt;0,INDEX(DB,$B26,17),0)</f>
        <v>26</v>
      </c>
      <c r="H26" s="277">
        <f t="array" ref="H26">IF($B26&gt;0,INDEX(DB,$B26,15),0)</f>
        <v>2.4</v>
      </c>
      <c r="I26" s="276">
        <f t="array" ref="I26">IF($B26&gt;0,INDEX(DB,$B26,19),0)</f>
        <v>30</v>
      </c>
      <c r="J26" s="277">
        <f t="array" ref="J26">IF($B26&gt;0,INDEX(DB,$B26,14),0)</f>
        <v>2.3</v>
      </c>
      <c r="K26" s="276">
        <f t="array" ref="K26">IF($B26&gt;0,INDEX(DB,$B26,18),0)</f>
        <v>13</v>
      </c>
      <c r="L26" s="275">
        <f t="array" ref="L26">IF($B26&gt;0,INDEX(DB,$B26,16),0)</f>
        <v>15.12</v>
      </c>
      <c r="M26" s="276">
        <f t="array" ref="M26">IF($B26&gt;0,INDEX(DB,$B26,20),0)</f>
        <v>30</v>
      </c>
      <c r="N26" s="278"/>
      <c r="O26" s="279">
        <f t="shared" si="1"/>
        <v>99</v>
      </c>
      <c r="P26" s="280"/>
      <c r="Q26" s="261" t="str">
        <f t="shared" si="2"/>
        <v/>
      </c>
      <c r="R26" s="281" t="str">
        <f>IF($AI26&gt;0,RANK($AI26,BoysPoints),0)</f>
        <v>#REF!</v>
      </c>
      <c r="S26" s="282">
        <f>IF($AJ26&gt;0,RANK($AJ26,GirlsPoints),0)</f>
        <v>0</v>
      </c>
      <c r="T26" s="283">
        <f>IF($O26&gt;0,RANK(O26,AthletePoints),0)</f>
        <v>59</v>
      </c>
      <c r="U26" s="210"/>
      <c r="V26" s="284" t="str">
        <f>IF(O26&gt;=40,IF(X26="M",VLOOKUP(O26,UKABoysAwards,2),IF(X26="F",VLOOKUP(O26,UKAGirlsAwards,2),"")),"")</f>
        <v>Step 1</v>
      </c>
      <c r="W26" s="210"/>
      <c r="X26" s="266" t="str">
        <f t="array" ref="X26">INDEX(DB,$B26,4)</f>
        <v>M</v>
      </c>
      <c r="Y26" s="210"/>
      <c r="Z26" s="285">
        <f t="shared" si="3"/>
        <v>99.0026</v>
      </c>
      <c r="AA26" s="286">
        <f>IF($Z26&gt;=1,RANK($Z26,$Z21:$Z36),0)</f>
        <v>11</v>
      </c>
      <c r="AB26" s="287">
        <f>IF(AA26&lt;=MaxS,INT(Z26),0)</f>
        <v>0</v>
      </c>
      <c r="AC26" s="210"/>
      <c r="AD26" s="285">
        <f t="shared" si="4"/>
        <v>0</v>
      </c>
      <c r="AE26" s="286">
        <f>IF($AD26&gt;=1,RANK($AD26,$AD21:$AD36),0)</f>
        <v>0</v>
      </c>
      <c r="AF26" s="287">
        <f>IF(AE26&lt;=MaxS,INT(AD26),0)</f>
        <v>0</v>
      </c>
      <c r="AG26" s="210"/>
      <c r="AH26" s="210"/>
      <c r="AI26" s="288">
        <f t="shared" si="5"/>
        <v>99</v>
      </c>
      <c r="AJ26" s="289">
        <f t="shared" si="6"/>
        <v>0</v>
      </c>
    </row>
    <row r="27" ht="15.0" customHeight="1">
      <c r="A27" s="272"/>
      <c r="B27" s="250">
        <f>IF(OR(ISNA(MATCH(C27&amp;"",AthleteNumbers,0)),ISBLANK(C27)),0,MATCH(C27&amp;"",AthleteNumbers,0))</f>
        <v>23</v>
      </c>
      <c r="C27" s="251" t="s">
        <v>176</v>
      </c>
      <c r="D27" s="273" t="str">
        <f t="array" ref="D27">IF($B27&gt;0,INDEX(DB,$B27,8),"")</f>
        <v>Charlie Peters</v>
      </c>
      <c r="E27" s="274" t="str">
        <f t="array" ref="E27">IF($B27&gt;0,INDEX(DB,$B27,3),"")</f>
        <v>Bournemouth AC</v>
      </c>
      <c r="F27" s="275">
        <f t="array" ref="F27">IF($B27&gt;0,INDEX(DB,$B27,13),0)</f>
        <v>12.5</v>
      </c>
      <c r="G27" s="276">
        <f t="array" ref="G27">IF($B27&gt;0,INDEX(DB,$B27,17),0)</f>
        <v>45</v>
      </c>
      <c r="H27" s="277">
        <f t="array" ref="H27">IF($B27&gt;0,INDEX(DB,$B27,15),0)</f>
        <v>2.05</v>
      </c>
      <c r="I27" s="276">
        <f t="array" ref="I27">IF($B27&gt;0,INDEX(DB,$B27,19),0)</f>
        <v>65</v>
      </c>
      <c r="J27" s="277">
        <f t="array" ref="J27">IF($B27&gt;0,INDEX(DB,$B27,14),0)</f>
        <v>2.81</v>
      </c>
      <c r="K27" s="276">
        <f t="array" ref="K27">IF($B27&gt;0,INDEX(DB,$B27,18),0)</f>
        <v>30</v>
      </c>
      <c r="L27" s="275">
        <f t="array" ref="L27">IF($B27&gt;0,INDEX(DB,$B27,16),0)</f>
        <v>26.4</v>
      </c>
      <c r="M27" s="276">
        <f t="array" ref="M27">IF($B27&gt;0,INDEX(DB,$B27,20),0)</f>
        <v>52</v>
      </c>
      <c r="N27" s="278"/>
      <c r="O27" s="279">
        <f t="shared" si="1"/>
        <v>192</v>
      </c>
      <c r="P27" s="280"/>
      <c r="Q27" s="261" t="str">
        <f t="shared" si="2"/>
        <v>*</v>
      </c>
      <c r="R27" s="290" t="str">
        <f>IF($AI27&gt;0,RANK($AI27,BoysPoints),0)</f>
        <v>#REF!</v>
      </c>
      <c r="S27" s="291">
        <f>IF($AJ27&gt;0,RANK($AJ27,GirlsPoints),0)</f>
        <v>0</v>
      </c>
      <c r="T27" s="292">
        <f>IF($O27&gt;0,RANK(O27,AthletePoints),0)</f>
        <v>10</v>
      </c>
      <c r="U27" s="210"/>
      <c r="V27" s="293" t="str">
        <f>IF(O27&gt;=40,IF(X27="M",VLOOKUP(O27,UKABoysAwards,2),IF(X27="F",VLOOKUP(O27,UKAGirlsAwards,2),"")),"")</f>
        <v>Step 5</v>
      </c>
      <c r="W27" s="210"/>
      <c r="X27" s="266" t="str">
        <f t="array" ref="X27">INDEX(DB,$B27,4)</f>
        <v>M</v>
      </c>
      <c r="Y27" s="210"/>
      <c r="Z27" s="285">
        <f t="shared" si="3"/>
        <v>192.0027</v>
      </c>
      <c r="AA27" s="286">
        <f>IF($Z27&gt;=1,RANK($Z27,$Z21:$Z36),0)</f>
        <v>3</v>
      </c>
      <c r="AB27" s="287">
        <f>IF(AA27&lt;=MaxS,INT(Z27),0)</f>
        <v>192</v>
      </c>
      <c r="AC27" s="210"/>
      <c r="AD27" s="285">
        <f t="shared" si="4"/>
        <v>0</v>
      </c>
      <c r="AE27" s="286">
        <f>IF($AD27&gt;=1,RANK($AD27,$AD21:$AD36),0)</f>
        <v>0</v>
      </c>
      <c r="AF27" s="287">
        <f>IF(AE27&lt;=MaxS,INT(AD27),0)</f>
        <v>0</v>
      </c>
      <c r="AG27" s="210"/>
      <c r="AH27" s="210"/>
      <c r="AI27" s="288">
        <f t="shared" si="5"/>
        <v>192</v>
      </c>
      <c r="AJ27" s="289">
        <f t="shared" si="6"/>
        <v>0</v>
      </c>
    </row>
    <row r="28" ht="15.0" customHeight="1">
      <c r="A28" s="272"/>
      <c r="B28" s="250">
        <f>IF(OR(ISNA(MATCH(C28&amp;"",AthleteNumbers,0)),ISBLANK(C28)),0,MATCH(C28&amp;"",AthleteNumbers,0))</f>
        <v>24</v>
      </c>
      <c r="C28" s="251" t="s">
        <v>178</v>
      </c>
      <c r="D28" s="273" t="str">
        <f t="array" ref="D28">IF($B28&gt;0,INDEX(DB,$B28,8),"")</f>
        <v>Elijah Robbins</v>
      </c>
      <c r="E28" s="274" t="str">
        <f t="array" ref="E28">IF($B28&gt;0,INDEX(DB,$B28,3),"")</f>
        <v>Bournemouth AC</v>
      </c>
      <c r="F28" s="275">
        <f t="array" ref="F28">IF($B28&gt;0,INDEX(DB,$B28,13),0)</f>
        <v>14.7</v>
      </c>
      <c r="G28" s="276">
        <f t="array" ref="G28">IF($B28&gt;0,INDEX(DB,$B28,17),0)</f>
        <v>23</v>
      </c>
      <c r="H28" s="277">
        <f t="array" ref="H28">IF($B28&gt;0,INDEX(DB,$B28,15),0)</f>
        <v>2.5</v>
      </c>
      <c r="I28" s="276">
        <f t="array" ref="I28">IF($B28&gt;0,INDEX(DB,$B28,19),0)</f>
        <v>20</v>
      </c>
      <c r="J28" s="277">
        <f t="array" ref="J28">IF($B28&gt;0,INDEX(DB,$B28,14),0)</f>
        <v>2.4</v>
      </c>
      <c r="K28" s="276">
        <f t="array" ref="K28">IF($B28&gt;0,INDEX(DB,$B28,18),0)</f>
        <v>16</v>
      </c>
      <c r="L28" s="275">
        <f t="array" ref="L28">IF($B28&gt;0,INDEX(DB,$B28,16),0)</f>
        <v>9.45</v>
      </c>
      <c r="M28" s="276">
        <f t="array" ref="M28">IF($B28&gt;0,INDEX(DB,$B28,20),0)</f>
        <v>18</v>
      </c>
      <c r="N28" s="278"/>
      <c r="O28" s="279">
        <f t="shared" si="1"/>
        <v>77</v>
      </c>
      <c r="P28" s="280"/>
      <c r="Q28" s="261" t="str">
        <f t="shared" si="2"/>
        <v/>
      </c>
      <c r="R28" s="281" t="str">
        <f>IF($AI28&gt;0,RANK($AI28,BoysPoints),0)</f>
        <v>#REF!</v>
      </c>
      <c r="S28" s="282">
        <f>IF($AJ28&gt;0,RANK($AJ28,GirlsPoints),0)</f>
        <v>0</v>
      </c>
      <c r="T28" s="283">
        <f>IF($O28&gt;0,RANK(O28,AthletePoints),0)</f>
        <v>62</v>
      </c>
      <c r="U28" s="210"/>
      <c r="V28" s="284" t="str">
        <f>IF(O28&gt;=40,IF(X28="M",VLOOKUP(O28,UKABoysAwards,2),IF(X28="F",VLOOKUP(O28,UKAGirlsAwards,2),"")),"")</f>
        <v>Step 1</v>
      </c>
      <c r="W28" s="210"/>
      <c r="X28" s="266" t="str">
        <f t="array" ref="X28">INDEX(DB,$B28,4)</f>
        <v>M</v>
      </c>
      <c r="Y28" s="210"/>
      <c r="Z28" s="285">
        <f t="shared" si="3"/>
        <v>77.0028</v>
      </c>
      <c r="AA28" s="286">
        <f>IF($Z28&gt;=1,RANK($Z28,$Z21:$Z36),0)</f>
        <v>13</v>
      </c>
      <c r="AB28" s="287">
        <f>IF(AA28&lt;=MaxS,INT(Z28),0)</f>
        <v>0</v>
      </c>
      <c r="AC28" s="210"/>
      <c r="AD28" s="285">
        <f t="shared" si="4"/>
        <v>0</v>
      </c>
      <c r="AE28" s="286">
        <f>IF($AD28&gt;=1,RANK($AD28,$AD21:$AD36),0)</f>
        <v>0</v>
      </c>
      <c r="AF28" s="287">
        <f>IF(AE28&lt;=MaxS,INT(AD28),0)</f>
        <v>0</v>
      </c>
      <c r="AG28" s="210"/>
      <c r="AH28" s="210"/>
      <c r="AI28" s="288">
        <f t="shared" si="5"/>
        <v>77</v>
      </c>
      <c r="AJ28" s="289">
        <f t="shared" si="6"/>
        <v>0</v>
      </c>
    </row>
    <row r="29" ht="15.0" customHeight="1">
      <c r="A29" s="272"/>
      <c r="B29" s="250">
        <f>IF(OR(ISNA(MATCH(C29&amp;"",AthleteNumbers,0)),ISBLANK(C29)),0,MATCH(C29&amp;"",AthleteNumbers,0))</f>
        <v>25</v>
      </c>
      <c r="C29" s="251" t="s">
        <v>180</v>
      </c>
      <c r="D29" s="273" t="str">
        <f t="array" ref="D29">IF($B29&gt;0,INDEX(DB,$B29,8),"")</f>
        <v>Oscar Robertson</v>
      </c>
      <c r="E29" s="274" t="str">
        <f t="array" ref="E29">IF($B29&gt;0,INDEX(DB,$B29,3),"")</f>
        <v>WADAC</v>
      </c>
      <c r="F29" s="275">
        <f t="array" ref="F29">IF($B29&gt;0,INDEX(DB,$B29,13),0)</f>
        <v>14</v>
      </c>
      <c r="G29" s="276">
        <f t="array" ref="G29">IF($B29&gt;0,INDEX(DB,$B29,17),0)</f>
        <v>30</v>
      </c>
      <c r="H29" s="277">
        <f t="array" ref="H29">IF($B29&gt;0,INDEX(DB,$B29,15),0)</f>
        <v>2.34</v>
      </c>
      <c r="I29" s="276">
        <f t="array" ref="I29">IF($B29&gt;0,INDEX(DB,$B29,19),0)</f>
        <v>36</v>
      </c>
      <c r="J29" s="277">
        <f t="array" ref="J29">IF($B29&gt;0,INDEX(DB,$B29,14),0)</f>
        <v>2.15</v>
      </c>
      <c r="K29" s="276">
        <f t="array" ref="K29">IF($B29&gt;0,INDEX(DB,$B29,18),0)</f>
        <v>10</v>
      </c>
      <c r="L29" s="275">
        <f t="array" ref="L29">IF($B29&gt;0,INDEX(DB,$B29,16),0)</f>
        <v>17.07</v>
      </c>
      <c r="M29" s="276">
        <f t="array" ref="M29">IF($B29&gt;0,INDEX(DB,$B29,20),0)</f>
        <v>34</v>
      </c>
      <c r="N29" s="278"/>
      <c r="O29" s="279">
        <f t="shared" si="1"/>
        <v>110</v>
      </c>
      <c r="P29" s="280"/>
      <c r="Q29" s="261" t="str">
        <f t="shared" si="2"/>
        <v/>
      </c>
      <c r="R29" s="290" t="str">
        <f>IF($AI29&gt;0,RANK($AI29,BoysPoints),0)</f>
        <v>#REF!</v>
      </c>
      <c r="S29" s="291">
        <f>IF($AJ29&gt;0,RANK($AJ29,GirlsPoints),0)</f>
        <v>0</v>
      </c>
      <c r="T29" s="292">
        <f>IF($O29&gt;0,RANK(O29,AthletePoints),0)</f>
        <v>56</v>
      </c>
      <c r="U29" s="210"/>
      <c r="V29" s="293" t="str">
        <f>IF(O29&gt;=40,IF(X29="M",VLOOKUP(O29,UKABoysAwards,2),IF(X29="F",VLOOKUP(O29,UKAGirlsAwards,2),"")),"")</f>
        <v>Step 1</v>
      </c>
      <c r="W29" s="210"/>
      <c r="X29" s="266" t="str">
        <f t="array" ref="X29">INDEX(DB,$B29,4)</f>
        <v>M</v>
      </c>
      <c r="Y29" s="210"/>
      <c r="Z29" s="285">
        <f t="shared" si="3"/>
        <v>110.0029</v>
      </c>
      <c r="AA29" s="286">
        <f>IF($Z29&gt;=1,RANK($Z29,$Z21:$Z36),0)</f>
        <v>10</v>
      </c>
      <c r="AB29" s="287">
        <f>IF(AA29&lt;=MaxS,INT(Z29),0)</f>
        <v>0</v>
      </c>
      <c r="AC29" s="210"/>
      <c r="AD29" s="285">
        <f t="shared" si="4"/>
        <v>0</v>
      </c>
      <c r="AE29" s="286">
        <f>IF($AD29&gt;=1,RANK($AD29,$AD21:$AD36),0)</f>
        <v>0</v>
      </c>
      <c r="AF29" s="287">
        <f>IF(AE29&lt;=MaxS,INT(AD29),0)</f>
        <v>0</v>
      </c>
      <c r="AG29" s="210"/>
      <c r="AH29" s="210"/>
      <c r="AI29" s="288">
        <f t="shared" si="5"/>
        <v>110</v>
      </c>
      <c r="AJ29" s="289">
        <f t="shared" si="6"/>
        <v>0</v>
      </c>
    </row>
    <row r="30" ht="15.0" customHeight="1">
      <c r="A30" s="272"/>
      <c r="B30" s="250">
        <f>IF(OR(ISNA(MATCH(C30&amp;"",AthleteNumbers,0)),ISBLANK(C30)),0,MATCH(C30&amp;"",AthleteNumbers,0))</f>
        <v>26</v>
      </c>
      <c r="C30" s="251" t="s">
        <v>182</v>
      </c>
      <c r="D30" s="273" t="str">
        <f t="array" ref="D30">IF($B30&gt;0,INDEX(DB,$B30,8),"")</f>
        <v>Jake Selwood</v>
      </c>
      <c r="E30" s="274" t="str">
        <f t="array" ref="E30">IF($B30&gt;0,INDEX(DB,$B30,3),"")</f>
        <v>BAC</v>
      </c>
      <c r="F30" s="275">
        <f t="array" ref="F30">IF($B30&gt;0,INDEX(DB,$B30,13),0)</f>
        <v>13</v>
      </c>
      <c r="G30" s="276">
        <f t="array" ref="G30">IF($B30&gt;0,INDEX(DB,$B30,17),0)</f>
        <v>40</v>
      </c>
      <c r="H30" s="277">
        <f t="array" ref="H30">IF($B30&gt;0,INDEX(DB,$B30,15),0)</f>
        <v>2.08</v>
      </c>
      <c r="I30" s="276">
        <f t="array" ref="I30">IF($B30&gt;0,INDEX(DB,$B30,19),0)</f>
        <v>62</v>
      </c>
      <c r="J30" s="277">
        <f t="array" ref="J30">IF($B30&gt;0,INDEX(DB,$B30,14),0)</f>
        <v>2.69</v>
      </c>
      <c r="K30" s="276">
        <f t="array" ref="K30">IF($B30&gt;0,INDEX(DB,$B30,18),0)</f>
        <v>26</v>
      </c>
      <c r="L30" s="275">
        <f t="array" ref="L30">IF($B30&gt;0,INDEX(DB,$B30,16),0)</f>
        <v>17.85</v>
      </c>
      <c r="M30" s="276">
        <f t="array" ref="M30">IF($B30&gt;0,INDEX(DB,$B30,20),0)</f>
        <v>35</v>
      </c>
      <c r="N30" s="278"/>
      <c r="O30" s="279">
        <f t="shared" si="1"/>
        <v>163</v>
      </c>
      <c r="P30" s="280"/>
      <c r="Q30" s="261" t="str">
        <f t="shared" si="2"/>
        <v/>
      </c>
      <c r="R30" s="281" t="str">
        <f>IF($AI30&gt;0,RANK($AI30,BoysPoints),0)</f>
        <v>#REF!</v>
      </c>
      <c r="S30" s="282">
        <f>IF($AJ30&gt;0,RANK($AJ30,GirlsPoints),0)</f>
        <v>0</v>
      </c>
      <c r="T30" s="283">
        <f>IF($O30&gt;0,RANK(O30,AthletePoints),0)</f>
        <v>22</v>
      </c>
      <c r="U30" s="210"/>
      <c r="V30" s="284" t="str">
        <f>IF(O30&gt;=40,IF(X30="M",VLOOKUP(O30,UKABoysAwards,2),IF(X30="F",VLOOKUP(O30,UKAGirlsAwards,2),"")),"")</f>
        <v>Step 4</v>
      </c>
      <c r="W30" s="210"/>
      <c r="X30" s="266" t="str">
        <f t="array" ref="X30">INDEX(DB,$B30,4)</f>
        <v>M</v>
      </c>
      <c r="Y30" s="210"/>
      <c r="Z30" s="285">
        <f t="shared" si="3"/>
        <v>163.003</v>
      </c>
      <c r="AA30" s="286">
        <f>IF($Z30&gt;=1,RANK($Z30,$Z21:$Z36),0)</f>
        <v>7</v>
      </c>
      <c r="AB30" s="287">
        <f>IF(AA30&lt;=MaxS,INT(Z30),0)</f>
        <v>0</v>
      </c>
      <c r="AC30" s="210"/>
      <c r="AD30" s="285">
        <f t="shared" si="4"/>
        <v>0</v>
      </c>
      <c r="AE30" s="286">
        <f>IF($AD30&gt;=1,RANK($AD30,$AD21:$AD36),0)</f>
        <v>0</v>
      </c>
      <c r="AF30" s="287">
        <f>IF(AE30&lt;=MaxS,INT(AD30),0)</f>
        <v>0</v>
      </c>
      <c r="AG30" s="210"/>
      <c r="AH30" s="210"/>
      <c r="AI30" s="288">
        <f t="shared" si="5"/>
        <v>163</v>
      </c>
      <c r="AJ30" s="289">
        <f t="shared" si="6"/>
        <v>0</v>
      </c>
    </row>
    <row r="31" ht="15.0" customHeight="1">
      <c r="A31" s="272"/>
      <c r="B31" s="250">
        <f>IF(OR(ISNA(MATCH(C31&amp;"",AthleteNumbers,0)),ISBLANK(C31)),0,MATCH(C31&amp;"",AthleteNumbers,0))</f>
        <v>27</v>
      </c>
      <c r="C31" s="251" t="s">
        <v>184</v>
      </c>
      <c r="D31" s="273" t="str">
        <f t="array" ref="D31">IF($B31&gt;0,INDEX(DB,$B31,8),"")</f>
        <v>Liam Sharp</v>
      </c>
      <c r="E31" s="274" t="str">
        <f t="array" ref="E31">IF($B31&gt;0,INDEX(DB,$B31,3),"")</f>
        <v>Bournemouth AC</v>
      </c>
      <c r="F31" s="275">
        <f t="array" ref="F31">IF($B31&gt;0,INDEX(DB,$B31,13),0)</f>
        <v>14.3</v>
      </c>
      <c r="G31" s="276">
        <f t="array" ref="G31">IF($B31&gt;0,INDEX(DB,$B31,17),0)</f>
        <v>27</v>
      </c>
      <c r="H31" s="277">
        <f t="array" ref="H31">IF($B31&gt;0,INDEX(DB,$B31,15),0)</f>
        <v>2.21</v>
      </c>
      <c r="I31" s="276">
        <f t="array" ref="I31">IF($B31&gt;0,INDEX(DB,$B31,19),0)</f>
        <v>49</v>
      </c>
      <c r="J31" s="277">
        <f t="array" ref="J31">IF($B31&gt;0,INDEX(DB,$B31,14),0)</f>
        <v>2.06</v>
      </c>
      <c r="K31" s="276">
        <f t="array" ref="K31">IF($B31&gt;0,INDEX(DB,$B31,18),0)</f>
        <v>10</v>
      </c>
      <c r="L31" s="275">
        <f t="array" ref="L31">IF($B31&gt;0,INDEX(DB,$B31,16),0)</f>
        <v>17.37</v>
      </c>
      <c r="M31" s="276">
        <f t="array" ref="M31">IF($B31&gt;0,INDEX(DB,$B31,20),0)</f>
        <v>34</v>
      </c>
      <c r="N31" s="278"/>
      <c r="O31" s="279">
        <f t="shared" si="1"/>
        <v>120</v>
      </c>
      <c r="P31" s="280"/>
      <c r="Q31" s="261" t="str">
        <f t="shared" si="2"/>
        <v/>
      </c>
      <c r="R31" s="290" t="str">
        <f>IF($AI31&gt;0,RANK($AI31,BoysPoints),0)</f>
        <v>#REF!</v>
      </c>
      <c r="S31" s="291">
        <f>IF($AJ31&gt;0,RANK($AJ31,GirlsPoints),0)</f>
        <v>0</v>
      </c>
      <c r="T31" s="292">
        <f>IF($O31&gt;0,RANK(O31,AthletePoints),0)</f>
        <v>50</v>
      </c>
      <c r="U31" s="210"/>
      <c r="V31" s="293" t="str">
        <f>IF(O31&gt;=40,IF(X31="M",VLOOKUP(O31,UKABoysAwards,2),IF(X31="F",VLOOKUP(O31,UKAGirlsAwards,2),"")),"")</f>
        <v>Step 2</v>
      </c>
      <c r="W31" s="210"/>
      <c r="X31" s="266" t="str">
        <f t="array" ref="X31">INDEX(DB,$B31,4)</f>
        <v>M</v>
      </c>
      <c r="Y31" s="210"/>
      <c r="Z31" s="285">
        <f t="shared" si="3"/>
        <v>120.0031</v>
      </c>
      <c r="AA31" s="286">
        <f>IF($Z31&gt;=1,RANK($Z31,$Z21:$Z36),0)</f>
        <v>9</v>
      </c>
      <c r="AB31" s="287">
        <f>IF(AA31&lt;=MaxS,INT(Z31),0)</f>
        <v>0</v>
      </c>
      <c r="AC31" s="210"/>
      <c r="AD31" s="285">
        <f t="shared" si="4"/>
        <v>0</v>
      </c>
      <c r="AE31" s="286">
        <f>IF($AD31&gt;=1,RANK($AD31,$AD21:$AD36),0)</f>
        <v>0</v>
      </c>
      <c r="AF31" s="287">
        <f>IF(AE31&lt;=MaxS,INT(AD31),0)</f>
        <v>0</v>
      </c>
      <c r="AG31" s="210"/>
      <c r="AH31" s="210"/>
      <c r="AI31" s="288">
        <f t="shared" si="5"/>
        <v>120</v>
      </c>
      <c r="AJ31" s="289">
        <f t="shared" si="6"/>
        <v>0</v>
      </c>
    </row>
    <row r="32" ht="15.0" customHeight="1">
      <c r="A32" s="272"/>
      <c r="B32" s="250">
        <f>IF(OR(ISNA(MATCH(C32&amp;"",AthleteNumbers,0)),ISBLANK(C32)),0,MATCH(C32&amp;"",AthleteNumbers,0))</f>
        <v>28</v>
      </c>
      <c r="C32" s="251" t="s">
        <v>186</v>
      </c>
      <c r="D32" s="273" t="str">
        <f t="array" ref="D32">IF($B32&gt;0,INDEX(DB,$B32,8),"")</f>
        <v>Joshua Smith</v>
      </c>
      <c r="E32" s="274" t="str">
        <f t="array" ref="E32">IF($B32&gt;0,INDEX(DB,$B32,3),"")</f>
        <v>WADAC</v>
      </c>
      <c r="F32" s="275">
        <f t="array" ref="F32">IF($B32&gt;0,INDEX(DB,$B32,13),0)</f>
        <v>12.4</v>
      </c>
      <c r="G32" s="276">
        <f t="array" ref="G32">IF($B32&gt;0,INDEX(DB,$B32,17),0)</f>
        <v>46</v>
      </c>
      <c r="H32" s="277">
        <f t="array" ref="H32">IF($B32&gt;0,INDEX(DB,$B32,15),0)</f>
        <v>2.03</v>
      </c>
      <c r="I32" s="276">
        <f t="array" ref="I32">IF($B32&gt;0,INDEX(DB,$B32,19),0)</f>
        <v>67</v>
      </c>
      <c r="J32" s="277">
        <f t="array" ref="J32">IF($B32&gt;0,INDEX(DB,$B32,14),0)</f>
        <v>2.47</v>
      </c>
      <c r="K32" s="276">
        <f t="array" ref="K32">IF($B32&gt;0,INDEX(DB,$B32,18),0)</f>
        <v>19</v>
      </c>
      <c r="L32" s="275">
        <f t="array" ref="L32">IF($B32&gt;0,INDEX(DB,$B32,16),0)</f>
        <v>22.42</v>
      </c>
      <c r="M32" s="276">
        <f t="array" ref="M32">IF($B32&gt;0,INDEX(DB,$B32,20),0)</f>
        <v>44</v>
      </c>
      <c r="N32" s="278"/>
      <c r="O32" s="279">
        <f t="shared" si="1"/>
        <v>176</v>
      </c>
      <c r="P32" s="280"/>
      <c r="Q32" s="261" t="str">
        <f t="shared" si="2"/>
        <v/>
      </c>
      <c r="R32" s="281" t="str">
        <f>IF($AI32&gt;0,RANK($AI32,BoysPoints),0)</f>
        <v>#REF!</v>
      </c>
      <c r="S32" s="282">
        <f>IF($AJ32&gt;0,RANK($AJ32,GirlsPoints),0)</f>
        <v>0</v>
      </c>
      <c r="T32" s="283">
        <f>IF($O32&gt;0,RANK(O32,AthletePoints),0)</f>
        <v>17</v>
      </c>
      <c r="U32" s="210"/>
      <c r="V32" s="284" t="str">
        <f>IF(O32&gt;=40,IF(X32="M",VLOOKUP(O32,UKABoysAwards,2),IF(X32="F",VLOOKUP(O32,UKAGirlsAwards,2),"")),"")</f>
        <v>Step 4</v>
      </c>
      <c r="W32" s="210"/>
      <c r="X32" s="266" t="str">
        <f t="array" ref="X32">INDEX(DB,$B32,4)</f>
        <v>M</v>
      </c>
      <c r="Y32" s="210"/>
      <c r="Z32" s="285">
        <f t="shared" si="3"/>
        <v>176.0032</v>
      </c>
      <c r="AA32" s="286">
        <f>IF($Z32&gt;=1,RANK($Z32,$Z21:$Z36),0)</f>
        <v>5</v>
      </c>
      <c r="AB32" s="287">
        <f>IF(AA32&lt;=MaxS,INT(Z32),0)</f>
        <v>0</v>
      </c>
      <c r="AC32" s="210"/>
      <c r="AD32" s="285">
        <f t="shared" si="4"/>
        <v>0</v>
      </c>
      <c r="AE32" s="286">
        <f>IF($AD32&gt;=1,RANK($AD32,$AD21:$AD36),0)</f>
        <v>0</v>
      </c>
      <c r="AF32" s="287">
        <f>IF(AE32&lt;=MaxS,INT(AD32),0)</f>
        <v>0</v>
      </c>
      <c r="AG32" s="210"/>
      <c r="AH32" s="210"/>
      <c r="AI32" s="288">
        <f t="shared" si="5"/>
        <v>176</v>
      </c>
      <c r="AJ32" s="289">
        <f t="shared" si="6"/>
        <v>0</v>
      </c>
    </row>
    <row r="33" ht="15.0" customHeight="1">
      <c r="A33" s="272"/>
      <c r="B33" s="250">
        <f>IF(OR(ISNA(MATCH(C33&amp;"",AthleteNumbers,0)),ISBLANK(C33)),0,MATCH(C33&amp;"",AthleteNumbers,0))</f>
        <v>29</v>
      </c>
      <c r="C33" s="251" t="s">
        <v>188</v>
      </c>
      <c r="D33" s="273" t="str">
        <f t="array" ref="D33">IF($B33&gt;0,INDEX(DB,$B33,8),"")</f>
        <v>Leo Thomasson</v>
      </c>
      <c r="E33" s="274" t="str">
        <f t="array" ref="E33">IF($B33&gt;0,INDEX(DB,$B33,3),"")</f>
        <v>Bournemouth AC</v>
      </c>
      <c r="F33" s="275">
        <f t="array" ref="F33">IF($B33&gt;0,INDEX(DB,$B33,13),0)</f>
        <v>12.3</v>
      </c>
      <c r="G33" s="276">
        <f t="array" ref="G33">IF($B33&gt;0,INDEX(DB,$B33,17),0)</f>
        <v>47</v>
      </c>
      <c r="H33" s="277">
        <f t="array" ref="H33">IF($B33&gt;0,INDEX(DB,$B33,15),0)</f>
        <v>2.07</v>
      </c>
      <c r="I33" s="276">
        <f t="array" ref="I33">IF($B33&gt;0,INDEX(DB,$B33,19),0)</f>
        <v>63</v>
      </c>
      <c r="J33" s="277">
        <f t="array" ref="J33">IF($B33&gt;0,INDEX(DB,$B33,14),0)</f>
        <v>3.33</v>
      </c>
      <c r="K33" s="276">
        <f t="array" ref="K33">IF($B33&gt;0,INDEX(DB,$B33,18),0)</f>
        <v>47</v>
      </c>
      <c r="L33" s="275">
        <f t="array" ref="L33">IF($B33&gt;0,INDEX(DB,$B33,16),0)</f>
        <v>27.3</v>
      </c>
      <c r="M33" s="276">
        <f t="array" ref="M33">IF($B33&gt;0,INDEX(DB,$B33,20),0)</f>
        <v>54</v>
      </c>
      <c r="N33" s="278"/>
      <c r="O33" s="279">
        <f t="shared" si="1"/>
        <v>211</v>
      </c>
      <c r="P33" s="280"/>
      <c r="Q33" s="261" t="str">
        <f t="shared" si="2"/>
        <v>*</v>
      </c>
      <c r="R33" s="290" t="str">
        <f>IF($AI33&gt;0,RANK($AI33,BoysPoints),0)</f>
        <v>#REF!</v>
      </c>
      <c r="S33" s="291">
        <f>IF($AJ33&gt;0,RANK($AJ33,GirlsPoints),0)</f>
        <v>0</v>
      </c>
      <c r="T33" s="292">
        <f>IF($O33&gt;0,RANK(O33,AthletePoints),0)</f>
        <v>3</v>
      </c>
      <c r="U33" s="210"/>
      <c r="V33" s="293" t="str">
        <f>IF(O33&gt;=40,IF(X33="M",VLOOKUP(O33,UKABoysAwards,2),IF(X33="F",VLOOKUP(O33,UKAGirlsAwards,2),"")),"")</f>
        <v>Step 6</v>
      </c>
      <c r="W33" s="210"/>
      <c r="X33" s="266" t="str">
        <f t="array" ref="X33">INDEX(DB,$B33,4)</f>
        <v>M</v>
      </c>
      <c r="Y33" s="210"/>
      <c r="Z33" s="285">
        <f t="shared" si="3"/>
        <v>211.0033</v>
      </c>
      <c r="AA33" s="286">
        <f>IF($Z33&gt;=1,RANK($Z33,$Z21:$Z36),0)</f>
        <v>2</v>
      </c>
      <c r="AB33" s="287">
        <f>IF(AA33&lt;=MaxS,INT(Z33),0)</f>
        <v>211</v>
      </c>
      <c r="AC33" s="210"/>
      <c r="AD33" s="285">
        <f t="shared" si="4"/>
        <v>0</v>
      </c>
      <c r="AE33" s="286">
        <f>IF($AD33&gt;=1,RANK($AD33,$AD21:$AD36),0)</f>
        <v>0</v>
      </c>
      <c r="AF33" s="287">
        <f>IF(AE33&lt;=MaxS,INT(AD33),0)</f>
        <v>0</v>
      </c>
      <c r="AG33" s="210"/>
      <c r="AH33" s="210"/>
      <c r="AI33" s="288">
        <f t="shared" si="5"/>
        <v>211</v>
      </c>
      <c r="AJ33" s="289">
        <f t="shared" si="6"/>
        <v>0</v>
      </c>
    </row>
    <row r="34" ht="15.0" customHeight="1">
      <c r="A34" s="272"/>
      <c r="B34" s="250">
        <f>IF(OR(ISNA(MATCH(C34&amp;"",AthleteNumbers,0)),ISBLANK(C34)),0,MATCH(C34&amp;"",AthleteNumbers,0))</f>
        <v>30</v>
      </c>
      <c r="C34" s="251" t="s">
        <v>190</v>
      </c>
      <c r="D34" s="273" t="str">
        <f t="array" ref="D34">IF($B34&gt;0,INDEX(DB,$B34,8),"")</f>
        <v>Harley Vincent</v>
      </c>
      <c r="E34" s="274" t="str">
        <f t="array" ref="E34">IF($B34&gt;0,INDEX(DB,$B34,3),"")</f>
        <v>Bournemouth AC</v>
      </c>
      <c r="F34" s="275">
        <f t="array" ref="F34">IF($B34&gt;0,INDEX(DB,$B34,13),0)</f>
        <v>12.9</v>
      </c>
      <c r="G34" s="276">
        <f t="array" ref="G34">IF($B34&gt;0,INDEX(DB,$B34,17),0)</f>
        <v>41</v>
      </c>
      <c r="H34" s="277">
        <f t="array" ref="H34">IF($B34&gt;0,INDEX(DB,$B34,15),0)</f>
        <v>2.07</v>
      </c>
      <c r="I34" s="276">
        <f t="array" ref="I34">IF($B34&gt;0,INDEX(DB,$B34,19),0)</f>
        <v>63</v>
      </c>
      <c r="J34" s="277">
        <f t="array" ref="J34">IF($B34&gt;0,INDEX(DB,$B34,14),0)</f>
        <v>2.73</v>
      </c>
      <c r="K34" s="276">
        <f t="array" ref="K34">IF($B34&gt;0,INDEX(DB,$B34,18),0)</f>
        <v>27</v>
      </c>
      <c r="L34" s="275">
        <f t="array" ref="L34">IF($B34&gt;0,INDEX(DB,$B34,16),0)</f>
        <v>26.25</v>
      </c>
      <c r="M34" s="276">
        <f t="array" ref="M34">IF($B34&gt;0,INDEX(DB,$B34,20),0)</f>
        <v>52</v>
      </c>
      <c r="N34" s="278"/>
      <c r="O34" s="279">
        <f t="shared" si="1"/>
        <v>183</v>
      </c>
      <c r="P34" s="280"/>
      <c r="Q34" s="261" t="str">
        <f t="shared" si="2"/>
        <v>*</v>
      </c>
      <c r="R34" s="281" t="str">
        <f>IF($AI34&gt;0,RANK($AI34,BoysPoints),0)</f>
        <v>#REF!</v>
      </c>
      <c r="S34" s="282">
        <f>IF($AJ34&gt;0,RANK($AJ34,GirlsPoints),0)</f>
        <v>0</v>
      </c>
      <c r="T34" s="283">
        <f>IF($O34&gt;0,RANK(O34,AthletePoints),0)</f>
        <v>13</v>
      </c>
      <c r="U34" s="210"/>
      <c r="V34" s="284" t="str">
        <f>IF(O34&gt;=40,IF(X34="M",VLOOKUP(O34,UKABoysAwards,2),IF(X34="F",VLOOKUP(O34,UKAGirlsAwards,2),"")),"")</f>
        <v>Step 5</v>
      </c>
      <c r="W34" s="210"/>
      <c r="X34" s="266" t="str">
        <f t="array" ref="X34">INDEX(DB,$B34,4)</f>
        <v>M</v>
      </c>
      <c r="Y34" s="210"/>
      <c r="Z34" s="285">
        <f t="shared" si="3"/>
        <v>183.0034</v>
      </c>
      <c r="AA34" s="286">
        <f>IF($Z34&gt;=1,RANK($Z34,$Z21:$Z36),0)</f>
        <v>4</v>
      </c>
      <c r="AB34" s="287">
        <f>IF(AA34&lt;=MaxS,INT(Z34),0)</f>
        <v>183</v>
      </c>
      <c r="AC34" s="210"/>
      <c r="AD34" s="285">
        <f t="shared" si="4"/>
        <v>0</v>
      </c>
      <c r="AE34" s="286">
        <f>IF($AD34&gt;=1,RANK($AD34,$AD21:$AD36),0)</f>
        <v>0</v>
      </c>
      <c r="AF34" s="287">
        <f>IF(AE34&lt;=MaxS,INT(AD34),0)</f>
        <v>0</v>
      </c>
      <c r="AG34" s="210"/>
      <c r="AH34" s="210"/>
      <c r="AI34" s="288">
        <f t="shared" si="5"/>
        <v>183</v>
      </c>
      <c r="AJ34" s="289">
        <f t="shared" si="6"/>
        <v>0</v>
      </c>
    </row>
    <row r="35" ht="15.0" customHeight="1">
      <c r="A35" s="272"/>
      <c r="B35" s="250">
        <f>IF(OR(ISNA(MATCH(C35&amp;"",AthleteNumbers,0)),ISBLANK(C35)),0,MATCH(C35&amp;"",AthleteNumbers,0))</f>
        <v>31</v>
      </c>
      <c r="C35" s="251" t="s">
        <v>192</v>
      </c>
      <c r="D35" s="273" t="str">
        <f t="array" ref="D35">IF($B35&gt;0,INDEX(DB,$B35,8),"")</f>
        <v>Leo Welstead</v>
      </c>
      <c r="E35" s="274" t="str">
        <f t="array" ref="E35">IF($B35&gt;0,INDEX(DB,$B35,3),"")</f>
        <v>Wimborne AC</v>
      </c>
      <c r="F35" s="275">
        <f t="array" ref="F35">IF($B35&gt;0,INDEX(DB,$B35,13),0)</f>
        <v>12.9</v>
      </c>
      <c r="G35" s="276">
        <f t="array" ref="G35">IF($B35&gt;0,INDEX(DB,$B35,17),0)</f>
        <v>41</v>
      </c>
      <c r="H35" s="277">
        <f t="array" ref="H35">IF($B35&gt;0,INDEX(DB,$B35,15),0)</f>
        <v>2.16</v>
      </c>
      <c r="I35" s="276">
        <f t="array" ref="I35">IF($B35&gt;0,INDEX(DB,$B35,19),0)</f>
        <v>54</v>
      </c>
      <c r="J35" s="277">
        <f t="array" ref="J35">IF($B35&gt;0,INDEX(DB,$B35,14),0)</f>
        <v>2.72</v>
      </c>
      <c r="K35" s="276">
        <f t="array" ref="K35">IF($B35&gt;0,INDEX(DB,$B35,18),0)</f>
        <v>27</v>
      </c>
      <c r="L35" s="275">
        <f t="array" ref="L35">IF($B35&gt;0,INDEX(DB,$B35,16),0)</f>
        <v>16.14</v>
      </c>
      <c r="M35" s="276">
        <f t="array" ref="M35">IF($B35&gt;0,INDEX(DB,$B35,20),0)</f>
        <v>32</v>
      </c>
      <c r="N35" s="278"/>
      <c r="O35" s="279">
        <f t="shared" si="1"/>
        <v>154</v>
      </c>
      <c r="P35" s="280"/>
      <c r="Q35" s="261" t="str">
        <f t="shared" si="2"/>
        <v/>
      </c>
      <c r="R35" s="290" t="str">
        <f>IF($AI35&gt;0,RANK($AI35,BoysPoints),0)</f>
        <v>#REF!</v>
      </c>
      <c r="S35" s="291">
        <f>IF($AJ35&gt;0,RANK($AJ35,GirlsPoints),0)</f>
        <v>0</v>
      </c>
      <c r="T35" s="292">
        <f>IF($O35&gt;0,RANK(O35,AthletePoints),0)</f>
        <v>28</v>
      </c>
      <c r="U35" s="210"/>
      <c r="V35" s="293" t="str">
        <f>IF(O35&gt;=40,IF(X35="M",VLOOKUP(O35,UKABoysAwards,2),IF(X35="F",VLOOKUP(O35,UKAGirlsAwards,2),"")),"")</f>
        <v>Step 3</v>
      </c>
      <c r="W35" s="210"/>
      <c r="X35" s="266" t="str">
        <f t="array" ref="X35">INDEX(DB,$B35,4)</f>
        <v>M</v>
      </c>
      <c r="Y35" s="210"/>
      <c r="Z35" s="285">
        <f t="shared" si="3"/>
        <v>154.0035</v>
      </c>
      <c r="AA35" s="286">
        <f>IF($Z35&gt;=1,RANK($Z35,$Z21:$Z36),0)</f>
        <v>8</v>
      </c>
      <c r="AB35" s="287">
        <f>IF(AA35&lt;=MaxS,INT(Z35),0)</f>
        <v>0</v>
      </c>
      <c r="AC35" s="210"/>
      <c r="AD35" s="285">
        <f t="shared" si="4"/>
        <v>0</v>
      </c>
      <c r="AE35" s="286">
        <f>IF($AD35&gt;=1,RANK($AD35,$AD21:$AD36),0)</f>
        <v>0</v>
      </c>
      <c r="AF35" s="287">
        <f>IF(AE35&lt;=MaxS,INT(AD35),0)</f>
        <v>0</v>
      </c>
      <c r="AG35" s="210"/>
      <c r="AH35" s="210"/>
      <c r="AI35" s="288">
        <f t="shared" si="5"/>
        <v>154</v>
      </c>
      <c r="AJ35" s="289">
        <f t="shared" si="6"/>
        <v>0</v>
      </c>
    </row>
    <row r="36" ht="15.0" customHeight="1">
      <c r="A36" s="305"/>
      <c r="B36" s="250">
        <f>IF(OR(ISNA(MATCH(C36&amp;"",AthleteNumbers,0)),ISBLANK(C36)),0,MATCH(C36&amp;"",AthleteNumbers,0))</f>
        <v>32</v>
      </c>
      <c r="C36" s="251" t="s">
        <v>194</v>
      </c>
      <c r="D36" s="306" t="str">
        <f t="array" ref="D36">IF($B36&gt;0,INDEX(DB,$B36,8),"")</f>
        <v>Otto Williams</v>
      </c>
      <c r="E36" s="307" t="str">
        <f t="array" ref="E36">IF($B36&gt;0,INDEX(DB,$B36,3),"")</f>
        <v>Bournemouth AC</v>
      </c>
      <c r="F36" s="308">
        <f t="array" ref="F36">IF($B36&gt;0,INDEX(DB,$B36,13),0)</f>
        <v>12.7</v>
      </c>
      <c r="G36" s="309">
        <f t="array" ref="G36">IF($B36&gt;0,INDEX(DB,$B36,17),0)</f>
        <v>43</v>
      </c>
      <c r="H36" s="310">
        <f t="array" ref="H36">IF($B36&gt;0,INDEX(DB,$B36,15),0)</f>
        <v>2.15</v>
      </c>
      <c r="I36" s="309">
        <f t="array" ref="I36">IF($B36&gt;0,INDEX(DB,$B36,19),0)</f>
        <v>55</v>
      </c>
      <c r="J36" s="310">
        <f t="array" ref="J36">IF($B36&gt;0,INDEX(DB,$B36,14),0)</f>
        <v>2.59</v>
      </c>
      <c r="K36" s="309">
        <f t="array" ref="K36">IF($B36&gt;0,INDEX(DB,$B36,18),0)</f>
        <v>23</v>
      </c>
      <c r="L36" s="308">
        <f t="array" ref="L36">IF($B36&gt;0,INDEX(DB,$B36,16),0)</f>
        <v>26.29</v>
      </c>
      <c r="M36" s="309">
        <f t="array" ref="M36">IF($B36&gt;0,INDEX(DB,$B36,20),0)</f>
        <v>52</v>
      </c>
      <c r="N36" s="25"/>
      <c r="O36" s="311">
        <f t="shared" si="1"/>
        <v>173</v>
      </c>
      <c r="P36" s="31"/>
      <c r="Q36" s="261" t="str">
        <f t="shared" si="2"/>
        <v/>
      </c>
      <c r="R36" s="312" t="str">
        <f>IF($AI36&gt;0,RANK($AI36,BoysPoints),0)</f>
        <v>#REF!</v>
      </c>
      <c r="S36" s="313">
        <f>IF($AJ36&gt;0,RANK($AJ36,GirlsPoints),0)</f>
        <v>0</v>
      </c>
      <c r="T36" s="314">
        <f>IF($O36&gt;0,RANK(O36,AthletePoints),0)</f>
        <v>19</v>
      </c>
      <c r="U36" s="210"/>
      <c r="V36" s="315" t="str">
        <f>IF(O36&gt;=40,IF(X36="M",VLOOKUP(O36,UKABoysAwards,2),IF(X36="F",VLOOKUP(O36,UKAGirlsAwards,2),"")),"")</f>
        <v>Step 4</v>
      </c>
      <c r="W36" s="210"/>
      <c r="X36" s="266" t="str">
        <f t="array" ref="X36">INDEX(DB,$B36,4)</f>
        <v>M</v>
      </c>
      <c r="Y36" s="210"/>
      <c r="Z36" s="316">
        <f t="shared" si="3"/>
        <v>173.0036</v>
      </c>
      <c r="AA36" s="243">
        <f>IF($Z36&gt;=1,RANK($Z36,$Z21:$Z36),0)</f>
        <v>6</v>
      </c>
      <c r="AB36" s="245">
        <f>IF(AA36&lt;=MaxS,INT(Z36),0)</f>
        <v>0</v>
      </c>
      <c r="AC36" s="210">
        <f>SUM(AB21:AB36)</f>
        <v>825</v>
      </c>
      <c r="AD36" s="316">
        <f t="shared" si="4"/>
        <v>0</v>
      </c>
      <c r="AE36" s="243">
        <f>IF($AD36&gt;=1,RANK($AD36,$AD21:$AD36),0)</f>
        <v>0</v>
      </c>
      <c r="AF36" s="245">
        <f>IF(AE36&lt;=MaxS,INT(AD36),0)</f>
        <v>0</v>
      </c>
      <c r="AG36" s="210">
        <f>SUM(AF21:AF36)</f>
        <v>0</v>
      </c>
      <c r="AH36" s="210"/>
      <c r="AI36" s="246">
        <f t="shared" si="5"/>
        <v>173</v>
      </c>
      <c r="AJ36" s="247">
        <f t="shared" si="6"/>
        <v>0</v>
      </c>
    </row>
    <row r="37" ht="15.0" customHeight="1">
      <c r="A37" s="248"/>
      <c r="B37" s="250">
        <f>IF(OR(ISNA(MATCH(C37&amp;"",AthleteNumbers,0)),ISBLANK(C37)),0,MATCH(C37&amp;"",AthleteNumbers,0))</f>
        <v>33</v>
      </c>
      <c r="C37" s="251" t="s">
        <v>196</v>
      </c>
      <c r="D37" s="252" t="str">
        <f t="array" ref="D37">IF($B37&gt;0,INDEX(DB,$B37,8),"")</f>
        <v>Harry Williams</v>
      </c>
      <c r="E37" s="253" t="str">
        <f t="array" ref="E37">IF($B37&gt;0,INDEX(DB,$B37,3),"")</f>
        <v>Poole Athletics Club </v>
      </c>
      <c r="F37" s="254">
        <f t="array" ref="F37">IF($B37&gt;0,INDEX(DB,$B37,13),0)</f>
        <v>12.4</v>
      </c>
      <c r="G37" s="255">
        <f t="array" ref="G37">IF($B37&gt;0,INDEX(DB,$B37,17),0)</f>
        <v>46</v>
      </c>
      <c r="H37" s="257">
        <f t="array" ref="H37">IF($B37&gt;0,INDEX(DB,$B37,15),0)</f>
        <v>2.08</v>
      </c>
      <c r="I37" s="255">
        <f t="array" ref="I37">IF($B37&gt;0,INDEX(DB,$B37,19),0)</f>
        <v>62</v>
      </c>
      <c r="J37" s="257">
        <f t="array" ref="J37">IF($B37&gt;0,INDEX(DB,$B37,14),0)</f>
        <v>3.22</v>
      </c>
      <c r="K37" s="255">
        <f t="array" ref="K37">IF($B37&gt;0,INDEX(DB,$B37,18),0)</f>
        <v>44</v>
      </c>
      <c r="L37" s="254">
        <f t="array" ref="L37">IF($B37&gt;0,INDEX(DB,$B37,16),0)</f>
        <v>0</v>
      </c>
      <c r="M37" s="255">
        <f t="array" ref="M37">IF($B37&gt;0,INDEX(DB,$B37,20),0)</f>
        <v>0</v>
      </c>
      <c r="N37" s="258" t="str">
        <f t="array" ref="N37:N53">INDEX(RelayPoints,A52)</f>
        <v>#REF!</v>
      </c>
      <c r="O37" s="259">
        <f t="shared" si="1"/>
        <v>152</v>
      </c>
      <c r="P37" s="260" t="str">
        <f>+AC52+AG52+N37</f>
        <v>#REF!</v>
      </c>
      <c r="Q37" s="261" t="str">
        <f t="shared" si="2"/>
        <v>#REF!</v>
      </c>
      <c r="R37" s="262" t="str">
        <f>IF($AI37&gt;0,RANK($AI37,BoysPoints),0)</f>
        <v>#REF!</v>
      </c>
      <c r="S37" s="263">
        <f>IF($AJ37&gt;0,RANK($AJ37,GirlsPoints),0)</f>
        <v>0</v>
      </c>
      <c r="T37" s="264">
        <f>IF($O37&gt;0,RANK(O37,AthletePoints),0)</f>
        <v>30</v>
      </c>
      <c r="U37" s="210"/>
      <c r="V37" s="265" t="str">
        <f>IF(O37&gt;=40,IF(X37="M",VLOOKUP(O37,UKABoysAwards,2),IF(X37="F",VLOOKUP(O37,UKAGirlsAwards,2),"")),"")</f>
        <v>Step 3</v>
      </c>
      <c r="W37" s="210"/>
      <c r="X37" s="266" t="str">
        <f t="array" ref="X37">INDEX(DB,$B37,4)</f>
        <v>M</v>
      </c>
      <c r="Y37" s="210"/>
      <c r="Z37" s="267">
        <f t="shared" si="3"/>
        <v>152.0037</v>
      </c>
      <c r="AA37" s="268" t="str">
        <f>IF($Z37&gt;=1,RANK($Z37,$Z37:$Z52),0)</f>
        <v>#REF!</v>
      </c>
      <c r="AB37" s="269" t="str">
        <f>IF(AA37&lt;=MaxS,INT(Z37),0)</f>
        <v>#REF!</v>
      </c>
      <c r="AC37" s="210"/>
      <c r="AD37" s="267">
        <f t="shared" si="4"/>
        <v>0</v>
      </c>
      <c r="AE37" s="268">
        <f>IF($AD37&gt;=1,RANK($AD37,$AD37:$AD52),0)</f>
        <v>0</v>
      </c>
      <c r="AF37" s="269">
        <f>IF(AE37&lt;=MaxS,INT(AD37),0)</f>
        <v>0</v>
      </c>
      <c r="AG37" s="210"/>
      <c r="AH37" s="210"/>
      <c r="AI37" s="288">
        <f t="shared" si="5"/>
        <v>152</v>
      </c>
      <c r="AJ37" s="289">
        <f t="shared" si="6"/>
        <v>0</v>
      </c>
    </row>
    <row r="38" ht="15.0" customHeight="1">
      <c r="A38" s="272"/>
      <c r="B38" s="250">
        <f>IF(OR(ISNA(MATCH(C38&amp;"",AthleteNumbers,0)),ISBLANK(C38)),0,MATCH(C38&amp;"",AthleteNumbers,0))</f>
        <v>0</v>
      </c>
      <c r="C38" s="413"/>
      <c r="D38" s="273" t="str">
        <f t="array" ref="D38">IF($B38&gt;0,INDEX(DB,$B38,8),"")</f>
        <v/>
      </c>
      <c r="E38" s="274" t="str">
        <f t="array" ref="E38">IF($B38&gt;0,INDEX(DB,$B38,3),"")</f>
        <v/>
      </c>
      <c r="F38" s="275">
        <f t="array" ref="F38">IF($B38&gt;0,INDEX(DB,$B38,13),0)</f>
        <v>0</v>
      </c>
      <c r="G38" s="276">
        <f t="array" ref="G38">IF($B38&gt;0,INDEX(DB,$B38,17),0)</f>
        <v>0</v>
      </c>
      <c r="H38" s="277">
        <f t="array" ref="H38">IF($B38&gt;0,INDEX(DB,$B38,15),0)</f>
        <v>0</v>
      </c>
      <c r="I38" s="276">
        <f t="array" ref="I38">IF($B38&gt;0,INDEX(DB,$B38,19),0)</f>
        <v>0</v>
      </c>
      <c r="J38" s="277">
        <f t="array" ref="J38">IF($B38&gt;0,INDEX(DB,$B38,14),0)</f>
        <v>0</v>
      </c>
      <c r="K38" s="276">
        <f t="array" ref="K38">IF($B38&gt;0,INDEX(DB,$B38,18),0)</f>
        <v>0</v>
      </c>
      <c r="L38" s="275">
        <f t="array" ref="L38">IF($B38&gt;0,INDEX(DB,$B38,16),0)</f>
        <v>0</v>
      </c>
      <c r="M38" s="276">
        <f t="array" ref="M38">IF($B38&gt;0,INDEX(DB,$B38,20),0)</f>
        <v>0</v>
      </c>
      <c r="N38" s="278"/>
      <c r="O38" s="279">
        <f t="shared" si="1"/>
        <v>0</v>
      </c>
      <c r="P38" s="280"/>
      <c r="Q38" s="261" t="str">
        <f t="shared" si="2"/>
        <v>#REF!</v>
      </c>
      <c r="R38" s="281" t="str">
        <f>IF($AI38&gt;0,RANK($AI38,BoysPoints),0)</f>
        <v>#REF!</v>
      </c>
      <c r="S38" s="282" t="str">
        <f>IF($AJ38&gt;0,RANK($AJ38,GirlsPoints),0)</f>
        <v>#REF!</v>
      </c>
      <c r="T38" s="283">
        <f>IF($O38&gt;0,RANK(O38,AthletePoints),0)</f>
        <v>0</v>
      </c>
      <c r="U38" s="210"/>
      <c r="V38" s="415" t="str">
        <f>IF(O38&gt;=40,IF(X38="M",VLOOKUP(O38,UKABoysAwards,2),IF(X38="F",VLOOKUP(O38,UKAGirlsAwards,2),"")),"")</f>
        <v/>
      </c>
      <c r="W38" s="210"/>
      <c r="X38" s="266" t="str">
        <f t="array" ref="X38:X39">INDEX(DB,$B38,4)</f>
        <v>#REF!</v>
      </c>
      <c r="Y38" s="210"/>
      <c r="Z38" s="285" t="str">
        <f t="shared" si="3"/>
        <v>#REF!</v>
      </c>
      <c r="AA38" s="286" t="str">
        <f>IF($Z38&gt;=1,RANK($Z38,$Z37:$Z52),0)</f>
        <v>#REF!</v>
      </c>
      <c r="AB38" s="287" t="str">
        <f>IF(AA38&lt;=MaxS,INT(Z38),0)</f>
        <v>#REF!</v>
      </c>
      <c r="AC38" s="210"/>
      <c r="AD38" s="285" t="str">
        <f t="shared" si="4"/>
        <v>#REF!</v>
      </c>
      <c r="AE38" s="286" t="str">
        <f>IF($AD38&gt;=1,RANK($AD38,$AD37:$AD52),0)</f>
        <v>#REF!</v>
      </c>
      <c r="AF38" s="287" t="str">
        <f>IF(AE38&lt;=MaxS,INT(AD38),0)</f>
        <v>#REF!</v>
      </c>
      <c r="AG38" s="210"/>
      <c r="AH38" s="210"/>
      <c r="AI38" s="288" t="str">
        <f t="shared" si="5"/>
        <v>#REF!</v>
      </c>
      <c r="AJ38" s="289" t="str">
        <f t="shared" si="6"/>
        <v>#REF!</v>
      </c>
    </row>
    <row r="39" ht="15.0" customHeight="1">
      <c r="A39" s="272"/>
      <c r="B39" s="250">
        <f>IF(OR(ISNA(MATCH(C39&amp;"",AthleteNumbers,0)),ISBLANK(C39)),0,MATCH(C39&amp;"",AthleteNumbers,0))</f>
        <v>34</v>
      </c>
      <c r="C39" s="413" t="s">
        <v>199</v>
      </c>
      <c r="D39" s="273" t="str">
        <f t="array" ref="D39">IF($B39&gt;0,INDEX(DB,$B39,8),"")</f>
        <v>Edee Abery</v>
      </c>
      <c r="E39" s="274" t="str">
        <f t="array" ref="E39">IF($B39&gt;0,INDEX(DB,$B39,3),"")</f>
        <v>Copac</v>
      </c>
      <c r="F39" s="275">
        <f t="array" ref="F39">IF($B39&gt;0,INDEX(DB,$B39,13),0)</f>
        <v>13.3</v>
      </c>
      <c r="G39" s="276">
        <f t="array" ref="G39">IF($B39&gt;0,INDEX(DB,$B39,17),0)</f>
        <v>37</v>
      </c>
      <c r="H39" s="277">
        <f t="array" ref="H39">IF($B39&gt;0,INDEX(DB,$B39,15),0)</f>
        <v>2.4</v>
      </c>
      <c r="I39" s="276">
        <f t="array" ref="I39">IF($B39&gt;0,INDEX(DB,$B39,19),0)</f>
        <v>30</v>
      </c>
      <c r="J39" s="277">
        <f t="array" ref="J39">IF($B39&gt;0,INDEX(DB,$B39,14),0)</f>
        <v>2.84</v>
      </c>
      <c r="K39" s="276">
        <f t="array" ref="K39">IF($B39&gt;0,INDEX(DB,$B39,18),0)</f>
        <v>31</v>
      </c>
      <c r="L39" s="275">
        <f t="array" ref="L39">IF($B39&gt;0,INDEX(DB,$B39,16),0)</f>
        <v>12.82</v>
      </c>
      <c r="M39" s="276">
        <f t="array" ref="M39">IF($B39&gt;0,INDEX(DB,$B39,20),0)</f>
        <v>25</v>
      </c>
      <c r="N39" s="278"/>
      <c r="O39" s="279">
        <f t="shared" si="1"/>
        <v>123</v>
      </c>
      <c r="P39" s="280"/>
      <c r="Q39" s="261" t="str">
        <f t="shared" si="2"/>
        <v>#REF!</v>
      </c>
      <c r="R39" s="290">
        <f>IF($AI39&gt;0,RANK($AI39,BoysPoints),0)</f>
        <v>0</v>
      </c>
      <c r="S39" s="291" t="str">
        <f>IF($AJ39&gt;0,RANK($AJ39,GirlsPoints),0)</f>
        <v>#REF!</v>
      </c>
      <c r="T39" s="292">
        <f>IF($O39&gt;0,RANK(O39,AthletePoints),0)</f>
        <v>48</v>
      </c>
      <c r="U39" s="210"/>
      <c r="V39" s="293" t="str">
        <f>IF(O39&gt;=40,IF(X39="M",VLOOKUP(O39,UKABoysAwards,2),IF(X39="F",VLOOKUP(O39,UKAGirlsAwards,2),"")),"")</f>
        <v>Step 4</v>
      </c>
      <c r="W39" s="210"/>
      <c r="X39" s="266" t="str">
        <f t="array" ref="X39">INDEX(DB,$B39,4)</f>
        <v>F</v>
      </c>
      <c r="Y39" s="210"/>
      <c r="Z39" s="285">
        <f t="shared" si="3"/>
        <v>0</v>
      </c>
      <c r="AA39" s="286">
        <f>IF($Z39&gt;=1,RANK($Z39,$Z37:$Z52),0)</f>
        <v>0</v>
      </c>
      <c r="AB39" s="287">
        <f>IF(AA39&lt;=MaxS,INT(Z39),0)</f>
        <v>0</v>
      </c>
      <c r="AC39" s="210"/>
      <c r="AD39" s="285">
        <f t="shared" si="4"/>
        <v>123.0039</v>
      </c>
      <c r="AE39" s="286" t="str">
        <f>IF($AD39&gt;=1,RANK($AD39,$AD37:$AD52),0)</f>
        <v>#REF!</v>
      </c>
      <c r="AF39" s="287" t="str">
        <f>IF(AE39&lt;=MaxS,INT(AD39),0)</f>
        <v>#REF!</v>
      </c>
      <c r="AG39" s="210"/>
      <c r="AH39" s="210"/>
      <c r="AI39" s="288">
        <f t="shared" si="5"/>
        <v>0</v>
      </c>
      <c r="AJ39" s="289">
        <f t="shared" si="6"/>
        <v>123</v>
      </c>
    </row>
    <row r="40" ht="15.0" customHeight="1">
      <c r="A40" s="272"/>
      <c r="B40" s="250">
        <f>IF(OR(ISNA(MATCH(C40&amp;"",AthleteNumbers,0)),ISBLANK(C40)),0,MATCH(C40&amp;"",AthleteNumbers,0))</f>
        <v>35</v>
      </c>
      <c r="C40" s="413" t="s">
        <v>203</v>
      </c>
      <c r="D40" s="273" t="str">
        <f t="array" ref="D40">IF($B40&gt;0,INDEX(DB,$B40,8),"")</f>
        <v>Lucia Bertacchini</v>
      </c>
      <c r="E40" s="274" t="str">
        <f t="array" ref="E40">IF($B40&gt;0,INDEX(DB,$B40,3),"")</f>
        <v>Winchester</v>
      </c>
      <c r="F40" s="275">
        <f t="array" ref="F40">IF($B40&gt;0,INDEX(DB,$B40,13),0)</f>
        <v>12.4</v>
      </c>
      <c r="G40" s="276">
        <f t="array" ref="G40">IF($B40&gt;0,INDEX(DB,$B40,17),0)</f>
        <v>46</v>
      </c>
      <c r="H40" s="277">
        <f t="array" ref="H40">IF($B40&gt;0,INDEX(DB,$B40,15),0)</f>
        <v>2.07</v>
      </c>
      <c r="I40" s="276">
        <f t="array" ref="I40">IF($B40&gt;0,INDEX(DB,$B40,19),0)</f>
        <v>63</v>
      </c>
      <c r="J40" s="277">
        <f t="array" ref="J40">IF($B40&gt;0,INDEX(DB,$B40,14),0)</f>
        <v>3.29</v>
      </c>
      <c r="K40" s="276">
        <f t="array" ref="K40">IF($B40&gt;0,INDEX(DB,$B40,18),0)</f>
        <v>46</v>
      </c>
      <c r="L40" s="275">
        <f t="array" ref="L40">IF($B40&gt;0,INDEX(DB,$B40,16),0)</f>
        <v>13.76</v>
      </c>
      <c r="M40" s="276">
        <f t="array" ref="M40">IF($B40&gt;0,INDEX(DB,$B40,20),0)</f>
        <v>27</v>
      </c>
      <c r="N40" s="278"/>
      <c r="O40" s="279">
        <f t="shared" si="1"/>
        <v>182</v>
      </c>
      <c r="P40" s="280"/>
      <c r="Q40" s="261" t="str">
        <f t="shared" si="2"/>
        <v>#REF!</v>
      </c>
      <c r="R40" s="281">
        <f>IF($AI40&gt;0,RANK($AI40,BoysPoints),0)</f>
        <v>0</v>
      </c>
      <c r="S40" s="282" t="str">
        <f>IF($AJ40&gt;0,RANK($AJ40,GirlsPoints),0)</f>
        <v>#REF!</v>
      </c>
      <c r="T40" s="283">
        <f>IF($O40&gt;0,RANK(O40,AthletePoints),0)</f>
        <v>14</v>
      </c>
      <c r="U40" s="210"/>
      <c r="V40" s="284" t="str">
        <f>IF(O40&gt;=40,IF(X40="M",VLOOKUP(O40,UKABoysAwards,2),IF(X40="F",VLOOKUP(O40,UKAGirlsAwards,2),"")),"")</f>
        <v>Bronze</v>
      </c>
      <c r="W40" s="210"/>
      <c r="X40" s="266" t="str">
        <f t="array" ref="X40">INDEX(DB,$B40,4)</f>
        <v>F</v>
      </c>
      <c r="Y40" s="210"/>
      <c r="Z40" s="285">
        <f t="shared" si="3"/>
        <v>0</v>
      </c>
      <c r="AA40" s="286">
        <f>IF($Z40&gt;=1,RANK($Z40,$Z37:$Z52),0)</f>
        <v>0</v>
      </c>
      <c r="AB40" s="287">
        <f>IF(AA40&lt;=MaxS,INT(Z40),0)</f>
        <v>0</v>
      </c>
      <c r="AC40" s="210"/>
      <c r="AD40" s="285">
        <f t="shared" si="4"/>
        <v>182.004</v>
      </c>
      <c r="AE40" s="286" t="str">
        <f>IF($AD40&gt;=1,RANK($AD40,$AD37:$AD52),0)</f>
        <v>#REF!</v>
      </c>
      <c r="AF40" s="287" t="str">
        <f>IF(AE40&lt;=MaxS,INT(AD40),0)</f>
        <v>#REF!</v>
      </c>
      <c r="AG40" s="210"/>
      <c r="AH40" s="210"/>
      <c r="AI40" s="288">
        <f t="shared" si="5"/>
        <v>0</v>
      </c>
      <c r="AJ40" s="289">
        <f t="shared" si="6"/>
        <v>182</v>
      </c>
    </row>
    <row r="41" ht="15.0" customHeight="1">
      <c r="A41" s="272"/>
      <c r="B41" s="250">
        <f>IF(OR(ISNA(MATCH(C41&amp;"",AthleteNumbers,0)),ISBLANK(C41)),0,MATCH(C41&amp;"",AthleteNumbers,0))</f>
        <v>36</v>
      </c>
      <c r="C41" s="413" t="s">
        <v>206</v>
      </c>
      <c r="D41" s="273" t="str">
        <f t="array" ref="D41">IF($B41&gt;0,INDEX(DB,$B41,8),"")</f>
        <v>Carla Bream</v>
      </c>
      <c r="E41" s="274" t="str">
        <f t="array" ref="E41">IF($B41&gt;0,INDEX(DB,$B41,3),"")</f>
        <v>Havant AC</v>
      </c>
      <c r="F41" s="275">
        <f t="array" ref="F41">IF($B41&gt;0,INDEX(DB,$B41,13),0)</f>
        <v>0</v>
      </c>
      <c r="G41" s="276">
        <f t="array" ref="G41">IF($B41&gt;0,INDEX(DB,$B41,17),0)</f>
        <v>0</v>
      </c>
      <c r="H41" s="277">
        <f t="array" ref="H41">IF($B41&gt;0,INDEX(DB,$B41,15),0)</f>
        <v>0</v>
      </c>
      <c r="I41" s="276">
        <f t="array" ref="I41">IF($B41&gt;0,INDEX(DB,$B41,19),0)</f>
        <v>0</v>
      </c>
      <c r="J41" s="277">
        <f t="array" ref="J41">IF($B41&gt;0,INDEX(DB,$B41,14),0)</f>
        <v>0</v>
      </c>
      <c r="K41" s="276">
        <f t="array" ref="K41">IF($B41&gt;0,INDEX(DB,$B41,18),0)</f>
        <v>0</v>
      </c>
      <c r="L41" s="275">
        <f t="array" ref="L41">IF($B41&gt;0,INDEX(DB,$B41,16),0)</f>
        <v>0</v>
      </c>
      <c r="M41" s="276">
        <f t="array" ref="M41">IF($B41&gt;0,INDEX(DB,$B41,20),0)</f>
        <v>0</v>
      </c>
      <c r="N41" s="278"/>
      <c r="O41" s="279">
        <f t="shared" si="1"/>
        <v>0</v>
      </c>
      <c r="P41" s="280"/>
      <c r="Q41" s="261" t="str">
        <f t="shared" si="2"/>
        <v/>
      </c>
      <c r="R41" s="290">
        <f>IF($AI41&gt;0,RANK($AI41,BoysPoints),0)</f>
        <v>0</v>
      </c>
      <c r="S41" s="291">
        <f>IF($AJ41&gt;0,RANK($AJ41,GirlsPoints),0)</f>
        <v>0</v>
      </c>
      <c r="T41" s="292">
        <f>IF($O41&gt;0,RANK(O41,AthletePoints),0)</f>
        <v>0</v>
      </c>
      <c r="U41" s="210"/>
      <c r="V41" s="330" t="str">
        <f>IF(O41&gt;=40,IF(X41="M",VLOOKUP(O41,UKABoysAwards,2),IF(X41="F",VLOOKUP(O41,UKAGirlsAwards,2),"")),"")</f>
        <v/>
      </c>
      <c r="W41" s="210"/>
      <c r="X41" s="266" t="str">
        <f t="array" ref="X41">INDEX(DB,$B41,4)</f>
        <v>F</v>
      </c>
      <c r="Y41" s="210"/>
      <c r="Z41" s="285">
        <f t="shared" si="3"/>
        <v>0</v>
      </c>
      <c r="AA41" s="286">
        <f>IF($Z41&gt;=1,RANK($Z41,$Z37:$Z52),0)</f>
        <v>0</v>
      </c>
      <c r="AB41" s="287">
        <f>IF(AA41&lt;=MaxS,INT(Z41),0)</f>
        <v>0</v>
      </c>
      <c r="AC41" s="210"/>
      <c r="AD41" s="285">
        <f t="shared" si="4"/>
        <v>0.0041</v>
      </c>
      <c r="AE41" s="286">
        <f>IF($AD41&gt;=1,RANK($AD41,$AD37:$AD52),0)</f>
        <v>0</v>
      </c>
      <c r="AF41" s="287">
        <f>IF(AE41&lt;=MaxS,INT(AD41),0)</f>
        <v>0</v>
      </c>
      <c r="AG41" s="210"/>
      <c r="AH41" s="210"/>
      <c r="AI41" s="288">
        <f t="shared" si="5"/>
        <v>0</v>
      </c>
      <c r="AJ41" s="289">
        <f t="shared" si="6"/>
        <v>0</v>
      </c>
    </row>
    <row r="42" ht="15.0" customHeight="1">
      <c r="A42" s="272"/>
      <c r="B42" s="250">
        <f>IF(OR(ISNA(MATCH(C42&amp;"",AthleteNumbers,0)),ISBLANK(C42)),0,MATCH(C42&amp;"",AthleteNumbers,0))</f>
        <v>37</v>
      </c>
      <c r="C42" s="413" t="s">
        <v>209</v>
      </c>
      <c r="D42" s="273" t="str">
        <f t="array" ref="D42">IF($B42&gt;0,INDEX(DB,$B42,8),"")</f>
        <v>Isabel Cherrett</v>
      </c>
      <c r="E42" s="274" t="str">
        <f t="array" ref="E42">IF($B42&gt;0,INDEX(DB,$B42,3),"")</f>
        <v>Bournemouth AC</v>
      </c>
      <c r="F42" s="275">
        <f t="array" ref="F42">IF($B42&gt;0,INDEX(DB,$B42,13),0)</f>
        <v>13.9</v>
      </c>
      <c r="G42" s="276">
        <f t="array" ref="G42">IF($B42&gt;0,INDEX(DB,$B42,17),0)</f>
        <v>31</v>
      </c>
      <c r="H42" s="277">
        <f t="array" ref="H42">IF($B42&gt;0,INDEX(DB,$B42,15),0)</f>
        <v>2.07</v>
      </c>
      <c r="I42" s="276">
        <f t="array" ref="I42">IF($B42&gt;0,INDEX(DB,$B42,19),0)</f>
        <v>63</v>
      </c>
      <c r="J42" s="277">
        <f t="array" ref="J42">IF($B42&gt;0,INDEX(DB,$B42,14),0)</f>
        <v>2.51</v>
      </c>
      <c r="K42" s="276">
        <f t="array" ref="K42">IF($B42&gt;0,INDEX(DB,$B42,18),0)</f>
        <v>20</v>
      </c>
      <c r="L42" s="275">
        <f t="array" ref="L42">IF($B42&gt;0,INDEX(DB,$B42,16),0)</f>
        <v>13.21</v>
      </c>
      <c r="M42" s="276">
        <f t="array" ref="M42">IF($B42&gt;0,INDEX(DB,$B42,20),0)</f>
        <v>26</v>
      </c>
      <c r="N42" s="278"/>
      <c r="O42" s="279">
        <f t="shared" si="1"/>
        <v>140</v>
      </c>
      <c r="P42" s="280"/>
      <c r="Q42" s="261" t="str">
        <f t="shared" si="2"/>
        <v>#REF!</v>
      </c>
      <c r="R42" s="281">
        <f>IF($AI42&gt;0,RANK($AI42,BoysPoints),0)</f>
        <v>0</v>
      </c>
      <c r="S42" s="282" t="str">
        <f>IF($AJ42&gt;0,RANK($AJ42,GirlsPoints),0)</f>
        <v>#REF!</v>
      </c>
      <c r="T42" s="283">
        <f>IF($O42&gt;0,RANK(O42,AthletePoints),0)</f>
        <v>40</v>
      </c>
      <c r="U42" s="210"/>
      <c r="V42" s="284" t="str">
        <f>IF(O42&gt;=40,IF(X42="M",VLOOKUP(O42,UKABoysAwards,2),IF(X42="F",VLOOKUP(O42,UKAGirlsAwards,2),"")),"")</f>
        <v>Step 5</v>
      </c>
      <c r="W42" s="210"/>
      <c r="X42" s="266" t="str">
        <f t="array" ref="X42">INDEX(DB,$B42,4)</f>
        <v>F</v>
      </c>
      <c r="Y42" s="210"/>
      <c r="Z42" s="285">
        <f t="shared" si="3"/>
        <v>0</v>
      </c>
      <c r="AA42" s="286">
        <f>IF($Z42&gt;=1,RANK($Z42,$Z37:$Z52),0)</f>
        <v>0</v>
      </c>
      <c r="AB42" s="287">
        <f>IF(AA42&lt;=MaxS,INT(Z42),0)</f>
        <v>0</v>
      </c>
      <c r="AC42" s="210"/>
      <c r="AD42" s="285">
        <f t="shared" si="4"/>
        <v>140.0042</v>
      </c>
      <c r="AE42" s="286" t="str">
        <f>IF($AD42&gt;=1,RANK($AD42,$AD37:$AD52),0)</f>
        <v>#REF!</v>
      </c>
      <c r="AF42" s="287" t="str">
        <f>IF(AE42&lt;=MaxS,INT(AD42),0)</f>
        <v>#REF!</v>
      </c>
      <c r="AG42" s="210"/>
      <c r="AH42" s="210"/>
      <c r="AI42" s="288">
        <f t="shared" si="5"/>
        <v>0</v>
      </c>
      <c r="AJ42" s="289">
        <f t="shared" si="6"/>
        <v>140</v>
      </c>
    </row>
    <row r="43" ht="15.0" customHeight="1">
      <c r="A43" s="272"/>
      <c r="B43" s="250">
        <f>IF(OR(ISNA(MATCH(C43&amp;"",AthleteNumbers,0)),ISBLANK(C43)),0,MATCH(C43&amp;"",AthleteNumbers,0))</f>
        <v>38</v>
      </c>
      <c r="C43" s="413" t="s">
        <v>211</v>
      </c>
      <c r="D43" s="273" t="str">
        <f t="array" ref="D43">IF($B43&gt;0,INDEX(DB,$B43,8),"")</f>
        <v>Lily Coltman</v>
      </c>
      <c r="E43" s="274" t="str">
        <f t="array" ref="E43">IF($B43&gt;0,INDEX(DB,$B43,3),"")</f>
        <v>Bournemouth AC</v>
      </c>
      <c r="F43" s="275">
        <f t="array" ref="F43">IF($B43&gt;0,INDEX(DB,$B43,13),0)</f>
        <v>14.6</v>
      </c>
      <c r="G43" s="276">
        <f t="array" ref="G43">IF($B43&gt;0,INDEX(DB,$B43,17),0)</f>
        <v>24</v>
      </c>
      <c r="H43" s="277">
        <f t="array" ref="H43">IF($B43&gt;0,INDEX(DB,$B43,15),0)</f>
        <v>2.24</v>
      </c>
      <c r="I43" s="276">
        <f t="array" ref="I43">IF($B43&gt;0,INDEX(DB,$B43,19),0)</f>
        <v>46</v>
      </c>
      <c r="J43" s="277">
        <f t="array" ref="J43">IF($B43&gt;0,INDEX(DB,$B43,14),0)</f>
        <v>2.38</v>
      </c>
      <c r="K43" s="276">
        <f t="array" ref="K43">IF($B43&gt;0,INDEX(DB,$B43,18),0)</f>
        <v>15</v>
      </c>
      <c r="L43" s="275">
        <f t="array" ref="L43">IF($B43&gt;0,INDEX(DB,$B43,16),0)</f>
        <v>10.03</v>
      </c>
      <c r="M43" s="276">
        <f t="array" ref="M43">IF($B43&gt;0,INDEX(DB,$B43,20),0)</f>
        <v>20</v>
      </c>
      <c r="N43" s="278"/>
      <c r="O43" s="279">
        <f t="shared" si="1"/>
        <v>105</v>
      </c>
      <c r="P43" s="280"/>
      <c r="Q43" s="261" t="str">
        <f t="shared" si="2"/>
        <v>#REF!</v>
      </c>
      <c r="R43" s="290">
        <f>IF($AI43&gt;0,RANK($AI43,BoysPoints),0)</f>
        <v>0</v>
      </c>
      <c r="S43" s="291" t="str">
        <f>IF($AJ43&gt;0,RANK($AJ43,GirlsPoints),0)</f>
        <v>#REF!</v>
      </c>
      <c r="T43" s="292">
        <f>IF($O43&gt;0,RANK(O43,AthletePoints),0)</f>
        <v>57</v>
      </c>
      <c r="U43" s="210"/>
      <c r="V43" s="293" t="str">
        <f>IF(O43&gt;=40,IF(X43="M",VLOOKUP(O43,UKABoysAwards,2),IF(X43="F",VLOOKUP(O43,UKAGirlsAwards,2),"")),"")</f>
        <v>Step 3</v>
      </c>
      <c r="W43" s="210"/>
      <c r="X43" s="266" t="str">
        <f t="array" ref="X43">INDEX(DB,$B43,4)</f>
        <v>F</v>
      </c>
      <c r="Y43" s="210"/>
      <c r="Z43" s="285">
        <f t="shared" si="3"/>
        <v>0</v>
      </c>
      <c r="AA43" s="286">
        <f>IF($Z43&gt;=1,RANK($Z43,$Z37:$Z52),0)</f>
        <v>0</v>
      </c>
      <c r="AB43" s="287">
        <f>IF(AA43&lt;=MaxS,INT(Z43),0)</f>
        <v>0</v>
      </c>
      <c r="AC43" s="210"/>
      <c r="AD43" s="285">
        <f t="shared" si="4"/>
        <v>105.0043</v>
      </c>
      <c r="AE43" s="286" t="str">
        <f>IF($AD43&gt;=1,RANK($AD43,$AD37:$AD52),0)</f>
        <v>#REF!</v>
      </c>
      <c r="AF43" s="287" t="str">
        <f>IF(AE43&lt;=MaxS,INT(AD43),0)</f>
        <v>#REF!</v>
      </c>
      <c r="AG43" s="210"/>
      <c r="AH43" s="210"/>
      <c r="AI43" s="288">
        <f t="shared" si="5"/>
        <v>0</v>
      </c>
      <c r="AJ43" s="289">
        <f t="shared" si="6"/>
        <v>105</v>
      </c>
    </row>
    <row r="44" ht="15.0" customHeight="1">
      <c r="A44" s="272"/>
      <c r="B44" s="250">
        <f>IF(OR(ISNA(MATCH(C44&amp;"",AthleteNumbers,0)),ISBLANK(C44)),0,MATCH(C44&amp;"",AthleteNumbers,0))</f>
        <v>39</v>
      </c>
      <c r="C44" s="413" t="s">
        <v>213</v>
      </c>
      <c r="D44" s="273" t="str">
        <f t="array" ref="D44">IF($B44&gt;0,INDEX(DB,$B44,8),"")</f>
        <v>Sophie Cross</v>
      </c>
      <c r="E44" s="274" t="str">
        <f t="array" ref="E44">IF($B44&gt;0,INDEX(DB,$B44,3),"")</f>
        <v>Southampton AC</v>
      </c>
      <c r="F44" s="275">
        <f t="array" ref="F44">IF($B44&gt;0,INDEX(DB,$B44,13),0)</f>
        <v>13.2</v>
      </c>
      <c r="G44" s="276">
        <f t="array" ref="G44">IF($B44&gt;0,INDEX(DB,$B44,17),0)</f>
        <v>38</v>
      </c>
      <c r="H44" s="277">
        <f t="array" ref="H44">IF($B44&gt;0,INDEX(DB,$B44,15),0)</f>
        <v>2.14</v>
      </c>
      <c r="I44" s="276">
        <f t="array" ref="I44">IF($B44&gt;0,INDEX(DB,$B44,19),0)</f>
        <v>56</v>
      </c>
      <c r="J44" s="277">
        <f t="array" ref="J44">IF($B44&gt;0,INDEX(DB,$B44,14),0)</f>
        <v>3.1</v>
      </c>
      <c r="K44" s="276">
        <f t="array" ref="K44">IF($B44&gt;0,INDEX(DB,$B44,18),0)</f>
        <v>40</v>
      </c>
      <c r="L44" s="275">
        <f t="array" ref="L44">IF($B44&gt;0,INDEX(DB,$B44,16),0)</f>
        <v>16.14</v>
      </c>
      <c r="M44" s="276">
        <f t="array" ref="M44">IF($B44&gt;0,INDEX(DB,$B44,20),0)</f>
        <v>32</v>
      </c>
      <c r="N44" s="278"/>
      <c r="O44" s="279">
        <f t="shared" si="1"/>
        <v>166</v>
      </c>
      <c r="P44" s="280"/>
      <c r="Q44" s="261" t="str">
        <f t="shared" si="2"/>
        <v>#REF!</v>
      </c>
      <c r="R44" s="281">
        <f>IF($AI44&gt;0,RANK($AI44,BoysPoints),0)</f>
        <v>0</v>
      </c>
      <c r="S44" s="282" t="str">
        <f>IF($AJ44&gt;0,RANK($AJ44,GirlsPoints),0)</f>
        <v>#REF!</v>
      </c>
      <c r="T44" s="283">
        <f>IF($O44&gt;0,RANK(O44,AthletePoints),0)</f>
        <v>20</v>
      </c>
      <c r="U44" s="210"/>
      <c r="V44" s="284" t="str">
        <f>IF(O44&gt;=40,IF(X44="M",VLOOKUP(O44,UKABoysAwards,2),IF(X44="F",VLOOKUP(O44,UKAGirlsAwards,2),"")),"")</f>
        <v>Step 6</v>
      </c>
      <c r="W44" s="210"/>
      <c r="X44" s="266" t="str">
        <f t="array" ref="X44">INDEX(DB,$B44,4)</f>
        <v>F</v>
      </c>
      <c r="Y44" s="210"/>
      <c r="Z44" s="285">
        <f t="shared" si="3"/>
        <v>0</v>
      </c>
      <c r="AA44" s="286">
        <f>IF($Z44&gt;=1,RANK($Z44,$Z37:$Z52),0)</f>
        <v>0</v>
      </c>
      <c r="AB44" s="287">
        <f>IF(AA44&lt;=MaxS,INT(Z44),0)</f>
        <v>0</v>
      </c>
      <c r="AC44" s="210"/>
      <c r="AD44" s="285">
        <f t="shared" si="4"/>
        <v>166.0044</v>
      </c>
      <c r="AE44" s="286" t="str">
        <f>IF($AD44&gt;=1,RANK($AD44,$AD37:$AD52),0)</f>
        <v>#REF!</v>
      </c>
      <c r="AF44" s="287" t="str">
        <f>IF(AE44&lt;=MaxS,INT(AD44),0)</f>
        <v>#REF!</v>
      </c>
      <c r="AG44" s="210"/>
      <c r="AH44" s="210"/>
      <c r="AI44" s="288">
        <f t="shared" si="5"/>
        <v>0</v>
      </c>
      <c r="AJ44" s="289">
        <f t="shared" si="6"/>
        <v>166</v>
      </c>
    </row>
    <row r="45" ht="15.0" customHeight="1">
      <c r="A45" s="272"/>
      <c r="B45" s="250">
        <f>IF(OR(ISNA(MATCH(C45&amp;"",AthleteNumbers,0)),ISBLANK(C45)),0,MATCH(C45&amp;"",AthleteNumbers,0))</f>
        <v>40</v>
      </c>
      <c r="C45" s="413" t="s">
        <v>216</v>
      </c>
      <c r="D45" s="273" t="str">
        <f t="array" ref="D45">IF($B45&gt;0,INDEX(DB,$B45,8),"")</f>
        <v>Isis Dalton</v>
      </c>
      <c r="E45" s="274" t="str">
        <f t="array" ref="E45">IF($B45&gt;0,INDEX(DB,$B45,3),"")</f>
        <v>Wimborne AC</v>
      </c>
      <c r="F45" s="275">
        <f t="array" ref="F45">IF($B45&gt;0,INDEX(DB,$B45,13),0)</f>
        <v>13.1</v>
      </c>
      <c r="G45" s="276">
        <f t="array" ref="G45">IF($B45&gt;0,INDEX(DB,$B45,17),0)</f>
        <v>39</v>
      </c>
      <c r="H45" s="277">
        <f t="array" ref="H45">IF($B45&gt;0,INDEX(DB,$B45,15),0)</f>
        <v>0</v>
      </c>
      <c r="I45" s="276">
        <f t="array" ref="I45">IF($B45&gt;0,INDEX(DB,$B45,19),0)</f>
        <v>0</v>
      </c>
      <c r="J45" s="277">
        <f t="array" ref="J45">IF($B45&gt;0,INDEX(DB,$B45,14),0)</f>
        <v>3.38</v>
      </c>
      <c r="K45" s="276">
        <f t="array" ref="K45">IF($B45&gt;0,INDEX(DB,$B45,18),0)</f>
        <v>49</v>
      </c>
      <c r="L45" s="275">
        <f t="array" ref="L45">IF($B45&gt;0,INDEX(DB,$B45,16),0)</f>
        <v>13.91</v>
      </c>
      <c r="M45" s="276">
        <f t="array" ref="M45">IF($B45&gt;0,INDEX(DB,$B45,20),0)</f>
        <v>27</v>
      </c>
      <c r="N45" s="278"/>
      <c r="O45" s="279">
        <f t="shared" si="1"/>
        <v>115</v>
      </c>
      <c r="P45" s="280"/>
      <c r="Q45" s="261" t="str">
        <f t="shared" si="2"/>
        <v>#REF!</v>
      </c>
      <c r="R45" s="290">
        <f>IF($AI45&gt;0,RANK($AI45,BoysPoints),0)</f>
        <v>0</v>
      </c>
      <c r="S45" s="291" t="str">
        <f>IF($AJ45&gt;0,RANK($AJ45,GirlsPoints),0)</f>
        <v>#REF!</v>
      </c>
      <c r="T45" s="292">
        <f>IF($O45&gt;0,RANK(O45,AthletePoints),0)</f>
        <v>53</v>
      </c>
      <c r="U45" s="210"/>
      <c r="V45" s="293" t="str">
        <f>IF(O45&gt;=40,IF(X45="M",VLOOKUP(O45,UKABoysAwards,2),IF(X45="F",VLOOKUP(O45,UKAGirlsAwards,2),"")),"")</f>
        <v>Step 3</v>
      </c>
      <c r="W45" s="210"/>
      <c r="X45" s="266" t="str">
        <f t="array" ref="X45">INDEX(DB,$B45,4)</f>
        <v>F</v>
      </c>
      <c r="Y45" s="210"/>
      <c r="Z45" s="285">
        <f t="shared" si="3"/>
        <v>0</v>
      </c>
      <c r="AA45" s="286">
        <f>IF($Z45&gt;=1,RANK($Z45,$Z37:$Z52),0)</f>
        <v>0</v>
      </c>
      <c r="AB45" s="287">
        <f>IF(AA45&lt;=MaxS,INT(Z45),0)</f>
        <v>0</v>
      </c>
      <c r="AC45" s="210"/>
      <c r="AD45" s="285">
        <f t="shared" si="4"/>
        <v>115.0045</v>
      </c>
      <c r="AE45" s="286" t="str">
        <f>IF($AD45&gt;=1,RANK($AD45,$AD37:$AD52),0)</f>
        <v>#REF!</v>
      </c>
      <c r="AF45" s="287" t="str">
        <f>IF(AE45&lt;=MaxS,INT(AD45),0)</f>
        <v>#REF!</v>
      </c>
      <c r="AG45" s="210"/>
      <c r="AH45" s="210"/>
      <c r="AI45" s="288">
        <f t="shared" si="5"/>
        <v>0</v>
      </c>
      <c r="AJ45" s="289">
        <f t="shared" si="6"/>
        <v>115</v>
      </c>
    </row>
    <row r="46" ht="15.0" customHeight="1">
      <c r="A46" s="272"/>
      <c r="B46" s="250">
        <f>IF(OR(ISNA(MATCH(C46&amp;"",AthleteNumbers,0)),ISBLANK(C46)),0,MATCH(C46&amp;"",AthleteNumbers,0))</f>
        <v>41</v>
      </c>
      <c r="C46" s="413" t="s">
        <v>218</v>
      </c>
      <c r="D46" s="273" t="str">
        <f t="array" ref="D46">IF($B46&gt;0,INDEX(DB,$B46,8),"")</f>
        <v>Elizabeth Davie</v>
      </c>
      <c r="E46" s="274" t="str">
        <f t="array" ref="E46">IF($B46&gt;0,INDEX(DB,$B46,3),"")</f>
        <v>BAC</v>
      </c>
      <c r="F46" s="275">
        <f t="array" ref="F46">IF($B46&gt;0,INDEX(DB,$B46,13),0)</f>
        <v>12.6</v>
      </c>
      <c r="G46" s="276">
        <f t="array" ref="G46">IF($B46&gt;0,INDEX(DB,$B46,17),0)</f>
        <v>44</v>
      </c>
      <c r="H46" s="277">
        <f t="array" ref="H46">IF($B46&gt;0,INDEX(DB,$B46,15),0)</f>
        <v>2.25</v>
      </c>
      <c r="I46" s="276">
        <f t="array" ref="I46">IF($B46&gt;0,INDEX(DB,$B46,19),0)</f>
        <v>45</v>
      </c>
      <c r="J46" s="277">
        <f t="array" ref="J46">IF($B46&gt;0,INDEX(DB,$B46,14),0)</f>
        <v>2.97</v>
      </c>
      <c r="K46" s="276">
        <f t="array" ref="K46">IF($B46&gt;0,INDEX(DB,$B46,18),0)</f>
        <v>35</v>
      </c>
      <c r="L46" s="275">
        <f t="array" ref="L46">IF($B46&gt;0,INDEX(DB,$B46,16),0)</f>
        <v>15.04</v>
      </c>
      <c r="M46" s="276">
        <f t="array" ref="M46">IF($B46&gt;0,INDEX(DB,$B46,20),0)</f>
        <v>30</v>
      </c>
      <c r="N46" s="278"/>
      <c r="O46" s="279">
        <f t="shared" si="1"/>
        <v>154</v>
      </c>
      <c r="P46" s="280"/>
      <c r="Q46" s="261" t="str">
        <f t="shared" si="2"/>
        <v>#REF!</v>
      </c>
      <c r="R46" s="281">
        <f>IF($AI46&gt;0,RANK($AI46,BoysPoints),0)</f>
        <v>0</v>
      </c>
      <c r="S46" s="282" t="str">
        <f>IF($AJ46&gt;0,RANK($AJ46,GirlsPoints),0)</f>
        <v>#REF!</v>
      </c>
      <c r="T46" s="283">
        <f>IF($O46&gt;0,RANK(O46,AthletePoints),0)</f>
        <v>28</v>
      </c>
      <c r="U46" s="210"/>
      <c r="V46" s="284" t="str">
        <f>IF(O46&gt;=40,IF(X46="M",VLOOKUP(O46,UKABoysAwards,2),IF(X46="F",VLOOKUP(O46,UKAGirlsAwards,2),"")),"")</f>
        <v>Step 5</v>
      </c>
      <c r="W46" s="210"/>
      <c r="X46" s="266" t="str">
        <f t="array" ref="X46">INDEX(DB,$B46,4)</f>
        <v>F</v>
      </c>
      <c r="Y46" s="210"/>
      <c r="Z46" s="285">
        <f t="shared" si="3"/>
        <v>0</v>
      </c>
      <c r="AA46" s="286">
        <f>IF($Z46&gt;=1,RANK($Z46,$Z37:$Z52),0)</f>
        <v>0</v>
      </c>
      <c r="AB46" s="287">
        <f>IF(AA46&lt;=MaxS,INT(Z46),0)</f>
        <v>0</v>
      </c>
      <c r="AC46" s="210"/>
      <c r="AD46" s="285">
        <f t="shared" si="4"/>
        <v>154.0046</v>
      </c>
      <c r="AE46" s="286" t="str">
        <f>IF($AD46&gt;=1,RANK($AD46,$AD37:$AD52),0)</f>
        <v>#REF!</v>
      </c>
      <c r="AF46" s="287" t="str">
        <f>IF(AE46&lt;=MaxS,INT(AD46),0)</f>
        <v>#REF!</v>
      </c>
      <c r="AG46" s="210"/>
      <c r="AH46" s="210"/>
      <c r="AI46" s="288">
        <f t="shared" si="5"/>
        <v>0</v>
      </c>
      <c r="AJ46" s="289">
        <f t="shared" si="6"/>
        <v>154</v>
      </c>
    </row>
    <row r="47" ht="15.0" customHeight="1">
      <c r="A47" s="272"/>
      <c r="B47" s="250">
        <f>IF(OR(ISNA(MATCH(C47&amp;"",AthleteNumbers,0)),ISBLANK(C47)),0,MATCH(C47&amp;"",AthleteNumbers,0))</f>
        <v>42</v>
      </c>
      <c r="C47" s="413" t="s">
        <v>220</v>
      </c>
      <c r="D47" s="273" t="str">
        <f t="array" ref="D47">IF($B47&gt;0,INDEX(DB,$B47,8),"")</f>
        <v>Amelia Drew</v>
      </c>
      <c r="E47" s="274" t="str">
        <f t="array" ref="E47">IF($B47&gt;0,INDEX(DB,$B47,3),"")</f>
        <v>Poole AC</v>
      </c>
      <c r="F47" s="275">
        <f t="array" ref="F47">IF($B47&gt;0,INDEX(DB,$B47,13),0)</f>
        <v>15.8</v>
      </c>
      <c r="G47" s="276">
        <f t="array" ref="G47">IF($B47&gt;0,INDEX(DB,$B47,17),0)</f>
        <v>11</v>
      </c>
      <c r="H47" s="277">
        <f t="array" ref="H47">IF($B47&gt;0,INDEX(DB,$B47,15),0)</f>
        <v>2.34</v>
      </c>
      <c r="I47" s="276">
        <f t="array" ref="I47">IF($B47&gt;0,INDEX(DB,$B47,19),0)</f>
        <v>36</v>
      </c>
      <c r="J47" s="277">
        <f t="array" ref="J47">IF($B47&gt;0,INDEX(DB,$B47,14),0)</f>
        <v>1.2</v>
      </c>
      <c r="K47" s="276">
        <f t="array" ref="K47">IF($B47&gt;0,INDEX(DB,$B47,18),0)</f>
        <v>10</v>
      </c>
      <c r="L47" s="275">
        <f t="array" ref="L47">IF($B47&gt;0,INDEX(DB,$B47,16),0)</f>
        <v>9.95</v>
      </c>
      <c r="M47" s="276">
        <f t="array" ref="M47">IF($B47&gt;0,INDEX(DB,$B47,20),0)</f>
        <v>19</v>
      </c>
      <c r="N47" s="278"/>
      <c r="O47" s="279">
        <f t="shared" si="1"/>
        <v>76</v>
      </c>
      <c r="P47" s="280"/>
      <c r="Q47" s="261" t="str">
        <f t="shared" si="2"/>
        <v>#REF!</v>
      </c>
      <c r="R47" s="290">
        <f>IF($AI47&gt;0,RANK($AI47,BoysPoints),0)</f>
        <v>0</v>
      </c>
      <c r="S47" s="291" t="str">
        <f>IF($AJ47&gt;0,RANK($AJ47,GirlsPoints),0)</f>
        <v>#REF!</v>
      </c>
      <c r="T47" s="292">
        <f>IF($O47&gt;0,RANK(O47,AthletePoints),0)</f>
        <v>64</v>
      </c>
      <c r="U47" s="210"/>
      <c r="V47" s="293" t="str">
        <f>IF(O47&gt;=40,IF(X47="M",VLOOKUP(O47,UKABoysAwards,2),IF(X47="F",VLOOKUP(O47,UKAGirlsAwards,2),"")),"")</f>
        <v>Step 1</v>
      </c>
      <c r="W47" s="210"/>
      <c r="X47" s="266" t="str">
        <f t="array" ref="X47">INDEX(DB,$B47,4)</f>
        <v>F</v>
      </c>
      <c r="Y47" s="210"/>
      <c r="Z47" s="285">
        <f t="shared" si="3"/>
        <v>0</v>
      </c>
      <c r="AA47" s="286">
        <f>IF($Z47&gt;=1,RANK($Z47,$Z37:$Z52),0)</f>
        <v>0</v>
      </c>
      <c r="AB47" s="287">
        <f>IF(AA47&lt;=MaxS,INT(Z47),0)</f>
        <v>0</v>
      </c>
      <c r="AC47" s="210"/>
      <c r="AD47" s="285">
        <f t="shared" si="4"/>
        <v>76.0047</v>
      </c>
      <c r="AE47" s="286" t="str">
        <f>IF($AD47&gt;=1,RANK($AD47,$AD37:$AD52),0)</f>
        <v>#REF!</v>
      </c>
      <c r="AF47" s="287" t="str">
        <f>IF(AE47&lt;=MaxS,INT(AD47),0)</f>
        <v>#REF!</v>
      </c>
      <c r="AG47" s="210"/>
      <c r="AH47" s="210"/>
      <c r="AI47" s="288">
        <f t="shared" si="5"/>
        <v>0</v>
      </c>
      <c r="AJ47" s="289">
        <f t="shared" si="6"/>
        <v>76</v>
      </c>
    </row>
    <row r="48" ht="15.0" customHeight="1">
      <c r="A48" s="272"/>
      <c r="B48" s="250">
        <f>IF(OR(ISNA(MATCH(C48&amp;"",AthleteNumbers,0)),ISBLANK(C48)),0,MATCH(C48&amp;"",AthleteNumbers,0))</f>
        <v>43</v>
      </c>
      <c r="C48" s="413" t="s">
        <v>222</v>
      </c>
      <c r="D48" s="273" t="str">
        <f t="array" ref="D48">IF($B48&gt;0,INDEX(DB,$B48,8),"")</f>
        <v>Millie Drew</v>
      </c>
      <c r="E48" s="274" t="str">
        <f t="array" ref="E48">IF($B48&gt;0,INDEX(DB,$B48,3),"")</f>
        <v>Bournemouth AC</v>
      </c>
      <c r="F48" s="275">
        <f t="array" ref="F48">IF($B48&gt;0,INDEX(DB,$B48,13),0)</f>
        <v>13.5</v>
      </c>
      <c r="G48" s="276">
        <f t="array" ref="G48">IF($B48&gt;0,INDEX(DB,$B48,17),0)</f>
        <v>35</v>
      </c>
      <c r="H48" s="277">
        <f t="array" ref="H48">IF($B48&gt;0,INDEX(DB,$B48,15),0)</f>
        <v>0</v>
      </c>
      <c r="I48" s="276">
        <f t="array" ref="I48">IF($B48&gt;0,INDEX(DB,$B48,19),0)</f>
        <v>0</v>
      </c>
      <c r="J48" s="277">
        <f t="array" ref="J48">IF($B48&gt;0,INDEX(DB,$B48,14),0)</f>
        <v>0</v>
      </c>
      <c r="K48" s="276">
        <f t="array" ref="K48">IF($B48&gt;0,INDEX(DB,$B48,18),0)</f>
        <v>0</v>
      </c>
      <c r="L48" s="275">
        <f t="array" ref="L48">IF($B48&gt;0,INDEX(DB,$B48,16),0)</f>
        <v>0</v>
      </c>
      <c r="M48" s="276">
        <f t="array" ref="M48">IF($B48&gt;0,INDEX(DB,$B48,20),0)</f>
        <v>0</v>
      </c>
      <c r="N48" s="278"/>
      <c r="O48" s="279">
        <f t="shared" si="1"/>
        <v>35</v>
      </c>
      <c r="P48" s="280"/>
      <c r="Q48" s="261" t="str">
        <f t="shared" si="2"/>
        <v>#REF!</v>
      </c>
      <c r="R48" s="281">
        <f>IF($AI48&gt;0,RANK($AI48,BoysPoints),0)</f>
        <v>0</v>
      </c>
      <c r="S48" s="282" t="str">
        <f>IF($AJ48&gt;0,RANK($AJ48,GirlsPoints),0)</f>
        <v>#REF!</v>
      </c>
      <c r="T48" s="283">
        <f>IF($O48&gt;0,RANK(O48,AthletePoints),0)</f>
        <v>69</v>
      </c>
      <c r="U48" s="210"/>
      <c r="V48" s="415" t="str">
        <f>IF(O48&gt;=40,IF(X48="M",VLOOKUP(O48,UKABoysAwards,2),IF(X48="F",VLOOKUP(O48,UKAGirlsAwards,2),"")),"")</f>
        <v/>
      </c>
      <c r="W48" s="210"/>
      <c r="X48" s="266" t="str">
        <f t="array" ref="X48">INDEX(DB,$B48,4)</f>
        <v>F</v>
      </c>
      <c r="Y48" s="210"/>
      <c r="Z48" s="285">
        <f t="shared" si="3"/>
        <v>0</v>
      </c>
      <c r="AA48" s="286">
        <f>IF($Z48&gt;=1,RANK($Z48,$Z37:$Z52),0)</f>
        <v>0</v>
      </c>
      <c r="AB48" s="287">
        <f>IF(AA48&lt;=MaxS,INT(Z48),0)</f>
        <v>0</v>
      </c>
      <c r="AC48" s="210"/>
      <c r="AD48" s="285">
        <f t="shared" si="4"/>
        <v>35.0048</v>
      </c>
      <c r="AE48" s="286" t="str">
        <f>IF($AD48&gt;=1,RANK($AD48,$AD37:$AD52),0)</f>
        <v>#REF!</v>
      </c>
      <c r="AF48" s="287" t="str">
        <f>IF(AE48&lt;=MaxS,INT(AD48),0)</f>
        <v>#REF!</v>
      </c>
      <c r="AG48" s="210"/>
      <c r="AH48" s="210"/>
      <c r="AI48" s="288">
        <f t="shared" si="5"/>
        <v>0</v>
      </c>
      <c r="AJ48" s="289">
        <f t="shared" si="6"/>
        <v>35</v>
      </c>
    </row>
    <row r="49" ht="15.0" customHeight="1">
      <c r="A49" s="272"/>
      <c r="B49" s="250">
        <f>IF(OR(ISNA(MATCH(C49&amp;"",AthleteNumbers,0)),ISBLANK(C49)),0,MATCH(C49&amp;"",AthleteNumbers,0))</f>
        <v>44</v>
      </c>
      <c r="C49" s="413" t="s">
        <v>224</v>
      </c>
      <c r="D49" s="273" t="str">
        <f t="array" ref="D49">IF($B49&gt;0,INDEX(DB,$B49,8),"")</f>
        <v>Evie Fuller</v>
      </c>
      <c r="E49" s="274" t="str">
        <f t="array" ref="E49">IF($B49&gt;0,INDEX(DB,$B49,3),"")</f>
        <v>Wimborne AC</v>
      </c>
      <c r="F49" s="275">
        <f t="array" ref="F49">IF($B49&gt;0,INDEX(DB,$B49,13),0)</f>
        <v>14.2</v>
      </c>
      <c r="G49" s="276">
        <f t="array" ref="G49">IF($B49&gt;0,INDEX(DB,$B49,17),0)</f>
        <v>28</v>
      </c>
      <c r="H49" s="277">
        <f t="array" ref="H49">IF($B49&gt;0,INDEX(DB,$B49,15),0)</f>
        <v>2.11</v>
      </c>
      <c r="I49" s="276">
        <f t="array" ref="I49">IF($B49&gt;0,INDEX(DB,$B49,19),0)</f>
        <v>59</v>
      </c>
      <c r="J49" s="277">
        <f t="array" ref="J49">IF($B49&gt;0,INDEX(DB,$B49,14),0)</f>
        <v>2.71</v>
      </c>
      <c r="K49" s="276">
        <f t="array" ref="K49">IF($B49&gt;0,INDEX(DB,$B49,18),0)</f>
        <v>27</v>
      </c>
      <c r="L49" s="275">
        <f t="array" ref="L49">IF($B49&gt;0,INDEX(DB,$B49,16),0)</f>
        <v>12.33</v>
      </c>
      <c r="M49" s="276">
        <f t="array" ref="M49">IF($B49&gt;0,INDEX(DB,$B49,20),0)</f>
        <v>24</v>
      </c>
      <c r="N49" s="278"/>
      <c r="O49" s="279">
        <f t="shared" si="1"/>
        <v>138</v>
      </c>
      <c r="P49" s="280"/>
      <c r="Q49" s="261" t="str">
        <f t="shared" si="2"/>
        <v>#REF!</v>
      </c>
      <c r="R49" s="290">
        <f>IF($AI49&gt;0,RANK($AI49,BoysPoints),0)</f>
        <v>0</v>
      </c>
      <c r="S49" s="291" t="str">
        <f>IF($AJ49&gt;0,RANK($AJ49,GirlsPoints),0)</f>
        <v>#REF!</v>
      </c>
      <c r="T49" s="292">
        <f>IF($O49&gt;0,RANK(O49,AthletePoints),0)</f>
        <v>42</v>
      </c>
      <c r="U49" s="210"/>
      <c r="V49" s="293" t="str">
        <f>IF(O49&gt;=40,IF(X49="M",VLOOKUP(O49,UKABoysAwards,2),IF(X49="F",VLOOKUP(O49,UKAGirlsAwards,2),"")),"")</f>
        <v>Step 4</v>
      </c>
      <c r="W49" s="210"/>
      <c r="X49" s="266" t="str">
        <f t="array" ref="X49">INDEX(DB,$B49,4)</f>
        <v>F</v>
      </c>
      <c r="Y49" s="210"/>
      <c r="Z49" s="285">
        <f t="shared" si="3"/>
        <v>0</v>
      </c>
      <c r="AA49" s="286">
        <f>IF($Z49&gt;=1,RANK($Z49,$Z37:$Z52),0)</f>
        <v>0</v>
      </c>
      <c r="AB49" s="287">
        <f>IF(AA49&lt;=MaxS,INT(Z49),0)</f>
        <v>0</v>
      </c>
      <c r="AC49" s="210"/>
      <c r="AD49" s="285">
        <f t="shared" si="4"/>
        <v>138.0049</v>
      </c>
      <c r="AE49" s="286" t="str">
        <f>IF($AD49&gt;=1,RANK($AD49,$AD37:$AD52),0)</f>
        <v>#REF!</v>
      </c>
      <c r="AF49" s="287" t="str">
        <f>IF(AE49&lt;=MaxS,INT(AD49),0)</f>
        <v>#REF!</v>
      </c>
      <c r="AG49" s="210"/>
      <c r="AH49" s="210"/>
      <c r="AI49" s="288">
        <f t="shared" si="5"/>
        <v>0</v>
      </c>
      <c r="AJ49" s="289">
        <f t="shared" si="6"/>
        <v>138</v>
      </c>
    </row>
    <row r="50" ht="15.0" customHeight="1">
      <c r="A50" s="272"/>
      <c r="B50" s="250">
        <f>IF(OR(ISNA(MATCH(C50&amp;"",AthleteNumbers,0)),ISBLANK(C50)),0,MATCH(C50&amp;"",AthleteNumbers,0))</f>
        <v>45</v>
      </c>
      <c r="C50" s="413" t="s">
        <v>226</v>
      </c>
      <c r="D50" s="273" t="str">
        <f t="array" ref="D50">IF($B50&gt;0,INDEX(DB,$B50,8),"")</f>
        <v>Izzy Garavini</v>
      </c>
      <c r="E50" s="274" t="str">
        <f t="array" ref="E50">IF($B50&gt;0,INDEX(DB,$B50,3),"")</f>
        <v>Poole AC</v>
      </c>
      <c r="F50" s="275">
        <f t="array" ref="F50">IF($B50&gt;0,INDEX(DB,$B50,13),0)</f>
        <v>13.4</v>
      </c>
      <c r="G50" s="276">
        <f t="array" ref="G50">IF($B50&gt;0,INDEX(DB,$B50,17),0)</f>
        <v>36</v>
      </c>
      <c r="H50" s="277">
        <f t="array" ref="H50">IF($B50&gt;0,INDEX(DB,$B50,15),0)</f>
        <v>2.13</v>
      </c>
      <c r="I50" s="276">
        <f t="array" ref="I50">IF($B50&gt;0,INDEX(DB,$B50,19),0)</f>
        <v>57</v>
      </c>
      <c r="J50" s="277">
        <f t="array" ref="J50">IF($B50&gt;0,INDEX(DB,$B50,14),0)</f>
        <v>2.96</v>
      </c>
      <c r="K50" s="276">
        <f t="array" ref="K50">IF($B50&gt;0,INDEX(DB,$B50,18),0)</f>
        <v>35</v>
      </c>
      <c r="L50" s="275">
        <f t="array" ref="L50">IF($B50&gt;0,INDEX(DB,$B50,16),0)</f>
        <v>10.29</v>
      </c>
      <c r="M50" s="276">
        <f t="array" ref="M50">IF($B50&gt;0,INDEX(DB,$B50,20),0)</f>
        <v>20</v>
      </c>
      <c r="N50" s="278"/>
      <c r="O50" s="279">
        <f t="shared" si="1"/>
        <v>148</v>
      </c>
      <c r="P50" s="280"/>
      <c r="Q50" s="261" t="str">
        <f t="shared" si="2"/>
        <v>#REF!</v>
      </c>
      <c r="R50" s="281">
        <f>IF($AI50&gt;0,RANK($AI50,BoysPoints),0)</f>
        <v>0</v>
      </c>
      <c r="S50" s="282" t="str">
        <f>IF($AJ50&gt;0,RANK($AJ50,GirlsPoints),0)</f>
        <v>#REF!</v>
      </c>
      <c r="T50" s="283">
        <f>IF($O50&gt;0,RANK(O50,AthletePoints),0)</f>
        <v>36</v>
      </c>
      <c r="U50" s="210"/>
      <c r="V50" s="284" t="str">
        <f>IF(O50&gt;=40,IF(X50="M",VLOOKUP(O50,UKABoysAwards,2),IF(X50="F",VLOOKUP(O50,UKAGirlsAwards,2),"")),"")</f>
        <v>Step 5</v>
      </c>
      <c r="W50" s="210"/>
      <c r="X50" s="266" t="str">
        <f t="array" ref="X50">INDEX(DB,$B50,4)</f>
        <v>F</v>
      </c>
      <c r="Y50" s="210"/>
      <c r="Z50" s="285">
        <f t="shared" si="3"/>
        <v>0</v>
      </c>
      <c r="AA50" s="286">
        <f>IF($Z50&gt;=1,RANK($Z50,$Z37:$Z52),0)</f>
        <v>0</v>
      </c>
      <c r="AB50" s="287">
        <f>IF(AA50&lt;=MaxS,INT(Z50),0)</f>
        <v>0</v>
      </c>
      <c r="AC50" s="210"/>
      <c r="AD50" s="285">
        <f t="shared" si="4"/>
        <v>148.005</v>
      </c>
      <c r="AE50" s="286" t="str">
        <f>IF($AD50&gt;=1,RANK($AD50,$AD37:$AD52),0)</f>
        <v>#REF!</v>
      </c>
      <c r="AF50" s="287" t="str">
        <f>IF(AE50&lt;=MaxS,INT(AD50),0)</f>
        <v>#REF!</v>
      </c>
      <c r="AG50" s="210"/>
      <c r="AH50" s="210"/>
      <c r="AI50" s="288">
        <f t="shared" si="5"/>
        <v>0</v>
      </c>
      <c r="AJ50" s="289">
        <f t="shared" si="6"/>
        <v>148</v>
      </c>
    </row>
    <row r="51" ht="15.0" customHeight="1">
      <c r="A51" s="272"/>
      <c r="B51" s="250">
        <f>IF(OR(ISNA(MATCH(C51&amp;"",AthleteNumbers,0)),ISBLANK(C51)),0,MATCH(C51&amp;"",AthleteNumbers,0))</f>
        <v>46</v>
      </c>
      <c r="C51" s="413" t="s">
        <v>228</v>
      </c>
      <c r="D51" s="273" t="str">
        <f t="array" ref="D51">IF($B51&gt;0,INDEX(DB,$B51,8),"")</f>
        <v>Amber Groom </v>
      </c>
      <c r="E51" s="274" t="str">
        <f t="array" ref="E51">IF($B51&gt;0,INDEX(DB,$B51,3),"")</f>
        <v>Havant</v>
      </c>
      <c r="F51" s="275">
        <f t="array" ref="F51">IF($B51&gt;0,INDEX(DB,$B51,13),0)</f>
        <v>0</v>
      </c>
      <c r="G51" s="276">
        <f t="array" ref="G51">IF($B51&gt;0,INDEX(DB,$B51,17),0)</f>
        <v>0</v>
      </c>
      <c r="H51" s="277">
        <f t="array" ref="H51">IF($B51&gt;0,INDEX(DB,$B51,15),0)</f>
        <v>0</v>
      </c>
      <c r="I51" s="276">
        <f t="array" ref="I51">IF($B51&gt;0,INDEX(DB,$B51,19),0)</f>
        <v>0</v>
      </c>
      <c r="J51" s="277">
        <f t="array" ref="J51">IF($B51&gt;0,INDEX(DB,$B51,14),0)</f>
        <v>0</v>
      </c>
      <c r="K51" s="276">
        <f t="array" ref="K51">IF($B51&gt;0,INDEX(DB,$B51,18),0)</f>
        <v>0</v>
      </c>
      <c r="L51" s="275">
        <f t="array" ref="L51">IF($B51&gt;0,INDEX(DB,$B51,16),0)</f>
        <v>0</v>
      </c>
      <c r="M51" s="276">
        <f t="array" ref="M51">IF($B51&gt;0,INDEX(DB,$B51,20),0)</f>
        <v>0</v>
      </c>
      <c r="N51" s="278"/>
      <c r="O51" s="279">
        <f t="shared" si="1"/>
        <v>0</v>
      </c>
      <c r="P51" s="280"/>
      <c r="Q51" s="261" t="str">
        <f t="shared" si="2"/>
        <v/>
      </c>
      <c r="R51" s="290">
        <f>IF($AI51&gt;0,RANK($AI51,BoysPoints),0)</f>
        <v>0</v>
      </c>
      <c r="S51" s="291">
        <f>IF($AJ51&gt;0,RANK($AJ51,GirlsPoints),0)</f>
        <v>0</v>
      </c>
      <c r="T51" s="292">
        <f>IF($O51&gt;0,RANK(O51,AthletePoints),0)</f>
        <v>0</v>
      </c>
      <c r="U51" s="210"/>
      <c r="V51" s="330" t="str">
        <f>IF(O51&gt;=40,IF(X51="M",VLOOKUP(O51,UKABoysAwards,2),IF(X51="F",VLOOKUP(O51,UKAGirlsAwards,2),"")),"")</f>
        <v/>
      </c>
      <c r="W51" s="210"/>
      <c r="X51" s="266" t="str">
        <f t="array" ref="X51">INDEX(DB,$B51,4)</f>
        <v>F</v>
      </c>
      <c r="Y51" s="210"/>
      <c r="Z51" s="285">
        <f t="shared" si="3"/>
        <v>0</v>
      </c>
      <c r="AA51" s="286">
        <f>IF($Z51&gt;=1,RANK($Z51,$Z37:$Z52),0)</f>
        <v>0</v>
      </c>
      <c r="AB51" s="287">
        <f>IF(AA51&lt;=MaxS,INT(Z51),0)</f>
        <v>0</v>
      </c>
      <c r="AC51" s="210"/>
      <c r="AD51" s="285">
        <f t="shared" si="4"/>
        <v>0.0051</v>
      </c>
      <c r="AE51" s="286">
        <f>IF($AD51&gt;=1,RANK($AD51,$AD37:$AD52),0)</f>
        <v>0</v>
      </c>
      <c r="AF51" s="287">
        <f>IF(AE51&lt;=MaxS,INT(AD51),0)</f>
        <v>0</v>
      </c>
      <c r="AG51" s="210"/>
      <c r="AH51" s="210"/>
      <c r="AI51" s="288">
        <f t="shared" si="5"/>
        <v>0</v>
      </c>
      <c r="AJ51" s="289">
        <f t="shared" si="6"/>
        <v>0</v>
      </c>
    </row>
    <row r="52" ht="15.0" customHeight="1">
      <c r="A52" s="305"/>
      <c r="B52" s="250">
        <f>IF(OR(ISNA(MATCH(C52&amp;"",AthleteNumbers,0)),ISBLANK(C52)),0,MATCH(C52&amp;"",AthleteNumbers,0))</f>
        <v>47</v>
      </c>
      <c r="C52" s="413" t="s">
        <v>230</v>
      </c>
      <c r="D52" s="306" t="str">
        <f t="array" ref="D52">IF($B52&gt;0,INDEX(DB,$B52,8),"")</f>
        <v>Emilia Parsons</v>
      </c>
      <c r="E52" s="307" t="str">
        <f t="array" ref="E52">IF($B52&gt;0,INDEX(DB,$B52,3),"")</f>
        <v>Bournemouth AC</v>
      </c>
      <c r="F52" s="308">
        <f t="array" ref="F52">IF($B52&gt;0,INDEX(DB,$B52,13),0)</f>
        <v>15.2</v>
      </c>
      <c r="G52" s="309">
        <f t="array" ref="G52">IF($B52&gt;0,INDEX(DB,$B52,17),0)</f>
        <v>18</v>
      </c>
      <c r="H52" s="310">
        <f t="array" ref="H52">IF($B52&gt;0,INDEX(DB,$B52,15),0)</f>
        <v>2.52</v>
      </c>
      <c r="I52" s="309">
        <f t="array" ref="I52">IF($B52&gt;0,INDEX(DB,$B52,19),0)</f>
        <v>18</v>
      </c>
      <c r="J52" s="310">
        <f t="array" ref="J52">IF($B52&gt;0,INDEX(DB,$B52,14),0)</f>
        <v>1.77</v>
      </c>
      <c r="K52" s="309">
        <f t="array" ref="K52">IF($B52&gt;0,INDEX(DB,$B52,18),0)</f>
        <v>10</v>
      </c>
      <c r="L52" s="308">
        <f t="array" ref="L52">IF($B52&gt;0,INDEX(DB,$B52,16),0)</f>
        <v>9.14</v>
      </c>
      <c r="M52" s="309">
        <f t="array" ref="M52">IF($B52&gt;0,INDEX(DB,$B52,20),0)</f>
        <v>18</v>
      </c>
      <c r="N52" s="25"/>
      <c r="O52" s="311">
        <f t="shared" si="1"/>
        <v>64</v>
      </c>
      <c r="P52" s="31"/>
      <c r="Q52" s="261" t="str">
        <f t="shared" si="2"/>
        <v>#REF!</v>
      </c>
      <c r="R52" s="312">
        <f>IF($AI52&gt;0,RANK($AI52,BoysPoints),0)</f>
        <v>0</v>
      </c>
      <c r="S52" s="313" t="str">
        <f>IF($AJ52&gt;0,RANK($AJ52,GirlsPoints),0)</f>
        <v>#REF!</v>
      </c>
      <c r="T52" s="314">
        <f>IF($O52&gt;0,RANK(O52,AthletePoints),0)</f>
        <v>66</v>
      </c>
      <c r="U52" s="210"/>
      <c r="V52" s="315" t="str">
        <f>IF(O52&gt;=40,IF(X52="M",VLOOKUP(O52,UKABoysAwards,2),IF(X52="F",VLOOKUP(O52,UKAGirlsAwards,2),"")),"")</f>
        <v>Step 1</v>
      </c>
      <c r="W52" s="210"/>
      <c r="X52" s="266" t="str">
        <f t="array" ref="X52">INDEX(DB,$B52,4)</f>
        <v>F</v>
      </c>
      <c r="Y52" s="210"/>
      <c r="Z52" s="316">
        <f t="shared" si="3"/>
        <v>0</v>
      </c>
      <c r="AA52" s="243">
        <f>IF($Z52&gt;=1,RANK($Z52,$Z37:$Z52),0)</f>
        <v>0</v>
      </c>
      <c r="AB52" s="245">
        <f>IF(AA52&lt;=MaxS,INT(Z52),0)</f>
        <v>0</v>
      </c>
      <c r="AC52" s="210" t="str">
        <f>SUM(AB37:AB52)</f>
        <v>#REF!</v>
      </c>
      <c r="AD52" s="316">
        <f t="shared" si="4"/>
        <v>64.0052</v>
      </c>
      <c r="AE52" s="243" t="str">
        <f>IF($AD52&gt;=1,RANK($AD52,$AD37:$AD52),0)</f>
        <v>#REF!</v>
      </c>
      <c r="AF52" s="245" t="str">
        <f>IF(AE52&lt;=MaxS,INT(AD52),0)</f>
        <v>#REF!</v>
      </c>
      <c r="AG52" s="210" t="str">
        <f>SUM(AF37:AF52)</f>
        <v>#REF!</v>
      </c>
      <c r="AH52" s="210"/>
      <c r="AI52" s="246">
        <f t="shared" si="5"/>
        <v>0</v>
      </c>
      <c r="AJ52" s="247">
        <f t="shared" si="6"/>
        <v>64</v>
      </c>
    </row>
    <row r="53" ht="15.0" customHeight="1">
      <c r="A53" s="248"/>
      <c r="B53" s="250">
        <f>IF(OR(ISNA(MATCH(C53&amp;"",AthleteNumbers,0)),ISBLANK(C53)),0,MATCH(C53&amp;"",AthleteNumbers,0))</f>
        <v>48</v>
      </c>
      <c r="C53" s="413" t="s">
        <v>232</v>
      </c>
      <c r="D53" s="252" t="str">
        <f t="array" ref="D53">IF($B53&gt;0,INDEX(DB,$B53,8),"")</f>
        <v>Millie Hardcastle</v>
      </c>
      <c r="E53" s="253" t="str">
        <f t="array" ref="E53">IF($B53&gt;0,INDEX(DB,$B53,3),"")</f>
        <v>WADAC</v>
      </c>
      <c r="F53" s="254">
        <f t="array" ref="F53">IF($B53&gt;0,INDEX(DB,$B53,13),0)</f>
        <v>14.9</v>
      </c>
      <c r="G53" s="255">
        <f t="array" ref="G53">IF($B53&gt;0,INDEX(DB,$B53,17),0)</f>
        <v>21</v>
      </c>
      <c r="H53" s="257">
        <f t="array" ref="H53">IF($B53&gt;0,INDEX(DB,$B53,15),0)</f>
        <v>2.43</v>
      </c>
      <c r="I53" s="255">
        <f t="array" ref="I53">IF($B53&gt;0,INDEX(DB,$B53,19),0)</f>
        <v>27</v>
      </c>
      <c r="J53" s="257">
        <f t="array" ref="J53">IF($B53&gt;0,INDEX(DB,$B53,14),0)</f>
        <v>2.22</v>
      </c>
      <c r="K53" s="255">
        <f t="array" ref="K53">IF($B53&gt;0,INDEX(DB,$B53,18),0)</f>
        <v>10</v>
      </c>
      <c r="L53" s="254">
        <f t="array" ref="L53">IF($B53&gt;0,INDEX(DB,$B53,16),0)</f>
        <v>9.69</v>
      </c>
      <c r="M53" s="255">
        <f t="array" ref="M53">IF($B53&gt;0,INDEX(DB,$B53,20),0)</f>
        <v>19</v>
      </c>
      <c r="N53" s="258" t="str">
        <f t="array" ref="N53:N69">INDEX(RelayPoints,A68)</f>
        <v>#REF!</v>
      </c>
      <c r="O53" s="259">
        <f t="shared" si="1"/>
        <v>77</v>
      </c>
      <c r="P53" s="260" t="str">
        <f>+AC68+AG68+N53</f>
        <v>#REF!</v>
      </c>
      <c r="Q53" s="261" t="str">
        <f t="shared" si="2"/>
        <v/>
      </c>
      <c r="R53" s="262">
        <f>IF($AI53&gt;0,RANK($AI53,BoysPoints),0)</f>
        <v>0</v>
      </c>
      <c r="S53" s="263" t="str">
        <f>IF($AJ53&gt;0,RANK($AJ53,GirlsPoints),0)</f>
        <v>#REF!</v>
      </c>
      <c r="T53" s="264">
        <f>IF($O53&gt;0,RANK(O53,AthletePoints),0)</f>
        <v>62</v>
      </c>
      <c r="U53" s="210"/>
      <c r="V53" s="265" t="str">
        <f>IF(O53&gt;=40,IF(X53="M",VLOOKUP(O53,UKABoysAwards,2),IF(X53="F",VLOOKUP(O53,UKAGirlsAwards,2),"")),"")</f>
        <v>Step 1</v>
      </c>
      <c r="W53" s="210"/>
      <c r="X53" s="266" t="str">
        <f t="array" ref="X53">INDEX(DB,$B53,4)</f>
        <v>F</v>
      </c>
      <c r="Y53" s="210"/>
      <c r="Z53" s="267">
        <f t="shared" si="3"/>
        <v>0</v>
      </c>
      <c r="AA53" s="268">
        <f>IF($Z53&gt;=1,RANK($Z53,$Z53:$Z68),0)</f>
        <v>0</v>
      </c>
      <c r="AB53" s="269">
        <f>IF(AA53&lt;=MaxS,INT(Z53),0)</f>
        <v>0</v>
      </c>
      <c r="AC53" s="210"/>
      <c r="AD53" s="267">
        <f t="shared" si="4"/>
        <v>77.0053</v>
      </c>
      <c r="AE53" s="268">
        <f>IF($AD53&gt;=1,RANK($AD53,$AD53:$AD68),0)</f>
        <v>14</v>
      </c>
      <c r="AF53" s="269">
        <f>IF(AE53&lt;=MaxS,INT(AD53),0)</f>
        <v>0</v>
      </c>
      <c r="AG53" s="210"/>
      <c r="AH53" s="210"/>
      <c r="AI53" s="288">
        <f t="shared" si="5"/>
        <v>0</v>
      </c>
      <c r="AJ53" s="289">
        <f t="shared" si="6"/>
        <v>77</v>
      </c>
    </row>
    <row r="54" ht="15.0" customHeight="1">
      <c r="A54" s="272"/>
      <c r="B54" s="250">
        <f>IF(OR(ISNA(MATCH(C54&amp;"",AthleteNumbers,0)),ISBLANK(C54)),0,MATCH(C54&amp;"",AthleteNumbers,0))</f>
        <v>49</v>
      </c>
      <c r="C54" s="413" t="s">
        <v>234</v>
      </c>
      <c r="D54" s="273" t="str">
        <f t="array" ref="D54">IF($B54&gt;0,INDEX(DB,$B54,8),"")</f>
        <v>Layla Holdway</v>
      </c>
      <c r="E54" s="274" t="str">
        <f t="array" ref="E54">IF($B54&gt;0,INDEX(DB,$B54,3),"")</f>
        <v>Havant AC</v>
      </c>
      <c r="F54" s="275">
        <f t="array" ref="F54">IF($B54&gt;0,INDEX(DB,$B54,13),0)</f>
        <v>16.1</v>
      </c>
      <c r="G54" s="276">
        <f t="array" ref="G54">IF($B54&gt;0,INDEX(DB,$B54,17),0)</f>
        <v>10</v>
      </c>
      <c r="H54" s="277">
        <f t="array" ref="H54">IF($B54&gt;0,INDEX(DB,$B54,15),0)</f>
        <v>2.44</v>
      </c>
      <c r="I54" s="276">
        <f t="array" ref="I54">IF($B54&gt;0,INDEX(DB,$B54,19),0)</f>
        <v>26</v>
      </c>
      <c r="J54" s="277">
        <f t="array" ref="J54">IF($B54&gt;0,INDEX(DB,$B54,14),0)</f>
        <v>1.6</v>
      </c>
      <c r="K54" s="276">
        <f t="array" ref="K54">IF($B54&gt;0,INDEX(DB,$B54,18),0)</f>
        <v>10</v>
      </c>
      <c r="L54" s="275">
        <f t="array" ref="L54">IF($B54&gt;0,INDEX(DB,$B54,16),0)</f>
        <v>5.59</v>
      </c>
      <c r="M54" s="276">
        <f t="array" ref="M54">IF($B54&gt;0,INDEX(DB,$B54,20),0)</f>
        <v>11</v>
      </c>
      <c r="N54" s="278"/>
      <c r="O54" s="279">
        <f t="shared" si="1"/>
        <v>57</v>
      </c>
      <c r="P54" s="280"/>
      <c r="Q54" s="261" t="str">
        <f t="shared" si="2"/>
        <v/>
      </c>
      <c r="R54" s="281">
        <f>IF($AI54&gt;0,RANK($AI54,BoysPoints),0)</f>
        <v>0</v>
      </c>
      <c r="S54" s="282" t="str">
        <f>IF($AJ54&gt;0,RANK($AJ54,GirlsPoints),0)</f>
        <v>#REF!</v>
      </c>
      <c r="T54" s="283">
        <f>IF($O54&gt;0,RANK(O54,AthletePoints),0)</f>
        <v>67</v>
      </c>
      <c r="U54" s="210"/>
      <c r="V54" s="284" t="str">
        <f>IF(O54&gt;=40,IF(X54="M",VLOOKUP(O54,UKABoysAwards,2),IF(X54="F",VLOOKUP(O54,UKAGirlsAwards,2),"")),"")</f>
        <v>Step 1</v>
      </c>
      <c r="W54" s="210"/>
      <c r="X54" s="266" t="str">
        <f t="array" ref="X54">INDEX(DB,$B54,4)</f>
        <v>F</v>
      </c>
      <c r="Y54" s="210"/>
      <c r="Z54" s="285">
        <f t="shared" si="3"/>
        <v>0</v>
      </c>
      <c r="AA54" s="286">
        <f>IF($Z54&gt;=1,RANK($Z54,$Z53:$Z68),0)</f>
        <v>0</v>
      </c>
      <c r="AB54" s="287">
        <f>IF(AA54&lt;=MaxS,INT(Z54),0)</f>
        <v>0</v>
      </c>
      <c r="AC54" s="210"/>
      <c r="AD54" s="285">
        <f t="shared" si="4"/>
        <v>57.0054</v>
      </c>
      <c r="AE54" s="286">
        <f>IF($AD54&gt;=1,RANK($AD54,$AD53:$AD68),0)</f>
        <v>15</v>
      </c>
      <c r="AF54" s="287">
        <f>IF(AE54&lt;=MaxS,INT(AD54),0)</f>
        <v>0</v>
      </c>
      <c r="AG54" s="210"/>
      <c r="AH54" s="210"/>
      <c r="AI54" s="288">
        <f t="shared" si="5"/>
        <v>0</v>
      </c>
      <c r="AJ54" s="289">
        <f t="shared" si="6"/>
        <v>57</v>
      </c>
    </row>
    <row r="55" ht="15.0" customHeight="1">
      <c r="A55" s="272"/>
      <c r="B55" s="250">
        <f>IF(OR(ISNA(MATCH(C55&amp;"",AthleteNumbers,0)),ISBLANK(C55)),0,MATCH(C55&amp;"",AthleteNumbers,0))</f>
        <v>50</v>
      </c>
      <c r="C55" s="413" t="s">
        <v>236</v>
      </c>
      <c r="D55" s="273" t="str">
        <f t="array" ref="D55">IF($B55&gt;0,INDEX(DB,$B55,8),"")</f>
        <v>Esmee Hurst Atkins</v>
      </c>
      <c r="E55" s="274" t="str">
        <f t="array" ref="E55">IF($B55&gt;0,INDEX(DB,$B55,3),"")</f>
        <v>BAC</v>
      </c>
      <c r="F55" s="275">
        <f t="array" ref="F55">IF($B55&gt;0,INDEX(DB,$B55,13),0)</f>
        <v>13.6</v>
      </c>
      <c r="G55" s="276">
        <f t="array" ref="G55">IF($B55&gt;0,INDEX(DB,$B55,17),0)</f>
        <v>34</v>
      </c>
      <c r="H55" s="277">
        <f t="array" ref="H55">IF($B55&gt;0,INDEX(DB,$B55,15),0)</f>
        <v>2.11</v>
      </c>
      <c r="I55" s="276">
        <f t="array" ref="I55">IF($B55&gt;0,INDEX(DB,$B55,19),0)</f>
        <v>59</v>
      </c>
      <c r="J55" s="277">
        <f t="array" ref="J55">IF($B55&gt;0,INDEX(DB,$B55,14),0)</f>
        <v>2.52</v>
      </c>
      <c r="K55" s="276">
        <f t="array" ref="K55">IF($B55&gt;0,INDEX(DB,$B55,18),0)</f>
        <v>20</v>
      </c>
      <c r="L55" s="275">
        <f t="array" ref="L55">IF($B55&gt;0,INDEX(DB,$B55,16),0)</f>
        <v>18.59</v>
      </c>
      <c r="M55" s="276">
        <f t="array" ref="M55">IF($B55&gt;0,INDEX(DB,$B55,20),0)</f>
        <v>37</v>
      </c>
      <c r="N55" s="278"/>
      <c r="O55" s="279">
        <f t="shared" si="1"/>
        <v>150</v>
      </c>
      <c r="P55" s="280"/>
      <c r="Q55" s="261" t="str">
        <f t="shared" si="2"/>
        <v/>
      </c>
      <c r="R55" s="290">
        <f>IF($AI55&gt;0,RANK($AI55,BoysPoints),0)</f>
        <v>0</v>
      </c>
      <c r="S55" s="291" t="str">
        <f>IF($AJ55&gt;0,RANK($AJ55,GirlsPoints),0)</f>
        <v>#REF!</v>
      </c>
      <c r="T55" s="292">
        <f>IF($O55&gt;0,RANK(O55,AthletePoints),0)</f>
        <v>35</v>
      </c>
      <c r="U55" s="210"/>
      <c r="V55" s="293" t="str">
        <f>IF(O55&gt;=40,IF(X55="M",VLOOKUP(O55,UKABoysAwards,2),IF(X55="F",VLOOKUP(O55,UKAGirlsAwards,2),"")),"")</f>
        <v>Step 5</v>
      </c>
      <c r="W55" s="210"/>
      <c r="X55" s="266" t="str">
        <f t="array" ref="X55">INDEX(DB,$B55,4)</f>
        <v>F</v>
      </c>
      <c r="Y55" s="210"/>
      <c r="Z55" s="285">
        <f t="shared" si="3"/>
        <v>0</v>
      </c>
      <c r="AA55" s="286">
        <f>IF($Z55&gt;=1,RANK($Z55,$Z53:$Z68),0)</f>
        <v>0</v>
      </c>
      <c r="AB55" s="287">
        <f>IF(AA55&lt;=MaxS,INT(Z55),0)</f>
        <v>0</v>
      </c>
      <c r="AC55" s="210"/>
      <c r="AD55" s="285">
        <f t="shared" si="4"/>
        <v>150.0055</v>
      </c>
      <c r="AE55" s="286">
        <f>IF($AD55&gt;=1,RANK($AD55,$AD53:$AD68),0)</f>
        <v>6</v>
      </c>
      <c r="AF55" s="287">
        <f>IF(AE55&lt;=MaxS,INT(AD55),0)</f>
        <v>0</v>
      </c>
      <c r="AG55" s="210"/>
      <c r="AH55" s="210"/>
      <c r="AI55" s="288">
        <f t="shared" si="5"/>
        <v>0</v>
      </c>
      <c r="AJ55" s="289">
        <f t="shared" si="6"/>
        <v>150</v>
      </c>
    </row>
    <row r="56" ht="15.0" customHeight="1">
      <c r="A56" s="272"/>
      <c r="B56" s="250">
        <f>IF(OR(ISNA(MATCH(C56&amp;"",AthleteNumbers,0)),ISBLANK(C56)),0,MATCH(C56&amp;"",AthleteNumbers,0))</f>
        <v>51</v>
      </c>
      <c r="C56" s="413" t="s">
        <v>238</v>
      </c>
      <c r="D56" s="273" t="str">
        <f t="array" ref="D56">IF($B56&gt;0,INDEX(DB,$B56,8),"")</f>
        <v>Matilda Hutton</v>
      </c>
      <c r="E56" s="274" t="str">
        <f t="array" ref="E56">IF($B56&gt;0,INDEX(DB,$B56,3),"")</f>
        <v>City of Portsmouth</v>
      </c>
      <c r="F56" s="275">
        <f t="array" ref="F56">IF($B56&gt;0,INDEX(DB,$B56,13),0)</f>
        <v>12.7</v>
      </c>
      <c r="G56" s="276">
        <f t="array" ref="G56">IF($B56&gt;0,INDEX(DB,$B56,17),0)</f>
        <v>43</v>
      </c>
      <c r="H56" s="277">
        <f t="array" ref="H56">IF($B56&gt;0,INDEX(DB,$B56,15),0)</f>
        <v>2.34</v>
      </c>
      <c r="I56" s="276">
        <f t="array" ref="I56">IF($B56&gt;0,INDEX(DB,$B56,19),0)</f>
        <v>36</v>
      </c>
      <c r="J56" s="277">
        <f t="array" ref="J56">IF($B56&gt;0,INDEX(DB,$B56,14),0)</f>
        <v>2.84</v>
      </c>
      <c r="K56" s="276">
        <f t="array" ref="K56">IF($B56&gt;0,INDEX(DB,$B56,18),0)</f>
        <v>31</v>
      </c>
      <c r="L56" s="275">
        <f t="array" ref="L56">IF($B56&gt;0,INDEX(DB,$B56,16),0)</f>
        <v>22.84</v>
      </c>
      <c r="M56" s="276">
        <f t="array" ref="M56">IF($B56&gt;0,INDEX(DB,$B56,20),0)</f>
        <v>45</v>
      </c>
      <c r="N56" s="278"/>
      <c r="O56" s="279">
        <f t="shared" si="1"/>
        <v>155</v>
      </c>
      <c r="P56" s="280"/>
      <c r="Q56" s="261" t="str">
        <f t="shared" si="2"/>
        <v/>
      </c>
      <c r="R56" s="281">
        <f>IF($AI56&gt;0,RANK($AI56,BoysPoints),0)</f>
        <v>0</v>
      </c>
      <c r="S56" s="282" t="str">
        <f>IF($AJ56&gt;0,RANK($AJ56,GirlsPoints),0)</f>
        <v>#REF!</v>
      </c>
      <c r="T56" s="283">
        <f>IF($O56&gt;0,RANK(O56,AthletePoints),0)</f>
        <v>27</v>
      </c>
      <c r="U56" s="210"/>
      <c r="V56" s="284" t="str">
        <f>IF(O56&gt;=40,IF(X56="M",VLOOKUP(O56,UKABoysAwards,2),IF(X56="F",VLOOKUP(O56,UKAGirlsAwards,2),"")),"")</f>
        <v>Step 5</v>
      </c>
      <c r="W56" s="210"/>
      <c r="X56" s="266" t="str">
        <f t="array" ref="X56">INDEX(DB,$B56,4)</f>
        <v>F</v>
      </c>
      <c r="Y56" s="210"/>
      <c r="Z56" s="285">
        <f t="shared" si="3"/>
        <v>0</v>
      </c>
      <c r="AA56" s="286">
        <f>IF($Z56&gt;=1,RANK($Z56,$Z53:$Z68),0)</f>
        <v>0</v>
      </c>
      <c r="AB56" s="287">
        <f>IF(AA56&lt;=MaxS,INT(Z56),0)</f>
        <v>0</v>
      </c>
      <c r="AC56" s="210"/>
      <c r="AD56" s="285">
        <f t="shared" si="4"/>
        <v>155.0056</v>
      </c>
      <c r="AE56" s="286">
        <f>IF($AD56&gt;=1,RANK($AD56,$AD53:$AD68),0)</f>
        <v>5</v>
      </c>
      <c r="AF56" s="287">
        <f>IF(AE56&lt;=MaxS,INT(AD56),0)</f>
        <v>0</v>
      </c>
      <c r="AG56" s="210"/>
      <c r="AH56" s="210"/>
      <c r="AI56" s="288">
        <f t="shared" si="5"/>
        <v>0</v>
      </c>
      <c r="AJ56" s="289">
        <f t="shared" si="6"/>
        <v>155</v>
      </c>
    </row>
    <row r="57" ht="15.0" customHeight="1">
      <c r="A57" s="272"/>
      <c r="B57" s="250">
        <f>IF(OR(ISNA(MATCH(C57&amp;"",AthleteNumbers,0)),ISBLANK(C57)),0,MATCH(C57&amp;"",AthleteNumbers,0))</f>
        <v>52</v>
      </c>
      <c r="C57" s="413" t="s">
        <v>241</v>
      </c>
      <c r="D57" s="273" t="str">
        <f t="array" ref="D57">IF($B57&gt;0,INDEX(DB,$B57,8),"")</f>
        <v>Mia Ironside</v>
      </c>
      <c r="E57" s="274" t="str">
        <f t="array" ref="E57">IF($B57&gt;0,INDEX(DB,$B57,3),"")</f>
        <v>Bournemouth AC</v>
      </c>
      <c r="F57" s="275">
        <f t="array" ref="F57">IF($B57&gt;0,INDEX(DB,$B57,13),0)</f>
        <v>13.7</v>
      </c>
      <c r="G57" s="276">
        <f t="array" ref="G57">IF($B57&gt;0,INDEX(DB,$B57,17),0)</f>
        <v>33</v>
      </c>
      <c r="H57" s="277">
        <f t="array" ref="H57">IF($B57&gt;0,INDEX(DB,$B57,15),0)</f>
        <v>2.23</v>
      </c>
      <c r="I57" s="276">
        <f t="array" ref="I57">IF($B57&gt;0,INDEX(DB,$B57,19),0)</f>
        <v>47</v>
      </c>
      <c r="J57" s="277">
        <f t="array" ref="J57">IF($B57&gt;0,INDEX(DB,$B57,14),0)</f>
        <v>3.08</v>
      </c>
      <c r="K57" s="276">
        <f t="array" ref="K57">IF($B57&gt;0,INDEX(DB,$B57,18),0)</f>
        <v>39</v>
      </c>
      <c r="L57" s="275">
        <f t="array" ref="L57">IF($B57&gt;0,INDEX(DB,$B57,16),0)</f>
        <v>8.75</v>
      </c>
      <c r="M57" s="276">
        <f t="array" ref="M57">IF($B57&gt;0,INDEX(DB,$B57,20),0)</f>
        <v>17</v>
      </c>
      <c r="N57" s="278"/>
      <c r="O57" s="279">
        <f t="shared" si="1"/>
        <v>136</v>
      </c>
      <c r="P57" s="280"/>
      <c r="Q57" s="261" t="str">
        <f t="shared" si="2"/>
        <v/>
      </c>
      <c r="R57" s="290">
        <f>IF($AI57&gt;0,RANK($AI57,BoysPoints),0)</f>
        <v>0</v>
      </c>
      <c r="S57" s="291" t="str">
        <f>IF($AJ57&gt;0,RANK($AJ57,GirlsPoints),0)</f>
        <v>#REF!</v>
      </c>
      <c r="T57" s="292">
        <f>IF($O57&gt;0,RANK(O57,AthletePoints),0)</f>
        <v>43</v>
      </c>
      <c r="U57" s="210"/>
      <c r="V57" s="293" t="str">
        <f>IF(O57&gt;=40,IF(X57="M",VLOOKUP(O57,UKABoysAwards,2),IF(X57="F",VLOOKUP(O57,UKAGirlsAwards,2),"")),"")</f>
        <v>Step 4</v>
      </c>
      <c r="W57" s="210"/>
      <c r="X57" s="266" t="str">
        <f t="array" ref="X57">INDEX(DB,$B57,4)</f>
        <v>F</v>
      </c>
      <c r="Y57" s="210"/>
      <c r="Z57" s="285">
        <f t="shared" si="3"/>
        <v>0</v>
      </c>
      <c r="AA57" s="286">
        <f>IF($Z57&gt;=1,RANK($Z57,$Z53:$Z68),0)</f>
        <v>0</v>
      </c>
      <c r="AB57" s="287">
        <f>IF(AA57&lt;=MaxS,INT(Z57),0)</f>
        <v>0</v>
      </c>
      <c r="AC57" s="210"/>
      <c r="AD57" s="285">
        <f t="shared" si="4"/>
        <v>136.0057</v>
      </c>
      <c r="AE57" s="286">
        <f>IF($AD57&gt;=1,RANK($AD57,$AD53:$AD68),0)</f>
        <v>9</v>
      </c>
      <c r="AF57" s="287">
        <f>IF(AE57&lt;=MaxS,INT(AD57),0)</f>
        <v>0</v>
      </c>
      <c r="AG57" s="210"/>
      <c r="AH57" s="210"/>
      <c r="AI57" s="288">
        <f t="shared" si="5"/>
        <v>0</v>
      </c>
      <c r="AJ57" s="289">
        <f t="shared" si="6"/>
        <v>136</v>
      </c>
    </row>
    <row r="58" ht="15.0" customHeight="1">
      <c r="A58" s="272"/>
      <c r="B58" s="250">
        <f>IF(OR(ISNA(MATCH(C58&amp;"",AthleteNumbers,0)),ISBLANK(C58)),0,MATCH(C58&amp;"",AthleteNumbers,0))</f>
        <v>53</v>
      </c>
      <c r="C58" s="413" t="s">
        <v>243</v>
      </c>
      <c r="D58" s="273" t="str">
        <f t="array" ref="D58">IF($B58&gt;0,INDEX(DB,$B58,8),"")</f>
        <v>Chloe Johnson</v>
      </c>
      <c r="E58" s="274" t="str">
        <f t="array" ref="E58">IF($B58&gt;0,INDEX(DB,$B58,3),"")</f>
        <v>New Forest Junior AC</v>
      </c>
      <c r="F58" s="275">
        <f t="array" ref="F58">IF($B58&gt;0,INDEX(DB,$B58,13),0)</f>
        <v>12.9</v>
      </c>
      <c r="G58" s="276">
        <f t="array" ref="G58">IF($B58&gt;0,INDEX(DB,$B58,17),0)</f>
        <v>41</v>
      </c>
      <c r="H58" s="277">
        <f t="array" ref="H58">IF($B58&gt;0,INDEX(DB,$B58,15),0)</f>
        <v>2.16</v>
      </c>
      <c r="I58" s="276">
        <f t="array" ref="I58">IF($B58&gt;0,INDEX(DB,$B58,19),0)</f>
        <v>54</v>
      </c>
      <c r="J58" s="277">
        <f t="array" ref="J58">IF($B58&gt;0,INDEX(DB,$B58,14),0)</f>
        <v>2.65</v>
      </c>
      <c r="K58" s="276">
        <f t="array" ref="K58">IF($B58&gt;0,INDEX(DB,$B58,18),0)</f>
        <v>25</v>
      </c>
      <c r="L58" s="275">
        <f t="array" ref="L58">IF($B58&gt;0,INDEX(DB,$B58,16),0)</f>
        <v>11.99</v>
      </c>
      <c r="M58" s="276">
        <f t="array" ref="M58">IF($B58&gt;0,INDEX(DB,$B58,20),0)</f>
        <v>23</v>
      </c>
      <c r="N58" s="278"/>
      <c r="O58" s="279">
        <f t="shared" si="1"/>
        <v>143</v>
      </c>
      <c r="P58" s="280"/>
      <c r="Q58" s="261" t="str">
        <f t="shared" si="2"/>
        <v/>
      </c>
      <c r="R58" s="281">
        <f>IF($AI58&gt;0,RANK($AI58,BoysPoints),0)</f>
        <v>0</v>
      </c>
      <c r="S58" s="282" t="str">
        <f>IF($AJ58&gt;0,RANK($AJ58,GirlsPoints),0)</f>
        <v>#REF!</v>
      </c>
      <c r="T58" s="283">
        <f>IF($O58&gt;0,RANK(O58,AthletePoints),0)</f>
        <v>39</v>
      </c>
      <c r="U58" s="210"/>
      <c r="V58" s="284" t="str">
        <f>IF(O58&gt;=40,IF(X58="M",VLOOKUP(O58,UKABoysAwards,2),IF(X58="F",VLOOKUP(O58,UKAGirlsAwards,2),"")),"")</f>
        <v>Step 5</v>
      </c>
      <c r="W58" s="210"/>
      <c r="X58" s="266" t="str">
        <f t="array" ref="X58">INDEX(DB,$B58,4)</f>
        <v>F</v>
      </c>
      <c r="Y58" s="210"/>
      <c r="Z58" s="285">
        <f t="shared" si="3"/>
        <v>0</v>
      </c>
      <c r="AA58" s="286">
        <f>IF($Z58&gt;=1,RANK($Z58,$Z53:$Z68),0)</f>
        <v>0</v>
      </c>
      <c r="AB58" s="287">
        <f>IF(AA58&lt;=MaxS,INT(Z58),0)</f>
        <v>0</v>
      </c>
      <c r="AC58" s="210"/>
      <c r="AD58" s="285">
        <f t="shared" si="4"/>
        <v>143.0058</v>
      </c>
      <c r="AE58" s="286">
        <f>IF($AD58&gt;=1,RANK($AD58,$AD53:$AD68),0)</f>
        <v>8</v>
      </c>
      <c r="AF58" s="287">
        <f>IF(AE58&lt;=MaxS,INT(AD58),0)</f>
        <v>0</v>
      </c>
      <c r="AG58" s="210"/>
      <c r="AH58" s="210"/>
      <c r="AI58" s="288">
        <f t="shared" si="5"/>
        <v>0</v>
      </c>
      <c r="AJ58" s="289">
        <f t="shared" si="6"/>
        <v>143</v>
      </c>
    </row>
    <row r="59" ht="15.0" customHeight="1">
      <c r="A59" s="272"/>
      <c r="B59" s="250">
        <f>IF(OR(ISNA(MATCH(C59&amp;"",AthleteNumbers,0)),ISBLANK(C59)),0,MATCH(C59&amp;"",AthleteNumbers,0))</f>
        <v>54</v>
      </c>
      <c r="C59" s="413" t="s">
        <v>246</v>
      </c>
      <c r="D59" s="273" t="str">
        <f t="array" ref="D59">IF($B59&gt;0,INDEX(DB,$B59,8),"")</f>
        <v>Katie Kilburn</v>
      </c>
      <c r="E59" s="274" t="str">
        <f t="array" ref="E59">IF($B59&gt;0,INDEX(DB,$B59,3),"")</f>
        <v>BAC</v>
      </c>
      <c r="F59" s="275">
        <f t="array" ref="F59">IF($B59&gt;0,INDEX(DB,$B59,13),0)</f>
        <v>12.9</v>
      </c>
      <c r="G59" s="276">
        <f t="array" ref="G59">IF($B59&gt;0,INDEX(DB,$B59,17),0)</f>
        <v>41</v>
      </c>
      <c r="H59" s="277">
        <f t="array" ref="H59">IF($B59&gt;0,INDEX(DB,$B59,15),0)</f>
        <v>2.07</v>
      </c>
      <c r="I59" s="276">
        <f t="array" ref="I59">IF($B59&gt;0,INDEX(DB,$B59,19),0)</f>
        <v>63</v>
      </c>
      <c r="J59" s="277">
        <f t="array" ref="J59">IF($B59&gt;0,INDEX(DB,$B59,14),0)</f>
        <v>3.04</v>
      </c>
      <c r="K59" s="276">
        <f t="array" ref="K59">IF($B59&gt;0,INDEX(DB,$B59,18),0)</f>
        <v>38</v>
      </c>
      <c r="L59" s="275">
        <f t="array" ref="L59">IF($B59&gt;0,INDEX(DB,$B59,16),0)</f>
        <v>18.14</v>
      </c>
      <c r="M59" s="276">
        <f t="array" ref="M59">IF($B59&gt;0,INDEX(DB,$B59,20),0)</f>
        <v>36</v>
      </c>
      <c r="N59" s="278"/>
      <c r="O59" s="279">
        <f t="shared" si="1"/>
        <v>178</v>
      </c>
      <c r="P59" s="280"/>
      <c r="Q59" s="261" t="str">
        <f t="shared" si="2"/>
        <v>*</v>
      </c>
      <c r="R59" s="290">
        <f>IF($AI59&gt;0,RANK($AI59,BoysPoints),0)</f>
        <v>0</v>
      </c>
      <c r="S59" s="291" t="str">
        <f>IF($AJ59&gt;0,RANK($AJ59,GirlsPoints),0)</f>
        <v>#REF!</v>
      </c>
      <c r="T59" s="292">
        <f>IF($O59&gt;0,RANK(O59,AthletePoints),0)</f>
        <v>15</v>
      </c>
      <c r="U59" s="210"/>
      <c r="V59" s="293" t="str">
        <f>IF(O59&gt;=40,IF(X59="M",VLOOKUP(O59,UKABoysAwards,2),IF(X59="F",VLOOKUP(O59,UKAGirlsAwards,2),"")),"")</f>
        <v>Step 6</v>
      </c>
      <c r="W59" s="210"/>
      <c r="X59" s="266" t="str">
        <f t="array" ref="X59">INDEX(DB,$B59,4)</f>
        <v>F</v>
      </c>
      <c r="Y59" s="210"/>
      <c r="Z59" s="285">
        <f t="shared" si="3"/>
        <v>0</v>
      </c>
      <c r="AA59" s="286">
        <f>IF($Z59&gt;=1,RANK($Z59,$Z53:$Z68),0)</f>
        <v>0</v>
      </c>
      <c r="AB59" s="287">
        <f>IF(AA59&lt;=MaxS,INT(Z59),0)</f>
        <v>0</v>
      </c>
      <c r="AC59" s="210"/>
      <c r="AD59" s="285">
        <f t="shared" si="4"/>
        <v>178.0059</v>
      </c>
      <c r="AE59" s="286">
        <f>IF($AD59&gt;=1,RANK($AD59,$AD53:$AD68),0)</f>
        <v>3</v>
      </c>
      <c r="AF59" s="287">
        <f>IF(AE59&lt;=MaxS,INT(AD59),0)</f>
        <v>178</v>
      </c>
      <c r="AG59" s="210"/>
      <c r="AH59" s="210"/>
      <c r="AI59" s="288">
        <f t="shared" si="5"/>
        <v>0</v>
      </c>
      <c r="AJ59" s="289">
        <f t="shared" si="6"/>
        <v>178</v>
      </c>
    </row>
    <row r="60" ht="15.0" customHeight="1">
      <c r="A60" s="272"/>
      <c r="B60" s="250">
        <f>IF(OR(ISNA(MATCH(C60&amp;"",AthleteNumbers,0)),ISBLANK(C60)),0,MATCH(C60&amp;"",AthleteNumbers,0))</f>
        <v>55</v>
      </c>
      <c r="C60" s="413" t="s">
        <v>248</v>
      </c>
      <c r="D60" s="273" t="str">
        <f t="array" ref="D60">IF($B60&gt;0,INDEX(DB,$B60,8),"")</f>
        <v>Abigail MacDonald</v>
      </c>
      <c r="E60" s="274" t="str">
        <f t="array" ref="E60">IF($B60&gt;0,INDEX(DB,$B60,3),"")</f>
        <v>Andover AC</v>
      </c>
      <c r="F60" s="275">
        <f t="array" ref="F60">IF($B60&gt;0,INDEX(DB,$B60,13),0)</f>
        <v>14.4</v>
      </c>
      <c r="G60" s="276">
        <f t="array" ref="G60">IF($B60&gt;0,INDEX(DB,$B60,17),0)</f>
        <v>26</v>
      </c>
      <c r="H60" s="277">
        <f t="array" ref="H60">IF($B60&gt;0,INDEX(DB,$B60,15),0)</f>
        <v>2.49</v>
      </c>
      <c r="I60" s="276">
        <f t="array" ref="I60">IF($B60&gt;0,INDEX(DB,$B60,19),0)</f>
        <v>21</v>
      </c>
      <c r="J60" s="277">
        <f t="array" ref="J60">IF($B60&gt;0,INDEX(DB,$B60,14),0)</f>
        <v>2.8</v>
      </c>
      <c r="K60" s="276">
        <f t="array" ref="K60">IF($B60&gt;0,INDEX(DB,$B60,18),0)</f>
        <v>30</v>
      </c>
      <c r="L60" s="275">
        <f t="array" ref="L60">IF($B60&gt;0,INDEX(DB,$B60,16),0)</f>
        <v>20.87</v>
      </c>
      <c r="M60" s="276">
        <f t="array" ref="M60">IF($B60&gt;0,INDEX(DB,$B60,20),0)</f>
        <v>41</v>
      </c>
      <c r="N60" s="278"/>
      <c r="O60" s="279">
        <f t="shared" si="1"/>
        <v>118</v>
      </c>
      <c r="P60" s="280"/>
      <c r="Q60" s="261" t="str">
        <f t="shared" si="2"/>
        <v/>
      </c>
      <c r="R60" s="281">
        <f>IF($AI60&gt;0,RANK($AI60,BoysPoints),0)</f>
        <v>0</v>
      </c>
      <c r="S60" s="282" t="str">
        <f>IF($AJ60&gt;0,RANK($AJ60,GirlsPoints),0)</f>
        <v>#REF!</v>
      </c>
      <c r="T60" s="283">
        <f>IF($O60&gt;0,RANK(O60,AthletePoints),0)</f>
        <v>51</v>
      </c>
      <c r="U60" s="210"/>
      <c r="V60" s="284" t="str">
        <f>IF(O60&gt;=40,IF(X60="M",VLOOKUP(O60,UKABoysAwards,2),IF(X60="F",VLOOKUP(O60,UKAGirlsAwards,2),"")),"")</f>
        <v>Step 3</v>
      </c>
      <c r="W60" s="210"/>
      <c r="X60" s="266" t="str">
        <f t="array" ref="X60">INDEX(DB,$B60,4)</f>
        <v>F</v>
      </c>
      <c r="Y60" s="210"/>
      <c r="Z60" s="285">
        <f t="shared" si="3"/>
        <v>0</v>
      </c>
      <c r="AA60" s="286">
        <f>IF($Z60&gt;=1,RANK($Z60,$Z53:$Z68),0)</f>
        <v>0</v>
      </c>
      <c r="AB60" s="287">
        <f>IF(AA60&lt;=MaxS,INT(Z60),0)</f>
        <v>0</v>
      </c>
      <c r="AC60" s="210"/>
      <c r="AD60" s="285">
        <f t="shared" si="4"/>
        <v>118.006</v>
      </c>
      <c r="AE60" s="286">
        <f>IF($AD60&gt;=1,RANK($AD60,$AD53:$AD68),0)</f>
        <v>10</v>
      </c>
      <c r="AF60" s="287">
        <f>IF(AE60&lt;=MaxS,INT(AD60),0)</f>
        <v>0</v>
      </c>
      <c r="AG60" s="210"/>
      <c r="AH60" s="210"/>
      <c r="AI60" s="288">
        <f t="shared" si="5"/>
        <v>0</v>
      </c>
      <c r="AJ60" s="289">
        <f t="shared" si="6"/>
        <v>118</v>
      </c>
    </row>
    <row r="61" ht="15.0" customHeight="1">
      <c r="A61" s="272"/>
      <c r="B61" s="250">
        <f>IF(OR(ISNA(MATCH(C61&amp;"",AthleteNumbers,0)),ISBLANK(C61)),0,MATCH(C61&amp;"",AthleteNumbers,0))</f>
        <v>56</v>
      </c>
      <c r="C61" s="413" t="s">
        <v>251</v>
      </c>
      <c r="D61" s="273" t="str">
        <f t="array" ref="D61">IF($B61&gt;0,INDEX(DB,$B61,8),"")</f>
        <v>Jasmine Mahmoudi</v>
      </c>
      <c r="E61" s="274" t="str">
        <f t="array" ref="E61">IF($B61&gt;0,INDEX(DB,$B61,3),"")</f>
        <v>Bournemouth AC</v>
      </c>
      <c r="F61" s="275">
        <f t="array" ref="F61">IF($B61&gt;0,INDEX(DB,$B61,13),0)</f>
        <v>14.8</v>
      </c>
      <c r="G61" s="276">
        <f t="array" ref="G61">IF($B61&gt;0,INDEX(DB,$B61,17),0)</f>
        <v>22</v>
      </c>
      <c r="H61" s="277">
        <f t="array" ref="H61">IF($B61&gt;0,INDEX(DB,$B61,15),0)</f>
        <v>2.32</v>
      </c>
      <c r="I61" s="276">
        <f t="array" ref="I61">IF($B61&gt;0,INDEX(DB,$B61,19),0)</f>
        <v>38</v>
      </c>
      <c r="J61" s="277">
        <f t="array" ref="J61">IF($B61&gt;0,INDEX(DB,$B61,14),0)</f>
        <v>1.85</v>
      </c>
      <c r="K61" s="276">
        <f t="array" ref="K61">IF($B61&gt;0,INDEX(DB,$B61,18),0)</f>
        <v>10</v>
      </c>
      <c r="L61" s="275">
        <f t="array" ref="L61">IF($B61&gt;0,INDEX(DB,$B61,16),0)</f>
        <v>10.16</v>
      </c>
      <c r="M61" s="276">
        <f t="array" ref="M61">IF($B61&gt;0,INDEX(DB,$B61,20),0)</f>
        <v>20</v>
      </c>
      <c r="N61" s="278"/>
      <c r="O61" s="279">
        <f t="shared" si="1"/>
        <v>90</v>
      </c>
      <c r="P61" s="280"/>
      <c r="Q61" s="261" t="str">
        <f t="shared" si="2"/>
        <v/>
      </c>
      <c r="R61" s="290">
        <f>IF($AI61&gt;0,RANK($AI61,BoysPoints),0)</f>
        <v>0</v>
      </c>
      <c r="S61" s="291" t="str">
        <f>IF($AJ61&gt;0,RANK($AJ61,GirlsPoints),0)</f>
        <v>#REF!</v>
      </c>
      <c r="T61" s="292">
        <f>IF($O61&gt;0,RANK(O61,AthletePoints),0)</f>
        <v>61</v>
      </c>
      <c r="U61" s="210"/>
      <c r="V61" s="293" t="str">
        <f>IF(O61&gt;=40,IF(X61="M",VLOOKUP(O61,UKABoysAwards,2),IF(X61="F",VLOOKUP(O61,UKAGirlsAwards,2),"")),"")</f>
        <v>Step 2</v>
      </c>
      <c r="W61" s="210"/>
      <c r="X61" s="266" t="str">
        <f t="array" ref="X61">INDEX(DB,$B61,4)</f>
        <v>F</v>
      </c>
      <c r="Y61" s="210"/>
      <c r="Z61" s="285">
        <f t="shared" si="3"/>
        <v>0</v>
      </c>
      <c r="AA61" s="286">
        <f>IF($Z61&gt;=1,RANK($Z61,$Z53:$Z68),0)</f>
        <v>0</v>
      </c>
      <c r="AB61" s="287">
        <f>IF(AA61&lt;=MaxS,INT(Z61),0)</f>
        <v>0</v>
      </c>
      <c r="AC61" s="210"/>
      <c r="AD61" s="285">
        <f t="shared" si="4"/>
        <v>90.0061</v>
      </c>
      <c r="AE61" s="286">
        <f>IF($AD61&gt;=1,RANK($AD61,$AD53:$AD68),0)</f>
        <v>13</v>
      </c>
      <c r="AF61" s="287">
        <f>IF(AE61&lt;=MaxS,INT(AD61),0)</f>
        <v>0</v>
      </c>
      <c r="AG61" s="210"/>
      <c r="AH61" s="210"/>
      <c r="AI61" s="288">
        <f t="shared" si="5"/>
        <v>0</v>
      </c>
      <c r="AJ61" s="289">
        <f t="shared" si="6"/>
        <v>90</v>
      </c>
    </row>
    <row r="62" ht="15.0" customHeight="1">
      <c r="A62" s="272"/>
      <c r="B62" s="250">
        <f>IF(OR(ISNA(MATCH(C62&amp;"",AthleteNumbers,0)),ISBLANK(C62)),0,MATCH(C62&amp;"",AthleteNumbers,0))</f>
        <v>57</v>
      </c>
      <c r="C62" s="413" t="s">
        <v>253</v>
      </c>
      <c r="D62" s="273" t="str">
        <f t="array" ref="D62">IF($B62&gt;0,INDEX(DB,$B62,8),"")</f>
        <v>Nyla May</v>
      </c>
      <c r="E62" s="274" t="str">
        <f t="array" ref="E62">IF($B62&gt;0,INDEX(DB,$B62,3),"")</f>
        <v>Wimborne AC</v>
      </c>
      <c r="F62" s="275">
        <f t="array" ref="F62">IF($B62&gt;0,INDEX(DB,$B62,13),0)</f>
        <v>0</v>
      </c>
      <c r="G62" s="276">
        <f t="array" ref="G62">IF($B62&gt;0,INDEX(DB,$B62,17),0)</f>
        <v>0</v>
      </c>
      <c r="H62" s="277">
        <f t="array" ref="H62">IF($B62&gt;0,INDEX(DB,$B62,15),0)</f>
        <v>0</v>
      </c>
      <c r="I62" s="276">
        <f t="array" ref="I62">IF($B62&gt;0,INDEX(DB,$B62,19),0)</f>
        <v>0</v>
      </c>
      <c r="J62" s="277">
        <f t="array" ref="J62">IF($B62&gt;0,INDEX(DB,$B62,14),0)</f>
        <v>0</v>
      </c>
      <c r="K62" s="276">
        <f t="array" ref="K62">IF($B62&gt;0,INDEX(DB,$B62,18),0)</f>
        <v>0</v>
      </c>
      <c r="L62" s="275">
        <f t="array" ref="L62">IF($B62&gt;0,INDEX(DB,$B62,16),0)</f>
        <v>0</v>
      </c>
      <c r="M62" s="276">
        <f t="array" ref="M62">IF($B62&gt;0,INDEX(DB,$B62,20),0)</f>
        <v>0</v>
      </c>
      <c r="N62" s="278"/>
      <c r="O62" s="279">
        <f t="shared" si="1"/>
        <v>0</v>
      </c>
      <c r="P62" s="280"/>
      <c r="Q62" s="261" t="str">
        <f t="shared" si="2"/>
        <v/>
      </c>
      <c r="R62" s="281">
        <f>IF($AI62&gt;0,RANK($AI62,BoysPoints),0)</f>
        <v>0</v>
      </c>
      <c r="S62" s="282">
        <f>IF($AJ62&gt;0,RANK($AJ62,GirlsPoints),0)</f>
        <v>0</v>
      </c>
      <c r="T62" s="283">
        <f>IF($O62&gt;0,RANK(O62,AthletePoints),0)</f>
        <v>0</v>
      </c>
      <c r="U62" s="210"/>
      <c r="V62" s="415" t="str">
        <f>IF(O62&gt;=40,IF(X62="M",VLOOKUP(O62,UKABoysAwards,2),IF(X62="F",VLOOKUP(O62,UKAGirlsAwards,2),"")),"")</f>
        <v/>
      </c>
      <c r="W62" s="210"/>
      <c r="X62" s="266" t="str">
        <f t="array" ref="X62">INDEX(DB,$B62,4)</f>
        <v>F</v>
      </c>
      <c r="Y62" s="210"/>
      <c r="Z62" s="285">
        <f t="shared" si="3"/>
        <v>0</v>
      </c>
      <c r="AA62" s="286">
        <f>IF($Z62&gt;=1,RANK($Z62,$Z53:$Z68),0)</f>
        <v>0</v>
      </c>
      <c r="AB62" s="287">
        <f>IF(AA62&lt;=MaxS,INT(Z62),0)</f>
        <v>0</v>
      </c>
      <c r="AC62" s="210"/>
      <c r="AD62" s="285">
        <f t="shared" si="4"/>
        <v>0.0062</v>
      </c>
      <c r="AE62" s="286">
        <f>IF($AD62&gt;=1,RANK($AD62,$AD53:$AD68),0)</f>
        <v>0</v>
      </c>
      <c r="AF62" s="287">
        <f>IF(AE62&lt;=MaxS,INT(AD62),0)</f>
        <v>0</v>
      </c>
      <c r="AG62" s="210"/>
      <c r="AH62" s="210"/>
      <c r="AI62" s="288">
        <f t="shared" si="5"/>
        <v>0</v>
      </c>
      <c r="AJ62" s="289">
        <f t="shared" si="6"/>
        <v>0</v>
      </c>
    </row>
    <row r="63" ht="15.0" customHeight="1">
      <c r="A63" s="272"/>
      <c r="B63" s="250">
        <f>IF(OR(ISNA(MATCH(C63&amp;"",AthleteNumbers,0)),ISBLANK(C63)),0,MATCH(C63&amp;"",AthleteNumbers,0))</f>
        <v>58</v>
      </c>
      <c r="C63" s="413" t="s">
        <v>255</v>
      </c>
      <c r="D63" s="273" t="str">
        <f t="array" ref="D63">IF($B63&gt;0,INDEX(DB,$B63,8),"")</f>
        <v>Myla McNeill</v>
      </c>
      <c r="E63" s="274" t="str">
        <f t="array" ref="E63">IF($B63&gt;0,INDEX(DB,$B63,3),"")</f>
        <v>Wimborne AC</v>
      </c>
      <c r="F63" s="275">
        <f t="array" ref="F63">IF($B63&gt;0,INDEX(DB,$B63,13),0)</f>
        <v>13.6</v>
      </c>
      <c r="G63" s="276">
        <f t="array" ref="G63">IF($B63&gt;0,INDEX(DB,$B63,17),0)</f>
        <v>34</v>
      </c>
      <c r="H63" s="277">
        <f t="array" ref="H63">IF($B63&gt;0,INDEX(DB,$B63,15),0)</f>
        <v>2.32</v>
      </c>
      <c r="I63" s="276">
        <f t="array" ref="I63">IF($B63&gt;0,INDEX(DB,$B63,19),0)</f>
        <v>38</v>
      </c>
      <c r="J63" s="277">
        <f t="array" ref="J63">IF($B63&gt;0,INDEX(DB,$B63,14),0)</f>
        <v>2.63</v>
      </c>
      <c r="K63" s="276">
        <f t="array" ref="K63">IF($B63&gt;0,INDEX(DB,$B63,18),0)</f>
        <v>24</v>
      </c>
      <c r="L63" s="275">
        <f t="array" ref="L63">IF($B63&gt;0,INDEX(DB,$B63,16),0)</f>
        <v>9.77</v>
      </c>
      <c r="M63" s="276">
        <f t="array" ref="M63">IF($B63&gt;0,INDEX(DB,$B63,20),0)</f>
        <v>19</v>
      </c>
      <c r="N63" s="278"/>
      <c r="O63" s="279">
        <f t="shared" si="1"/>
        <v>115</v>
      </c>
      <c r="P63" s="280"/>
      <c r="Q63" s="261" t="str">
        <f t="shared" si="2"/>
        <v/>
      </c>
      <c r="R63" s="290">
        <f>IF($AI63&gt;0,RANK($AI63,BoysPoints),0)</f>
        <v>0</v>
      </c>
      <c r="S63" s="291" t="str">
        <f>IF($AJ63&gt;0,RANK($AJ63,GirlsPoints),0)</f>
        <v>#REF!</v>
      </c>
      <c r="T63" s="292">
        <f>IF($O63&gt;0,RANK(O63,AthletePoints),0)</f>
        <v>53</v>
      </c>
      <c r="U63" s="210"/>
      <c r="V63" s="293" t="str">
        <f>IF(O63&gt;=40,IF(X63="M",VLOOKUP(O63,UKABoysAwards,2),IF(X63="F",VLOOKUP(O63,UKAGirlsAwards,2),"")),"")</f>
        <v>Step 3</v>
      </c>
      <c r="W63" s="210"/>
      <c r="X63" s="266" t="str">
        <f t="array" ref="X63">INDEX(DB,$B63,4)</f>
        <v>F</v>
      </c>
      <c r="Y63" s="210"/>
      <c r="Z63" s="285">
        <f t="shared" si="3"/>
        <v>0</v>
      </c>
      <c r="AA63" s="286">
        <f>IF($Z63&gt;=1,RANK($Z63,$Z53:$Z68),0)</f>
        <v>0</v>
      </c>
      <c r="AB63" s="287">
        <f>IF(AA63&lt;=MaxS,INT(Z63),0)</f>
        <v>0</v>
      </c>
      <c r="AC63" s="210"/>
      <c r="AD63" s="285">
        <f t="shared" si="4"/>
        <v>115.0063</v>
      </c>
      <c r="AE63" s="286">
        <f>IF($AD63&gt;=1,RANK($AD63,$AD53:$AD68),0)</f>
        <v>12</v>
      </c>
      <c r="AF63" s="287">
        <f>IF(AE63&lt;=MaxS,INT(AD63),0)</f>
        <v>0</v>
      </c>
      <c r="AG63" s="210"/>
      <c r="AH63" s="210"/>
      <c r="AI63" s="288">
        <f t="shared" si="5"/>
        <v>0</v>
      </c>
      <c r="AJ63" s="289">
        <f t="shared" si="6"/>
        <v>115</v>
      </c>
    </row>
    <row r="64" ht="15.0" customHeight="1">
      <c r="A64" s="272"/>
      <c r="B64" s="250">
        <f>IF(OR(ISNA(MATCH(C64&amp;"",AthleteNumbers,0)),ISBLANK(C64)),0,MATCH(C64&amp;"",AthleteNumbers,0))</f>
        <v>59</v>
      </c>
      <c r="C64" s="413" t="s">
        <v>257</v>
      </c>
      <c r="D64" s="273" t="str">
        <f t="array" ref="D64">IF($B64&gt;0,INDEX(DB,$B64,8),"")</f>
        <v>Albha O'Brien</v>
      </c>
      <c r="E64" s="274" t="str">
        <f t="array" ref="E64">IF($B64&gt;0,INDEX(DB,$B64,3),"")</f>
        <v>Bournemouth AC</v>
      </c>
      <c r="F64" s="275">
        <f t="array" ref="F64">IF($B64&gt;0,INDEX(DB,$B64,13),0)</f>
        <v>14.7</v>
      </c>
      <c r="G64" s="276">
        <f t="array" ref="G64">IF($B64&gt;0,INDEX(DB,$B64,17),0)</f>
        <v>23</v>
      </c>
      <c r="H64" s="277">
        <f t="array" ref="H64">IF($B64&gt;0,INDEX(DB,$B64,15),0)</f>
        <v>2.14</v>
      </c>
      <c r="I64" s="276">
        <f t="array" ref="I64">IF($B64&gt;0,INDEX(DB,$B64,19),0)</f>
        <v>56</v>
      </c>
      <c r="J64" s="277">
        <f t="array" ref="J64">IF($B64&gt;0,INDEX(DB,$B64,14),0)</f>
        <v>2.15</v>
      </c>
      <c r="K64" s="276">
        <f t="array" ref="K64">IF($B64&gt;0,INDEX(DB,$B64,18),0)</f>
        <v>10</v>
      </c>
      <c r="L64" s="275">
        <f t="array" ref="L64">IF($B64&gt;0,INDEX(DB,$B64,16),0)</f>
        <v>14.45</v>
      </c>
      <c r="M64" s="276">
        <f t="array" ref="M64">IF($B64&gt;0,INDEX(DB,$B64,20),0)</f>
        <v>28</v>
      </c>
      <c r="N64" s="278"/>
      <c r="O64" s="279">
        <f t="shared" si="1"/>
        <v>117</v>
      </c>
      <c r="P64" s="280"/>
      <c r="Q64" s="261" t="str">
        <f t="shared" si="2"/>
        <v/>
      </c>
      <c r="R64" s="281">
        <f>IF($AI64&gt;0,RANK($AI64,BoysPoints),0)</f>
        <v>0</v>
      </c>
      <c r="S64" s="282" t="str">
        <f>IF($AJ64&gt;0,RANK($AJ64,GirlsPoints),0)</f>
        <v>#REF!</v>
      </c>
      <c r="T64" s="283">
        <f>IF($O64&gt;0,RANK(O64,AthletePoints),0)</f>
        <v>52</v>
      </c>
      <c r="U64" s="210"/>
      <c r="V64" s="284" t="str">
        <f>IF(O64&gt;=40,IF(X64="M",VLOOKUP(O64,UKABoysAwards,2),IF(X64="F",VLOOKUP(O64,UKAGirlsAwards,2),"")),"")</f>
        <v>Step 3</v>
      </c>
      <c r="W64" s="210"/>
      <c r="X64" s="266" t="str">
        <f t="array" ref="X64">INDEX(DB,$B64,4)</f>
        <v>F</v>
      </c>
      <c r="Y64" s="210"/>
      <c r="Z64" s="285">
        <f t="shared" si="3"/>
        <v>0</v>
      </c>
      <c r="AA64" s="286">
        <f>IF($Z64&gt;=1,RANK($Z64,$Z53:$Z68),0)</f>
        <v>0</v>
      </c>
      <c r="AB64" s="287">
        <f>IF(AA64&lt;=MaxS,INT(Z64),0)</f>
        <v>0</v>
      </c>
      <c r="AC64" s="210"/>
      <c r="AD64" s="285">
        <f t="shared" si="4"/>
        <v>117.0064</v>
      </c>
      <c r="AE64" s="286">
        <f>IF($AD64&gt;=1,RANK($AD64,$AD53:$AD68),0)</f>
        <v>11</v>
      </c>
      <c r="AF64" s="287">
        <f>IF(AE64&lt;=MaxS,INT(AD64),0)</f>
        <v>0</v>
      </c>
      <c r="AG64" s="210"/>
      <c r="AH64" s="210"/>
      <c r="AI64" s="288">
        <f t="shared" si="5"/>
        <v>0</v>
      </c>
      <c r="AJ64" s="289">
        <f t="shared" si="6"/>
        <v>117</v>
      </c>
    </row>
    <row r="65" ht="15.0" customHeight="1">
      <c r="A65" s="272"/>
      <c r="B65" s="250">
        <f>IF(OR(ISNA(MATCH(C65&amp;"",AthleteNumbers,0)),ISBLANK(C65)),0,MATCH(C65&amp;"",AthleteNumbers,0))</f>
        <v>60</v>
      </c>
      <c r="C65" s="413" t="s">
        <v>259</v>
      </c>
      <c r="D65" s="273" t="str">
        <f t="array" ref="D65">IF($B65&gt;0,INDEX(DB,$B65,8),"")</f>
        <v>Clodagh O'Brien</v>
      </c>
      <c r="E65" s="274" t="str">
        <f t="array" ref="E65">IF($B65&gt;0,INDEX(DB,$B65,3),"")</f>
        <v>Bournemouth AC</v>
      </c>
      <c r="F65" s="275">
        <f t="array" ref="F65">IF($B65&gt;0,INDEX(DB,$B65,13),0)</f>
        <v>13.3</v>
      </c>
      <c r="G65" s="276">
        <f t="array" ref="G65">IF($B65&gt;0,INDEX(DB,$B65,17),0)</f>
        <v>37</v>
      </c>
      <c r="H65" s="277">
        <f t="array" ref="H65">IF($B65&gt;0,INDEX(DB,$B65,15),0)</f>
        <v>2.18</v>
      </c>
      <c r="I65" s="276">
        <f t="array" ref="I65">IF($B65&gt;0,INDEX(DB,$B65,19),0)</f>
        <v>52</v>
      </c>
      <c r="J65" s="277">
        <f t="array" ref="J65">IF($B65&gt;0,INDEX(DB,$B65,14),0)</f>
        <v>2.37</v>
      </c>
      <c r="K65" s="276">
        <f t="array" ref="K65">IF($B65&gt;0,INDEX(DB,$B65,18),0)</f>
        <v>15</v>
      </c>
      <c r="L65" s="275">
        <f t="array" ref="L65">IF($B65&gt;0,INDEX(DB,$B65,16),0)</f>
        <v>22.29</v>
      </c>
      <c r="M65" s="276">
        <f t="array" ref="M65">IF($B65&gt;0,INDEX(DB,$B65,20),0)</f>
        <v>44</v>
      </c>
      <c r="N65" s="278"/>
      <c r="O65" s="279">
        <f t="shared" si="1"/>
        <v>148</v>
      </c>
      <c r="P65" s="280"/>
      <c r="Q65" s="261" t="str">
        <f t="shared" si="2"/>
        <v/>
      </c>
      <c r="R65" s="290">
        <f>IF($AI65&gt;0,RANK($AI65,BoysPoints),0)</f>
        <v>0</v>
      </c>
      <c r="S65" s="291" t="str">
        <f>IF($AJ65&gt;0,RANK($AJ65,GirlsPoints),0)</f>
        <v>#REF!</v>
      </c>
      <c r="T65" s="292">
        <f>IF($O65&gt;0,RANK(O65,AthletePoints),0)</f>
        <v>36</v>
      </c>
      <c r="U65" s="210"/>
      <c r="V65" s="293" t="str">
        <f>IF(O65&gt;=40,IF(X65="M",VLOOKUP(O65,UKABoysAwards,2),IF(X65="F",VLOOKUP(O65,UKAGirlsAwards,2),"")),"")</f>
        <v>Step 5</v>
      </c>
      <c r="W65" s="210"/>
      <c r="X65" s="266" t="str">
        <f t="array" ref="X65">INDEX(DB,$B65,4)</f>
        <v>F</v>
      </c>
      <c r="Y65" s="210"/>
      <c r="Z65" s="285">
        <f t="shared" si="3"/>
        <v>0</v>
      </c>
      <c r="AA65" s="286">
        <f>IF($Z65&gt;=1,RANK($Z65,$Z53:$Z68),0)</f>
        <v>0</v>
      </c>
      <c r="AB65" s="287">
        <f>IF(AA65&lt;=MaxS,INT(Z65),0)</f>
        <v>0</v>
      </c>
      <c r="AC65" s="210"/>
      <c r="AD65" s="285">
        <f t="shared" si="4"/>
        <v>148.0065</v>
      </c>
      <c r="AE65" s="286">
        <f>IF($AD65&gt;=1,RANK($AD65,$AD53:$AD68),0)</f>
        <v>7</v>
      </c>
      <c r="AF65" s="287">
        <f>IF(AE65&lt;=MaxS,INT(AD65),0)</f>
        <v>0</v>
      </c>
      <c r="AG65" s="210"/>
      <c r="AH65" s="210"/>
      <c r="AI65" s="288">
        <f t="shared" si="5"/>
        <v>0</v>
      </c>
      <c r="AJ65" s="289">
        <f t="shared" si="6"/>
        <v>148</v>
      </c>
    </row>
    <row r="66" ht="15.0" customHeight="1">
      <c r="A66" s="272"/>
      <c r="B66" s="250">
        <f>IF(OR(ISNA(MATCH(C66&amp;"",AthleteNumbers,0)),ISBLANK(C66)),0,MATCH(C66&amp;"",AthleteNumbers,0))</f>
        <v>61</v>
      </c>
      <c r="C66" s="413" t="s">
        <v>261</v>
      </c>
      <c r="D66" s="273" t="str">
        <f t="array" ref="D66">IF($B66&gt;0,INDEX(DB,$B66,8),"")</f>
        <v>Gracie Osman</v>
      </c>
      <c r="E66" s="274" t="str">
        <f t="array" ref="E66">IF($B66&gt;0,INDEX(DB,$B66,3),"")</f>
        <v>Southampton AC</v>
      </c>
      <c r="F66" s="275">
        <f t="array" ref="F66">IF($B66&gt;0,INDEX(DB,$B66,13),0)</f>
        <v>12.1</v>
      </c>
      <c r="G66" s="276">
        <f t="array" ref="G66">IF($B66&gt;0,INDEX(DB,$B66,17),0)</f>
        <v>49</v>
      </c>
      <c r="H66" s="277">
        <f t="array" ref="H66">IF($B66&gt;0,INDEX(DB,$B66,15),0)</f>
        <v>1.59</v>
      </c>
      <c r="I66" s="276">
        <f t="array" ref="I66">IF($B66&gt;0,INDEX(DB,$B66,19),0)</f>
        <v>71</v>
      </c>
      <c r="J66" s="277">
        <f t="array" ref="J66">IF($B66&gt;0,INDEX(DB,$B66,14),0)</f>
        <v>3.5</v>
      </c>
      <c r="K66" s="276">
        <f t="array" ref="K66">IF($B66&gt;0,INDEX(DB,$B66,18),0)</f>
        <v>53</v>
      </c>
      <c r="L66" s="275">
        <f t="array" ref="L66">IF($B66&gt;0,INDEX(DB,$B66,16),0)</f>
        <v>19.5</v>
      </c>
      <c r="M66" s="276">
        <f t="array" ref="M66">IF($B66&gt;0,INDEX(DB,$B66,20),0)</f>
        <v>39</v>
      </c>
      <c r="N66" s="278"/>
      <c r="O66" s="279">
        <f t="shared" si="1"/>
        <v>212</v>
      </c>
      <c r="P66" s="280"/>
      <c r="Q66" s="261" t="str">
        <f t="shared" si="2"/>
        <v>*</v>
      </c>
      <c r="R66" s="281">
        <f>IF($AI66&gt;0,RANK($AI66,BoysPoints),0)</f>
        <v>0</v>
      </c>
      <c r="S66" s="282" t="str">
        <f>IF($AJ66&gt;0,RANK($AJ66,GirlsPoints),0)</f>
        <v>#REF!</v>
      </c>
      <c r="T66" s="283">
        <f>IF($O66&gt;0,RANK(O66,AthletePoints),0)</f>
        <v>2</v>
      </c>
      <c r="U66" s="210"/>
      <c r="V66" s="284" t="str">
        <f>IF(O66&gt;=40,IF(X66="M",VLOOKUP(O66,UKABoysAwards,2),IF(X66="F",VLOOKUP(O66,UKAGirlsAwards,2),"")),"")</f>
        <v>Silver</v>
      </c>
      <c r="W66" s="210"/>
      <c r="X66" s="266" t="str">
        <f t="array" ref="X66">INDEX(DB,$B66,4)</f>
        <v>F</v>
      </c>
      <c r="Y66" s="210"/>
      <c r="Z66" s="285">
        <f t="shared" si="3"/>
        <v>0</v>
      </c>
      <c r="AA66" s="286">
        <f>IF($Z66&gt;=1,RANK($Z66,$Z53:$Z68),0)</f>
        <v>0</v>
      </c>
      <c r="AB66" s="287">
        <f>IF(AA66&lt;=MaxS,INT(Z66),0)</f>
        <v>0</v>
      </c>
      <c r="AC66" s="210"/>
      <c r="AD66" s="285">
        <f t="shared" si="4"/>
        <v>212.0066</v>
      </c>
      <c r="AE66" s="286">
        <f>IF($AD66&gt;=1,RANK($AD66,$AD53:$AD68),0)</f>
        <v>1</v>
      </c>
      <c r="AF66" s="287">
        <f>IF(AE66&lt;=MaxS,INT(AD66),0)</f>
        <v>212</v>
      </c>
      <c r="AG66" s="210"/>
      <c r="AH66" s="210"/>
      <c r="AI66" s="288">
        <f t="shared" si="5"/>
        <v>0</v>
      </c>
      <c r="AJ66" s="289">
        <f t="shared" si="6"/>
        <v>212</v>
      </c>
    </row>
    <row r="67" ht="15.0" customHeight="1">
      <c r="A67" s="272"/>
      <c r="B67" s="250">
        <f>IF(OR(ISNA(MATCH(C67&amp;"",AthleteNumbers,0)),ISBLANK(C67)),0,MATCH(C67&amp;"",AthleteNumbers,0))</f>
        <v>62</v>
      </c>
      <c r="C67" s="413" t="s">
        <v>263</v>
      </c>
      <c r="D67" s="273" t="str">
        <f t="array" ref="D67">IF($B67&gt;0,INDEX(DB,$B67,8),"")</f>
        <v>Isabelle Saint</v>
      </c>
      <c r="E67" s="274" t="str">
        <f t="array" ref="E67">IF($B67&gt;0,INDEX(DB,$B67,3),"")</f>
        <v>Southampton AC</v>
      </c>
      <c r="F67" s="275">
        <f t="array" ref="F67">IF($B67&gt;0,INDEX(DB,$B67,13),0)</f>
        <v>11.7</v>
      </c>
      <c r="G67" s="276">
        <f t="array" ref="G67">IF($B67&gt;0,INDEX(DB,$B67,17),0)</f>
        <v>53</v>
      </c>
      <c r="H67" s="277">
        <f t="array" ref="H67">IF($B67&gt;0,INDEX(DB,$B67,15),0)</f>
        <v>2.27</v>
      </c>
      <c r="I67" s="276">
        <f t="array" ref="I67">IF($B67&gt;0,INDEX(DB,$B67,19),0)</f>
        <v>43</v>
      </c>
      <c r="J67" s="277">
        <f t="array" ref="J67">IF($B67&gt;0,INDEX(DB,$B67,14),0)</f>
        <v>2.91</v>
      </c>
      <c r="K67" s="276">
        <f t="array" ref="K67">IF($B67&gt;0,INDEX(DB,$B67,18),0)</f>
        <v>33</v>
      </c>
      <c r="L67" s="275">
        <f t="array" ref="L67">IF($B67&gt;0,INDEX(DB,$B67,16),0)</f>
        <v>13.61</v>
      </c>
      <c r="M67" s="276">
        <f t="array" ref="M67">IF($B67&gt;0,INDEX(DB,$B67,20),0)</f>
        <v>27</v>
      </c>
      <c r="N67" s="278"/>
      <c r="O67" s="279">
        <f t="shared" si="1"/>
        <v>156</v>
      </c>
      <c r="P67" s="280"/>
      <c r="Q67" s="261" t="str">
        <f t="shared" si="2"/>
        <v>*</v>
      </c>
      <c r="R67" s="290">
        <f>IF($AI67&gt;0,RANK($AI67,BoysPoints),0)</f>
        <v>0</v>
      </c>
      <c r="S67" s="291" t="str">
        <f>IF($AJ67&gt;0,RANK($AJ67,GirlsPoints),0)</f>
        <v>#REF!</v>
      </c>
      <c r="T67" s="292">
        <f>IF($O67&gt;0,RANK(O67,AthletePoints),0)</f>
        <v>26</v>
      </c>
      <c r="U67" s="210"/>
      <c r="V67" s="293" t="str">
        <f>IF(O67&gt;=40,IF(X67="M",VLOOKUP(O67,UKABoysAwards,2),IF(X67="F",VLOOKUP(O67,UKAGirlsAwards,2),"")),"")</f>
        <v>Step 5</v>
      </c>
      <c r="W67" s="210"/>
      <c r="X67" s="266" t="str">
        <f t="array" ref="X67">INDEX(DB,$B67,4)</f>
        <v>F</v>
      </c>
      <c r="Y67" s="210"/>
      <c r="Z67" s="285">
        <f t="shared" si="3"/>
        <v>0</v>
      </c>
      <c r="AA67" s="286">
        <f>IF($Z67&gt;=1,RANK($Z67,$Z53:$Z68),0)</f>
        <v>0</v>
      </c>
      <c r="AB67" s="287">
        <f>IF(AA67&lt;=MaxS,INT(Z67),0)</f>
        <v>0</v>
      </c>
      <c r="AC67" s="210"/>
      <c r="AD67" s="285">
        <f t="shared" si="4"/>
        <v>156.0067</v>
      </c>
      <c r="AE67" s="286">
        <f>IF($AD67&gt;=1,RANK($AD67,$AD53:$AD68),0)</f>
        <v>4</v>
      </c>
      <c r="AF67" s="287">
        <f>IF(AE67&lt;=MaxS,INT(AD67),0)</f>
        <v>156</v>
      </c>
      <c r="AG67" s="210"/>
      <c r="AH67" s="210"/>
      <c r="AI67" s="288">
        <f t="shared" si="5"/>
        <v>0</v>
      </c>
      <c r="AJ67" s="289">
        <f t="shared" si="6"/>
        <v>156</v>
      </c>
    </row>
    <row r="68" ht="15.0" customHeight="1">
      <c r="A68" s="305"/>
      <c r="B68" s="250">
        <f>IF(OR(ISNA(MATCH(C68&amp;"",AthleteNumbers,0)),ISBLANK(C68)),0,MATCH(C68&amp;"",AthleteNumbers,0))</f>
        <v>63</v>
      </c>
      <c r="C68" s="413" t="s">
        <v>265</v>
      </c>
      <c r="D68" s="306" t="str">
        <f t="array" ref="D68">IF($B68&gt;0,INDEX(DB,$B68,8),"")</f>
        <v>Alexis Seymour</v>
      </c>
      <c r="E68" s="307" t="str">
        <f t="array" ref="E68">IF($B68&gt;0,INDEX(DB,$B68,3),"")</f>
        <v>New forest junior AC</v>
      </c>
      <c r="F68" s="308">
        <f t="array" ref="F68">IF($B68&gt;0,INDEX(DB,$B68,13),0)</f>
        <v>12.5</v>
      </c>
      <c r="G68" s="309">
        <f t="array" ref="G68">IF($B68&gt;0,INDEX(DB,$B68,17),0)</f>
        <v>45</v>
      </c>
      <c r="H68" s="310">
        <f t="array" ref="H68">IF($B68&gt;0,INDEX(DB,$B68,15),0)</f>
        <v>2.15</v>
      </c>
      <c r="I68" s="309">
        <f t="array" ref="I68">IF($B68&gt;0,INDEX(DB,$B68,19),0)</f>
        <v>55</v>
      </c>
      <c r="J68" s="310">
        <f t="array" ref="J68">IF($B68&gt;0,INDEX(DB,$B68,14),0)</f>
        <v>3.45</v>
      </c>
      <c r="K68" s="309">
        <f t="array" ref="K68">IF($B68&gt;0,INDEX(DB,$B68,18),0)</f>
        <v>51</v>
      </c>
      <c r="L68" s="308">
        <f t="array" ref="L68">IF($B68&gt;0,INDEX(DB,$B68,16),0)</f>
        <v>18.94</v>
      </c>
      <c r="M68" s="309">
        <f t="array" ref="M68">IF($B68&gt;0,INDEX(DB,$B68,20),0)</f>
        <v>37</v>
      </c>
      <c r="N68" s="25"/>
      <c r="O68" s="311">
        <f t="shared" si="1"/>
        <v>188</v>
      </c>
      <c r="P68" s="31"/>
      <c r="Q68" s="261" t="str">
        <f t="shared" si="2"/>
        <v>*</v>
      </c>
      <c r="R68" s="312">
        <f>IF($AI68&gt;0,RANK($AI68,BoysPoints),0)</f>
        <v>0</v>
      </c>
      <c r="S68" s="313" t="str">
        <f>IF($AJ68&gt;0,RANK($AJ68,GirlsPoints),0)</f>
        <v>#REF!</v>
      </c>
      <c r="T68" s="314">
        <f>IF($O68&gt;0,RANK(O68,AthletePoints),0)</f>
        <v>12</v>
      </c>
      <c r="U68" s="210"/>
      <c r="V68" s="315" t="str">
        <f>IF(O68&gt;=40,IF(X68="M",VLOOKUP(O68,UKABoysAwards,2),IF(X68="F",VLOOKUP(O68,UKAGirlsAwards,2),"")),"")</f>
        <v>Bronze</v>
      </c>
      <c r="W68" s="210"/>
      <c r="X68" s="266" t="str">
        <f t="array" ref="X68">INDEX(DB,$B68,4)</f>
        <v>F</v>
      </c>
      <c r="Y68" s="210"/>
      <c r="Z68" s="316">
        <f t="shared" si="3"/>
        <v>0</v>
      </c>
      <c r="AA68" s="243">
        <f>IF($Z68&gt;=1,RANK($Z68,$Z53:$Z68),0)</f>
        <v>0</v>
      </c>
      <c r="AB68" s="245">
        <f>IF(AA68&lt;=MaxS,INT(Z68),0)</f>
        <v>0</v>
      </c>
      <c r="AC68" s="210">
        <f>SUM(AB53:AB68)</f>
        <v>0</v>
      </c>
      <c r="AD68" s="316">
        <f t="shared" si="4"/>
        <v>188.0068</v>
      </c>
      <c r="AE68" s="243">
        <f>IF($AD68&gt;=1,RANK($AD68,$AD53:$AD68),0)</f>
        <v>2</v>
      </c>
      <c r="AF68" s="245">
        <f>IF(AE68&lt;=MaxS,INT(AD68),0)</f>
        <v>188</v>
      </c>
      <c r="AG68" s="210">
        <f>SUM(AF53:AF68)</f>
        <v>734</v>
      </c>
      <c r="AH68" s="210"/>
      <c r="AI68" s="246">
        <f t="shared" si="5"/>
        <v>0</v>
      </c>
      <c r="AJ68" s="247">
        <f t="shared" si="6"/>
        <v>188</v>
      </c>
    </row>
    <row r="69" ht="15.0" customHeight="1">
      <c r="A69" s="248"/>
      <c r="B69" s="250">
        <f>IF(OR(ISNA(MATCH(C69&amp;"",AthleteNumbers,0)),ISBLANK(C69)),0,MATCH(C69&amp;"",AthleteNumbers,0))</f>
        <v>64</v>
      </c>
      <c r="C69" s="413" t="s">
        <v>268</v>
      </c>
      <c r="D69" s="252" t="str">
        <f t="array" ref="D69">IF($B69&gt;0,INDEX(DB,$B69,8),"")</f>
        <v>Clover Smith</v>
      </c>
      <c r="E69" s="253" t="str">
        <f t="array" ref="E69">IF($B69&gt;0,INDEX(DB,$B69,3),"")</f>
        <v>New Forest Junior AC</v>
      </c>
      <c r="F69" s="254">
        <f t="array" ref="F69">IF($B69&gt;0,INDEX(DB,$B69,13),0)</f>
        <v>13.2</v>
      </c>
      <c r="G69" s="255">
        <f t="array" ref="G69">IF($B69&gt;0,INDEX(DB,$B69,17),0)</f>
        <v>38</v>
      </c>
      <c r="H69" s="257">
        <f t="array" ref="H69">IF($B69&gt;0,INDEX(DB,$B69,15),0)</f>
        <v>2.22</v>
      </c>
      <c r="I69" s="255">
        <f t="array" ref="I69">IF($B69&gt;0,INDEX(DB,$B69,19),0)</f>
        <v>48</v>
      </c>
      <c r="J69" s="257">
        <f t="array" ref="J69">IF($B69&gt;0,INDEX(DB,$B69,14),0)</f>
        <v>2.84</v>
      </c>
      <c r="K69" s="255">
        <f t="array" ref="K69">IF($B69&gt;0,INDEX(DB,$B69,18),0)</f>
        <v>31</v>
      </c>
      <c r="L69" s="254">
        <f t="array" ref="L69">IF($B69&gt;0,INDEX(DB,$B69,16),0)</f>
        <v>17.3</v>
      </c>
      <c r="M69" s="255">
        <f t="array" ref="M69">IF($B69&gt;0,INDEX(DB,$B69,20),0)</f>
        <v>34</v>
      </c>
      <c r="N69" s="258" t="str">
        <f t="array" ref="N69:N85">INDEX(RelayPoints,A84)</f>
        <v>#REF!</v>
      </c>
      <c r="O69" s="259">
        <f t="shared" si="1"/>
        <v>151</v>
      </c>
      <c r="P69" s="260" t="str">
        <f>+AC84+AG84+N69</f>
        <v>#REF!</v>
      </c>
      <c r="Q69" s="261" t="str">
        <f t="shared" si="2"/>
        <v>#REF!</v>
      </c>
      <c r="R69" s="262">
        <f>IF($AI69&gt;0,RANK($AI69,BoysPoints),0)</f>
        <v>0</v>
      </c>
      <c r="S69" s="263" t="str">
        <f>IF($AJ69&gt;0,RANK($AJ69,GirlsPoints),0)</f>
        <v>#REF!</v>
      </c>
      <c r="T69" s="264">
        <f>IF($O69&gt;0,RANK(O69,AthletePoints),0)</f>
        <v>33</v>
      </c>
      <c r="U69" s="210"/>
      <c r="V69" s="265" t="str">
        <f>IF(O69&gt;=40,IF(X69="M",VLOOKUP(O69,UKABoysAwards,2),IF(X69="F",VLOOKUP(O69,UKAGirlsAwards,2),"")),"")</f>
        <v>Step 5</v>
      </c>
      <c r="W69" s="210"/>
      <c r="X69" s="266" t="str">
        <f t="array" ref="X69">INDEX(DB,$B69,4)</f>
        <v>F</v>
      </c>
      <c r="Y69" s="210"/>
      <c r="Z69" s="267">
        <f t="shared" si="3"/>
        <v>0</v>
      </c>
      <c r="AA69" s="268">
        <f>IF($Z69&gt;=1,RANK($Z69,$Z69:$Z84),0)</f>
        <v>0</v>
      </c>
      <c r="AB69" s="269">
        <f>IF(AA69&lt;=MaxS,INT(Z69),0)</f>
        <v>0</v>
      </c>
      <c r="AC69" s="210"/>
      <c r="AD69" s="267">
        <f t="shared" si="4"/>
        <v>151.0069</v>
      </c>
      <c r="AE69" s="268" t="str">
        <f>IF($AD69&gt;=1,RANK($AD69,$AD69:$AD84),0)</f>
        <v>#REF!</v>
      </c>
      <c r="AF69" s="269" t="str">
        <f>IF(AE69&lt;=MaxS,INT(AD69),0)</f>
        <v>#REF!</v>
      </c>
      <c r="AG69" s="210"/>
      <c r="AH69" s="210"/>
      <c r="AI69" s="288">
        <f t="shared" si="5"/>
        <v>0</v>
      </c>
      <c r="AJ69" s="289">
        <f t="shared" si="6"/>
        <v>151</v>
      </c>
    </row>
    <row r="70" ht="15.0" customHeight="1">
      <c r="A70" s="272"/>
      <c r="B70" s="250">
        <f>IF(OR(ISNA(MATCH(C70&amp;"",AthleteNumbers,0)),ISBLANK(C70)),0,MATCH(C70&amp;"",AthleteNumbers,0))</f>
        <v>65</v>
      </c>
      <c r="C70" s="413" t="s">
        <v>270</v>
      </c>
      <c r="D70" s="273" t="str">
        <f t="array" ref="D70">IF($B70&gt;0,INDEX(DB,$B70,8),"")</f>
        <v>Lucy Smith </v>
      </c>
      <c r="E70" s="274" t="str">
        <f t="array" ref="E70">IF($B70&gt;0,INDEX(DB,$B70,3),"")</f>
        <v>Poole Runners</v>
      </c>
      <c r="F70" s="275">
        <f t="array" ref="F70">IF($B70&gt;0,INDEX(DB,$B70,13),0)</f>
        <v>13.63</v>
      </c>
      <c r="G70" s="276">
        <f t="array" ref="G70">IF($B70&gt;0,INDEX(DB,$B70,17),0)</f>
        <v>34</v>
      </c>
      <c r="H70" s="277">
        <f t="array" ref="H70">IF($B70&gt;0,INDEX(DB,$B70,15),0)</f>
        <v>2.25</v>
      </c>
      <c r="I70" s="276">
        <f t="array" ref="I70">IF($B70&gt;0,INDEX(DB,$B70,19),0)</f>
        <v>45</v>
      </c>
      <c r="J70" s="277">
        <f t="array" ref="J70">IF($B70&gt;0,INDEX(DB,$B70,14),0)</f>
        <v>2.73</v>
      </c>
      <c r="K70" s="276">
        <f t="array" ref="K70">IF($B70&gt;0,INDEX(DB,$B70,18),0)</f>
        <v>27</v>
      </c>
      <c r="L70" s="275">
        <f t="array" ref="L70">IF($B70&gt;0,INDEX(DB,$B70,16),0)</f>
        <v>10.65</v>
      </c>
      <c r="M70" s="276">
        <f t="array" ref="M70">IF($B70&gt;0,INDEX(DB,$B70,20),0)</f>
        <v>21</v>
      </c>
      <c r="N70" s="278"/>
      <c r="O70" s="279">
        <f t="shared" si="1"/>
        <v>127</v>
      </c>
      <c r="P70" s="280"/>
      <c r="Q70" s="261" t="str">
        <f t="shared" si="2"/>
        <v>#REF!</v>
      </c>
      <c r="R70" s="281">
        <f>IF($AI70&gt;0,RANK($AI70,BoysPoints),0)</f>
        <v>0</v>
      </c>
      <c r="S70" s="282" t="str">
        <f>IF($AJ70&gt;0,RANK($AJ70,GirlsPoints),0)</f>
        <v>#REF!</v>
      </c>
      <c r="T70" s="283">
        <f>IF($O70&gt;0,RANK(O70,AthletePoints),0)</f>
        <v>47</v>
      </c>
      <c r="U70" s="210"/>
      <c r="V70" s="284" t="str">
        <f>IF(O70&gt;=40,IF(X70="M",VLOOKUP(O70,UKABoysAwards,2),IF(X70="F",VLOOKUP(O70,UKAGirlsAwards,2),"")),"")</f>
        <v>Step 4</v>
      </c>
      <c r="W70" s="210"/>
      <c r="X70" s="266" t="str">
        <f t="array" ref="X70">INDEX(DB,$B70,4)</f>
        <v>F</v>
      </c>
      <c r="Y70" s="210"/>
      <c r="Z70" s="285">
        <f t="shared" si="3"/>
        <v>0</v>
      </c>
      <c r="AA70" s="286">
        <f>IF($Z70&gt;=1,RANK($Z70,$Z69:$Z84),0)</f>
        <v>0</v>
      </c>
      <c r="AB70" s="287">
        <f>IF(AA70&lt;=MaxS,INT(Z70),0)</f>
        <v>0</v>
      </c>
      <c r="AC70" s="210"/>
      <c r="AD70" s="285">
        <f t="shared" si="4"/>
        <v>127.007</v>
      </c>
      <c r="AE70" s="286" t="str">
        <f>IF($AD70&gt;=1,RANK($AD70,$AD69:$AD84),0)</f>
        <v>#REF!</v>
      </c>
      <c r="AF70" s="287" t="str">
        <f>IF(AE70&lt;=MaxS,INT(AD70),0)</f>
        <v>#REF!</v>
      </c>
      <c r="AG70" s="210"/>
      <c r="AH70" s="210"/>
      <c r="AI70" s="288">
        <f t="shared" si="5"/>
        <v>0</v>
      </c>
      <c r="AJ70" s="289">
        <f t="shared" si="6"/>
        <v>127</v>
      </c>
    </row>
    <row r="71" ht="15.0" customHeight="1">
      <c r="A71" s="272"/>
      <c r="B71" s="250">
        <f>IF(OR(ISNA(MATCH(C71&amp;"",AthleteNumbers,0)),ISBLANK(C71)),0,MATCH(C71&amp;"",AthleteNumbers,0))</f>
        <v>66</v>
      </c>
      <c r="C71" s="413" t="s">
        <v>273</v>
      </c>
      <c r="D71" s="273" t="str">
        <f t="array" ref="D71">IF($B71&gt;0,INDEX(DB,$B71,8),"")</f>
        <v>Bethany Smith</v>
      </c>
      <c r="E71" s="274" t="str">
        <f t="array" ref="E71">IF($B71&gt;0,INDEX(DB,$B71,3),"")</f>
        <v>Poole Runner</v>
      </c>
      <c r="F71" s="275">
        <f t="array" ref="F71">IF($B71&gt;0,INDEX(DB,$B71,13),0)</f>
        <v>12.6</v>
      </c>
      <c r="G71" s="276">
        <f t="array" ref="G71">IF($B71&gt;0,INDEX(DB,$B71,17),0)</f>
        <v>44</v>
      </c>
      <c r="H71" s="277">
        <f t="array" ref="H71">IF($B71&gt;0,INDEX(DB,$B71,15),0)</f>
        <v>2.14</v>
      </c>
      <c r="I71" s="276">
        <f t="array" ref="I71">IF($B71&gt;0,INDEX(DB,$B71,19),0)</f>
        <v>56</v>
      </c>
      <c r="J71" s="277">
        <f t="array" ref="J71">IF($B71&gt;0,INDEX(DB,$B71,14),0)</f>
        <v>3.01</v>
      </c>
      <c r="K71" s="276">
        <f t="array" ref="K71">IF($B71&gt;0,INDEX(DB,$B71,18),0)</f>
        <v>37</v>
      </c>
      <c r="L71" s="275">
        <f t="array" ref="L71">IF($B71&gt;0,INDEX(DB,$B71,16),0)</f>
        <v>13.76</v>
      </c>
      <c r="M71" s="276">
        <f t="array" ref="M71">IF($B71&gt;0,INDEX(DB,$B71,20),0)</f>
        <v>27</v>
      </c>
      <c r="N71" s="278"/>
      <c r="O71" s="279">
        <f t="shared" si="1"/>
        <v>164</v>
      </c>
      <c r="P71" s="280"/>
      <c r="Q71" s="261" t="str">
        <f t="shared" si="2"/>
        <v>#REF!</v>
      </c>
      <c r="R71" s="290">
        <f>IF($AI71&gt;0,RANK($AI71,BoysPoints),0)</f>
        <v>0</v>
      </c>
      <c r="S71" s="291" t="str">
        <f>IF($AJ71&gt;0,RANK($AJ71,GirlsPoints),0)</f>
        <v>#REF!</v>
      </c>
      <c r="T71" s="292">
        <f>IF($O71&gt;0,RANK(O71,AthletePoints),0)</f>
        <v>21</v>
      </c>
      <c r="U71" s="210"/>
      <c r="V71" s="293" t="str">
        <f>IF(O71&gt;=40,IF(X71="M",VLOOKUP(O71,UKABoysAwards,2),IF(X71="F",VLOOKUP(O71,UKAGirlsAwards,2),"")),"")</f>
        <v>Step 6</v>
      </c>
      <c r="W71" s="210"/>
      <c r="X71" s="266" t="str">
        <f t="array" ref="X71">INDEX(DB,$B71,4)</f>
        <v>F</v>
      </c>
      <c r="Y71" s="210"/>
      <c r="Z71" s="285">
        <f t="shared" si="3"/>
        <v>0</v>
      </c>
      <c r="AA71" s="286">
        <f>IF($Z71&gt;=1,RANK($Z71,$Z69:$Z84),0)</f>
        <v>0</v>
      </c>
      <c r="AB71" s="287">
        <f>IF(AA71&lt;=MaxS,INT(Z71),0)</f>
        <v>0</v>
      </c>
      <c r="AC71" s="210"/>
      <c r="AD71" s="285">
        <f t="shared" si="4"/>
        <v>164.0071</v>
      </c>
      <c r="AE71" s="286" t="str">
        <f>IF($AD71&gt;=1,RANK($AD71,$AD69:$AD84),0)</f>
        <v>#REF!</v>
      </c>
      <c r="AF71" s="287" t="str">
        <f>IF(AE71&lt;=MaxS,INT(AD71),0)</f>
        <v>#REF!</v>
      </c>
      <c r="AG71" s="210"/>
      <c r="AH71" s="210"/>
      <c r="AI71" s="288">
        <f t="shared" si="5"/>
        <v>0</v>
      </c>
      <c r="AJ71" s="289">
        <f t="shared" si="6"/>
        <v>164</v>
      </c>
    </row>
    <row r="72" ht="15.0" customHeight="1">
      <c r="A72" s="272"/>
      <c r="B72" s="250">
        <f>IF(OR(ISNA(MATCH(C72&amp;"",AthleteNumbers,0)),ISBLANK(C72)),0,MATCH(C72&amp;"",AthleteNumbers,0))</f>
        <v>67</v>
      </c>
      <c r="C72" s="413" t="s">
        <v>276</v>
      </c>
      <c r="D72" s="273" t="str">
        <f t="array" ref="D72">IF($B72&gt;0,INDEX(DB,$B72,8),"")</f>
        <v>Jessica Stanbrook</v>
      </c>
      <c r="E72" s="274" t="str">
        <f t="array" ref="E72">IF($B72&gt;0,INDEX(DB,$B72,3),"")</f>
        <v>Portsmouth</v>
      </c>
      <c r="F72" s="275">
        <f t="array" ref="F72">IF($B72&gt;0,INDEX(DB,$B72,13),0)</f>
        <v>0</v>
      </c>
      <c r="G72" s="276">
        <f t="array" ref="G72">IF($B72&gt;0,INDEX(DB,$B72,17),0)</f>
        <v>0</v>
      </c>
      <c r="H72" s="277">
        <f t="array" ref="H72">IF($B72&gt;0,INDEX(DB,$B72,15),0)</f>
        <v>0</v>
      </c>
      <c r="I72" s="276">
        <f t="array" ref="I72">IF($B72&gt;0,INDEX(DB,$B72,19),0)</f>
        <v>0</v>
      </c>
      <c r="J72" s="277">
        <f t="array" ref="J72">IF($B72&gt;0,INDEX(DB,$B72,14),0)</f>
        <v>0</v>
      </c>
      <c r="K72" s="276">
        <f t="array" ref="K72">IF($B72&gt;0,INDEX(DB,$B72,18),0)</f>
        <v>0</v>
      </c>
      <c r="L72" s="275">
        <f t="array" ref="L72">IF($B72&gt;0,INDEX(DB,$B72,16),0)</f>
        <v>0</v>
      </c>
      <c r="M72" s="276">
        <f t="array" ref="M72">IF($B72&gt;0,INDEX(DB,$B72,20),0)</f>
        <v>0</v>
      </c>
      <c r="N72" s="278"/>
      <c r="O72" s="279">
        <f t="shared" si="1"/>
        <v>0</v>
      </c>
      <c r="P72" s="280"/>
      <c r="Q72" s="261" t="str">
        <f t="shared" si="2"/>
        <v/>
      </c>
      <c r="R72" s="281">
        <f>IF($AI72&gt;0,RANK($AI72,BoysPoints),0)</f>
        <v>0</v>
      </c>
      <c r="S72" s="282">
        <f>IF($AJ72&gt;0,RANK($AJ72,GirlsPoints),0)</f>
        <v>0</v>
      </c>
      <c r="T72" s="283">
        <f>IF($O72&gt;0,RANK(O72,AthletePoints),0)</f>
        <v>0</v>
      </c>
      <c r="U72" s="210"/>
      <c r="V72" s="415" t="str">
        <f>IF(O72&gt;=40,IF(X72="M",VLOOKUP(O72,UKABoysAwards,2),IF(X72="F",VLOOKUP(O72,UKAGirlsAwards,2),"")),"")</f>
        <v/>
      </c>
      <c r="W72" s="210"/>
      <c r="X72" s="266" t="str">
        <f t="array" ref="X72">INDEX(DB,$B72,4)</f>
        <v>F</v>
      </c>
      <c r="Y72" s="210"/>
      <c r="Z72" s="285">
        <f t="shared" si="3"/>
        <v>0</v>
      </c>
      <c r="AA72" s="286">
        <f>IF($Z72&gt;=1,RANK($Z72,$Z69:$Z84),0)</f>
        <v>0</v>
      </c>
      <c r="AB72" s="287">
        <f>IF(AA72&lt;=MaxS,INT(Z72),0)</f>
        <v>0</v>
      </c>
      <c r="AC72" s="210"/>
      <c r="AD72" s="285">
        <f t="shared" si="4"/>
        <v>0.0072</v>
      </c>
      <c r="AE72" s="286">
        <f>IF($AD72&gt;=1,RANK($AD72,$AD69:$AD84),0)</f>
        <v>0</v>
      </c>
      <c r="AF72" s="287">
        <f>IF(AE72&lt;=MaxS,INT(AD72),0)</f>
        <v>0</v>
      </c>
      <c r="AG72" s="210"/>
      <c r="AH72" s="210"/>
      <c r="AI72" s="288">
        <f t="shared" si="5"/>
        <v>0</v>
      </c>
      <c r="AJ72" s="289">
        <f t="shared" si="6"/>
        <v>0</v>
      </c>
    </row>
    <row r="73" ht="15.0" customHeight="1">
      <c r="A73" s="272"/>
      <c r="B73" s="250">
        <f>IF(OR(ISNA(MATCH(C73&amp;"",AthleteNumbers,0)),ISBLANK(C73)),0,MATCH(C73&amp;"",AthleteNumbers,0))</f>
        <v>68</v>
      </c>
      <c r="C73" s="413" t="s">
        <v>279</v>
      </c>
      <c r="D73" s="273" t="str">
        <f t="array" ref="D73">IF($B73&gt;0,INDEX(DB,$B73,8),"")</f>
        <v>Poppy Taylor</v>
      </c>
      <c r="E73" s="274" t="str">
        <f t="array" ref="E73">IF($B73&gt;0,INDEX(DB,$B73,3),"")</f>
        <v>Winchester</v>
      </c>
      <c r="F73" s="275">
        <f t="array" ref="F73">IF($B73&gt;0,INDEX(DB,$B73,13),0)</f>
        <v>13</v>
      </c>
      <c r="G73" s="276">
        <f t="array" ref="G73">IF($B73&gt;0,INDEX(DB,$B73,17),0)</f>
        <v>40</v>
      </c>
      <c r="H73" s="277">
        <f t="array" ref="H73">IF($B73&gt;0,INDEX(DB,$B73,15),0)</f>
        <v>2</v>
      </c>
      <c r="I73" s="276">
        <f t="array" ref="I73">IF($B73&gt;0,INDEX(DB,$B73,19),0)</f>
        <v>70</v>
      </c>
      <c r="J73" s="277">
        <f t="array" ref="J73">IF($B73&gt;0,INDEX(DB,$B73,14),0)</f>
        <v>2.87</v>
      </c>
      <c r="K73" s="276">
        <f t="array" ref="K73">IF($B73&gt;0,INDEX(DB,$B73,18),0)</f>
        <v>32</v>
      </c>
      <c r="L73" s="275">
        <f t="array" ref="L73">IF($B73&gt;0,INDEX(DB,$B73,16),0)</f>
        <v>23.53</v>
      </c>
      <c r="M73" s="276">
        <f t="array" ref="M73">IF($B73&gt;0,INDEX(DB,$B73,20),0)</f>
        <v>47</v>
      </c>
      <c r="N73" s="278"/>
      <c r="O73" s="279">
        <f t="shared" si="1"/>
        <v>189</v>
      </c>
      <c r="P73" s="280"/>
      <c r="Q73" s="261" t="str">
        <f t="shared" si="2"/>
        <v>#REF!</v>
      </c>
      <c r="R73" s="290">
        <f>IF($AI73&gt;0,RANK($AI73,BoysPoints),0)</f>
        <v>0</v>
      </c>
      <c r="S73" s="291" t="str">
        <f>IF($AJ73&gt;0,RANK($AJ73,GirlsPoints),0)</f>
        <v>#REF!</v>
      </c>
      <c r="T73" s="292">
        <f>IF($O73&gt;0,RANK(O73,AthletePoints),0)</f>
        <v>11</v>
      </c>
      <c r="U73" s="210"/>
      <c r="V73" s="293" t="str">
        <f>IF(O73&gt;=40,IF(X73="M",VLOOKUP(O73,UKABoysAwards,2),IF(X73="F",VLOOKUP(O73,UKAGirlsAwards,2),"")),"")</f>
        <v>Bronze</v>
      </c>
      <c r="W73" s="210"/>
      <c r="X73" s="266" t="str">
        <f t="array" ref="X73">INDEX(DB,$B73,4)</f>
        <v>F</v>
      </c>
      <c r="Y73" s="210"/>
      <c r="Z73" s="285">
        <f t="shared" si="3"/>
        <v>0</v>
      </c>
      <c r="AA73" s="286">
        <f>IF($Z73&gt;=1,RANK($Z73,$Z69:$Z84),0)</f>
        <v>0</v>
      </c>
      <c r="AB73" s="287">
        <f>IF(AA73&lt;=MaxS,INT(Z73),0)</f>
        <v>0</v>
      </c>
      <c r="AC73" s="210"/>
      <c r="AD73" s="285">
        <f t="shared" si="4"/>
        <v>189.0073</v>
      </c>
      <c r="AE73" s="286" t="str">
        <f>IF($AD73&gt;=1,RANK($AD73,$AD69:$AD84),0)</f>
        <v>#REF!</v>
      </c>
      <c r="AF73" s="287" t="str">
        <f>IF(AE73&lt;=MaxS,INT(AD73),0)</f>
        <v>#REF!</v>
      </c>
      <c r="AG73" s="210"/>
      <c r="AH73" s="210"/>
      <c r="AI73" s="288">
        <f t="shared" si="5"/>
        <v>0</v>
      </c>
      <c r="AJ73" s="289">
        <f t="shared" si="6"/>
        <v>189</v>
      </c>
    </row>
    <row r="74" ht="15.0" customHeight="1">
      <c r="A74" s="272"/>
      <c r="B74" s="250">
        <f>IF(OR(ISNA(MATCH(C74&amp;"",AthleteNumbers,0)),ISBLANK(C74)),0,MATCH(C74&amp;"",AthleteNumbers,0))</f>
        <v>69</v>
      </c>
      <c r="C74" s="413" t="s">
        <v>281</v>
      </c>
      <c r="D74" s="273" t="str">
        <f t="array" ref="D74">IF($B74&gt;0,INDEX(DB,$B74,8),"")</f>
        <v>Chrissie Thomson</v>
      </c>
      <c r="E74" s="274" t="str">
        <f t="array" ref="E74">IF($B74&gt;0,INDEX(DB,$B74,3),"")</f>
        <v>Bournemouth AC</v>
      </c>
      <c r="F74" s="275">
        <f t="array" ref="F74">IF($B74&gt;0,INDEX(DB,$B74,13),0)</f>
        <v>13.4</v>
      </c>
      <c r="G74" s="276">
        <f t="array" ref="G74">IF($B74&gt;0,INDEX(DB,$B74,17),0)</f>
        <v>36</v>
      </c>
      <c r="H74" s="277">
        <f t="array" ref="H74">IF($B74&gt;0,INDEX(DB,$B74,15),0)</f>
        <v>2.29</v>
      </c>
      <c r="I74" s="276">
        <f t="array" ref="I74">IF($B74&gt;0,INDEX(DB,$B74,19),0)</f>
        <v>41</v>
      </c>
      <c r="J74" s="277">
        <f t="array" ref="J74">IF($B74&gt;0,INDEX(DB,$B74,14),0)</f>
        <v>3.01</v>
      </c>
      <c r="K74" s="276">
        <f t="array" ref="K74">IF($B74&gt;0,INDEX(DB,$B74,18),0)</f>
        <v>37</v>
      </c>
      <c r="L74" s="275">
        <f t="array" ref="L74">IF($B74&gt;0,INDEX(DB,$B74,16),0)</f>
        <v>13.49</v>
      </c>
      <c r="M74" s="276">
        <f t="array" ref="M74">IF($B74&gt;0,INDEX(DB,$B74,20),0)</f>
        <v>26</v>
      </c>
      <c r="N74" s="278"/>
      <c r="O74" s="279">
        <f t="shared" si="1"/>
        <v>140</v>
      </c>
      <c r="P74" s="280"/>
      <c r="Q74" s="261" t="str">
        <f t="shared" si="2"/>
        <v>#REF!</v>
      </c>
      <c r="R74" s="281">
        <f>IF($AI74&gt;0,RANK($AI74,BoysPoints),0)</f>
        <v>0</v>
      </c>
      <c r="S74" s="282" t="str">
        <f>IF($AJ74&gt;0,RANK($AJ74,GirlsPoints),0)</f>
        <v>#REF!</v>
      </c>
      <c r="T74" s="283">
        <f>IF($O74&gt;0,RANK(O74,AthletePoints),0)</f>
        <v>40</v>
      </c>
      <c r="U74" s="210"/>
      <c r="V74" s="284" t="str">
        <f>IF(O74&gt;=40,IF(X74="M",VLOOKUP(O74,UKABoysAwards,2),IF(X74="F",VLOOKUP(O74,UKAGirlsAwards,2),"")),"")</f>
        <v>Step 5</v>
      </c>
      <c r="W74" s="210"/>
      <c r="X74" s="266" t="str">
        <f t="array" ref="X74">INDEX(DB,$B74,4)</f>
        <v>F</v>
      </c>
      <c r="Y74" s="210"/>
      <c r="Z74" s="285">
        <f t="shared" si="3"/>
        <v>0</v>
      </c>
      <c r="AA74" s="286">
        <f>IF($Z74&gt;=1,RANK($Z74,$Z69:$Z84),0)</f>
        <v>0</v>
      </c>
      <c r="AB74" s="287">
        <f>IF(AA74&lt;=MaxS,INT(Z74),0)</f>
        <v>0</v>
      </c>
      <c r="AC74" s="210"/>
      <c r="AD74" s="285">
        <f t="shared" si="4"/>
        <v>140.0074</v>
      </c>
      <c r="AE74" s="286" t="str">
        <f>IF($AD74&gt;=1,RANK($AD74,$AD69:$AD84),0)</f>
        <v>#REF!</v>
      </c>
      <c r="AF74" s="287" t="str">
        <f>IF(AE74&lt;=MaxS,INT(AD74),0)</f>
        <v>#REF!</v>
      </c>
      <c r="AG74" s="210"/>
      <c r="AH74" s="210"/>
      <c r="AI74" s="288">
        <f t="shared" si="5"/>
        <v>0</v>
      </c>
      <c r="AJ74" s="289">
        <f t="shared" si="6"/>
        <v>140</v>
      </c>
    </row>
    <row r="75" ht="15.0" customHeight="1">
      <c r="A75" s="272"/>
      <c r="B75" s="250">
        <f>IF(OR(ISNA(MATCH(C75&amp;"",AthleteNumbers,0)),ISBLANK(C75)),0,MATCH(C75&amp;"",AthleteNumbers,0))</f>
        <v>70</v>
      </c>
      <c r="C75" s="413" t="s">
        <v>283</v>
      </c>
      <c r="D75" s="273" t="str">
        <f t="array" ref="D75">IF($B75&gt;0,INDEX(DB,$B75,8),"")</f>
        <v>Darcey Thorne Henderson</v>
      </c>
      <c r="E75" s="274" t="str">
        <f t="array" ref="E75">IF($B75&gt;0,INDEX(DB,$B75,3),"")</f>
        <v>Wadac </v>
      </c>
      <c r="F75" s="275">
        <f t="array" ref="F75">IF($B75&gt;0,INDEX(DB,$B75,13),0)</f>
        <v>14.9</v>
      </c>
      <c r="G75" s="276">
        <f t="array" ref="G75">IF($B75&gt;0,INDEX(DB,$B75,17),0)</f>
        <v>21</v>
      </c>
      <c r="H75" s="277">
        <f t="array" ref="H75">IF($B75&gt;0,INDEX(DB,$B75,15),0)</f>
        <v>0</v>
      </c>
      <c r="I75" s="276">
        <f t="array" ref="I75">IF($B75&gt;0,INDEX(DB,$B75,19),0)</f>
        <v>0</v>
      </c>
      <c r="J75" s="277">
        <f t="array" ref="J75">IF($B75&gt;0,INDEX(DB,$B75,14),0)</f>
        <v>1.7</v>
      </c>
      <c r="K75" s="276">
        <f t="array" ref="K75">IF($B75&gt;0,INDEX(DB,$B75,18),0)</f>
        <v>10</v>
      </c>
      <c r="L75" s="275">
        <f t="array" ref="L75">IF($B75&gt;0,INDEX(DB,$B75,16),0)</f>
        <v>10.74</v>
      </c>
      <c r="M75" s="276">
        <f t="array" ref="M75">IF($B75&gt;0,INDEX(DB,$B75,20),0)</f>
        <v>21</v>
      </c>
      <c r="N75" s="278"/>
      <c r="O75" s="279">
        <f t="shared" si="1"/>
        <v>52</v>
      </c>
      <c r="P75" s="280"/>
      <c r="Q75" s="261" t="str">
        <f t="shared" si="2"/>
        <v>#REF!</v>
      </c>
      <c r="R75" s="290">
        <f>IF($AI75&gt;0,RANK($AI75,BoysPoints),0)</f>
        <v>0</v>
      </c>
      <c r="S75" s="291" t="str">
        <f>IF($AJ75&gt;0,RANK($AJ75,GirlsPoints),0)</f>
        <v>#REF!</v>
      </c>
      <c r="T75" s="292">
        <f>IF($O75&gt;0,RANK(O75,AthletePoints),0)</f>
        <v>68</v>
      </c>
      <c r="U75" s="210"/>
      <c r="V75" s="293" t="str">
        <f>IF(O75&gt;=40,IF(X75="M",VLOOKUP(O75,UKABoysAwards,2),IF(X75="F",VLOOKUP(O75,UKAGirlsAwards,2),"")),"")</f>
        <v>Step 1</v>
      </c>
      <c r="W75" s="210"/>
      <c r="X75" s="266" t="str">
        <f t="array" ref="X75">INDEX(DB,$B75,4)</f>
        <v>F</v>
      </c>
      <c r="Y75" s="210"/>
      <c r="Z75" s="285">
        <f t="shared" si="3"/>
        <v>0</v>
      </c>
      <c r="AA75" s="286">
        <f>IF($Z75&gt;=1,RANK($Z75,$Z69:$Z84),0)</f>
        <v>0</v>
      </c>
      <c r="AB75" s="287">
        <f>IF(AA75&lt;=MaxS,INT(Z75),0)</f>
        <v>0</v>
      </c>
      <c r="AC75" s="210"/>
      <c r="AD75" s="285">
        <f t="shared" si="4"/>
        <v>52.0075</v>
      </c>
      <c r="AE75" s="286" t="str">
        <f>IF($AD75&gt;=1,RANK($AD75,$AD69:$AD84),0)</f>
        <v>#REF!</v>
      </c>
      <c r="AF75" s="287" t="str">
        <f>IF(AE75&lt;=MaxS,INT(AD75),0)</f>
        <v>#REF!</v>
      </c>
      <c r="AG75" s="210"/>
      <c r="AH75" s="210"/>
      <c r="AI75" s="288">
        <f t="shared" si="5"/>
        <v>0</v>
      </c>
      <c r="AJ75" s="289">
        <f t="shared" si="6"/>
        <v>52</v>
      </c>
    </row>
    <row r="76" ht="15.0" customHeight="1">
      <c r="A76" s="272"/>
      <c r="B76" s="250">
        <f>IF(OR(ISNA(MATCH(C76&amp;"",AthleteNumbers,0)),ISBLANK(C76)),0,MATCH(C76&amp;"",AthleteNumbers,0))</f>
        <v>71</v>
      </c>
      <c r="C76" s="413" t="s">
        <v>286</v>
      </c>
      <c r="D76" s="273" t="str">
        <f t="array" ref="D76">IF($B76&gt;0,INDEX(DB,$B76,8),"")</f>
        <v>Julieana Walsh</v>
      </c>
      <c r="E76" s="274" t="str">
        <f t="array" ref="E76">IF($B76&gt;0,INDEX(DB,$B76,3),"")</f>
        <v>...</v>
      </c>
      <c r="F76" s="275">
        <f t="array" ref="F76">IF($B76&gt;0,INDEX(DB,$B76,13),0)</f>
        <v>12.4</v>
      </c>
      <c r="G76" s="276">
        <f t="array" ref="G76">IF($B76&gt;0,INDEX(DB,$B76,17),0)</f>
        <v>46</v>
      </c>
      <c r="H76" s="277">
        <f t="array" ref="H76">IF($B76&gt;0,INDEX(DB,$B76,15),0)</f>
        <v>2.03</v>
      </c>
      <c r="I76" s="276">
        <f t="array" ref="I76">IF($B76&gt;0,INDEX(DB,$B76,19),0)</f>
        <v>67</v>
      </c>
      <c r="J76" s="277">
        <f t="array" ref="J76">IF($B76&gt;0,INDEX(DB,$B76,14),0)</f>
        <v>3.03</v>
      </c>
      <c r="K76" s="276">
        <f t="array" ref="K76">IF($B76&gt;0,INDEX(DB,$B76,18),0)</f>
        <v>37</v>
      </c>
      <c r="L76" s="275">
        <f t="array" ref="L76">IF($B76&gt;0,INDEX(DB,$B76,16),0)</f>
        <v>21.62</v>
      </c>
      <c r="M76" s="276">
        <f t="array" ref="M76">IF($B76&gt;0,INDEX(DB,$B76,20),0)</f>
        <v>43</v>
      </c>
      <c r="N76" s="278"/>
      <c r="O76" s="279">
        <f t="shared" si="1"/>
        <v>193</v>
      </c>
      <c r="P76" s="280"/>
      <c r="Q76" s="261" t="str">
        <f t="shared" si="2"/>
        <v>#REF!</v>
      </c>
      <c r="R76" s="281">
        <f>IF($AI76&gt;0,RANK($AI76,BoysPoints),0)</f>
        <v>0</v>
      </c>
      <c r="S76" s="282" t="str">
        <f>IF($AJ76&gt;0,RANK($AJ76,GirlsPoints),0)</f>
        <v>#REF!</v>
      </c>
      <c r="T76" s="283">
        <f>IF($O76&gt;0,RANK(O76,AthletePoints),0)</f>
        <v>8</v>
      </c>
      <c r="U76" s="210"/>
      <c r="V76" s="284" t="str">
        <f>IF(O76&gt;=40,IF(X76="M",VLOOKUP(O76,UKABoysAwards,2),IF(X76="F",VLOOKUP(O76,UKAGirlsAwards,2),"")),"")</f>
        <v>Bronze</v>
      </c>
      <c r="W76" s="210"/>
      <c r="X76" s="266" t="str">
        <f t="array" ref="X76">INDEX(DB,$B76,4)</f>
        <v>F</v>
      </c>
      <c r="Y76" s="210"/>
      <c r="Z76" s="285">
        <f t="shared" si="3"/>
        <v>0</v>
      </c>
      <c r="AA76" s="286">
        <f>IF($Z76&gt;=1,RANK($Z76,$Z69:$Z84),0)</f>
        <v>0</v>
      </c>
      <c r="AB76" s="287">
        <f>IF(AA76&lt;=MaxS,INT(Z76),0)</f>
        <v>0</v>
      </c>
      <c r="AC76" s="210"/>
      <c r="AD76" s="285">
        <f t="shared" si="4"/>
        <v>193.0076</v>
      </c>
      <c r="AE76" s="286" t="str">
        <f>IF($AD76&gt;=1,RANK($AD76,$AD69:$AD84),0)</f>
        <v>#REF!</v>
      </c>
      <c r="AF76" s="287" t="str">
        <f>IF(AE76&lt;=MaxS,INT(AD76),0)</f>
        <v>#REF!</v>
      </c>
      <c r="AG76" s="210"/>
      <c r="AH76" s="210"/>
      <c r="AI76" s="288">
        <f t="shared" si="5"/>
        <v>0</v>
      </c>
      <c r="AJ76" s="289">
        <f t="shared" si="6"/>
        <v>193</v>
      </c>
    </row>
    <row r="77" ht="15.0" customHeight="1">
      <c r="A77" s="272"/>
      <c r="B77" s="250">
        <f>IF(OR(ISNA(MATCH(C77&amp;"",AthleteNumbers,0)),ISBLANK(C77)),0,MATCH(C77&amp;"",AthleteNumbers,0))</f>
        <v>72</v>
      </c>
      <c r="C77" s="413" t="s">
        <v>288</v>
      </c>
      <c r="D77" s="273" t="str">
        <f t="array" ref="D77">IF($B77&gt;0,INDEX(DB,$B77,8),"")</f>
        <v>Tonaya Welsh</v>
      </c>
      <c r="E77" s="274" t="str">
        <f t="array" ref="E77">IF($B77&gt;0,INDEX(DB,$B77,3),"")</f>
        <v>Bournemouth AC</v>
      </c>
      <c r="F77" s="275">
        <f t="array" ref="F77">IF($B77&gt;0,INDEX(DB,$B77,13),0)</f>
        <v>0</v>
      </c>
      <c r="G77" s="276">
        <f t="array" ref="G77">IF($B77&gt;0,INDEX(DB,$B77,17),0)</f>
        <v>0</v>
      </c>
      <c r="H77" s="277">
        <f t="array" ref="H77">IF($B77&gt;0,INDEX(DB,$B77,15),0)</f>
        <v>0</v>
      </c>
      <c r="I77" s="276">
        <f t="array" ref="I77">IF($B77&gt;0,INDEX(DB,$B77,19),0)</f>
        <v>0</v>
      </c>
      <c r="J77" s="277">
        <f t="array" ref="J77">IF($B77&gt;0,INDEX(DB,$B77,14),0)</f>
        <v>0</v>
      </c>
      <c r="K77" s="276">
        <f t="array" ref="K77">IF($B77&gt;0,INDEX(DB,$B77,18),0)</f>
        <v>0</v>
      </c>
      <c r="L77" s="275">
        <f t="array" ref="L77">IF($B77&gt;0,INDEX(DB,$B77,16),0)</f>
        <v>0</v>
      </c>
      <c r="M77" s="276">
        <f t="array" ref="M77">IF($B77&gt;0,INDEX(DB,$B77,20),0)</f>
        <v>0</v>
      </c>
      <c r="N77" s="278"/>
      <c r="O77" s="279">
        <f t="shared" si="1"/>
        <v>0</v>
      </c>
      <c r="P77" s="280"/>
      <c r="Q77" s="261" t="str">
        <f t="shared" si="2"/>
        <v/>
      </c>
      <c r="R77" s="290">
        <f>IF($AI77&gt;0,RANK($AI77,BoysPoints),0)</f>
        <v>0</v>
      </c>
      <c r="S77" s="291">
        <f>IF($AJ77&gt;0,RANK($AJ77,GirlsPoints),0)</f>
        <v>0</v>
      </c>
      <c r="T77" s="292">
        <f>IF($O77&gt;0,RANK(O77,AthletePoints),0)</f>
        <v>0</v>
      </c>
      <c r="U77" s="210"/>
      <c r="V77" s="330" t="str">
        <f>IF(O77&gt;=40,IF(X77="M",VLOOKUP(O77,UKABoysAwards,2),IF(X77="F",VLOOKUP(O77,UKAGirlsAwards,2),"")),"")</f>
        <v/>
      </c>
      <c r="W77" s="210"/>
      <c r="X77" s="266" t="str">
        <f t="array" ref="X77">INDEX(DB,$B77,4)</f>
        <v>F</v>
      </c>
      <c r="Y77" s="210"/>
      <c r="Z77" s="285">
        <f t="shared" si="3"/>
        <v>0</v>
      </c>
      <c r="AA77" s="286">
        <f>IF($Z77&gt;=1,RANK($Z77,$Z69:$Z84),0)</f>
        <v>0</v>
      </c>
      <c r="AB77" s="287">
        <f>IF(AA77&lt;=MaxS,INT(Z77),0)</f>
        <v>0</v>
      </c>
      <c r="AC77" s="210"/>
      <c r="AD77" s="285">
        <f t="shared" si="4"/>
        <v>0.0077</v>
      </c>
      <c r="AE77" s="286">
        <f>IF($AD77&gt;=1,RANK($AD77,$AD69:$AD84),0)</f>
        <v>0</v>
      </c>
      <c r="AF77" s="287">
        <f>IF(AE77&lt;=MaxS,INT(AD77),0)</f>
        <v>0</v>
      </c>
      <c r="AG77" s="210"/>
      <c r="AH77" s="210"/>
      <c r="AI77" s="288">
        <f t="shared" si="5"/>
        <v>0</v>
      </c>
      <c r="AJ77" s="289">
        <f t="shared" si="6"/>
        <v>0</v>
      </c>
    </row>
    <row r="78" ht="15.0" customHeight="1">
      <c r="A78" s="272"/>
      <c r="B78" s="250">
        <f>IF(OR(ISNA(MATCH(C78&amp;"",AthleteNumbers,0)),ISBLANK(C78)),0,MATCH(C78&amp;"",AthleteNumbers,0))</f>
        <v>73</v>
      </c>
      <c r="C78" s="413" t="s">
        <v>290</v>
      </c>
      <c r="D78" s="273" t="str">
        <f t="array" ref="D78">IF($B78&gt;0,INDEX(DB,$B78,8),"")</f>
        <v>Lavender West</v>
      </c>
      <c r="E78" s="274" t="str">
        <f t="array" ref="E78">IF($B78&gt;0,INDEX(DB,$B78,3),"")</f>
        <v>Wimborne AC</v>
      </c>
      <c r="F78" s="275">
        <f t="array" ref="F78">IF($B78&gt;0,INDEX(DB,$B78,13),0)</f>
        <v>13.1</v>
      </c>
      <c r="G78" s="276">
        <f t="array" ref="G78">IF($B78&gt;0,INDEX(DB,$B78,17),0)</f>
        <v>39</v>
      </c>
      <c r="H78" s="277">
        <f t="array" ref="H78">IF($B78&gt;0,INDEX(DB,$B78,15),0)</f>
        <v>2.19</v>
      </c>
      <c r="I78" s="276">
        <f t="array" ref="I78">IF($B78&gt;0,INDEX(DB,$B78,19),0)</f>
        <v>51</v>
      </c>
      <c r="J78" s="277">
        <f t="array" ref="J78">IF($B78&gt;0,INDEX(DB,$B78,14),0)</f>
        <v>2.75</v>
      </c>
      <c r="K78" s="276">
        <f t="array" ref="K78">IF($B78&gt;0,INDEX(DB,$B78,18),0)</f>
        <v>28</v>
      </c>
      <c r="L78" s="275">
        <f t="array" ref="L78">IF($B78&gt;0,INDEX(DB,$B78,16),0)</f>
        <v>9.49</v>
      </c>
      <c r="M78" s="276">
        <f t="array" ref="M78">IF($B78&gt;0,INDEX(DB,$B78,20),0)</f>
        <v>18</v>
      </c>
      <c r="N78" s="278"/>
      <c r="O78" s="279">
        <f t="shared" si="1"/>
        <v>136</v>
      </c>
      <c r="P78" s="280"/>
      <c r="Q78" s="261" t="str">
        <f t="shared" si="2"/>
        <v>#REF!</v>
      </c>
      <c r="R78" s="281">
        <f>IF($AI78&gt;0,RANK($AI78,BoysPoints),0)</f>
        <v>0</v>
      </c>
      <c r="S78" s="282" t="str">
        <f>IF($AJ78&gt;0,RANK($AJ78,GirlsPoints),0)</f>
        <v>#REF!</v>
      </c>
      <c r="T78" s="283">
        <f>IF($O78&gt;0,RANK(O78,AthletePoints),0)</f>
        <v>43</v>
      </c>
      <c r="U78" s="210"/>
      <c r="V78" s="284" t="str">
        <f>IF(O78&gt;=40,IF(X78="M",VLOOKUP(O78,UKABoysAwards,2),IF(X78="F",VLOOKUP(O78,UKAGirlsAwards,2),"")),"")</f>
        <v>Step 4</v>
      </c>
      <c r="W78" s="210"/>
      <c r="X78" s="266" t="str">
        <f t="array" ref="X78">INDEX(DB,$B78,4)</f>
        <v>F</v>
      </c>
      <c r="Y78" s="210"/>
      <c r="Z78" s="285">
        <f t="shared" si="3"/>
        <v>0</v>
      </c>
      <c r="AA78" s="286">
        <f>IF($Z78&gt;=1,RANK($Z78,$Z69:$Z84),0)</f>
        <v>0</v>
      </c>
      <c r="AB78" s="287">
        <f>IF(AA78&lt;=MaxS,INT(Z78),0)</f>
        <v>0</v>
      </c>
      <c r="AC78" s="210"/>
      <c r="AD78" s="285">
        <f t="shared" si="4"/>
        <v>136.0078</v>
      </c>
      <c r="AE78" s="286" t="str">
        <f>IF($AD78&gt;=1,RANK($AD78,$AD69:$AD84),0)</f>
        <v>#REF!</v>
      </c>
      <c r="AF78" s="287" t="str">
        <f>IF(AE78&lt;=MaxS,INT(AD78),0)</f>
        <v>#REF!</v>
      </c>
      <c r="AG78" s="210"/>
      <c r="AH78" s="210"/>
      <c r="AI78" s="288">
        <f t="shared" si="5"/>
        <v>0</v>
      </c>
      <c r="AJ78" s="289">
        <f t="shared" si="6"/>
        <v>136</v>
      </c>
    </row>
    <row r="79" ht="15.0" customHeight="1">
      <c r="A79" s="272"/>
      <c r="B79" s="250">
        <f>IF(OR(ISNA(MATCH(C79&amp;"",AthleteNumbers,0)),ISBLANK(C79)),0,MATCH(C79&amp;"",AthleteNumbers,0))</f>
        <v>74</v>
      </c>
      <c r="C79" s="413" t="s">
        <v>292</v>
      </c>
      <c r="D79" s="273" t="str">
        <f t="array" ref="D79">IF($B79&gt;0,INDEX(DB,$B79,8),"")</f>
        <v>Verity Wilson</v>
      </c>
      <c r="E79" s="274" t="str">
        <f t="array" ref="E79">IF($B79&gt;0,INDEX(DB,$B79,3),"")</f>
        <v>Poole ac</v>
      </c>
      <c r="F79" s="275">
        <f t="array" ref="F79">IF($B79&gt;0,INDEX(DB,$B79,13),0)</f>
        <v>0</v>
      </c>
      <c r="G79" s="276">
        <f t="array" ref="G79">IF($B79&gt;0,INDEX(DB,$B79,17),0)</f>
        <v>0</v>
      </c>
      <c r="H79" s="277">
        <f t="array" ref="H79">IF($B79&gt;0,INDEX(DB,$B79,15),0)</f>
        <v>0</v>
      </c>
      <c r="I79" s="276">
        <f t="array" ref="I79">IF($B79&gt;0,INDEX(DB,$B79,19),0)</f>
        <v>0</v>
      </c>
      <c r="J79" s="277">
        <f t="array" ref="J79">IF($B79&gt;0,INDEX(DB,$B79,14),0)</f>
        <v>0</v>
      </c>
      <c r="K79" s="276">
        <f t="array" ref="K79">IF($B79&gt;0,INDEX(DB,$B79,18),0)</f>
        <v>0</v>
      </c>
      <c r="L79" s="275">
        <f t="array" ref="L79">IF($B79&gt;0,INDEX(DB,$B79,16),0)</f>
        <v>0</v>
      </c>
      <c r="M79" s="276">
        <f t="array" ref="M79">IF($B79&gt;0,INDEX(DB,$B79,20),0)</f>
        <v>0</v>
      </c>
      <c r="N79" s="278"/>
      <c r="O79" s="279">
        <f t="shared" si="1"/>
        <v>0</v>
      </c>
      <c r="P79" s="280"/>
      <c r="Q79" s="261" t="str">
        <f t="shared" si="2"/>
        <v/>
      </c>
      <c r="R79" s="290">
        <f>IF($AI79&gt;0,RANK($AI79,BoysPoints),0)</f>
        <v>0</v>
      </c>
      <c r="S79" s="291">
        <f>IF($AJ79&gt;0,RANK($AJ79,GirlsPoints),0)</f>
        <v>0</v>
      </c>
      <c r="T79" s="292">
        <f>IF($O79&gt;0,RANK(O79,AthletePoints),0)</f>
        <v>0</v>
      </c>
      <c r="U79" s="210"/>
      <c r="V79" s="330" t="str">
        <f>IF(O79&gt;=40,IF(X79="M",VLOOKUP(O79,UKABoysAwards,2),IF(X79="F",VLOOKUP(O79,UKAGirlsAwards,2),"")),"")</f>
        <v/>
      </c>
      <c r="W79" s="210"/>
      <c r="X79" s="266" t="str">
        <f t="array" ref="X79">INDEX(DB,$B79,4)</f>
        <v>F</v>
      </c>
      <c r="Y79" s="210"/>
      <c r="Z79" s="285">
        <f t="shared" si="3"/>
        <v>0</v>
      </c>
      <c r="AA79" s="286">
        <f>IF($Z79&gt;=1,RANK($Z79,$Z69:$Z84),0)</f>
        <v>0</v>
      </c>
      <c r="AB79" s="287">
        <f>IF(AA79&lt;=MaxS,INT(Z79),0)</f>
        <v>0</v>
      </c>
      <c r="AC79" s="210"/>
      <c r="AD79" s="285">
        <f t="shared" si="4"/>
        <v>0.0079</v>
      </c>
      <c r="AE79" s="286">
        <f>IF($AD79&gt;=1,RANK($AD79,$AD69:$AD84),0)</f>
        <v>0</v>
      </c>
      <c r="AF79" s="287">
        <f>IF(AE79&lt;=MaxS,INT(AD79),0)</f>
        <v>0</v>
      </c>
      <c r="AG79" s="210"/>
      <c r="AH79" s="210"/>
      <c r="AI79" s="288">
        <f t="shared" si="5"/>
        <v>0</v>
      </c>
      <c r="AJ79" s="289">
        <f t="shared" si="6"/>
        <v>0</v>
      </c>
    </row>
    <row r="80" ht="15.0" customHeight="1">
      <c r="A80" s="272"/>
      <c r="B80" s="250">
        <f>IF(OR(ISNA(MATCH(C80&amp;"",AthleteNumbers,0)),ISBLANK(C80)),0,MATCH(C80&amp;"",AthleteNumbers,0))</f>
        <v>75</v>
      </c>
      <c r="C80" s="413" t="s">
        <v>295</v>
      </c>
      <c r="D80" s="273" t="str">
        <f t="array" ref="D80">IF($B80&gt;0,INDEX(DB,$B80,8),"")</f>
        <v>Shenique Xavier</v>
      </c>
      <c r="E80" s="274" t="str">
        <f t="array" ref="E80">IF($B80&gt;0,INDEX(DB,$B80,3),"")</f>
        <v>New Forest Athletics </v>
      </c>
      <c r="F80" s="275">
        <f t="array" ref="F80">IF($B80&gt;0,INDEX(DB,$B80,13),0)</f>
        <v>11.1</v>
      </c>
      <c r="G80" s="276">
        <f t="array" ref="G80">IF($B80&gt;0,INDEX(DB,$B80,17),0)</f>
        <v>59</v>
      </c>
      <c r="H80" s="277">
        <f t="array" ref="H80">IF($B80&gt;0,INDEX(DB,$B80,15),0)</f>
        <v>2.03</v>
      </c>
      <c r="I80" s="276">
        <f t="array" ref="I80">IF($B80&gt;0,INDEX(DB,$B80,19),0)</f>
        <v>67</v>
      </c>
      <c r="J80" s="277">
        <f t="array" ref="J80">IF($B80&gt;0,INDEX(DB,$B80,14),0)</f>
        <v>3.15</v>
      </c>
      <c r="K80" s="276">
        <f t="array" ref="K80">IF($B80&gt;0,INDEX(DB,$B80,18),0)</f>
        <v>41</v>
      </c>
      <c r="L80" s="275">
        <f t="array" ref="L80">IF($B80&gt;0,INDEX(DB,$B80,16),0)</f>
        <v>16.39</v>
      </c>
      <c r="M80" s="276">
        <f t="array" ref="M80">IF($B80&gt;0,INDEX(DB,$B80,20),0)</f>
        <v>32</v>
      </c>
      <c r="N80" s="278"/>
      <c r="O80" s="279">
        <f t="shared" si="1"/>
        <v>199</v>
      </c>
      <c r="P80" s="280"/>
      <c r="Q80" s="261" t="str">
        <f t="shared" si="2"/>
        <v>#REF!</v>
      </c>
      <c r="R80" s="281">
        <f>IF($AI80&gt;0,RANK($AI80,BoysPoints),0)</f>
        <v>0</v>
      </c>
      <c r="S80" s="282" t="str">
        <f>IF($AJ80&gt;0,RANK($AJ80,GirlsPoints),0)</f>
        <v>#REF!</v>
      </c>
      <c r="T80" s="283">
        <f>IF($O80&gt;0,RANK(O80,AthletePoints),0)</f>
        <v>5</v>
      </c>
      <c r="U80" s="210"/>
      <c r="V80" s="284" t="str">
        <f>IF(O80&gt;=40,IF(X80="M",VLOOKUP(O80,UKABoysAwards,2),IF(X80="F",VLOOKUP(O80,UKAGirlsAwards,2),"")),"")</f>
        <v>Bronze</v>
      </c>
      <c r="W80" s="210"/>
      <c r="X80" s="266" t="str">
        <f t="array" ref="X80">INDEX(DB,$B80,4)</f>
        <v>F</v>
      </c>
      <c r="Y80" s="210"/>
      <c r="Z80" s="285">
        <f t="shared" si="3"/>
        <v>0</v>
      </c>
      <c r="AA80" s="286">
        <f>IF($Z80&gt;=1,RANK($Z80,$Z69:$Z84),0)</f>
        <v>0</v>
      </c>
      <c r="AB80" s="287">
        <f>IF(AA80&lt;=MaxS,INT(Z80),0)</f>
        <v>0</v>
      </c>
      <c r="AC80" s="210"/>
      <c r="AD80" s="285">
        <f t="shared" si="4"/>
        <v>199.008</v>
      </c>
      <c r="AE80" s="286" t="str">
        <f>IF($AD80&gt;=1,RANK($AD80,$AD69:$AD84),0)</f>
        <v>#REF!</v>
      </c>
      <c r="AF80" s="287" t="str">
        <f>IF(AE80&lt;=MaxS,INT(AD80),0)</f>
        <v>#REF!</v>
      </c>
      <c r="AG80" s="210"/>
      <c r="AH80" s="210"/>
      <c r="AI80" s="288">
        <f t="shared" si="5"/>
        <v>0</v>
      </c>
      <c r="AJ80" s="289">
        <f t="shared" si="6"/>
        <v>199</v>
      </c>
    </row>
    <row r="81" ht="15.0" customHeight="1">
      <c r="A81" s="272"/>
      <c r="B81" s="250">
        <f>IF(OR(ISNA(MATCH(C81&amp;"",AthleteNumbers,0)),ISBLANK(C81)),0,MATCH(C81&amp;"",AthleteNumbers,0))</f>
        <v>76</v>
      </c>
      <c r="C81" s="413" t="s">
        <v>298</v>
      </c>
      <c r="D81" s="273" t="str">
        <f t="array" ref="D81">IF($B81&gt;0,INDEX(DB,$B81,8),"")</f>
        <v>Amelie Singletary</v>
      </c>
      <c r="E81" s="274" t="str">
        <f t="array" ref="E81">IF($B81&gt;0,INDEX(DB,$B81,3),"")</f>
        <v>North Devon</v>
      </c>
      <c r="F81" s="275">
        <f t="array" ref="F81">IF($B81&gt;0,INDEX(DB,$B81,13),0)</f>
        <v>14.5</v>
      </c>
      <c r="G81" s="276">
        <f t="array" ref="G81">IF($B81&gt;0,INDEX(DB,$B81,17),0)</f>
        <v>25</v>
      </c>
      <c r="H81" s="277">
        <f t="array" ref="H81">IF($B81&gt;0,INDEX(DB,$B81,15),0)</f>
        <v>2.25</v>
      </c>
      <c r="I81" s="276">
        <f t="array" ref="I81">IF($B81&gt;0,INDEX(DB,$B81,19),0)</f>
        <v>45</v>
      </c>
      <c r="J81" s="277">
        <f t="array" ref="J81">IF($B81&gt;0,INDEX(DB,$B81,14),0)</f>
        <v>2.57</v>
      </c>
      <c r="K81" s="276">
        <f t="array" ref="K81">IF($B81&gt;0,INDEX(DB,$B81,18),0)</f>
        <v>22</v>
      </c>
      <c r="L81" s="275">
        <f t="array" ref="L81">IF($B81&gt;0,INDEX(DB,$B81,16),0)</f>
        <v>9.82</v>
      </c>
      <c r="M81" s="276">
        <f t="array" ref="M81">IF($B81&gt;0,INDEX(DB,$B81,20),0)</f>
        <v>19</v>
      </c>
      <c r="N81" s="278"/>
      <c r="O81" s="279">
        <f t="shared" si="1"/>
        <v>111</v>
      </c>
      <c r="P81" s="280"/>
      <c r="Q81" s="261" t="str">
        <f t="shared" si="2"/>
        <v>#REF!</v>
      </c>
      <c r="R81" s="290">
        <f>IF($AI81&gt;0,RANK($AI81,BoysPoints),0)</f>
        <v>0</v>
      </c>
      <c r="S81" s="291" t="str">
        <f>IF($AJ81&gt;0,RANK($AJ81,GirlsPoints),0)</f>
        <v>#REF!</v>
      </c>
      <c r="T81" s="292">
        <f>IF($O81&gt;0,RANK(O81,AthletePoints),0)</f>
        <v>55</v>
      </c>
      <c r="U81" s="210"/>
      <c r="V81" s="293" t="str">
        <f>IF(O81&gt;=40,IF(X81="M",VLOOKUP(O81,UKABoysAwards,2),IF(X81="F",VLOOKUP(O81,UKAGirlsAwards,2),"")),"")</f>
        <v>Step 3</v>
      </c>
      <c r="W81" s="210"/>
      <c r="X81" s="266" t="str">
        <f t="array" ref="X81">INDEX(DB,$B81,4)</f>
        <v>F</v>
      </c>
      <c r="Y81" s="210"/>
      <c r="Z81" s="285">
        <f t="shared" si="3"/>
        <v>0</v>
      </c>
      <c r="AA81" s="286">
        <f>IF($Z81&gt;=1,RANK($Z81,$Z69:$Z84),0)</f>
        <v>0</v>
      </c>
      <c r="AB81" s="287">
        <f>IF(AA81&lt;=MaxS,INT(Z81),0)</f>
        <v>0</v>
      </c>
      <c r="AC81" s="210"/>
      <c r="AD81" s="285">
        <f t="shared" si="4"/>
        <v>111.0081</v>
      </c>
      <c r="AE81" s="286" t="str">
        <f>IF($AD81&gt;=1,RANK($AD81,$AD69:$AD84),0)</f>
        <v>#REF!</v>
      </c>
      <c r="AF81" s="287" t="str">
        <f>IF(AE81&lt;=MaxS,INT(AD81),0)</f>
        <v>#REF!</v>
      </c>
      <c r="AG81" s="210"/>
      <c r="AH81" s="210"/>
      <c r="AI81" s="288">
        <f t="shared" si="5"/>
        <v>0</v>
      </c>
      <c r="AJ81" s="289">
        <f t="shared" si="6"/>
        <v>111</v>
      </c>
    </row>
    <row r="82" ht="15.0" customHeight="1">
      <c r="A82" s="272"/>
      <c r="B82" s="250">
        <f>IF(OR(ISNA(MATCH(C82&amp;"",AthleteNumbers,0)),ISBLANK(C82)),0,MATCH(C82&amp;"",AthleteNumbers,0))</f>
        <v>77</v>
      </c>
      <c r="C82" s="413" t="s">
        <v>301</v>
      </c>
      <c r="D82" s="273" t="str">
        <f t="array" ref="D82">IF($B82&gt;0,INDEX(DB,$B82,8),"")</f>
        <v>Lilia Flux</v>
      </c>
      <c r="E82" s="274" t="str">
        <f t="array" ref="E82">IF($B82&gt;0,INDEX(DB,$B82,3),"")</f>
        <v>WSPH</v>
      </c>
      <c r="F82" s="275">
        <f t="array" ref="F82">IF($B82&gt;0,INDEX(DB,$B82,13),0)</f>
        <v>13.2</v>
      </c>
      <c r="G82" s="276">
        <f t="array" ref="G82">IF($B82&gt;0,INDEX(DB,$B82,17),0)</f>
        <v>38</v>
      </c>
      <c r="H82" s="277">
        <f t="array" ref="H82">IF($B82&gt;0,INDEX(DB,$B82,15),0)</f>
        <v>2.23</v>
      </c>
      <c r="I82" s="276">
        <f t="array" ref="I82">IF($B82&gt;0,INDEX(DB,$B82,19),0)</f>
        <v>47</v>
      </c>
      <c r="J82" s="277">
        <f t="array" ref="J82">IF($B82&gt;0,INDEX(DB,$B82,14),0)</f>
        <v>3.06</v>
      </c>
      <c r="K82" s="276">
        <f t="array" ref="K82">IF($B82&gt;0,INDEX(DB,$B82,18),0)</f>
        <v>38</v>
      </c>
      <c r="L82" s="275">
        <f t="array" ref="L82">IF($B82&gt;0,INDEX(DB,$B82,16),0)</f>
        <v>19.56</v>
      </c>
      <c r="M82" s="276">
        <f t="array" ref="M82">IF($B82&gt;0,INDEX(DB,$B82,20),0)</f>
        <v>39</v>
      </c>
      <c r="N82" s="278"/>
      <c r="O82" s="279">
        <f t="shared" si="1"/>
        <v>162</v>
      </c>
      <c r="P82" s="280"/>
      <c r="Q82" s="261" t="str">
        <f t="shared" si="2"/>
        <v>#REF!</v>
      </c>
      <c r="R82" s="281">
        <f>IF($AI82&gt;0,RANK($AI82,BoysPoints),0)</f>
        <v>0</v>
      </c>
      <c r="S82" s="282" t="str">
        <f>IF($AJ82&gt;0,RANK($AJ82,GirlsPoints),0)</f>
        <v>#REF!</v>
      </c>
      <c r="T82" s="283">
        <f>IF($O82&gt;0,RANK(O82,AthletePoints),0)</f>
        <v>24</v>
      </c>
      <c r="U82" s="210"/>
      <c r="V82" s="284" t="str">
        <f>IF(O82&gt;=40,IF(X82="M",VLOOKUP(O82,UKABoysAwards,2),IF(X82="F",VLOOKUP(O82,UKAGirlsAwards,2),"")),"")</f>
        <v>Step 6</v>
      </c>
      <c r="W82" s="210"/>
      <c r="X82" s="266" t="str">
        <f t="array" ref="X82">INDEX(DB,$B82,4)</f>
        <v>F</v>
      </c>
      <c r="Y82" s="210"/>
      <c r="Z82" s="285">
        <f t="shared" si="3"/>
        <v>0</v>
      </c>
      <c r="AA82" s="286">
        <f>IF($Z82&gt;=1,RANK($Z82,$Z69:$Z84),0)</f>
        <v>0</v>
      </c>
      <c r="AB82" s="287">
        <f>IF(AA82&lt;=MaxS,INT(Z82),0)</f>
        <v>0</v>
      </c>
      <c r="AC82" s="210"/>
      <c r="AD82" s="285">
        <f t="shared" si="4"/>
        <v>162.0082</v>
      </c>
      <c r="AE82" s="286" t="str">
        <f>IF($AD82&gt;=1,RANK($AD82,$AD69:$AD84),0)</f>
        <v>#REF!</v>
      </c>
      <c r="AF82" s="287" t="str">
        <f>IF(AE82&lt;=MaxS,INT(AD82),0)</f>
        <v>#REF!</v>
      </c>
      <c r="AG82" s="210"/>
      <c r="AH82" s="210"/>
      <c r="AI82" s="288">
        <f t="shared" si="5"/>
        <v>0</v>
      </c>
      <c r="AJ82" s="289">
        <f t="shared" si="6"/>
        <v>162</v>
      </c>
    </row>
    <row r="83" ht="15.0" customHeight="1">
      <c r="A83" s="272"/>
      <c r="B83" s="250">
        <f>IF(OR(ISNA(MATCH(C83&amp;"",AthleteNumbers,0)),ISBLANK(C83)),0,MATCH(C83&amp;"",AthleteNumbers,0))</f>
        <v>0</v>
      </c>
      <c r="C83" s="413"/>
      <c r="D83" s="273" t="str">
        <f t="array" ref="D83">IF($B83&gt;0,INDEX(DB,$B83,8),"")</f>
        <v/>
      </c>
      <c r="E83" s="274" t="str">
        <f t="array" ref="E83">IF($B83&gt;0,INDEX(DB,$B83,3),"")</f>
        <v/>
      </c>
      <c r="F83" s="275">
        <f t="array" ref="F83">IF($B83&gt;0,INDEX(DB,$B83,13),0)</f>
        <v>0</v>
      </c>
      <c r="G83" s="276">
        <f t="array" ref="G83">IF($B83&gt;0,INDEX(DB,$B83,17),0)</f>
        <v>0</v>
      </c>
      <c r="H83" s="277">
        <f t="array" ref="H83">IF($B83&gt;0,INDEX(DB,$B83,15),0)</f>
        <v>0</v>
      </c>
      <c r="I83" s="276">
        <f t="array" ref="I83">IF($B83&gt;0,INDEX(DB,$B83,19),0)</f>
        <v>0</v>
      </c>
      <c r="J83" s="277">
        <f t="array" ref="J83">IF($B83&gt;0,INDEX(DB,$B83,14),0)</f>
        <v>0</v>
      </c>
      <c r="K83" s="276">
        <f t="array" ref="K83">IF($B83&gt;0,INDEX(DB,$B83,18),0)</f>
        <v>0</v>
      </c>
      <c r="L83" s="275">
        <f t="array" ref="L83">IF($B83&gt;0,INDEX(DB,$B83,16),0)</f>
        <v>0</v>
      </c>
      <c r="M83" s="276">
        <f t="array" ref="M83">IF($B83&gt;0,INDEX(DB,$B83,20),0)</f>
        <v>0</v>
      </c>
      <c r="N83" s="278"/>
      <c r="O83" s="279">
        <f t="shared" si="1"/>
        <v>0</v>
      </c>
      <c r="P83" s="280"/>
      <c r="Q83" s="261" t="str">
        <f t="shared" si="2"/>
        <v>#REF!</v>
      </c>
      <c r="R83" s="290" t="str">
        <f>IF($AI83&gt;0,RANK($AI83,BoysPoints),0)</f>
        <v>#REF!</v>
      </c>
      <c r="S83" s="291" t="str">
        <f>IF($AJ83&gt;0,RANK($AJ83,GirlsPoints),0)</f>
        <v>#REF!</v>
      </c>
      <c r="T83" s="292">
        <f>IF($O83&gt;0,RANK(O83,AthletePoints),0)</f>
        <v>0</v>
      </c>
      <c r="U83" s="210"/>
      <c r="V83" s="330" t="str">
        <f>IF(O83&gt;=40,IF(X83="M",VLOOKUP(O83,UKABoysAwards,2),IF(X83="F",VLOOKUP(O83,UKAGirlsAwards,2),"")),"")</f>
        <v/>
      </c>
      <c r="W83" s="210"/>
      <c r="X83" s="266" t="str">
        <f t="array" ref="X83:X84">INDEX(DB,$B83,4)</f>
        <v>#REF!</v>
      </c>
      <c r="Y83" s="210"/>
      <c r="Z83" s="285" t="str">
        <f t="shared" si="3"/>
        <v>#REF!</v>
      </c>
      <c r="AA83" s="286" t="str">
        <f>IF($Z83&gt;=1,RANK($Z83,$Z69:$Z84),0)</f>
        <v>#REF!</v>
      </c>
      <c r="AB83" s="287" t="str">
        <f>IF(AA83&lt;=MaxS,INT(Z83),0)</f>
        <v>#REF!</v>
      </c>
      <c r="AC83" s="210"/>
      <c r="AD83" s="285" t="str">
        <f t="shared" si="4"/>
        <v>#REF!</v>
      </c>
      <c r="AE83" s="286" t="str">
        <f>IF($AD83&gt;=1,RANK($AD83,$AD69:$AD84),0)</f>
        <v>#REF!</v>
      </c>
      <c r="AF83" s="287" t="str">
        <f>IF(AE83&lt;=MaxS,INT(AD83),0)</f>
        <v>#REF!</v>
      </c>
      <c r="AG83" s="210"/>
      <c r="AH83" s="210"/>
      <c r="AI83" s="288" t="str">
        <f t="shared" si="5"/>
        <v>#REF!</v>
      </c>
      <c r="AJ83" s="289" t="str">
        <f t="shared" si="6"/>
        <v>#REF!</v>
      </c>
    </row>
    <row r="84" ht="15.0" customHeight="1">
      <c r="A84" s="305"/>
      <c r="B84" s="250">
        <f>IF(OR(ISNA(MATCH(C84&amp;"",AthleteNumbers,0)),ISBLANK(C84)),0,MATCH(C84&amp;"",AthleteNumbers,0))</f>
        <v>0</v>
      </c>
      <c r="C84" s="443"/>
      <c r="D84" s="306" t="str">
        <f t="array" ref="D84">IF($B84&gt;0,INDEX(DB,$B84,8),"")</f>
        <v/>
      </c>
      <c r="E84" s="307" t="str">
        <f t="array" ref="E84">IF($B84&gt;0,INDEX(DB,$B84,3),"")</f>
        <v/>
      </c>
      <c r="F84" s="308">
        <f t="array" ref="F84">IF($B84&gt;0,INDEX(DB,$B84,13),0)</f>
        <v>0</v>
      </c>
      <c r="G84" s="309">
        <f t="array" ref="G84">IF($B84&gt;0,INDEX(DB,$B84,17),0)</f>
        <v>0</v>
      </c>
      <c r="H84" s="310">
        <f t="array" ref="H84">IF($B84&gt;0,INDEX(DB,$B84,15),0)</f>
        <v>0</v>
      </c>
      <c r="I84" s="309">
        <f t="array" ref="I84">IF($B84&gt;0,INDEX(DB,$B84,19),0)</f>
        <v>0</v>
      </c>
      <c r="J84" s="310">
        <f t="array" ref="J84">IF($B84&gt;0,INDEX(DB,$B84,14),0)</f>
        <v>0</v>
      </c>
      <c r="K84" s="309">
        <f t="array" ref="K84">IF($B84&gt;0,INDEX(DB,$B84,18),0)</f>
        <v>0</v>
      </c>
      <c r="L84" s="308">
        <f t="array" ref="L84">IF($B84&gt;0,INDEX(DB,$B84,16),0)</f>
        <v>0</v>
      </c>
      <c r="M84" s="309">
        <f t="array" ref="M84">IF($B84&gt;0,INDEX(DB,$B84,20),0)</f>
        <v>0</v>
      </c>
      <c r="N84" s="25"/>
      <c r="O84" s="311">
        <f t="shared" si="1"/>
        <v>0</v>
      </c>
      <c r="P84" s="31"/>
      <c r="Q84" s="261" t="str">
        <f t="shared" si="2"/>
        <v>#REF!</v>
      </c>
      <c r="R84" s="312" t="str">
        <f>IF($AI84&gt;0,RANK($AI84,BoysPoints),0)</f>
        <v>#REF!</v>
      </c>
      <c r="S84" s="313" t="str">
        <f>IF($AJ84&gt;0,RANK($AJ84,GirlsPoints),0)</f>
        <v>#REF!</v>
      </c>
      <c r="T84" s="314">
        <f>IF($O84&gt;0,RANK(O84,AthletePoints),0)</f>
        <v>0</v>
      </c>
      <c r="U84" s="210"/>
      <c r="V84" s="444" t="str">
        <f>IF(O84&gt;=40,IF(X84="M",VLOOKUP(O84,UKABoysAwards,2),IF(X84="F",VLOOKUP(O84,UKAGirlsAwards,2),"")),"")</f>
        <v/>
      </c>
      <c r="W84" s="210"/>
      <c r="X84" s="266" t="str">
        <f t="array" ref="X84:X85">INDEX(DB,$B84,4)</f>
        <v>#REF!</v>
      </c>
      <c r="Y84" s="210"/>
      <c r="Z84" s="316" t="str">
        <f t="shared" si="3"/>
        <v>#REF!</v>
      </c>
      <c r="AA84" s="243" t="str">
        <f>IF($Z84&gt;=1,RANK($Z84,$Z69:$Z84),0)</f>
        <v>#REF!</v>
      </c>
      <c r="AB84" s="245" t="str">
        <f>IF(AA84&lt;=MaxS,INT(Z84),0)</f>
        <v>#REF!</v>
      </c>
      <c r="AC84" s="210" t="str">
        <f>SUM(AB69:AB84)</f>
        <v>#REF!</v>
      </c>
      <c r="AD84" s="316" t="str">
        <f t="shared" si="4"/>
        <v>#REF!</v>
      </c>
      <c r="AE84" s="243" t="str">
        <f>IF($AD84&gt;=1,RANK($AD84,$AD69:$AD84),0)</f>
        <v>#REF!</v>
      </c>
      <c r="AF84" s="245" t="str">
        <f>IF(AE84&lt;=MaxS,INT(AD84),0)</f>
        <v>#REF!</v>
      </c>
      <c r="AG84" s="210" t="str">
        <f>SUM(AF69:AF84)</f>
        <v>#REF!</v>
      </c>
      <c r="AH84" s="210"/>
      <c r="AI84" s="246" t="str">
        <f t="shared" si="5"/>
        <v>#REF!</v>
      </c>
      <c r="AJ84" s="247" t="str">
        <f t="shared" si="6"/>
        <v>#REF!</v>
      </c>
    </row>
    <row r="85" ht="15.0" customHeight="1">
      <c r="A85" s="248"/>
      <c r="B85" s="250">
        <f>IF(OR(ISNA(MATCH(C85&amp;"",AthleteNumbers,0)),ISBLANK(C85)),0,MATCH(C85&amp;"",AthleteNumbers,0))</f>
        <v>0</v>
      </c>
      <c r="C85" s="251"/>
      <c r="D85" s="252" t="str">
        <f t="array" ref="D85">IF($B85&gt;0,INDEX(DB,$B85,8),"")</f>
        <v/>
      </c>
      <c r="E85" s="253" t="str">
        <f t="array" ref="E85">IF($B85&gt;0,INDEX(DB,$B85,3),"")</f>
        <v/>
      </c>
      <c r="F85" s="254">
        <f t="array" ref="F85">IF($B85&gt;0,INDEX(DB,$B85,13),0)</f>
        <v>0</v>
      </c>
      <c r="G85" s="255">
        <f t="array" ref="G85">IF($B85&gt;0,INDEX(DB,$B85,17),0)</f>
        <v>0</v>
      </c>
      <c r="H85" s="257">
        <f t="array" ref="H85">IF($B85&gt;0,INDEX(DB,$B85,15),0)</f>
        <v>0</v>
      </c>
      <c r="I85" s="255">
        <f t="array" ref="I85">IF($B85&gt;0,INDEX(DB,$B85,19),0)</f>
        <v>0</v>
      </c>
      <c r="J85" s="257">
        <f t="array" ref="J85">IF($B85&gt;0,INDEX(DB,$B85,14),0)</f>
        <v>0</v>
      </c>
      <c r="K85" s="255">
        <f t="array" ref="K85">IF($B85&gt;0,INDEX(DB,$B85,18),0)</f>
        <v>0</v>
      </c>
      <c r="L85" s="254">
        <f t="array" ref="L85">IF($B85&gt;0,INDEX(DB,$B85,16),0)</f>
        <v>0</v>
      </c>
      <c r="M85" s="255">
        <f t="array" ref="M85">IF($B85&gt;0,INDEX(DB,$B85,20),0)</f>
        <v>0</v>
      </c>
      <c r="N85" s="258" t="str">
        <f t="array" ref="N85:N101">INDEX(RelayPoints,A100)</f>
        <v>#REF!</v>
      </c>
      <c r="O85" s="259">
        <f t="shared" si="1"/>
        <v>0</v>
      </c>
      <c r="P85" s="260" t="str">
        <f>+AC100+AG100+N85</f>
        <v>#REF!</v>
      </c>
      <c r="Q85" s="261" t="str">
        <f t="shared" si="2"/>
        <v>#REF!</v>
      </c>
      <c r="R85" s="262" t="str">
        <f>IF($AI85&gt;0,RANK($AI85,BoysPoints),0)</f>
        <v>#REF!</v>
      </c>
      <c r="S85" s="263" t="str">
        <f>IF($AJ85&gt;0,RANK($AJ85,GirlsPoints),0)</f>
        <v>#REF!</v>
      </c>
      <c r="T85" s="264">
        <f>IF($O85&gt;0,RANK(O85,AthletePoints),0)</f>
        <v>0</v>
      </c>
      <c r="U85" s="210"/>
      <c r="V85" s="317" t="str">
        <f>IF(O85&gt;=40,IF(X85="M",VLOOKUP(O85,UKABoysAwards,2),IF(X85="F",VLOOKUP(O85,UKAGirlsAwards,2),"")),"")</f>
        <v/>
      </c>
      <c r="W85" s="210"/>
      <c r="X85" s="266" t="str">
        <f t="array" ref="X85:X86">INDEX(DB,$B85,4)</f>
        <v>#REF!</v>
      </c>
      <c r="Y85" s="210"/>
      <c r="Z85" s="267" t="str">
        <f t="shared" si="3"/>
        <v>#REF!</v>
      </c>
      <c r="AA85" s="268" t="str">
        <f>IF($Z85&gt;=1,RANK($Z85,$Z85:$Z100),0)</f>
        <v>#REF!</v>
      </c>
      <c r="AB85" s="269" t="str">
        <f>IF(AA85&lt;=MaxS,INT(Z85),0)</f>
        <v>#REF!</v>
      </c>
      <c r="AC85" s="210"/>
      <c r="AD85" s="267" t="str">
        <f t="shared" si="4"/>
        <v>#REF!</v>
      </c>
      <c r="AE85" s="268" t="str">
        <f>IF($AD85&gt;=1,RANK($AD85,$AD85:$AD100),0)</f>
        <v>#REF!</v>
      </c>
      <c r="AF85" s="269" t="str">
        <f>IF(AE85&lt;=MaxS,INT(AD85),0)</f>
        <v>#REF!</v>
      </c>
      <c r="AG85" s="210"/>
      <c r="AH85" s="210"/>
      <c r="AI85" s="288" t="str">
        <f t="shared" si="5"/>
        <v>#REF!</v>
      </c>
      <c r="AJ85" s="289" t="str">
        <f t="shared" si="6"/>
        <v>#REF!</v>
      </c>
    </row>
    <row r="86" ht="15.0" customHeight="1">
      <c r="A86" s="272"/>
      <c r="B86" s="250">
        <f>IF(OR(ISNA(MATCH(C86&amp;"",AthleteNumbers,0)),ISBLANK(C86)),0,MATCH(C86&amp;"",AthleteNumbers,0))</f>
        <v>0</v>
      </c>
      <c r="C86" s="413"/>
      <c r="D86" s="273" t="str">
        <f t="array" ref="D86">IF($B86&gt;0,INDEX(DB,$B86,8),"")</f>
        <v/>
      </c>
      <c r="E86" s="274" t="str">
        <f t="array" ref="E86">IF($B86&gt;0,INDEX(DB,$B86,3),"")</f>
        <v/>
      </c>
      <c r="F86" s="275">
        <f t="array" ref="F86">IF($B86&gt;0,INDEX(DB,$B86,13),0)</f>
        <v>0</v>
      </c>
      <c r="G86" s="276">
        <f t="array" ref="G86">IF($B86&gt;0,INDEX(DB,$B86,17),0)</f>
        <v>0</v>
      </c>
      <c r="H86" s="277">
        <f t="array" ref="H86">IF($B86&gt;0,INDEX(DB,$B86,15),0)</f>
        <v>0</v>
      </c>
      <c r="I86" s="276">
        <f t="array" ref="I86">IF($B86&gt;0,INDEX(DB,$B86,19),0)</f>
        <v>0</v>
      </c>
      <c r="J86" s="277">
        <f t="array" ref="J86">IF($B86&gt;0,INDEX(DB,$B86,14),0)</f>
        <v>0</v>
      </c>
      <c r="K86" s="276">
        <f t="array" ref="K86">IF($B86&gt;0,INDEX(DB,$B86,18),0)</f>
        <v>0</v>
      </c>
      <c r="L86" s="275">
        <f t="array" ref="L86">IF($B86&gt;0,INDEX(DB,$B86,16),0)</f>
        <v>0</v>
      </c>
      <c r="M86" s="276">
        <f t="array" ref="M86">IF($B86&gt;0,INDEX(DB,$B86,20),0)</f>
        <v>0</v>
      </c>
      <c r="N86" s="278"/>
      <c r="O86" s="279">
        <f t="shared" si="1"/>
        <v>0</v>
      </c>
      <c r="P86" s="280"/>
      <c r="Q86" s="261" t="str">
        <f t="shared" si="2"/>
        <v>#REF!</v>
      </c>
      <c r="R86" s="281" t="str">
        <f>IF($AI86&gt;0,RANK($AI86,BoysPoints),0)</f>
        <v>#REF!</v>
      </c>
      <c r="S86" s="282" t="str">
        <f>IF($AJ86&gt;0,RANK($AJ86,GirlsPoints),0)</f>
        <v>#REF!</v>
      </c>
      <c r="T86" s="283">
        <f>IF($O86&gt;0,RANK(O86,AthletePoints),0)</f>
        <v>0</v>
      </c>
      <c r="U86" s="210"/>
      <c r="V86" s="415" t="str">
        <f>IF(O86&gt;=40,IF(X86="M",VLOOKUP(O86,UKABoysAwards,2),IF(X86="F",VLOOKUP(O86,UKAGirlsAwards,2),"")),"")</f>
        <v/>
      </c>
      <c r="W86" s="210"/>
      <c r="X86" s="266" t="str">
        <f t="array" ref="X86:X87">INDEX(DB,$B86,4)</f>
        <v>#REF!</v>
      </c>
      <c r="Y86" s="210"/>
      <c r="Z86" s="285" t="str">
        <f t="shared" si="3"/>
        <v>#REF!</v>
      </c>
      <c r="AA86" s="286" t="str">
        <f>IF($Z86&gt;=1,RANK($Z86,$Z85:$Z100),0)</f>
        <v>#REF!</v>
      </c>
      <c r="AB86" s="287" t="str">
        <f>IF(AA86&lt;=MaxS,INT(Z86),0)</f>
        <v>#REF!</v>
      </c>
      <c r="AC86" s="210"/>
      <c r="AD86" s="285" t="str">
        <f t="shared" si="4"/>
        <v>#REF!</v>
      </c>
      <c r="AE86" s="286" t="str">
        <f>IF($AD86&gt;=1,RANK($AD86,$AD85:$AD100),0)</f>
        <v>#REF!</v>
      </c>
      <c r="AF86" s="287" t="str">
        <f>IF(AE86&lt;=MaxS,INT(AD86),0)</f>
        <v>#REF!</v>
      </c>
      <c r="AG86" s="210"/>
      <c r="AH86" s="210"/>
      <c r="AI86" s="288" t="str">
        <f t="shared" si="5"/>
        <v>#REF!</v>
      </c>
      <c r="AJ86" s="289" t="str">
        <f t="shared" si="6"/>
        <v>#REF!</v>
      </c>
    </row>
    <row r="87" ht="15.0" customHeight="1">
      <c r="A87" s="272"/>
      <c r="B87" s="250">
        <f>IF(OR(ISNA(MATCH(C87&amp;"",AthleteNumbers,0)),ISBLANK(C87)),0,MATCH(C87&amp;"",AthleteNumbers,0))</f>
        <v>0</v>
      </c>
      <c r="C87" s="413"/>
      <c r="D87" s="273" t="str">
        <f t="array" ref="D87">IF($B87&gt;0,INDEX(DB,$B87,8),"")</f>
        <v/>
      </c>
      <c r="E87" s="274" t="str">
        <f t="array" ref="E87">IF($B87&gt;0,INDEX(DB,$B87,3),"")</f>
        <v/>
      </c>
      <c r="F87" s="275">
        <f t="array" ref="F87">IF($B87&gt;0,INDEX(DB,$B87,13),0)</f>
        <v>0</v>
      </c>
      <c r="G87" s="276">
        <f t="array" ref="G87">IF($B87&gt;0,INDEX(DB,$B87,17),0)</f>
        <v>0</v>
      </c>
      <c r="H87" s="277">
        <f t="array" ref="H87">IF($B87&gt;0,INDEX(DB,$B87,15),0)</f>
        <v>0</v>
      </c>
      <c r="I87" s="276">
        <f t="array" ref="I87">IF($B87&gt;0,INDEX(DB,$B87,19),0)</f>
        <v>0</v>
      </c>
      <c r="J87" s="277">
        <f t="array" ref="J87">IF($B87&gt;0,INDEX(DB,$B87,14),0)</f>
        <v>0</v>
      </c>
      <c r="K87" s="276">
        <f t="array" ref="K87">IF($B87&gt;0,INDEX(DB,$B87,18),0)</f>
        <v>0</v>
      </c>
      <c r="L87" s="275">
        <f t="array" ref="L87">IF($B87&gt;0,INDEX(DB,$B87,16),0)</f>
        <v>0</v>
      </c>
      <c r="M87" s="276">
        <f t="array" ref="M87">IF($B87&gt;0,INDEX(DB,$B87,20),0)</f>
        <v>0</v>
      </c>
      <c r="N87" s="278"/>
      <c r="O87" s="279">
        <f t="shared" si="1"/>
        <v>0</v>
      </c>
      <c r="P87" s="280"/>
      <c r="Q87" s="261" t="str">
        <f t="shared" si="2"/>
        <v>#REF!</v>
      </c>
      <c r="R87" s="290" t="str">
        <f>IF($AI87&gt;0,RANK($AI87,BoysPoints),0)</f>
        <v>#REF!</v>
      </c>
      <c r="S87" s="291" t="str">
        <f>IF($AJ87&gt;0,RANK($AJ87,GirlsPoints),0)</f>
        <v>#REF!</v>
      </c>
      <c r="T87" s="292">
        <f>IF($O87&gt;0,RANK(O87,AthletePoints),0)</f>
        <v>0</v>
      </c>
      <c r="U87" s="210"/>
      <c r="V87" s="330" t="str">
        <f>IF(O87&gt;=40,IF(X87="M",VLOOKUP(O87,UKABoysAwards,2),IF(X87="F",VLOOKUP(O87,UKAGirlsAwards,2),"")),"")</f>
        <v/>
      </c>
      <c r="W87" s="210"/>
      <c r="X87" s="266" t="str">
        <f t="array" ref="X87:X88">INDEX(DB,$B87,4)</f>
        <v>#REF!</v>
      </c>
      <c r="Y87" s="210"/>
      <c r="Z87" s="285" t="str">
        <f t="shared" si="3"/>
        <v>#REF!</v>
      </c>
      <c r="AA87" s="286" t="str">
        <f>IF($Z87&gt;=1,RANK($Z87,$Z85:$Z100),0)</f>
        <v>#REF!</v>
      </c>
      <c r="AB87" s="287" t="str">
        <f>IF(AA87&lt;=MaxS,INT(Z87),0)</f>
        <v>#REF!</v>
      </c>
      <c r="AC87" s="210"/>
      <c r="AD87" s="285" t="str">
        <f t="shared" si="4"/>
        <v>#REF!</v>
      </c>
      <c r="AE87" s="286" t="str">
        <f>IF($AD87&gt;=1,RANK($AD87,$AD85:$AD100),0)</f>
        <v>#REF!</v>
      </c>
      <c r="AF87" s="287" t="str">
        <f>IF(AE87&lt;=MaxS,INT(AD87),0)</f>
        <v>#REF!</v>
      </c>
      <c r="AG87" s="210"/>
      <c r="AH87" s="210"/>
      <c r="AI87" s="288" t="str">
        <f t="shared" si="5"/>
        <v>#REF!</v>
      </c>
      <c r="AJ87" s="289" t="str">
        <f t="shared" si="6"/>
        <v>#REF!</v>
      </c>
    </row>
    <row r="88" ht="15.0" customHeight="1">
      <c r="A88" s="272"/>
      <c r="B88" s="250">
        <f>IF(OR(ISNA(MATCH(C88&amp;"",AthleteNumbers,0)),ISBLANK(C88)),0,MATCH(C88&amp;"",AthleteNumbers,0))</f>
        <v>0</v>
      </c>
      <c r="C88" s="413"/>
      <c r="D88" s="273" t="str">
        <f t="array" ref="D88">IF($B88&gt;0,INDEX(DB,$B88,8),"")</f>
        <v/>
      </c>
      <c r="E88" s="274" t="str">
        <f t="array" ref="E88">IF($B88&gt;0,INDEX(DB,$B88,3),"")</f>
        <v/>
      </c>
      <c r="F88" s="275">
        <f t="array" ref="F88">IF($B88&gt;0,INDEX(DB,$B88,13),0)</f>
        <v>0</v>
      </c>
      <c r="G88" s="276">
        <f t="array" ref="G88">IF($B88&gt;0,INDEX(DB,$B88,17),0)</f>
        <v>0</v>
      </c>
      <c r="H88" s="277">
        <f t="array" ref="H88">IF($B88&gt;0,INDEX(DB,$B88,15),0)</f>
        <v>0</v>
      </c>
      <c r="I88" s="276">
        <f t="array" ref="I88">IF($B88&gt;0,INDEX(DB,$B88,19),0)</f>
        <v>0</v>
      </c>
      <c r="J88" s="277">
        <f t="array" ref="J88">IF($B88&gt;0,INDEX(DB,$B88,14),0)</f>
        <v>0</v>
      </c>
      <c r="K88" s="276">
        <f t="array" ref="K88">IF($B88&gt;0,INDEX(DB,$B88,18),0)</f>
        <v>0</v>
      </c>
      <c r="L88" s="275">
        <f t="array" ref="L88">IF($B88&gt;0,INDEX(DB,$B88,16),0)</f>
        <v>0</v>
      </c>
      <c r="M88" s="276">
        <f t="array" ref="M88">IF($B88&gt;0,INDEX(DB,$B88,20),0)</f>
        <v>0</v>
      </c>
      <c r="N88" s="278"/>
      <c r="O88" s="279">
        <f t="shared" si="1"/>
        <v>0</v>
      </c>
      <c r="P88" s="280"/>
      <c r="Q88" s="261" t="str">
        <f t="shared" si="2"/>
        <v>#REF!</v>
      </c>
      <c r="R88" s="281" t="str">
        <f>IF($AI88&gt;0,RANK($AI88,BoysPoints),0)</f>
        <v>#REF!</v>
      </c>
      <c r="S88" s="282" t="str">
        <f>IF($AJ88&gt;0,RANK($AJ88,GirlsPoints),0)</f>
        <v>#REF!</v>
      </c>
      <c r="T88" s="283">
        <f>IF($O88&gt;0,RANK(O88,AthletePoints),0)</f>
        <v>0</v>
      </c>
      <c r="U88" s="210"/>
      <c r="V88" s="415" t="str">
        <f>IF(O88&gt;=40,IF(X88="M",VLOOKUP(O88,UKABoysAwards,2),IF(X88="F",VLOOKUP(O88,UKAGirlsAwards,2),"")),"")</f>
        <v/>
      </c>
      <c r="W88" s="210"/>
      <c r="X88" s="266" t="str">
        <f t="array" ref="X88:X89">INDEX(DB,$B88,4)</f>
        <v>#REF!</v>
      </c>
      <c r="Y88" s="210"/>
      <c r="Z88" s="285" t="str">
        <f t="shared" si="3"/>
        <v>#REF!</v>
      </c>
      <c r="AA88" s="286" t="str">
        <f>IF($Z88&gt;=1,RANK($Z88,$Z85:$Z100),0)</f>
        <v>#REF!</v>
      </c>
      <c r="AB88" s="287" t="str">
        <f>IF(AA88&lt;=MaxS,INT(Z88),0)</f>
        <v>#REF!</v>
      </c>
      <c r="AC88" s="210"/>
      <c r="AD88" s="285" t="str">
        <f t="shared" si="4"/>
        <v>#REF!</v>
      </c>
      <c r="AE88" s="286" t="str">
        <f>IF($AD88&gt;=1,RANK($AD88,$AD85:$AD100),0)</f>
        <v>#REF!</v>
      </c>
      <c r="AF88" s="287" t="str">
        <f>IF(AE88&lt;=MaxS,INT(AD88),0)</f>
        <v>#REF!</v>
      </c>
      <c r="AG88" s="210"/>
      <c r="AH88" s="210"/>
      <c r="AI88" s="288" t="str">
        <f t="shared" si="5"/>
        <v>#REF!</v>
      </c>
      <c r="AJ88" s="289" t="str">
        <f t="shared" si="6"/>
        <v>#REF!</v>
      </c>
    </row>
    <row r="89" ht="15.0" customHeight="1">
      <c r="A89" s="272"/>
      <c r="B89" s="250">
        <f>IF(OR(ISNA(MATCH(C89&amp;"",AthleteNumbers,0)),ISBLANK(C89)),0,MATCH(C89&amp;"",AthleteNumbers,0))</f>
        <v>0</v>
      </c>
      <c r="C89" s="413"/>
      <c r="D89" s="273" t="str">
        <f t="array" ref="D89">IF($B89&gt;0,INDEX(DB,$B89,8),"")</f>
        <v/>
      </c>
      <c r="E89" s="274" t="str">
        <f t="array" ref="E89">IF($B89&gt;0,INDEX(DB,$B89,3),"")</f>
        <v/>
      </c>
      <c r="F89" s="275">
        <f t="array" ref="F89">IF($B89&gt;0,INDEX(DB,$B89,13),0)</f>
        <v>0</v>
      </c>
      <c r="G89" s="276">
        <f t="array" ref="G89">IF($B89&gt;0,INDEX(DB,$B89,17),0)</f>
        <v>0</v>
      </c>
      <c r="H89" s="277">
        <f t="array" ref="H89">IF($B89&gt;0,INDEX(DB,$B89,15),0)</f>
        <v>0</v>
      </c>
      <c r="I89" s="276">
        <f t="array" ref="I89">IF($B89&gt;0,INDEX(DB,$B89,19),0)</f>
        <v>0</v>
      </c>
      <c r="J89" s="277">
        <f t="array" ref="J89">IF($B89&gt;0,INDEX(DB,$B89,14),0)</f>
        <v>0</v>
      </c>
      <c r="K89" s="276">
        <f t="array" ref="K89">IF($B89&gt;0,INDEX(DB,$B89,18),0)</f>
        <v>0</v>
      </c>
      <c r="L89" s="275">
        <f t="array" ref="L89">IF($B89&gt;0,INDEX(DB,$B89,16),0)</f>
        <v>0</v>
      </c>
      <c r="M89" s="276">
        <f t="array" ref="M89">IF($B89&gt;0,INDEX(DB,$B89,20),0)</f>
        <v>0</v>
      </c>
      <c r="N89" s="278"/>
      <c r="O89" s="279">
        <f t="shared" si="1"/>
        <v>0</v>
      </c>
      <c r="P89" s="280"/>
      <c r="Q89" s="261" t="str">
        <f t="shared" si="2"/>
        <v>#REF!</v>
      </c>
      <c r="R89" s="290" t="str">
        <f>IF($AI89&gt;0,RANK($AI89,BoysPoints),0)</f>
        <v>#REF!</v>
      </c>
      <c r="S89" s="291" t="str">
        <f>IF($AJ89&gt;0,RANK($AJ89,GirlsPoints),0)</f>
        <v>#REF!</v>
      </c>
      <c r="T89" s="292">
        <f>IF($O89&gt;0,RANK(O89,AthletePoints),0)</f>
        <v>0</v>
      </c>
      <c r="U89" s="210"/>
      <c r="V89" s="330" t="str">
        <f>IF(O89&gt;=40,IF(X89="M",VLOOKUP(O89,UKABoysAwards,2),IF(X89="F",VLOOKUP(O89,UKAGirlsAwards,2),"")),"")</f>
        <v/>
      </c>
      <c r="W89" s="210"/>
      <c r="X89" s="266" t="str">
        <f t="array" ref="X89:X90">INDEX(DB,$B89,4)</f>
        <v>#REF!</v>
      </c>
      <c r="Y89" s="210"/>
      <c r="Z89" s="285" t="str">
        <f t="shared" si="3"/>
        <v>#REF!</v>
      </c>
      <c r="AA89" s="286" t="str">
        <f>IF($Z89&gt;=1,RANK($Z89,$Z85:$Z100),0)</f>
        <v>#REF!</v>
      </c>
      <c r="AB89" s="287" t="str">
        <f>IF(AA89&lt;=MaxS,INT(Z89),0)</f>
        <v>#REF!</v>
      </c>
      <c r="AC89" s="210"/>
      <c r="AD89" s="285" t="str">
        <f t="shared" si="4"/>
        <v>#REF!</v>
      </c>
      <c r="AE89" s="286" t="str">
        <f>IF($AD89&gt;=1,RANK($AD89,$AD85:$AD100),0)</f>
        <v>#REF!</v>
      </c>
      <c r="AF89" s="287" t="str">
        <f>IF(AE89&lt;=MaxS,INT(AD89),0)</f>
        <v>#REF!</v>
      </c>
      <c r="AG89" s="210"/>
      <c r="AH89" s="210"/>
      <c r="AI89" s="288" t="str">
        <f t="shared" si="5"/>
        <v>#REF!</v>
      </c>
      <c r="AJ89" s="289" t="str">
        <f t="shared" si="6"/>
        <v>#REF!</v>
      </c>
    </row>
    <row r="90" ht="15.0" customHeight="1">
      <c r="A90" s="272"/>
      <c r="B90" s="250">
        <f>IF(OR(ISNA(MATCH(C90&amp;"",AthleteNumbers,0)),ISBLANK(C90)),0,MATCH(C90&amp;"",AthleteNumbers,0))</f>
        <v>0</v>
      </c>
      <c r="C90" s="413"/>
      <c r="D90" s="273" t="str">
        <f t="array" ref="D90">IF($B90&gt;0,INDEX(DB,$B90,8),"")</f>
        <v/>
      </c>
      <c r="E90" s="274" t="str">
        <f t="array" ref="E90">IF($B90&gt;0,INDEX(DB,$B90,3),"")</f>
        <v/>
      </c>
      <c r="F90" s="275">
        <f t="array" ref="F90">IF($B90&gt;0,INDEX(DB,$B90,13),0)</f>
        <v>0</v>
      </c>
      <c r="G90" s="276">
        <f t="array" ref="G90">IF($B90&gt;0,INDEX(DB,$B90,17),0)</f>
        <v>0</v>
      </c>
      <c r="H90" s="277">
        <f t="array" ref="H90">IF($B90&gt;0,INDEX(DB,$B90,15),0)</f>
        <v>0</v>
      </c>
      <c r="I90" s="276">
        <f t="array" ref="I90">IF($B90&gt;0,INDEX(DB,$B90,19),0)</f>
        <v>0</v>
      </c>
      <c r="J90" s="277">
        <f t="array" ref="J90">IF($B90&gt;0,INDEX(DB,$B90,14),0)</f>
        <v>0</v>
      </c>
      <c r="K90" s="276">
        <f t="array" ref="K90">IF($B90&gt;0,INDEX(DB,$B90,18),0)</f>
        <v>0</v>
      </c>
      <c r="L90" s="275">
        <f t="array" ref="L90">IF($B90&gt;0,INDEX(DB,$B90,16),0)</f>
        <v>0</v>
      </c>
      <c r="M90" s="276">
        <f t="array" ref="M90">IF($B90&gt;0,INDEX(DB,$B90,20),0)</f>
        <v>0</v>
      </c>
      <c r="N90" s="278"/>
      <c r="O90" s="279">
        <f t="shared" si="1"/>
        <v>0</v>
      </c>
      <c r="P90" s="280"/>
      <c r="Q90" s="261" t="str">
        <f t="shared" si="2"/>
        <v>#REF!</v>
      </c>
      <c r="R90" s="281" t="str">
        <f>IF($AI90&gt;0,RANK($AI90,BoysPoints),0)</f>
        <v>#REF!</v>
      </c>
      <c r="S90" s="282" t="str">
        <f>IF($AJ90&gt;0,RANK($AJ90,GirlsPoints),0)</f>
        <v>#REF!</v>
      </c>
      <c r="T90" s="283">
        <f>IF($O90&gt;0,RANK(O90,AthletePoints),0)</f>
        <v>0</v>
      </c>
      <c r="U90" s="210"/>
      <c r="V90" s="415" t="str">
        <f>IF(O90&gt;=40,IF(X90="M",VLOOKUP(O90,UKABoysAwards,2),IF(X90="F",VLOOKUP(O90,UKAGirlsAwards,2),"")),"")</f>
        <v/>
      </c>
      <c r="W90" s="210"/>
      <c r="X90" s="266" t="str">
        <f t="array" ref="X90:X91">INDEX(DB,$B90,4)</f>
        <v>#REF!</v>
      </c>
      <c r="Y90" s="210"/>
      <c r="Z90" s="285" t="str">
        <f t="shared" si="3"/>
        <v>#REF!</v>
      </c>
      <c r="AA90" s="286" t="str">
        <f>IF($Z90&gt;=1,RANK($Z90,$Z85:$Z100),0)</f>
        <v>#REF!</v>
      </c>
      <c r="AB90" s="287" t="str">
        <f>IF(AA90&lt;=MaxS,INT(Z90),0)</f>
        <v>#REF!</v>
      </c>
      <c r="AC90" s="210"/>
      <c r="AD90" s="285" t="str">
        <f t="shared" si="4"/>
        <v>#REF!</v>
      </c>
      <c r="AE90" s="286" t="str">
        <f>IF($AD90&gt;=1,RANK($AD90,$AD85:$AD100),0)</f>
        <v>#REF!</v>
      </c>
      <c r="AF90" s="287" t="str">
        <f>IF(AE90&lt;=MaxS,INT(AD90),0)</f>
        <v>#REF!</v>
      </c>
      <c r="AG90" s="210"/>
      <c r="AH90" s="210"/>
      <c r="AI90" s="288" t="str">
        <f t="shared" si="5"/>
        <v>#REF!</v>
      </c>
      <c r="AJ90" s="289" t="str">
        <f t="shared" si="6"/>
        <v>#REF!</v>
      </c>
    </row>
    <row r="91" ht="15.0" customHeight="1">
      <c r="A91" s="272"/>
      <c r="B91" s="250">
        <f>IF(OR(ISNA(MATCH(C91&amp;"",AthleteNumbers,0)),ISBLANK(C91)),0,MATCH(C91&amp;"",AthleteNumbers,0))</f>
        <v>0</v>
      </c>
      <c r="C91" s="413"/>
      <c r="D91" s="273" t="str">
        <f t="array" ref="D91">IF($B91&gt;0,INDEX(DB,$B91,8),"")</f>
        <v/>
      </c>
      <c r="E91" s="274" t="str">
        <f t="array" ref="E91">IF($B91&gt;0,INDEX(DB,$B91,3),"")</f>
        <v/>
      </c>
      <c r="F91" s="275">
        <f t="array" ref="F91">IF($B91&gt;0,INDEX(DB,$B91,13),0)</f>
        <v>0</v>
      </c>
      <c r="G91" s="276">
        <f t="array" ref="G91">IF($B91&gt;0,INDEX(DB,$B91,17),0)</f>
        <v>0</v>
      </c>
      <c r="H91" s="277">
        <f t="array" ref="H91">IF($B91&gt;0,INDEX(DB,$B91,15),0)</f>
        <v>0</v>
      </c>
      <c r="I91" s="276">
        <f t="array" ref="I91">IF($B91&gt;0,INDEX(DB,$B91,19),0)</f>
        <v>0</v>
      </c>
      <c r="J91" s="277">
        <f t="array" ref="J91">IF($B91&gt;0,INDEX(DB,$B91,14),0)</f>
        <v>0</v>
      </c>
      <c r="K91" s="276">
        <f t="array" ref="K91">IF($B91&gt;0,INDEX(DB,$B91,18),0)</f>
        <v>0</v>
      </c>
      <c r="L91" s="275">
        <f t="array" ref="L91">IF($B91&gt;0,INDEX(DB,$B91,16),0)</f>
        <v>0</v>
      </c>
      <c r="M91" s="276">
        <f t="array" ref="M91">IF($B91&gt;0,INDEX(DB,$B91,20),0)</f>
        <v>0</v>
      </c>
      <c r="N91" s="278"/>
      <c r="O91" s="279">
        <f t="shared" si="1"/>
        <v>0</v>
      </c>
      <c r="P91" s="280"/>
      <c r="Q91" s="261" t="str">
        <f t="shared" si="2"/>
        <v>#REF!</v>
      </c>
      <c r="R91" s="290" t="str">
        <f>IF($AI91&gt;0,RANK($AI91,BoysPoints),0)</f>
        <v>#REF!</v>
      </c>
      <c r="S91" s="291" t="str">
        <f>IF($AJ91&gt;0,RANK($AJ91,GirlsPoints),0)</f>
        <v>#REF!</v>
      </c>
      <c r="T91" s="292">
        <f>IF($O91&gt;0,RANK(O91,AthletePoints),0)</f>
        <v>0</v>
      </c>
      <c r="U91" s="210"/>
      <c r="V91" s="330" t="str">
        <f>IF(O91&gt;=40,IF(X91="M",VLOOKUP(O91,UKABoysAwards,2),IF(X91="F",VLOOKUP(O91,UKAGirlsAwards,2),"")),"")</f>
        <v/>
      </c>
      <c r="W91" s="210"/>
      <c r="X91" s="266" t="str">
        <f t="array" ref="X91:X92">INDEX(DB,$B91,4)</f>
        <v>#REF!</v>
      </c>
      <c r="Y91" s="210"/>
      <c r="Z91" s="285" t="str">
        <f t="shared" si="3"/>
        <v>#REF!</v>
      </c>
      <c r="AA91" s="286" t="str">
        <f>IF($Z91&gt;=1,RANK($Z91,$Z85:$Z100),0)</f>
        <v>#REF!</v>
      </c>
      <c r="AB91" s="287" t="str">
        <f>IF(AA91&lt;=MaxS,INT(Z91),0)</f>
        <v>#REF!</v>
      </c>
      <c r="AC91" s="210"/>
      <c r="AD91" s="285" t="str">
        <f t="shared" si="4"/>
        <v>#REF!</v>
      </c>
      <c r="AE91" s="286" t="str">
        <f>IF($AD91&gt;=1,RANK($AD91,$AD85:$AD100),0)</f>
        <v>#REF!</v>
      </c>
      <c r="AF91" s="287" t="str">
        <f>IF(AE91&lt;=MaxS,INT(AD91),0)</f>
        <v>#REF!</v>
      </c>
      <c r="AG91" s="210"/>
      <c r="AH91" s="210"/>
      <c r="AI91" s="288" t="str">
        <f t="shared" si="5"/>
        <v>#REF!</v>
      </c>
      <c r="AJ91" s="289" t="str">
        <f t="shared" si="6"/>
        <v>#REF!</v>
      </c>
    </row>
    <row r="92" ht="15.0" customHeight="1">
      <c r="A92" s="272"/>
      <c r="B92" s="250">
        <f>IF(OR(ISNA(MATCH(C92&amp;"",AthleteNumbers,0)),ISBLANK(C92)),0,MATCH(C92&amp;"",AthleteNumbers,0))</f>
        <v>0</v>
      </c>
      <c r="C92" s="413"/>
      <c r="D92" s="273" t="str">
        <f t="array" ref="D92">IF($B92&gt;0,INDEX(DB,$B92,8),"")</f>
        <v/>
      </c>
      <c r="E92" s="274" t="str">
        <f t="array" ref="E92">IF($B92&gt;0,INDEX(DB,$B92,3),"")</f>
        <v/>
      </c>
      <c r="F92" s="275">
        <f t="array" ref="F92">IF($B92&gt;0,INDEX(DB,$B92,13),0)</f>
        <v>0</v>
      </c>
      <c r="G92" s="276">
        <f t="array" ref="G92">IF($B92&gt;0,INDEX(DB,$B92,17),0)</f>
        <v>0</v>
      </c>
      <c r="H92" s="277">
        <f t="array" ref="H92">IF($B92&gt;0,INDEX(DB,$B92,15),0)</f>
        <v>0</v>
      </c>
      <c r="I92" s="276">
        <f t="array" ref="I92">IF($B92&gt;0,INDEX(DB,$B92,19),0)</f>
        <v>0</v>
      </c>
      <c r="J92" s="277">
        <f t="array" ref="J92">IF($B92&gt;0,INDEX(DB,$B92,14),0)</f>
        <v>0</v>
      </c>
      <c r="K92" s="276">
        <f t="array" ref="K92">IF($B92&gt;0,INDEX(DB,$B92,18),0)</f>
        <v>0</v>
      </c>
      <c r="L92" s="275">
        <f t="array" ref="L92">IF($B92&gt;0,INDEX(DB,$B92,16),0)</f>
        <v>0</v>
      </c>
      <c r="M92" s="276">
        <f t="array" ref="M92">IF($B92&gt;0,INDEX(DB,$B92,20),0)</f>
        <v>0</v>
      </c>
      <c r="N92" s="278"/>
      <c r="O92" s="279">
        <f t="shared" si="1"/>
        <v>0</v>
      </c>
      <c r="P92" s="280"/>
      <c r="Q92" s="261" t="str">
        <f t="shared" si="2"/>
        <v>#REF!</v>
      </c>
      <c r="R92" s="281" t="str">
        <f>IF($AI92&gt;0,RANK($AI92,BoysPoints),0)</f>
        <v>#REF!</v>
      </c>
      <c r="S92" s="282" t="str">
        <f>IF($AJ92&gt;0,RANK($AJ92,GirlsPoints),0)</f>
        <v>#REF!</v>
      </c>
      <c r="T92" s="283">
        <f>IF($O92&gt;0,RANK(O92,AthletePoints),0)</f>
        <v>0</v>
      </c>
      <c r="U92" s="210"/>
      <c r="V92" s="415" t="str">
        <f>IF(O92&gt;=40,IF(X92="M",VLOOKUP(O92,UKABoysAwards,2),IF(X92="F",VLOOKUP(O92,UKAGirlsAwards,2),"")),"")</f>
        <v/>
      </c>
      <c r="W92" s="210"/>
      <c r="X92" s="266" t="str">
        <f t="array" ref="X92:X93">INDEX(DB,$B92,4)</f>
        <v>#REF!</v>
      </c>
      <c r="Y92" s="210"/>
      <c r="Z92" s="285" t="str">
        <f t="shared" si="3"/>
        <v>#REF!</v>
      </c>
      <c r="AA92" s="286" t="str">
        <f>IF($Z92&gt;=1,RANK($Z92,$Z85:$Z100),0)</f>
        <v>#REF!</v>
      </c>
      <c r="AB92" s="287" t="str">
        <f>IF(AA92&lt;=MaxS,INT(Z92),0)</f>
        <v>#REF!</v>
      </c>
      <c r="AC92" s="210"/>
      <c r="AD92" s="285" t="str">
        <f t="shared" si="4"/>
        <v>#REF!</v>
      </c>
      <c r="AE92" s="286" t="str">
        <f>IF($AD92&gt;=1,RANK($AD92,$AD85:$AD100),0)</f>
        <v>#REF!</v>
      </c>
      <c r="AF92" s="287" t="str">
        <f>IF(AE92&lt;=MaxS,INT(AD92),0)</f>
        <v>#REF!</v>
      </c>
      <c r="AG92" s="210"/>
      <c r="AH92" s="210"/>
      <c r="AI92" s="288" t="str">
        <f t="shared" si="5"/>
        <v>#REF!</v>
      </c>
      <c r="AJ92" s="289" t="str">
        <f t="shared" si="6"/>
        <v>#REF!</v>
      </c>
    </row>
    <row r="93" ht="15.0" customHeight="1">
      <c r="A93" s="272"/>
      <c r="B93" s="250">
        <f>IF(OR(ISNA(MATCH(C93&amp;"",AthleteNumbers,0)),ISBLANK(C93)),0,MATCH(C93&amp;"",AthleteNumbers,0))</f>
        <v>0</v>
      </c>
      <c r="C93" s="413"/>
      <c r="D93" s="273" t="str">
        <f t="array" ref="D93">IF($B93&gt;0,INDEX(DB,$B93,8),"")</f>
        <v/>
      </c>
      <c r="E93" s="274" t="str">
        <f t="array" ref="E93">IF($B93&gt;0,INDEX(DB,$B93,3),"")</f>
        <v/>
      </c>
      <c r="F93" s="275">
        <f t="array" ref="F93">IF($B93&gt;0,INDEX(DB,$B93,13),0)</f>
        <v>0</v>
      </c>
      <c r="G93" s="276">
        <f t="array" ref="G93">IF($B93&gt;0,INDEX(DB,$B93,17),0)</f>
        <v>0</v>
      </c>
      <c r="H93" s="277">
        <f t="array" ref="H93">IF($B93&gt;0,INDEX(DB,$B93,15),0)</f>
        <v>0</v>
      </c>
      <c r="I93" s="276">
        <f t="array" ref="I93">IF($B93&gt;0,INDEX(DB,$B93,19),0)</f>
        <v>0</v>
      </c>
      <c r="J93" s="277">
        <f t="array" ref="J93">IF($B93&gt;0,INDEX(DB,$B93,14),0)</f>
        <v>0</v>
      </c>
      <c r="K93" s="276">
        <f t="array" ref="K93">IF($B93&gt;0,INDEX(DB,$B93,18),0)</f>
        <v>0</v>
      </c>
      <c r="L93" s="275">
        <f t="array" ref="L93">IF($B93&gt;0,INDEX(DB,$B93,16),0)</f>
        <v>0</v>
      </c>
      <c r="M93" s="276">
        <f t="array" ref="M93">IF($B93&gt;0,INDEX(DB,$B93,20),0)</f>
        <v>0</v>
      </c>
      <c r="N93" s="278"/>
      <c r="O93" s="279">
        <f t="shared" si="1"/>
        <v>0</v>
      </c>
      <c r="P93" s="280"/>
      <c r="Q93" s="261" t="str">
        <f t="shared" si="2"/>
        <v>#REF!</v>
      </c>
      <c r="R93" s="290" t="str">
        <f>IF($AI93&gt;0,RANK($AI93,BoysPoints),0)</f>
        <v>#REF!</v>
      </c>
      <c r="S93" s="291" t="str">
        <f>IF($AJ93&gt;0,RANK($AJ93,GirlsPoints),0)</f>
        <v>#REF!</v>
      </c>
      <c r="T93" s="292">
        <f>IF($O93&gt;0,RANK(O93,AthletePoints),0)</f>
        <v>0</v>
      </c>
      <c r="U93" s="210"/>
      <c r="V93" s="330" t="str">
        <f>IF(O93&gt;=40,IF(X93="M",VLOOKUP(O93,UKABoysAwards,2),IF(X93="F",VLOOKUP(O93,UKAGirlsAwards,2),"")),"")</f>
        <v/>
      </c>
      <c r="W93" s="210"/>
      <c r="X93" s="266" t="str">
        <f t="array" ref="X93:X94">INDEX(DB,$B93,4)</f>
        <v>#REF!</v>
      </c>
      <c r="Y93" s="210"/>
      <c r="Z93" s="285" t="str">
        <f t="shared" si="3"/>
        <v>#REF!</v>
      </c>
      <c r="AA93" s="286" t="str">
        <f>IF($Z93&gt;=1,RANK($Z93,$Z85:$Z100),0)</f>
        <v>#REF!</v>
      </c>
      <c r="AB93" s="287" t="str">
        <f>IF(AA93&lt;=MaxS,INT(Z93),0)</f>
        <v>#REF!</v>
      </c>
      <c r="AC93" s="210"/>
      <c r="AD93" s="285" t="str">
        <f t="shared" si="4"/>
        <v>#REF!</v>
      </c>
      <c r="AE93" s="286" t="str">
        <f>IF($AD93&gt;=1,RANK($AD93,$AD85:$AD100),0)</f>
        <v>#REF!</v>
      </c>
      <c r="AF93" s="287" t="str">
        <f>IF(AE93&lt;=MaxS,INT(AD93),0)</f>
        <v>#REF!</v>
      </c>
      <c r="AG93" s="210"/>
      <c r="AH93" s="210"/>
      <c r="AI93" s="288" t="str">
        <f t="shared" si="5"/>
        <v>#REF!</v>
      </c>
      <c r="AJ93" s="289" t="str">
        <f t="shared" si="6"/>
        <v>#REF!</v>
      </c>
    </row>
    <row r="94" ht="15.0" customHeight="1">
      <c r="A94" s="272"/>
      <c r="B94" s="250">
        <f>IF(OR(ISNA(MATCH(C94&amp;"",AthleteNumbers,0)),ISBLANK(C94)),0,MATCH(C94&amp;"",AthleteNumbers,0))</f>
        <v>0</v>
      </c>
      <c r="C94" s="413"/>
      <c r="D94" s="273" t="str">
        <f t="array" ref="D94">IF($B94&gt;0,INDEX(DB,$B94,8),"")</f>
        <v/>
      </c>
      <c r="E94" s="274" t="str">
        <f t="array" ref="E94">IF($B94&gt;0,INDEX(DB,$B94,3),"")</f>
        <v/>
      </c>
      <c r="F94" s="275">
        <f t="array" ref="F94">IF($B94&gt;0,INDEX(DB,$B94,13),0)</f>
        <v>0</v>
      </c>
      <c r="G94" s="276">
        <f t="array" ref="G94">IF($B94&gt;0,INDEX(DB,$B94,17),0)</f>
        <v>0</v>
      </c>
      <c r="H94" s="277">
        <f t="array" ref="H94">IF($B94&gt;0,INDEX(DB,$B94,15),0)</f>
        <v>0</v>
      </c>
      <c r="I94" s="276">
        <f t="array" ref="I94">IF($B94&gt;0,INDEX(DB,$B94,19),0)</f>
        <v>0</v>
      </c>
      <c r="J94" s="277">
        <f t="array" ref="J94">IF($B94&gt;0,INDEX(DB,$B94,14),0)</f>
        <v>0</v>
      </c>
      <c r="K94" s="276">
        <f t="array" ref="K94">IF($B94&gt;0,INDEX(DB,$B94,18),0)</f>
        <v>0</v>
      </c>
      <c r="L94" s="275">
        <f t="array" ref="L94">IF($B94&gt;0,INDEX(DB,$B94,16),0)</f>
        <v>0</v>
      </c>
      <c r="M94" s="276">
        <f t="array" ref="M94">IF($B94&gt;0,INDEX(DB,$B94,20),0)</f>
        <v>0</v>
      </c>
      <c r="N94" s="278"/>
      <c r="O94" s="279">
        <f t="shared" si="1"/>
        <v>0</v>
      </c>
      <c r="P94" s="280"/>
      <c r="Q94" s="261" t="str">
        <f t="shared" si="2"/>
        <v>#REF!</v>
      </c>
      <c r="R94" s="281" t="str">
        <f>IF($AI94&gt;0,RANK($AI94,BoysPoints),0)</f>
        <v>#REF!</v>
      </c>
      <c r="S94" s="282" t="str">
        <f>IF($AJ94&gt;0,RANK($AJ94,GirlsPoints),0)</f>
        <v>#REF!</v>
      </c>
      <c r="T94" s="283">
        <f>IF($O94&gt;0,RANK(O94,AthletePoints),0)</f>
        <v>0</v>
      </c>
      <c r="U94" s="210"/>
      <c r="V94" s="415" t="str">
        <f>IF(O94&gt;=40,IF(X94="M",VLOOKUP(O94,UKABoysAwards,2),IF(X94="F",VLOOKUP(O94,UKAGirlsAwards,2),"")),"")</f>
        <v/>
      </c>
      <c r="W94" s="210"/>
      <c r="X94" s="266" t="str">
        <f t="array" ref="X94:X95">INDEX(DB,$B94,4)</f>
        <v>#REF!</v>
      </c>
      <c r="Y94" s="210"/>
      <c r="Z94" s="285" t="str">
        <f t="shared" si="3"/>
        <v>#REF!</v>
      </c>
      <c r="AA94" s="286" t="str">
        <f>IF($Z94&gt;=1,RANK($Z94,$Z85:$Z100),0)</f>
        <v>#REF!</v>
      </c>
      <c r="AB94" s="287" t="str">
        <f>IF(AA94&lt;=MaxS,INT(Z94),0)</f>
        <v>#REF!</v>
      </c>
      <c r="AC94" s="210"/>
      <c r="AD94" s="285" t="str">
        <f t="shared" si="4"/>
        <v>#REF!</v>
      </c>
      <c r="AE94" s="286" t="str">
        <f>IF($AD94&gt;=1,RANK($AD94,$AD85:$AD100),0)</f>
        <v>#REF!</v>
      </c>
      <c r="AF94" s="287" t="str">
        <f>IF(AE94&lt;=MaxS,INT(AD94),0)</f>
        <v>#REF!</v>
      </c>
      <c r="AG94" s="210"/>
      <c r="AH94" s="210"/>
      <c r="AI94" s="288" t="str">
        <f t="shared" si="5"/>
        <v>#REF!</v>
      </c>
      <c r="AJ94" s="289" t="str">
        <f t="shared" si="6"/>
        <v>#REF!</v>
      </c>
    </row>
    <row r="95" ht="15.0" customHeight="1">
      <c r="A95" s="272"/>
      <c r="B95" s="250">
        <f>IF(OR(ISNA(MATCH(C95&amp;"",AthleteNumbers,0)),ISBLANK(C95)),0,MATCH(C95&amp;"",AthleteNumbers,0))</f>
        <v>0</v>
      </c>
      <c r="C95" s="413"/>
      <c r="D95" s="273" t="str">
        <f t="array" ref="D95">IF($B95&gt;0,INDEX(DB,$B95,8),"")</f>
        <v/>
      </c>
      <c r="E95" s="274" t="str">
        <f t="array" ref="E95">IF($B95&gt;0,INDEX(DB,$B95,3),"")</f>
        <v/>
      </c>
      <c r="F95" s="275">
        <f t="array" ref="F95">IF($B95&gt;0,INDEX(DB,$B95,13),0)</f>
        <v>0</v>
      </c>
      <c r="G95" s="276">
        <f t="array" ref="G95">IF($B95&gt;0,INDEX(DB,$B95,17),0)</f>
        <v>0</v>
      </c>
      <c r="H95" s="277">
        <f t="array" ref="H95">IF($B95&gt;0,INDEX(DB,$B95,15),0)</f>
        <v>0</v>
      </c>
      <c r="I95" s="276">
        <f t="array" ref="I95">IF($B95&gt;0,INDEX(DB,$B95,19),0)</f>
        <v>0</v>
      </c>
      <c r="J95" s="277">
        <f t="array" ref="J95">IF($B95&gt;0,INDEX(DB,$B95,14),0)</f>
        <v>0</v>
      </c>
      <c r="K95" s="276">
        <f t="array" ref="K95">IF($B95&gt;0,INDEX(DB,$B95,18),0)</f>
        <v>0</v>
      </c>
      <c r="L95" s="275">
        <f t="array" ref="L95">IF($B95&gt;0,INDEX(DB,$B95,16),0)</f>
        <v>0</v>
      </c>
      <c r="M95" s="276">
        <f t="array" ref="M95">IF($B95&gt;0,INDEX(DB,$B95,20),0)</f>
        <v>0</v>
      </c>
      <c r="N95" s="278"/>
      <c r="O95" s="279">
        <f t="shared" si="1"/>
        <v>0</v>
      </c>
      <c r="P95" s="280"/>
      <c r="Q95" s="261" t="str">
        <f t="shared" si="2"/>
        <v>#REF!</v>
      </c>
      <c r="R95" s="290" t="str">
        <f>IF($AI95&gt;0,RANK($AI95,BoysPoints),0)</f>
        <v>#REF!</v>
      </c>
      <c r="S95" s="291" t="str">
        <f>IF($AJ95&gt;0,RANK($AJ95,GirlsPoints),0)</f>
        <v>#REF!</v>
      </c>
      <c r="T95" s="292">
        <f>IF($O95&gt;0,RANK(O95,AthletePoints),0)</f>
        <v>0</v>
      </c>
      <c r="U95" s="210"/>
      <c r="V95" s="330" t="str">
        <f>IF(O95&gt;=40,IF(X95="M",VLOOKUP(O95,UKABoysAwards,2),IF(X95="F",VLOOKUP(O95,UKAGirlsAwards,2),"")),"")</f>
        <v/>
      </c>
      <c r="W95" s="210"/>
      <c r="X95" s="266" t="str">
        <f t="array" ref="X95:X96">INDEX(DB,$B95,4)</f>
        <v>#REF!</v>
      </c>
      <c r="Y95" s="210"/>
      <c r="Z95" s="285" t="str">
        <f t="shared" si="3"/>
        <v>#REF!</v>
      </c>
      <c r="AA95" s="286" t="str">
        <f>IF($Z95&gt;=1,RANK($Z95,$Z85:$Z100),0)</f>
        <v>#REF!</v>
      </c>
      <c r="AB95" s="287" t="str">
        <f>IF(AA95&lt;=MaxS,INT(Z95),0)</f>
        <v>#REF!</v>
      </c>
      <c r="AC95" s="210"/>
      <c r="AD95" s="285" t="str">
        <f t="shared" si="4"/>
        <v>#REF!</v>
      </c>
      <c r="AE95" s="286" t="str">
        <f>IF($AD95&gt;=1,RANK($AD95,$AD85:$AD100),0)</f>
        <v>#REF!</v>
      </c>
      <c r="AF95" s="287" t="str">
        <f>IF(AE95&lt;=MaxS,INT(AD95),0)</f>
        <v>#REF!</v>
      </c>
      <c r="AG95" s="210"/>
      <c r="AH95" s="210"/>
      <c r="AI95" s="288" t="str">
        <f t="shared" si="5"/>
        <v>#REF!</v>
      </c>
      <c r="AJ95" s="289" t="str">
        <f t="shared" si="6"/>
        <v>#REF!</v>
      </c>
    </row>
    <row r="96" ht="15.0" customHeight="1">
      <c r="A96" s="272"/>
      <c r="B96" s="250">
        <f>IF(OR(ISNA(MATCH(C96&amp;"",AthleteNumbers,0)),ISBLANK(C96)),0,MATCH(C96&amp;"",AthleteNumbers,0))</f>
        <v>0</v>
      </c>
      <c r="C96" s="413"/>
      <c r="D96" s="273" t="str">
        <f t="array" ref="D96">IF($B96&gt;0,INDEX(DB,$B96,8),"")</f>
        <v/>
      </c>
      <c r="E96" s="274" t="str">
        <f t="array" ref="E96">IF($B96&gt;0,INDEX(DB,$B96,3),"")</f>
        <v/>
      </c>
      <c r="F96" s="275">
        <f t="array" ref="F96">IF($B96&gt;0,INDEX(DB,$B96,13),0)</f>
        <v>0</v>
      </c>
      <c r="G96" s="276">
        <f t="array" ref="G96">IF($B96&gt;0,INDEX(DB,$B96,17),0)</f>
        <v>0</v>
      </c>
      <c r="H96" s="277">
        <f t="array" ref="H96">IF($B96&gt;0,INDEX(DB,$B96,15),0)</f>
        <v>0</v>
      </c>
      <c r="I96" s="276">
        <f t="array" ref="I96">IF($B96&gt;0,INDEX(DB,$B96,19),0)</f>
        <v>0</v>
      </c>
      <c r="J96" s="277">
        <f t="array" ref="J96">IF($B96&gt;0,INDEX(DB,$B96,14),0)</f>
        <v>0</v>
      </c>
      <c r="K96" s="276">
        <f t="array" ref="K96">IF($B96&gt;0,INDEX(DB,$B96,18),0)</f>
        <v>0</v>
      </c>
      <c r="L96" s="275">
        <f t="array" ref="L96">IF($B96&gt;0,INDEX(DB,$B96,16),0)</f>
        <v>0</v>
      </c>
      <c r="M96" s="276">
        <f t="array" ref="M96">IF($B96&gt;0,INDEX(DB,$B96,20),0)</f>
        <v>0</v>
      </c>
      <c r="N96" s="278"/>
      <c r="O96" s="279">
        <f t="shared" si="1"/>
        <v>0</v>
      </c>
      <c r="P96" s="280"/>
      <c r="Q96" s="261" t="str">
        <f t="shared" si="2"/>
        <v>#REF!</v>
      </c>
      <c r="R96" s="281" t="str">
        <f>IF($AI96&gt;0,RANK($AI96,BoysPoints),0)</f>
        <v>#REF!</v>
      </c>
      <c r="S96" s="282" t="str">
        <f>IF($AJ96&gt;0,RANK($AJ96,GirlsPoints),0)</f>
        <v>#REF!</v>
      </c>
      <c r="T96" s="283">
        <f>IF($O96&gt;0,RANK(O96,AthletePoints),0)</f>
        <v>0</v>
      </c>
      <c r="U96" s="210"/>
      <c r="V96" s="415" t="str">
        <f>IF(O96&gt;=40,IF(X96="M",VLOOKUP(O96,UKABoysAwards,2),IF(X96="F",VLOOKUP(O96,UKAGirlsAwards,2),"")),"")</f>
        <v/>
      </c>
      <c r="W96" s="210"/>
      <c r="X96" s="266" t="str">
        <f t="array" ref="X96:X97">INDEX(DB,$B96,4)</f>
        <v>#REF!</v>
      </c>
      <c r="Y96" s="210"/>
      <c r="Z96" s="285" t="str">
        <f t="shared" si="3"/>
        <v>#REF!</v>
      </c>
      <c r="AA96" s="286" t="str">
        <f>IF($Z96&gt;=1,RANK($Z96,$Z85:$Z100),0)</f>
        <v>#REF!</v>
      </c>
      <c r="AB96" s="287" t="str">
        <f>IF(AA96&lt;=MaxS,INT(Z96),0)</f>
        <v>#REF!</v>
      </c>
      <c r="AC96" s="210"/>
      <c r="AD96" s="285" t="str">
        <f t="shared" si="4"/>
        <v>#REF!</v>
      </c>
      <c r="AE96" s="286" t="str">
        <f>IF($AD96&gt;=1,RANK($AD96,$AD85:$AD100),0)</f>
        <v>#REF!</v>
      </c>
      <c r="AF96" s="287" t="str">
        <f>IF(AE96&lt;=MaxS,INT(AD96),0)</f>
        <v>#REF!</v>
      </c>
      <c r="AG96" s="210"/>
      <c r="AH96" s="210"/>
      <c r="AI96" s="288" t="str">
        <f t="shared" si="5"/>
        <v>#REF!</v>
      </c>
      <c r="AJ96" s="289" t="str">
        <f t="shared" si="6"/>
        <v>#REF!</v>
      </c>
    </row>
    <row r="97" ht="15.0" customHeight="1">
      <c r="A97" s="272"/>
      <c r="B97" s="250">
        <f>IF(OR(ISNA(MATCH(C97&amp;"",AthleteNumbers,0)),ISBLANK(C97)),0,MATCH(C97&amp;"",AthleteNumbers,0))</f>
        <v>0</v>
      </c>
      <c r="C97" s="413"/>
      <c r="D97" s="273" t="str">
        <f t="array" ref="D97">IF($B97&gt;0,INDEX(DB,$B97,8),"")</f>
        <v/>
      </c>
      <c r="E97" s="274" t="str">
        <f t="array" ref="E97">IF($B97&gt;0,INDEX(DB,$B97,3),"")</f>
        <v/>
      </c>
      <c r="F97" s="275">
        <f t="array" ref="F97">IF($B97&gt;0,INDEX(DB,$B97,13),0)</f>
        <v>0</v>
      </c>
      <c r="G97" s="276">
        <f t="array" ref="G97">IF($B97&gt;0,INDEX(DB,$B97,17),0)</f>
        <v>0</v>
      </c>
      <c r="H97" s="277">
        <f t="array" ref="H97">IF($B97&gt;0,INDEX(DB,$B97,15),0)</f>
        <v>0</v>
      </c>
      <c r="I97" s="276">
        <f t="array" ref="I97">IF($B97&gt;0,INDEX(DB,$B97,19),0)</f>
        <v>0</v>
      </c>
      <c r="J97" s="277">
        <f t="array" ref="J97">IF($B97&gt;0,INDEX(DB,$B97,14),0)</f>
        <v>0</v>
      </c>
      <c r="K97" s="276">
        <f t="array" ref="K97">IF($B97&gt;0,INDEX(DB,$B97,18),0)</f>
        <v>0</v>
      </c>
      <c r="L97" s="275">
        <f t="array" ref="L97">IF($B97&gt;0,INDEX(DB,$B97,16),0)</f>
        <v>0</v>
      </c>
      <c r="M97" s="276">
        <f t="array" ref="M97">IF($B97&gt;0,INDEX(DB,$B97,20),0)</f>
        <v>0</v>
      </c>
      <c r="N97" s="278"/>
      <c r="O97" s="279">
        <f t="shared" si="1"/>
        <v>0</v>
      </c>
      <c r="P97" s="280"/>
      <c r="Q97" s="261" t="str">
        <f t="shared" si="2"/>
        <v>#REF!</v>
      </c>
      <c r="R97" s="290" t="str">
        <f>IF($AI97&gt;0,RANK($AI97,BoysPoints),0)</f>
        <v>#REF!</v>
      </c>
      <c r="S97" s="291" t="str">
        <f>IF($AJ97&gt;0,RANK($AJ97,GirlsPoints),0)</f>
        <v>#REF!</v>
      </c>
      <c r="T97" s="292">
        <f>IF($O97&gt;0,RANK(O97,AthletePoints),0)</f>
        <v>0</v>
      </c>
      <c r="U97" s="210"/>
      <c r="V97" s="330" t="str">
        <f>IF(O97&gt;=40,IF(X97="M",VLOOKUP(O97,UKABoysAwards,2),IF(X97="F",VLOOKUP(O97,UKAGirlsAwards,2),"")),"")</f>
        <v/>
      </c>
      <c r="W97" s="210"/>
      <c r="X97" s="266" t="str">
        <f t="array" ref="X97:X98">INDEX(DB,$B97,4)</f>
        <v>#REF!</v>
      </c>
      <c r="Y97" s="210"/>
      <c r="Z97" s="285" t="str">
        <f t="shared" si="3"/>
        <v>#REF!</v>
      </c>
      <c r="AA97" s="286" t="str">
        <f>IF($Z97&gt;=1,RANK($Z97,$Z85:$Z100),0)</f>
        <v>#REF!</v>
      </c>
      <c r="AB97" s="287" t="str">
        <f>IF(AA97&lt;=MaxS,INT(Z97),0)</f>
        <v>#REF!</v>
      </c>
      <c r="AC97" s="210"/>
      <c r="AD97" s="285" t="str">
        <f t="shared" si="4"/>
        <v>#REF!</v>
      </c>
      <c r="AE97" s="286" t="str">
        <f>IF($AD97&gt;=1,RANK($AD97,$AD85:$AD100),0)</f>
        <v>#REF!</v>
      </c>
      <c r="AF97" s="287" t="str">
        <f>IF(AE97&lt;=MaxS,INT(AD97),0)</f>
        <v>#REF!</v>
      </c>
      <c r="AG97" s="210"/>
      <c r="AH97" s="210"/>
      <c r="AI97" s="288" t="str">
        <f t="shared" si="5"/>
        <v>#REF!</v>
      </c>
      <c r="AJ97" s="289" t="str">
        <f t="shared" si="6"/>
        <v>#REF!</v>
      </c>
    </row>
    <row r="98" ht="15.0" customHeight="1">
      <c r="A98" s="272"/>
      <c r="B98" s="250">
        <f>IF(OR(ISNA(MATCH(C98&amp;"",AthleteNumbers,0)),ISBLANK(C98)),0,MATCH(C98&amp;"",AthleteNumbers,0))</f>
        <v>0</v>
      </c>
      <c r="C98" s="413"/>
      <c r="D98" s="273" t="str">
        <f t="array" ref="D98">IF($B98&gt;0,INDEX(DB,$B98,8),"")</f>
        <v/>
      </c>
      <c r="E98" s="274" t="str">
        <f t="array" ref="E98">IF($B98&gt;0,INDEX(DB,$B98,3),"")</f>
        <v/>
      </c>
      <c r="F98" s="275">
        <f t="array" ref="F98">IF($B98&gt;0,INDEX(DB,$B98,13),0)</f>
        <v>0</v>
      </c>
      <c r="G98" s="276">
        <f t="array" ref="G98">IF($B98&gt;0,INDEX(DB,$B98,17),0)</f>
        <v>0</v>
      </c>
      <c r="H98" s="277">
        <f t="array" ref="H98">IF($B98&gt;0,INDEX(DB,$B98,15),0)</f>
        <v>0</v>
      </c>
      <c r="I98" s="276">
        <f t="array" ref="I98">IF($B98&gt;0,INDEX(DB,$B98,19),0)</f>
        <v>0</v>
      </c>
      <c r="J98" s="277">
        <f t="array" ref="J98">IF($B98&gt;0,INDEX(DB,$B98,14),0)</f>
        <v>0</v>
      </c>
      <c r="K98" s="276">
        <f t="array" ref="K98">IF($B98&gt;0,INDEX(DB,$B98,18),0)</f>
        <v>0</v>
      </c>
      <c r="L98" s="275">
        <f t="array" ref="L98">IF($B98&gt;0,INDEX(DB,$B98,16),0)</f>
        <v>0</v>
      </c>
      <c r="M98" s="276">
        <f t="array" ref="M98">IF($B98&gt;0,INDEX(DB,$B98,20),0)</f>
        <v>0</v>
      </c>
      <c r="N98" s="278"/>
      <c r="O98" s="279">
        <f t="shared" si="1"/>
        <v>0</v>
      </c>
      <c r="P98" s="280"/>
      <c r="Q98" s="261" t="str">
        <f t="shared" si="2"/>
        <v>#REF!</v>
      </c>
      <c r="R98" s="281" t="str">
        <f>IF($AI98&gt;0,RANK($AI98,BoysPoints),0)</f>
        <v>#REF!</v>
      </c>
      <c r="S98" s="282" t="str">
        <f>IF($AJ98&gt;0,RANK($AJ98,GirlsPoints),0)</f>
        <v>#REF!</v>
      </c>
      <c r="T98" s="283">
        <f>IF($O98&gt;0,RANK(O98,AthletePoints),0)</f>
        <v>0</v>
      </c>
      <c r="U98" s="210"/>
      <c r="V98" s="415" t="str">
        <f>IF(O98&gt;=40,IF(X98="M",VLOOKUP(O98,UKABoysAwards,2),IF(X98="F",VLOOKUP(O98,UKAGirlsAwards,2),"")),"")</f>
        <v/>
      </c>
      <c r="W98" s="210"/>
      <c r="X98" s="266" t="str">
        <f t="array" ref="X98:X99">INDEX(DB,$B98,4)</f>
        <v>#REF!</v>
      </c>
      <c r="Y98" s="210"/>
      <c r="Z98" s="285" t="str">
        <f t="shared" si="3"/>
        <v>#REF!</v>
      </c>
      <c r="AA98" s="286" t="str">
        <f>IF($Z98&gt;=1,RANK($Z98,$Z85:$Z100),0)</f>
        <v>#REF!</v>
      </c>
      <c r="AB98" s="287" t="str">
        <f>IF(AA98&lt;=MaxS,INT(Z98),0)</f>
        <v>#REF!</v>
      </c>
      <c r="AC98" s="210"/>
      <c r="AD98" s="285" t="str">
        <f t="shared" si="4"/>
        <v>#REF!</v>
      </c>
      <c r="AE98" s="286" t="str">
        <f>IF($AD98&gt;=1,RANK($AD98,$AD85:$AD100),0)</f>
        <v>#REF!</v>
      </c>
      <c r="AF98" s="287" t="str">
        <f>IF(AE98&lt;=MaxS,INT(AD98),0)</f>
        <v>#REF!</v>
      </c>
      <c r="AG98" s="210"/>
      <c r="AH98" s="210"/>
      <c r="AI98" s="288" t="str">
        <f t="shared" si="5"/>
        <v>#REF!</v>
      </c>
      <c r="AJ98" s="289" t="str">
        <f t="shared" si="6"/>
        <v>#REF!</v>
      </c>
    </row>
    <row r="99" ht="15.0" customHeight="1">
      <c r="A99" s="272"/>
      <c r="B99" s="250">
        <f>IF(OR(ISNA(MATCH(C99&amp;"",AthleteNumbers,0)),ISBLANK(C99)),0,MATCH(C99&amp;"",AthleteNumbers,0))</f>
        <v>0</v>
      </c>
      <c r="C99" s="413"/>
      <c r="D99" s="273" t="str">
        <f t="array" ref="D99">IF($B99&gt;0,INDEX(DB,$B99,8),"")</f>
        <v/>
      </c>
      <c r="E99" s="274" t="str">
        <f t="array" ref="E99">IF($B99&gt;0,INDEX(DB,$B99,3),"")</f>
        <v/>
      </c>
      <c r="F99" s="275">
        <f t="array" ref="F99">IF($B99&gt;0,INDEX(DB,$B99,13),0)</f>
        <v>0</v>
      </c>
      <c r="G99" s="276">
        <f t="array" ref="G99">IF($B99&gt;0,INDEX(DB,$B99,17),0)</f>
        <v>0</v>
      </c>
      <c r="H99" s="277">
        <f t="array" ref="H99">IF($B99&gt;0,INDEX(DB,$B99,15),0)</f>
        <v>0</v>
      </c>
      <c r="I99" s="276">
        <f t="array" ref="I99">IF($B99&gt;0,INDEX(DB,$B99,19),0)</f>
        <v>0</v>
      </c>
      <c r="J99" s="277">
        <f t="array" ref="J99">IF($B99&gt;0,INDEX(DB,$B99,14),0)</f>
        <v>0</v>
      </c>
      <c r="K99" s="276">
        <f t="array" ref="K99">IF($B99&gt;0,INDEX(DB,$B99,18),0)</f>
        <v>0</v>
      </c>
      <c r="L99" s="275">
        <f t="array" ref="L99">IF($B99&gt;0,INDEX(DB,$B99,16),0)</f>
        <v>0</v>
      </c>
      <c r="M99" s="276">
        <f t="array" ref="M99">IF($B99&gt;0,INDEX(DB,$B99,20),0)</f>
        <v>0</v>
      </c>
      <c r="N99" s="278"/>
      <c r="O99" s="279">
        <f t="shared" si="1"/>
        <v>0</v>
      </c>
      <c r="P99" s="280"/>
      <c r="Q99" s="261" t="str">
        <f t="shared" si="2"/>
        <v>#REF!</v>
      </c>
      <c r="R99" s="290" t="str">
        <f>IF($AI99&gt;0,RANK($AI99,BoysPoints),0)</f>
        <v>#REF!</v>
      </c>
      <c r="S99" s="291" t="str">
        <f>IF($AJ99&gt;0,RANK($AJ99,GirlsPoints),0)</f>
        <v>#REF!</v>
      </c>
      <c r="T99" s="292">
        <f>IF($O99&gt;0,RANK(O99,AthletePoints),0)</f>
        <v>0</v>
      </c>
      <c r="U99" s="210"/>
      <c r="V99" s="330" t="str">
        <f>IF(O99&gt;=40,IF(X99="M",VLOOKUP(O99,UKABoysAwards,2),IF(X99="F",VLOOKUP(O99,UKAGirlsAwards,2),"")),"")</f>
        <v/>
      </c>
      <c r="W99" s="210"/>
      <c r="X99" s="266" t="str">
        <f t="array" ref="X99:X100">INDEX(DB,$B99,4)</f>
        <v>#REF!</v>
      </c>
      <c r="Y99" s="210"/>
      <c r="Z99" s="285" t="str">
        <f t="shared" si="3"/>
        <v>#REF!</v>
      </c>
      <c r="AA99" s="286" t="str">
        <f>IF($Z99&gt;=1,RANK($Z99,$Z85:$Z100),0)</f>
        <v>#REF!</v>
      </c>
      <c r="AB99" s="287" t="str">
        <f>IF(AA99&lt;=MaxS,INT(Z99),0)</f>
        <v>#REF!</v>
      </c>
      <c r="AC99" s="210"/>
      <c r="AD99" s="285" t="str">
        <f t="shared" si="4"/>
        <v>#REF!</v>
      </c>
      <c r="AE99" s="286" t="str">
        <f>IF($AD99&gt;=1,RANK($AD99,$AD85:$AD100),0)</f>
        <v>#REF!</v>
      </c>
      <c r="AF99" s="287" t="str">
        <f>IF(AE99&lt;=MaxS,INT(AD99),0)</f>
        <v>#REF!</v>
      </c>
      <c r="AG99" s="210"/>
      <c r="AH99" s="210"/>
      <c r="AI99" s="288" t="str">
        <f t="shared" si="5"/>
        <v>#REF!</v>
      </c>
      <c r="AJ99" s="289" t="str">
        <f t="shared" si="6"/>
        <v>#REF!</v>
      </c>
    </row>
    <row r="100" ht="15.0" customHeight="1">
      <c r="A100" s="305"/>
      <c r="B100" s="250">
        <f>IF(OR(ISNA(MATCH(C100&amp;"",AthleteNumbers,0)),ISBLANK(C100)),0,MATCH(C100&amp;"",AthleteNumbers,0))</f>
        <v>0</v>
      </c>
      <c r="C100" s="443"/>
      <c r="D100" s="306" t="str">
        <f t="array" ref="D100">IF($B100&gt;0,INDEX(DB,$B100,8),"")</f>
        <v/>
      </c>
      <c r="E100" s="307" t="str">
        <f t="array" ref="E100">IF($B100&gt;0,INDEX(DB,$B100,3),"")</f>
        <v/>
      </c>
      <c r="F100" s="308">
        <f t="array" ref="F100">IF($B100&gt;0,INDEX(DB,$B100,13),0)</f>
        <v>0</v>
      </c>
      <c r="G100" s="309">
        <f t="array" ref="G100">IF($B100&gt;0,INDEX(DB,$B100,17),0)</f>
        <v>0</v>
      </c>
      <c r="H100" s="310">
        <f t="array" ref="H100">IF($B100&gt;0,INDEX(DB,$B100,15),0)</f>
        <v>0</v>
      </c>
      <c r="I100" s="309">
        <f t="array" ref="I100">IF($B100&gt;0,INDEX(DB,$B100,19),0)</f>
        <v>0</v>
      </c>
      <c r="J100" s="310">
        <f t="array" ref="J100">IF($B100&gt;0,INDEX(DB,$B100,14),0)</f>
        <v>0</v>
      </c>
      <c r="K100" s="309">
        <f t="array" ref="K100">IF($B100&gt;0,INDEX(DB,$B100,18),0)</f>
        <v>0</v>
      </c>
      <c r="L100" s="308">
        <f t="array" ref="L100">IF($B100&gt;0,INDEX(DB,$B100,16),0)</f>
        <v>0</v>
      </c>
      <c r="M100" s="309">
        <f t="array" ref="M100">IF($B100&gt;0,INDEX(DB,$B100,20),0)</f>
        <v>0</v>
      </c>
      <c r="N100" s="25"/>
      <c r="O100" s="311">
        <f t="shared" si="1"/>
        <v>0</v>
      </c>
      <c r="P100" s="31"/>
      <c r="Q100" s="261" t="str">
        <f t="shared" si="2"/>
        <v>#REF!</v>
      </c>
      <c r="R100" s="312" t="str">
        <f>IF($AI100&gt;0,RANK($AI100,BoysPoints),0)</f>
        <v>#REF!</v>
      </c>
      <c r="S100" s="313" t="str">
        <f>IF($AJ100&gt;0,RANK($AJ100,GirlsPoints),0)</f>
        <v>#REF!</v>
      </c>
      <c r="T100" s="314">
        <f>IF($O100&gt;0,RANK(O100,AthletePoints),0)</f>
        <v>0</v>
      </c>
      <c r="U100" s="210"/>
      <c r="V100" s="444" t="str">
        <f>IF(O100&gt;=40,IF(X100="M",VLOOKUP(O100,UKABoysAwards,2),IF(X100="F",VLOOKUP(O100,UKAGirlsAwards,2),"")),"")</f>
        <v/>
      </c>
      <c r="W100" s="210"/>
      <c r="X100" s="266" t="str">
        <f t="array" ref="X100:X101">INDEX(DB,$B100,4)</f>
        <v>#REF!</v>
      </c>
      <c r="Y100" s="210"/>
      <c r="Z100" s="316" t="str">
        <f t="shared" si="3"/>
        <v>#REF!</v>
      </c>
      <c r="AA100" s="243" t="str">
        <f>IF($Z100&gt;=1,RANK($Z100,$Z85:$Z100),0)</f>
        <v>#REF!</v>
      </c>
      <c r="AB100" s="245" t="str">
        <f>IF(AA100&lt;=MaxS,INT(Z100),0)</f>
        <v>#REF!</v>
      </c>
      <c r="AC100" s="210" t="str">
        <f>SUM(AB85:AB100)</f>
        <v>#REF!</v>
      </c>
      <c r="AD100" s="316" t="str">
        <f t="shared" si="4"/>
        <v>#REF!</v>
      </c>
      <c r="AE100" s="243" t="str">
        <f>IF($AD100&gt;=1,RANK($AD100,$AD85:$AD100),0)</f>
        <v>#REF!</v>
      </c>
      <c r="AF100" s="245" t="str">
        <f>IF(AE100&lt;=MaxS,INT(AD100),0)</f>
        <v>#REF!</v>
      </c>
      <c r="AG100" s="210" t="str">
        <f>SUM(AF85:AF100)</f>
        <v>#REF!</v>
      </c>
      <c r="AH100" s="210"/>
      <c r="AI100" s="246" t="str">
        <f t="shared" si="5"/>
        <v>#REF!</v>
      </c>
      <c r="AJ100" s="247" t="str">
        <f t="shared" si="6"/>
        <v>#REF!</v>
      </c>
    </row>
    <row r="101" ht="15.0" customHeight="1">
      <c r="A101" s="248"/>
      <c r="B101" s="250">
        <f>IF(OR(ISNA(MATCH(C101&amp;"",AthleteNumbers,0)),ISBLANK(C101)),0,MATCH(C101&amp;"",AthleteNumbers,0))</f>
        <v>0</v>
      </c>
      <c r="C101" s="251"/>
      <c r="D101" s="252" t="str">
        <f t="array" ref="D101">IF($B101&gt;0,INDEX(DB,$B101,8),"")</f>
        <v/>
      </c>
      <c r="E101" s="253" t="str">
        <f t="array" ref="E101">IF($B101&gt;0,INDEX(DB,$B101,3),"")</f>
        <v/>
      </c>
      <c r="F101" s="254">
        <f t="array" ref="F101">IF($B101&gt;0,INDEX(DB,$B101,13),0)</f>
        <v>0</v>
      </c>
      <c r="G101" s="255">
        <f t="array" ref="G101">IF($B101&gt;0,INDEX(DB,$B101,17),0)</f>
        <v>0</v>
      </c>
      <c r="H101" s="257">
        <f t="array" ref="H101">IF($B101&gt;0,INDEX(DB,$B101,15),0)</f>
        <v>0</v>
      </c>
      <c r="I101" s="255">
        <f t="array" ref="I101">IF($B101&gt;0,INDEX(DB,$B101,19),0)</f>
        <v>0</v>
      </c>
      <c r="J101" s="257">
        <f t="array" ref="J101">IF($B101&gt;0,INDEX(DB,$B101,14),0)</f>
        <v>0</v>
      </c>
      <c r="K101" s="255">
        <f t="array" ref="K101">IF($B101&gt;0,INDEX(DB,$B101,18),0)</f>
        <v>0</v>
      </c>
      <c r="L101" s="254">
        <f t="array" ref="L101">IF($B101&gt;0,INDEX(DB,$B101,16),0)</f>
        <v>0</v>
      </c>
      <c r="M101" s="255">
        <f t="array" ref="M101">IF($B101&gt;0,INDEX(DB,$B101,20),0)</f>
        <v>0</v>
      </c>
      <c r="N101" s="258" t="str">
        <f t="array" ref="N101:N117">INDEX(RelayPoints,A116)</f>
        <v>#REF!</v>
      </c>
      <c r="O101" s="259">
        <f t="shared" si="1"/>
        <v>0</v>
      </c>
      <c r="P101" s="260" t="str">
        <f>+AC116+AG116+N101</f>
        <v>#REF!</v>
      </c>
      <c r="Q101" s="261" t="str">
        <f t="shared" si="2"/>
        <v>#REF!</v>
      </c>
      <c r="R101" s="262" t="str">
        <f>IF($AI101&gt;0,RANK($AI101,BoysPoints),0)</f>
        <v>#REF!</v>
      </c>
      <c r="S101" s="263" t="str">
        <f>IF($AJ101&gt;0,RANK($AJ101,GirlsPoints),0)</f>
        <v>#REF!</v>
      </c>
      <c r="T101" s="264">
        <f>IF($O101&gt;0,RANK(O101,AthletePoints),0)</f>
        <v>0</v>
      </c>
      <c r="U101" s="210"/>
      <c r="V101" s="317" t="str">
        <f>IF(O101&gt;=40,IF(X101="M",VLOOKUP(O101,UKABoysAwards,2),IF(X101="F",VLOOKUP(O101,UKAGirlsAwards,2),"")),"")</f>
        <v/>
      </c>
      <c r="W101" s="210"/>
      <c r="X101" s="266" t="str">
        <f t="array" ref="X101:X102">INDEX(DB,$B101,4)</f>
        <v>#REF!</v>
      </c>
      <c r="Y101" s="210"/>
      <c r="Z101" s="267" t="str">
        <f t="shared" si="3"/>
        <v>#REF!</v>
      </c>
      <c r="AA101" s="268" t="str">
        <f>IF($Z101&gt;=1,RANK($Z101,$Z101:$Z116),0)</f>
        <v>#REF!</v>
      </c>
      <c r="AB101" s="269" t="str">
        <f>IF(AA101&lt;=MaxS,INT(Z101),0)</f>
        <v>#REF!</v>
      </c>
      <c r="AC101" s="210"/>
      <c r="AD101" s="267" t="str">
        <f t="shared" si="4"/>
        <v>#REF!</v>
      </c>
      <c r="AE101" s="268" t="str">
        <f>IF($AD101&gt;=1,RANK($AD101,$AD101:$AD116),0)</f>
        <v>#REF!</v>
      </c>
      <c r="AF101" s="269" t="str">
        <f>IF(AE101&lt;=MaxS,INT(AD101),0)</f>
        <v>#REF!</v>
      </c>
      <c r="AG101" s="210"/>
      <c r="AH101" s="210"/>
      <c r="AI101" s="288" t="str">
        <f t="shared" si="5"/>
        <v>#REF!</v>
      </c>
      <c r="AJ101" s="289" t="str">
        <f t="shared" si="6"/>
        <v>#REF!</v>
      </c>
    </row>
    <row r="102" ht="15.0" customHeight="1">
      <c r="A102" s="272"/>
      <c r="B102" s="250">
        <f>IF(OR(ISNA(MATCH(C102&amp;"",AthleteNumbers,0)),ISBLANK(C102)),0,MATCH(C102&amp;"",AthleteNumbers,0))</f>
        <v>0</v>
      </c>
      <c r="C102" s="413"/>
      <c r="D102" s="273" t="str">
        <f t="array" ref="D102">IF($B102&gt;0,INDEX(DB,$B102,8),"")</f>
        <v/>
      </c>
      <c r="E102" s="274" t="str">
        <f t="array" ref="E102">IF($B102&gt;0,INDEX(DB,$B102,3),"")</f>
        <v/>
      </c>
      <c r="F102" s="275">
        <f t="array" ref="F102">IF($B102&gt;0,INDEX(DB,$B102,13),0)</f>
        <v>0</v>
      </c>
      <c r="G102" s="276">
        <f t="array" ref="G102">IF($B102&gt;0,INDEX(DB,$B102,17),0)</f>
        <v>0</v>
      </c>
      <c r="H102" s="277">
        <f t="array" ref="H102">IF($B102&gt;0,INDEX(DB,$B102,15),0)</f>
        <v>0</v>
      </c>
      <c r="I102" s="276">
        <f t="array" ref="I102">IF($B102&gt;0,INDEX(DB,$B102,19),0)</f>
        <v>0</v>
      </c>
      <c r="J102" s="277">
        <f t="array" ref="J102">IF($B102&gt;0,INDEX(DB,$B102,14),0)</f>
        <v>0</v>
      </c>
      <c r="K102" s="276">
        <f t="array" ref="K102">IF($B102&gt;0,INDEX(DB,$B102,18),0)</f>
        <v>0</v>
      </c>
      <c r="L102" s="275">
        <f t="array" ref="L102">IF($B102&gt;0,INDEX(DB,$B102,16),0)</f>
        <v>0</v>
      </c>
      <c r="M102" s="276">
        <f t="array" ref="M102">IF($B102&gt;0,INDEX(DB,$B102,20),0)</f>
        <v>0</v>
      </c>
      <c r="N102" s="278"/>
      <c r="O102" s="279">
        <f t="shared" si="1"/>
        <v>0</v>
      </c>
      <c r="P102" s="280"/>
      <c r="Q102" s="261" t="str">
        <f t="shared" si="2"/>
        <v>#REF!</v>
      </c>
      <c r="R102" s="281" t="str">
        <f>IF($AI102&gt;0,RANK($AI102,BoysPoints),0)</f>
        <v>#REF!</v>
      </c>
      <c r="S102" s="282" t="str">
        <f>IF($AJ102&gt;0,RANK($AJ102,GirlsPoints),0)</f>
        <v>#REF!</v>
      </c>
      <c r="T102" s="283">
        <f>IF($O102&gt;0,RANK(O102,AthletePoints),0)</f>
        <v>0</v>
      </c>
      <c r="U102" s="210"/>
      <c r="V102" s="415" t="str">
        <f>IF(O102&gt;=40,IF(X102="M",VLOOKUP(O102,UKABoysAwards,2),IF(X102="F",VLOOKUP(O102,UKAGirlsAwards,2),"")),"")</f>
        <v/>
      </c>
      <c r="W102" s="210"/>
      <c r="X102" s="266" t="str">
        <f t="array" ref="X102:X103">INDEX(DB,$B102,4)</f>
        <v>#REF!</v>
      </c>
      <c r="Y102" s="210"/>
      <c r="Z102" s="285" t="str">
        <f t="shared" si="3"/>
        <v>#REF!</v>
      </c>
      <c r="AA102" s="286" t="str">
        <f>IF($Z102&gt;=1,RANK($Z102,$Z101:$Z116),0)</f>
        <v>#REF!</v>
      </c>
      <c r="AB102" s="287" t="str">
        <f>IF(AA102&lt;=MaxS,INT(Z102),0)</f>
        <v>#REF!</v>
      </c>
      <c r="AC102" s="210"/>
      <c r="AD102" s="285" t="str">
        <f t="shared" si="4"/>
        <v>#REF!</v>
      </c>
      <c r="AE102" s="286" t="str">
        <f>IF($AD102&gt;=1,RANK($AD102,$AD101:$AD116),0)</f>
        <v>#REF!</v>
      </c>
      <c r="AF102" s="287" t="str">
        <f>IF(AE102&lt;=MaxS,INT(AD102),0)</f>
        <v>#REF!</v>
      </c>
      <c r="AG102" s="210"/>
      <c r="AH102" s="210"/>
      <c r="AI102" s="288" t="str">
        <f t="shared" si="5"/>
        <v>#REF!</v>
      </c>
      <c r="AJ102" s="289" t="str">
        <f t="shared" si="6"/>
        <v>#REF!</v>
      </c>
    </row>
    <row r="103" ht="15.0" customHeight="1">
      <c r="A103" s="272"/>
      <c r="B103" s="250">
        <f>IF(OR(ISNA(MATCH(C103&amp;"",AthleteNumbers,0)),ISBLANK(C103)),0,MATCH(C103&amp;"",AthleteNumbers,0))</f>
        <v>0</v>
      </c>
      <c r="C103" s="413"/>
      <c r="D103" s="273" t="str">
        <f t="array" ref="D103">IF($B103&gt;0,INDEX(DB,$B103,8),"")</f>
        <v/>
      </c>
      <c r="E103" s="274" t="str">
        <f t="array" ref="E103">IF($B103&gt;0,INDEX(DB,$B103,3),"")</f>
        <v/>
      </c>
      <c r="F103" s="275">
        <f t="array" ref="F103">IF($B103&gt;0,INDEX(DB,$B103,13),0)</f>
        <v>0</v>
      </c>
      <c r="G103" s="276">
        <f t="array" ref="G103">IF($B103&gt;0,INDEX(DB,$B103,17),0)</f>
        <v>0</v>
      </c>
      <c r="H103" s="277">
        <f t="array" ref="H103">IF($B103&gt;0,INDEX(DB,$B103,15),0)</f>
        <v>0</v>
      </c>
      <c r="I103" s="276">
        <f t="array" ref="I103">IF($B103&gt;0,INDEX(DB,$B103,19),0)</f>
        <v>0</v>
      </c>
      <c r="J103" s="277">
        <f t="array" ref="J103">IF($B103&gt;0,INDEX(DB,$B103,14),0)</f>
        <v>0</v>
      </c>
      <c r="K103" s="276">
        <f t="array" ref="K103">IF($B103&gt;0,INDEX(DB,$B103,18),0)</f>
        <v>0</v>
      </c>
      <c r="L103" s="275">
        <f t="array" ref="L103">IF($B103&gt;0,INDEX(DB,$B103,16),0)</f>
        <v>0</v>
      </c>
      <c r="M103" s="276">
        <f t="array" ref="M103">IF($B103&gt;0,INDEX(DB,$B103,20),0)</f>
        <v>0</v>
      </c>
      <c r="N103" s="278"/>
      <c r="O103" s="279">
        <f t="shared" si="1"/>
        <v>0</v>
      </c>
      <c r="P103" s="280"/>
      <c r="Q103" s="261" t="str">
        <f t="shared" si="2"/>
        <v>#REF!</v>
      </c>
      <c r="R103" s="290" t="str">
        <f>IF($AI103&gt;0,RANK($AI103,BoysPoints),0)</f>
        <v>#REF!</v>
      </c>
      <c r="S103" s="291" t="str">
        <f>IF($AJ103&gt;0,RANK($AJ103,GirlsPoints),0)</f>
        <v>#REF!</v>
      </c>
      <c r="T103" s="292">
        <f>IF($O103&gt;0,RANK(O103,AthletePoints),0)</f>
        <v>0</v>
      </c>
      <c r="U103" s="210"/>
      <c r="V103" s="330" t="str">
        <f>IF(O103&gt;=40,IF(X103="M",VLOOKUP(O103,UKABoysAwards,2),IF(X103="F",VLOOKUP(O103,UKAGirlsAwards,2),"")),"")</f>
        <v/>
      </c>
      <c r="W103" s="210"/>
      <c r="X103" s="266" t="str">
        <f t="array" ref="X103:X104">INDEX(DB,$B103,4)</f>
        <v>#REF!</v>
      </c>
      <c r="Y103" s="210"/>
      <c r="Z103" s="285" t="str">
        <f t="shared" si="3"/>
        <v>#REF!</v>
      </c>
      <c r="AA103" s="286" t="str">
        <f>IF($Z103&gt;=1,RANK($Z103,$Z101:$Z116),0)</f>
        <v>#REF!</v>
      </c>
      <c r="AB103" s="287" t="str">
        <f>IF(AA103&lt;=MaxS,INT(Z103),0)</f>
        <v>#REF!</v>
      </c>
      <c r="AC103" s="210"/>
      <c r="AD103" s="285" t="str">
        <f t="shared" si="4"/>
        <v>#REF!</v>
      </c>
      <c r="AE103" s="286" t="str">
        <f>IF($AD103&gt;=1,RANK($AD103,$AD101:$AD116),0)</f>
        <v>#REF!</v>
      </c>
      <c r="AF103" s="287" t="str">
        <f>IF(AE103&lt;=MaxS,INT(AD103),0)</f>
        <v>#REF!</v>
      </c>
      <c r="AG103" s="210"/>
      <c r="AH103" s="210"/>
      <c r="AI103" s="288" t="str">
        <f t="shared" si="5"/>
        <v>#REF!</v>
      </c>
      <c r="AJ103" s="289" t="str">
        <f t="shared" si="6"/>
        <v>#REF!</v>
      </c>
    </row>
    <row r="104" ht="15.0" customHeight="1">
      <c r="A104" s="272"/>
      <c r="B104" s="250">
        <f>IF(OR(ISNA(MATCH(C104&amp;"",AthleteNumbers,0)),ISBLANK(C104)),0,MATCH(C104&amp;"",AthleteNumbers,0))</f>
        <v>0</v>
      </c>
      <c r="C104" s="413"/>
      <c r="D104" s="273" t="str">
        <f t="array" ref="D104">IF($B104&gt;0,INDEX(DB,$B104,8),"")</f>
        <v/>
      </c>
      <c r="E104" s="274" t="str">
        <f t="array" ref="E104">IF($B104&gt;0,INDEX(DB,$B104,3),"")</f>
        <v/>
      </c>
      <c r="F104" s="275">
        <f t="array" ref="F104">IF($B104&gt;0,INDEX(DB,$B104,13),0)</f>
        <v>0</v>
      </c>
      <c r="G104" s="276">
        <f t="array" ref="G104">IF($B104&gt;0,INDEX(DB,$B104,17),0)</f>
        <v>0</v>
      </c>
      <c r="H104" s="277">
        <f t="array" ref="H104">IF($B104&gt;0,INDEX(DB,$B104,15),0)</f>
        <v>0</v>
      </c>
      <c r="I104" s="276">
        <f t="array" ref="I104">IF($B104&gt;0,INDEX(DB,$B104,19),0)</f>
        <v>0</v>
      </c>
      <c r="J104" s="277">
        <f t="array" ref="J104">IF($B104&gt;0,INDEX(DB,$B104,14),0)</f>
        <v>0</v>
      </c>
      <c r="K104" s="276">
        <f t="array" ref="K104">IF($B104&gt;0,INDEX(DB,$B104,18),0)</f>
        <v>0</v>
      </c>
      <c r="L104" s="275">
        <f t="array" ref="L104">IF($B104&gt;0,INDEX(DB,$B104,16),0)</f>
        <v>0</v>
      </c>
      <c r="M104" s="276">
        <f t="array" ref="M104">IF($B104&gt;0,INDEX(DB,$B104,20),0)</f>
        <v>0</v>
      </c>
      <c r="N104" s="278"/>
      <c r="O104" s="279">
        <f t="shared" si="1"/>
        <v>0</v>
      </c>
      <c r="P104" s="280"/>
      <c r="Q104" s="261" t="str">
        <f t="shared" si="2"/>
        <v>#REF!</v>
      </c>
      <c r="R104" s="281" t="str">
        <f>IF($AI104&gt;0,RANK($AI104,BoysPoints),0)</f>
        <v>#REF!</v>
      </c>
      <c r="S104" s="282" t="str">
        <f>IF($AJ104&gt;0,RANK($AJ104,GirlsPoints),0)</f>
        <v>#REF!</v>
      </c>
      <c r="T104" s="283">
        <f>IF($O104&gt;0,RANK(O104,AthletePoints),0)</f>
        <v>0</v>
      </c>
      <c r="U104" s="210"/>
      <c r="V104" s="415" t="str">
        <f>IF(O104&gt;=40,IF(X104="M",VLOOKUP(O104,UKABoysAwards,2),IF(X104="F",VLOOKUP(O104,UKAGirlsAwards,2),"")),"")</f>
        <v/>
      </c>
      <c r="W104" s="210"/>
      <c r="X104" s="266" t="str">
        <f t="array" ref="X104:X105">INDEX(DB,$B104,4)</f>
        <v>#REF!</v>
      </c>
      <c r="Y104" s="210"/>
      <c r="Z104" s="285" t="str">
        <f t="shared" si="3"/>
        <v>#REF!</v>
      </c>
      <c r="AA104" s="286" t="str">
        <f>IF($Z104&gt;=1,RANK($Z104,$Z101:$Z116),0)</f>
        <v>#REF!</v>
      </c>
      <c r="AB104" s="287" t="str">
        <f>IF(AA104&lt;=MaxS,INT(Z104),0)</f>
        <v>#REF!</v>
      </c>
      <c r="AC104" s="210"/>
      <c r="AD104" s="285" t="str">
        <f t="shared" si="4"/>
        <v>#REF!</v>
      </c>
      <c r="AE104" s="286" t="str">
        <f>IF($AD104&gt;=1,RANK($AD104,$AD101:$AD116),0)</f>
        <v>#REF!</v>
      </c>
      <c r="AF104" s="287" t="str">
        <f>IF(AE104&lt;=MaxS,INT(AD104),0)</f>
        <v>#REF!</v>
      </c>
      <c r="AG104" s="210"/>
      <c r="AH104" s="210"/>
      <c r="AI104" s="288" t="str">
        <f t="shared" si="5"/>
        <v>#REF!</v>
      </c>
      <c r="AJ104" s="289" t="str">
        <f t="shared" si="6"/>
        <v>#REF!</v>
      </c>
    </row>
    <row r="105" ht="15.0" customHeight="1">
      <c r="A105" s="272"/>
      <c r="B105" s="250">
        <f>IF(OR(ISNA(MATCH(C105&amp;"",AthleteNumbers,0)),ISBLANK(C105)),0,MATCH(C105&amp;"",AthleteNumbers,0))</f>
        <v>0</v>
      </c>
      <c r="C105" s="413"/>
      <c r="D105" s="273" t="str">
        <f t="array" ref="D105">IF($B105&gt;0,INDEX(DB,$B105,8),"")</f>
        <v/>
      </c>
      <c r="E105" s="274" t="str">
        <f t="array" ref="E105">IF($B105&gt;0,INDEX(DB,$B105,3),"")</f>
        <v/>
      </c>
      <c r="F105" s="275">
        <f t="array" ref="F105">IF($B105&gt;0,INDEX(DB,$B105,13),0)</f>
        <v>0</v>
      </c>
      <c r="G105" s="276">
        <f t="array" ref="G105">IF($B105&gt;0,INDEX(DB,$B105,17),0)</f>
        <v>0</v>
      </c>
      <c r="H105" s="277">
        <f t="array" ref="H105">IF($B105&gt;0,INDEX(DB,$B105,15),0)</f>
        <v>0</v>
      </c>
      <c r="I105" s="276">
        <f t="array" ref="I105">IF($B105&gt;0,INDEX(DB,$B105,19),0)</f>
        <v>0</v>
      </c>
      <c r="J105" s="277">
        <f t="array" ref="J105">IF($B105&gt;0,INDEX(DB,$B105,14),0)</f>
        <v>0</v>
      </c>
      <c r="K105" s="276">
        <f t="array" ref="K105">IF($B105&gt;0,INDEX(DB,$B105,18),0)</f>
        <v>0</v>
      </c>
      <c r="L105" s="275">
        <f t="array" ref="L105">IF($B105&gt;0,INDEX(DB,$B105,16),0)</f>
        <v>0</v>
      </c>
      <c r="M105" s="276">
        <f t="array" ref="M105">IF($B105&gt;0,INDEX(DB,$B105,20),0)</f>
        <v>0</v>
      </c>
      <c r="N105" s="278"/>
      <c r="O105" s="279">
        <f t="shared" si="1"/>
        <v>0</v>
      </c>
      <c r="P105" s="280"/>
      <c r="Q105" s="261" t="str">
        <f t="shared" si="2"/>
        <v>#REF!</v>
      </c>
      <c r="R105" s="290" t="str">
        <f>IF($AI105&gt;0,RANK($AI105,BoysPoints),0)</f>
        <v>#REF!</v>
      </c>
      <c r="S105" s="291" t="str">
        <f>IF($AJ105&gt;0,RANK($AJ105,GirlsPoints),0)</f>
        <v>#REF!</v>
      </c>
      <c r="T105" s="292">
        <f>IF($O105&gt;0,RANK(O105,AthletePoints),0)</f>
        <v>0</v>
      </c>
      <c r="U105" s="210"/>
      <c r="V105" s="330" t="str">
        <f>IF(O105&gt;=40,IF(X105="M",VLOOKUP(O105,UKABoysAwards,2),IF(X105="F",VLOOKUP(O105,UKAGirlsAwards,2),"")),"")</f>
        <v/>
      </c>
      <c r="W105" s="210"/>
      <c r="X105" s="266" t="str">
        <f t="array" ref="X105:X106">INDEX(DB,$B105,4)</f>
        <v>#REF!</v>
      </c>
      <c r="Y105" s="210"/>
      <c r="Z105" s="285" t="str">
        <f t="shared" si="3"/>
        <v>#REF!</v>
      </c>
      <c r="AA105" s="286" t="str">
        <f>IF($Z105&gt;=1,RANK($Z105,$Z101:$Z116),0)</f>
        <v>#REF!</v>
      </c>
      <c r="AB105" s="287" t="str">
        <f>IF(AA105&lt;=MaxS,INT(Z105),0)</f>
        <v>#REF!</v>
      </c>
      <c r="AC105" s="210"/>
      <c r="AD105" s="285" t="str">
        <f t="shared" si="4"/>
        <v>#REF!</v>
      </c>
      <c r="AE105" s="286" t="str">
        <f>IF($AD105&gt;=1,RANK($AD105,$AD101:$AD116),0)</f>
        <v>#REF!</v>
      </c>
      <c r="AF105" s="287" t="str">
        <f>IF(AE105&lt;=MaxS,INT(AD105),0)</f>
        <v>#REF!</v>
      </c>
      <c r="AG105" s="210"/>
      <c r="AH105" s="210"/>
      <c r="AI105" s="288" t="str">
        <f t="shared" si="5"/>
        <v>#REF!</v>
      </c>
      <c r="AJ105" s="289" t="str">
        <f t="shared" si="6"/>
        <v>#REF!</v>
      </c>
    </row>
    <row r="106" ht="15.0" customHeight="1">
      <c r="A106" s="272"/>
      <c r="B106" s="250">
        <f>IF(OR(ISNA(MATCH(C106&amp;"",AthleteNumbers,0)),ISBLANK(C106)),0,MATCH(C106&amp;"",AthleteNumbers,0))</f>
        <v>0</v>
      </c>
      <c r="C106" s="413"/>
      <c r="D106" s="273" t="str">
        <f t="array" ref="D106">IF($B106&gt;0,INDEX(DB,$B106,8),"")</f>
        <v/>
      </c>
      <c r="E106" s="274" t="str">
        <f t="array" ref="E106">IF($B106&gt;0,INDEX(DB,$B106,3),"")</f>
        <v/>
      </c>
      <c r="F106" s="275">
        <f t="array" ref="F106">IF($B106&gt;0,INDEX(DB,$B106,13),0)</f>
        <v>0</v>
      </c>
      <c r="G106" s="276">
        <f t="array" ref="G106">IF($B106&gt;0,INDEX(DB,$B106,17),0)</f>
        <v>0</v>
      </c>
      <c r="H106" s="277">
        <f t="array" ref="H106">IF($B106&gt;0,INDEX(DB,$B106,15),0)</f>
        <v>0</v>
      </c>
      <c r="I106" s="276">
        <f t="array" ref="I106">IF($B106&gt;0,INDEX(DB,$B106,19),0)</f>
        <v>0</v>
      </c>
      <c r="J106" s="277">
        <f t="array" ref="J106">IF($B106&gt;0,INDEX(DB,$B106,14),0)</f>
        <v>0</v>
      </c>
      <c r="K106" s="276">
        <f t="array" ref="K106">IF($B106&gt;0,INDEX(DB,$B106,18),0)</f>
        <v>0</v>
      </c>
      <c r="L106" s="275">
        <f t="array" ref="L106">IF($B106&gt;0,INDEX(DB,$B106,16),0)</f>
        <v>0</v>
      </c>
      <c r="M106" s="276">
        <f t="array" ref="M106">IF($B106&gt;0,INDEX(DB,$B106,20),0)</f>
        <v>0</v>
      </c>
      <c r="N106" s="278"/>
      <c r="O106" s="279">
        <f t="shared" si="1"/>
        <v>0</v>
      </c>
      <c r="P106" s="280"/>
      <c r="Q106" s="261" t="str">
        <f t="shared" si="2"/>
        <v>#REF!</v>
      </c>
      <c r="R106" s="281" t="str">
        <f>IF($AI106&gt;0,RANK($AI106,BoysPoints),0)</f>
        <v>#REF!</v>
      </c>
      <c r="S106" s="282" t="str">
        <f>IF($AJ106&gt;0,RANK($AJ106,GirlsPoints),0)</f>
        <v>#REF!</v>
      </c>
      <c r="T106" s="283">
        <f>IF($O106&gt;0,RANK(O106,AthletePoints),0)</f>
        <v>0</v>
      </c>
      <c r="U106" s="210"/>
      <c r="V106" s="415" t="str">
        <f>IF(O106&gt;=40,IF(X106="M",VLOOKUP(O106,UKABoysAwards,2),IF(X106="F",VLOOKUP(O106,UKAGirlsAwards,2),"")),"")</f>
        <v/>
      </c>
      <c r="W106" s="210"/>
      <c r="X106" s="266" t="str">
        <f t="array" ref="X106:X107">INDEX(DB,$B106,4)</f>
        <v>#REF!</v>
      </c>
      <c r="Y106" s="210"/>
      <c r="Z106" s="285" t="str">
        <f t="shared" si="3"/>
        <v>#REF!</v>
      </c>
      <c r="AA106" s="286" t="str">
        <f>IF($Z106&gt;=1,RANK($Z106,$Z101:$Z116),0)</f>
        <v>#REF!</v>
      </c>
      <c r="AB106" s="287" t="str">
        <f>IF(AA106&lt;=MaxS,INT(Z106),0)</f>
        <v>#REF!</v>
      </c>
      <c r="AC106" s="210"/>
      <c r="AD106" s="285" t="str">
        <f t="shared" si="4"/>
        <v>#REF!</v>
      </c>
      <c r="AE106" s="286" t="str">
        <f>IF($AD106&gt;=1,RANK($AD106,$AD101:$AD116),0)</f>
        <v>#REF!</v>
      </c>
      <c r="AF106" s="287" t="str">
        <f>IF(AE106&lt;=MaxS,INT(AD106),0)</f>
        <v>#REF!</v>
      </c>
      <c r="AG106" s="210"/>
      <c r="AH106" s="210"/>
      <c r="AI106" s="288" t="str">
        <f t="shared" si="5"/>
        <v>#REF!</v>
      </c>
      <c r="AJ106" s="289" t="str">
        <f t="shared" si="6"/>
        <v>#REF!</v>
      </c>
    </row>
    <row r="107" ht="15.0" customHeight="1">
      <c r="A107" s="272"/>
      <c r="B107" s="250">
        <f>IF(OR(ISNA(MATCH(C107&amp;"",AthleteNumbers,0)),ISBLANK(C107)),0,MATCH(C107&amp;"",AthleteNumbers,0))</f>
        <v>0</v>
      </c>
      <c r="C107" s="413"/>
      <c r="D107" s="273" t="str">
        <f t="array" ref="D107">IF($B107&gt;0,INDEX(DB,$B107,8),"")</f>
        <v/>
      </c>
      <c r="E107" s="274" t="str">
        <f t="array" ref="E107">IF($B107&gt;0,INDEX(DB,$B107,3),"")</f>
        <v/>
      </c>
      <c r="F107" s="275">
        <f t="array" ref="F107">IF($B107&gt;0,INDEX(DB,$B107,13),0)</f>
        <v>0</v>
      </c>
      <c r="G107" s="276">
        <f t="array" ref="G107">IF($B107&gt;0,INDEX(DB,$B107,17),0)</f>
        <v>0</v>
      </c>
      <c r="H107" s="277">
        <f t="array" ref="H107">IF($B107&gt;0,INDEX(DB,$B107,15),0)</f>
        <v>0</v>
      </c>
      <c r="I107" s="276">
        <f t="array" ref="I107">IF($B107&gt;0,INDEX(DB,$B107,19),0)</f>
        <v>0</v>
      </c>
      <c r="J107" s="277">
        <f t="array" ref="J107">IF($B107&gt;0,INDEX(DB,$B107,14),0)</f>
        <v>0</v>
      </c>
      <c r="K107" s="276">
        <f t="array" ref="K107">IF($B107&gt;0,INDEX(DB,$B107,18),0)</f>
        <v>0</v>
      </c>
      <c r="L107" s="275">
        <f t="array" ref="L107">IF($B107&gt;0,INDEX(DB,$B107,16),0)</f>
        <v>0</v>
      </c>
      <c r="M107" s="276">
        <f t="array" ref="M107">IF($B107&gt;0,INDEX(DB,$B107,20),0)</f>
        <v>0</v>
      </c>
      <c r="N107" s="278"/>
      <c r="O107" s="279">
        <f t="shared" si="1"/>
        <v>0</v>
      </c>
      <c r="P107" s="280"/>
      <c r="Q107" s="261" t="str">
        <f t="shared" si="2"/>
        <v>#REF!</v>
      </c>
      <c r="R107" s="290" t="str">
        <f>IF($AI107&gt;0,RANK($AI107,BoysPoints),0)</f>
        <v>#REF!</v>
      </c>
      <c r="S107" s="291" t="str">
        <f>IF($AJ107&gt;0,RANK($AJ107,GirlsPoints),0)</f>
        <v>#REF!</v>
      </c>
      <c r="T107" s="292">
        <f>IF($O107&gt;0,RANK(O107,AthletePoints),0)</f>
        <v>0</v>
      </c>
      <c r="U107" s="210"/>
      <c r="V107" s="330" t="str">
        <f>IF(O107&gt;=40,IF(X107="M",VLOOKUP(O107,UKABoysAwards,2),IF(X107="F",VLOOKUP(O107,UKAGirlsAwards,2),"")),"")</f>
        <v/>
      </c>
      <c r="W107" s="210"/>
      <c r="X107" s="266" t="str">
        <f t="array" ref="X107:X108">INDEX(DB,$B107,4)</f>
        <v>#REF!</v>
      </c>
      <c r="Y107" s="210"/>
      <c r="Z107" s="285" t="str">
        <f t="shared" si="3"/>
        <v>#REF!</v>
      </c>
      <c r="AA107" s="286" t="str">
        <f>IF($Z107&gt;=1,RANK($Z107,$Z101:$Z116),0)</f>
        <v>#REF!</v>
      </c>
      <c r="AB107" s="287" t="str">
        <f>IF(AA107&lt;=MaxS,INT(Z107),0)</f>
        <v>#REF!</v>
      </c>
      <c r="AC107" s="210"/>
      <c r="AD107" s="285" t="str">
        <f t="shared" si="4"/>
        <v>#REF!</v>
      </c>
      <c r="AE107" s="286" t="str">
        <f>IF($AD107&gt;=1,RANK($AD107,$AD101:$AD116),0)</f>
        <v>#REF!</v>
      </c>
      <c r="AF107" s="287" t="str">
        <f>IF(AE107&lt;=MaxS,INT(AD107),0)</f>
        <v>#REF!</v>
      </c>
      <c r="AG107" s="210"/>
      <c r="AH107" s="210"/>
      <c r="AI107" s="288" t="str">
        <f t="shared" si="5"/>
        <v>#REF!</v>
      </c>
      <c r="AJ107" s="289" t="str">
        <f t="shared" si="6"/>
        <v>#REF!</v>
      </c>
    </row>
    <row r="108" ht="15.0" customHeight="1">
      <c r="A108" s="272"/>
      <c r="B108" s="250">
        <f>IF(OR(ISNA(MATCH(C108&amp;"",AthleteNumbers,0)),ISBLANK(C108)),0,MATCH(C108&amp;"",AthleteNumbers,0))</f>
        <v>0</v>
      </c>
      <c r="C108" s="413"/>
      <c r="D108" s="273" t="str">
        <f t="array" ref="D108">IF($B108&gt;0,INDEX(DB,$B108,8),"")</f>
        <v/>
      </c>
      <c r="E108" s="274" t="str">
        <f t="array" ref="E108">IF($B108&gt;0,INDEX(DB,$B108,3),"")</f>
        <v/>
      </c>
      <c r="F108" s="275">
        <f t="array" ref="F108">IF($B108&gt;0,INDEX(DB,$B108,13),0)</f>
        <v>0</v>
      </c>
      <c r="G108" s="276">
        <f t="array" ref="G108">IF($B108&gt;0,INDEX(DB,$B108,17),0)</f>
        <v>0</v>
      </c>
      <c r="H108" s="277">
        <f t="array" ref="H108">IF($B108&gt;0,INDEX(DB,$B108,15),0)</f>
        <v>0</v>
      </c>
      <c r="I108" s="276">
        <f t="array" ref="I108">IF($B108&gt;0,INDEX(DB,$B108,19),0)</f>
        <v>0</v>
      </c>
      <c r="J108" s="277">
        <f t="array" ref="J108">IF($B108&gt;0,INDEX(DB,$B108,14),0)</f>
        <v>0</v>
      </c>
      <c r="K108" s="276">
        <f t="array" ref="K108">IF($B108&gt;0,INDEX(DB,$B108,18),0)</f>
        <v>0</v>
      </c>
      <c r="L108" s="275">
        <f t="array" ref="L108">IF($B108&gt;0,INDEX(DB,$B108,16),0)</f>
        <v>0</v>
      </c>
      <c r="M108" s="276">
        <f t="array" ref="M108">IF($B108&gt;0,INDEX(DB,$B108,20),0)</f>
        <v>0</v>
      </c>
      <c r="N108" s="278"/>
      <c r="O108" s="279">
        <f t="shared" si="1"/>
        <v>0</v>
      </c>
      <c r="P108" s="280"/>
      <c r="Q108" s="261" t="str">
        <f t="shared" si="2"/>
        <v>#REF!</v>
      </c>
      <c r="R108" s="281" t="str">
        <f>IF($AI108&gt;0,RANK($AI108,BoysPoints),0)</f>
        <v>#REF!</v>
      </c>
      <c r="S108" s="282" t="str">
        <f>IF($AJ108&gt;0,RANK($AJ108,GirlsPoints),0)</f>
        <v>#REF!</v>
      </c>
      <c r="T108" s="283">
        <f>IF($O108&gt;0,RANK(O108,AthletePoints),0)</f>
        <v>0</v>
      </c>
      <c r="U108" s="210"/>
      <c r="V108" s="415" t="str">
        <f>IF(O108&gt;=40,IF(X108="M",VLOOKUP(O108,UKABoysAwards,2),IF(X108="F",VLOOKUP(O108,UKAGirlsAwards,2),"")),"")</f>
        <v/>
      </c>
      <c r="W108" s="210"/>
      <c r="X108" s="266" t="str">
        <f t="array" ref="X108:X109">INDEX(DB,$B108,4)</f>
        <v>#REF!</v>
      </c>
      <c r="Y108" s="210"/>
      <c r="Z108" s="285" t="str">
        <f t="shared" si="3"/>
        <v>#REF!</v>
      </c>
      <c r="AA108" s="286" t="str">
        <f>IF($Z108&gt;=1,RANK($Z108,$Z101:$Z116),0)</f>
        <v>#REF!</v>
      </c>
      <c r="AB108" s="287" t="str">
        <f>IF(AA108&lt;=MaxS,INT(Z108),0)</f>
        <v>#REF!</v>
      </c>
      <c r="AC108" s="210"/>
      <c r="AD108" s="285" t="str">
        <f t="shared" si="4"/>
        <v>#REF!</v>
      </c>
      <c r="AE108" s="286" t="str">
        <f>IF($AD108&gt;=1,RANK($AD108,$AD101:$AD116),0)</f>
        <v>#REF!</v>
      </c>
      <c r="AF108" s="287" t="str">
        <f>IF(AE108&lt;=MaxS,INT(AD108),0)</f>
        <v>#REF!</v>
      </c>
      <c r="AG108" s="210"/>
      <c r="AH108" s="210"/>
      <c r="AI108" s="288" t="str">
        <f t="shared" si="5"/>
        <v>#REF!</v>
      </c>
      <c r="AJ108" s="289" t="str">
        <f t="shared" si="6"/>
        <v>#REF!</v>
      </c>
    </row>
    <row r="109" ht="15.0" customHeight="1">
      <c r="A109" s="272"/>
      <c r="B109" s="250">
        <f>IF(OR(ISNA(MATCH(C109&amp;"",AthleteNumbers,0)),ISBLANK(C109)),0,MATCH(C109&amp;"",AthleteNumbers,0))</f>
        <v>0</v>
      </c>
      <c r="C109" s="413"/>
      <c r="D109" s="273" t="str">
        <f t="array" ref="D109">IF($B109&gt;0,INDEX(DB,$B109,8),"")</f>
        <v/>
      </c>
      <c r="E109" s="274" t="str">
        <f t="array" ref="E109">IF($B109&gt;0,INDEX(DB,$B109,3),"")</f>
        <v/>
      </c>
      <c r="F109" s="275">
        <f t="array" ref="F109">IF($B109&gt;0,INDEX(DB,$B109,13),0)</f>
        <v>0</v>
      </c>
      <c r="G109" s="276">
        <f t="array" ref="G109">IF($B109&gt;0,INDEX(DB,$B109,17),0)</f>
        <v>0</v>
      </c>
      <c r="H109" s="277">
        <f t="array" ref="H109">IF($B109&gt;0,INDEX(DB,$B109,15),0)</f>
        <v>0</v>
      </c>
      <c r="I109" s="276">
        <f t="array" ref="I109">IF($B109&gt;0,INDEX(DB,$B109,19),0)</f>
        <v>0</v>
      </c>
      <c r="J109" s="277">
        <f t="array" ref="J109">IF($B109&gt;0,INDEX(DB,$B109,14),0)</f>
        <v>0</v>
      </c>
      <c r="K109" s="276">
        <f t="array" ref="K109">IF($B109&gt;0,INDEX(DB,$B109,18),0)</f>
        <v>0</v>
      </c>
      <c r="L109" s="275">
        <f t="array" ref="L109">IF($B109&gt;0,INDEX(DB,$B109,16),0)</f>
        <v>0</v>
      </c>
      <c r="M109" s="276">
        <f t="array" ref="M109">IF($B109&gt;0,INDEX(DB,$B109,20),0)</f>
        <v>0</v>
      </c>
      <c r="N109" s="278"/>
      <c r="O109" s="279">
        <f t="shared" si="1"/>
        <v>0</v>
      </c>
      <c r="P109" s="280"/>
      <c r="Q109" s="261" t="str">
        <f t="shared" si="2"/>
        <v>#REF!</v>
      </c>
      <c r="R109" s="290" t="str">
        <f>IF($AI109&gt;0,RANK($AI109,BoysPoints),0)</f>
        <v>#REF!</v>
      </c>
      <c r="S109" s="291" t="str">
        <f>IF($AJ109&gt;0,RANK($AJ109,GirlsPoints),0)</f>
        <v>#REF!</v>
      </c>
      <c r="T109" s="292">
        <f>IF($O109&gt;0,RANK(O109,AthletePoints),0)</f>
        <v>0</v>
      </c>
      <c r="U109" s="210"/>
      <c r="V109" s="330" t="str">
        <f>IF(O109&gt;=40,IF(X109="M",VLOOKUP(O109,UKABoysAwards,2),IF(X109="F",VLOOKUP(O109,UKAGirlsAwards,2),"")),"")</f>
        <v/>
      </c>
      <c r="W109" s="210"/>
      <c r="X109" s="266" t="str">
        <f t="array" ref="X109:X110">INDEX(DB,$B109,4)</f>
        <v>#REF!</v>
      </c>
      <c r="Y109" s="210"/>
      <c r="Z109" s="285" t="str">
        <f t="shared" si="3"/>
        <v>#REF!</v>
      </c>
      <c r="AA109" s="286" t="str">
        <f>IF($Z109&gt;=1,RANK($Z109,$Z101:$Z116),0)</f>
        <v>#REF!</v>
      </c>
      <c r="AB109" s="287" t="str">
        <f>IF(AA109&lt;=MaxS,INT(Z109),0)</f>
        <v>#REF!</v>
      </c>
      <c r="AC109" s="210"/>
      <c r="AD109" s="285" t="str">
        <f t="shared" si="4"/>
        <v>#REF!</v>
      </c>
      <c r="AE109" s="286" t="str">
        <f>IF($AD109&gt;=1,RANK($AD109,$AD101:$AD116),0)</f>
        <v>#REF!</v>
      </c>
      <c r="AF109" s="287" t="str">
        <f>IF(AE109&lt;=MaxS,INT(AD109),0)</f>
        <v>#REF!</v>
      </c>
      <c r="AG109" s="210"/>
      <c r="AH109" s="210"/>
      <c r="AI109" s="288" t="str">
        <f t="shared" si="5"/>
        <v>#REF!</v>
      </c>
      <c r="AJ109" s="289" t="str">
        <f t="shared" si="6"/>
        <v>#REF!</v>
      </c>
    </row>
    <row r="110" ht="15.0" customHeight="1">
      <c r="A110" s="272"/>
      <c r="B110" s="250">
        <f>IF(OR(ISNA(MATCH(C110&amp;"",AthleteNumbers,0)),ISBLANK(C110)),0,MATCH(C110&amp;"",AthleteNumbers,0))</f>
        <v>0</v>
      </c>
      <c r="C110" s="413"/>
      <c r="D110" s="273" t="str">
        <f t="array" ref="D110">IF($B110&gt;0,INDEX(DB,$B110,8),"")</f>
        <v/>
      </c>
      <c r="E110" s="274" t="str">
        <f t="array" ref="E110">IF($B110&gt;0,INDEX(DB,$B110,3),"")</f>
        <v/>
      </c>
      <c r="F110" s="275">
        <f t="array" ref="F110">IF($B110&gt;0,INDEX(DB,$B110,13),0)</f>
        <v>0</v>
      </c>
      <c r="G110" s="276">
        <f t="array" ref="G110">IF($B110&gt;0,INDEX(DB,$B110,17),0)</f>
        <v>0</v>
      </c>
      <c r="H110" s="277">
        <f t="array" ref="H110">IF($B110&gt;0,INDEX(DB,$B110,15),0)</f>
        <v>0</v>
      </c>
      <c r="I110" s="276">
        <f t="array" ref="I110">IF($B110&gt;0,INDEX(DB,$B110,19),0)</f>
        <v>0</v>
      </c>
      <c r="J110" s="277">
        <f t="array" ref="J110">IF($B110&gt;0,INDEX(DB,$B110,14),0)</f>
        <v>0</v>
      </c>
      <c r="K110" s="276">
        <f t="array" ref="K110">IF($B110&gt;0,INDEX(DB,$B110,18),0)</f>
        <v>0</v>
      </c>
      <c r="L110" s="275">
        <f t="array" ref="L110">IF($B110&gt;0,INDEX(DB,$B110,16),0)</f>
        <v>0</v>
      </c>
      <c r="M110" s="276">
        <f t="array" ref="M110">IF($B110&gt;0,INDEX(DB,$B110,20),0)</f>
        <v>0</v>
      </c>
      <c r="N110" s="278"/>
      <c r="O110" s="279">
        <f t="shared" si="1"/>
        <v>0</v>
      </c>
      <c r="P110" s="280"/>
      <c r="Q110" s="261" t="str">
        <f t="shared" si="2"/>
        <v>#REF!</v>
      </c>
      <c r="R110" s="281" t="str">
        <f>IF($AI110&gt;0,RANK($AI110,BoysPoints),0)</f>
        <v>#REF!</v>
      </c>
      <c r="S110" s="282" t="str">
        <f>IF($AJ110&gt;0,RANK($AJ110,GirlsPoints),0)</f>
        <v>#REF!</v>
      </c>
      <c r="T110" s="283">
        <f>IF($O110&gt;0,RANK(O110,AthletePoints),0)</f>
        <v>0</v>
      </c>
      <c r="U110" s="210"/>
      <c r="V110" s="415" t="str">
        <f>IF(O110&gt;=40,IF(X110="M",VLOOKUP(O110,UKABoysAwards,2),IF(X110="F",VLOOKUP(O110,UKAGirlsAwards,2),"")),"")</f>
        <v/>
      </c>
      <c r="W110" s="210"/>
      <c r="X110" s="266" t="str">
        <f t="array" ref="X110:X111">INDEX(DB,$B110,4)</f>
        <v>#REF!</v>
      </c>
      <c r="Y110" s="210"/>
      <c r="Z110" s="285" t="str">
        <f t="shared" si="3"/>
        <v>#REF!</v>
      </c>
      <c r="AA110" s="286" t="str">
        <f>IF($Z110&gt;=1,RANK($Z110,$Z101:$Z116),0)</f>
        <v>#REF!</v>
      </c>
      <c r="AB110" s="287" t="str">
        <f>IF(AA110&lt;=MaxS,INT(Z110),0)</f>
        <v>#REF!</v>
      </c>
      <c r="AC110" s="210"/>
      <c r="AD110" s="285" t="str">
        <f t="shared" si="4"/>
        <v>#REF!</v>
      </c>
      <c r="AE110" s="286" t="str">
        <f>IF($AD110&gt;=1,RANK($AD110,$AD101:$AD116),0)</f>
        <v>#REF!</v>
      </c>
      <c r="AF110" s="287" t="str">
        <f>IF(AE110&lt;=MaxS,INT(AD110),0)</f>
        <v>#REF!</v>
      </c>
      <c r="AG110" s="210"/>
      <c r="AH110" s="210"/>
      <c r="AI110" s="288" t="str">
        <f t="shared" si="5"/>
        <v>#REF!</v>
      </c>
      <c r="AJ110" s="289" t="str">
        <f t="shared" si="6"/>
        <v>#REF!</v>
      </c>
    </row>
    <row r="111" ht="15.0" customHeight="1">
      <c r="A111" s="272"/>
      <c r="B111" s="250">
        <f>IF(OR(ISNA(MATCH(C111&amp;"",AthleteNumbers,0)),ISBLANK(C111)),0,MATCH(C111&amp;"",AthleteNumbers,0))</f>
        <v>0</v>
      </c>
      <c r="C111" s="413"/>
      <c r="D111" s="273" t="str">
        <f t="array" ref="D111">IF($B111&gt;0,INDEX(DB,$B111,8),"")</f>
        <v/>
      </c>
      <c r="E111" s="274" t="str">
        <f t="array" ref="E111">IF($B111&gt;0,INDEX(DB,$B111,3),"")</f>
        <v/>
      </c>
      <c r="F111" s="275">
        <f t="array" ref="F111">IF($B111&gt;0,INDEX(DB,$B111,13),0)</f>
        <v>0</v>
      </c>
      <c r="G111" s="276">
        <f t="array" ref="G111">IF($B111&gt;0,INDEX(DB,$B111,17),0)</f>
        <v>0</v>
      </c>
      <c r="H111" s="277">
        <f t="array" ref="H111">IF($B111&gt;0,INDEX(DB,$B111,15),0)</f>
        <v>0</v>
      </c>
      <c r="I111" s="276">
        <f t="array" ref="I111">IF($B111&gt;0,INDEX(DB,$B111,19),0)</f>
        <v>0</v>
      </c>
      <c r="J111" s="277">
        <f t="array" ref="J111">IF($B111&gt;0,INDEX(DB,$B111,14),0)</f>
        <v>0</v>
      </c>
      <c r="K111" s="276">
        <f t="array" ref="K111">IF($B111&gt;0,INDEX(DB,$B111,18),0)</f>
        <v>0</v>
      </c>
      <c r="L111" s="275">
        <f t="array" ref="L111">IF($B111&gt;0,INDEX(DB,$B111,16),0)</f>
        <v>0</v>
      </c>
      <c r="M111" s="276">
        <f t="array" ref="M111">IF($B111&gt;0,INDEX(DB,$B111,20),0)</f>
        <v>0</v>
      </c>
      <c r="N111" s="278"/>
      <c r="O111" s="279">
        <f t="shared" si="1"/>
        <v>0</v>
      </c>
      <c r="P111" s="280"/>
      <c r="Q111" s="261" t="str">
        <f t="shared" si="2"/>
        <v>#REF!</v>
      </c>
      <c r="R111" s="290" t="str">
        <f>IF($AI111&gt;0,RANK($AI111,BoysPoints),0)</f>
        <v>#REF!</v>
      </c>
      <c r="S111" s="291" t="str">
        <f>IF($AJ111&gt;0,RANK($AJ111,GirlsPoints),0)</f>
        <v>#REF!</v>
      </c>
      <c r="T111" s="292">
        <f>IF($O111&gt;0,RANK(O111,AthletePoints),0)</f>
        <v>0</v>
      </c>
      <c r="U111" s="210"/>
      <c r="V111" s="330" t="str">
        <f>IF(O111&gt;=40,IF(X111="M",VLOOKUP(O111,UKABoysAwards,2),IF(X111="F",VLOOKUP(O111,UKAGirlsAwards,2),"")),"")</f>
        <v/>
      </c>
      <c r="W111" s="210"/>
      <c r="X111" s="266" t="str">
        <f t="array" ref="X111:X112">INDEX(DB,$B111,4)</f>
        <v>#REF!</v>
      </c>
      <c r="Y111" s="210"/>
      <c r="Z111" s="285" t="str">
        <f t="shared" si="3"/>
        <v>#REF!</v>
      </c>
      <c r="AA111" s="286" t="str">
        <f>IF($Z111&gt;=1,RANK($Z111,$Z101:$Z116),0)</f>
        <v>#REF!</v>
      </c>
      <c r="AB111" s="287" t="str">
        <f>IF(AA111&lt;=MaxS,INT(Z111),0)</f>
        <v>#REF!</v>
      </c>
      <c r="AC111" s="210"/>
      <c r="AD111" s="285" t="str">
        <f t="shared" si="4"/>
        <v>#REF!</v>
      </c>
      <c r="AE111" s="286" t="str">
        <f>IF($AD111&gt;=1,RANK($AD111,$AD101:$AD116),0)</f>
        <v>#REF!</v>
      </c>
      <c r="AF111" s="287" t="str">
        <f>IF(AE111&lt;=MaxS,INT(AD111),0)</f>
        <v>#REF!</v>
      </c>
      <c r="AG111" s="210"/>
      <c r="AH111" s="210"/>
      <c r="AI111" s="288" t="str">
        <f t="shared" si="5"/>
        <v>#REF!</v>
      </c>
      <c r="AJ111" s="289" t="str">
        <f t="shared" si="6"/>
        <v>#REF!</v>
      </c>
    </row>
    <row r="112" ht="15.0" customHeight="1">
      <c r="A112" s="272"/>
      <c r="B112" s="250">
        <f>IF(OR(ISNA(MATCH(C112&amp;"",AthleteNumbers,0)),ISBLANK(C112)),0,MATCH(C112&amp;"",AthleteNumbers,0))</f>
        <v>0</v>
      </c>
      <c r="C112" s="413"/>
      <c r="D112" s="273" t="str">
        <f t="array" ref="D112">IF($B112&gt;0,INDEX(DB,$B112,8),"")</f>
        <v/>
      </c>
      <c r="E112" s="274" t="str">
        <f t="array" ref="E112">IF($B112&gt;0,INDEX(DB,$B112,3),"")</f>
        <v/>
      </c>
      <c r="F112" s="275">
        <f t="array" ref="F112">IF($B112&gt;0,INDEX(DB,$B112,13),0)</f>
        <v>0</v>
      </c>
      <c r="G112" s="276">
        <f t="array" ref="G112">IF($B112&gt;0,INDEX(DB,$B112,17),0)</f>
        <v>0</v>
      </c>
      <c r="H112" s="277">
        <f t="array" ref="H112">IF($B112&gt;0,INDEX(DB,$B112,15),0)</f>
        <v>0</v>
      </c>
      <c r="I112" s="276">
        <f t="array" ref="I112">IF($B112&gt;0,INDEX(DB,$B112,19),0)</f>
        <v>0</v>
      </c>
      <c r="J112" s="277">
        <f t="array" ref="J112">IF($B112&gt;0,INDEX(DB,$B112,14),0)</f>
        <v>0</v>
      </c>
      <c r="K112" s="276">
        <f t="array" ref="K112">IF($B112&gt;0,INDEX(DB,$B112,18),0)</f>
        <v>0</v>
      </c>
      <c r="L112" s="275">
        <f t="array" ref="L112">IF($B112&gt;0,INDEX(DB,$B112,16),0)</f>
        <v>0</v>
      </c>
      <c r="M112" s="276">
        <f t="array" ref="M112">IF($B112&gt;0,INDEX(DB,$B112,20),0)</f>
        <v>0</v>
      </c>
      <c r="N112" s="278"/>
      <c r="O112" s="279">
        <f t="shared" si="1"/>
        <v>0</v>
      </c>
      <c r="P112" s="280"/>
      <c r="Q112" s="261" t="str">
        <f t="shared" si="2"/>
        <v>#REF!</v>
      </c>
      <c r="R112" s="281" t="str">
        <f>IF($AI112&gt;0,RANK($AI112,BoysPoints),0)</f>
        <v>#REF!</v>
      </c>
      <c r="S112" s="282" t="str">
        <f>IF($AJ112&gt;0,RANK($AJ112,GirlsPoints),0)</f>
        <v>#REF!</v>
      </c>
      <c r="T112" s="283">
        <f>IF($O112&gt;0,RANK(O112,AthletePoints),0)</f>
        <v>0</v>
      </c>
      <c r="U112" s="210"/>
      <c r="V112" s="415" t="str">
        <f>IF(O112&gt;=40,IF(X112="M",VLOOKUP(O112,UKABoysAwards,2),IF(X112="F",VLOOKUP(O112,UKAGirlsAwards,2),"")),"")</f>
        <v/>
      </c>
      <c r="W112" s="210"/>
      <c r="X112" s="266" t="str">
        <f t="array" ref="X112:X113">INDEX(DB,$B112,4)</f>
        <v>#REF!</v>
      </c>
      <c r="Y112" s="210"/>
      <c r="Z112" s="285" t="str">
        <f t="shared" si="3"/>
        <v>#REF!</v>
      </c>
      <c r="AA112" s="286" t="str">
        <f>IF($Z112&gt;=1,RANK($Z112,$Z101:$Z116),0)</f>
        <v>#REF!</v>
      </c>
      <c r="AB112" s="287" t="str">
        <f>IF(AA112&lt;=MaxS,INT(Z112),0)</f>
        <v>#REF!</v>
      </c>
      <c r="AC112" s="210"/>
      <c r="AD112" s="285" t="str">
        <f t="shared" si="4"/>
        <v>#REF!</v>
      </c>
      <c r="AE112" s="286" t="str">
        <f>IF($AD112&gt;=1,RANK($AD112,$AD101:$AD116),0)</f>
        <v>#REF!</v>
      </c>
      <c r="AF112" s="287" t="str">
        <f>IF(AE112&lt;=MaxS,INT(AD112),0)</f>
        <v>#REF!</v>
      </c>
      <c r="AG112" s="210"/>
      <c r="AH112" s="210"/>
      <c r="AI112" s="288" t="str">
        <f t="shared" si="5"/>
        <v>#REF!</v>
      </c>
      <c r="AJ112" s="289" t="str">
        <f t="shared" si="6"/>
        <v>#REF!</v>
      </c>
    </row>
    <row r="113" ht="15.0" customHeight="1">
      <c r="A113" s="272"/>
      <c r="B113" s="250">
        <f>IF(OR(ISNA(MATCH(C113&amp;"",AthleteNumbers,0)),ISBLANK(C113)),0,MATCH(C113&amp;"",AthleteNumbers,0))</f>
        <v>0</v>
      </c>
      <c r="C113" s="413"/>
      <c r="D113" s="273" t="str">
        <f t="array" ref="D113">IF($B113&gt;0,INDEX(DB,$B113,8),"")</f>
        <v/>
      </c>
      <c r="E113" s="274" t="str">
        <f t="array" ref="E113">IF($B113&gt;0,INDEX(DB,$B113,3),"")</f>
        <v/>
      </c>
      <c r="F113" s="275">
        <f t="array" ref="F113">IF($B113&gt;0,INDEX(DB,$B113,13),0)</f>
        <v>0</v>
      </c>
      <c r="G113" s="276">
        <f t="array" ref="G113">IF($B113&gt;0,INDEX(DB,$B113,17),0)</f>
        <v>0</v>
      </c>
      <c r="H113" s="277">
        <f t="array" ref="H113">IF($B113&gt;0,INDEX(DB,$B113,15),0)</f>
        <v>0</v>
      </c>
      <c r="I113" s="276">
        <f t="array" ref="I113">IF($B113&gt;0,INDEX(DB,$B113,19),0)</f>
        <v>0</v>
      </c>
      <c r="J113" s="277">
        <f t="array" ref="J113">IF($B113&gt;0,INDEX(DB,$B113,14),0)</f>
        <v>0</v>
      </c>
      <c r="K113" s="276">
        <f t="array" ref="K113">IF($B113&gt;0,INDEX(DB,$B113,18),0)</f>
        <v>0</v>
      </c>
      <c r="L113" s="275">
        <f t="array" ref="L113">IF($B113&gt;0,INDEX(DB,$B113,16),0)</f>
        <v>0</v>
      </c>
      <c r="M113" s="276">
        <f t="array" ref="M113">IF($B113&gt;0,INDEX(DB,$B113,20),0)</f>
        <v>0</v>
      </c>
      <c r="N113" s="278"/>
      <c r="O113" s="279">
        <f t="shared" si="1"/>
        <v>0</v>
      </c>
      <c r="P113" s="280"/>
      <c r="Q113" s="261" t="str">
        <f t="shared" si="2"/>
        <v>#REF!</v>
      </c>
      <c r="R113" s="290" t="str">
        <f>IF($AI113&gt;0,RANK($AI113,BoysPoints),0)</f>
        <v>#REF!</v>
      </c>
      <c r="S113" s="291" t="str">
        <f>IF($AJ113&gt;0,RANK($AJ113,GirlsPoints),0)</f>
        <v>#REF!</v>
      </c>
      <c r="T113" s="292">
        <f>IF($O113&gt;0,RANK(O113,AthletePoints),0)</f>
        <v>0</v>
      </c>
      <c r="U113" s="210"/>
      <c r="V113" s="330" t="str">
        <f>IF(O113&gt;=40,IF(X113="M",VLOOKUP(O113,UKABoysAwards,2),IF(X113="F",VLOOKUP(O113,UKAGirlsAwards,2),"")),"")</f>
        <v/>
      </c>
      <c r="W113" s="210"/>
      <c r="X113" s="266" t="str">
        <f t="array" ref="X113:X114">INDEX(DB,$B113,4)</f>
        <v>#REF!</v>
      </c>
      <c r="Y113" s="210"/>
      <c r="Z113" s="285" t="str">
        <f t="shared" si="3"/>
        <v>#REF!</v>
      </c>
      <c r="AA113" s="286" t="str">
        <f>IF($Z113&gt;=1,RANK($Z113,$Z101:$Z116),0)</f>
        <v>#REF!</v>
      </c>
      <c r="AB113" s="287" t="str">
        <f>IF(AA113&lt;=MaxS,INT(Z113),0)</f>
        <v>#REF!</v>
      </c>
      <c r="AC113" s="210"/>
      <c r="AD113" s="285" t="str">
        <f t="shared" si="4"/>
        <v>#REF!</v>
      </c>
      <c r="AE113" s="286" t="str">
        <f>IF($AD113&gt;=1,RANK($AD113,$AD101:$AD116),0)</f>
        <v>#REF!</v>
      </c>
      <c r="AF113" s="287" t="str">
        <f>IF(AE113&lt;=MaxS,INT(AD113),0)</f>
        <v>#REF!</v>
      </c>
      <c r="AG113" s="210"/>
      <c r="AH113" s="210"/>
      <c r="AI113" s="288" t="str">
        <f t="shared" si="5"/>
        <v>#REF!</v>
      </c>
      <c r="AJ113" s="289" t="str">
        <f t="shared" si="6"/>
        <v>#REF!</v>
      </c>
    </row>
    <row r="114" ht="15.0" customHeight="1">
      <c r="A114" s="272"/>
      <c r="B114" s="250">
        <f>IF(OR(ISNA(MATCH(C114&amp;"",AthleteNumbers,0)),ISBLANK(C114)),0,MATCH(C114&amp;"",AthleteNumbers,0))</f>
        <v>0</v>
      </c>
      <c r="C114" s="413"/>
      <c r="D114" s="273" t="str">
        <f t="array" ref="D114">IF($B114&gt;0,INDEX(DB,$B114,8),"")</f>
        <v/>
      </c>
      <c r="E114" s="274" t="str">
        <f t="array" ref="E114">IF($B114&gt;0,INDEX(DB,$B114,3),"")</f>
        <v/>
      </c>
      <c r="F114" s="275">
        <f t="array" ref="F114">IF($B114&gt;0,INDEX(DB,$B114,13),0)</f>
        <v>0</v>
      </c>
      <c r="G114" s="276">
        <f t="array" ref="G114">IF($B114&gt;0,INDEX(DB,$B114,17),0)</f>
        <v>0</v>
      </c>
      <c r="H114" s="277">
        <f t="array" ref="H114">IF($B114&gt;0,INDEX(DB,$B114,15),0)</f>
        <v>0</v>
      </c>
      <c r="I114" s="276">
        <f t="array" ref="I114">IF($B114&gt;0,INDEX(DB,$B114,19),0)</f>
        <v>0</v>
      </c>
      <c r="J114" s="277">
        <f t="array" ref="J114">IF($B114&gt;0,INDEX(DB,$B114,14),0)</f>
        <v>0</v>
      </c>
      <c r="K114" s="276">
        <f t="array" ref="K114">IF($B114&gt;0,INDEX(DB,$B114,18),0)</f>
        <v>0</v>
      </c>
      <c r="L114" s="275">
        <f t="array" ref="L114">IF($B114&gt;0,INDEX(DB,$B114,16),0)</f>
        <v>0</v>
      </c>
      <c r="M114" s="276">
        <f t="array" ref="M114">IF($B114&gt;0,INDEX(DB,$B114,20),0)</f>
        <v>0</v>
      </c>
      <c r="N114" s="278"/>
      <c r="O114" s="279">
        <f t="shared" si="1"/>
        <v>0</v>
      </c>
      <c r="P114" s="280"/>
      <c r="Q114" s="261" t="str">
        <f t="shared" si="2"/>
        <v>#REF!</v>
      </c>
      <c r="R114" s="281" t="str">
        <f>IF($AI114&gt;0,RANK($AI114,BoysPoints),0)</f>
        <v>#REF!</v>
      </c>
      <c r="S114" s="282" t="str">
        <f>IF($AJ114&gt;0,RANK($AJ114,GirlsPoints),0)</f>
        <v>#REF!</v>
      </c>
      <c r="T114" s="283">
        <f>IF($O114&gt;0,RANK(O114,AthletePoints),0)</f>
        <v>0</v>
      </c>
      <c r="U114" s="210"/>
      <c r="V114" s="415" t="str">
        <f>IF(O114&gt;=40,IF(X114="M",VLOOKUP(O114,UKABoysAwards,2),IF(X114="F",VLOOKUP(O114,UKAGirlsAwards,2),"")),"")</f>
        <v/>
      </c>
      <c r="W114" s="210"/>
      <c r="X114" s="266" t="str">
        <f t="array" ref="X114:X115">INDEX(DB,$B114,4)</f>
        <v>#REF!</v>
      </c>
      <c r="Y114" s="210"/>
      <c r="Z114" s="285" t="str">
        <f t="shared" si="3"/>
        <v>#REF!</v>
      </c>
      <c r="AA114" s="286" t="str">
        <f>IF($Z114&gt;=1,RANK($Z114,$Z101:$Z116),0)</f>
        <v>#REF!</v>
      </c>
      <c r="AB114" s="287" t="str">
        <f>IF(AA114&lt;=MaxS,INT(Z114),0)</f>
        <v>#REF!</v>
      </c>
      <c r="AC114" s="210"/>
      <c r="AD114" s="285" t="str">
        <f t="shared" si="4"/>
        <v>#REF!</v>
      </c>
      <c r="AE114" s="286" t="str">
        <f>IF($AD114&gt;=1,RANK($AD114,$AD101:$AD116),0)</f>
        <v>#REF!</v>
      </c>
      <c r="AF114" s="287" t="str">
        <f>IF(AE114&lt;=MaxS,INT(AD114),0)</f>
        <v>#REF!</v>
      </c>
      <c r="AG114" s="210"/>
      <c r="AH114" s="210"/>
      <c r="AI114" s="288" t="str">
        <f t="shared" si="5"/>
        <v>#REF!</v>
      </c>
      <c r="AJ114" s="289" t="str">
        <f t="shared" si="6"/>
        <v>#REF!</v>
      </c>
    </row>
    <row r="115" ht="15.0" customHeight="1">
      <c r="A115" s="272"/>
      <c r="B115" s="250">
        <f>IF(OR(ISNA(MATCH(C115&amp;"",AthleteNumbers,0)),ISBLANK(C115)),0,MATCH(C115&amp;"",AthleteNumbers,0))</f>
        <v>0</v>
      </c>
      <c r="C115" s="413"/>
      <c r="D115" s="273" t="str">
        <f t="array" ref="D115">IF($B115&gt;0,INDEX(DB,$B115,8),"")</f>
        <v/>
      </c>
      <c r="E115" s="274" t="str">
        <f t="array" ref="E115">IF($B115&gt;0,INDEX(DB,$B115,3),"")</f>
        <v/>
      </c>
      <c r="F115" s="275">
        <f t="array" ref="F115">IF($B115&gt;0,INDEX(DB,$B115,13),0)</f>
        <v>0</v>
      </c>
      <c r="G115" s="276">
        <f t="array" ref="G115">IF($B115&gt;0,INDEX(DB,$B115,17),0)</f>
        <v>0</v>
      </c>
      <c r="H115" s="277">
        <f t="array" ref="H115">IF($B115&gt;0,INDEX(DB,$B115,15),0)</f>
        <v>0</v>
      </c>
      <c r="I115" s="276">
        <f t="array" ref="I115">IF($B115&gt;0,INDEX(DB,$B115,19),0)</f>
        <v>0</v>
      </c>
      <c r="J115" s="277">
        <f t="array" ref="J115">IF($B115&gt;0,INDEX(DB,$B115,14),0)</f>
        <v>0</v>
      </c>
      <c r="K115" s="276">
        <f t="array" ref="K115">IF($B115&gt;0,INDEX(DB,$B115,18),0)</f>
        <v>0</v>
      </c>
      <c r="L115" s="275">
        <f t="array" ref="L115">IF($B115&gt;0,INDEX(DB,$B115,16),0)</f>
        <v>0</v>
      </c>
      <c r="M115" s="276">
        <f t="array" ref="M115">IF($B115&gt;0,INDEX(DB,$B115,20),0)</f>
        <v>0</v>
      </c>
      <c r="N115" s="278"/>
      <c r="O115" s="279">
        <f t="shared" si="1"/>
        <v>0</v>
      </c>
      <c r="P115" s="280"/>
      <c r="Q115" s="261" t="str">
        <f t="shared" si="2"/>
        <v>#REF!</v>
      </c>
      <c r="R115" s="290" t="str">
        <f>IF($AI115&gt;0,RANK($AI115,BoysPoints),0)</f>
        <v>#REF!</v>
      </c>
      <c r="S115" s="291" t="str">
        <f>IF($AJ115&gt;0,RANK($AJ115,GirlsPoints),0)</f>
        <v>#REF!</v>
      </c>
      <c r="T115" s="292">
        <f>IF($O115&gt;0,RANK(O115,AthletePoints),0)</f>
        <v>0</v>
      </c>
      <c r="U115" s="210"/>
      <c r="V115" s="330" t="str">
        <f>IF(O115&gt;=40,IF(X115="M",VLOOKUP(O115,UKABoysAwards,2),IF(X115="F",VLOOKUP(O115,UKAGirlsAwards,2),"")),"")</f>
        <v/>
      </c>
      <c r="W115" s="210"/>
      <c r="X115" s="266" t="str">
        <f t="array" ref="X115:X116">INDEX(DB,$B115,4)</f>
        <v>#REF!</v>
      </c>
      <c r="Y115" s="210"/>
      <c r="Z115" s="285" t="str">
        <f t="shared" si="3"/>
        <v>#REF!</v>
      </c>
      <c r="AA115" s="286" t="str">
        <f>IF($Z115&gt;=1,RANK($Z115,$Z101:$Z116),0)</f>
        <v>#REF!</v>
      </c>
      <c r="AB115" s="287" t="str">
        <f>IF(AA115&lt;=MaxS,INT(Z115),0)</f>
        <v>#REF!</v>
      </c>
      <c r="AC115" s="210"/>
      <c r="AD115" s="285" t="str">
        <f t="shared" si="4"/>
        <v>#REF!</v>
      </c>
      <c r="AE115" s="286" t="str">
        <f>IF($AD115&gt;=1,RANK($AD115,$AD101:$AD116),0)</f>
        <v>#REF!</v>
      </c>
      <c r="AF115" s="287" t="str">
        <f>IF(AE115&lt;=MaxS,INT(AD115),0)</f>
        <v>#REF!</v>
      </c>
      <c r="AG115" s="210"/>
      <c r="AH115" s="210"/>
      <c r="AI115" s="288" t="str">
        <f t="shared" si="5"/>
        <v>#REF!</v>
      </c>
      <c r="AJ115" s="289" t="str">
        <f t="shared" si="6"/>
        <v>#REF!</v>
      </c>
    </row>
    <row r="116" ht="15.0" customHeight="1">
      <c r="A116" s="305"/>
      <c r="B116" s="250">
        <f>IF(OR(ISNA(MATCH(C116&amp;"",AthleteNumbers,0)),ISBLANK(C116)),0,MATCH(C116&amp;"",AthleteNumbers,0))</f>
        <v>0</v>
      </c>
      <c r="C116" s="443"/>
      <c r="D116" s="306" t="str">
        <f t="array" ref="D116">IF($B116&gt;0,INDEX(DB,$B116,8),"")</f>
        <v/>
      </c>
      <c r="E116" s="307" t="str">
        <f t="array" ref="E116">IF($B116&gt;0,INDEX(DB,$B116,3),"")</f>
        <v/>
      </c>
      <c r="F116" s="308">
        <f t="array" ref="F116">IF($B116&gt;0,INDEX(DB,$B116,13),0)</f>
        <v>0</v>
      </c>
      <c r="G116" s="309">
        <f t="array" ref="G116">IF($B116&gt;0,INDEX(DB,$B116,17),0)</f>
        <v>0</v>
      </c>
      <c r="H116" s="310">
        <f t="array" ref="H116">IF($B116&gt;0,INDEX(DB,$B116,15),0)</f>
        <v>0</v>
      </c>
      <c r="I116" s="309">
        <f t="array" ref="I116">IF($B116&gt;0,INDEX(DB,$B116,19),0)</f>
        <v>0</v>
      </c>
      <c r="J116" s="310">
        <f t="array" ref="J116">IF($B116&gt;0,INDEX(DB,$B116,14),0)</f>
        <v>0</v>
      </c>
      <c r="K116" s="309">
        <f t="array" ref="K116">IF($B116&gt;0,INDEX(DB,$B116,18),0)</f>
        <v>0</v>
      </c>
      <c r="L116" s="308">
        <f t="array" ref="L116">IF($B116&gt;0,INDEX(DB,$B116,16),0)</f>
        <v>0</v>
      </c>
      <c r="M116" s="309">
        <f t="array" ref="M116">IF($B116&gt;0,INDEX(DB,$B116,20),0)</f>
        <v>0</v>
      </c>
      <c r="N116" s="25"/>
      <c r="O116" s="311">
        <f t="shared" si="1"/>
        <v>0</v>
      </c>
      <c r="P116" s="31"/>
      <c r="Q116" s="261" t="str">
        <f t="shared" si="2"/>
        <v>#REF!</v>
      </c>
      <c r="R116" s="312" t="str">
        <f>IF($AI116&gt;0,RANK($AI116,BoysPoints),0)</f>
        <v>#REF!</v>
      </c>
      <c r="S116" s="313" t="str">
        <f>IF($AJ116&gt;0,RANK($AJ116,GirlsPoints),0)</f>
        <v>#REF!</v>
      </c>
      <c r="T116" s="314">
        <f>IF($O116&gt;0,RANK(O116,AthletePoints),0)</f>
        <v>0</v>
      </c>
      <c r="U116" s="210"/>
      <c r="V116" s="444" t="str">
        <f>IF(O116&gt;=40,IF(X116="M",VLOOKUP(O116,UKABoysAwards,2),IF(X116="F",VLOOKUP(O116,UKAGirlsAwards,2),"")),"")</f>
        <v/>
      </c>
      <c r="W116" s="210"/>
      <c r="X116" s="266" t="str">
        <f t="array" ref="X116:X117">INDEX(DB,$B116,4)</f>
        <v>#REF!</v>
      </c>
      <c r="Y116" s="210"/>
      <c r="Z116" s="316" t="str">
        <f t="shared" si="3"/>
        <v>#REF!</v>
      </c>
      <c r="AA116" s="243" t="str">
        <f>IF($Z116&gt;=1,RANK($Z116,$Z101:$Z116),0)</f>
        <v>#REF!</v>
      </c>
      <c r="AB116" s="245" t="str">
        <f>IF(AA116&lt;=MaxS,INT(Z116),0)</f>
        <v>#REF!</v>
      </c>
      <c r="AC116" s="210" t="str">
        <f>SUM(AB101:AB116)</f>
        <v>#REF!</v>
      </c>
      <c r="AD116" s="316" t="str">
        <f t="shared" si="4"/>
        <v>#REF!</v>
      </c>
      <c r="AE116" s="243" t="str">
        <f>IF($AD116&gt;=1,RANK($AD116,$AD101:$AD116),0)</f>
        <v>#REF!</v>
      </c>
      <c r="AF116" s="245" t="str">
        <f>IF(AE116&lt;=MaxS,INT(AD116),0)</f>
        <v>#REF!</v>
      </c>
      <c r="AG116" s="210" t="str">
        <f>SUM(AF101:AF116)</f>
        <v>#REF!</v>
      </c>
      <c r="AH116" s="210"/>
      <c r="AI116" s="246" t="str">
        <f t="shared" si="5"/>
        <v>#REF!</v>
      </c>
      <c r="AJ116" s="247" t="str">
        <f t="shared" si="6"/>
        <v>#REF!</v>
      </c>
    </row>
    <row r="117" ht="15.0" customHeight="1">
      <c r="A117" s="248"/>
      <c r="B117" s="250">
        <f>IF(OR(ISNA(MATCH(C117&amp;"",AthleteNumbers,0)),ISBLANK(C117)),0,MATCH(C117&amp;"",AthleteNumbers,0))</f>
        <v>0</v>
      </c>
      <c r="C117" s="251"/>
      <c r="D117" s="252" t="str">
        <f t="array" ref="D117">IF($B117&gt;0,INDEX(DB,$B117,8),"")</f>
        <v/>
      </c>
      <c r="E117" s="253" t="str">
        <f t="array" ref="E117">IF($B117&gt;0,INDEX(DB,$B117,3),"")</f>
        <v/>
      </c>
      <c r="F117" s="254">
        <f t="array" ref="F117">IF($B117&gt;0,INDEX(DB,$B117,13),0)</f>
        <v>0</v>
      </c>
      <c r="G117" s="255">
        <f t="array" ref="G117">IF($B117&gt;0,INDEX(DB,$B117,17),0)</f>
        <v>0</v>
      </c>
      <c r="H117" s="257">
        <f t="array" ref="H117">IF($B117&gt;0,INDEX(DB,$B117,15),0)</f>
        <v>0</v>
      </c>
      <c r="I117" s="255">
        <f t="array" ref="I117">IF($B117&gt;0,INDEX(DB,$B117,19),0)</f>
        <v>0</v>
      </c>
      <c r="J117" s="257">
        <f t="array" ref="J117">IF($B117&gt;0,INDEX(DB,$B117,14),0)</f>
        <v>0</v>
      </c>
      <c r="K117" s="255">
        <f t="array" ref="K117">IF($B117&gt;0,INDEX(DB,$B117,18),0)</f>
        <v>0</v>
      </c>
      <c r="L117" s="254">
        <f t="array" ref="L117">IF($B117&gt;0,INDEX(DB,$B117,16),0)</f>
        <v>0</v>
      </c>
      <c r="M117" s="255">
        <f t="array" ref="M117">IF($B117&gt;0,INDEX(DB,$B117,20),0)</f>
        <v>0</v>
      </c>
      <c r="N117" s="258" t="str">
        <f t="array" ref="N117:N133">INDEX(RelayPoints,A132)</f>
        <v>#REF!</v>
      </c>
      <c r="O117" s="259">
        <f t="shared" si="1"/>
        <v>0</v>
      </c>
      <c r="P117" s="260" t="str">
        <f>+AC132+AG132+N117</f>
        <v>#REF!</v>
      </c>
      <c r="Q117" s="261" t="str">
        <f t="shared" si="2"/>
        <v>#REF!</v>
      </c>
      <c r="R117" s="262" t="str">
        <f>IF($AI117&gt;0,RANK($AI117,BoysPoints),0)</f>
        <v>#REF!</v>
      </c>
      <c r="S117" s="263" t="str">
        <f>IF($AJ117&gt;0,RANK($AJ117,GirlsPoints),0)</f>
        <v>#REF!</v>
      </c>
      <c r="T117" s="264">
        <f>IF($O117&gt;0,RANK(O117,AthletePoints),0)</f>
        <v>0</v>
      </c>
      <c r="U117" s="210"/>
      <c r="V117" s="317" t="str">
        <f>IF(O117&gt;=40,IF(X117="M",VLOOKUP(O117,UKABoysAwards,2),IF(X117="F",VLOOKUP(O117,UKAGirlsAwards,2),"")),"")</f>
        <v/>
      </c>
      <c r="W117" s="210"/>
      <c r="X117" s="266" t="str">
        <f t="array" ref="X117:X118">INDEX(DB,$B117,4)</f>
        <v>#REF!</v>
      </c>
      <c r="Y117" s="210"/>
      <c r="Z117" s="267" t="str">
        <f t="shared" si="3"/>
        <v>#REF!</v>
      </c>
      <c r="AA117" s="268" t="str">
        <f>IF($Z117&gt;=1,RANK($Z117,$Z117:$Z132),0)</f>
        <v>#REF!</v>
      </c>
      <c r="AB117" s="269" t="str">
        <f>IF(AA117&lt;=MaxS,INT(Z117),0)</f>
        <v>#REF!</v>
      </c>
      <c r="AC117" s="210"/>
      <c r="AD117" s="267" t="str">
        <f t="shared" si="4"/>
        <v>#REF!</v>
      </c>
      <c r="AE117" s="268" t="str">
        <f>IF($AD117&gt;=1,RANK($AD117,$AD117:$AD132),0)</f>
        <v>#REF!</v>
      </c>
      <c r="AF117" s="269" t="str">
        <f>IF(AE117&lt;=MaxS,INT(AD117),0)</f>
        <v>#REF!</v>
      </c>
      <c r="AG117" s="210"/>
      <c r="AH117" s="210"/>
      <c r="AI117" s="288" t="str">
        <f t="shared" si="5"/>
        <v>#REF!</v>
      </c>
      <c r="AJ117" s="289" t="str">
        <f t="shared" si="6"/>
        <v>#REF!</v>
      </c>
    </row>
    <row r="118" ht="15.0" customHeight="1">
      <c r="A118" s="272"/>
      <c r="B118" s="250">
        <f>IF(OR(ISNA(MATCH(C118&amp;"",AthleteNumbers,0)),ISBLANK(C118)),0,MATCH(C118&amp;"",AthleteNumbers,0))</f>
        <v>0</v>
      </c>
      <c r="C118" s="413"/>
      <c r="D118" s="273" t="str">
        <f t="array" ref="D118">IF($B118&gt;0,INDEX(DB,$B118,8),"")</f>
        <v/>
      </c>
      <c r="E118" s="274" t="str">
        <f t="array" ref="E118">IF($B118&gt;0,INDEX(DB,$B118,3),"")</f>
        <v/>
      </c>
      <c r="F118" s="275">
        <f t="array" ref="F118">IF($B118&gt;0,INDEX(DB,$B118,13),0)</f>
        <v>0</v>
      </c>
      <c r="G118" s="276">
        <f t="array" ref="G118">IF($B118&gt;0,INDEX(DB,$B118,17),0)</f>
        <v>0</v>
      </c>
      <c r="H118" s="277">
        <f t="array" ref="H118">IF($B118&gt;0,INDEX(DB,$B118,15),0)</f>
        <v>0</v>
      </c>
      <c r="I118" s="276">
        <f t="array" ref="I118">IF($B118&gt;0,INDEX(DB,$B118,19),0)</f>
        <v>0</v>
      </c>
      <c r="J118" s="277">
        <f t="array" ref="J118">IF($B118&gt;0,INDEX(DB,$B118,14),0)</f>
        <v>0</v>
      </c>
      <c r="K118" s="276">
        <f t="array" ref="K118">IF($B118&gt;0,INDEX(DB,$B118,18),0)</f>
        <v>0</v>
      </c>
      <c r="L118" s="275">
        <f t="array" ref="L118">IF($B118&gt;0,INDEX(DB,$B118,16),0)</f>
        <v>0</v>
      </c>
      <c r="M118" s="276">
        <f t="array" ref="M118">IF($B118&gt;0,INDEX(DB,$B118,20),0)</f>
        <v>0</v>
      </c>
      <c r="N118" s="278"/>
      <c r="O118" s="279">
        <f t="shared" si="1"/>
        <v>0</v>
      </c>
      <c r="P118" s="280"/>
      <c r="Q118" s="261" t="str">
        <f t="shared" si="2"/>
        <v>#REF!</v>
      </c>
      <c r="R118" s="281" t="str">
        <f>IF($AI118&gt;0,RANK($AI118,BoysPoints),0)</f>
        <v>#REF!</v>
      </c>
      <c r="S118" s="282" t="str">
        <f>IF($AJ118&gt;0,RANK($AJ118,GirlsPoints),0)</f>
        <v>#REF!</v>
      </c>
      <c r="T118" s="283">
        <f>IF($O118&gt;0,RANK(O118,AthletePoints),0)</f>
        <v>0</v>
      </c>
      <c r="U118" s="210"/>
      <c r="V118" s="415" t="str">
        <f>IF(O118&gt;=40,IF(X118="M",VLOOKUP(O118,UKABoysAwards,2),IF(X118="F",VLOOKUP(O118,UKAGirlsAwards,2),"")),"")</f>
        <v/>
      </c>
      <c r="W118" s="210"/>
      <c r="X118" s="266" t="str">
        <f t="array" ref="X118:X119">INDEX(DB,$B118,4)</f>
        <v>#REF!</v>
      </c>
      <c r="Y118" s="210"/>
      <c r="Z118" s="285" t="str">
        <f t="shared" si="3"/>
        <v>#REF!</v>
      </c>
      <c r="AA118" s="286" t="str">
        <f>IF($Z118&gt;=1,RANK($Z118,$Z117:$Z132),0)</f>
        <v>#REF!</v>
      </c>
      <c r="AB118" s="287" t="str">
        <f>IF(AA118&lt;=MaxS,INT(Z118),0)</f>
        <v>#REF!</v>
      </c>
      <c r="AC118" s="210"/>
      <c r="AD118" s="285" t="str">
        <f t="shared" si="4"/>
        <v>#REF!</v>
      </c>
      <c r="AE118" s="286" t="str">
        <f>IF($AD118&gt;=1,RANK($AD118,$AD117:$AD132),0)</f>
        <v>#REF!</v>
      </c>
      <c r="AF118" s="287" t="str">
        <f>IF(AE118&lt;=MaxS,INT(AD118),0)</f>
        <v>#REF!</v>
      </c>
      <c r="AG118" s="210"/>
      <c r="AH118" s="210"/>
      <c r="AI118" s="288" t="str">
        <f t="shared" si="5"/>
        <v>#REF!</v>
      </c>
      <c r="AJ118" s="289" t="str">
        <f t="shared" si="6"/>
        <v>#REF!</v>
      </c>
    </row>
    <row r="119" ht="15.0" customHeight="1">
      <c r="A119" s="272"/>
      <c r="B119" s="250">
        <f>IF(OR(ISNA(MATCH(C119&amp;"",AthleteNumbers,0)),ISBLANK(C119)),0,MATCH(C119&amp;"",AthleteNumbers,0))</f>
        <v>0</v>
      </c>
      <c r="C119" s="413"/>
      <c r="D119" s="273" t="str">
        <f t="array" ref="D119">IF($B119&gt;0,INDEX(DB,$B119,8),"")</f>
        <v/>
      </c>
      <c r="E119" s="274" t="str">
        <f t="array" ref="E119">IF($B119&gt;0,INDEX(DB,$B119,3),"")</f>
        <v/>
      </c>
      <c r="F119" s="275">
        <f t="array" ref="F119">IF($B119&gt;0,INDEX(DB,$B119,13),0)</f>
        <v>0</v>
      </c>
      <c r="G119" s="276">
        <f t="array" ref="G119">IF($B119&gt;0,INDEX(DB,$B119,17),0)</f>
        <v>0</v>
      </c>
      <c r="H119" s="277">
        <f t="array" ref="H119">IF($B119&gt;0,INDEX(DB,$B119,15),0)</f>
        <v>0</v>
      </c>
      <c r="I119" s="276">
        <f t="array" ref="I119">IF($B119&gt;0,INDEX(DB,$B119,19),0)</f>
        <v>0</v>
      </c>
      <c r="J119" s="277">
        <f t="array" ref="J119">IF($B119&gt;0,INDEX(DB,$B119,14),0)</f>
        <v>0</v>
      </c>
      <c r="K119" s="276">
        <f t="array" ref="K119">IF($B119&gt;0,INDEX(DB,$B119,18),0)</f>
        <v>0</v>
      </c>
      <c r="L119" s="275">
        <f t="array" ref="L119">IF($B119&gt;0,INDEX(DB,$B119,16),0)</f>
        <v>0</v>
      </c>
      <c r="M119" s="276">
        <f t="array" ref="M119">IF($B119&gt;0,INDEX(DB,$B119,20),0)</f>
        <v>0</v>
      </c>
      <c r="N119" s="278"/>
      <c r="O119" s="279">
        <f t="shared" si="1"/>
        <v>0</v>
      </c>
      <c r="P119" s="280"/>
      <c r="Q119" s="261" t="str">
        <f t="shared" si="2"/>
        <v>#REF!</v>
      </c>
      <c r="R119" s="290" t="str">
        <f>IF($AI119&gt;0,RANK($AI119,BoysPoints),0)</f>
        <v>#REF!</v>
      </c>
      <c r="S119" s="291" t="str">
        <f>IF($AJ119&gt;0,RANK($AJ119,GirlsPoints),0)</f>
        <v>#REF!</v>
      </c>
      <c r="T119" s="292">
        <f>IF($O119&gt;0,RANK(O119,AthletePoints),0)</f>
        <v>0</v>
      </c>
      <c r="U119" s="210"/>
      <c r="V119" s="330" t="str">
        <f>IF(O119&gt;=40,IF(X119="M",VLOOKUP(O119,UKABoysAwards,2),IF(X119="F",VLOOKUP(O119,UKAGirlsAwards,2),"")),"")</f>
        <v/>
      </c>
      <c r="W119" s="210"/>
      <c r="X119" s="266" t="str">
        <f t="array" ref="X119:X120">INDEX(DB,$B119,4)</f>
        <v>#REF!</v>
      </c>
      <c r="Y119" s="210"/>
      <c r="Z119" s="285" t="str">
        <f t="shared" si="3"/>
        <v>#REF!</v>
      </c>
      <c r="AA119" s="286" t="str">
        <f>IF($Z119&gt;=1,RANK($Z119,$Z117:$Z132),0)</f>
        <v>#REF!</v>
      </c>
      <c r="AB119" s="287" t="str">
        <f>IF(AA119&lt;=MaxS,INT(Z119),0)</f>
        <v>#REF!</v>
      </c>
      <c r="AC119" s="210"/>
      <c r="AD119" s="285" t="str">
        <f t="shared" si="4"/>
        <v>#REF!</v>
      </c>
      <c r="AE119" s="286" t="str">
        <f>IF($AD119&gt;=1,RANK($AD119,$AD117:$AD132),0)</f>
        <v>#REF!</v>
      </c>
      <c r="AF119" s="287" t="str">
        <f>IF(AE119&lt;=MaxS,INT(AD119),0)</f>
        <v>#REF!</v>
      </c>
      <c r="AG119" s="210"/>
      <c r="AH119" s="210"/>
      <c r="AI119" s="288" t="str">
        <f t="shared" si="5"/>
        <v>#REF!</v>
      </c>
      <c r="AJ119" s="289" t="str">
        <f t="shared" si="6"/>
        <v>#REF!</v>
      </c>
    </row>
    <row r="120" ht="15.0" customHeight="1">
      <c r="A120" s="272"/>
      <c r="B120" s="250">
        <f>IF(OR(ISNA(MATCH(C120&amp;"",AthleteNumbers,0)),ISBLANK(C120)),0,MATCH(C120&amp;"",AthleteNumbers,0))</f>
        <v>0</v>
      </c>
      <c r="C120" s="413"/>
      <c r="D120" s="273" t="str">
        <f t="array" ref="D120">IF($B120&gt;0,INDEX(DB,$B120,8),"")</f>
        <v/>
      </c>
      <c r="E120" s="274" t="str">
        <f t="array" ref="E120">IF($B120&gt;0,INDEX(DB,$B120,3),"")</f>
        <v/>
      </c>
      <c r="F120" s="275">
        <f t="array" ref="F120">IF($B120&gt;0,INDEX(DB,$B120,13),0)</f>
        <v>0</v>
      </c>
      <c r="G120" s="276">
        <f t="array" ref="G120">IF($B120&gt;0,INDEX(DB,$B120,17),0)</f>
        <v>0</v>
      </c>
      <c r="H120" s="277">
        <f t="array" ref="H120">IF($B120&gt;0,INDEX(DB,$B120,15),0)</f>
        <v>0</v>
      </c>
      <c r="I120" s="276">
        <f t="array" ref="I120">IF($B120&gt;0,INDEX(DB,$B120,19),0)</f>
        <v>0</v>
      </c>
      <c r="J120" s="277">
        <f t="array" ref="J120">IF($B120&gt;0,INDEX(DB,$B120,14),0)</f>
        <v>0</v>
      </c>
      <c r="K120" s="276">
        <f t="array" ref="K120">IF($B120&gt;0,INDEX(DB,$B120,18),0)</f>
        <v>0</v>
      </c>
      <c r="L120" s="275">
        <f t="array" ref="L120">IF($B120&gt;0,INDEX(DB,$B120,16),0)</f>
        <v>0</v>
      </c>
      <c r="M120" s="276">
        <f t="array" ref="M120">IF($B120&gt;0,INDEX(DB,$B120,20),0)</f>
        <v>0</v>
      </c>
      <c r="N120" s="278"/>
      <c r="O120" s="279">
        <f t="shared" si="1"/>
        <v>0</v>
      </c>
      <c r="P120" s="280"/>
      <c r="Q120" s="261" t="str">
        <f t="shared" si="2"/>
        <v>#REF!</v>
      </c>
      <c r="R120" s="281" t="str">
        <f>IF($AI120&gt;0,RANK($AI120,BoysPoints),0)</f>
        <v>#REF!</v>
      </c>
      <c r="S120" s="282" t="str">
        <f>IF($AJ120&gt;0,RANK($AJ120,GirlsPoints),0)</f>
        <v>#REF!</v>
      </c>
      <c r="T120" s="283">
        <f>IF($O120&gt;0,RANK(O120,AthletePoints),0)</f>
        <v>0</v>
      </c>
      <c r="U120" s="210"/>
      <c r="V120" s="415" t="str">
        <f>IF(O120&gt;=40,IF(X120="M",VLOOKUP(O120,UKABoysAwards,2),IF(X120="F",VLOOKUP(O120,UKAGirlsAwards,2),"")),"")</f>
        <v/>
      </c>
      <c r="W120" s="210"/>
      <c r="X120" s="266" t="str">
        <f t="array" ref="X120:X121">INDEX(DB,$B120,4)</f>
        <v>#REF!</v>
      </c>
      <c r="Y120" s="210"/>
      <c r="Z120" s="285" t="str">
        <f t="shared" si="3"/>
        <v>#REF!</v>
      </c>
      <c r="AA120" s="286" t="str">
        <f>IF($Z120&gt;=1,RANK($Z120,$Z117:$Z132),0)</f>
        <v>#REF!</v>
      </c>
      <c r="AB120" s="287" t="str">
        <f>IF(AA120&lt;=MaxS,INT(Z120),0)</f>
        <v>#REF!</v>
      </c>
      <c r="AC120" s="210"/>
      <c r="AD120" s="285" t="str">
        <f t="shared" si="4"/>
        <v>#REF!</v>
      </c>
      <c r="AE120" s="286" t="str">
        <f>IF($AD120&gt;=1,RANK($AD120,$AD117:$AD132),0)</f>
        <v>#REF!</v>
      </c>
      <c r="AF120" s="287" t="str">
        <f>IF(AE120&lt;=MaxS,INT(AD120),0)</f>
        <v>#REF!</v>
      </c>
      <c r="AG120" s="210"/>
      <c r="AH120" s="210"/>
      <c r="AI120" s="288" t="str">
        <f t="shared" si="5"/>
        <v>#REF!</v>
      </c>
      <c r="AJ120" s="289" t="str">
        <f t="shared" si="6"/>
        <v>#REF!</v>
      </c>
    </row>
    <row r="121" ht="15.0" customHeight="1">
      <c r="A121" s="272"/>
      <c r="B121" s="250">
        <f>IF(OR(ISNA(MATCH(C121&amp;"",AthleteNumbers,0)),ISBLANK(C121)),0,MATCH(C121&amp;"",AthleteNumbers,0))</f>
        <v>0</v>
      </c>
      <c r="C121" s="413"/>
      <c r="D121" s="273" t="str">
        <f t="array" ref="D121">IF($B121&gt;0,INDEX(DB,$B121,8),"")</f>
        <v/>
      </c>
      <c r="E121" s="274" t="str">
        <f t="array" ref="E121">IF($B121&gt;0,INDEX(DB,$B121,3),"")</f>
        <v/>
      </c>
      <c r="F121" s="275">
        <f t="array" ref="F121">IF($B121&gt;0,INDEX(DB,$B121,13),0)</f>
        <v>0</v>
      </c>
      <c r="G121" s="276">
        <f t="array" ref="G121">IF($B121&gt;0,INDEX(DB,$B121,17),0)</f>
        <v>0</v>
      </c>
      <c r="H121" s="277">
        <f t="array" ref="H121">IF($B121&gt;0,INDEX(DB,$B121,15),0)</f>
        <v>0</v>
      </c>
      <c r="I121" s="276">
        <f t="array" ref="I121">IF($B121&gt;0,INDEX(DB,$B121,19),0)</f>
        <v>0</v>
      </c>
      <c r="J121" s="277">
        <f t="array" ref="J121">IF($B121&gt;0,INDEX(DB,$B121,14),0)</f>
        <v>0</v>
      </c>
      <c r="K121" s="276">
        <f t="array" ref="K121">IF($B121&gt;0,INDEX(DB,$B121,18),0)</f>
        <v>0</v>
      </c>
      <c r="L121" s="275">
        <f t="array" ref="L121">IF($B121&gt;0,INDEX(DB,$B121,16),0)</f>
        <v>0</v>
      </c>
      <c r="M121" s="276">
        <f t="array" ref="M121">IF($B121&gt;0,INDEX(DB,$B121,20),0)</f>
        <v>0</v>
      </c>
      <c r="N121" s="278"/>
      <c r="O121" s="279">
        <f t="shared" si="1"/>
        <v>0</v>
      </c>
      <c r="P121" s="280"/>
      <c r="Q121" s="261" t="str">
        <f t="shared" si="2"/>
        <v>#REF!</v>
      </c>
      <c r="R121" s="290" t="str">
        <f>IF($AI121&gt;0,RANK($AI121,BoysPoints),0)</f>
        <v>#REF!</v>
      </c>
      <c r="S121" s="291" t="str">
        <f>IF($AJ121&gt;0,RANK($AJ121,GirlsPoints),0)</f>
        <v>#REF!</v>
      </c>
      <c r="T121" s="292">
        <f>IF($O121&gt;0,RANK(O121,AthletePoints),0)</f>
        <v>0</v>
      </c>
      <c r="U121" s="210"/>
      <c r="V121" s="330" t="str">
        <f>IF(O121&gt;=40,IF(X121="M",VLOOKUP(O121,UKABoysAwards,2),IF(X121="F",VLOOKUP(O121,UKAGirlsAwards,2),"")),"")</f>
        <v/>
      </c>
      <c r="W121" s="210"/>
      <c r="X121" s="266" t="str">
        <f t="array" ref="X121:X122">INDEX(DB,$B121,4)</f>
        <v>#REF!</v>
      </c>
      <c r="Y121" s="210"/>
      <c r="Z121" s="285" t="str">
        <f t="shared" si="3"/>
        <v>#REF!</v>
      </c>
      <c r="AA121" s="286" t="str">
        <f>IF($Z121&gt;=1,RANK($Z121,$Z117:$Z132),0)</f>
        <v>#REF!</v>
      </c>
      <c r="AB121" s="287" t="str">
        <f>IF(AA121&lt;=MaxS,INT(Z121),0)</f>
        <v>#REF!</v>
      </c>
      <c r="AC121" s="210"/>
      <c r="AD121" s="285" t="str">
        <f t="shared" si="4"/>
        <v>#REF!</v>
      </c>
      <c r="AE121" s="286" t="str">
        <f>IF($AD121&gt;=1,RANK($AD121,$AD117:$AD132),0)</f>
        <v>#REF!</v>
      </c>
      <c r="AF121" s="287" t="str">
        <f>IF(AE121&lt;=MaxS,INT(AD121),0)</f>
        <v>#REF!</v>
      </c>
      <c r="AG121" s="210"/>
      <c r="AH121" s="210"/>
      <c r="AI121" s="288" t="str">
        <f t="shared" si="5"/>
        <v>#REF!</v>
      </c>
      <c r="AJ121" s="289" t="str">
        <f t="shared" si="6"/>
        <v>#REF!</v>
      </c>
    </row>
    <row r="122" ht="15.0" customHeight="1">
      <c r="A122" s="272"/>
      <c r="B122" s="250">
        <f>IF(OR(ISNA(MATCH(C122&amp;"",AthleteNumbers,0)),ISBLANK(C122)),0,MATCH(C122&amp;"",AthleteNumbers,0))</f>
        <v>0</v>
      </c>
      <c r="C122" s="413"/>
      <c r="D122" s="273" t="str">
        <f t="array" ref="D122">IF($B122&gt;0,INDEX(DB,$B122,8),"")</f>
        <v/>
      </c>
      <c r="E122" s="274" t="str">
        <f t="array" ref="E122">IF($B122&gt;0,INDEX(DB,$B122,3),"")</f>
        <v/>
      </c>
      <c r="F122" s="275">
        <f t="array" ref="F122">IF($B122&gt;0,INDEX(DB,$B122,13),0)</f>
        <v>0</v>
      </c>
      <c r="G122" s="276">
        <f t="array" ref="G122">IF($B122&gt;0,INDEX(DB,$B122,17),0)</f>
        <v>0</v>
      </c>
      <c r="H122" s="277">
        <f t="array" ref="H122">IF($B122&gt;0,INDEX(DB,$B122,15),0)</f>
        <v>0</v>
      </c>
      <c r="I122" s="276">
        <f t="array" ref="I122">IF($B122&gt;0,INDEX(DB,$B122,19),0)</f>
        <v>0</v>
      </c>
      <c r="J122" s="277">
        <f t="array" ref="J122">IF($B122&gt;0,INDEX(DB,$B122,14),0)</f>
        <v>0</v>
      </c>
      <c r="K122" s="276">
        <f t="array" ref="K122">IF($B122&gt;0,INDEX(DB,$B122,18),0)</f>
        <v>0</v>
      </c>
      <c r="L122" s="275">
        <f t="array" ref="L122">IF($B122&gt;0,INDEX(DB,$B122,16),0)</f>
        <v>0</v>
      </c>
      <c r="M122" s="276">
        <f t="array" ref="M122">IF($B122&gt;0,INDEX(DB,$B122,20),0)</f>
        <v>0</v>
      </c>
      <c r="N122" s="278"/>
      <c r="O122" s="279">
        <f t="shared" si="1"/>
        <v>0</v>
      </c>
      <c r="P122" s="280"/>
      <c r="Q122" s="261" t="str">
        <f t="shared" si="2"/>
        <v>#REF!</v>
      </c>
      <c r="R122" s="281" t="str">
        <f>IF($AI122&gt;0,RANK($AI122,BoysPoints),0)</f>
        <v>#REF!</v>
      </c>
      <c r="S122" s="282" t="str">
        <f>IF($AJ122&gt;0,RANK($AJ122,GirlsPoints),0)</f>
        <v>#REF!</v>
      </c>
      <c r="T122" s="283">
        <f>IF($O122&gt;0,RANK(O122,AthletePoints),0)</f>
        <v>0</v>
      </c>
      <c r="U122" s="210"/>
      <c r="V122" s="415" t="str">
        <f>IF(O122&gt;=40,IF(X122="M",VLOOKUP(O122,UKABoysAwards,2),IF(X122="F",VLOOKUP(O122,UKAGirlsAwards,2),"")),"")</f>
        <v/>
      </c>
      <c r="W122" s="210"/>
      <c r="X122" s="266" t="str">
        <f t="array" ref="X122:X123">INDEX(DB,$B122,4)</f>
        <v>#REF!</v>
      </c>
      <c r="Y122" s="210"/>
      <c r="Z122" s="285" t="str">
        <f t="shared" si="3"/>
        <v>#REF!</v>
      </c>
      <c r="AA122" s="286" t="str">
        <f>IF($Z122&gt;=1,RANK($Z122,$Z117:$Z132),0)</f>
        <v>#REF!</v>
      </c>
      <c r="AB122" s="287" t="str">
        <f>IF(AA122&lt;=MaxS,INT(Z122),0)</f>
        <v>#REF!</v>
      </c>
      <c r="AC122" s="210"/>
      <c r="AD122" s="285" t="str">
        <f t="shared" si="4"/>
        <v>#REF!</v>
      </c>
      <c r="AE122" s="286" t="str">
        <f>IF($AD122&gt;=1,RANK($AD122,$AD117:$AD132),0)</f>
        <v>#REF!</v>
      </c>
      <c r="AF122" s="287" t="str">
        <f>IF(AE122&lt;=MaxS,INT(AD122),0)</f>
        <v>#REF!</v>
      </c>
      <c r="AG122" s="210"/>
      <c r="AH122" s="210"/>
      <c r="AI122" s="288" t="str">
        <f t="shared" si="5"/>
        <v>#REF!</v>
      </c>
      <c r="AJ122" s="289" t="str">
        <f t="shared" si="6"/>
        <v>#REF!</v>
      </c>
    </row>
    <row r="123" ht="15.0" customHeight="1">
      <c r="A123" s="272"/>
      <c r="B123" s="250">
        <f>IF(OR(ISNA(MATCH(C123&amp;"",AthleteNumbers,0)),ISBLANK(C123)),0,MATCH(C123&amp;"",AthleteNumbers,0))</f>
        <v>0</v>
      </c>
      <c r="C123" s="413"/>
      <c r="D123" s="273" t="str">
        <f t="array" ref="D123">IF($B123&gt;0,INDEX(DB,$B123,8),"")</f>
        <v/>
      </c>
      <c r="E123" s="274" t="str">
        <f t="array" ref="E123">IF($B123&gt;0,INDEX(DB,$B123,3),"")</f>
        <v/>
      </c>
      <c r="F123" s="275">
        <f t="array" ref="F123">IF($B123&gt;0,INDEX(DB,$B123,13),0)</f>
        <v>0</v>
      </c>
      <c r="G123" s="276">
        <f t="array" ref="G123">IF($B123&gt;0,INDEX(DB,$B123,17),0)</f>
        <v>0</v>
      </c>
      <c r="H123" s="277">
        <f t="array" ref="H123">IF($B123&gt;0,INDEX(DB,$B123,15),0)</f>
        <v>0</v>
      </c>
      <c r="I123" s="276">
        <f t="array" ref="I123">IF($B123&gt;0,INDEX(DB,$B123,19),0)</f>
        <v>0</v>
      </c>
      <c r="J123" s="277">
        <f t="array" ref="J123">IF($B123&gt;0,INDEX(DB,$B123,14),0)</f>
        <v>0</v>
      </c>
      <c r="K123" s="276">
        <f t="array" ref="K123">IF($B123&gt;0,INDEX(DB,$B123,18),0)</f>
        <v>0</v>
      </c>
      <c r="L123" s="275">
        <f t="array" ref="L123">IF($B123&gt;0,INDEX(DB,$B123,16),0)</f>
        <v>0</v>
      </c>
      <c r="M123" s="276">
        <f t="array" ref="M123">IF($B123&gt;0,INDEX(DB,$B123,20),0)</f>
        <v>0</v>
      </c>
      <c r="N123" s="278"/>
      <c r="O123" s="279">
        <f t="shared" si="1"/>
        <v>0</v>
      </c>
      <c r="P123" s="280"/>
      <c r="Q123" s="261" t="str">
        <f t="shared" si="2"/>
        <v>#REF!</v>
      </c>
      <c r="R123" s="290" t="str">
        <f>IF($AI123&gt;0,RANK($AI123,BoysPoints),0)</f>
        <v>#REF!</v>
      </c>
      <c r="S123" s="291" t="str">
        <f>IF($AJ123&gt;0,RANK($AJ123,GirlsPoints),0)</f>
        <v>#REF!</v>
      </c>
      <c r="T123" s="292">
        <f>IF($O123&gt;0,RANK(O123,AthletePoints),0)</f>
        <v>0</v>
      </c>
      <c r="U123" s="210"/>
      <c r="V123" s="330" t="str">
        <f>IF(O123&gt;=40,IF(X123="M",VLOOKUP(O123,UKABoysAwards,2),IF(X123="F",VLOOKUP(O123,UKAGirlsAwards,2),"")),"")</f>
        <v/>
      </c>
      <c r="W123" s="210"/>
      <c r="X123" s="266" t="str">
        <f t="array" ref="X123:X124">INDEX(DB,$B123,4)</f>
        <v>#REF!</v>
      </c>
      <c r="Y123" s="210"/>
      <c r="Z123" s="285" t="str">
        <f t="shared" si="3"/>
        <v>#REF!</v>
      </c>
      <c r="AA123" s="286" t="str">
        <f>IF($Z123&gt;=1,RANK($Z123,$Z117:$Z132),0)</f>
        <v>#REF!</v>
      </c>
      <c r="AB123" s="287" t="str">
        <f>IF(AA123&lt;=MaxS,INT(Z123),0)</f>
        <v>#REF!</v>
      </c>
      <c r="AC123" s="210"/>
      <c r="AD123" s="285" t="str">
        <f t="shared" si="4"/>
        <v>#REF!</v>
      </c>
      <c r="AE123" s="286" t="str">
        <f>IF($AD123&gt;=1,RANK($AD123,$AD117:$AD132),0)</f>
        <v>#REF!</v>
      </c>
      <c r="AF123" s="287" t="str">
        <f>IF(AE123&lt;=MaxS,INT(AD123),0)</f>
        <v>#REF!</v>
      </c>
      <c r="AG123" s="210"/>
      <c r="AH123" s="210"/>
      <c r="AI123" s="288" t="str">
        <f t="shared" si="5"/>
        <v>#REF!</v>
      </c>
      <c r="AJ123" s="289" t="str">
        <f t="shared" si="6"/>
        <v>#REF!</v>
      </c>
    </row>
    <row r="124" ht="15.0" customHeight="1">
      <c r="A124" s="272"/>
      <c r="B124" s="250">
        <f>IF(OR(ISNA(MATCH(C124&amp;"",AthleteNumbers,0)),ISBLANK(C124)),0,MATCH(C124&amp;"",AthleteNumbers,0))</f>
        <v>0</v>
      </c>
      <c r="C124" s="413"/>
      <c r="D124" s="273" t="str">
        <f t="array" ref="D124">IF($B124&gt;0,INDEX(DB,$B124,8),"")</f>
        <v/>
      </c>
      <c r="E124" s="274" t="str">
        <f t="array" ref="E124">IF($B124&gt;0,INDEX(DB,$B124,3),"")</f>
        <v/>
      </c>
      <c r="F124" s="275">
        <f t="array" ref="F124">IF($B124&gt;0,INDEX(DB,$B124,13),0)</f>
        <v>0</v>
      </c>
      <c r="G124" s="276">
        <f t="array" ref="G124">IF($B124&gt;0,INDEX(DB,$B124,17),0)</f>
        <v>0</v>
      </c>
      <c r="H124" s="277">
        <f t="array" ref="H124">IF($B124&gt;0,INDEX(DB,$B124,15),0)</f>
        <v>0</v>
      </c>
      <c r="I124" s="276">
        <f t="array" ref="I124">IF($B124&gt;0,INDEX(DB,$B124,19),0)</f>
        <v>0</v>
      </c>
      <c r="J124" s="277">
        <f t="array" ref="J124">IF($B124&gt;0,INDEX(DB,$B124,14),0)</f>
        <v>0</v>
      </c>
      <c r="K124" s="276">
        <f t="array" ref="K124">IF($B124&gt;0,INDEX(DB,$B124,18),0)</f>
        <v>0</v>
      </c>
      <c r="L124" s="275">
        <f t="array" ref="L124">IF($B124&gt;0,INDEX(DB,$B124,16),0)</f>
        <v>0</v>
      </c>
      <c r="M124" s="276">
        <f t="array" ref="M124">IF($B124&gt;0,INDEX(DB,$B124,20),0)</f>
        <v>0</v>
      </c>
      <c r="N124" s="278"/>
      <c r="O124" s="279">
        <f t="shared" si="1"/>
        <v>0</v>
      </c>
      <c r="P124" s="280"/>
      <c r="Q124" s="261" t="str">
        <f t="shared" si="2"/>
        <v>#REF!</v>
      </c>
      <c r="R124" s="281" t="str">
        <f>IF($AI124&gt;0,RANK($AI124,BoysPoints),0)</f>
        <v>#REF!</v>
      </c>
      <c r="S124" s="282" t="str">
        <f>IF($AJ124&gt;0,RANK($AJ124,GirlsPoints),0)</f>
        <v>#REF!</v>
      </c>
      <c r="T124" s="283">
        <f>IF($O124&gt;0,RANK(O124,AthletePoints),0)</f>
        <v>0</v>
      </c>
      <c r="U124" s="210"/>
      <c r="V124" s="415" t="str">
        <f>IF(O124&gt;=40,IF(X124="M",VLOOKUP(O124,UKABoysAwards,2),IF(X124="F",VLOOKUP(O124,UKAGirlsAwards,2),"")),"")</f>
        <v/>
      </c>
      <c r="W124" s="210"/>
      <c r="X124" s="266" t="str">
        <f t="array" ref="X124:X125">INDEX(DB,$B124,4)</f>
        <v>#REF!</v>
      </c>
      <c r="Y124" s="210"/>
      <c r="Z124" s="285" t="str">
        <f t="shared" si="3"/>
        <v>#REF!</v>
      </c>
      <c r="AA124" s="286" t="str">
        <f>IF($Z124&gt;=1,RANK($Z124,$Z117:$Z132),0)</f>
        <v>#REF!</v>
      </c>
      <c r="AB124" s="287" t="str">
        <f>IF(AA124&lt;=MaxS,INT(Z124),0)</f>
        <v>#REF!</v>
      </c>
      <c r="AC124" s="210"/>
      <c r="AD124" s="285" t="str">
        <f t="shared" si="4"/>
        <v>#REF!</v>
      </c>
      <c r="AE124" s="286" t="str">
        <f>IF($AD124&gt;=1,RANK($AD124,$AD117:$AD132),0)</f>
        <v>#REF!</v>
      </c>
      <c r="AF124" s="287" t="str">
        <f>IF(AE124&lt;=MaxS,INT(AD124),0)</f>
        <v>#REF!</v>
      </c>
      <c r="AG124" s="210"/>
      <c r="AH124" s="210"/>
      <c r="AI124" s="288" t="str">
        <f t="shared" si="5"/>
        <v>#REF!</v>
      </c>
      <c r="AJ124" s="289" t="str">
        <f t="shared" si="6"/>
        <v>#REF!</v>
      </c>
    </row>
    <row r="125" ht="15.0" customHeight="1">
      <c r="A125" s="272"/>
      <c r="B125" s="250">
        <f>IF(OR(ISNA(MATCH(C125&amp;"",AthleteNumbers,0)),ISBLANK(C125)),0,MATCH(C125&amp;"",AthleteNumbers,0))</f>
        <v>0</v>
      </c>
      <c r="C125" s="413"/>
      <c r="D125" s="273" t="str">
        <f t="array" ref="D125">IF($B125&gt;0,INDEX(DB,$B125,8),"")</f>
        <v/>
      </c>
      <c r="E125" s="274" t="str">
        <f t="array" ref="E125">IF($B125&gt;0,INDEX(DB,$B125,3),"")</f>
        <v/>
      </c>
      <c r="F125" s="275">
        <f t="array" ref="F125">IF($B125&gt;0,INDEX(DB,$B125,13),0)</f>
        <v>0</v>
      </c>
      <c r="G125" s="276">
        <f t="array" ref="G125">IF($B125&gt;0,INDEX(DB,$B125,17),0)</f>
        <v>0</v>
      </c>
      <c r="H125" s="277">
        <f t="array" ref="H125">IF($B125&gt;0,INDEX(DB,$B125,15),0)</f>
        <v>0</v>
      </c>
      <c r="I125" s="276">
        <f t="array" ref="I125">IF($B125&gt;0,INDEX(DB,$B125,19),0)</f>
        <v>0</v>
      </c>
      <c r="J125" s="277">
        <f t="array" ref="J125">IF($B125&gt;0,INDEX(DB,$B125,14),0)</f>
        <v>0</v>
      </c>
      <c r="K125" s="276">
        <f t="array" ref="K125">IF($B125&gt;0,INDEX(DB,$B125,18),0)</f>
        <v>0</v>
      </c>
      <c r="L125" s="275">
        <f t="array" ref="L125">IF($B125&gt;0,INDEX(DB,$B125,16),0)</f>
        <v>0</v>
      </c>
      <c r="M125" s="276">
        <f t="array" ref="M125">IF($B125&gt;0,INDEX(DB,$B125,20),0)</f>
        <v>0</v>
      </c>
      <c r="N125" s="278"/>
      <c r="O125" s="279">
        <f t="shared" si="1"/>
        <v>0</v>
      </c>
      <c r="P125" s="280"/>
      <c r="Q125" s="261" t="str">
        <f t="shared" si="2"/>
        <v>#REF!</v>
      </c>
      <c r="R125" s="290" t="str">
        <f>IF($AI125&gt;0,RANK($AI125,BoysPoints),0)</f>
        <v>#REF!</v>
      </c>
      <c r="S125" s="291" t="str">
        <f>IF($AJ125&gt;0,RANK($AJ125,GirlsPoints),0)</f>
        <v>#REF!</v>
      </c>
      <c r="T125" s="292">
        <f>IF($O125&gt;0,RANK(O125,AthletePoints),0)</f>
        <v>0</v>
      </c>
      <c r="U125" s="210"/>
      <c r="V125" s="330" t="str">
        <f>IF(O125&gt;=40,IF(X125="M",VLOOKUP(O125,UKABoysAwards,2),IF(X125="F",VLOOKUP(O125,UKAGirlsAwards,2),"")),"")</f>
        <v/>
      </c>
      <c r="W125" s="210"/>
      <c r="X125" s="266" t="str">
        <f t="array" ref="X125:X126">INDEX(DB,$B125,4)</f>
        <v>#REF!</v>
      </c>
      <c r="Y125" s="210"/>
      <c r="Z125" s="285" t="str">
        <f t="shared" si="3"/>
        <v>#REF!</v>
      </c>
      <c r="AA125" s="286" t="str">
        <f>IF($Z125&gt;=1,RANK($Z125,$Z117:$Z132),0)</f>
        <v>#REF!</v>
      </c>
      <c r="AB125" s="287" t="str">
        <f>IF(AA125&lt;=MaxS,INT(Z125),0)</f>
        <v>#REF!</v>
      </c>
      <c r="AC125" s="210"/>
      <c r="AD125" s="285" t="str">
        <f t="shared" si="4"/>
        <v>#REF!</v>
      </c>
      <c r="AE125" s="286" t="str">
        <f>IF($AD125&gt;=1,RANK($AD125,$AD117:$AD132),0)</f>
        <v>#REF!</v>
      </c>
      <c r="AF125" s="287" t="str">
        <f>IF(AE125&lt;=MaxS,INT(AD125),0)</f>
        <v>#REF!</v>
      </c>
      <c r="AG125" s="210"/>
      <c r="AH125" s="210"/>
      <c r="AI125" s="288" t="str">
        <f t="shared" si="5"/>
        <v>#REF!</v>
      </c>
      <c r="AJ125" s="289" t="str">
        <f t="shared" si="6"/>
        <v>#REF!</v>
      </c>
    </row>
    <row r="126" ht="15.0" customHeight="1">
      <c r="A126" s="272"/>
      <c r="B126" s="250">
        <f>IF(OR(ISNA(MATCH(C126&amp;"",AthleteNumbers,0)),ISBLANK(C126)),0,MATCH(C126&amp;"",AthleteNumbers,0))</f>
        <v>0</v>
      </c>
      <c r="C126" s="413"/>
      <c r="D126" s="273" t="str">
        <f t="array" ref="D126">IF($B126&gt;0,INDEX(DB,$B126,8),"")</f>
        <v/>
      </c>
      <c r="E126" s="274" t="str">
        <f t="array" ref="E126">IF($B126&gt;0,INDEX(DB,$B126,3),"")</f>
        <v/>
      </c>
      <c r="F126" s="275">
        <f t="array" ref="F126">IF($B126&gt;0,INDEX(DB,$B126,13),0)</f>
        <v>0</v>
      </c>
      <c r="G126" s="276">
        <f t="array" ref="G126">IF($B126&gt;0,INDEX(DB,$B126,17),0)</f>
        <v>0</v>
      </c>
      <c r="H126" s="277">
        <f t="array" ref="H126">IF($B126&gt;0,INDEX(DB,$B126,15),0)</f>
        <v>0</v>
      </c>
      <c r="I126" s="276">
        <f t="array" ref="I126">IF($B126&gt;0,INDEX(DB,$B126,19),0)</f>
        <v>0</v>
      </c>
      <c r="J126" s="277">
        <f t="array" ref="J126">IF($B126&gt;0,INDEX(DB,$B126,14),0)</f>
        <v>0</v>
      </c>
      <c r="K126" s="276">
        <f t="array" ref="K126">IF($B126&gt;0,INDEX(DB,$B126,18),0)</f>
        <v>0</v>
      </c>
      <c r="L126" s="275">
        <f t="array" ref="L126">IF($B126&gt;0,INDEX(DB,$B126,16),0)</f>
        <v>0</v>
      </c>
      <c r="M126" s="276">
        <f t="array" ref="M126">IF($B126&gt;0,INDEX(DB,$B126,20),0)</f>
        <v>0</v>
      </c>
      <c r="N126" s="278"/>
      <c r="O126" s="279">
        <f t="shared" si="1"/>
        <v>0</v>
      </c>
      <c r="P126" s="280"/>
      <c r="Q126" s="261" t="str">
        <f t="shared" si="2"/>
        <v>#REF!</v>
      </c>
      <c r="R126" s="281" t="str">
        <f>IF($AI126&gt;0,RANK($AI126,BoysPoints),0)</f>
        <v>#REF!</v>
      </c>
      <c r="S126" s="282" t="str">
        <f>IF($AJ126&gt;0,RANK($AJ126,GirlsPoints),0)</f>
        <v>#REF!</v>
      </c>
      <c r="T126" s="283">
        <f>IF($O126&gt;0,RANK(O126,AthletePoints),0)</f>
        <v>0</v>
      </c>
      <c r="U126" s="210"/>
      <c r="V126" s="415" t="str">
        <f>IF(O126&gt;=40,IF(X126="M",VLOOKUP(O126,UKABoysAwards,2),IF(X126="F",VLOOKUP(O126,UKAGirlsAwards,2),"")),"")</f>
        <v/>
      </c>
      <c r="W126" s="210"/>
      <c r="X126" s="266" t="str">
        <f t="array" ref="X126:X127">INDEX(DB,$B126,4)</f>
        <v>#REF!</v>
      </c>
      <c r="Y126" s="210"/>
      <c r="Z126" s="285" t="str">
        <f t="shared" si="3"/>
        <v>#REF!</v>
      </c>
      <c r="AA126" s="286" t="str">
        <f>IF($Z126&gt;=1,RANK($Z126,$Z117:$Z132),0)</f>
        <v>#REF!</v>
      </c>
      <c r="AB126" s="287" t="str">
        <f>IF(AA126&lt;=MaxS,INT(Z126),0)</f>
        <v>#REF!</v>
      </c>
      <c r="AC126" s="210"/>
      <c r="AD126" s="285" t="str">
        <f t="shared" si="4"/>
        <v>#REF!</v>
      </c>
      <c r="AE126" s="286" t="str">
        <f>IF($AD126&gt;=1,RANK($AD126,$AD117:$AD132),0)</f>
        <v>#REF!</v>
      </c>
      <c r="AF126" s="287" t="str">
        <f>IF(AE126&lt;=MaxS,INT(AD126),0)</f>
        <v>#REF!</v>
      </c>
      <c r="AG126" s="210"/>
      <c r="AH126" s="210"/>
      <c r="AI126" s="288" t="str">
        <f t="shared" si="5"/>
        <v>#REF!</v>
      </c>
      <c r="AJ126" s="289" t="str">
        <f t="shared" si="6"/>
        <v>#REF!</v>
      </c>
    </row>
    <row r="127" ht="15.0" customHeight="1">
      <c r="A127" s="272"/>
      <c r="B127" s="250">
        <f>IF(OR(ISNA(MATCH(C127&amp;"",AthleteNumbers,0)),ISBLANK(C127)),0,MATCH(C127&amp;"",AthleteNumbers,0))</f>
        <v>0</v>
      </c>
      <c r="C127" s="413"/>
      <c r="D127" s="273" t="str">
        <f t="array" ref="D127">IF($B127&gt;0,INDEX(DB,$B127,8),"")</f>
        <v/>
      </c>
      <c r="E127" s="274" t="str">
        <f t="array" ref="E127">IF($B127&gt;0,INDEX(DB,$B127,3),"")</f>
        <v/>
      </c>
      <c r="F127" s="275">
        <f t="array" ref="F127">IF($B127&gt;0,INDEX(DB,$B127,13),0)</f>
        <v>0</v>
      </c>
      <c r="G127" s="276">
        <f t="array" ref="G127">IF($B127&gt;0,INDEX(DB,$B127,17),0)</f>
        <v>0</v>
      </c>
      <c r="H127" s="277">
        <f t="array" ref="H127">IF($B127&gt;0,INDEX(DB,$B127,15),0)</f>
        <v>0</v>
      </c>
      <c r="I127" s="276">
        <f t="array" ref="I127">IF($B127&gt;0,INDEX(DB,$B127,19),0)</f>
        <v>0</v>
      </c>
      <c r="J127" s="277">
        <f t="array" ref="J127">IF($B127&gt;0,INDEX(DB,$B127,14),0)</f>
        <v>0</v>
      </c>
      <c r="K127" s="276">
        <f t="array" ref="K127">IF($B127&gt;0,INDEX(DB,$B127,18),0)</f>
        <v>0</v>
      </c>
      <c r="L127" s="275">
        <f t="array" ref="L127">IF($B127&gt;0,INDEX(DB,$B127,16),0)</f>
        <v>0</v>
      </c>
      <c r="M127" s="276">
        <f t="array" ref="M127">IF($B127&gt;0,INDEX(DB,$B127,20),0)</f>
        <v>0</v>
      </c>
      <c r="N127" s="278"/>
      <c r="O127" s="279">
        <f t="shared" si="1"/>
        <v>0</v>
      </c>
      <c r="P127" s="280"/>
      <c r="Q127" s="261" t="str">
        <f t="shared" si="2"/>
        <v>#REF!</v>
      </c>
      <c r="R127" s="290" t="str">
        <f>IF($AI127&gt;0,RANK($AI127,BoysPoints),0)</f>
        <v>#REF!</v>
      </c>
      <c r="S127" s="291" t="str">
        <f>IF($AJ127&gt;0,RANK($AJ127,GirlsPoints),0)</f>
        <v>#REF!</v>
      </c>
      <c r="T127" s="292">
        <f>IF($O127&gt;0,RANK(O127,AthletePoints),0)</f>
        <v>0</v>
      </c>
      <c r="U127" s="210"/>
      <c r="V127" s="330" t="str">
        <f>IF(O127&gt;=40,IF(X127="M",VLOOKUP(O127,UKABoysAwards,2),IF(X127="F",VLOOKUP(O127,UKAGirlsAwards,2),"")),"")</f>
        <v/>
      </c>
      <c r="W127" s="210"/>
      <c r="X127" s="266" t="str">
        <f t="array" ref="X127:X128">INDEX(DB,$B127,4)</f>
        <v>#REF!</v>
      </c>
      <c r="Y127" s="210"/>
      <c r="Z127" s="285" t="str">
        <f t="shared" si="3"/>
        <v>#REF!</v>
      </c>
      <c r="AA127" s="286" t="str">
        <f>IF($Z127&gt;=1,RANK($Z127,$Z117:$Z132),0)</f>
        <v>#REF!</v>
      </c>
      <c r="AB127" s="287" t="str">
        <f>IF(AA127&lt;=MaxS,INT(Z127),0)</f>
        <v>#REF!</v>
      </c>
      <c r="AC127" s="210"/>
      <c r="AD127" s="285" t="str">
        <f t="shared" si="4"/>
        <v>#REF!</v>
      </c>
      <c r="AE127" s="286" t="str">
        <f>IF($AD127&gt;=1,RANK($AD127,$AD117:$AD132),0)</f>
        <v>#REF!</v>
      </c>
      <c r="AF127" s="287" t="str">
        <f>IF(AE127&lt;=MaxS,INT(AD127),0)</f>
        <v>#REF!</v>
      </c>
      <c r="AG127" s="210"/>
      <c r="AH127" s="210"/>
      <c r="AI127" s="288" t="str">
        <f t="shared" si="5"/>
        <v>#REF!</v>
      </c>
      <c r="AJ127" s="289" t="str">
        <f t="shared" si="6"/>
        <v>#REF!</v>
      </c>
    </row>
    <row r="128" ht="15.0" customHeight="1">
      <c r="A128" s="272"/>
      <c r="B128" s="250">
        <f>IF(OR(ISNA(MATCH(C128&amp;"",AthleteNumbers,0)),ISBLANK(C128)),0,MATCH(C128&amp;"",AthleteNumbers,0))</f>
        <v>0</v>
      </c>
      <c r="C128" s="413"/>
      <c r="D128" s="273" t="str">
        <f t="array" ref="D128">IF($B128&gt;0,INDEX(DB,$B128,8),"")</f>
        <v/>
      </c>
      <c r="E128" s="274" t="str">
        <f t="array" ref="E128">IF($B128&gt;0,INDEX(DB,$B128,3),"")</f>
        <v/>
      </c>
      <c r="F128" s="275">
        <f t="array" ref="F128">IF($B128&gt;0,INDEX(DB,$B128,13),0)</f>
        <v>0</v>
      </c>
      <c r="G128" s="276">
        <f t="array" ref="G128">IF($B128&gt;0,INDEX(DB,$B128,17),0)</f>
        <v>0</v>
      </c>
      <c r="H128" s="277">
        <f t="array" ref="H128">IF($B128&gt;0,INDEX(DB,$B128,15),0)</f>
        <v>0</v>
      </c>
      <c r="I128" s="276">
        <f t="array" ref="I128">IF($B128&gt;0,INDEX(DB,$B128,19),0)</f>
        <v>0</v>
      </c>
      <c r="J128" s="277">
        <f t="array" ref="J128">IF($B128&gt;0,INDEX(DB,$B128,14),0)</f>
        <v>0</v>
      </c>
      <c r="K128" s="276">
        <f t="array" ref="K128">IF($B128&gt;0,INDEX(DB,$B128,18),0)</f>
        <v>0</v>
      </c>
      <c r="L128" s="275">
        <f t="array" ref="L128">IF($B128&gt;0,INDEX(DB,$B128,16),0)</f>
        <v>0</v>
      </c>
      <c r="M128" s="276">
        <f t="array" ref="M128">IF($B128&gt;0,INDEX(DB,$B128,20),0)</f>
        <v>0</v>
      </c>
      <c r="N128" s="278"/>
      <c r="O128" s="279">
        <f t="shared" si="1"/>
        <v>0</v>
      </c>
      <c r="P128" s="280"/>
      <c r="Q128" s="261" t="str">
        <f t="shared" si="2"/>
        <v>#REF!</v>
      </c>
      <c r="R128" s="281" t="str">
        <f>IF($AI128&gt;0,RANK($AI128,BoysPoints),0)</f>
        <v>#REF!</v>
      </c>
      <c r="S128" s="282" t="str">
        <f>IF($AJ128&gt;0,RANK($AJ128,GirlsPoints),0)</f>
        <v>#REF!</v>
      </c>
      <c r="T128" s="283">
        <f>IF($O128&gt;0,RANK(O128,AthletePoints),0)</f>
        <v>0</v>
      </c>
      <c r="U128" s="210"/>
      <c r="V128" s="415" t="str">
        <f>IF(O128&gt;=40,IF(X128="M",VLOOKUP(O128,UKABoysAwards,2),IF(X128="F",VLOOKUP(O128,UKAGirlsAwards,2),"")),"")</f>
        <v/>
      </c>
      <c r="W128" s="210"/>
      <c r="X128" s="266" t="str">
        <f t="array" ref="X128:X129">INDEX(DB,$B128,4)</f>
        <v>#REF!</v>
      </c>
      <c r="Y128" s="210"/>
      <c r="Z128" s="285" t="str">
        <f t="shared" si="3"/>
        <v>#REF!</v>
      </c>
      <c r="AA128" s="286" t="str">
        <f>IF($Z128&gt;=1,RANK($Z128,$Z117:$Z132),0)</f>
        <v>#REF!</v>
      </c>
      <c r="AB128" s="287" t="str">
        <f>IF(AA128&lt;=MaxS,INT(Z128),0)</f>
        <v>#REF!</v>
      </c>
      <c r="AC128" s="210"/>
      <c r="AD128" s="285" t="str">
        <f t="shared" si="4"/>
        <v>#REF!</v>
      </c>
      <c r="AE128" s="286" t="str">
        <f>IF($AD128&gt;=1,RANK($AD128,$AD117:$AD132),0)</f>
        <v>#REF!</v>
      </c>
      <c r="AF128" s="287" t="str">
        <f>IF(AE128&lt;=MaxS,INT(AD128),0)</f>
        <v>#REF!</v>
      </c>
      <c r="AG128" s="210"/>
      <c r="AH128" s="210"/>
      <c r="AI128" s="288" t="str">
        <f t="shared" si="5"/>
        <v>#REF!</v>
      </c>
      <c r="AJ128" s="289" t="str">
        <f t="shared" si="6"/>
        <v>#REF!</v>
      </c>
    </row>
    <row r="129" ht="15.0" customHeight="1">
      <c r="A129" s="272"/>
      <c r="B129" s="250">
        <f>IF(OR(ISNA(MATCH(C129&amp;"",AthleteNumbers,0)),ISBLANK(C129)),0,MATCH(C129&amp;"",AthleteNumbers,0))</f>
        <v>0</v>
      </c>
      <c r="C129" s="413"/>
      <c r="D129" s="273" t="str">
        <f t="array" ref="D129">IF($B129&gt;0,INDEX(DB,$B129,8),"")</f>
        <v/>
      </c>
      <c r="E129" s="274" t="str">
        <f t="array" ref="E129">IF($B129&gt;0,INDEX(DB,$B129,3),"")</f>
        <v/>
      </c>
      <c r="F129" s="275">
        <f t="array" ref="F129">IF($B129&gt;0,INDEX(DB,$B129,13),0)</f>
        <v>0</v>
      </c>
      <c r="G129" s="276">
        <f t="array" ref="G129">IF($B129&gt;0,INDEX(DB,$B129,17),0)</f>
        <v>0</v>
      </c>
      <c r="H129" s="277">
        <f t="array" ref="H129">IF($B129&gt;0,INDEX(DB,$B129,15),0)</f>
        <v>0</v>
      </c>
      <c r="I129" s="276">
        <f t="array" ref="I129">IF($B129&gt;0,INDEX(DB,$B129,19),0)</f>
        <v>0</v>
      </c>
      <c r="J129" s="277">
        <f t="array" ref="J129">IF($B129&gt;0,INDEX(DB,$B129,14),0)</f>
        <v>0</v>
      </c>
      <c r="K129" s="276">
        <f t="array" ref="K129">IF($B129&gt;0,INDEX(DB,$B129,18),0)</f>
        <v>0</v>
      </c>
      <c r="L129" s="275">
        <f t="array" ref="L129">IF($B129&gt;0,INDEX(DB,$B129,16),0)</f>
        <v>0</v>
      </c>
      <c r="M129" s="276">
        <f t="array" ref="M129">IF($B129&gt;0,INDEX(DB,$B129,20),0)</f>
        <v>0</v>
      </c>
      <c r="N129" s="278"/>
      <c r="O129" s="279">
        <f t="shared" si="1"/>
        <v>0</v>
      </c>
      <c r="P129" s="280"/>
      <c r="Q129" s="261" t="str">
        <f t="shared" si="2"/>
        <v>#REF!</v>
      </c>
      <c r="R129" s="290" t="str">
        <f>IF($AI129&gt;0,RANK($AI129,BoysPoints),0)</f>
        <v>#REF!</v>
      </c>
      <c r="S129" s="291" t="str">
        <f>IF($AJ129&gt;0,RANK($AJ129,GirlsPoints),0)</f>
        <v>#REF!</v>
      </c>
      <c r="T129" s="292">
        <f>IF($O129&gt;0,RANK(O129,AthletePoints),0)</f>
        <v>0</v>
      </c>
      <c r="U129" s="210"/>
      <c r="V129" s="330" t="str">
        <f>IF(O129&gt;=40,IF(X129="M",VLOOKUP(O129,UKABoysAwards,2),IF(X129="F",VLOOKUP(O129,UKAGirlsAwards,2),"")),"")</f>
        <v/>
      </c>
      <c r="W129" s="210"/>
      <c r="X129" s="266" t="str">
        <f t="array" ref="X129:X130">INDEX(DB,$B129,4)</f>
        <v>#REF!</v>
      </c>
      <c r="Y129" s="210"/>
      <c r="Z129" s="285" t="str">
        <f t="shared" si="3"/>
        <v>#REF!</v>
      </c>
      <c r="AA129" s="286" t="str">
        <f>IF($Z129&gt;=1,RANK($Z129,$Z117:$Z132),0)</f>
        <v>#REF!</v>
      </c>
      <c r="AB129" s="287" t="str">
        <f>IF(AA129&lt;=MaxS,INT(Z129),0)</f>
        <v>#REF!</v>
      </c>
      <c r="AC129" s="210"/>
      <c r="AD129" s="285" t="str">
        <f t="shared" si="4"/>
        <v>#REF!</v>
      </c>
      <c r="AE129" s="286" t="str">
        <f>IF($AD129&gt;=1,RANK($AD129,$AD117:$AD132),0)</f>
        <v>#REF!</v>
      </c>
      <c r="AF129" s="287" t="str">
        <f>IF(AE129&lt;=MaxS,INT(AD129),0)</f>
        <v>#REF!</v>
      </c>
      <c r="AG129" s="210"/>
      <c r="AH129" s="210"/>
      <c r="AI129" s="288" t="str">
        <f t="shared" si="5"/>
        <v>#REF!</v>
      </c>
      <c r="AJ129" s="289" t="str">
        <f t="shared" si="6"/>
        <v>#REF!</v>
      </c>
    </row>
    <row r="130" ht="15.0" customHeight="1">
      <c r="A130" s="272"/>
      <c r="B130" s="250">
        <f>IF(OR(ISNA(MATCH(C130&amp;"",AthleteNumbers,0)),ISBLANK(C130)),0,MATCH(C130&amp;"",AthleteNumbers,0))</f>
        <v>0</v>
      </c>
      <c r="C130" s="413"/>
      <c r="D130" s="273" t="str">
        <f t="array" ref="D130">IF($B130&gt;0,INDEX(DB,$B130,8),"")</f>
        <v/>
      </c>
      <c r="E130" s="274" t="str">
        <f t="array" ref="E130">IF($B130&gt;0,INDEX(DB,$B130,3),"")</f>
        <v/>
      </c>
      <c r="F130" s="275">
        <f t="array" ref="F130">IF($B130&gt;0,INDEX(DB,$B130,13),0)</f>
        <v>0</v>
      </c>
      <c r="G130" s="276">
        <f t="array" ref="G130">IF($B130&gt;0,INDEX(DB,$B130,17),0)</f>
        <v>0</v>
      </c>
      <c r="H130" s="277">
        <f t="array" ref="H130">IF($B130&gt;0,INDEX(DB,$B130,15),0)</f>
        <v>0</v>
      </c>
      <c r="I130" s="276">
        <f t="array" ref="I130">IF($B130&gt;0,INDEX(DB,$B130,19),0)</f>
        <v>0</v>
      </c>
      <c r="J130" s="277">
        <f t="array" ref="J130">IF($B130&gt;0,INDEX(DB,$B130,14),0)</f>
        <v>0</v>
      </c>
      <c r="K130" s="276">
        <f t="array" ref="K130">IF($B130&gt;0,INDEX(DB,$B130,18),0)</f>
        <v>0</v>
      </c>
      <c r="L130" s="275">
        <f t="array" ref="L130">IF($B130&gt;0,INDEX(DB,$B130,16),0)</f>
        <v>0</v>
      </c>
      <c r="M130" s="276">
        <f t="array" ref="M130">IF($B130&gt;0,INDEX(DB,$B130,20),0)</f>
        <v>0</v>
      </c>
      <c r="N130" s="278"/>
      <c r="O130" s="279">
        <f t="shared" si="1"/>
        <v>0</v>
      </c>
      <c r="P130" s="280"/>
      <c r="Q130" s="261" t="str">
        <f t="shared" si="2"/>
        <v>#REF!</v>
      </c>
      <c r="R130" s="281" t="str">
        <f>IF($AI130&gt;0,RANK($AI130,BoysPoints),0)</f>
        <v>#REF!</v>
      </c>
      <c r="S130" s="282" t="str">
        <f>IF($AJ130&gt;0,RANK($AJ130,GirlsPoints),0)</f>
        <v>#REF!</v>
      </c>
      <c r="T130" s="283">
        <f>IF($O130&gt;0,RANK(O130,AthletePoints),0)</f>
        <v>0</v>
      </c>
      <c r="U130" s="210"/>
      <c r="V130" s="415" t="str">
        <f>IF(O130&gt;=40,IF(X130="M",VLOOKUP(O130,UKABoysAwards,2),IF(X130="F",VLOOKUP(O130,UKAGirlsAwards,2),"")),"")</f>
        <v/>
      </c>
      <c r="W130" s="210"/>
      <c r="X130" s="266" t="str">
        <f t="array" ref="X130:X131">INDEX(DB,$B130,4)</f>
        <v>#REF!</v>
      </c>
      <c r="Y130" s="210"/>
      <c r="Z130" s="285" t="str">
        <f t="shared" si="3"/>
        <v>#REF!</v>
      </c>
      <c r="AA130" s="286" t="str">
        <f>IF($Z130&gt;=1,RANK($Z130,$Z117:$Z132),0)</f>
        <v>#REF!</v>
      </c>
      <c r="AB130" s="287" t="str">
        <f>IF(AA130&lt;=MaxS,INT(Z130),0)</f>
        <v>#REF!</v>
      </c>
      <c r="AC130" s="210"/>
      <c r="AD130" s="285" t="str">
        <f t="shared" si="4"/>
        <v>#REF!</v>
      </c>
      <c r="AE130" s="286" t="str">
        <f>IF($AD130&gt;=1,RANK($AD130,$AD117:$AD132),0)</f>
        <v>#REF!</v>
      </c>
      <c r="AF130" s="287" t="str">
        <f>IF(AE130&lt;=MaxS,INT(AD130),0)</f>
        <v>#REF!</v>
      </c>
      <c r="AG130" s="210"/>
      <c r="AH130" s="210"/>
      <c r="AI130" s="288" t="str">
        <f t="shared" si="5"/>
        <v>#REF!</v>
      </c>
      <c r="AJ130" s="289" t="str">
        <f t="shared" si="6"/>
        <v>#REF!</v>
      </c>
    </row>
    <row r="131" ht="15.0" customHeight="1">
      <c r="A131" s="272"/>
      <c r="B131" s="250">
        <f>IF(OR(ISNA(MATCH(C131&amp;"",AthleteNumbers,0)),ISBLANK(C131)),0,MATCH(C131&amp;"",AthleteNumbers,0))</f>
        <v>0</v>
      </c>
      <c r="C131" s="413"/>
      <c r="D131" s="273" t="str">
        <f t="array" ref="D131">IF($B131&gt;0,INDEX(DB,$B131,8),"")</f>
        <v/>
      </c>
      <c r="E131" s="274" t="str">
        <f t="array" ref="E131">IF($B131&gt;0,INDEX(DB,$B131,3),"")</f>
        <v/>
      </c>
      <c r="F131" s="275">
        <f t="array" ref="F131">IF($B131&gt;0,INDEX(DB,$B131,13),0)</f>
        <v>0</v>
      </c>
      <c r="G131" s="276">
        <f t="array" ref="G131">IF($B131&gt;0,INDEX(DB,$B131,17),0)</f>
        <v>0</v>
      </c>
      <c r="H131" s="277">
        <f t="array" ref="H131">IF($B131&gt;0,INDEX(DB,$B131,15),0)</f>
        <v>0</v>
      </c>
      <c r="I131" s="276">
        <f t="array" ref="I131">IF($B131&gt;0,INDEX(DB,$B131,19),0)</f>
        <v>0</v>
      </c>
      <c r="J131" s="277">
        <f t="array" ref="J131">IF($B131&gt;0,INDEX(DB,$B131,14),0)</f>
        <v>0</v>
      </c>
      <c r="K131" s="276">
        <f t="array" ref="K131">IF($B131&gt;0,INDEX(DB,$B131,18),0)</f>
        <v>0</v>
      </c>
      <c r="L131" s="275">
        <f t="array" ref="L131">IF($B131&gt;0,INDEX(DB,$B131,16),0)</f>
        <v>0</v>
      </c>
      <c r="M131" s="276">
        <f t="array" ref="M131">IF($B131&gt;0,INDEX(DB,$B131,20),0)</f>
        <v>0</v>
      </c>
      <c r="N131" s="278"/>
      <c r="O131" s="279">
        <f t="shared" si="1"/>
        <v>0</v>
      </c>
      <c r="P131" s="280"/>
      <c r="Q131" s="261" t="str">
        <f t="shared" si="2"/>
        <v>#REF!</v>
      </c>
      <c r="R131" s="290" t="str">
        <f>IF($AI131&gt;0,RANK($AI131,BoysPoints),0)</f>
        <v>#REF!</v>
      </c>
      <c r="S131" s="291" t="str">
        <f>IF($AJ131&gt;0,RANK($AJ131,GirlsPoints),0)</f>
        <v>#REF!</v>
      </c>
      <c r="T131" s="292">
        <f>IF($O131&gt;0,RANK(O131,AthletePoints),0)</f>
        <v>0</v>
      </c>
      <c r="U131" s="210"/>
      <c r="V131" s="330" t="str">
        <f>IF(O131&gt;=40,IF(X131="M",VLOOKUP(O131,UKABoysAwards,2),IF(X131="F",VLOOKUP(O131,UKAGirlsAwards,2),"")),"")</f>
        <v/>
      </c>
      <c r="W131" s="210"/>
      <c r="X131" s="266" t="str">
        <f t="array" ref="X131:X132">INDEX(DB,$B131,4)</f>
        <v>#REF!</v>
      </c>
      <c r="Y131" s="210"/>
      <c r="Z131" s="285" t="str">
        <f t="shared" si="3"/>
        <v>#REF!</v>
      </c>
      <c r="AA131" s="286" t="str">
        <f>IF($Z131&gt;=1,RANK($Z131,$Z117:$Z132),0)</f>
        <v>#REF!</v>
      </c>
      <c r="AB131" s="287" t="str">
        <f>IF(AA131&lt;=MaxS,INT(Z131),0)</f>
        <v>#REF!</v>
      </c>
      <c r="AC131" s="210"/>
      <c r="AD131" s="285" t="str">
        <f t="shared" si="4"/>
        <v>#REF!</v>
      </c>
      <c r="AE131" s="286" t="str">
        <f>IF($AD131&gt;=1,RANK($AD131,$AD117:$AD132),0)</f>
        <v>#REF!</v>
      </c>
      <c r="AF131" s="287" t="str">
        <f>IF(AE131&lt;=MaxS,INT(AD131),0)</f>
        <v>#REF!</v>
      </c>
      <c r="AG131" s="210"/>
      <c r="AH131" s="210"/>
      <c r="AI131" s="288" t="str">
        <f t="shared" si="5"/>
        <v>#REF!</v>
      </c>
      <c r="AJ131" s="289" t="str">
        <f t="shared" si="6"/>
        <v>#REF!</v>
      </c>
    </row>
    <row r="132" ht="15.0" customHeight="1">
      <c r="A132" s="305"/>
      <c r="B132" s="250">
        <f>IF(OR(ISNA(MATCH(C132&amp;"",AthleteNumbers,0)),ISBLANK(C132)),0,MATCH(C132&amp;"",AthleteNumbers,0))</f>
        <v>0</v>
      </c>
      <c r="C132" s="443"/>
      <c r="D132" s="306" t="str">
        <f t="array" ref="D132">IF($B132&gt;0,INDEX(DB,$B132,8),"")</f>
        <v/>
      </c>
      <c r="E132" s="307" t="str">
        <f t="array" ref="E132">IF($B132&gt;0,INDEX(DB,$B132,3),"")</f>
        <v/>
      </c>
      <c r="F132" s="308">
        <f t="array" ref="F132">IF($B132&gt;0,INDEX(DB,$B132,13),0)</f>
        <v>0</v>
      </c>
      <c r="G132" s="309">
        <f t="array" ref="G132">IF($B132&gt;0,INDEX(DB,$B132,17),0)</f>
        <v>0</v>
      </c>
      <c r="H132" s="310">
        <f t="array" ref="H132">IF($B132&gt;0,INDEX(DB,$B132,15),0)</f>
        <v>0</v>
      </c>
      <c r="I132" s="309">
        <f t="array" ref="I132">IF($B132&gt;0,INDEX(DB,$B132,19),0)</f>
        <v>0</v>
      </c>
      <c r="J132" s="310">
        <f t="array" ref="J132">IF($B132&gt;0,INDEX(DB,$B132,14),0)</f>
        <v>0</v>
      </c>
      <c r="K132" s="309">
        <f t="array" ref="K132">IF($B132&gt;0,INDEX(DB,$B132,18),0)</f>
        <v>0</v>
      </c>
      <c r="L132" s="308">
        <f t="array" ref="L132">IF($B132&gt;0,INDEX(DB,$B132,16),0)</f>
        <v>0</v>
      </c>
      <c r="M132" s="309">
        <f t="array" ref="M132">IF($B132&gt;0,INDEX(DB,$B132,20),0)</f>
        <v>0</v>
      </c>
      <c r="N132" s="25"/>
      <c r="O132" s="311">
        <f t="shared" si="1"/>
        <v>0</v>
      </c>
      <c r="P132" s="31"/>
      <c r="Q132" s="261" t="str">
        <f t="shared" si="2"/>
        <v>#REF!</v>
      </c>
      <c r="R132" s="312" t="str">
        <f>IF($AI132&gt;0,RANK($AI132,BoysPoints),0)</f>
        <v>#REF!</v>
      </c>
      <c r="S132" s="313" t="str">
        <f>IF($AJ132&gt;0,RANK($AJ132,GirlsPoints),0)</f>
        <v>#REF!</v>
      </c>
      <c r="T132" s="314">
        <f>IF($O132&gt;0,RANK(O132,AthletePoints),0)</f>
        <v>0</v>
      </c>
      <c r="U132" s="210"/>
      <c r="V132" s="444" t="str">
        <f>IF(O132&gt;=40,IF(X132="M",VLOOKUP(O132,UKABoysAwards,2),IF(X132="F",VLOOKUP(O132,UKAGirlsAwards,2),"")),"")</f>
        <v/>
      </c>
      <c r="W132" s="210"/>
      <c r="X132" s="266" t="str">
        <f t="array" ref="X132:X133">INDEX(DB,$B132,4)</f>
        <v>#REF!</v>
      </c>
      <c r="Y132" s="210"/>
      <c r="Z132" s="316" t="str">
        <f t="shared" si="3"/>
        <v>#REF!</v>
      </c>
      <c r="AA132" s="243" t="str">
        <f>IF($Z132&gt;=1,RANK($Z132,$Z117:$Z132),0)</f>
        <v>#REF!</v>
      </c>
      <c r="AB132" s="245" t="str">
        <f>IF(AA132&lt;=MaxS,INT(Z132),0)</f>
        <v>#REF!</v>
      </c>
      <c r="AC132" s="210" t="str">
        <f>SUM(AB117:AB132)</f>
        <v>#REF!</v>
      </c>
      <c r="AD132" s="316" t="str">
        <f t="shared" si="4"/>
        <v>#REF!</v>
      </c>
      <c r="AE132" s="243" t="str">
        <f>IF($AD132&gt;=1,RANK($AD132,$AD117:$AD132),0)</f>
        <v>#REF!</v>
      </c>
      <c r="AF132" s="245" t="str">
        <f>IF(AE132&lt;=MaxS,INT(AD132),0)</f>
        <v>#REF!</v>
      </c>
      <c r="AG132" s="210" t="str">
        <f>SUM(AF117:AF132)</f>
        <v>#REF!</v>
      </c>
      <c r="AH132" s="210"/>
      <c r="AI132" s="246" t="str">
        <f t="shared" si="5"/>
        <v>#REF!</v>
      </c>
      <c r="AJ132" s="247" t="str">
        <f t="shared" si="6"/>
        <v>#REF!</v>
      </c>
    </row>
    <row r="133" ht="15.0" customHeight="1">
      <c r="A133" s="248"/>
      <c r="B133" s="250">
        <f>IF(OR(ISNA(MATCH(C133&amp;"",AthleteNumbers,0)),ISBLANK(C133)),0,MATCH(C133&amp;"",AthleteNumbers,0))</f>
        <v>0</v>
      </c>
      <c r="C133" s="251"/>
      <c r="D133" s="252" t="str">
        <f t="array" ref="D133">IF($B133&gt;0,INDEX(DB,$B133,8),"")</f>
        <v/>
      </c>
      <c r="E133" s="253" t="str">
        <f t="array" ref="E133">IF($B133&gt;0,INDEX(DB,$B133,3),"")</f>
        <v/>
      </c>
      <c r="F133" s="254">
        <f t="array" ref="F133">IF($B133&gt;0,INDEX(DB,$B133,13),0)</f>
        <v>0</v>
      </c>
      <c r="G133" s="255">
        <f t="array" ref="G133">IF($B133&gt;0,INDEX(DB,$B133,17),0)</f>
        <v>0</v>
      </c>
      <c r="H133" s="257">
        <f t="array" ref="H133">IF($B133&gt;0,INDEX(DB,$B133,15),0)</f>
        <v>0</v>
      </c>
      <c r="I133" s="255">
        <f t="array" ref="I133">IF($B133&gt;0,INDEX(DB,$B133,19),0)</f>
        <v>0</v>
      </c>
      <c r="J133" s="257">
        <f t="array" ref="J133">IF($B133&gt;0,INDEX(DB,$B133,14),0)</f>
        <v>0</v>
      </c>
      <c r="K133" s="255">
        <f t="array" ref="K133">IF($B133&gt;0,INDEX(DB,$B133,18),0)</f>
        <v>0</v>
      </c>
      <c r="L133" s="254">
        <f t="array" ref="L133">IF($B133&gt;0,INDEX(DB,$B133,16),0)</f>
        <v>0</v>
      </c>
      <c r="M133" s="255">
        <f t="array" ref="M133">IF($B133&gt;0,INDEX(DB,$B133,20),0)</f>
        <v>0</v>
      </c>
      <c r="N133" s="258" t="str">
        <f t="array" ref="N133:N149">INDEX(RelayPoints,A148)</f>
        <v>#REF!</v>
      </c>
      <c r="O133" s="259">
        <f t="shared" si="1"/>
        <v>0</v>
      </c>
      <c r="P133" s="260" t="str">
        <f>+AC148+AG148+N133</f>
        <v>#REF!</v>
      </c>
      <c r="Q133" s="261" t="str">
        <f t="shared" si="2"/>
        <v>#REF!</v>
      </c>
      <c r="R133" s="262" t="str">
        <f>IF($AI133&gt;0,RANK($AI133,BoysPoints),0)</f>
        <v>#REF!</v>
      </c>
      <c r="S133" s="263" t="str">
        <f>IF($AJ133&gt;0,RANK($AJ133,GirlsPoints),0)</f>
        <v>#REF!</v>
      </c>
      <c r="T133" s="264">
        <f>IF($O133&gt;0,RANK(O133,AthletePoints),0)</f>
        <v>0</v>
      </c>
      <c r="U133" s="210"/>
      <c r="V133" s="317" t="str">
        <f>IF(O133&gt;=40,IF(X133="M",VLOOKUP(O133,UKABoysAwards,2),IF(X133="F",VLOOKUP(O133,UKAGirlsAwards,2),"")),"")</f>
        <v/>
      </c>
      <c r="W133" s="210"/>
      <c r="X133" s="266" t="str">
        <f t="array" ref="X133:X134">INDEX(DB,$B133,4)</f>
        <v>#REF!</v>
      </c>
      <c r="Y133" s="210"/>
      <c r="Z133" s="267" t="str">
        <f t="shared" si="3"/>
        <v>#REF!</v>
      </c>
      <c r="AA133" s="268" t="str">
        <f>IF($Z133&gt;=1,RANK($Z133,$Z133:$Z148),0)</f>
        <v>#REF!</v>
      </c>
      <c r="AB133" s="269" t="str">
        <f>IF(AA133&lt;=MaxS,INT(Z133),0)</f>
        <v>#REF!</v>
      </c>
      <c r="AC133" s="210"/>
      <c r="AD133" s="267" t="str">
        <f t="shared" si="4"/>
        <v>#REF!</v>
      </c>
      <c r="AE133" s="268" t="str">
        <f>IF($AD133&gt;=1,RANK($AD133,$AD133:$AD148),0)</f>
        <v>#REF!</v>
      </c>
      <c r="AF133" s="269" t="str">
        <f>IF(AE133&lt;=MaxS,INT(AD133),0)</f>
        <v>#REF!</v>
      </c>
      <c r="AG133" s="210"/>
      <c r="AH133" s="210"/>
      <c r="AI133" s="288" t="str">
        <f t="shared" si="5"/>
        <v>#REF!</v>
      </c>
      <c r="AJ133" s="289" t="str">
        <f t="shared" si="6"/>
        <v>#REF!</v>
      </c>
    </row>
    <row r="134" ht="15.0" customHeight="1">
      <c r="A134" s="272"/>
      <c r="B134" s="250">
        <f>IF(OR(ISNA(MATCH(C134&amp;"",AthleteNumbers,0)),ISBLANK(C134)),0,MATCH(C134&amp;"",AthleteNumbers,0))</f>
        <v>0</v>
      </c>
      <c r="C134" s="413"/>
      <c r="D134" s="273" t="str">
        <f t="array" ref="D134">IF($B134&gt;0,INDEX(DB,$B134,8),"")</f>
        <v/>
      </c>
      <c r="E134" s="274" t="str">
        <f t="array" ref="E134">IF($B134&gt;0,INDEX(DB,$B134,3),"")</f>
        <v/>
      </c>
      <c r="F134" s="275">
        <f t="array" ref="F134">IF($B134&gt;0,INDEX(DB,$B134,13),0)</f>
        <v>0</v>
      </c>
      <c r="G134" s="276">
        <f t="array" ref="G134">IF($B134&gt;0,INDEX(DB,$B134,17),0)</f>
        <v>0</v>
      </c>
      <c r="H134" s="277">
        <f t="array" ref="H134">IF($B134&gt;0,INDEX(DB,$B134,15),0)</f>
        <v>0</v>
      </c>
      <c r="I134" s="276">
        <f t="array" ref="I134">IF($B134&gt;0,INDEX(DB,$B134,19),0)</f>
        <v>0</v>
      </c>
      <c r="J134" s="277">
        <f t="array" ref="J134">IF($B134&gt;0,INDEX(DB,$B134,14),0)</f>
        <v>0</v>
      </c>
      <c r="K134" s="276">
        <f t="array" ref="K134">IF($B134&gt;0,INDEX(DB,$B134,18),0)</f>
        <v>0</v>
      </c>
      <c r="L134" s="275">
        <f t="array" ref="L134">IF($B134&gt;0,INDEX(DB,$B134,16),0)</f>
        <v>0</v>
      </c>
      <c r="M134" s="276">
        <f t="array" ref="M134">IF($B134&gt;0,INDEX(DB,$B134,20),0)</f>
        <v>0</v>
      </c>
      <c r="N134" s="278"/>
      <c r="O134" s="279">
        <f t="shared" si="1"/>
        <v>0</v>
      </c>
      <c r="P134" s="280"/>
      <c r="Q134" s="261" t="str">
        <f t="shared" si="2"/>
        <v>#REF!</v>
      </c>
      <c r="R134" s="281" t="str">
        <f>IF($AI134&gt;0,RANK($AI134,BoysPoints),0)</f>
        <v>#REF!</v>
      </c>
      <c r="S134" s="282" t="str">
        <f>IF($AJ134&gt;0,RANK($AJ134,GirlsPoints),0)</f>
        <v>#REF!</v>
      </c>
      <c r="T134" s="283">
        <f>IF($O134&gt;0,RANK(O134,AthletePoints),0)</f>
        <v>0</v>
      </c>
      <c r="U134" s="210"/>
      <c r="V134" s="415" t="str">
        <f>IF(O134&gt;=40,IF(X134="M",VLOOKUP(O134,UKABoysAwards,2),IF(X134="F",VLOOKUP(O134,UKAGirlsAwards,2),"")),"")</f>
        <v/>
      </c>
      <c r="W134" s="210"/>
      <c r="X134" s="266" t="str">
        <f t="array" ref="X134:X135">INDEX(DB,$B134,4)</f>
        <v>#REF!</v>
      </c>
      <c r="Y134" s="210"/>
      <c r="Z134" s="285" t="str">
        <f t="shared" si="3"/>
        <v>#REF!</v>
      </c>
      <c r="AA134" s="286" t="str">
        <f>IF($Z134&gt;=1,RANK($Z134,$Z133:$Z148),0)</f>
        <v>#REF!</v>
      </c>
      <c r="AB134" s="287" t="str">
        <f>IF(AA134&lt;=MaxS,INT(Z134),0)</f>
        <v>#REF!</v>
      </c>
      <c r="AC134" s="210"/>
      <c r="AD134" s="285" t="str">
        <f t="shared" si="4"/>
        <v>#REF!</v>
      </c>
      <c r="AE134" s="286" t="str">
        <f>IF($AD134&gt;=1,RANK($AD134,$AD133:$AD148),0)</f>
        <v>#REF!</v>
      </c>
      <c r="AF134" s="287" t="str">
        <f>IF(AE134&lt;=MaxS,INT(AD134),0)</f>
        <v>#REF!</v>
      </c>
      <c r="AG134" s="210"/>
      <c r="AH134" s="210"/>
      <c r="AI134" s="288" t="str">
        <f t="shared" si="5"/>
        <v>#REF!</v>
      </c>
      <c r="AJ134" s="289" t="str">
        <f t="shared" si="6"/>
        <v>#REF!</v>
      </c>
    </row>
    <row r="135" ht="15.0" customHeight="1">
      <c r="A135" s="272"/>
      <c r="B135" s="250">
        <f>IF(OR(ISNA(MATCH(C135&amp;"",AthleteNumbers,0)),ISBLANK(C135)),0,MATCH(C135&amp;"",AthleteNumbers,0))</f>
        <v>0</v>
      </c>
      <c r="C135" s="413"/>
      <c r="D135" s="273" t="str">
        <f t="array" ref="D135">IF($B135&gt;0,INDEX(DB,$B135,8),"")</f>
        <v/>
      </c>
      <c r="E135" s="274" t="str">
        <f t="array" ref="E135">IF($B135&gt;0,INDEX(DB,$B135,3),"")</f>
        <v/>
      </c>
      <c r="F135" s="275">
        <f t="array" ref="F135">IF($B135&gt;0,INDEX(DB,$B135,13),0)</f>
        <v>0</v>
      </c>
      <c r="G135" s="276">
        <f t="array" ref="G135">IF($B135&gt;0,INDEX(DB,$B135,17),0)</f>
        <v>0</v>
      </c>
      <c r="H135" s="277">
        <f t="array" ref="H135">IF($B135&gt;0,INDEX(DB,$B135,15),0)</f>
        <v>0</v>
      </c>
      <c r="I135" s="276">
        <f t="array" ref="I135">IF($B135&gt;0,INDEX(DB,$B135,19),0)</f>
        <v>0</v>
      </c>
      <c r="J135" s="277">
        <f t="array" ref="J135">IF($B135&gt;0,INDEX(DB,$B135,14),0)</f>
        <v>0</v>
      </c>
      <c r="K135" s="276">
        <f t="array" ref="K135">IF($B135&gt;0,INDEX(DB,$B135,18),0)</f>
        <v>0</v>
      </c>
      <c r="L135" s="275">
        <f t="array" ref="L135">IF($B135&gt;0,INDEX(DB,$B135,16),0)</f>
        <v>0</v>
      </c>
      <c r="M135" s="276">
        <f t="array" ref="M135">IF($B135&gt;0,INDEX(DB,$B135,20),0)</f>
        <v>0</v>
      </c>
      <c r="N135" s="278"/>
      <c r="O135" s="279">
        <f t="shared" si="1"/>
        <v>0</v>
      </c>
      <c r="P135" s="280"/>
      <c r="Q135" s="261" t="str">
        <f t="shared" si="2"/>
        <v>#REF!</v>
      </c>
      <c r="R135" s="290" t="str">
        <f>IF($AI135&gt;0,RANK($AI135,BoysPoints),0)</f>
        <v>#REF!</v>
      </c>
      <c r="S135" s="291" t="str">
        <f>IF($AJ135&gt;0,RANK($AJ135,GirlsPoints),0)</f>
        <v>#REF!</v>
      </c>
      <c r="T135" s="292">
        <f>IF($O135&gt;0,RANK(O135,AthletePoints),0)</f>
        <v>0</v>
      </c>
      <c r="U135" s="210"/>
      <c r="V135" s="330" t="str">
        <f>IF(O135&gt;=40,IF(X135="M",VLOOKUP(O135,UKABoysAwards,2),IF(X135="F",VLOOKUP(O135,UKAGirlsAwards,2),"")),"")</f>
        <v/>
      </c>
      <c r="W135" s="210"/>
      <c r="X135" s="266" t="str">
        <f t="array" ref="X135:X136">INDEX(DB,$B135,4)</f>
        <v>#REF!</v>
      </c>
      <c r="Y135" s="210"/>
      <c r="Z135" s="285" t="str">
        <f t="shared" si="3"/>
        <v>#REF!</v>
      </c>
      <c r="AA135" s="286" t="str">
        <f>IF($Z135&gt;=1,RANK($Z135,$Z133:$Z148),0)</f>
        <v>#REF!</v>
      </c>
      <c r="AB135" s="287" t="str">
        <f>IF(AA135&lt;=MaxS,INT(Z135),0)</f>
        <v>#REF!</v>
      </c>
      <c r="AC135" s="210"/>
      <c r="AD135" s="285" t="str">
        <f t="shared" si="4"/>
        <v>#REF!</v>
      </c>
      <c r="AE135" s="286" t="str">
        <f>IF($AD135&gt;=1,RANK($AD135,$AD133:$AD148),0)</f>
        <v>#REF!</v>
      </c>
      <c r="AF135" s="287" t="str">
        <f>IF(AE135&lt;=MaxS,INT(AD135),0)</f>
        <v>#REF!</v>
      </c>
      <c r="AG135" s="210"/>
      <c r="AH135" s="210"/>
      <c r="AI135" s="288" t="str">
        <f t="shared" si="5"/>
        <v>#REF!</v>
      </c>
      <c r="AJ135" s="289" t="str">
        <f t="shared" si="6"/>
        <v>#REF!</v>
      </c>
    </row>
    <row r="136" ht="15.0" customHeight="1">
      <c r="A136" s="272"/>
      <c r="B136" s="250">
        <f>IF(OR(ISNA(MATCH(C136&amp;"",AthleteNumbers,0)),ISBLANK(C136)),0,MATCH(C136&amp;"",AthleteNumbers,0))</f>
        <v>0</v>
      </c>
      <c r="C136" s="413"/>
      <c r="D136" s="273" t="str">
        <f t="array" ref="D136">IF($B136&gt;0,INDEX(DB,$B136,8),"")</f>
        <v/>
      </c>
      <c r="E136" s="274" t="str">
        <f t="array" ref="E136">IF($B136&gt;0,INDEX(DB,$B136,3),"")</f>
        <v/>
      </c>
      <c r="F136" s="275">
        <f t="array" ref="F136">IF($B136&gt;0,INDEX(DB,$B136,13),0)</f>
        <v>0</v>
      </c>
      <c r="G136" s="276">
        <f t="array" ref="G136">IF($B136&gt;0,INDEX(DB,$B136,17),0)</f>
        <v>0</v>
      </c>
      <c r="H136" s="277">
        <f t="array" ref="H136">IF($B136&gt;0,INDEX(DB,$B136,15),0)</f>
        <v>0</v>
      </c>
      <c r="I136" s="276">
        <f t="array" ref="I136">IF($B136&gt;0,INDEX(DB,$B136,19),0)</f>
        <v>0</v>
      </c>
      <c r="J136" s="277">
        <f t="array" ref="J136">IF($B136&gt;0,INDEX(DB,$B136,14),0)</f>
        <v>0</v>
      </c>
      <c r="K136" s="276">
        <f t="array" ref="K136">IF($B136&gt;0,INDEX(DB,$B136,18),0)</f>
        <v>0</v>
      </c>
      <c r="L136" s="275">
        <f t="array" ref="L136">IF($B136&gt;0,INDEX(DB,$B136,16),0)</f>
        <v>0</v>
      </c>
      <c r="M136" s="276">
        <f t="array" ref="M136">IF($B136&gt;0,INDEX(DB,$B136,20),0)</f>
        <v>0</v>
      </c>
      <c r="N136" s="278"/>
      <c r="O136" s="279">
        <f t="shared" si="1"/>
        <v>0</v>
      </c>
      <c r="P136" s="280"/>
      <c r="Q136" s="261" t="str">
        <f t="shared" si="2"/>
        <v>#REF!</v>
      </c>
      <c r="R136" s="281" t="str">
        <f>IF($AI136&gt;0,RANK($AI136,BoysPoints),0)</f>
        <v>#REF!</v>
      </c>
      <c r="S136" s="282" t="str">
        <f>IF($AJ136&gt;0,RANK($AJ136,GirlsPoints),0)</f>
        <v>#REF!</v>
      </c>
      <c r="T136" s="283">
        <f>IF($O136&gt;0,RANK(O136,AthletePoints),0)</f>
        <v>0</v>
      </c>
      <c r="U136" s="210"/>
      <c r="V136" s="415" t="str">
        <f>IF(O136&gt;=40,IF(X136="M",VLOOKUP(O136,UKABoysAwards,2),IF(X136="F",VLOOKUP(O136,UKAGirlsAwards,2),"")),"")</f>
        <v/>
      </c>
      <c r="W136" s="210"/>
      <c r="X136" s="266" t="str">
        <f t="array" ref="X136:X137">INDEX(DB,$B136,4)</f>
        <v>#REF!</v>
      </c>
      <c r="Y136" s="210"/>
      <c r="Z136" s="285" t="str">
        <f t="shared" si="3"/>
        <v>#REF!</v>
      </c>
      <c r="AA136" s="286" t="str">
        <f>IF($Z136&gt;=1,RANK($Z136,$Z133:$Z148),0)</f>
        <v>#REF!</v>
      </c>
      <c r="AB136" s="287" t="str">
        <f>IF(AA136&lt;=MaxS,INT(Z136),0)</f>
        <v>#REF!</v>
      </c>
      <c r="AC136" s="210"/>
      <c r="AD136" s="285" t="str">
        <f t="shared" si="4"/>
        <v>#REF!</v>
      </c>
      <c r="AE136" s="286" t="str">
        <f>IF($AD136&gt;=1,RANK($AD136,$AD133:$AD148),0)</f>
        <v>#REF!</v>
      </c>
      <c r="AF136" s="287" t="str">
        <f>IF(AE136&lt;=MaxS,INT(AD136),0)</f>
        <v>#REF!</v>
      </c>
      <c r="AG136" s="210"/>
      <c r="AH136" s="210"/>
      <c r="AI136" s="288" t="str">
        <f t="shared" si="5"/>
        <v>#REF!</v>
      </c>
      <c r="AJ136" s="289" t="str">
        <f t="shared" si="6"/>
        <v>#REF!</v>
      </c>
    </row>
    <row r="137" ht="15.0" customHeight="1">
      <c r="A137" s="272"/>
      <c r="B137" s="250">
        <f>IF(OR(ISNA(MATCH(C137&amp;"",AthleteNumbers,0)),ISBLANK(C137)),0,MATCH(C137&amp;"",AthleteNumbers,0))</f>
        <v>0</v>
      </c>
      <c r="C137" s="413"/>
      <c r="D137" s="273" t="str">
        <f t="array" ref="D137">IF($B137&gt;0,INDEX(DB,$B137,8),"")</f>
        <v/>
      </c>
      <c r="E137" s="274" t="str">
        <f t="array" ref="E137">IF($B137&gt;0,INDEX(DB,$B137,3),"")</f>
        <v/>
      </c>
      <c r="F137" s="275">
        <f t="array" ref="F137">IF($B137&gt;0,INDEX(DB,$B137,13),0)</f>
        <v>0</v>
      </c>
      <c r="G137" s="276">
        <f t="array" ref="G137">IF($B137&gt;0,INDEX(DB,$B137,17),0)</f>
        <v>0</v>
      </c>
      <c r="H137" s="277">
        <f t="array" ref="H137">IF($B137&gt;0,INDEX(DB,$B137,15),0)</f>
        <v>0</v>
      </c>
      <c r="I137" s="276">
        <f t="array" ref="I137">IF($B137&gt;0,INDEX(DB,$B137,19),0)</f>
        <v>0</v>
      </c>
      <c r="J137" s="277">
        <f t="array" ref="J137">IF($B137&gt;0,INDEX(DB,$B137,14),0)</f>
        <v>0</v>
      </c>
      <c r="K137" s="276">
        <f t="array" ref="K137">IF($B137&gt;0,INDEX(DB,$B137,18),0)</f>
        <v>0</v>
      </c>
      <c r="L137" s="275">
        <f t="array" ref="L137">IF($B137&gt;0,INDEX(DB,$B137,16),0)</f>
        <v>0</v>
      </c>
      <c r="M137" s="276">
        <f t="array" ref="M137">IF($B137&gt;0,INDEX(DB,$B137,20),0)</f>
        <v>0</v>
      </c>
      <c r="N137" s="278"/>
      <c r="O137" s="279">
        <f t="shared" si="1"/>
        <v>0</v>
      </c>
      <c r="P137" s="280"/>
      <c r="Q137" s="261" t="str">
        <f t="shared" si="2"/>
        <v>#REF!</v>
      </c>
      <c r="R137" s="290" t="str">
        <f>IF($AI137&gt;0,RANK($AI137,BoysPoints),0)</f>
        <v>#REF!</v>
      </c>
      <c r="S137" s="291" t="str">
        <f>IF($AJ137&gt;0,RANK($AJ137,GirlsPoints),0)</f>
        <v>#REF!</v>
      </c>
      <c r="T137" s="292">
        <f>IF($O137&gt;0,RANK(O137,AthletePoints),0)</f>
        <v>0</v>
      </c>
      <c r="U137" s="210"/>
      <c r="V137" s="330" t="str">
        <f>IF(O137&gt;=40,IF(X137="M",VLOOKUP(O137,UKABoysAwards,2),IF(X137="F",VLOOKUP(O137,UKAGirlsAwards,2),"")),"")</f>
        <v/>
      </c>
      <c r="W137" s="210"/>
      <c r="X137" s="266" t="str">
        <f t="array" ref="X137:X138">INDEX(DB,$B137,4)</f>
        <v>#REF!</v>
      </c>
      <c r="Y137" s="210"/>
      <c r="Z137" s="285" t="str">
        <f t="shared" si="3"/>
        <v>#REF!</v>
      </c>
      <c r="AA137" s="286" t="str">
        <f>IF($Z137&gt;=1,RANK($Z137,$Z133:$Z148),0)</f>
        <v>#REF!</v>
      </c>
      <c r="AB137" s="287" t="str">
        <f>IF(AA137&lt;=MaxS,INT(Z137),0)</f>
        <v>#REF!</v>
      </c>
      <c r="AC137" s="210"/>
      <c r="AD137" s="285" t="str">
        <f t="shared" si="4"/>
        <v>#REF!</v>
      </c>
      <c r="AE137" s="286" t="str">
        <f>IF($AD137&gt;=1,RANK($AD137,$AD133:$AD148),0)</f>
        <v>#REF!</v>
      </c>
      <c r="AF137" s="287" t="str">
        <f>IF(AE137&lt;=MaxS,INT(AD137),0)</f>
        <v>#REF!</v>
      </c>
      <c r="AG137" s="210"/>
      <c r="AH137" s="210"/>
      <c r="AI137" s="288" t="str">
        <f t="shared" si="5"/>
        <v>#REF!</v>
      </c>
      <c r="AJ137" s="289" t="str">
        <f t="shared" si="6"/>
        <v>#REF!</v>
      </c>
    </row>
    <row r="138" ht="15.0" customHeight="1">
      <c r="A138" s="272"/>
      <c r="B138" s="250">
        <f>IF(OR(ISNA(MATCH(C138&amp;"",AthleteNumbers,0)),ISBLANK(C138)),0,MATCH(C138&amp;"",AthleteNumbers,0))</f>
        <v>0</v>
      </c>
      <c r="C138" s="413"/>
      <c r="D138" s="273" t="str">
        <f t="array" ref="D138">IF($B138&gt;0,INDEX(DB,$B138,8),"")</f>
        <v/>
      </c>
      <c r="E138" s="274" t="str">
        <f t="array" ref="E138">IF($B138&gt;0,INDEX(DB,$B138,3),"")</f>
        <v/>
      </c>
      <c r="F138" s="275">
        <f t="array" ref="F138">IF($B138&gt;0,INDEX(DB,$B138,13),0)</f>
        <v>0</v>
      </c>
      <c r="G138" s="276">
        <f t="array" ref="G138">IF($B138&gt;0,INDEX(DB,$B138,17),0)</f>
        <v>0</v>
      </c>
      <c r="H138" s="277">
        <f t="array" ref="H138">IF($B138&gt;0,INDEX(DB,$B138,15),0)</f>
        <v>0</v>
      </c>
      <c r="I138" s="276">
        <f t="array" ref="I138">IF($B138&gt;0,INDEX(DB,$B138,19),0)</f>
        <v>0</v>
      </c>
      <c r="J138" s="277">
        <f t="array" ref="J138">IF($B138&gt;0,INDEX(DB,$B138,14),0)</f>
        <v>0</v>
      </c>
      <c r="K138" s="276">
        <f t="array" ref="K138">IF($B138&gt;0,INDEX(DB,$B138,18),0)</f>
        <v>0</v>
      </c>
      <c r="L138" s="275">
        <f t="array" ref="L138">IF($B138&gt;0,INDEX(DB,$B138,16),0)</f>
        <v>0</v>
      </c>
      <c r="M138" s="276">
        <f t="array" ref="M138">IF($B138&gt;0,INDEX(DB,$B138,20),0)</f>
        <v>0</v>
      </c>
      <c r="N138" s="278"/>
      <c r="O138" s="279">
        <f t="shared" si="1"/>
        <v>0</v>
      </c>
      <c r="P138" s="280"/>
      <c r="Q138" s="261" t="str">
        <f t="shared" si="2"/>
        <v>#REF!</v>
      </c>
      <c r="R138" s="281" t="str">
        <f>IF($AI138&gt;0,RANK($AI138,BoysPoints),0)</f>
        <v>#REF!</v>
      </c>
      <c r="S138" s="282" t="str">
        <f>IF($AJ138&gt;0,RANK($AJ138,GirlsPoints),0)</f>
        <v>#REF!</v>
      </c>
      <c r="T138" s="283">
        <f>IF($O138&gt;0,RANK(O138,AthletePoints),0)</f>
        <v>0</v>
      </c>
      <c r="U138" s="210"/>
      <c r="V138" s="415" t="str">
        <f>IF(O138&gt;=40,IF(X138="M",VLOOKUP(O138,UKABoysAwards,2),IF(X138="F",VLOOKUP(O138,UKAGirlsAwards,2),"")),"")</f>
        <v/>
      </c>
      <c r="W138" s="210"/>
      <c r="X138" s="266" t="str">
        <f t="array" ref="X138:X139">INDEX(DB,$B138,4)</f>
        <v>#REF!</v>
      </c>
      <c r="Y138" s="210"/>
      <c r="Z138" s="285" t="str">
        <f t="shared" si="3"/>
        <v>#REF!</v>
      </c>
      <c r="AA138" s="286" t="str">
        <f>IF($Z138&gt;=1,RANK($Z138,$Z133:$Z148),0)</f>
        <v>#REF!</v>
      </c>
      <c r="AB138" s="287" t="str">
        <f>IF(AA138&lt;=MaxS,INT(Z138),0)</f>
        <v>#REF!</v>
      </c>
      <c r="AC138" s="210"/>
      <c r="AD138" s="285" t="str">
        <f t="shared" si="4"/>
        <v>#REF!</v>
      </c>
      <c r="AE138" s="286" t="str">
        <f>IF($AD138&gt;=1,RANK($AD138,$AD133:$AD148),0)</f>
        <v>#REF!</v>
      </c>
      <c r="AF138" s="287" t="str">
        <f>IF(AE138&lt;=MaxS,INT(AD138),0)</f>
        <v>#REF!</v>
      </c>
      <c r="AG138" s="210"/>
      <c r="AH138" s="210"/>
      <c r="AI138" s="288" t="str">
        <f t="shared" si="5"/>
        <v>#REF!</v>
      </c>
      <c r="AJ138" s="289" t="str">
        <f t="shared" si="6"/>
        <v>#REF!</v>
      </c>
    </row>
    <row r="139" ht="15.0" customHeight="1">
      <c r="A139" s="272"/>
      <c r="B139" s="250">
        <f>IF(OR(ISNA(MATCH(C139&amp;"",AthleteNumbers,0)),ISBLANK(C139)),0,MATCH(C139&amp;"",AthleteNumbers,0))</f>
        <v>0</v>
      </c>
      <c r="C139" s="413"/>
      <c r="D139" s="273" t="str">
        <f t="array" ref="D139">IF($B139&gt;0,INDEX(DB,$B139,8),"")</f>
        <v/>
      </c>
      <c r="E139" s="274" t="str">
        <f t="array" ref="E139">IF($B139&gt;0,INDEX(DB,$B139,3),"")</f>
        <v/>
      </c>
      <c r="F139" s="275">
        <f t="array" ref="F139">IF($B139&gt;0,INDEX(DB,$B139,13),0)</f>
        <v>0</v>
      </c>
      <c r="G139" s="276">
        <f t="array" ref="G139">IF($B139&gt;0,INDEX(DB,$B139,17),0)</f>
        <v>0</v>
      </c>
      <c r="H139" s="277">
        <f t="array" ref="H139">IF($B139&gt;0,INDEX(DB,$B139,15),0)</f>
        <v>0</v>
      </c>
      <c r="I139" s="276">
        <f t="array" ref="I139">IF($B139&gt;0,INDEX(DB,$B139,19),0)</f>
        <v>0</v>
      </c>
      <c r="J139" s="277">
        <f t="array" ref="J139">IF($B139&gt;0,INDEX(DB,$B139,14),0)</f>
        <v>0</v>
      </c>
      <c r="K139" s="276">
        <f t="array" ref="K139">IF($B139&gt;0,INDEX(DB,$B139,18),0)</f>
        <v>0</v>
      </c>
      <c r="L139" s="275">
        <f t="array" ref="L139">IF($B139&gt;0,INDEX(DB,$B139,16),0)</f>
        <v>0</v>
      </c>
      <c r="M139" s="276">
        <f t="array" ref="M139">IF($B139&gt;0,INDEX(DB,$B139,20),0)</f>
        <v>0</v>
      </c>
      <c r="N139" s="278"/>
      <c r="O139" s="279">
        <f t="shared" si="1"/>
        <v>0</v>
      </c>
      <c r="P139" s="280"/>
      <c r="Q139" s="261" t="str">
        <f t="shared" si="2"/>
        <v>#REF!</v>
      </c>
      <c r="R139" s="290" t="str">
        <f>IF($AI139&gt;0,RANK($AI139,BoysPoints),0)</f>
        <v>#REF!</v>
      </c>
      <c r="S139" s="291" t="str">
        <f>IF($AJ139&gt;0,RANK($AJ139,GirlsPoints),0)</f>
        <v>#REF!</v>
      </c>
      <c r="T139" s="292">
        <f>IF($O139&gt;0,RANK(O139,AthletePoints),0)</f>
        <v>0</v>
      </c>
      <c r="U139" s="210"/>
      <c r="V139" s="330" t="str">
        <f>IF(O139&gt;=40,IF(X139="M",VLOOKUP(O139,UKABoysAwards,2),IF(X139="F",VLOOKUP(O139,UKAGirlsAwards,2),"")),"")</f>
        <v/>
      </c>
      <c r="W139" s="210"/>
      <c r="X139" s="266" t="str">
        <f t="array" ref="X139:X140">INDEX(DB,$B139,4)</f>
        <v>#REF!</v>
      </c>
      <c r="Y139" s="210"/>
      <c r="Z139" s="285" t="str">
        <f t="shared" si="3"/>
        <v>#REF!</v>
      </c>
      <c r="AA139" s="286" t="str">
        <f>IF($Z139&gt;=1,RANK($Z139,$Z133:$Z148),0)</f>
        <v>#REF!</v>
      </c>
      <c r="AB139" s="287" t="str">
        <f>IF(AA139&lt;=MaxS,INT(Z139),0)</f>
        <v>#REF!</v>
      </c>
      <c r="AC139" s="210"/>
      <c r="AD139" s="285" t="str">
        <f t="shared" si="4"/>
        <v>#REF!</v>
      </c>
      <c r="AE139" s="286" t="str">
        <f>IF($AD139&gt;=1,RANK($AD139,$AD133:$AD148),0)</f>
        <v>#REF!</v>
      </c>
      <c r="AF139" s="287" t="str">
        <f>IF(AE139&lt;=MaxS,INT(AD139),0)</f>
        <v>#REF!</v>
      </c>
      <c r="AG139" s="210"/>
      <c r="AH139" s="210"/>
      <c r="AI139" s="288" t="str">
        <f t="shared" si="5"/>
        <v>#REF!</v>
      </c>
      <c r="AJ139" s="289" t="str">
        <f t="shared" si="6"/>
        <v>#REF!</v>
      </c>
    </row>
    <row r="140" ht="15.0" customHeight="1">
      <c r="A140" s="272"/>
      <c r="B140" s="250">
        <f>IF(OR(ISNA(MATCH(C140&amp;"",AthleteNumbers,0)),ISBLANK(C140)),0,MATCH(C140&amp;"",AthleteNumbers,0))</f>
        <v>0</v>
      </c>
      <c r="C140" s="413"/>
      <c r="D140" s="273" t="str">
        <f t="array" ref="D140">IF($B140&gt;0,INDEX(DB,$B140,8),"")</f>
        <v/>
      </c>
      <c r="E140" s="274" t="str">
        <f t="array" ref="E140">IF($B140&gt;0,INDEX(DB,$B140,3),"")</f>
        <v/>
      </c>
      <c r="F140" s="275">
        <f t="array" ref="F140">IF($B140&gt;0,INDEX(DB,$B140,13),0)</f>
        <v>0</v>
      </c>
      <c r="G140" s="276">
        <f t="array" ref="G140">IF($B140&gt;0,INDEX(DB,$B140,17),0)</f>
        <v>0</v>
      </c>
      <c r="H140" s="277">
        <f t="array" ref="H140">IF($B140&gt;0,INDEX(DB,$B140,15),0)</f>
        <v>0</v>
      </c>
      <c r="I140" s="276">
        <f t="array" ref="I140">IF($B140&gt;0,INDEX(DB,$B140,19),0)</f>
        <v>0</v>
      </c>
      <c r="J140" s="277">
        <f t="array" ref="J140">IF($B140&gt;0,INDEX(DB,$B140,14),0)</f>
        <v>0</v>
      </c>
      <c r="K140" s="276">
        <f t="array" ref="K140">IF($B140&gt;0,INDEX(DB,$B140,18),0)</f>
        <v>0</v>
      </c>
      <c r="L140" s="275">
        <f t="array" ref="L140">IF($B140&gt;0,INDEX(DB,$B140,16),0)</f>
        <v>0</v>
      </c>
      <c r="M140" s="276">
        <f t="array" ref="M140">IF($B140&gt;0,INDEX(DB,$B140,20),0)</f>
        <v>0</v>
      </c>
      <c r="N140" s="278"/>
      <c r="O140" s="279">
        <f t="shared" si="1"/>
        <v>0</v>
      </c>
      <c r="P140" s="280"/>
      <c r="Q140" s="261" t="str">
        <f t="shared" si="2"/>
        <v>#REF!</v>
      </c>
      <c r="R140" s="281" t="str">
        <f>IF($AI140&gt;0,RANK($AI140,BoysPoints),0)</f>
        <v>#REF!</v>
      </c>
      <c r="S140" s="282" t="str">
        <f>IF($AJ140&gt;0,RANK($AJ140,GirlsPoints),0)</f>
        <v>#REF!</v>
      </c>
      <c r="T140" s="283">
        <f>IF($O140&gt;0,RANK(O140,AthletePoints),0)</f>
        <v>0</v>
      </c>
      <c r="U140" s="210"/>
      <c r="V140" s="415" t="str">
        <f>IF(O140&gt;=40,IF(X140="M",VLOOKUP(O140,UKABoysAwards,2),IF(X140="F",VLOOKUP(O140,UKAGirlsAwards,2),"")),"")</f>
        <v/>
      </c>
      <c r="W140" s="210"/>
      <c r="X140" s="266" t="str">
        <f t="array" ref="X140:X141">INDEX(DB,$B140,4)</f>
        <v>#REF!</v>
      </c>
      <c r="Y140" s="210"/>
      <c r="Z140" s="285" t="str">
        <f t="shared" si="3"/>
        <v>#REF!</v>
      </c>
      <c r="AA140" s="286" t="str">
        <f>IF($Z140&gt;=1,RANK($Z140,$Z133:$Z148),0)</f>
        <v>#REF!</v>
      </c>
      <c r="AB140" s="287" t="str">
        <f>IF(AA140&lt;=MaxS,INT(Z140),0)</f>
        <v>#REF!</v>
      </c>
      <c r="AC140" s="210"/>
      <c r="AD140" s="285" t="str">
        <f t="shared" si="4"/>
        <v>#REF!</v>
      </c>
      <c r="AE140" s="286" t="str">
        <f>IF($AD140&gt;=1,RANK($AD140,$AD133:$AD148),0)</f>
        <v>#REF!</v>
      </c>
      <c r="AF140" s="287" t="str">
        <f>IF(AE140&lt;=MaxS,INT(AD140),0)</f>
        <v>#REF!</v>
      </c>
      <c r="AG140" s="210"/>
      <c r="AH140" s="210"/>
      <c r="AI140" s="288" t="str">
        <f t="shared" si="5"/>
        <v>#REF!</v>
      </c>
      <c r="AJ140" s="289" t="str">
        <f t="shared" si="6"/>
        <v>#REF!</v>
      </c>
    </row>
    <row r="141" ht="15.0" customHeight="1">
      <c r="A141" s="272"/>
      <c r="B141" s="250">
        <f>IF(OR(ISNA(MATCH(C141&amp;"",AthleteNumbers,0)),ISBLANK(C141)),0,MATCH(C141&amp;"",AthleteNumbers,0))</f>
        <v>0</v>
      </c>
      <c r="C141" s="413"/>
      <c r="D141" s="273" t="str">
        <f t="array" ref="D141">IF($B141&gt;0,INDEX(DB,$B141,8),"")</f>
        <v/>
      </c>
      <c r="E141" s="274" t="str">
        <f t="array" ref="E141">IF($B141&gt;0,INDEX(DB,$B141,3),"")</f>
        <v/>
      </c>
      <c r="F141" s="275">
        <f t="array" ref="F141">IF($B141&gt;0,INDEX(DB,$B141,13),0)</f>
        <v>0</v>
      </c>
      <c r="G141" s="276">
        <f t="array" ref="G141">IF($B141&gt;0,INDEX(DB,$B141,17),0)</f>
        <v>0</v>
      </c>
      <c r="H141" s="277">
        <f t="array" ref="H141">IF($B141&gt;0,INDEX(DB,$B141,15),0)</f>
        <v>0</v>
      </c>
      <c r="I141" s="276">
        <f t="array" ref="I141">IF($B141&gt;0,INDEX(DB,$B141,19),0)</f>
        <v>0</v>
      </c>
      <c r="J141" s="277">
        <f t="array" ref="J141">IF($B141&gt;0,INDEX(DB,$B141,14),0)</f>
        <v>0</v>
      </c>
      <c r="K141" s="276">
        <f t="array" ref="K141">IF($B141&gt;0,INDEX(DB,$B141,18),0)</f>
        <v>0</v>
      </c>
      <c r="L141" s="275">
        <f t="array" ref="L141">IF($B141&gt;0,INDEX(DB,$B141,16),0)</f>
        <v>0</v>
      </c>
      <c r="M141" s="276">
        <f t="array" ref="M141">IF($B141&gt;0,INDEX(DB,$B141,20),0)</f>
        <v>0</v>
      </c>
      <c r="N141" s="278"/>
      <c r="O141" s="279">
        <f t="shared" si="1"/>
        <v>0</v>
      </c>
      <c r="P141" s="280"/>
      <c r="Q141" s="261" t="str">
        <f t="shared" si="2"/>
        <v>#REF!</v>
      </c>
      <c r="R141" s="290" t="str">
        <f>IF($AI141&gt;0,RANK($AI141,BoysPoints),0)</f>
        <v>#REF!</v>
      </c>
      <c r="S141" s="291" t="str">
        <f>IF($AJ141&gt;0,RANK($AJ141,GirlsPoints),0)</f>
        <v>#REF!</v>
      </c>
      <c r="T141" s="292">
        <f>IF($O141&gt;0,RANK(O141,AthletePoints),0)</f>
        <v>0</v>
      </c>
      <c r="U141" s="210"/>
      <c r="V141" s="330" t="str">
        <f>IF(O141&gt;=40,IF(X141="M",VLOOKUP(O141,UKABoysAwards,2),IF(X141="F",VLOOKUP(O141,UKAGirlsAwards,2),"")),"")</f>
        <v/>
      </c>
      <c r="W141" s="210"/>
      <c r="X141" s="266" t="str">
        <f t="array" ref="X141:X142">INDEX(DB,$B141,4)</f>
        <v>#REF!</v>
      </c>
      <c r="Y141" s="210"/>
      <c r="Z141" s="285" t="str">
        <f t="shared" si="3"/>
        <v>#REF!</v>
      </c>
      <c r="AA141" s="286" t="str">
        <f>IF($Z141&gt;=1,RANK($Z141,$Z133:$Z148),0)</f>
        <v>#REF!</v>
      </c>
      <c r="AB141" s="287" t="str">
        <f>IF(AA141&lt;=MaxS,INT(Z141),0)</f>
        <v>#REF!</v>
      </c>
      <c r="AC141" s="210"/>
      <c r="AD141" s="285" t="str">
        <f t="shared" si="4"/>
        <v>#REF!</v>
      </c>
      <c r="AE141" s="286" t="str">
        <f>IF($AD141&gt;=1,RANK($AD141,$AD133:$AD148),0)</f>
        <v>#REF!</v>
      </c>
      <c r="AF141" s="287" t="str">
        <f>IF(AE141&lt;=MaxS,INT(AD141),0)</f>
        <v>#REF!</v>
      </c>
      <c r="AG141" s="210"/>
      <c r="AH141" s="210"/>
      <c r="AI141" s="288" t="str">
        <f t="shared" si="5"/>
        <v>#REF!</v>
      </c>
      <c r="AJ141" s="289" t="str">
        <f t="shared" si="6"/>
        <v>#REF!</v>
      </c>
    </row>
    <row r="142" ht="15.0" customHeight="1">
      <c r="A142" s="272"/>
      <c r="B142" s="250">
        <f>IF(OR(ISNA(MATCH(C142&amp;"",AthleteNumbers,0)),ISBLANK(C142)),0,MATCH(C142&amp;"",AthleteNumbers,0))</f>
        <v>0</v>
      </c>
      <c r="C142" s="413"/>
      <c r="D142" s="273" t="str">
        <f t="array" ref="D142">IF($B142&gt;0,INDEX(DB,$B142,8),"")</f>
        <v/>
      </c>
      <c r="E142" s="274" t="str">
        <f t="array" ref="E142">IF($B142&gt;0,INDEX(DB,$B142,3),"")</f>
        <v/>
      </c>
      <c r="F142" s="275">
        <f t="array" ref="F142">IF($B142&gt;0,INDEX(DB,$B142,13),0)</f>
        <v>0</v>
      </c>
      <c r="G142" s="276">
        <f t="array" ref="G142">IF($B142&gt;0,INDEX(DB,$B142,17),0)</f>
        <v>0</v>
      </c>
      <c r="H142" s="277">
        <f t="array" ref="H142">IF($B142&gt;0,INDEX(DB,$B142,15),0)</f>
        <v>0</v>
      </c>
      <c r="I142" s="276">
        <f t="array" ref="I142">IF($B142&gt;0,INDEX(DB,$B142,19),0)</f>
        <v>0</v>
      </c>
      <c r="J142" s="277">
        <f t="array" ref="J142">IF($B142&gt;0,INDEX(DB,$B142,14),0)</f>
        <v>0</v>
      </c>
      <c r="K142" s="276">
        <f t="array" ref="K142">IF($B142&gt;0,INDEX(DB,$B142,18),0)</f>
        <v>0</v>
      </c>
      <c r="L142" s="275">
        <f t="array" ref="L142">IF($B142&gt;0,INDEX(DB,$B142,16),0)</f>
        <v>0</v>
      </c>
      <c r="M142" s="276">
        <f t="array" ref="M142">IF($B142&gt;0,INDEX(DB,$B142,20),0)</f>
        <v>0</v>
      </c>
      <c r="N142" s="278"/>
      <c r="O142" s="279">
        <f t="shared" si="1"/>
        <v>0</v>
      </c>
      <c r="P142" s="280"/>
      <c r="Q142" s="261" t="str">
        <f t="shared" si="2"/>
        <v>#REF!</v>
      </c>
      <c r="R142" s="281" t="str">
        <f>IF($AI142&gt;0,RANK($AI142,BoysPoints),0)</f>
        <v>#REF!</v>
      </c>
      <c r="S142" s="282" t="str">
        <f>IF($AJ142&gt;0,RANK($AJ142,GirlsPoints),0)</f>
        <v>#REF!</v>
      </c>
      <c r="T142" s="283">
        <f>IF($O142&gt;0,RANK(O142,AthletePoints),0)</f>
        <v>0</v>
      </c>
      <c r="U142" s="210"/>
      <c r="V142" s="415" t="str">
        <f>IF(O142&gt;=40,IF(X142="M",VLOOKUP(O142,UKABoysAwards,2),IF(X142="F",VLOOKUP(O142,UKAGirlsAwards,2),"")),"")</f>
        <v/>
      </c>
      <c r="W142" s="210"/>
      <c r="X142" s="266" t="str">
        <f t="array" ref="X142:X143">INDEX(DB,$B142,4)</f>
        <v>#REF!</v>
      </c>
      <c r="Y142" s="210"/>
      <c r="Z142" s="285" t="str">
        <f t="shared" si="3"/>
        <v>#REF!</v>
      </c>
      <c r="AA142" s="286" t="str">
        <f>IF($Z142&gt;=1,RANK($Z142,$Z133:$Z148),0)</f>
        <v>#REF!</v>
      </c>
      <c r="AB142" s="287" t="str">
        <f>IF(AA142&lt;=MaxS,INT(Z142),0)</f>
        <v>#REF!</v>
      </c>
      <c r="AC142" s="210"/>
      <c r="AD142" s="285" t="str">
        <f t="shared" si="4"/>
        <v>#REF!</v>
      </c>
      <c r="AE142" s="286" t="str">
        <f>IF($AD142&gt;=1,RANK($AD142,$AD133:$AD148),0)</f>
        <v>#REF!</v>
      </c>
      <c r="AF142" s="287" t="str">
        <f>IF(AE142&lt;=MaxS,INT(AD142),0)</f>
        <v>#REF!</v>
      </c>
      <c r="AG142" s="210"/>
      <c r="AH142" s="210"/>
      <c r="AI142" s="288" t="str">
        <f t="shared" si="5"/>
        <v>#REF!</v>
      </c>
      <c r="AJ142" s="289" t="str">
        <f t="shared" si="6"/>
        <v>#REF!</v>
      </c>
    </row>
    <row r="143" ht="15.0" customHeight="1">
      <c r="A143" s="272"/>
      <c r="B143" s="250">
        <f>IF(OR(ISNA(MATCH(C143&amp;"",AthleteNumbers,0)),ISBLANK(C143)),0,MATCH(C143&amp;"",AthleteNumbers,0))</f>
        <v>0</v>
      </c>
      <c r="C143" s="413"/>
      <c r="D143" s="273" t="str">
        <f t="array" ref="D143">IF($B143&gt;0,INDEX(DB,$B143,8),"")</f>
        <v/>
      </c>
      <c r="E143" s="274" t="str">
        <f t="array" ref="E143">IF($B143&gt;0,INDEX(DB,$B143,3),"")</f>
        <v/>
      </c>
      <c r="F143" s="275">
        <f t="array" ref="F143">IF($B143&gt;0,INDEX(DB,$B143,13),0)</f>
        <v>0</v>
      </c>
      <c r="G143" s="276">
        <f t="array" ref="G143">IF($B143&gt;0,INDEX(DB,$B143,17),0)</f>
        <v>0</v>
      </c>
      <c r="H143" s="277">
        <f t="array" ref="H143">IF($B143&gt;0,INDEX(DB,$B143,15),0)</f>
        <v>0</v>
      </c>
      <c r="I143" s="276">
        <f t="array" ref="I143">IF($B143&gt;0,INDEX(DB,$B143,19),0)</f>
        <v>0</v>
      </c>
      <c r="J143" s="277">
        <f t="array" ref="J143">IF($B143&gt;0,INDEX(DB,$B143,14),0)</f>
        <v>0</v>
      </c>
      <c r="K143" s="276">
        <f t="array" ref="K143">IF($B143&gt;0,INDEX(DB,$B143,18),0)</f>
        <v>0</v>
      </c>
      <c r="L143" s="275">
        <f t="array" ref="L143">IF($B143&gt;0,INDEX(DB,$B143,16),0)</f>
        <v>0</v>
      </c>
      <c r="M143" s="276">
        <f t="array" ref="M143">IF($B143&gt;0,INDEX(DB,$B143,20),0)</f>
        <v>0</v>
      </c>
      <c r="N143" s="278"/>
      <c r="O143" s="279">
        <f t="shared" si="1"/>
        <v>0</v>
      </c>
      <c r="P143" s="280"/>
      <c r="Q143" s="261" t="str">
        <f t="shared" si="2"/>
        <v>#REF!</v>
      </c>
      <c r="R143" s="290" t="str">
        <f>IF($AI143&gt;0,RANK($AI143,BoysPoints),0)</f>
        <v>#REF!</v>
      </c>
      <c r="S143" s="291" t="str">
        <f>IF($AJ143&gt;0,RANK($AJ143,GirlsPoints),0)</f>
        <v>#REF!</v>
      </c>
      <c r="T143" s="292">
        <f>IF($O143&gt;0,RANK(O143,AthletePoints),0)</f>
        <v>0</v>
      </c>
      <c r="U143" s="210"/>
      <c r="V143" s="330" t="str">
        <f>IF(O143&gt;=40,IF(X143="M",VLOOKUP(O143,UKABoysAwards,2),IF(X143="F",VLOOKUP(O143,UKAGirlsAwards,2),"")),"")</f>
        <v/>
      </c>
      <c r="W143" s="210"/>
      <c r="X143" s="266" t="str">
        <f t="array" ref="X143:X144">INDEX(DB,$B143,4)</f>
        <v>#REF!</v>
      </c>
      <c r="Y143" s="210"/>
      <c r="Z143" s="285" t="str">
        <f t="shared" si="3"/>
        <v>#REF!</v>
      </c>
      <c r="AA143" s="286" t="str">
        <f>IF($Z143&gt;=1,RANK($Z143,$Z133:$Z148),0)</f>
        <v>#REF!</v>
      </c>
      <c r="AB143" s="287" t="str">
        <f>IF(AA143&lt;=MaxS,INT(Z143),0)</f>
        <v>#REF!</v>
      </c>
      <c r="AC143" s="210"/>
      <c r="AD143" s="285" t="str">
        <f t="shared" si="4"/>
        <v>#REF!</v>
      </c>
      <c r="AE143" s="286" t="str">
        <f>IF($AD143&gt;=1,RANK($AD143,$AD133:$AD148),0)</f>
        <v>#REF!</v>
      </c>
      <c r="AF143" s="287" t="str">
        <f>IF(AE143&lt;=MaxS,INT(AD143),0)</f>
        <v>#REF!</v>
      </c>
      <c r="AG143" s="210"/>
      <c r="AH143" s="210"/>
      <c r="AI143" s="288" t="str">
        <f t="shared" si="5"/>
        <v>#REF!</v>
      </c>
      <c r="AJ143" s="289" t="str">
        <f t="shared" si="6"/>
        <v>#REF!</v>
      </c>
    </row>
    <row r="144" ht="15.0" customHeight="1">
      <c r="A144" s="272"/>
      <c r="B144" s="250">
        <f>IF(OR(ISNA(MATCH(C144&amp;"",AthleteNumbers,0)),ISBLANK(C144)),0,MATCH(C144&amp;"",AthleteNumbers,0))</f>
        <v>0</v>
      </c>
      <c r="C144" s="413"/>
      <c r="D144" s="273" t="str">
        <f t="array" ref="D144">IF($B144&gt;0,INDEX(DB,$B144,8),"")</f>
        <v/>
      </c>
      <c r="E144" s="274" t="str">
        <f t="array" ref="E144">IF($B144&gt;0,INDEX(DB,$B144,3),"")</f>
        <v/>
      </c>
      <c r="F144" s="275">
        <f t="array" ref="F144">IF($B144&gt;0,INDEX(DB,$B144,13),0)</f>
        <v>0</v>
      </c>
      <c r="G144" s="276">
        <f t="array" ref="G144">IF($B144&gt;0,INDEX(DB,$B144,17),0)</f>
        <v>0</v>
      </c>
      <c r="H144" s="277">
        <f t="array" ref="H144">IF($B144&gt;0,INDEX(DB,$B144,15),0)</f>
        <v>0</v>
      </c>
      <c r="I144" s="276">
        <f t="array" ref="I144">IF($B144&gt;0,INDEX(DB,$B144,19),0)</f>
        <v>0</v>
      </c>
      <c r="J144" s="277">
        <f t="array" ref="J144">IF($B144&gt;0,INDEX(DB,$B144,14),0)</f>
        <v>0</v>
      </c>
      <c r="K144" s="276">
        <f t="array" ref="K144">IF($B144&gt;0,INDEX(DB,$B144,18),0)</f>
        <v>0</v>
      </c>
      <c r="L144" s="275">
        <f t="array" ref="L144">IF($B144&gt;0,INDEX(DB,$B144,16),0)</f>
        <v>0</v>
      </c>
      <c r="M144" s="276">
        <f t="array" ref="M144">IF($B144&gt;0,INDEX(DB,$B144,20),0)</f>
        <v>0</v>
      </c>
      <c r="N144" s="278"/>
      <c r="O144" s="279">
        <f t="shared" si="1"/>
        <v>0</v>
      </c>
      <c r="P144" s="280"/>
      <c r="Q144" s="261" t="str">
        <f t="shared" si="2"/>
        <v>#REF!</v>
      </c>
      <c r="R144" s="281" t="str">
        <f>IF($AI144&gt;0,RANK($AI144,BoysPoints),0)</f>
        <v>#REF!</v>
      </c>
      <c r="S144" s="282" t="str">
        <f>IF($AJ144&gt;0,RANK($AJ144,GirlsPoints),0)</f>
        <v>#REF!</v>
      </c>
      <c r="T144" s="283">
        <f>IF($O144&gt;0,RANK(O144,AthletePoints),0)</f>
        <v>0</v>
      </c>
      <c r="U144" s="210"/>
      <c r="V144" s="415" t="str">
        <f>IF(O144&gt;=40,IF(X144="M",VLOOKUP(O144,UKABoysAwards,2),IF(X144="F",VLOOKUP(O144,UKAGirlsAwards,2),"")),"")</f>
        <v/>
      </c>
      <c r="W144" s="210"/>
      <c r="X144" s="266" t="str">
        <f t="array" ref="X144:X145">INDEX(DB,$B144,4)</f>
        <v>#REF!</v>
      </c>
      <c r="Y144" s="210"/>
      <c r="Z144" s="285" t="str">
        <f t="shared" si="3"/>
        <v>#REF!</v>
      </c>
      <c r="AA144" s="286" t="str">
        <f>IF($Z144&gt;=1,RANK($Z144,$Z133:$Z148),0)</f>
        <v>#REF!</v>
      </c>
      <c r="AB144" s="287" t="str">
        <f>IF(AA144&lt;=MaxS,INT(Z144),0)</f>
        <v>#REF!</v>
      </c>
      <c r="AC144" s="210"/>
      <c r="AD144" s="285" t="str">
        <f t="shared" si="4"/>
        <v>#REF!</v>
      </c>
      <c r="AE144" s="286" t="str">
        <f>IF($AD144&gt;=1,RANK($AD144,$AD133:$AD148),0)</f>
        <v>#REF!</v>
      </c>
      <c r="AF144" s="287" t="str">
        <f>IF(AE144&lt;=MaxS,INT(AD144),0)</f>
        <v>#REF!</v>
      </c>
      <c r="AG144" s="210"/>
      <c r="AH144" s="210"/>
      <c r="AI144" s="288" t="str">
        <f t="shared" si="5"/>
        <v>#REF!</v>
      </c>
      <c r="AJ144" s="289" t="str">
        <f t="shared" si="6"/>
        <v>#REF!</v>
      </c>
    </row>
    <row r="145" ht="15.0" customHeight="1">
      <c r="A145" s="272"/>
      <c r="B145" s="250">
        <f>IF(OR(ISNA(MATCH(C145&amp;"",AthleteNumbers,0)),ISBLANK(C145)),0,MATCH(C145&amp;"",AthleteNumbers,0))</f>
        <v>0</v>
      </c>
      <c r="C145" s="413"/>
      <c r="D145" s="273" t="str">
        <f t="array" ref="D145">IF($B145&gt;0,INDEX(DB,$B145,8),"")</f>
        <v/>
      </c>
      <c r="E145" s="274" t="str">
        <f t="array" ref="E145">IF($B145&gt;0,INDEX(DB,$B145,3),"")</f>
        <v/>
      </c>
      <c r="F145" s="275">
        <f t="array" ref="F145">IF($B145&gt;0,INDEX(DB,$B145,13),0)</f>
        <v>0</v>
      </c>
      <c r="G145" s="276">
        <f t="array" ref="G145">IF($B145&gt;0,INDEX(DB,$B145,17),0)</f>
        <v>0</v>
      </c>
      <c r="H145" s="277">
        <f t="array" ref="H145">IF($B145&gt;0,INDEX(DB,$B145,15),0)</f>
        <v>0</v>
      </c>
      <c r="I145" s="276">
        <f t="array" ref="I145">IF($B145&gt;0,INDEX(DB,$B145,19),0)</f>
        <v>0</v>
      </c>
      <c r="J145" s="277">
        <f t="array" ref="J145">IF($B145&gt;0,INDEX(DB,$B145,14),0)</f>
        <v>0</v>
      </c>
      <c r="K145" s="276">
        <f t="array" ref="K145">IF($B145&gt;0,INDEX(DB,$B145,18),0)</f>
        <v>0</v>
      </c>
      <c r="L145" s="275">
        <f t="array" ref="L145">IF($B145&gt;0,INDEX(DB,$B145,16),0)</f>
        <v>0</v>
      </c>
      <c r="M145" s="276">
        <f t="array" ref="M145">IF($B145&gt;0,INDEX(DB,$B145,20),0)</f>
        <v>0</v>
      </c>
      <c r="N145" s="278"/>
      <c r="O145" s="279">
        <f t="shared" si="1"/>
        <v>0</v>
      </c>
      <c r="P145" s="280"/>
      <c r="Q145" s="261" t="str">
        <f t="shared" si="2"/>
        <v>#REF!</v>
      </c>
      <c r="R145" s="290" t="str">
        <f>IF($AI145&gt;0,RANK($AI145,BoysPoints),0)</f>
        <v>#REF!</v>
      </c>
      <c r="S145" s="291" t="str">
        <f>IF($AJ145&gt;0,RANK($AJ145,GirlsPoints),0)</f>
        <v>#REF!</v>
      </c>
      <c r="T145" s="292">
        <f>IF($O145&gt;0,RANK(O145,AthletePoints),0)</f>
        <v>0</v>
      </c>
      <c r="U145" s="210"/>
      <c r="V145" s="330" t="str">
        <f>IF(O145&gt;=40,IF(X145="M",VLOOKUP(O145,UKABoysAwards,2),IF(X145="F",VLOOKUP(O145,UKAGirlsAwards,2),"")),"")</f>
        <v/>
      </c>
      <c r="W145" s="210"/>
      <c r="X145" s="266" t="str">
        <f t="array" ref="X145:X146">INDEX(DB,$B145,4)</f>
        <v>#REF!</v>
      </c>
      <c r="Y145" s="210"/>
      <c r="Z145" s="285" t="str">
        <f t="shared" si="3"/>
        <v>#REF!</v>
      </c>
      <c r="AA145" s="286" t="str">
        <f>IF($Z145&gt;=1,RANK($Z145,$Z133:$Z148),0)</f>
        <v>#REF!</v>
      </c>
      <c r="AB145" s="287" t="str">
        <f>IF(AA145&lt;=MaxS,INT(Z145),0)</f>
        <v>#REF!</v>
      </c>
      <c r="AC145" s="210"/>
      <c r="AD145" s="285" t="str">
        <f t="shared" si="4"/>
        <v>#REF!</v>
      </c>
      <c r="AE145" s="286" t="str">
        <f>IF($AD145&gt;=1,RANK($AD145,$AD133:$AD148),0)</f>
        <v>#REF!</v>
      </c>
      <c r="AF145" s="287" t="str">
        <f>IF(AE145&lt;=MaxS,INT(AD145),0)</f>
        <v>#REF!</v>
      </c>
      <c r="AG145" s="210"/>
      <c r="AH145" s="210"/>
      <c r="AI145" s="288" t="str">
        <f t="shared" si="5"/>
        <v>#REF!</v>
      </c>
      <c r="AJ145" s="289" t="str">
        <f t="shared" si="6"/>
        <v>#REF!</v>
      </c>
    </row>
    <row r="146" ht="15.0" customHeight="1">
      <c r="A146" s="272"/>
      <c r="B146" s="250">
        <f>IF(OR(ISNA(MATCH(C146&amp;"",AthleteNumbers,0)),ISBLANK(C146)),0,MATCH(C146&amp;"",AthleteNumbers,0))</f>
        <v>0</v>
      </c>
      <c r="C146" s="413"/>
      <c r="D146" s="273" t="str">
        <f t="array" ref="D146">IF($B146&gt;0,INDEX(DB,$B146,8),"")</f>
        <v/>
      </c>
      <c r="E146" s="274" t="str">
        <f t="array" ref="E146">IF($B146&gt;0,INDEX(DB,$B146,3),"")</f>
        <v/>
      </c>
      <c r="F146" s="275">
        <f t="array" ref="F146">IF($B146&gt;0,INDEX(DB,$B146,13),0)</f>
        <v>0</v>
      </c>
      <c r="G146" s="276">
        <f t="array" ref="G146">IF($B146&gt;0,INDEX(DB,$B146,17),0)</f>
        <v>0</v>
      </c>
      <c r="H146" s="277">
        <f t="array" ref="H146">IF($B146&gt;0,INDEX(DB,$B146,15),0)</f>
        <v>0</v>
      </c>
      <c r="I146" s="276">
        <f t="array" ref="I146">IF($B146&gt;0,INDEX(DB,$B146,19),0)</f>
        <v>0</v>
      </c>
      <c r="J146" s="277">
        <f t="array" ref="J146">IF($B146&gt;0,INDEX(DB,$B146,14),0)</f>
        <v>0</v>
      </c>
      <c r="K146" s="276">
        <f t="array" ref="K146">IF($B146&gt;0,INDEX(DB,$B146,18),0)</f>
        <v>0</v>
      </c>
      <c r="L146" s="275">
        <f t="array" ref="L146">IF($B146&gt;0,INDEX(DB,$B146,16),0)</f>
        <v>0</v>
      </c>
      <c r="M146" s="276">
        <f t="array" ref="M146">IF($B146&gt;0,INDEX(DB,$B146,20),0)</f>
        <v>0</v>
      </c>
      <c r="N146" s="278"/>
      <c r="O146" s="279">
        <f t="shared" si="1"/>
        <v>0</v>
      </c>
      <c r="P146" s="280"/>
      <c r="Q146" s="261" t="str">
        <f t="shared" si="2"/>
        <v>#REF!</v>
      </c>
      <c r="R146" s="281" t="str">
        <f>IF($AI146&gt;0,RANK($AI146,BoysPoints),0)</f>
        <v>#REF!</v>
      </c>
      <c r="S146" s="282" t="str">
        <f>IF($AJ146&gt;0,RANK($AJ146,GirlsPoints),0)</f>
        <v>#REF!</v>
      </c>
      <c r="T146" s="283">
        <f>IF($O146&gt;0,RANK(O146,AthletePoints),0)</f>
        <v>0</v>
      </c>
      <c r="U146" s="210"/>
      <c r="V146" s="415" t="str">
        <f>IF(O146&gt;=40,IF(X146="M",VLOOKUP(O146,UKABoysAwards,2),IF(X146="F",VLOOKUP(O146,UKAGirlsAwards,2),"")),"")</f>
        <v/>
      </c>
      <c r="W146" s="210"/>
      <c r="X146" s="266" t="str">
        <f t="array" ref="X146:X147">INDEX(DB,$B146,4)</f>
        <v>#REF!</v>
      </c>
      <c r="Y146" s="210"/>
      <c r="Z146" s="285" t="str">
        <f t="shared" si="3"/>
        <v>#REF!</v>
      </c>
      <c r="AA146" s="286" t="str">
        <f>IF($Z146&gt;=1,RANK($Z146,$Z133:$Z148),0)</f>
        <v>#REF!</v>
      </c>
      <c r="AB146" s="287" t="str">
        <f>IF(AA146&lt;=MaxS,INT(Z146),0)</f>
        <v>#REF!</v>
      </c>
      <c r="AC146" s="210"/>
      <c r="AD146" s="285" t="str">
        <f t="shared" si="4"/>
        <v>#REF!</v>
      </c>
      <c r="AE146" s="286" t="str">
        <f>IF($AD146&gt;=1,RANK($AD146,$AD133:$AD148),0)</f>
        <v>#REF!</v>
      </c>
      <c r="AF146" s="287" t="str">
        <f>IF(AE146&lt;=MaxS,INT(AD146),0)</f>
        <v>#REF!</v>
      </c>
      <c r="AG146" s="210"/>
      <c r="AH146" s="210"/>
      <c r="AI146" s="288" t="str">
        <f t="shared" si="5"/>
        <v>#REF!</v>
      </c>
      <c r="AJ146" s="289" t="str">
        <f t="shared" si="6"/>
        <v>#REF!</v>
      </c>
    </row>
    <row r="147" ht="15.0" customHeight="1">
      <c r="A147" s="272"/>
      <c r="B147" s="250">
        <f>IF(OR(ISNA(MATCH(C147&amp;"",AthleteNumbers,0)),ISBLANK(C147)),0,MATCH(C147&amp;"",AthleteNumbers,0))</f>
        <v>0</v>
      </c>
      <c r="C147" s="413"/>
      <c r="D147" s="273" t="str">
        <f t="array" ref="D147">IF($B147&gt;0,INDEX(DB,$B147,8),"")</f>
        <v/>
      </c>
      <c r="E147" s="274" t="str">
        <f t="array" ref="E147">IF($B147&gt;0,INDEX(DB,$B147,3),"")</f>
        <v/>
      </c>
      <c r="F147" s="275">
        <f t="array" ref="F147">IF($B147&gt;0,INDEX(DB,$B147,13),0)</f>
        <v>0</v>
      </c>
      <c r="G147" s="276">
        <f t="array" ref="G147">IF($B147&gt;0,INDEX(DB,$B147,17),0)</f>
        <v>0</v>
      </c>
      <c r="H147" s="277">
        <f t="array" ref="H147">IF($B147&gt;0,INDEX(DB,$B147,15),0)</f>
        <v>0</v>
      </c>
      <c r="I147" s="276">
        <f t="array" ref="I147">IF($B147&gt;0,INDEX(DB,$B147,19),0)</f>
        <v>0</v>
      </c>
      <c r="J147" s="277">
        <f t="array" ref="J147">IF($B147&gt;0,INDEX(DB,$B147,14),0)</f>
        <v>0</v>
      </c>
      <c r="K147" s="276">
        <f t="array" ref="K147">IF($B147&gt;0,INDEX(DB,$B147,18),0)</f>
        <v>0</v>
      </c>
      <c r="L147" s="275">
        <f t="array" ref="L147">IF($B147&gt;0,INDEX(DB,$B147,16),0)</f>
        <v>0</v>
      </c>
      <c r="M147" s="276">
        <f t="array" ref="M147">IF($B147&gt;0,INDEX(DB,$B147,20),0)</f>
        <v>0</v>
      </c>
      <c r="N147" s="278"/>
      <c r="O147" s="279">
        <f t="shared" si="1"/>
        <v>0</v>
      </c>
      <c r="P147" s="280"/>
      <c r="Q147" s="261" t="str">
        <f t="shared" si="2"/>
        <v>#REF!</v>
      </c>
      <c r="R147" s="290" t="str">
        <f>IF($AI147&gt;0,RANK($AI147,BoysPoints),0)</f>
        <v>#REF!</v>
      </c>
      <c r="S147" s="291" t="str">
        <f>IF($AJ147&gt;0,RANK($AJ147,GirlsPoints),0)</f>
        <v>#REF!</v>
      </c>
      <c r="T147" s="292">
        <f>IF($O147&gt;0,RANK(O147,AthletePoints),0)</f>
        <v>0</v>
      </c>
      <c r="U147" s="210"/>
      <c r="V147" s="330" t="str">
        <f>IF(O147&gt;=40,IF(X147="M",VLOOKUP(O147,UKABoysAwards,2),IF(X147="F",VLOOKUP(O147,UKAGirlsAwards,2),"")),"")</f>
        <v/>
      </c>
      <c r="W147" s="210"/>
      <c r="X147" s="266" t="str">
        <f t="array" ref="X147:X148">INDEX(DB,$B147,4)</f>
        <v>#REF!</v>
      </c>
      <c r="Y147" s="210"/>
      <c r="Z147" s="285" t="str">
        <f t="shared" si="3"/>
        <v>#REF!</v>
      </c>
      <c r="AA147" s="286" t="str">
        <f>IF($Z147&gt;=1,RANK($Z147,$Z133:$Z148),0)</f>
        <v>#REF!</v>
      </c>
      <c r="AB147" s="287" t="str">
        <f>IF(AA147&lt;=MaxS,INT(Z147),0)</f>
        <v>#REF!</v>
      </c>
      <c r="AC147" s="210"/>
      <c r="AD147" s="285" t="str">
        <f t="shared" si="4"/>
        <v>#REF!</v>
      </c>
      <c r="AE147" s="286" t="str">
        <f>IF($AD147&gt;=1,RANK($AD147,$AD133:$AD148),0)</f>
        <v>#REF!</v>
      </c>
      <c r="AF147" s="287" t="str">
        <f>IF(AE147&lt;=MaxS,INT(AD147),0)</f>
        <v>#REF!</v>
      </c>
      <c r="AG147" s="210"/>
      <c r="AH147" s="210"/>
      <c r="AI147" s="288" t="str">
        <f t="shared" si="5"/>
        <v>#REF!</v>
      </c>
      <c r="AJ147" s="289" t="str">
        <f t="shared" si="6"/>
        <v>#REF!</v>
      </c>
    </row>
    <row r="148" ht="15.0" customHeight="1">
      <c r="A148" s="305"/>
      <c r="B148" s="250">
        <f>IF(OR(ISNA(MATCH(C148&amp;"",AthleteNumbers,0)),ISBLANK(C148)),0,MATCH(C148&amp;"",AthleteNumbers,0))</f>
        <v>0</v>
      </c>
      <c r="C148" s="443"/>
      <c r="D148" s="306" t="str">
        <f t="array" ref="D148">IF($B148&gt;0,INDEX(DB,$B148,8),"")</f>
        <v/>
      </c>
      <c r="E148" s="307" t="str">
        <f t="array" ref="E148">IF($B148&gt;0,INDEX(DB,$B148,3),"")</f>
        <v/>
      </c>
      <c r="F148" s="308">
        <f t="array" ref="F148">IF($B148&gt;0,INDEX(DB,$B148,13),0)</f>
        <v>0</v>
      </c>
      <c r="G148" s="309">
        <f t="array" ref="G148">IF($B148&gt;0,INDEX(DB,$B148,17),0)</f>
        <v>0</v>
      </c>
      <c r="H148" s="310">
        <f t="array" ref="H148">IF($B148&gt;0,INDEX(DB,$B148,15),0)</f>
        <v>0</v>
      </c>
      <c r="I148" s="309">
        <f t="array" ref="I148">IF($B148&gt;0,INDEX(DB,$B148,19),0)</f>
        <v>0</v>
      </c>
      <c r="J148" s="310">
        <f t="array" ref="J148">IF($B148&gt;0,INDEX(DB,$B148,14),0)</f>
        <v>0</v>
      </c>
      <c r="K148" s="309">
        <f t="array" ref="K148">IF($B148&gt;0,INDEX(DB,$B148,18),0)</f>
        <v>0</v>
      </c>
      <c r="L148" s="308">
        <f t="array" ref="L148">IF($B148&gt;0,INDEX(DB,$B148,16),0)</f>
        <v>0</v>
      </c>
      <c r="M148" s="309">
        <f t="array" ref="M148">IF($B148&gt;0,INDEX(DB,$B148,20),0)</f>
        <v>0</v>
      </c>
      <c r="N148" s="25"/>
      <c r="O148" s="311">
        <f t="shared" si="1"/>
        <v>0</v>
      </c>
      <c r="P148" s="31"/>
      <c r="Q148" s="261" t="str">
        <f t="shared" si="2"/>
        <v>#REF!</v>
      </c>
      <c r="R148" s="312" t="str">
        <f>IF($AI148&gt;0,RANK($AI148,BoysPoints),0)</f>
        <v>#REF!</v>
      </c>
      <c r="S148" s="313" t="str">
        <f>IF($AJ148&gt;0,RANK($AJ148,GirlsPoints),0)</f>
        <v>#REF!</v>
      </c>
      <c r="T148" s="314">
        <f>IF($O148&gt;0,RANK(O148,AthletePoints),0)</f>
        <v>0</v>
      </c>
      <c r="U148" s="210"/>
      <c r="V148" s="444" t="str">
        <f>IF(O148&gt;=40,IF(X148="M",VLOOKUP(O148,UKABoysAwards,2),IF(X148="F",VLOOKUP(O148,UKAGirlsAwards,2),"")),"")</f>
        <v/>
      </c>
      <c r="W148" s="210"/>
      <c r="X148" s="266" t="str">
        <f t="array" ref="X148:X149">INDEX(DB,$B148,4)</f>
        <v>#REF!</v>
      </c>
      <c r="Y148" s="210"/>
      <c r="Z148" s="316" t="str">
        <f t="shared" si="3"/>
        <v>#REF!</v>
      </c>
      <c r="AA148" s="243" t="str">
        <f>IF($Z148&gt;=1,RANK($Z148,$Z133:$Z148),0)</f>
        <v>#REF!</v>
      </c>
      <c r="AB148" s="245" t="str">
        <f>IF(AA148&lt;=MaxS,INT(Z148),0)</f>
        <v>#REF!</v>
      </c>
      <c r="AC148" s="210" t="str">
        <f>SUM(AB133:AB148)</f>
        <v>#REF!</v>
      </c>
      <c r="AD148" s="316" t="str">
        <f t="shared" si="4"/>
        <v>#REF!</v>
      </c>
      <c r="AE148" s="243" t="str">
        <f>IF($AD148&gt;=1,RANK($AD148,$AD133:$AD148),0)</f>
        <v>#REF!</v>
      </c>
      <c r="AF148" s="245" t="str">
        <f>IF(AE148&lt;=MaxS,INT(AD148),0)</f>
        <v>#REF!</v>
      </c>
      <c r="AG148" s="210" t="str">
        <f>SUM(AF133:AF148)</f>
        <v>#REF!</v>
      </c>
      <c r="AH148" s="210"/>
      <c r="AI148" s="246" t="str">
        <f t="shared" si="5"/>
        <v>#REF!</v>
      </c>
      <c r="AJ148" s="247" t="str">
        <f t="shared" si="6"/>
        <v>#REF!</v>
      </c>
    </row>
    <row r="149" ht="15.0" customHeight="1">
      <c r="A149" s="248"/>
      <c r="B149" s="250">
        <f>IF(OR(ISNA(MATCH(C149&amp;"",AthleteNumbers,0)),ISBLANK(C149)),0,MATCH(C149&amp;"",AthleteNumbers,0))</f>
        <v>0</v>
      </c>
      <c r="C149" s="251"/>
      <c r="D149" s="252" t="str">
        <f t="array" ref="D149">IF($B149&gt;0,INDEX(DB,$B149,8),"")</f>
        <v/>
      </c>
      <c r="E149" s="253" t="str">
        <f t="array" ref="E149">IF($B149&gt;0,INDEX(DB,$B149,3),"")</f>
        <v/>
      </c>
      <c r="F149" s="254">
        <f t="array" ref="F149">IF($B149&gt;0,INDEX(DB,$B149,13),0)</f>
        <v>0</v>
      </c>
      <c r="G149" s="255">
        <f t="array" ref="G149">IF($B149&gt;0,INDEX(DB,$B149,17),0)</f>
        <v>0</v>
      </c>
      <c r="H149" s="257">
        <f t="array" ref="H149">IF($B149&gt;0,INDEX(DB,$B149,15),0)</f>
        <v>0</v>
      </c>
      <c r="I149" s="255">
        <f t="array" ref="I149">IF($B149&gt;0,INDEX(DB,$B149,19),0)</f>
        <v>0</v>
      </c>
      <c r="J149" s="257">
        <f t="array" ref="J149">IF($B149&gt;0,INDEX(DB,$B149,14),0)</f>
        <v>0</v>
      </c>
      <c r="K149" s="255">
        <f t="array" ref="K149">IF($B149&gt;0,INDEX(DB,$B149,18),0)</f>
        <v>0</v>
      </c>
      <c r="L149" s="254">
        <f t="array" ref="L149">IF($B149&gt;0,INDEX(DB,$B149,16),0)</f>
        <v>0</v>
      </c>
      <c r="M149" s="255">
        <f t="array" ref="M149">IF($B149&gt;0,INDEX(DB,$B149,20),0)</f>
        <v>0</v>
      </c>
      <c r="N149" s="258" t="str">
        <f t="array" ref="N149:N165">INDEX(RelayPoints,A164)</f>
        <v>#REF!</v>
      </c>
      <c r="O149" s="259">
        <f t="shared" si="1"/>
        <v>0</v>
      </c>
      <c r="P149" s="260" t="str">
        <f>+AC164+AG164+N149</f>
        <v>#REF!</v>
      </c>
      <c r="Q149" s="261" t="str">
        <f t="shared" si="2"/>
        <v>#REF!</v>
      </c>
      <c r="R149" s="262" t="str">
        <f>IF($AI149&gt;0,RANK($AI149,BoysPoints),0)</f>
        <v>#REF!</v>
      </c>
      <c r="S149" s="263" t="str">
        <f>IF($AJ149&gt;0,RANK($AJ149,GirlsPoints),0)</f>
        <v>#REF!</v>
      </c>
      <c r="T149" s="264">
        <f>IF($O149&gt;0,RANK(O149,AthletePoints),0)</f>
        <v>0</v>
      </c>
      <c r="U149" s="210"/>
      <c r="V149" s="317" t="str">
        <f>IF(O149&gt;=40,IF(X149="M",VLOOKUP(O149,UKABoysAwards,2),IF(X149="F",VLOOKUP(O149,UKAGirlsAwards,2),"")),"")</f>
        <v/>
      </c>
      <c r="W149" s="210"/>
      <c r="X149" s="266" t="str">
        <f t="array" ref="X149:X150">INDEX(DB,$B149,4)</f>
        <v>#REF!</v>
      </c>
      <c r="Y149" s="210"/>
      <c r="Z149" s="267" t="str">
        <f t="shared" si="3"/>
        <v>#REF!</v>
      </c>
      <c r="AA149" s="268" t="str">
        <f>IF($Z149&gt;=1,RANK($Z149,$Z149:$Z164),0)</f>
        <v>#REF!</v>
      </c>
      <c r="AB149" s="269" t="str">
        <f>IF(AA149&lt;=MaxS,INT(Z149),0)</f>
        <v>#REF!</v>
      </c>
      <c r="AC149" s="210"/>
      <c r="AD149" s="267" t="str">
        <f t="shared" si="4"/>
        <v>#REF!</v>
      </c>
      <c r="AE149" s="268" t="str">
        <f>IF($AD149&gt;=1,RANK($AD149,$AD149:$AD164),0)</f>
        <v>#REF!</v>
      </c>
      <c r="AF149" s="269" t="str">
        <f>IF(AE149&lt;=MaxS,INT(AD149),0)</f>
        <v>#REF!</v>
      </c>
      <c r="AG149" s="210"/>
      <c r="AH149" s="210"/>
      <c r="AI149" s="288" t="str">
        <f t="shared" si="5"/>
        <v>#REF!</v>
      </c>
      <c r="AJ149" s="289" t="str">
        <f t="shared" si="6"/>
        <v>#REF!</v>
      </c>
    </row>
    <row r="150" ht="15.0" customHeight="1">
      <c r="A150" s="272"/>
      <c r="B150" s="250">
        <f>IF(OR(ISNA(MATCH(C150&amp;"",AthleteNumbers,0)),ISBLANK(C150)),0,MATCH(C150&amp;"",AthleteNumbers,0))</f>
        <v>0</v>
      </c>
      <c r="C150" s="413"/>
      <c r="D150" s="273" t="str">
        <f t="array" ref="D150">IF($B150&gt;0,INDEX(DB,$B150,8),"")</f>
        <v/>
      </c>
      <c r="E150" s="274" t="str">
        <f t="array" ref="E150">IF($B150&gt;0,INDEX(DB,$B150,3),"")</f>
        <v/>
      </c>
      <c r="F150" s="275">
        <f t="array" ref="F150">IF($B150&gt;0,INDEX(DB,$B150,13),0)</f>
        <v>0</v>
      </c>
      <c r="G150" s="276">
        <f t="array" ref="G150">IF($B150&gt;0,INDEX(DB,$B150,17),0)</f>
        <v>0</v>
      </c>
      <c r="H150" s="277">
        <f t="array" ref="H150">IF($B150&gt;0,INDEX(DB,$B150,15),0)</f>
        <v>0</v>
      </c>
      <c r="I150" s="276">
        <f t="array" ref="I150">IF($B150&gt;0,INDEX(DB,$B150,19),0)</f>
        <v>0</v>
      </c>
      <c r="J150" s="277">
        <f t="array" ref="J150">IF($B150&gt;0,INDEX(DB,$B150,14),0)</f>
        <v>0</v>
      </c>
      <c r="K150" s="276">
        <f t="array" ref="K150">IF($B150&gt;0,INDEX(DB,$B150,18),0)</f>
        <v>0</v>
      </c>
      <c r="L150" s="275">
        <f t="array" ref="L150">IF($B150&gt;0,INDEX(DB,$B150,16),0)</f>
        <v>0</v>
      </c>
      <c r="M150" s="276">
        <f t="array" ref="M150">IF($B150&gt;0,INDEX(DB,$B150,20),0)</f>
        <v>0</v>
      </c>
      <c r="N150" s="278"/>
      <c r="O150" s="279">
        <f t="shared" si="1"/>
        <v>0</v>
      </c>
      <c r="P150" s="280"/>
      <c r="Q150" s="261" t="str">
        <f t="shared" si="2"/>
        <v>#REF!</v>
      </c>
      <c r="R150" s="281" t="str">
        <f>IF($AI150&gt;0,RANK($AI150,BoysPoints),0)</f>
        <v>#REF!</v>
      </c>
      <c r="S150" s="282" t="str">
        <f>IF($AJ150&gt;0,RANK($AJ150,GirlsPoints),0)</f>
        <v>#REF!</v>
      </c>
      <c r="T150" s="283">
        <f>IF($O150&gt;0,RANK(O150,AthletePoints),0)</f>
        <v>0</v>
      </c>
      <c r="U150" s="210"/>
      <c r="V150" s="415" t="str">
        <f>IF(O150&gt;=40,IF(X150="M",VLOOKUP(O150,UKABoysAwards,2),IF(X150="F",VLOOKUP(O150,UKAGirlsAwards,2),"")),"")</f>
        <v/>
      </c>
      <c r="W150" s="210"/>
      <c r="X150" s="266" t="str">
        <f t="array" ref="X150:X151">INDEX(DB,$B150,4)</f>
        <v>#REF!</v>
      </c>
      <c r="Y150" s="210"/>
      <c r="Z150" s="285" t="str">
        <f t="shared" si="3"/>
        <v>#REF!</v>
      </c>
      <c r="AA150" s="286" t="str">
        <f>IF($Z150&gt;=1,RANK($Z150,$Z149:$Z164),0)</f>
        <v>#REF!</v>
      </c>
      <c r="AB150" s="287" t="str">
        <f>IF(AA150&lt;=MaxS,INT(Z150),0)</f>
        <v>#REF!</v>
      </c>
      <c r="AC150" s="210"/>
      <c r="AD150" s="285" t="str">
        <f t="shared" si="4"/>
        <v>#REF!</v>
      </c>
      <c r="AE150" s="286" t="str">
        <f>IF($AD150&gt;=1,RANK($AD150,$AD149:$AD164),0)</f>
        <v>#REF!</v>
      </c>
      <c r="AF150" s="287" t="str">
        <f>IF(AE150&lt;=MaxS,INT(AD150),0)</f>
        <v>#REF!</v>
      </c>
      <c r="AG150" s="210"/>
      <c r="AH150" s="210"/>
      <c r="AI150" s="288" t="str">
        <f t="shared" si="5"/>
        <v>#REF!</v>
      </c>
      <c r="AJ150" s="289" t="str">
        <f t="shared" si="6"/>
        <v>#REF!</v>
      </c>
    </row>
    <row r="151" ht="15.0" customHeight="1">
      <c r="A151" s="272"/>
      <c r="B151" s="250">
        <f>IF(OR(ISNA(MATCH(C151&amp;"",AthleteNumbers,0)),ISBLANK(C151)),0,MATCH(C151&amp;"",AthleteNumbers,0))</f>
        <v>0</v>
      </c>
      <c r="C151" s="413"/>
      <c r="D151" s="273" t="str">
        <f t="array" ref="D151">IF($B151&gt;0,INDEX(DB,$B151,8),"")</f>
        <v/>
      </c>
      <c r="E151" s="274" t="str">
        <f t="array" ref="E151">IF($B151&gt;0,INDEX(DB,$B151,3),"")</f>
        <v/>
      </c>
      <c r="F151" s="275">
        <f t="array" ref="F151">IF($B151&gt;0,INDEX(DB,$B151,13),0)</f>
        <v>0</v>
      </c>
      <c r="G151" s="276">
        <f t="array" ref="G151">IF($B151&gt;0,INDEX(DB,$B151,17),0)</f>
        <v>0</v>
      </c>
      <c r="H151" s="277">
        <f t="array" ref="H151">IF($B151&gt;0,INDEX(DB,$B151,15),0)</f>
        <v>0</v>
      </c>
      <c r="I151" s="276">
        <f t="array" ref="I151">IF($B151&gt;0,INDEX(DB,$B151,19),0)</f>
        <v>0</v>
      </c>
      <c r="J151" s="277">
        <f t="array" ref="J151">IF($B151&gt;0,INDEX(DB,$B151,14),0)</f>
        <v>0</v>
      </c>
      <c r="K151" s="276">
        <f t="array" ref="K151">IF($B151&gt;0,INDEX(DB,$B151,18),0)</f>
        <v>0</v>
      </c>
      <c r="L151" s="275">
        <f t="array" ref="L151">IF($B151&gt;0,INDEX(DB,$B151,16),0)</f>
        <v>0</v>
      </c>
      <c r="M151" s="276">
        <f t="array" ref="M151">IF($B151&gt;0,INDEX(DB,$B151,20),0)</f>
        <v>0</v>
      </c>
      <c r="N151" s="278"/>
      <c r="O151" s="279">
        <f t="shared" si="1"/>
        <v>0</v>
      </c>
      <c r="P151" s="280"/>
      <c r="Q151" s="261" t="str">
        <f t="shared" si="2"/>
        <v>#REF!</v>
      </c>
      <c r="R151" s="290" t="str">
        <f>IF($AI151&gt;0,RANK($AI151,BoysPoints),0)</f>
        <v>#REF!</v>
      </c>
      <c r="S151" s="291" t="str">
        <f>IF($AJ151&gt;0,RANK($AJ151,GirlsPoints),0)</f>
        <v>#REF!</v>
      </c>
      <c r="T151" s="292">
        <f>IF($O151&gt;0,RANK(O151,AthletePoints),0)</f>
        <v>0</v>
      </c>
      <c r="U151" s="210"/>
      <c r="V151" s="330" t="str">
        <f>IF(O151&gt;=40,IF(X151="M",VLOOKUP(O151,UKABoysAwards,2),IF(X151="F",VLOOKUP(O151,UKAGirlsAwards,2),"")),"")</f>
        <v/>
      </c>
      <c r="W151" s="210"/>
      <c r="X151" s="266" t="str">
        <f t="array" ref="X151:X152">INDEX(DB,$B151,4)</f>
        <v>#REF!</v>
      </c>
      <c r="Y151" s="210"/>
      <c r="Z151" s="285" t="str">
        <f t="shared" si="3"/>
        <v>#REF!</v>
      </c>
      <c r="AA151" s="286" t="str">
        <f>IF($Z151&gt;=1,RANK($Z151,$Z149:$Z164),0)</f>
        <v>#REF!</v>
      </c>
      <c r="AB151" s="287" t="str">
        <f>IF(AA151&lt;=MaxS,INT(Z151),0)</f>
        <v>#REF!</v>
      </c>
      <c r="AC151" s="210"/>
      <c r="AD151" s="285" t="str">
        <f t="shared" si="4"/>
        <v>#REF!</v>
      </c>
      <c r="AE151" s="286" t="str">
        <f>IF($AD151&gt;=1,RANK($AD151,$AD149:$AD164),0)</f>
        <v>#REF!</v>
      </c>
      <c r="AF151" s="287" t="str">
        <f>IF(AE151&lt;=MaxS,INT(AD151),0)</f>
        <v>#REF!</v>
      </c>
      <c r="AG151" s="210"/>
      <c r="AH151" s="210"/>
      <c r="AI151" s="288" t="str">
        <f t="shared" si="5"/>
        <v>#REF!</v>
      </c>
      <c r="AJ151" s="289" t="str">
        <f t="shared" si="6"/>
        <v>#REF!</v>
      </c>
    </row>
    <row r="152" ht="15.0" customHeight="1">
      <c r="A152" s="272"/>
      <c r="B152" s="250">
        <f>IF(OR(ISNA(MATCH(C152&amp;"",AthleteNumbers,0)),ISBLANK(C152)),0,MATCH(C152&amp;"",AthleteNumbers,0))</f>
        <v>0</v>
      </c>
      <c r="C152" s="413"/>
      <c r="D152" s="273" t="str">
        <f t="array" ref="D152">IF($B152&gt;0,INDEX(DB,$B152,8),"")</f>
        <v/>
      </c>
      <c r="E152" s="274" t="str">
        <f t="array" ref="E152">IF($B152&gt;0,INDEX(DB,$B152,3),"")</f>
        <v/>
      </c>
      <c r="F152" s="275">
        <f t="array" ref="F152">IF($B152&gt;0,INDEX(DB,$B152,13),0)</f>
        <v>0</v>
      </c>
      <c r="G152" s="276">
        <f t="array" ref="G152">IF($B152&gt;0,INDEX(DB,$B152,17),0)</f>
        <v>0</v>
      </c>
      <c r="H152" s="277">
        <f t="array" ref="H152">IF($B152&gt;0,INDEX(DB,$B152,15),0)</f>
        <v>0</v>
      </c>
      <c r="I152" s="276">
        <f t="array" ref="I152">IF($B152&gt;0,INDEX(DB,$B152,19),0)</f>
        <v>0</v>
      </c>
      <c r="J152" s="277">
        <f t="array" ref="J152">IF($B152&gt;0,INDEX(DB,$B152,14),0)</f>
        <v>0</v>
      </c>
      <c r="K152" s="276">
        <f t="array" ref="K152">IF($B152&gt;0,INDEX(DB,$B152,18),0)</f>
        <v>0</v>
      </c>
      <c r="L152" s="275">
        <f t="array" ref="L152">IF($B152&gt;0,INDEX(DB,$B152,16),0)</f>
        <v>0</v>
      </c>
      <c r="M152" s="276">
        <f t="array" ref="M152">IF($B152&gt;0,INDEX(DB,$B152,20),0)</f>
        <v>0</v>
      </c>
      <c r="N152" s="278"/>
      <c r="O152" s="279">
        <f t="shared" si="1"/>
        <v>0</v>
      </c>
      <c r="P152" s="280"/>
      <c r="Q152" s="261" t="str">
        <f t="shared" si="2"/>
        <v>#REF!</v>
      </c>
      <c r="R152" s="281" t="str">
        <f>IF($AI152&gt;0,RANK($AI152,BoysPoints),0)</f>
        <v>#REF!</v>
      </c>
      <c r="S152" s="282" t="str">
        <f>IF($AJ152&gt;0,RANK($AJ152,GirlsPoints),0)</f>
        <v>#REF!</v>
      </c>
      <c r="T152" s="283">
        <f>IF($O152&gt;0,RANK(O152,AthletePoints),0)</f>
        <v>0</v>
      </c>
      <c r="U152" s="210"/>
      <c r="V152" s="415" t="str">
        <f>IF(O152&gt;=40,IF(X152="M",VLOOKUP(O152,UKABoysAwards,2),IF(X152="F",VLOOKUP(O152,UKAGirlsAwards,2),"")),"")</f>
        <v/>
      </c>
      <c r="W152" s="210"/>
      <c r="X152" s="266" t="str">
        <f t="array" ref="X152:X153">INDEX(DB,$B152,4)</f>
        <v>#REF!</v>
      </c>
      <c r="Y152" s="210"/>
      <c r="Z152" s="285" t="str">
        <f t="shared" si="3"/>
        <v>#REF!</v>
      </c>
      <c r="AA152" s="286" t="str">
        <f>IF($Z152&gt;=1,RANK($Z152,$Z149:$Z164),0)</f>
        <v>#REF!</v>
      </c>
      <c r="AB152" s="287" t="str">
        <f>IF(AA152&lt;=MaxS,INT(Z152),0)</f>
        <v>#REF!</v>
      </c>
      <c r="AC152" s="210"/>
      <c r="AD152" s="285" t="str">
        <f t="shared" si="4"/>
        <v>#REF!</v>
      </c>
      <c r="AE152" s="286" t="str">
        <f>IF($AD152&gt;=1,RANK($AD152,$AD149:$AD164),0)</f>
        <v>#REF!</v>
      </c>
      <c r="AF152" s="287" t="str">
        <f>IF(AE152&lt;=MaxS,INT(AD152),0)</f>
        <v>#REF!</v>
      </c>
      <c r="AG152" s="210"/>
      <c r="AH152" s="210"/>
      <c r="AI152" s="288" t="str">
        <f t="shared" si="5"/>
        <v>#REF!</v>
      </c>
      <c r="AJ152" s="289" t="str">
        <f t="shared" si="6"/>
        <v>#REF!</v>
      </c>
    </row>
    <row r="153" ht="15.0" customHeight="1">
      <c r="A153" s="272"/>
      <c r="B153" s="250">
        <f>IF(OR(ISNA(MATCH(C153&amp;"",AthleteNumbers,0)),ISBLANK(C153)),0,MATCH(C153&amp;"",AthleteNumbers,0))</f>
        <v>0</v>
      </c>
      <c r="C153" s="413"/>
      <c r="D153" s="273" t="str">
        <f t="array" ref="D153">IF($B153&gt;0,INDEX(DB,$B153,8),"")</f>
        <v/>
      </c>
      <c r="E153" s="274" t="str">
        <f t="array" ref="E153">IF($B153&gt;0,INDEX(DB,$B153,3),"")</f>
        <v/>
      </c>
      <c r="F153" s="275">
        <f t="array" ref="F153">IF($B153&gt;0,INDEX(DB,$B153,13),0)</f>
        <v>0</v>
      </c>
      <c r="G153" s="276">
        <f t="array" ref="G153">IF($B153&gt;0,INDEX(DB,$B153,17),0)</f>
        <v>0</v>
      </c>
      <c r="H153" s="277">
        <f t="array" ref="H153">IF($B153&gt;0,INDEX(DB,$B153,15),0)</f>
        <v>0</v>
      </c>
      <c r="I153" s="276">
        <f t="array" ref="I153">IF($B153&gt;0,INDEX(DB,$B153,19),0)</f>
        <v>0</v>
      </c>
      <c r="J153" s="277">
        <f t="array" ref="J153">IF($B153&gt;0,INDEX(DB,$B153,14),0)</f>
        <v>0</v>
      </c>
      <c r="K153" s="276">
        <f t="array" ref="K153">IF($B153&gt;0,INDEX(DB,$B153,18),0)</f>
        <v>0</v>
      </c>
      <c r="L153" s="275">
        <f t="array" ref="L153">IF($B153&gt;0,INDEX(DB,$B153,16),0)</f>
        <v>0</v>
      </c>
      <c r="M153" s="276">
        <f t="array" ref="M153">IF($B153&gt;0,INDEX(DB,$B153,20),0)</f>
        <v>0</v>
      </c>
      <c r="N153" s="278"/>
      <c r="O153" s="279">
        <f t="shared" si="1"/>
        <v>0</v>
      </c>
      <c r="P153" s="280"/>
      <c r="Q153" s="261" t="str">
        <f t="shared" si="2"/>
        <v>#REF!</v>
      </c>
      <c r="R153" s="290" t="str">
        <f>IF($AI153&gt;0,RANK($AI153,BoysPoints),0)</f>
        <v>#REF!</v>
      </c>
      <c r="S153" s="291" t="str">
        <f>IF($AJ153&gt;0,RANK($AJ153,GirlsPoints),0)</f>
        <v>#REF!</v>
      </c>
      <c r="T153" s="292">
        <f>IF($O153&gt;0,RANK(O153,AthletePoints),0)</f>
        <v>0</v>
      </c>
      <c r="U153" s="210"/>
      <c r="V153" s="330" t="str">
        <f>IF(O153&gt;=40,IF(X153="M",VLOOKUP(O153,UKABoysAwards,2),IF(X153="F",VLOOKUP(O153,UKAGirlsAwards,2),"")),"")</f>
        <v/>
      </c>
      <c r="W153" s="210"/>
      <c r="X153" s="266" t="str">
        <f t="array" ref="X153:X154">INDEX(DB,$B153,4)</f>
        <v>#REF!</v>
      </c>
      <c r="Y153" s="210"/>
      <c r="Z153" s="285" t="str">
        <f t="shared" si="3"/>
        <v>#REF!</v>
      </c>
      <c r="AA153" s="286" t="str">
        <f>IF($Z153&gt;=1,RANK($Z153,$Z149:$Z164),0)</f>
        <v>#REF!</v>
      </c>
      <c r="AB153" s="287" t="str">
        <f>IF(AA153&lt;=MaxS,INT(Z153),0)</f>
        <v>#REF!</v>
      </c>
      <c r="AC153" s="210"/>
      <c r="AD153" s="285" t="str">
        <f t="shared" si="4"/>
        <v>#REF!</v>
      </c>
      <c r="AE153" s="286" t="str">
        <f>IF($AD153&gt;=1,RANK($AD153,$AD149:$AD164),0)</f>
        <v>#REF!</v>
      </c>
      <c r="AF153" s="287" t="str">
        <f>IF(AE153&lt;=MaxS,INT(AD153),0)</f>
        <v>#REF!</v>
      </c>
      <c r="AG153" s="210"/>
      <c r="AH153" s="210"/>
      <c r="AI153" s="288" t="str">
        <f t="shared" si="5"/>
        <v>#REF!</v>
      </c>
      <c r="AJ153" s="289" t="str">
        <f t="shared" si="6"/>
        <v>#REF!</v>
      </c>
    </row>
    <row r="154" ht="15.0" customHeight="1">
      <c r="A154" s="272"/>
      <c r="B154" s="250">
        <f>IF(OR(ISNA(MATCH(C154&amp;"",AthleteNumbers,0)),ISBLANK(C154)),0,MATCH(C154&amp;"",AthleteNumbers,0))</f>
        <v>0</v>
      </c>
      <c r="C154" s="413"/>
      <c r="D154" s="273" t="str">
        <f t="array" ref="D154">IF($B154&gt;0,INDEX(DB,$B154,8),"")</f>
        <v/>
      </c>
      <c r="E154" s="274" t="str">
        <f t="array" ref="E154">IF($B154&gt;0,INDEX(DB,$B154,3),"")</f>
        <v/>
      </c>
      <c r="F154" s="275">
        <f t="array" ref="F154">IF($B154&gt;0,INDEX(DB,$B154,13),0)</f>
        <v>0</v>
      </c>
      <c r="G154" s="276">
        <f t="array" ref="G154">IF($B154&gt;0,INDEX(DB,$B154,17),0)</f>
        <v>0</v>
      </c>
      <c r="H154" s="277">
        <f t="array" ref="H154">IF($B154&gt;0,INDEX(DB,$B154,15),0)</f>
        <v>0</v>
      </c>
      <c r="I154" s="276">
        <f t="array" ref="I154">IF($B154&gt;0,INDEX(DB,$B154,19),0)</f>
        <v>0</v>
      </c>
      <c r="J154" s="277">
        <f t="array" ref="J154">IF($B154&gt;0,INDEX(DB,$B154,14),0)</f>
        <v>0</v>
      </c>
      <c r="K154" s="276">
        <f t="array" ref="K154">IF($B154&gt;0,INDEX(DB,$B154,18),0)</f>
        <v>0</v>
      </c>
      <c r="L154" s="275">
        <f t="array" ref="L154">IF($B154&gt;0,INDEX(DB,$B154,16),0)</f>
        <v>0</v>
      </c>
      <c r="M154" s="276">
        <f t="array" ref="M154">IF($B154&gt;0,INDEX(DB,$B154,20),0)</f>
        <v>0</v>
      </c>
      <c r="N154" s="278"/>
      <c r="O154" s="279">
        <f t="shared" si="1"/>
        <v>0</v>
      </c>
      <c r="P154" s="280"/>
      <c r="Q154" s="261" t="str">
        <f t="shared" si="2"/>
        <v>#REF!</v>
      </c>
      <c r="R154" s="281" t="str">
        <f>IF($AI154&gt;0,RANK($AI154,BoysPoints),0)</f>
        <v>#REF!</v>
      </c>
      <c r="S154" s="282" t="str">
        <f>IF($AJ154&gt;0,RANK($AJ154,GirlsPoints),0)</f>
        <v>#REF!</v>
      </c>
      <c r="T154" s="283">
        <f>IF($O154&gt;0,RANK(O154,AthletePoints),0)</f>
        <v>0</v>
      </c>
      <c r="U154" s="210"/>
      <c r="V154" s="415" t="str">
        <f>IF(O154&gt;=40,IF(X154="M",VLOOKUP(O154,UKABoysAwards,2),IF(X154="F",VLOOKUP(O154,UKAGirlsAwards,2),"")),"")</f>
        <v/>
      </c>
      <c r="W154" s="210"/>
      <c r="X154" s="266" t="str">
        <f t="array" ref="X154:X155">INDEX(DB,$B154,4)</f>
        <v>#REF!</v>
      </c>
      <c r="Y154" s="210"/>
      <c r="Z154" s="285" t="str">
        <f t="shared" si="3"/>
        <v>#REF!</v>
      </c>
      <c r="AA154" s="286" t="str">
        <f>IF($Z154&gt;=1,RANK($Z154,$Z149:$Z164),0)</f>
        <v>#REF!</v>
      </c>
      <c r="AB154" s="287" t="str">
        <f>IF(AA154&lt;=MaxS,INT(Z154),0)</f>
        <v>#REF!</v>
      </c>
      <c r="AC154" s="210"/>
      <c r="AD154" s="285" t="str">
        <f t="shared" si="4"/>
        <v>#REF!</v>
      </c>
      <c r="AE154" s="286" t="str">
        <f>IF($AD154&gt;=1,RANK($AD154,$AD149:$AD164),0)</f>
        <v>#REF!</v>
      </c>
      <c r="AF154" s="287" t="str">
        <f>IF(AE154&lt;=MaxS,INT(AD154),0)</f>
        <v>#REF!</v>
      </c>
      <c r="AG154" s="210"/>
      <c r="AH154" s="210"/>
      <c r="AI154" s="288" t="str">
        <f t="shared" si="5"/>
        <v>#REF!</v>
      </c>
      <c r="AJ154" s="289" t="str">
        <f t="shared" si="6"/>
        <v>#REF!</v>
      </c>
    </row>
    <row r="155" ht="15.0" customHeight="1">
      <c r="A155" s="272"/>
      <c r="B155" s="250">
        <f>IF(OR(ISNA(MATCH(C155&amp;"",AthleteNumbers,0)),ISBLANK(C155)),0,MATCH(C155&amp;"",AthleteNumbers,0))</f>
        <v>0</v>
      </c>
      <c r="C155" s="413"/>
      <c r="D155" s="273" t="str">
        <f t="array" ref="D155">IF($B155&gt;0,INDEX(DB,$B155,8),"")</f>
        <v/>
      </c>
      <c r="E155" s="274" t="str">
        <f t="array" ref="E155">IF($B155&gt;0,INDEX(DB,$B155,3),"")</f>
        <v/>
      </c>
      <c r="F155" s="275">
        <f t="array" ref="F155">IF($B155&gt;0,INDEX(DB,$B155,13),0)</f>
        <v>0</v>
      </c>
      <c r="G155" s="276">
        <f t="array" ref="G155">IF($B155&gt;0,INDEX(DB,$B155,17),0)</f>
        <v>0</v>
      </c>
      <c r="H155" s="277">
        <f t="array" ref="H155">IF($B155&gt;0,INDEX(DB,$B155,15),0)</f>
        <v>0</v>
      </c>
      <c r="I155" s="276">
        <f t="array" ref="I155">IF($B155&gt;0,INDEX(DB,$B155,19),0)</f>
        <v>0</v>
      </c>
      <c r="J155" s="277">
        <f t="array" ref="J155">IF($B155&gt;0,INDEX(DB,$B155,14),0)</f>
        <v>0</v>
      </c>
      <c r="K155" s="276">
        <f t="array" ref="K155">IF($B155&gt;0,INDEX(DB,$B155,18),0)</f>
        <v>0</v>
      </c>
      <c r="L155" s="275">
        <f t="array" ref="L155">IF($B155&gt;0,INDEX(DB,$B155,16),0)</f>
        <v>0</v>
      </c>
      <c r="M155" s="276">
        <f t="array" ref="M155">IF($B155&gt;0,INDEX(DB,$B155,20),0)</f>
        <v>0</v>
      </c>
      <c r="N155" s="278"/>
      <c r="O155" s="279">
        <f t="shared" si="1"/>
        <v>0</v>
      </c>
      <c r="P155" s="280"/>
      <c r="Q155" s="261" t="str">
        <f t="shared" si="2"/>
        <v>#REF!</v>
      </c>
      <c r="R155" s="290" t="str">
        <f>IF($AI155&gt;0,RANK($AI155,BoysPoints),0)</f>
        <v>#REF!</v>
      </c>
      <c r="S155" s="291" t="str">
        <f>IF($AJ155&gt;0,RANK($AJ155,GirlsPoints),0)</f>
        <v>#REF!</v>
      </c>
      <c r="T155" s="292">
        <f>IF($O155&gt;0,RANK(O155,AthletePoints),0)</f>
        <v>0</v>
      </c>
      <c r="U155" s="210"/>
      <c r="V155" s="330" t="str">
        <f>IF(O155&gt;=40,IF(X155="M",VLOOKUP(O155,UKABoysAwards,2),IF(X155="F",VLOOKUP(O155,UKAGirlsAwards,2),"")),"")</f>
        <v/>
      </c>
      <c r="W155" s="210"/>
      <c r="X155" s="266" t="str">
        <f t="array" ref="X155:X156">INDEX(DB,$B155,4)</f>
        <v>#REF!</v>
      </c>
      <c r="Y155" s="210"/>
      <c r="Z155" s="285" t="str">
        <f t="shared" si="3"/>
        <v>#REF!</v>
      </c>
      <c r="AA155" s="286" t="str">
        <f>IF($Z155&gt;=1,RANK($Z155,$Z149:$Z164),0)</f>
        <v>#REF!</v>
      </c>
      <c r="AB155" s="287" t="str">
        <f>IF(AA155&lt;=MaxS,INT(Z155),0)</f>
        <v>#REF!</v>
      </c>
      <c r="AC155" s="210"/>
      <c r="AD155" s="285" t="str">
        <f t="shared" si="4"/>
        <v>#REF!</v>
      </c>
      <c r="AE155" s="286" t="str">
        <f>IF($AD155&gt;=1,RANK($AD155,$AD149:$AD164),0)</f>
        <v>#REF!</v>
      </c>
      <c r="AF155" s="287" t="str">
        <f>IF(AE155&lt;=MaxS,INT(AD155),0)</f>
        <v>#REF!</v>
      </c>
      <c r="AG155" s="210"/>
      <c r="AH155" s="210"/>
      <c r="AI155" s="288" t="str">
        <f t="shared" si="5"/>
        <v>#REF!</v>
      </c>
      <c r="AJ155" s="289" t="str">
        <f t="shared" si="6"/>
        <v>#REF!</v>
      </c>
    </row>
    <row r="156" ht="15.0" customHeight="1">
      <c r="A156" s="272"/>
      <c r="B156" s="250">
        <f>IF(OR(ISNA(MATCH(C156&amp;"",AthleteNumbers,0)),ISBLANK(C156)),0,MATCH(C156&amp;"",AthleteNumbers,0))</f>
        <v>0</v>
      </c>
      <c r="C156" s="413"/>
      <c r="D156" s="273" t="str">
        <f t="array" ref="D156">IF($B156&gt;0,INDEX(DB,$B156,8),"")</f>
        <v/>
      </c>
      <c r="E156" s="274" t="str">
        <f t="array" ref="E156">IF($B156&gt;0,INDEX(DB,$B156,3),"")</f>
        <v/>
      </c>
      <c r="F156" s="275">
        <f t="array" ref="F156">IF($B156&gt;0,INDEX(DB,$B156,13),0)</f>
        <v>0</v>
      </c>
      <c r="G156" s="276">
        <f t="array" ref="G156">IF($B156&gt;0,INDEX(DB,$B156,17),0)</f>
        <v>0</v>
      </c>
      <c r="H156" s="277">
        <f t="array" ref="H156">IF($B156&gt;0,INDEX(DB,$B156,15),0)</f>
        <v>0</v>
      </c>
      <c r="I156" s="276">
        <f t="array" ref="I156">IF($B156&gt;0,INDEX(DB,$B156,19),0)</f>
        <v>0</v>
      </c>
      <c r="J156" s="277">
        <f t="array" ref="J156">IF($B156&gt;0,INDEX(DB,$B156,14),0)</f>
        <v>0</v>
      </c>
      <c r="K156" s="276">
        <f t="array" ref="K156">IF($B156&gt;0,INDEX(DB,$B156,18),0)</f>
        <v>0</v>
      </c>
      <c r="L156" s="275">
        <f t="array" ref="L156">IF($B156&gt;0,INDEX(DB,$B156,16),0)</f>
        <v>0</v>
      </c>
      <c r="M156" s="276">
        <f t="array" ref="M156">IF($B156&gt;0,INDEX(DB,$B156,20),0)</f>
        <v>0</v>
      </c>
      <c r="N156" s="278"/>
      <c r="O156" s="279">
        <f t="shared" si="1"/>
        <v>0</v>
      </c>
      <c r="P156" s="280"/>
      <c r="Q156" s="261" t="str">
        <f t="shared" si="2"/>
        <v>#REF!</v>
      </c>
      <c r="R156" s="281" t="str">
        <f>IF($AI156&gt;0,RANK($AI156,BoysPoints),0)</f>
        <v>#REF!</v>
      </c>
      <c r="S156" s="282" t="str">
        <f>IF($AJ156&gt;0,RANK($AJ156,GirlsPoints),0)</f>
        <v>#REF!</v>
      </c>
      <c r="T156" s="283">
        <f>IF($O156&gt;0,RANK(O156,AthletePoints),0)</f>
        <v>0</v>
      </c>
      <c r="U156" s="210"/>
      <c r="V156" s="415" t="str">
        <f>IF(O156&gt;=40,IF(X156="M",VLOOKUP(O156,UKABoysAwards,2),IF(X156="F",VLOOKUP(O156,UKAGirlsAwards,2),"")),"")</f>
        <v/>
      </c>
      <c r="W156" s="210"/>
      <c r="X156" s="266" t="str">
        <f t="array" ref="X156:X157">INDEX(DB,$B156,4)</f>
        <v>#REF!</v>
      </c>
      <c r="Y156" s="210"/>
      <c r="Z156" s="285" t="str">
        <f t="shared" si="3"/>
        <v>#REF!</v>
      </c>
      <c r="AA156" s="286" t="str">
        <f>IF($Z156&gt;=1,RANK($Z156,$Z149:$Z164),0)</f>
        <v>#REF!</v>
      </c>
      <c r="AB156" s="287" t="str">
        <f>IF(AA156&lt;=MaxS,INT(Z156),0)</f>
        <v>#REF!</v>
      </c>
      <c r="AC156" s="210"/>
      <c r="AD156" s="285" t="str">
        <f t="shared" si="4"/>
        <v>#REF!</v>
      </c>
      <c r="AE156" s="286" t="str">
        <f>IF($AD156&gt;=1,RANK($AD156,$AD149:$AD164),0)</f>
        <v>#REF!</v>
      </c>
      <c r="AF156" s="287" t="str">
        <f>IF(AE156&lt;=MaxS,INT(AD156),0)</f>
        <v>#REF!</v>
      </c>
      <c r="AG156" s="210"/>
      <c r="AH156" s="210"/>
      <c r="AI156" s="288" t="str">
        <f t="shared" si="5"/>
        <v>#REF!</v>
      </c>
      <c r="AJ156" s="289" t="str">
        <f t="shared" si="6"/>
        <v>#REF!</v>
      </c>
    </row>
    <row r="157" ht="15.0" customHeight="1">
      <c r="A157" s="272"/>
      <c r="B157" s="250">
        <f>IF(OR(ISNA(MATCH(C157&amp;"",AthleteNumbers,0)),ISBLANK(C157)),0,MATCH(C157&amp;"",AthleteNumbers,0))</f>
        <v>0</v>
      </c>
      <c r="C157" s="413"/>
      <c r="D157" s="273" t="str">
        <f t="array" ref="D157">IF($B157&gt;0,INDEX(DB,$B157,8),"")</f>
        <v/>
      </c>
      <c r="E157" s="274" t="str">
        <f t="array" ref="E157">IF($B157&gt;0,INDEX(DB,$B157,3),"")</f>
        <v/>
      </c>
      <c r="F157" s="275">
        <f t="array" ref="F157">IF($B157&gt;0,INDEX(DB,$B157,13),0)</f>
        <v>0</v>
      </c>
      <c r="G157" s="276">
        <f t="array" ref="G157">IF($B157&gt;0,INDEX(DB,$B157,17),0)</f>
        <v>0</v>
      </c>
      <c r="H157" s="277">
        <f t="array" ref="H157">IF($B157&gt;0,INDEX(DB,$B157,15),0)</f>
        <v>0</v>
      </c>
      <c r="I157" s="276">
        <f t="array" ref="I157">IF($B157&gt;0,INDEX(DB,$B157,19),0)</f>
        <v>0</v>
      </c>
      <c r="J157" s="277">
        <f t="array" ref="J157">IF($B157&gt;0,INDEX(DB,$B157,14),0)</f>
        <v>0</v>
      </c>
      <c r="K157" s="276">
        <f t="array" ref="K157">IF($B157&gt;0,INDEX(DB,$B157,18),0)</f>
        <v>0</v>
      </c>
      <c r="L157" s="275">
        <f t="array" ref="L157">IF($B157&gt;0,INDEX(DB,$B157,16),0)</f>
        <v>0</v>
      </c>
      <c r="M157" s="276">
        <f t="array" ref="M157">IF($B157&gt;0,INDEX(DB,$B157,20),0)</f>
        <v>0</v>
      </c>
      <c r="N157" s="278"/>
      <c r="O157" s="279">
        <f t="shared" si="1"/>
        <v>0</v>
      </c>
      <c r="P157" s="280"/>
      <c r="Q157" s="261" t="str">
        <f t="shared" si="2"/>
        <v>#REF!</v>
      </c>
      <c r="R157" s="290" t="str">
        <f>IF($AI157&gt;0,RANK($AI157,BoysPoints),0)</f>
        <v>#REF!</v>
      </c>
      <c r="S157" s="291" t="str">
        <f>IF($AJ157&gt;0,RANK($AJ157,GirlsPoints),0)</f>
        <v>#REF!</v>
      </c>
      <c r="T157" s="292">
        <f>IF($O157&gt;0,RANK(O157,AthletePoints),0)</f>
        <v>0</v>
      </c>
      <c r="U157" s="210"/>
      <c r="V157" s="330" t="str">
        <f>IF(O157&gt;=40,IF(X157="M",VLOOKUP(O157,UKABoysAwards,2),IF(X157="F",VLOOKUP(O157,UKAGirlsAwards,2),"")),"")</f>
        <v/>
      </c>
      <c r="W157" s="210"/>
      <c r="X157" s="266" t="str">
        <f t="array" ref="X157:X158">INDEX(DB,$B157,4)</f>
        <v>#REF!</v>
      </c>
      <c r="Y157" s="210"/>
      <c r="Z157" s="285" t="str">
        <f t="shared" si="3"/>
        <v>#REF!</v>
      </c>
      <c r="AA157" s="286" t="str">
        <f>IF($Z157&gt;=1,RANK($Z157,$Z149:$Z164),0)</f>
        <v>#REF!</v>
      </c>
      <c r="AB157" s="287" t="str">
        <f>IF(AA157&lt;=MaxS,INT(Z157),0)</f>
        <v>#REF!</v>
      </c>
      <c r="AC157" s="210"/>
      <c r="AD157" s="285" t="str">
        <f t="shared" si="4"/>
        <v>#REF!</v>
      </c>
      <c r="AE157" s="286" t="str">
        <f>IF($AD157&gt;=1,RANK($AD157,$AD149:$AD164),0)</f>
        <v>#REF!</v>
      </c>
      <c r="AF157" s="287" t="str">
        <f>IF(AE157&lt;=MaxS,INT(AD157),0)</f>
        <v>#REF!</v>
      </c>
      <c r="AG157" s="210"/>
      <c r="AH157" s="210"/>
      <c r="AI157" s="288" t="str">
        <f t="shared" si="5"/>
        <v>#REF!</v>
      </c>
      <c r="AJ157" s="289" t="str">
        <f t="shared" si="6"/>
        <v>#REF!</v>
      </c>
    </row>
    <row r="158" ht="15.0" customHeight="1">
      <c r="A158" s="272"/>
      <c r="B158" s="250">
        <f>IF(OR(ISNA(MATCH(C158&amp;"",AthleteNumbers,0)),ISBLANK(C158)),0,MATCH(C158&amp;"",AthleteNumbers,0))</f>
        <v>0</v>
      </c>
      <c r="C158" s="413"/>
      <c r="D158" s="273" t="str">
        <f t="array" ref="D158">IF($B158&gt;0,INDEX(DB,$B158,8),"")</f>
        <v/>
      </c>
      <c r="E158" s="274" t="str">
        <f t="array" ref="E158">IF($B158&gt;0,INDEX(DB,$B158,3),"")</f>
        <v/>
      </c>
      <c r="F158" s="275">
        <f t="array" ref="F158">IF($B158&gt;0,INDEX(DB,$B158,13),0)</f>
        <v>0</v>
      </c>
      <c r="G158" s="276">
        <f t="array" ref="G158">IF($B158&gt;0,INDEX(DB,$B158,17),0)</f>
        <v>0</v>
      </c>
      <c r="H158" s="277">
        <f t="array" ref="H158">IF($B158&gt;0,INDEX(DB,$B158,15),0)</f>
        <v>0</v>
      </c>
      <c r="I158" s="276">
        <f t="array" ref="I158">IF($B158&gt;0,INDEX(DB,$B158,19),0)</f>
        <v>0</v>
      </c>
      <c r="J158" s="277">
        <f t="array" ref="J158">IF($B158&gt;0,INDEX(DB,$B158,14),0)</f>
        <v>0</v>
      </c>
      <c r="K158" s="276">
        <f t="array" ref="K158">IF($B158&gt;0,INDEX(DB,$B158,18),0)</f>
        <v>0</v>
      </c>
      <c r="L158" s="275">
        <f t="array" ref="L158">IF($B158&gt;0,INDEX(DB,$B158,16),0)</f>
        <v>0</v>
      </c>
      <c r="M158" s="276">
        <f t="array" ref="M158">IF($B158&gt;0,INDEX(DB,$B158,20),0)</f>
        <v>0</v>
      </c>
      <c r="N158" s="278"/>
      <c r="O158" s="279">
        <f t="shared" si="1"/>
        <v>0</v>
      </c>
      <c r="P158" s="280"/>
      <c r="Q158" s="261" t="str">
        <f t="shared" si="2"/>
        <v>#REF!</v>
      </c>
      <c r="R158" s="281" t="str">
        <f>IF($AI158&gt;0,RANK($AI158,BoysPoints),0)</f>
        <v>#REF!</v>
      </c>
      <c r="S158" s="282" t="str">
        <f>IF($AJ158&gt;0,RANK($AJ158,GirlsPoints),0)</f>
        <v>#REF!</v>
      </c>
      <c r="T158" s="283">
        <f>IF($O158&gt;0,RANK(O158,AthletePoints),0)</f>
        <v>0</v>
      </c>
      <c r="U158" s="210"/>
      <c r="V158" s="415" t="str">
        <f>IF(O158&gt;=40,IF(X158="M",VLOOKUP(O158,UKABoysAwards,2),IF(X158="F",VLOOKUP(O158,UKAGirlsAwards,2),"")),"")</f>
        <v/>
      </c>
      <c r="W158" s="210"/>
      <c r="X158" s="266" t="str">
        <f t="array" ref="X158:X159">INDEX(DB,$B158,4)</f>
        <v>#REF!</v>
      </c>
      <c r="Y158" s="210"/>
      <c r="Z158" s="285" t="str">
        <f t="shared" si="3"/>
        <v>#REF!</v>
      </c>
      <c r="AA158" s="286" t="str">
        <f>IF($Z158&gt;=1,RANK($Z158,$Z149:$Z164),0)</f>
        <v>#REF!</v>
      </c>
      <c r="AB158" s="287" t="str">
        <f>IF(AA158&lt;=MaxS,INT(Z158),0)</f>
        <v>#REF!</v>
      </c>
      <c r="AC158" s="210"/>
      <c r="AD158" s="285" t="str">
        <f t="shared" si="4"/>
        <v>#REF!</v>
      </c>
      <c r="AE158" s="286" t="str">
        <f>IF($AD158&gt;=1,RANK($AD158,$AD149:$AD164),0)</f>
        <v>#REF!</v>
      </c>
      <c r="AF158" s="287" t="str">
        <f>IF(AE158&lt;=MaxS,INT(AD158),0)</f>
        <v>#REF!</v>
      </c>
      <c r="AG158" s="210"/>
      <c r="AH158" s="210"/>
      <c r="AI158" s="288" t="str">
        <f t="shared" si="5"/>
        <v>#REF!</v>
      </c>
      <c r="AJ158" s="289" t="str">
        <f t="shared" si="6"/>
        <v>#REF!</v>
      </c>
    </row>
    <row r="159" ht="15.0" customHeight="1">
      <c r="A159" s="272"/>
      <c r="B159" s="250">
        <f>IF(OR(ISNA(MATCH(C159&amp;"",AthleteNumbers,0)),ISBLANK(C159)),0,MATCH(C159&amp;"",AthleteNumbers,0))</f>
        <v>0</v>
      </c>
      <c r="C159" s="413"/>
      <c r="D159" s="273" t="str">
        <f t="array" ref="D159">IF($B159&gt;0,INDEX(DB,$B159,8),"")</f>
        <v/>
      </c>
      <c r="E159" s="274" t="str">
        <f t="array" ref="E159">IF($B159&gt;0,INDEX(DB,$B159,3),"")</f>
        <v/>
      </c>
      <c r="F159" s="275">
        <f t="array" ref="F159">IF($B159&gt;0,INDEX(DB,$B159,13),0)</f>
        <v>0</v>
      </c>
      <c r="G159" s="276">
        <f t="array" ref="G159">IF($B159&gt;0,INDEX(DB,$B159,17),0)</f>
        <v>0</v>
      </c>
      <c r="H159" s="277">
        <f t="array" ref="H159">IF($B159&gt;0,INDEX(DB,$B159,15),0)</f>
        <v>0</v>
      </c>
      <c r="I159" s="276">
        <f t="array" ref="I159">IF($B159&gt;0,INDEX(DB,$B159,19),0)</f>
        <v>0</v>
      </c>
      <c r="J159" s="277">
        <f t="array" ref="J159">IF($B159&gt;0,INDEX(DB,$B159,14),0)</f>
        <v>0</v>
      </c>
      <c r="K159" s="276">
        <f t="array" ref="K159">IF($B159&gt;0,INDEX(DB,$B159,18),0)</f>
        <v>0</v>
      </c>
      <c r="L159" s="275">
        <f t="array" ref="L159">IF($B159&gt;0,INDEX(DB,$B159,16),0)</f>
        <v>0</v>
      </c>
      <c r="M159" s="276">
        <f t="array" ref="M159">IF($B159&gt;0,INDEX(DB,$B159,20),0)</f>
        <v>0</v>
      </c>
      <c r="N159" s="278"/>
      <c r="O159" s="279">
        <f t="shared" si="1"/>
        <v>0</v>
      </c>
      <c r="P159" s="280"/>
      <c r="Q159" s="261" t="str">
        <f t="shared" si="2"/>
        <v>#REF!</v>
      </c>
      <c r="R159" s="290" t="str">
        <f>IF($AI159&gt;0,RANK($AI159,BoysPoints),0)</f>
        <v>#REF!</v>
      </c>
      <c r="S159" s="291" t="str">
        <f>IF($AJ159&gt;0,RANK($AJ159,GirlsPoints),0)</f>
        <v>#REF!</v>
      </c>
      <c r="T159" s="292">
        <f>IF($O159&gt;0,RANK(O159,AthletePoints),0)</f>
        <v>0</v>
      </c>
      <c r="U159" s="210"/>
      <c r="V159" s="330" t="str">
        <f>IF(O159&gt;=40,IF(X159="M",VLOOKUP(O159,UKABoysAwards,2),IF(X159="F",VLOOKUP(O159,UKAGirlsAwards,2),"")),"")</f>
        <v/>
      </c>
      <c r="W159" s="210"/>
      <c r="X159" s="266" t="str">
        <f t="array" ref="X159:X160">INDEX(DB,$B159,4)</f>
        <v>#REF!</v>
      </c>
      <c r="Y159" s="210"/>
      <c r="Z159" s="285" t="str">
        <f t="shared" si="3"/>
        <v>#REF!</v>
      </c>
      <c r="AA159" s="286" t="str">
        <f>IF($Z159&gt;=1,RANK($Z159,$Z149:$Z164),0)</f>
        <v>#REF!</v>
      </c>
      <c r="AB159" s="287" t="str">
        <f>IF(AA159&lt;=MaxS,INT(Z159),0)</f>
        <v>#REF!</v>
      </c>
      <c r="AC159" s="210"/>
      <c r="AD159" s="285" t="str">
        <f t="shared" si="4"/>
        <v>#REF!</v>
      </c>
      <c r="AE159" s="286" t="str">
        <f>IF($AD159&gt;=1,RANK($AD159,$AD149:$AD164),0)</f>
        <v>#REF!</v>
      </c>
      <c r="AF159" s="287" t="str">
        <f>IF(AE159&lt;=MaxS,INT(AD159),0)</f>
        <v>#REF!</v>
      </c>
      <c r="AG159" s="210"/>
      <c r="AH159" s="210"/>
      <c r="AI159" s="288" t="str">
        <f t="shared" si="5"/>
        <v>#REF!</v>
      </c>
      <c r="AJ159" s="289" t="str">
        <f t="shared" si="6"/>
        <v>#REF!</v>
      </c>
    </row>
    <row r="160" ht="15.0" customHeight="1">
      <c r="A160" s="272"/>
      <c r="B160" s="250">
        <f>IF(OR(ISNA(MATCH(C160&amp;"",AthleteNumbers,0)),ISBLANK(C160)),0,MATCH(C160&amp;"",AthleteNumbers,0))</f>
        <v>0</v>
      </c>
      <c r="C160" s="413"/>
      <c r="D160" s="273" t="str">
        <f t="array" ref="D160">IF($B160&gt;0,INDEX(DB,$B160,8),"")</f>
        <v/>
      </c>
      <c r="E160" s="274" t="str">
        <f t="array" ref="E160">IF($B160&gt;0,INDEX(DB,$B160,3),"")</f>
        <v/>
      </c>
      <c r="F160" s="275">
        <f t="array" ref="F160">IF($B160&gt;0,INDEX(DB,$B160,13),0)</f>
        <v>0</v>
      </c>
      <c r="G160" s="276">
        <f t="array" ref="G160">IF($B160&gt;0,INDEX(DB,$B160,17),0)</f>
        <v>0</v>
      </c>
      <c r="H160" s="277">
        <f t="array" ref="H160">IF($B160&gt;0,INDEX(DB,$B160,15),0)</f>
        <v>0</v>
      </c>
      <c r="I160" s="276">
        <f t="array" ref="I160">IF($B160&gt;0,INDEX(DB,$B160,19),0)</f>
        <v>0</v>
      </c>
      <c r="J160" s="277">
        <f t="array" ref="J160">IF($B160&gt;0,INDEX(DB,$B160,14),0)</f>
        <v>0</v>
      </c>
      <c r="K160" s="276">
        <f t="array" ref="K160">IF($B160&gt;0,INDEX(DB,$B160,18),0)</f>
        <v>0</v>
      </c>
      <c r="L160" s="275">
        <f t="array" ref="L160">IF($B160&gt;0,INDEX(DB,$B160,16),0)</f>
        <v>0</v>
      </c>
      <c r="M160" s="276">
        <f t="array" ref="M160">IF($B160&gt;0,INDEX(DB,$B160,20),0)</f>
        <v>0</v>
      </c>
      <c r="N160" s="278"/>
      <c r="O160" s="279">
        <f t="shared" si="1"/>
        <v>0</v>
      </c>
      <c r="P160" s="280"/>
      <c r="Q160" s="261" t="str">
        <f t="shared" si="2"/>
        <v>#REF!</v>
      </c>
      <c r="R160" s="281" t="str">
        <f>IF($AI160&gt;0,RANK($AI160,BoysPoints),0)</f>
        <v>#REF!</v>
      </c>
      <c r="S160" s="282" t="str">
        <f>IF($AJ160&gt;0,RANK($AJ160,GirlsPoints),0)</f>
        <v>#REF!</v>
      </c>
      <c r="T160" s="283">
        <f>IF($O160&gt;0,RANK(O160,AthletePoints),0)</f>
        <v>0</v>
      </c>
      <c r="U160" s="210"/>
      <c r="V160" s="415" t="str">
        <f>IF(O160&gt;=40,IF(X160="M",VLOOKUP(O160,UKABoysAwards,2),IF(X160="F",VLOOKUP(O160,UKAGirlsAwards,2),"")),"")</f>
        <v/>
      </c>
      <c r="W160" s="210"/>
      <c r="X160" s="266" t="str">
        <f t="array" ref="X160:X161">INDEX(DB,$B160,4)</f>
        <v>#REF!</v>
      </c>
      <c r="Y160" s="210"/>
      <c r="Z160" s="285" t="str">
        <f t="shared" si="3"/>
        <v>#REF!</v>
      </c>
      <c r="AA160" s="286" t="str">
        <f>IF($Z160&gt;=1,RANK($Z160,$Z149:$Z164),0)</f>
        <v>#REF!</v>
      </c>
      <c r="AB160" s="287" t="str">
        <f>IF(AA160&lt;=MaxS,INT(Z160),0)</f>
        <v>#REF!</v>
      </c>
      <c r="AC160" s="210"/>
      <c r="AD160" s="285" t="str">
        <f t="shared" si="4"/>
        <v>#REF!</v>
      </c>
      <c r="AE160" s="286" t="str">
        <f>IF($AD160&gt;=1,RANK($AD160,$AD149:$AD164),0)</f>
        <v>#REF!</v>
      </c>
      <c r="AF160" s="287" t="str">
        <f>IF(AE160&lt;=MaxS,INT(AD160),0)</f>
        <v>#REF!</v>
      </c>
      <c r="AG160" s="210"/>
      <c r="AH160" s="210"/>
      <c r="AI160" s="288" t="str">
        <f t="shared" si="5"/>
        <v>#REF!</v>
      </c>
      <c r="AJ160" s="289" t="str">
        <f t="shared" si="6"/>
        <v>#REF!</v>
      </c>
    </row>
    <row r="161" ht="15.0" customHeight="1">
      <c r="A161" s="272"/>
      <c r="B161" s="250">
        <f>IF(OR(ISNA(MATCH(C161&amp;"",AthleteNumbers,0)),ISBLANK(C161)),0,MATCH(C161&amp;"",AthleteNumbers,0))</f>
        <v>0</v>
      </c>
      <c r="C161" s="413"/>
      <c r="D161" s="273" t="str">
        <f t="array" ref="D161">IF($B161&gt;0,INDEX(DB,$B161,8),"")</f>
        <v/>
      </c>
      <c r="E161" s="274" t="str">
        <f t="array" ref="E161">IF($B161&gt;0,INDEX(DB,$B161,3),"")</f>
        <v/>
      </c>
      <c r="F161" s="275">
        <f t="array" ref="F161">IF($B161&gt;0,INDEX(DB,$B161,13),0)</f>
        <v>0</v>
      </c>
      <c r="G161" s="276">
        <f t="array" ref="G161">IF($B161&gt;0,INDEX(DB,$B161,17),0)</f>
        <v>0</v>
      </c>
      <c r="H161" s="277">
        <f t="array" ref="H161">IF($B161&gt;0,INDEX(DB,$B161,15),0)</f>
        <v>0</v>
      </c>
      <c r="I161" s="276">
        <f t="array" ref="I161">IF($B161&gt;0,INDEX(DB,$B161,19),0)</f>
        <v>0</v>
      </c>
      <c r="J161" s="277">
        <f t="array" ref="J161">IF($B161&gt;0,INDEX(DB,$B161,14),0)</f>
        <v>0</v>
      </c>
      <c r="K161" s="276">
        <f t="array" ref="K161">IF($B161&gt;0,INDEX(DB,$B161,18),0)</f>
        <v>0</v>
      </c>
      <c r="L161" s="275">
        <f t="array" ref="L161">IF($B161&gt;0,INDEX(DB,$B161,16),0)</f>
        <v>0</v>
      </c>
      <c r="M161" s="276">
        <f t="array" ref="M161">IF($B161&gt;0,INDEX(DB,$B161,20),0)</f>
        <v>0</v>
      </c>
      <c r="N161" s="278"/>
      <c r="O161" s="279">
        <f t="shared" si="1"/>
        <v>0</v>
      </c>
      <c r="P161" s="280"/>
      <c r="Q161" s="261" t="str">
        <f t="shared" si="2"/>
        <v>#REF!</v>
      </c>
      <c r="R161" s="290" t="str">
        <f>IF($AI161&gt;0,RANK($AI161,BoysPoints),0)</f>
        <v>#REF!</v>
      </c>
      <c r="S161" s="291" t="str">
        <f>IF($AJ161&gt;0,RANK($AJ161,GirlsPoints),0)</f>
        <v>#REF!</v>
      </c>
      <c r="T161" s="292">
        <f>IF($O161&gt;0,RANK(O161,AthletePoints),0)</f>
        <v>0</v>
      </c>
      <c r="U161" s="210"/>
      <c r="V161" s="330" t="str">
        <f>IF(O161&gt;=40,IF(X161="M",VLOOKUP(O161,UKABoysAwards,2),IF(X161="F",VLOOKUP(O161,UKAGirlsAwards,2),"")),"")</f>
        <v/>
      </c>
      <c r="W161" s="210"/>
      <c r="X161" s="266" t="str">
        <f t="array" ref="X161:X162">INDEX(DB,$B161,4)</f>
        <v>#REF!</v>
      </c>
      <c r="Y161" s="210"/>
      <c r="Z161" s="285" t="str">
        <f t="shared" si="3"/>
        <v>#REF!</v>
      </c>
      <c r="AA161" s="286" t="str">
        <f>IF($Z161&gt;=1,RANK($Z161,$Z149:$Z164),0)</f>
        <v>#REF!</v>
      </c>
      <c r="AB161" s="287" t="str">
        <f>IF(AA161&lt;=MaxS,INT(Z161),0)</f>
        <v>#REF!</v>
      </c>
      <c r="AC161" s="210"/>
      <c r="AD161" s="285" t="str">
        <f t="shared" si="4"/>
        <v>#REF!</v>
      </c>
      <c r="AE161" s="286" t="str">
        <f>IF($AD161&gt;=1,RANK($AD161,$AD149:$AD164),0)</f>
        <v>#REF!</v>
      </c>
      <c r="AF161" s="287" t="str">
        <f>IF(AE161&lt;=MaxS,INT(AD161),0)</f>
        <v>#REF!</v>
      </c>
      <c r="AG161" s="210"/>
      <c r="AH161" s="210"/>
      <c r="AI161" s="288" t="str">
        <f t="shared" si="5"/>
        <v>#REF!</v>
      </c>
      <c r="AJ161" s="289" t="str">
        <f t="shared" si="6"/>
        <v>#REF!</v>
      </c>
    </row>
    <row r="162" ht="15.0" customHeight="1">
      <c r="A162" s="272"/>
      <c r="B162" s="250">
        <f>IF(OR(ISNA(MATCH(C162&amp;"",AthleteNumbers,0)),ISBLANK(C162)),0,MATCH(C162&amp;"",AthleteNumbers,0))</f>
        <v>0</v>
      </c>
      <c r="C162" s="413"/>
      <c r="D162" s="273" t="str">
        <f t="array" ref="D162">IF($B162&gt;0,INDEX(DB,$B162,8),"")</f>
        <v/>
      </c>
      <c r="E162" s="274" t="str">
        <f t="array" ref="E162">IF($B162&gt;0,INDEX(DB,$B162,3),"")</f>
        <v/>
      </c>
      <c r="F162" s="275">
        <f t="array" ref="F162">IF($B162&gt;0,INDEX(DB,$B162,13),0)</f>
        <v>0</v>
      </c>
      <c r="G162" s="276">
        <f t="array" ref="G162">IF($B162&gt;0,INDEX(DB,$B162,17),0)</f>
        <v>0</v>
      </c>
      <c r="H162" s="277">
        <f t="array" ref="H162">IF($B162&gt;0,INDEX(DB,$B162,15),0)</f>
        <v>0</v>
      </c>
      <c r="I162" s="276">
        <f t="array" ref="I162">IF($B162&gt;0,INDEX(DB,$B162,19),0)</f>
        <v>0</v>
      </c>
      <c r="J162" s="277">
        <f t="array" ref="J162">IF($B162&gt;0,INDEX(DB,$B162,14),0)</f>
        <v>0</v>
      </c>
      <c r="K162" s="276">
        <f t="array" ref="K162">IF($B162&gt;0,INDEX(DB,$B162,18),0)</f>
        <v>0</v>
      </c>
      <c r="L162" s="275">
        <f t="array" ref="L162">IF($B162&gt;0,INDEX(DB,$B162,16),0)</f>
        <v>0</v>
      </c>
      <c r="M162" s="276">
        <f t="array" ref="M162">IF($B162&gt;0,INDEX(DB,$B162,20),0)</f>
        <v>0</v>
      </c>
      <c r="N162" s="278"/>
      <c r="O162" s="279">
        <f t="shared" si="1"/>
        <v>0</v>
      </c>
      <c r="P162" s="280"/>
      <c r="Q162" s="261" t="str">
        <f t="shared" si="2"/>
        <v>#REF!</v>
      </c>
      <c r="R162" s="281" t="str">
        <f>IF($AI162&gt;0,RANK($AI162,BoysPoints),0)</f>
        <v>#REF!</v>
      </c>
      <c r="S162" s="282" t="str">
        <f>IF($AJ162&gt;0,RANK($AJ162,GirlsPoints),0)</f>
        <v>#REF!</v>
      </c>
      <c r="T162" s="283">
        <f>IF($O162&gt;0,RANK(O162,AthletePoints),0)</f>
        <v>0</v>
      </c>
      <c r="U162" s="210"/>
      <c r="V162" s="415" t="str">
        <f>IF(O162&gt;=40,IF(X162="M",VLOOKUP(O162,UKABoysAwards,2),IF(X162="F",VLOOKUP(O162,UKAGirlsAwards,2),"")),"")</f>
        <v/>
      </c>
      <c r="W162" s="210"/>
      <c r="X162" s="266" t="str">
        <f t="array" ref="X162:X163">INDEX(DB,$B162,4)</f>
        <v>#REF!</v>
      </c>
      <c r="Y162" s="210"/>
      <c r="Z162" s="285" t="str">
        <f t="shared" si="3"/>
        <v>#REF!</v>
      </c>
      <c r="AA162" s="286" t="str">
        <f>IF($Z162&gt;=1,RANK($Z162,$Z149:$Z164),0)</f>
        <v>#REF!</v>
      </c>
      <c r="AB162" s="287" t="str">
        <f>IF(AA162&lt;=MaxS,INT(Z162),0)</f>
        <v>#REF!</v>
      </c>
      <c r="AC162" s="210"/>
      <c r="AD162" s="285" t="str">
        <f t="shared" si="4"/>
        <v>#REF!</v>
      </c>
      <c r="AE162" s="286" t="str">
        <f>IF($AD162&gt;=1,RANK($AD162,$AD149:$AD164),0)</f>
        <v>#REF!</v>
      </c>
      <c r="AF162" s="287" t="str">
        <f>IF(AE162&lt;=MaxS,INT(AD162),0)</f>
        <v>#REF!</v>
      </c>
      <c r="AG162" s="210"/>
      <c r="AH162" s="210"/>
      <c r="AI162" s="288" t="str">
        <f t="shared" si="5"/>
        <v>#REF!</v>
      </c>
      <c r="AJ162" s="289" t="str">
        <f t="shared" si="6"/>
        <v>#REF!</v>
      </c>
    </row>
    <row r="163" ht="15.0" customHeight="1">
      <c r="A163" s="272"/>
      <c r="B163" s="250">
        <f>IF(OR(ISNA(MATCH(C163&amp;"",AthleteNumbers,0)),ISBLANK(C163)),0,MATCH(C163&amp;"",AthleteNumbers,0))</f>
        <v>0</v>
      </c>
      <c r="C163" s="413"/>
      <c r="D163" s="273" t="str">
        <f t="array" ref="D163">IF($B163&gt;0,INDEX(DB,$B163,8),"")</f>
        <v/>
      </c>
      <c r="E163" s="274" t="str">
        <f t="array" ref="E163">IF($B163&gt;0,INDEX(DB,$B163,3),"")</f>
        <v/>
      </c>
      <c r="F163" s="275">
        <f t="array" ref="F163">IF($B163&gt;0,INDEX(DB,$B163,13),0)</f>
        <v>0</v>
      </c>
      <c r="G163" s="276">
        <f t="array" ref="G163">IF($B163&gt;0,INDEX(DB,$B163,17),0)</f>
        <v>0</v>
      </c>
      <c r="H163" s="277">
        <f t="array" ref="H163">IF($B163&gt;0,INDEX(DB,$B163,15),0)</f>
        <v>0</v>
      </c>
      <c r="I163" s="276">
        <f t="array" ref="I163">IF($B163&gt;0,INDEX(DB,$B163,19),0)</f>
        <v>0</v>
      </c>
      <c r="J163" s="277">
        <f t="array" ref="J163">IF($B163&gt;0,INDEX(DB,$B163,14),0)</f>
        <v>0</v>
      </c>
      <c r="K163" s="276">
        <f t="array" ref="K163">IF($B163&gt;0,INDEX(DB,$B163,18),0)</f>
        <v>0</v>
      </c>
      <c r="L163" s="275">
        <f t="array" ref="L163">IF($B163&gt;0,INDEX(DB,$B163,16),0)</f>
        <v>0</v>
      </c>
      <c r="M163" s="276">
        <f t="array" ref="M163">IF($B163&gt;0,INDEX(DB,$B163,20),0)</f>
        <v>0</v>
      </c>
      <c r="N163" s="278"/>
      <c r="O163" s="279">
        <f t="shared" si="1"/>
        <v>0</v>
      </c>
      <c r="P163" s="280"/>
      <c r="Q163" s="261" t="str">
        <f t="shared" si="2"/>
        <v>#REF!</v>
      </c>
      <c r="R163" s="290" t="str">
        <f>IF($AI163&gt;0,RANK($AI163,BoysPoints),0)</f>
        <v>#REF!</v>
      </c>
      <c r="S163" s="291" t="str">
        <f>IF($AJ163&gt;0,RANK($AJ163,GirlsPoints),0)</f>
        <v>#REF!</v>
      </c>
      <c r="T163" s="292">
        <f>IF($O163&gt;0,RANK(O163,AthletePoints),0)</f>
        <v>0</v>
      </c>
      <c r="U163" s="210"/>
      <c r="V163" s="330" t="str">
        <f>IF(O163&gt;=40,IF(X163="M",VLOOKUP(O163,UKABoysAwards,2),IF(X163="F",VLOOKUP(O163,UKAGirlsAwards,2),"")),"")</f>
        <v/>
      </c>
      <c r="W163" s="210"/>
      <c r="X163" s="266" t="str">
        <f t="array" ref="X163:X164">INDEX(DB,$B163,4)</f>
        <v>#REF!</v>
      </c>
      <c r="Y163" s="210"/>
      <c r="Z163" s="285" t="str">
        <f t="shared" si="3"/>
        <v>#REF!</v>
      </c>
      <c r="AA163" s="286" t="str">
        <f>IF($Z163&gt;=1,RANK($Z163,$Z149:$Z164),0)</f>
        <v>#REF!</v>
      </c>
      <c r="AB163" s="287" t="str">
        <f>IF(AA163&lt;=MaxS,INT(Z163),0)</f>
        <v>#REF!</v>
      </c>
      <c r="AC163" s="210"/>
      <c r="AD163" s="285" t="str">
        <f t="shared" si="4"/>
        <v>#REF!</v>
      </c>
      <c r="AE163" s="286" t="str">
        <f>IF($AD163&gt;=1,RANK($AD163,$AD149:$AD164),0)</f>
        <v>#REF!</v>
      </c>
      <c r="AF163" s="287" t="str">
        <f>IF(AE163&lt;=MaxS,INT(AD163),0)</f>
        <v>#REF!</v>
      </c>
      <c r="AG163" s="210"/>
      <c r="AH163" s="210"/>
      <c r="AI163" s="288" t="str">
        <f t="shared" si="5"/>
        <v>#REF!</v>
      </c>
      <c r="AJ163" s="289" t="str">
        <f t="shared" si="6"/>
        <v>#REF!</v>
      </c>
    </row>
    <row r="164" ht="15.0" customHeight="1">
      <c r="A164" s="305"/>
      <c r="B164" s="250">
        <f>IF(OR(ISNA(MATCH(C164&amp;"",AthleteNumbers,0)),ISBLANK(C164)),0,MATCH(C164&amp;"",AthleteNumbers,0))</f>
        <v>0</v>
      </c>
      <c r="C164" s="443"/>
      <c r="D164" s="306" t="str">
        <f t="array" ref="D164">IF($B164&gt;0,INDEX(DB,$B164,8),"")</f>
        <v/>
      </c>
      <c r="E164" s="307" t="str">
        <f t="array" ref="E164">IF($B164&gt;0,INDEX(DB,$B164,3),"")</f>
        <v/>
      </c>
      <c r="F164" s="308">
        <f t="array" ref="F164">IF($B164&gt;0,INDEX(DB,$B164,13),0)</f>
        <v>0</v>
      </c>
      <c r="G164" s="309">
        <f t="array" ref="G164">IF($B164&gt;0,INDEX(DB,$B164,17),0)</f>
        <v>0</v>
      </c>
      <c r="H164" s="310">
        <f t="array" ref="H164">IF($B164&gt;0,INDEX(DB,$B164,15),0)</f>
        <v>0</v>
      </c>
      <c r="I164" s="309">
        <f t="array" ref="I164">IF($B164&gt;0,INDEX(DB,$B164,19),0)</f>
        <v>0</v>
      </c>
      <c r="J164" s="310">
        <f t="array" ref="J164">IF($B164&gt;0,INDEX(DB,$B164,14),0)</f>
        <v>0</v>
      </c>
      <c r="K164" s="309">
        <f t="array" ref="K164">IF($B164&gt;0,INDEX(DB,$B164,18),0)</f>
        <v>0</v>
      </c>
      <c r="L164" s="308">
        <f t="array" ref="L164">IF($B164&gt;0,INDEX(DB,$B164,16),0)</f>
        <v>0</v>
      </c>
      <c r="M164" s="309">
        <f t="array" ref="M164">IF($B164&gt;0,INDEX(DB,$B164,20),0)</f>
        <v>0</v>
      </c>
      <c r="N164" s="25"/>
      <c r="O164" s="311">
        <f t="shared" si="1"/>
        <v>0</v>
      </c>
      <c r="P164" s="31"/>
      <c r="Q164" s="261" t="str">
        <f t="shared" si="2"/>
        <v>#REF!</v>
      </c>
      <c r="R164" s="312" t="str">
        <f>IF($AI164&gt;0,RANK($AI164,BoysPoints),0)</f>
        <v>#REF!</v>
      </c>
      <c r="S164" s="313" t="str">
        <f>IF($AJ164&gt;0,RANK($AJ164,GirlsPoints),0)</f>
        <v>#REF!</v>
      </c>
      <c r="T164" s="314">
        <f>IF($O164&gt;0,RANK(O164,AthletePoints),0)</f>
        <v>0</v>
      </c>
      <c r="U164" s="210"/>
      <c r="V164" s="444" t="str">
        <f>IF(O164&gt;=40,IF(X164="M",VLOOKUP(O164,UKABoysAwards,2),IF(X164="F",VLOOKUP(O164,UKAGirlsAwards,2),"")),"")</f>
        <v/>
      </c>
      <c r="W164" s="210"/>
      <c r="X164" s="266" t="str">
        <f t="array" ref="X164:X165">INDEX(DB,$B164,4)</f>
        <v>#REF!</v>
      </c>
      <c r="Y164" s="210"/>
      <c r="Z164" s="316" t="str">
        <f t="shared" si="3"/>
        <v>#REF!</v>
      </c>
      <c r="AA164" s="243" t="str">
        <f>IF($Z164&gt;=1,RANK($Z164,$Z149:$Z164),0)</f>
        <v>#REF!</v>
      </c>
      <c r="AB164" s="245" t="str">
        <f>IF(AA164&lt;=MaxS,INT(Z164),0)</f>
        <v>#REF!</v>
      </c>
      <c r="AC164" s="210" t="str">
        <f>SUM(AB149:AB164)</f>
        <v>#REF!</v>
      </c>
      <c r="AD164" s="316" t="str">
        <f t="shared" si="4"/>
        <v>#REF!</v>
      </c>
      <c r="AE164" s="243" t="str">
        <f>IF($AD164&gt;=1,RANK($AD164,$AD149:$AD164),0)</f>
        <v>#REF!</v>
      </c>
      <c r="AF164" s="245" t="str">
        <f>IF(AE164&lt;=MaxS,INT(AD164),0)</f>
        <v>#REF!</v>
      </c>
      <c r="AG164" s="210" t="str">
        <f>SUM(AF149:AF164)</f>
        <v>#REF!</v>
      </c>
      <c r="AH164" s="210"/>
      <c r="AI164" s="246" t="str">
        <f t="shared" si="5"/>
        <v>#REF!</v>
      </c>
      <c r="AJ164" s="247" t="str">
        <f t="shared" si="6"/>
        <v>#REF!</v>
      </c>
    </row>
    <row r="165" ht="15.0" customHeight="1">
      <c r="A165" s="248"/>
      <c r="B165" s="250">
        <f>IF(OR(ISNA(MATCH(C165&amp;"",AthleteNumbers,0)),ISBLANK(C165)),0,MATCH(C165&amp;"",AthleteNumbers,0))</f>
        <v>0</v>
      </c>
      <c r="C165" s="251"/>
      <c r="D165" s="252" t="str">
        <f t="array" ref="D165">IF($B165&gt;0,INDEX(DB,$B165,8),"")</f>
        <v/>
      </c>
      <c r="E165" s="253" t="str">
        <f t="array" ref="E165">IF($B165&gt;0,INDEX(DB,$B165,3),"")</f>
        <v/>
      </c>
      <c r="F165" s="254">
        <f t="array" ref="F165">IF($B165&gt;0,INDEX(DB,$B165,13),0)</f>
        <v>0</v>
      </c>
      <c r="G165" s="255">
        <f t="array" ref="G165">IF($B165&gt;0,INDEX(DB,$B165,17),0)</f>
        <v>0</v>
      </c>
      <c r="H165" s="257">
        <f t="array" ref="H165">IF($B165&gt;0,INDEX(DB,$B165,15),0)</f>
        <v>0</v>
      </c>
      <c r="I165" s="255">
        <f t="array" ref="I165">IF($B165&gt;0,INDEX(DB,$B165,19),0)</f>
        <v>0</v>
      </c>
      <c r="J165" s="257">
        <f t="array" ref="J165">IF($B165&gt;0,INDEX(DB,$B165,14),0)</f>
        <v>0</v>
      </c>
      <c r="K165" s="255">
        <f t="array" ref="K165">IF($B165&gt;0,INDEX(DB,$B165,18),0)</f>
        <v>0</v>
      </c>
      <c r="L165" s="254">
        <f t="array" ref="L165">IF($B165&gt;0,INDEX(DB,$B165,16),0)</f>
        <v>0</v>
      </c>
      <c r="M165" s="255">
        <f t="array" ref="M165">IF($B165&gt;0,INDEX(DB,$B165,20),0)</f>
        <v>0</v>
      </c>
      <c r="N165" s="258" t="str">
        <f t="array" ref="N165:N181">INDEX(RelayPoints,A180)</f>
        <v>#REF!</v>
      </c>
      <c r="O165" s="259">
        <f t="shared" si="1"/>
        <v>0</v>
      </c>
      <c r="P165" s="260" t="str">
        <f>+AC180+AG180+N165</f>
        <v>#REF!</v>
      </c>
      <c r="Q165" s="261" t="str">
        <f t="shared" si="2"/>
        <v>#REF!</v>
      </c>
      <c r="R165" s="262" t="str">
        <f>IF($AI165&gt;0,RANK($AI165,BoysPoints),0)</f>
        <v>#REF!</v>
      </c>
      <c r="S165" s="263" t="str">
        <f>IF($AJ165&gt;0,RANK($AJ165,GirlsPoints),0)</f>
        <v>#REF!</v>
      </c>
      <c r="T165" s="264">
        <f>IF($O165&gt;0,RANK(O165,AthletePoints),0)</f>
        <v>0</v>
      </c>
      <c r="U165" s="210"/>
      <c r="V165" s="317" t="str">
        <f>IF(O165&gt;=40,IF(X165="M",VLOOKUP(O165,UKABoysAwards,2),IF(X165="F",VLOOKUP(O165,UKAGirlsAwards,2),"")),"")</f>
        <v/>
      </c>
      <c r="W165" s="210"/>
      <c r="X165" s="266" t="str">
        <f t="array" ref="X165:X166">INDEX(DB,$B165,4)</f>
        <v>#REF!</v>
      </c>
      <c r="Y165" s="210"/>
      <c r="Z165" s="267" t="str">
        <f t="shared" si="3"/>
        <v>#REF!</v>
      </c>
      <c r="AA165" s="268" t="str">
        <f>IF($Z165&gt;=1,RANK($Z165,$Z165:$Z180),0)</f>
        <v>#REF!</v>
      </c>
      <c r="AB165" s="269" t="str">
        <f>IF(AA165&lt;=MaxS,INT(Z165),0)</f>
        <v>#REF!</v>
      </c>
      <c r="AC165" s="210"/>
      <c r="AD165" s="267" t="str">
        <f t="shared" si="4"/>
        <v>#REF!</v>
      </c>
      <c r="AE165" s="268" t="str">
        <f>IF($AD165&gt;=1,RANK($AD165,$AD165:$AD180),0)</f>
        <v>#REF!</v>
      </c>
      <c r="AF165" s="269" t="str">
        <f>IF(AE165&lt;=MaxS,INT(AD165),0)</f>
        <v>#REF!</v>
      </c>
      <c r="AG165" s="210"/>
      <c r="AH165" s="210"/>
      <c r="AI165" s="288" t="str">
        <f t="shared" si="5"/>
        <v>#REF!</v>
      </c>
      <c r="AJ165" s="289" t="str">
        <f t="shared" si="6"/>
        <v>#REF!</v>
      </c>
    </row>
    <row r="166" ht="15.0" customHeight="1">
      <c r="A166" s="272"/>
      <c r="B166" s="250">
        <f>IF(OR(ISNA(MATCH(C166&amp;"",AthleteNumbers,0)),ISBLANK(C166)),0,MATCH(C166&amp;"",AthleteNumbers,0))</f>
        <v>0</v>
      </c>
      <c r="C166" s="413"/>
      <c r="D166" s="273" t="str">
        <f t="array" ref="D166">IF($B166&gt;0,INDEX(DB,$B166,8),"")</f>
        <v/>
      </c>
      <c r="E166" s="274" t="str">
        <f t="array" ref="E166">IF($B166&gt;0,INDEX(DB,$B166,3),"")</f>
        <v/>
      </c>
      <c r="F166" s="275">
        <f t="array" ref="F166">IF($B166&gt;0,INDEX(DB,$B166,13),0)</f>
        <v>0</v>
      </c>
      <c r="G166" s="276">
        <f t="array" ref="G166">IF($B166&gt;0,INDEX(DB,$B166,17),0)</f>
        <v>0</v>
      </c>
      <c r="H166" s="277">
        <f t="array" ref="H166">IF($B166&gt;0,INDEX(DB,$B166,15),0)</f>
        <v>0</v>
      </c>
      <c r="I166" s="276">
        <f t="array" ref="I166">IF($B166&gt;0,INDEX(DB,$B166,19),0)</f>
        <v>0</v>
      </c>
      <c r="J166" s="277">
        <f t="array" ref="J166">IF($B166&gt;0,INDEX(DB,$B166,14),0)</f>
        <v>0</v>
      </c>
      <c r="K166" s="276">
        <f t="array" ref="K166">IF($B166&gt;0,INDEX(DB,$B166,18),0)</f>
        <v>0</v>
      </c>
      <c r="L166" s="275">
        <f t="array" ref="L166">IF($B166&gt;0,INDEX(DB,$B166,16),0)</f>
        <v>0</v>
      </c>
      <c r="M166" s="276">
        <f t="array" ref="M166">IF($B166&gt;0,INDEX(DB,$B166,20),0)</f>
        <v>0</v>
      </c>
      <c r="N166" s="278"/>
      <c r="O166" s="279">
        <f t="shared" si="1"/>
        <v>0</v>
      </c>
      <c r="P166" s="280"/>
      <c r="Q166" s="261" t="str">
        <f t="shared" si="2"/>
        <v>#REF!</v>
      </c>
      <c r="R166" s="281" t="str">
        <f>IF($AI166&gt;0,RANK($AI166,BoysPoints),0)</f>
        <v>#REF!</v>
      </c>
      <c r="S166" s="282" t="str">
        <f>IF($AJ166&gt;0,RANK($AJ166,GirlsPoints),0)</f>
        <v>#REF!</v>
      </c>
      <c r="T166" s="283">
        <f>IF($O166&gt;0,RANK(O166,AthletePoints),0)</f>
        <v>0</v>
      </c>
      <c r="U166" s="210"/>
      <c r="V166" s="415" t="str">
        <f>IF(O166&gt;=40,IF(X166="M",VLOOKUP(O166,UKABoysAwards,2),IF(X166="F",VLOOKUP(O166,UKAGirlsAwards,2),"")),"")</f>
        <v/>
      </c>
      <c r="W166" s="210"/>
      <c r="X166" s="266" t="str">
        <f t="array" ref="X166:X167">INDEX(DB,$B166,4)</f>
        <v>#REF!</v>
      </c>
      <c r="Y166" s="210"/>
      <c r="Z166" s="285" t="str">
        <f t="shared" si="3"/>
        <v>#REF!</v>
      </c>
      <c r="AA166" s="286" t="str">
        <f>IF($Z166&gt;=1,RANK($Z166,$Z165:$Z180),0)</f>
        <v>#REF!</v>
      </c>
      <c r="AB166" s="287" t="str">
        <f>IF(AA166&lt;=MaxS,INT(Z166),0)</f>
        <v>#REF!</v>
      </c>
      <c r="AC166" s="210"/>
      <c r="AD166" s="285" t="str">
        <f t="shared" si="4"/>
        <v>#REF!</v>
      </c>
      <c r="AE166" s="286" t="str">
        <f>IF($AD166&gt;=1,RANK($AD166,$AD165:$AD180),0)</f>
        <v>#REF!</v>
      </c>
      <c r="AF166" s="287" t="str">
        <f>IF(AE166&lt;=MaxS,INT(AD166),0)</f>
        <v>#REF!</v>
      </c>
      <c r="AG166" s="210"/>
      <c r="AH166" s="210"/>
      <c r="AI166" s="288" t="str">
        <f t="shared" si="5"/>
        <v>#REF!</v>
      </c>
      <c r="AJ166" s="289" t="str">
        <f t="shared" si="6"/>
        <v>#REF!</v>
      </c>
    </row>
    <row r="167" ht="15.0" customHeight="1">
      <c r="A167" s="272"/>
      <c r="B167" s="250">
        <f>IF(OR(ISNA(MATCH(C167&amp;"",AthleteNumbers,0)),ISBLANK(C167)),0,MATCH(C167&amp;"",AthleteNumbers,0))</f>
        <v>0</v>
      </c>
      <c r="C167" s="413"/>
      <c r="D167" s="273" t="str">
        <f t="array" ref="D167">IF($B167&gt;0,INDEX(DB,$B167,8),"")</f>
        <v/>
      </c>
      <c r="E167" s="274" t="str">
        <f t="array" ref="E167">IF($B167&gt;0,INDEX(DB,$B167,3),"")</f>
        <v/>
      </c>
      <c r="F167" s="275">
        <f t="array" ref="F167">IF($B167&gt;0,INDEX(DB,$B167,13),0)</f>
        <v>0</v>
      </c>
      <c r="G167" s="276">
        <f t="array" ref="G167">IF($B167&gt;0,INDEX(DB,$B167,17),0)</f>
        <v>0</v>
      </c>
      <c r="H167" s="277">
        <f t="array" ref="H167">IF($B167&gt;0,INDEX(DB,$B167,15),0)</f>
        <v>0</v>
      </c>
      <c r="I167" s="276">
        <f t="array" ref="I167">IF($B167&gt;0,INDEX(DB,$B167,19),0)</f>
        <v>0</v>
      </c>
      <c r="J167" s="277">
        <f t="array" ref="J167">IF($B167&gt;0,INDEX(DB,$B167,14),0)</f>
        <v>0</v>
      </c>
      <c r="K167" s="276">
        <f t="array" ref="K167">IF($B167&gt;0,INDEX(DB,$B167,18),0)</f>
        <v>0</v>
      </c>
      <c r="L167" s="275">
        <f t="array" ref="L167">IF($B167&gt;0,INDEX(DB,$B167,16),0)</f>
        <v>0</v>
      </c>
      <c r="M167" s="276">
        <f t="array" ref="M167">IF($B167&gt;0,INDEX(DB,$B167,20),0)</f>
        <v>0</v>
      </c>
      <c r="N167" s="278"/>
      <c r="O167" s="279">
        <f t="shared" si="1"/>
        <v>0</v>
      </c>
      <c r="P167" s="280"/>
      <c r="Q167" s="261" t="str">
        <f t="shared" si="2"/>
        <v>#REF!</v>
      </c>
      <c r="R167" s="290" t="str">
        <f>IF($AI167&gt;0,RANK($AI167,BoysPoints),0)</f>
        <v>#REF!</v>
      </c>
      <c r="S167" s="291" t="str">
        <f>IF($AJ167&gt;0,RANK($AJ167,GirlsPoints),0)</f>
        <v>#REF!</v>
      </c>
      <c r="T167" s="292">
        <f>IF($O167&gt;0,RANK(O167,AthletePoints),0)</f>
        <v>0</v>
      </c>
      <c r="U167" s="210"/>
      <c r="V167" s="330" t="str">
        <f>IF(O167&gt;=40,IF(X167="M",VLOOKUP(O167,UKABoysAwards,2),IF(X167="F",VLOOKUP(O167,UKAGirlsAwards,2),"")),"")</f>
        <v/>
      </c>
      <c r="W167" s="210"/>
      <c r="X167" s="266" t="str">
        <f t="array" ref="X167:X168">INDEX(DB,$B167,4)</f>
        <v>#REF!</v>
      </c>
      <c r="Y167" s="210"/>
      <c r="Z167" s="285" t="str">
        <f t="shared" si="3"/>
        <v>#REF!</v>
      </c>
      <c r="AA167" s="286" t="str">
        <f>IF($Z167&gt;=1,RANK($Z167,$Z165:$Z180),0)</f>
        <v>#REF!</v>
      </c>
      <c r="AB167" s="287" t="str">
        <f>IF(AA167&lt;=MaxS,INT(Z167),0)</f>
        <v>#REF!</v>
      </c>
      <c r="AC167" s="210"/>
      <c r="AD167" s="285" t="str">
        <f t="shared" si="4"/>
        <v>#REF!</v>
      </c>
      <c r="AE167" s="286" t="str">
        <f>IF($AD167&gt;=1,RANK($AD167,$AD165:$AD180),0)</f>
        <v>#REF!</v>
      </c>
      <c r="AF167" s="287" t="str">
        <f>IF(AE167&lt;=MaxS,INT(AD167),0)</f>
        <v>#REF!</v>
      </c>
      <c r="AG167" s="210"/>
      <c r="AH167" s="210"/>
      <c r="AI167" s="288" t="str">
        <f t="shared" si="5"/>
        <v>#REF!</v>
      </c>
      <c r="AJ167" s="289" t="str">
        <f t="shared" si="6"/>
        <v>#REF!</v>
      </c>
    </row>
    <row r="168" ht="15.0" customHeight="1">
      <c r="A168" s="272"/>
      <c r="B168" s="250">
        <f>IF(OR(ISNA(MATCH(C168&amp;"",AthleteNumbers,0)),ISBLANK(C168)),0,MATCH(C168&amp;"",AthleteNumbers,0))</f>
        <v>0</v>
      </c>
      <c r="C168" s="413"/>
      <c r="D168" s="273" t="str">
        <f t="array" ref="D168">IF($B168&gt;0,INDEX(DB,$B168,8),"")</f>
        <v/>
      </c>
      <c r="E168" s="274" t="str">
        <f t="array" ref="E168">IF($B168&gt;0,INDEX(DB,$B168,3),"")</f>
        <v/>
      </c>
      <c r="F168" s="275">
        <f t="array" ref="F168">IF($B168&gt;0,INDEX(DB,$B168,13),0)</f>
        <v>0</v>
      </c>
      <c r="G168" s="276">
        <f t="array" ref="G168">IF($B168&gt;0,INDEX(DB,$B168,17),0)</f>
        <v>0</v>
      </c>
      <c r="H168" s="277">
        <f t="array" ref="H168">IF($B168&gt;0,INDEX(DB,$B168,15),0)</f>
        <v>0</v>
      </c>
      <c r="I168" s="276">
        <f t="array" ref="I168">IF($B168&gt;0,INDEX(DB,$B168,19),0)</f>
        <v>0</v>
      </c>
      <c r="J168" s="277">
        <f t="array" ref="J168">IF($B168&gt;0,INDEX(DB,$B168,14),0)</f>
        <v>0</v>
      </c>
      <c r="K168" s="276">
        <f t="array" ref="K168">IF($B168&gt;0,INDEX(DB,$B168,18),0)</f>
        <v>0</v>
      </c>
      <c r="L168" s="275">
        <f t="array" ref="L168">IF($B168&gt;0,INDEX(DB,$B168,16),0)</f>
        <v>0</v>
      </c>
      <c r="M168" s="276">
        <f t="array" ref="M168">IF($B168&gt;0,INDEX(DB,$B168,20),0)</f>
        <v>0</v>
      </c>
      <c r="N168" s="278"/>
      <c r="O168" s="279">
        <f t="shared" si="1"/>
        <v>0</v>
      </c>
      <c r="P168" s="280"/>
      <c r="Q168" s="261" t="str">
        <f t="shared" si="2"/>
        <v>#REF!</v>
      </c>
      <c r="R168" s="281" t="str">
        <f>IF($AI168&gt;0,RANK($AI168,BoysPoints),0)</f>
        <v>#REF!</v>
      </c>
      <c r="S168" s="282" t="str">
        <f>IF($AJ168&gt;0,RANK($AJ168,GirlsPoints),0)</f>
        <v>#REF!</v>
      </c>
      <c r="T168" s="283">
        <f>IF($O168&gt;0,RANK(O168,AthletePoints),0)</f>
        <v>0</v>
      </c>
      <c r="U168" s="210"/>
      <c r="V168" s="415" t="str">
        <f>IF(O168&gt;=40,IF(X168="M",VLOOKUP(O168,UKABoysAwards,2),IF(X168="F",VLOOKUP(O168,UKAGirlsAwards,2),"")),"")</f>
        <v/>
      </c>
      <c r="W168" s="210"/>
      <c r="X168" s="266" t="str">
        <f t="array" ref="X168:X169">INDEX(DB,$B168,4)</f>
        <v>#REF!</v>
      </c>
      <c r="Y168" s="210"/>
      <c r="Z168" s="285" t="str">
        <f t="shared" si="3"/>
        <v>#REF!</v>
      </c>
      <c r="AA168" s="286" t="str">
        <f>IF($Z168&gt;=1,RANK($Z168,$Z165:$Z180),0)</f>
        <v>#REF!</v>
      </c>
      <c r="AB168" s="287" t="str">
        <f>IF(AA168&lt;=MaxS,INT(Z168),0)</f>
        <v>#REF!</v>
      </c>
      <c r="AC168" s="210"/>
      <c r="AD168" s="285" t="str">
        <f t="shared" si="4"/>
        <v>#REF!</v>
      </c>
      <c r="AE168" s="286" t="str">
        <f>IF($AD168&gt;=1,RANK($AD168,$AD165:$AD180),0)</f>
        <v>#REF!</v>
      </c>
      <c r="AF168" s="287" t="str">
        <f>IF(AE168&lt;=MaxS,INT(AD168),0)</f>
        <v>#REF!</v>
      </c>
      <c r="AG168" s="210"/>
      <c r="AH168" s="210"/>
      <c r="AI168" s="288" t="str">
        <f t="shared" si="5"/>
        <v>#REF!</v>
      </c>
      <c r="AJ168" s="289" t="str">
        <f t="shared" si="6"/>
        <v>#REF!</v>
      </c>
    </row>
    <row r="169" ht="15.0" customHeight="1">
      <c r="A169" s="272"/>
      <c r="B169" s="250">
        <f>IF(OR(ISNA(MATCH(C169&amp;"",AthleteNumbers,0)),ISBLANK(C169)),0,MATCH(C169&amp;"",AthleteNumbers,0))</f>
        <v>0</v>
      </c>
      <c r="C169" s="413"/>
      <c r="D169" s="273" t="str">
        <f t="array" ref="D169">IF($B169&gt;0,INDEX(DB,$B169,8),"")</f>
        <v/>
      </c>
      <c r="E169" s="274" t="str">
        <f t="array" ref="E169">IF($B169&gt;0,INDEX(DB,$B169,3),"")</f>
        <v/>
      </c>
      <c r="F169" s="275">
        <f t="array" ref="F169">IF($B169&gt;0,INDEX(DB,$B169,13),0)</f>
        <v>0</v>
      </c>
      <c r="G169" s="276">
        <f t="array" ref="G169">IF($B169&gt;0,INDEX(DB,$B169,17),0)</f>
        <v>0</v>
      </c>
      <c r="H169" s="277">
        <f t="array" ref="H169">IF($B169&gt;0,INDEX(DB,$B169,15),0)</f>
        <v>0</v>
      </c>
      <c r="I169" s="276">
        <f t="array" ref="I169">IF($B169&gt;0,INDEX(DB,$B169,19),0)</f>
        <v>0</v>
      </c>
      <c r="J169" s="277">
        <f t="array" ref="J169">IF($B169&gt;0,INDEX(DB,$B169,14),0)</f>
        <v>0</v>
      </c>
      <c r="K169" s="276">
        <f t="array" ref="K169">IF($B169&gt;0,INDEX(DB,$B169,18),0)</f>
        <v>0</v>
      </c>
      <c r="L169" s="275">
        <f t="array" ref="L169">IF($B169&gt;0,INDEX(DB,$B169,16),0)</f>
        <v>0</v>
      </c>
      <c r="M169" s="276">
        <f t="array" ref="M169">IF($B169&gt;0,INDEX(DB,$B169,20),0)</f>
        <v>0</v>
      </c>
      <c r="N169" s="278"/>
      <c r="O169" s="279">
        <f t="shared" si="1"/>
        <v>0</v>
      </c>
      <c r="P169" s="280"/>
      <c r="Q169" s="261" t="str">
        <f t="shared" si="2"/>
        <v>#REF!</v>
      </c>
      <c r="R169" s="290" t="str">
        <f>IF($AI169&gt;0,RANK($AI169,BoysPoints),0)</f>
        <v>#REF!</v>
      </c>
      <c r="S169" s="291" t="str">
        <f>IF($AJ169&gt;0,RANK($AJ169,GirlsPoints),0)</f>
        <v>#REF!</v>
      </c>
      <c r="T169" s="292">
        <f>IF($O169&gt;0,RANK(O169,AthletePoints),0)</f>
        <v>0</v>
      </c>
      <c r="U169" s="210"/>
      <c r="V169" s="330" t="str">
        <f>IF(O169&gt;=40,IF(X169="M",VLOOKUP(O169,UKABoysAwards,2),IF(X169="F",VLOOKUP(O169,UKAGirlsAwards,2),"")),"")</f>
        <v/>
      </c>
      <c r="W169" s="210"/>
      <c r="X169" s="266" t="str">
        <f t="array" ref="X169:X170">INDEX(DB,$B169,4)</f>
        <v>#REF!</v>
      </c>
      <c r="Y169" s="210"/>
      <c r="Z169" s="285" t="str">
        <f t="shared" si="3"/>
        <v>#REF!</v>
      </c>
      <c r="AA169" s="286" t="str">
        <f>IF($Z169&gt;=1,RANK($Z169,$Z165:$Z180),0)</f>
        <v>#REF!</v>
      </c>
      <c r="AB169" s="287" t="str">
        <f>IF(AA169&lt;=MaxS,INT(Z169),0)</f>
        <v>#REF!</v>
      </c>
      <c r="AC169" s="210"/>
      <c r="AD169" s="285" t="str">
        <f t="shared" si="4"/>
        <v>#REF!</v>
      </c>
      <c r="AE169" s="286" t="str">
        <f>IF($AD169&gt;=1,RANK($AD169,$AD165:$AD180),0)</f>
        <v>#REF!</v>
      </c>
      <c r="AF169" s="287" t="str">
        <f>IF(AE169&lt;=MaxS,INT(AD169),0)</f>
        <v>#REF!</v>
      </c>
      <c r="AG169" s="210"/>
      <c r="AH169" s="210"/>
      <c r="AI169" s="288" t="str">
        <f t="shared" si="5"/>
        <v>#REF!</v>
      </c>
      <c r="AJ169" s="289" t="str">
        <f t="shared" si="6"/>
        <v>#REF!</v>
      </c>
    </row>
    <row r="170" ht="15.0" customHeight="1">
      <c r="A170" s="272"/>
      <c r="B170" s="250">
        <f>IF(OR(ISNA(MATCH(C170&amp;"",AthleteNumbers,0)),ISBLANK(C170)),0,MATCH(C170&amp;"",AthleteNumbers,0))</f>
        <v>0</v>
      </c>
      <c r="C170" s="413"/>
      <c r="D170" s="273" t="str">
        <f t="array" ref="D170">IF($B170&gt;0,INDEX(DB,$B170,8),"")</f>
        <v/>
      </c>
      <c r="E170" s="274" t="str">
        <f t="array" ref="E170">IF($B170&gt;0,INDEX(DB,$B170,3),"")</f>
        <v/>
      </c>
      <c r="F170" s="275">
        <f t="array" ref="F170">IF($B170&gt;0,INDEX(DB,$B170,13),0)</f>
        <v>0</v>
      </c>
      <c r="G170" s="276">
        <f t="array" ref="G170">IF($B170&gt;0,INDEX(DB,$B170,17),0)</f>
        <v>0</v>
      </c>
      <c r="H170" s="277">
        <f t="array" ref="H170">IF($B170&gt;0,INDEX(DB,$B170,15),0)</f>
        <v>0</v>
      </c>
      <c r="I170" s="276">
        <f t="array" ref="I170">IF($B170&gt;0,INDEX(DB,$B170,19),0)</f>
        <v>0</v>
      </c>
      <c r="J170" s="277">
        <f t="array" ref="J170">IF($B170&gt;0,INDEX(DB,$B170,14),0)</f>
        <v>0</v>
      </c>
      <c r="K170" s="276">
        <f t="array" ref="K170">IF($B170&gt;0,INDEX(DB,$B170,18),0)</f>
        <v>0</v>
      </c>
      <c r="L170" s="275">
        <f t="array" ref="L170">IF($B170&gt;0,INDEX(DB,$B170,16),0)</f>
        <v>0</v>
      </c>
      <c r="M170" s="276">
        <f t="array" ref="M170">IF($B170&gt;0,INDEX(DB,$B170,20),0)</f>
        <v>0</v>
      </c>
      <c r="N170" s="278"/>
      <c r="O170" s="279">
        <f t="shared" si="1"/>
        <v>0</v>
      </c>
      <c r="P170" s="280"/>
      <c r="Q170" s="261" t="str">
        <f t="shared" si="2"/>
        <v>#REF!</v>
      </c>
      <c r="R170" s="281" t="str">
        <f>IF($AI170&gt;0,RANK($AI170,BoysPoints),0)</f>
        <v>#REF!</v>
      </c>
      <c r="S170" s="282" t="str">
        <f>IF($AJ170&gt;0,RANK($AJ170,GirlsPoints),0)</f>
        <v>#REF!</v>
      </c>
      <c r="T170" s="283">
        <f>IF($O170&gt;0,RANK(O170,AthletePoints),0)</f>
        <v>0</v>
      </c>
      <c r="U170" s="210"/>
      <c r="V170" s="415" t="str">
        <f>IF(O170&gt;=40,IF(X170="M",VLOOKUP(O170,UKABoysAwards,2),IF(X170="F",VLOOKUP(O170,UKAGirlsAwards,2),"")),"")</f>
        <v/>
      </c>
      <c r="W170" s="210"/>
      <c r="X170" s="266" t="str">
        <f t="array" ref="X170:X171">INDEX(DB,$B170,4)</f>
        <v>#REF!</v>
      </c>
      <c r="Y170" s="210"/>
      <c r="Z170" s="285" t="str">
        <f t="shared" si="3"/>
        <v>#REF!</v>
      </c>
      <c r="AA170" s="286" t="str">
        <f>IF($Z170&gt;=1,RANK($Z170,$Z165:$Z180),0)</f>
        <v>#REF!</v>
      </c>
      <c r="AB170" s="287" t="str">
        <f>IF(AA170&lt;=MaxS,INT(Z170),0)</f>
        <v>#REF!</v>
      </c>
      <c r="AC170" s="210"/>
      <c r="AD170" s="285" t="str">
        <f t="shared" si="4"/>
        <v>#REF!</v>
      </c>
      <c r="AE170" s="286" t="str">
        <f>IF($AD170&gt;=1,RANK($AD170,$AD165:$AD180),0)</f>
        <v>#REF!</v>
      </c>
      <c r="AF170" s="287" t="str">
        <f>IF(AE170&lt;=MaxS,INT(AD170),0)</f>
        <v>#REF!</v>
      </c>
      <c r="AG170" s="210"/>
      <c r="AH170" s="210"/>
      <c r="AI170" s="288" t="str">
        <f t="shared" si="5"/>
        <v>#REF!</v>
      </c>
      <c r="AJ170" s="289" t="str">
        <f t="shared" si="6"/>
        <v>#REF!</v>
      </c>
    </row>
    <row r="171" ht="15.0" customHeight="1">
      <c r="A171" s="272"/>
      <c r="B171" s="250">
        <f>IF(OR(ISNA(MATCH(C171&amp;"",AthleteNumbers,0)),ISBLANK(C171)),0,MATCH(C171&amp;"",AthleteNumbers,0))</f>
        <v>0</v>
      </c>
      <c r="C171" s="413"/>
      <c r="D171" s="273" t="str">
        <f t="array" ref="D171">IF($B171&gt;0,INDEX(DB,$B171,8),"")</f>
        <v/>
      </c>
      <c r="E171" s="274" t="str">
        <f t="array" ref="E171">IF($B171&gt;0,INDEX(DB,$B171,3),"")</f>
        <v/>
      </c>
      <c r="F171" s="275">
        <f t="array" ref="F171">IF($B171&gt;0,INDEX(DB,$B171,13),0)</f>
        <v>0</v>
      </c>
      <c r="G171" s="276">
        <f t="array" ref="G171">IF($B171&gt;0,INDEX(DB,$B171,17),0)</f>
        <v>0</v>
      </c>
      <c r="H171" s="277">
        <f t="array" ref="H171">IF($B171&gt;0,INDEX(DB,$B171,15),0)</f>
        <v>0</v>
      </c>
      <c r="I171" s="276">
        <f t="array" ref="I171">IF($B171&gt;0,INDEX(DB,$B171,19),0)</f>
        <v>0</v>
      </c>
      <c r="J171" s="277">
        <f t="array" ref="J171">IF($B171&gt;0,INDEX(DB,$B171,14),0)</f>
        <v>0</v>
      </c>
      <c r="K171" s="276">
        <f t="array" ref="K171">IF($B171&gt;0,INDEX(DB,$B171,18),0)</f>
        <v>0</v>
      </c>
      <c r="L171" s="275">
        <f t="array" ref="L171">IF($B171&gt;0,INDEX(DB,$B171,16),0)</f>
        <v>0</v>
      </c>
      <c r="M171" s="276">
        <f t="array" ref="M171">IF($B171&gt;0,INDEX(DB,$B171,20),0)</f>
        <v>0</v>
      </c>
      <c r="N171" s="278"/>
      <c r="O171" s="279">
        <f t="shared" si="1"/>
        <v>0</v>
      </c>
      <c r="P171" s="280"/>
      <c r="Q171" s="261" t="str">
        <f t="shared" si="2"/>
        <v>#REF!</v>
      </c>
      <c r="R171" s="290" t="str">
        <f>IF($AI171&gt;0,RANK($AI171,BoysPoints),0)</f>
        <v>#REF!</v>
      </c>
      <c r="S171" s="291" t="str">
        <f>IF($AJ171&gt;0,RANK($AJ171,GirlsPoints),0)</f>
        <v>#REF!</v>
      </c>
      <c r="T171" s="292">
        <f>IF($O171&gt;0,RANK(O171,AthletePoints),0)</f>
        <v>0</v>
      </c>
      <c r="U171" s="210"/>
      <c r="V171" s="330" t="str">
        <f>IF(O171&gt;=40,IF(X171="M",VLOOKUP(O171,UKABoysAwards,2),IF(X171="F",VLOOKUP(O171,UKAGirlsAwards,2),"")),"")</f>
        <v/>
      </c>
      <c r="W171" s="210"/>
      <c r="X171" s="266" t="str">
        <f t="array" ref="X171:X172">INDEX(DB,$B171,4)</f>
        <v>#REF!</v>
      </c>
      <c r="Y171" s="210"/>
      <c r="Z171" s="285" t="str">
        <f t="shared" si="3"/>
        <v>#REF!</v>
      </c>
      <c r="AA171" s="286" t="str">
        <f>IF($Z171&gt;=1,RANK($Z171,$Z165:$Z180),0)</f>
        <v>#REF!</v>
      </c>
      <c r="AB171" s="287" t="str">
        <f>IF(AA171&lt;=MaxS,INT(Z171),0)</f>
        <v>#REF!</v>
      </c>
      <c r="AC171" s="210"/>
      <c r="AD171" s="285" t="str">
        <f t="shared" si="4"/>
        <v>#REF!</v>
      </c>
      <c r="AE171" s="286" t="str">
        <f>IF($AD171&gt;=1,RANK($AD171,$AD165:$AD180),0)</f>
        <v>#REF!</v>
      </c>
      <c r="AF171" s="287" t="str">
        <f>IF(AE171&lt;=MaxS,INT(AD171),0)</f>
        <v>#REF!</v>
      </c>
      <c r="AG171" s="210"/>
      <c r="AH171" s="210"/>
      <c r="AI171" s="288" t="str">
        <f t="shared" si="5"/>
        <v>#REF!</v>
      </c>
      <c r="AJ171" s="289" t="str">
        <f t="shared" si="6"/>
        <v>#REF!</v>
      </c>
    </row>
    <row r="172" ht="15.0" customHeight="1">
      <c r="A172" s="272"/>
      <c r="B172" s="250">
        <f>IF(OR(ISNA(MATCH(C172&amp;"",AthleteNumbers,0)),ISBLANK(C172)),0,MATCH(C172&amp;"",AthleteNumbers,0))</f>
        <v>0</v>
      </c>
      <c r="C172" s="413"/>
      <c r="D172" s="273" t="str">
        <f t="array" ref="D172">IF($B172&gt;0,INDEX(DB,$B172,8),"")</f>
        <v/>
      </c>
      <c r="E172" s="274" t="str">
        <f t="array" ref="E172">IF($B172&gt;0,INDEX(DB,$B172,3),"")</f>
        <v/>
      </c>
      <c r="F172" s="275">
        <f t="array" ref="F172">IF($B172&gt;0,INDEX(DB,$B172,13),0)</f>
        <v>0</v>
      </c>
      <c r="G172" s="276">
        <f t="array" ref="G172">IF($B172&gt;0,INDEX(DB,$B172,17),0)</f>
        <v>0</v>
      </c>
      <c r="H172" s="277">
        <f t="array" ref="H172">IF($B172&gt;0,INDEX(DB,$B172,15),0)</f>
        <v>0</v>
      </c>
      <c r="I172" s="276">
        <f t="array" ref="I172">IF($B172&gt;0,INDEX(DB,$B172,19),0)</f>
        <v>0</v>
      </c>
      <c r="J172" s="277">
        <f t="array" ref="J172">IF($B172&gt;0,INDEX(DB,$B172,14),0)</f>
        <v>0</v>
      </c>
      <c r="K172" s="276">
        <f t="array" ref="K172">IF($B172&gt;0,INDEX(DB,$B172,18),0)</f>
        <v>0</v>
      </c>
      <c r="L172" s="275">
        <f t="array" ref="L172">IF($B172&gt;0,INDEX(DB,$B172,16),0)</f>
        <v>0</v>
      </c>
      <c r="M172" s="276">
        <f t="array" ref="M172">IF($B172&gt;0,INDEX(DB,$B172,20),0)</f>
        <v>0</v>
      </c>
      <c r="N172" s="278"/>
      <c r="O172" s="279">
        <f t="shared" si="1"/>
        <v>0</v>
      </c>
      <c r="P172" s="280"/>
      <c r="Q172" s="261" t="str">
        <f t="shared" si="2"/>
        <v>#REF!</v>
      </c>
      <c r="R172" s="281" t="str">
        <f>IF($AI172&gt;0,RANK($AI172,BoysPoints),0)</f>
        <v>#REF!</v>
      </c>
      <c r="S172" s="282" t="str">
        <f>IF($AJ172&gt;0,RANK($AJ172,GirlsPoints),0)</f>
        <v>#REF!</v>
      </c>
      <c r="T172" s="283">
        <f>IF($O172&gt;0,RANK(O172,AthletePoints),0)</f>
        <v>0</v>
      </c>
      <c r="U172" s="210"/>
      <c r="V172" s="415" t="str">
        <f>IF(O172&gt;=40,IF(X172="M",VLOOKUP(O172,UKABoysAwards,2),IF(X172="F",VLOOKUP(O172,UKAGirlsAwards,2),"")),"")</f>
        <v/>
      </c>
      <c r="W172" s="210"/>
      <c r="X172" s="266" t="str">
        <f t="array" ref="X172:X173">INDEX(DB,$B172,4)</f>
        <v>#REF!</v>
      </c>
      <c r="Y172" s="210"/>
      <c r="Z172" s="285" t="str">
        <f t="shared" si="3"/>
        <v>#REF!</v>
      </c>
      <c r="AA172" s="286" t="str">
        <f>IF($Z172&gt;=1,RANK($Z172,$Z165:$Z180),0)</f>
        <v>#REF!</v>
      </c>
      <c r="AB172" s="287" t="str">
        <f>IF(AA172&lt;=MaxS,INT(Z172),0)</f>
        <v>#REF!</v>
      </c>
      <c r="AC172" s="210"/>
      <c r="AD172" s="285" t="str">
        <f t="shared" si="4"/>
        <v>#REF!</v>
      </c>
      <c r="AE172" s="286" t="str">
        <f>IF($AD172&gt;=1,RANK($AD172,$AD165:$AD180),0)</f>
        <v>#REF!</v>
      </c>
      <c r="AF172" s="287" t="str">
        <f>IF(AE172&lt;=MaxS,INT(AD172),0)</f>
        <v>#REF!</v>
      </c>
      <c r="AG172" s="210"/>
      <c r="AH172" s="210"/>
      <c r="AI172" s="288" t="str">
        <f t="shared" si="5"/>
        <v>#REF!</v>
      </c>
      <c r="AJ172" s="289" t="str">
        <f t="shared" si="6"/>
        <v>#REF!</v>
      </c>
    </row>
    <row r="173" ht="15.0" customHeight="1">
      <c r="A173" s="272"/>
      <c r="B173" s="250">
        <f>IF(OR(ISNA(MATCH(C173&amp;"",AthleteNumbers,0)),ISBLANK(C173)),0,MATCH(C173&amp;"",AthleteNumbers,0))</f>
        <v>0</v>
      </c>
      <c r="C173" s="413"/>
      <c r="D173" s="273" t="str">
        <f t="array" ref="D173">IF($B173&gt;0,INDEX(DB,$B173,8),"")</f>
        <v/>
      </c>
      <c r="E173" s="274" t="str">
        <f t="array" ref="E173">IF($B173&gt;0,INDEX(DB,$B173,3),"")</f>
        <v/>
      </c>
      <c r="F173" s="275">
        <f t="array" ref="F173">IF($B173&gt;0,INDEX(DB,$B173,13),0)</f>
        <v>0</v>
      </c>
      <c r="G173" s="276">
        <f t="array" ref="G173">IF($B173&gt;0,INDEX(DB,$B173,17),0)</f>
        <v>0</v>
      </c>
      <c r="H173" s="277">
        <f t="array" ref="H173">IF($B173&gt;0,INDEX(DB,$B173,15),0)</f>
        <v>0</v>
      </c>
      <c r="I173" s="276">
        <f t="array" ref="I173">IF($B173&gt;0,INDEX(DB,$B173,19),0)</f>
        <v>0</v>
      </c>
      <c r="J173" s="277">
        <f t="array" ref="J173">IF($B173&gt;0,INDEX(DB,$B173,14),0)</f>
        <v>0</v>
      </c>
      <c r="K173" s="276">
        <f t="array" ref="K173">IF($B173&gt;0,INDEX(DB,$B173,18),0)</f>
        <v>0</v>
      </c>
      <c r="L173" s="275">
        <f t="array" ref="L173">IF($B173&gt;0,INDEX(DB,$B173,16),0)</f>
        <v>0</v>
      </c>
      <c r="M173" s="276">
        <f t="array" ref="M173">IF($B173&gt;0,INDEX(DB,$B173,20),0)</f>
        <v>0</v>
      </c>
      <c r="N173" s="278"/>
      <c r="O173" s="279">
        <f t="shared" si="1"/>
        <v>0</v>
      </c>
      <c r="P173" s="280"/>
      <c r="Q173" s="261" t="str">
        <f t="shared" si="2"/>
        <v>#REF!</v>
      </c>
      <c r="R173" s="290" t="str">
        <f>IF($AI173&gt;0,RANK($AI173,BoysPoints),0)</f>
        <v>#REF!</v>
      </c>
      <c r="S173" s="291" t="str">
        <f>IF($AJ173&gt;0,RANK($AJ173,GirlsPoints),0)</f>
        <v>#REF!</v>
      </c>
      <c r="T173" s="292">
        <f>IF($O173&gt;0,RANK(O173,AthletePoints),0)</f>
        <v>0</v>
      </c>
      <c r="U173" s="210"/>
      <c r="V173" s="330" t="str">
        <f>IF(O173&gt;=40,IF(X173="M",VLOOKUP(O173,UKABoysAwards,2),IF(X173="F",VLOOKUP(O173,UKAGirlsAwards,2),"")),"")</f>
        <v/>
      </c>
      <c r="W173" s="210"/>
      <c r="X173" s="266" t="str">
        <f t="array" ref="X173:X174">INDEX(DB,$B173,4)</f>
        <v>#REF!</v>
      </c>
      <c r="Y173" s="210"/>
      <c r="Z173" s="285" t="str">
        <f t="shared" si="3"/>
        <v>#REF!</v>
      </c>
      <c r="AA173" s="286" t="str">
        <f>IF($Z173&gt;=1,RANK($Z173,$Z165:$Z180),0)</f>
        <v>#REF!</v>
      </c>
      <c r="AB173" s="287" t="str">
        <f>IF(AA173&lt;=MaxS,INT(Z173),0)</f>
        <v>#REF!</v>
      </c>
      <c r="AC173" s="210"/>
      <c r="AD173" s="285" t="str">
        <f t="shared" si="4"/>
        <v>#REF!</v>
      </c>
      <c r="AE173" s="286" t="str">
        <f>IF($AD173&gt;=1,RANK($AD173,$AD165:$AD180),0)</f>
        <v>#REF!</v>
      </c>
      <c r="AF173" s="287" t="str">
        <f>IF(AE173&lt;=MaxS,INT(AD173),0)</f>
        <v>#REF!</v>
      </c>
      <c r="AG173" s="210"/>
      <c r="AH173" s="210"/>
      <c r="AI173" s="288" t="str">
        <f t="shared" si="5"/>
        <v>#REF!</v>
      </c>
      <c r="AJ173" s="289" t="str">
        <f t="shared" si="6"/>
        <v>#REF!</v>
      </c>
    </row>
    <row r="174" ht="15.0" customHeight="1">
      <c r="A174" s="272"/>
      <c r="B174" s="250">
        <f>IF(OR(ISNA(MATCH(C174&amp;"",AthleteNumbers,0)),ISBLANK(C174)),0,MATCH(C174&amp;"",AthleteNumbers,0))</f>
        <v>0</v>
      </c>
      <c r="C174" s="413"/>
      <c r="D174" s="273" t="str">
        <f t="array" ref="D174">IF($B174&gt;0,INDEX(DB,$B174,8),"")</f>
        <v/>
      </c>
      <c r="E174" s="274" t="str">
        <f t="array" ref="E174">IF($B174&gt;0,INDEX(DB,$B174,3),"")</f>
        <v/>
      </c>
      <c r="F174" s="275">
        <f t="array" ref="F174">IF($B174&gt;0,INDEX(DB,$B174,13),0)</f>
        <v>0</v>
      </c>
      <c r="G174" s="276">
        <f t="array" ref="G174">IF($B174&gt;0,INDEX(DB,$B174,17),0)</f>
        <v>0</v>
      </c>
      <c r="H174" s="277">
        <f t="array" ref="H174">IF($B174&gt;0,INDEX(DB,$B174,15),0)</f>
        <v>0</v>
      </c>
      <c r="I174" s="276">
        <f t="array" ref="I174">IF($B174&gt;0,INDEX(DB,$B174,19),0)</f>
        <v>0</v>
      </c>
      <c r="J174" s="277">
        <f t="array" ref="J174">IF($B174&gt;0,INDEX(DB,$B174,14),0)</f>
        <v>0</v>
      </c>
      <c r="K174" s="276">
        <f t="array" ref="K174">IF($B174&gt;0,INDEX(DB,$B174,18),0)</f>
        <v>0</v>
      </c>
      <c r="L174" s="275">
        <f t="array" ref="L174">IF($B174&gt;0,INDEX(DB,$B174,16),0)</f>
        <v>0</v>
      </c>
      <c r="M174" s="276">
        <f t="array" ref="M174">IF($B174&gt;0,INDEX(DB,$B174,20),0)</f>
        <v>0</v>
      </c>
      <c r="N174" s="278"/>
      <c r="O174" s="279">
        <f t="shared" si="1"/>
        <v>0</v>
      </c>
      <c r="P174" s="280"/>
      <c r="Q174" s="261" t="str">
        <f t="shared" si="2"/>
        <v>#REF!</v>
      </c>
      <c r="R174" s="281" t="str">
        <f>IF($AI174&gt;0,RANK($AI174,BoysPoints),0)</f>
        <v>#REF!</v>
      </c>
      <c r="S174" s="282" t="str">
        <f>IF($AJ174&gt;0,RANK($AJ174,GirlsPoints),0)</f>
        <v>#REF!</v>
      </c>
      <c r="T174" s="283">
        <f>IF($O174&gt;0,RANK(O174,AthletePoints),0)</f>
        <v>0</v>
      </c>
      <c r="U174" s="210"/>
      <c r="V174" s="415" t="str">
        <f>IF(O174&gt;=40,IF(X174="M",VLOOKUP(O174,UKABoysAwards,2),IF(X174="F",VLOOKUP(O174,UKAGirlsAwards,2),"")),"")</f>
        <v/>
      </c>
      <c r="W174" s="210"/>
      <c r="X174" s="266" t="str">
        <f t="array" ref="X174:X175">INDEX(DB,$B174,4)</f>
        <v>#REF!</v>
      </c>
      <c r="Y174" s="210"/>
      <c r="Z174" s="285" t="str">
        <f t="shared" si="3"/>
        <v>#REF!</v>
      </c>
      <c r="AA174" s="286" t="str">
        <f>IF($Z174&gt;=1,RANK($Z174,$Z165:$Z180),0)</f>
        <v>#REF!</v>
      </c>
      <c r="AB174" s="287" t="str">
        <f>IF(AA174&lt;=MaxS,INT(Z174),0)</f>
        <v>#REF!</v>
      </c>
      <c r="AC174" s="210"/>
      <c r="AD174" s="285" t="str">
        <f t="shared" si="4"/>
        <v>#REF!</v>
      </c>
      <c r="AE174" s="286" t="str">
        <f>IF($AD174&gt;=1,RANK($AD174,$AD165:$AD180),0)</f>
        <v>#REF!</v>
      </c>
      <c r="AF174" s="287" t="str">
        <f>IF(AE174&lt;=MaxS,INT(AD174),0)</f>
        <v>#REF!</v>
      </c>
      <c r="AG174" s="210"/>
      <c r="AH174" s="210"/>
      <c r="AI174" s="288" t="str">
        <f t="shared" si="5"/>
        <v>#REF!</v>
      </c>
      <c r="AJ174" s="289" t="str">
        <f t="shared" si="6"/>
        <v>#REF!</v>
      </c>
    </row>
    <row r="175" ht="15.0" customHeight="1">
      <c r="A175" s="272"/>
      <c r="B175" s="250">
        <f>IF(OR(ISNA(MATCH(C175&amp;"",AthleteNumbers,0)),ISBLANK(C175)),0,MATCH(C175&amp;"",AthleteNumbers,0))</f>
        <v>0</v>
      </c>
      <c r="C175" s="413"/>
      <c r="D175" s="273" t="str">
        <f t="array" ref="D175">IF($B175&gt;0,INDEX(DB,$B175,8),"")</f>
        <v/>
      </c>
      <c r="E175" s="274" t="str">
        <f t="array" ref="E175">IF($B175&gt;0,INDEX(DB,$B175,3),"")</f>
        <v/>
      </c>
      <c r="F175" s="275">
        <f t="array" ref="F175">IF($B175&gt;0,INDEX(DB,$B175,13),0)</f>
        <v>0</v>
      </c>
      <c r="G175" s="276">
        <f t="array" ref="G175">IF($B175&gt;0,INDEX(DB,$B175,17),0)</f>
        <v>0</v>
      </c>
      <c r="H175" s="277">
        <f t="array" ref="H175">IF($B175&gt;0,INDEX(DB,$B175,15),0)</f>
        <v>0</v>
      </c>
      <c r="I175" s="276">
        <f t="array" ref="I175">IF($B175&gt;0,INDEX(DB,$B175,19),0)</f>
        <v>0</v>
      </c>
      <c r="J175" s="277">
        <f t="array" ref="J175">IF($B175&gt;0,INDEX(DB,$B175,14),0)</f>
        <v>0</v>
      </c>
      <c r="K175" s="276">
        <f t="array" ref="K175">IF($B175&gt;0,INDEX(DB,$B175,18),0)</f>
        <v>0</v>
      </c>
      <c r="L175" s="275">
        <f t="array" ref="L175">IF($B175&gt;0,INDEX(DB,$B175,16),0)</f>
        <v>0</v>
      </c>
      <c r="M175" s="276">
        <f t="array" ref="M175">IF($B175&gt;0,INDEX(DB,$B175,20),0)</f>
        <v>0</v>
      </c>
      <c r="N175" s="278"/>
      <c r="O175" s="279">
        <f t="shared" si="1"/>
        <v>0</v>
      </c>
      <c r="P175" s="280"/>
      <c r="Q175" s="261" t="str">
        <f t="shared" si="2"/>
        <v>#REF!</v>
      </c>
      <c r="R175" s="290" t="str">
        <f>IF($AI175&gt;0,RANK($AI175,BoysPoints),0)</f>
        <v>#REF!</v>
      </c>
      <c r="S175" s="291" t="str">
        <f>IF($AJ175&gt;0,RANK($AJ175,GirlsPoints),0)</f>
        <v>#REF!</v>
      </c>
      <c r="T175" s="292">
        <f>IF($O175&gt;0,RANK(O175,AthletePoints),0)</f>
        <v>0</v>
      </c>
      <c r="U175" s="210"/>
      <c r="V175" s="330" t="str">
        <f>IF(O175&gt;=40,IF(X175="M",VLOOKUP(O175,UKABoysAwards,2),IF(X175="F",VLOOKUP(O175,UKAGirlsAwards,2),"")),"")</f>
        <v/>
      </c>
      <c r="W175" s="210"/>
      <c r="X175" s="266" t="str">
        <f t="array" ref="X175:X176">INDEX(DB,$B175,4)</f>
        <v>#REF!</v>
      </c>
      <c r="Y175" s="210"/>
      <c r="Z175" s="285" t="str">
        <f t="shared" si="3"/>
        <v>#REF!</v>
      </c>
      <c r="AA175" s="286" t="str">
        <f>IF($Z175&gt;=1,RANK($Z175,$Z165:$Z180),0)</f>
        <v>#REF!</v>
      </c>
      <c r="AB175" s="287" t="str">
        <f>IF(AA175&lt;=MaxS,INT(Z175),0)</f>
        <v>#REF!</v>
      </c>
      <c r="AC175" s="210"/>
      <c r="AD175" s="285" t="str">
        <f t="shared" si="4"/>
        <v>#REF!</v>
      </c>
      <c r="AE175" s="286" t="str">
        <f>IF($AD175&gt;=1,RANK($AD175,$AD165:$AD180),0)</f>
        <v>#REF!</v>
      </c>
      <c r="AF175" s="287" t="str">
        <f>IF(AE175&lt;=MaxS,INT(AD175),0)</f>
        <v>#REF!</v>
      </c>
      <c r="AG175" s="210"/>
      <c r="AH175" s="210"/>
      <c r="AI175" s="288" t="str">
        <f t="shared" si="5"/>
        <v>#REF!</v>
      </c>
      <c r="AJ175" s="289" t="str">
        <f t="shared" si="6"/>
        <v>#REF!</v>
      </c>
    </row>
    <row r="176" ht="15.0" customHeight="1">
      <c r="A176" s="272"/>
      <c r="B176" s="250">
        <f>IF(OR(ISNA(MATCH(C176&amp;"",AthleteNumbers,0)),ISBLANK(C176)),0,MATCH(C176&amp;"",AthleteNumbers,0))</f>
        <v>0</v>
      </c>
      <c r="C176" s="413"/>
      <c r="D176" s="273" t="str">
        <f t="array" ref="D176">IF($B176&gt;0,INDEX(DB,$B176,8),"")</f>
        <v/>
      </c>
      <c r="E176" s="274" t="str">
        <f t="array" ref="E176">IF($B176&gt;0,INDEX(DB,$B176,3),"")</f>
        <v/>
      </c>
      <c r="F176" s="275">
        <f t="array" ref="F176">IF($B176&gt;0,INDEX(DB,$B176,13),0)</f>
        <v>0</v>
      </c>
      <c r="G176" s="276">
        <f t="array" ref="G176">IF($B176&gt;0,INDEX(DB,$B176,17),0)</f>
        <v>0</v>
      </c>
      <c r="H176" s="277">
        <f t="array" ref="H176">IF($B176&gt;0,INDEX(DB,$B176,15),0)</f>
        <v>0</v>
      </c>
      <c r="I176" s="276">
        <f t="array" ref="I176">IF($B176&gt;0,INDEX(DB,$B176,19),0)</f>
        <v>0</v>
      </c>
      <c r="J176" s="277">
        <f t="array" ref="J176">IF($B176&gt;0,INDEX(DB,$B176,14),0)</f>
        <v>0</v>
      </c>
      <c r="K176" s="276">
        <f t="array" ref="K176">IF($B176&gt;0,INDEX(DB,$B176,18),0)</f>
        <v>0</v>
      </c>
      <c r="L176" s="275">
        <f t="array" ref="L176">IF($B176&gt;0,INDEX(DB,$B176,16),0)</f>
        <v>0</v>
      </c>
      <c r="M176" s="276">
        <f t="array" ref="M176">IF($B176&gt;0,INDEX(DB,$B176,20),0)</f>
        <v>0</v>
      </c>
      <c r="N176" s="278"/>
      <c r="O176" s="279">
        <f t="shared" si="1"/>
        <v>0</v>
      </c>
      <c r="P176" s="280"/>
      <c r="Q176" s="261" t="str">
        <f t="shared" si="2"/>
        <v>#REF!</v>
      </c>
      <c r="R176" s="281" t="str">
        <f>IF($AI176&gt;0,RANK($AI176,BoysPoints),0)</f>
        <v>#REF!</v>
      </c>
      <c r="S176" s="282" t="str">
        <f>IF($AJ176&gt;0,RANK($AJ176,GirlsPoints),0)</f>
        <v>#REF!</v>
      </c>
      <c r="T176" s="283">
        <f>IF($O176&gt;0,RANK(O176,AthletePoints),0)</f>
        <v>0</v>
      </c>
      <c r="U176" s="210"/>
      <c r="V176" s="415" t="str">
        <f>IF(O176&gt;=40,IF(X176="M",VLOOKUP(O176,UKABoysAwards,2),IF(X176="F",VLOOKUP(O176,UKAGirlsAwards,2),"")),"")</f>
        <v/>
      </c>
      <c r="W176" s="210"/>
      <c r="X176" s="266" t="str">
        <f t="array" ref="X176:X177">INDEX(DB,$B176,4)</f>
        <v>#REF!</v>
      </c>
      <c r="Y176" s="210"/>
      <c r="Z176" s="285" t="str">
        <f t="shared" si="3"/>
        <v>#REF!</v>
      </c>
      <c r="AA176" s="286" t="str">
        <f>IF($Z176&gt;=1,RANK($Z176,$Z165:$Z180),0)</f>
        <v>#REF!</v>
      </c>
      <c r="AB176" s="287" t="str">
        <f>IF(AA176&lt;=MaxS,INT(Z176),0)</f>
        <v>#REF!</v>
      </c>
      <c r="AC176" s="210"/>
      <c r="AD176" s="285" t="str">
        <f t="shared" si="4"/>
        <v>#REF!</v>
      </c>
      <c r="AE176" s="286" t="str">
        <f>IF($AD176&gt;=1,RANK($AD176,$AD165:$AD180),0)</f>
        <v>#REF!</v>
      </c>
      <c r="AF176" s="287" t="str">
        <f>IF(AE176&lt;=MaxS,INT(AD176),0)</f>
        <v>#REF!</v>
      </c>
      <c r="AG176" s="210"/>
      <c r="AH176" s="210"/>
      <c r="AI176" s="288" t="str">
        <f t="shared" si="5"/>
        <v>#REF!</v>
      </c>
      <c r="AJ176" s="289" t="str">
        <f t="shared" si="6"/>
        <v>#REF!</v>
      </c>
    </row>
    <row r="177" ht="15.0" customHeight="1">
      <c r="A177" s="272"/>
      <c r="B177" s="250">
        <f>IF(OR(ISNA(MATCH(C177&amp;"",AthleteNumbers,0)),ISBLANK(C177)),0,MATCH(C177&amp;"",AthleteNumbers,0))</f>
        <v>0</v>
      </c>
      <c r="C177" s="413"/>
      <c r="D177" s="273" t="str">
        <f t="array" ref="D177">IF($B177&gt;0,INDEX(DB,$B177,8),"")</f>
        <v/>
      </c>
      <c r="E177" s="274" t="str">
        <f t="array" ref="E177">IF($B177&gt;0,INDEX(DB,$B177,3),"")</f>
        <v/>
      </c>
      <c r="F177" s="275">
        <f t="array" ref="F177">IF($B177&gt;0,INDEX(DB,$B177,13),0)</f>
        <v>0</v>
      </c>
      <c r="G177" s="276">
        <f t="array" ref="G177">IF($B177&gt;0,INDEX(DB,$B177,17),0)</f>
        <v>0</v>
      </c>
      <c r="H177" s="277">
        <f t="array" ref="H177">IF($B177&gt;0,INDEX(DB,$B177,15),0)</f>
        <v>0</v>
      </c>
      <c r="I177" s="276">
        <f t="array" ref="I177">IF($B177&gt;0,INDEX(DB,$B177,19),0)</f>
        <v>0</v>
      </c>
      <c r="J177" s="277">
        <f t="array" ref="J177">IF($B177&gt;0,INDEX(DB,$B177,14),0)</f>
        <v>0</v>
      </c>
      <c r="K177" s="276">
        <f t="array" ref="K177">IF($B177&gt;0,INDEX(DB,$B177,18),0)</f>
        <v>0</v>
      </c>
      <c r="L177" s="275">
        <f t="array" ref="L177">IF($B177&gt;0,INDEX(DB,$B177,16),0)</f>
        <v>0</v>
      </c>
      <c r="M177" s="276">
        <f t="array" ref="M177">IF($B177&gt;0,INDEX(DB,$B177,20),0)</f>
        <v>0</v>
      </c>
      <c r="N177" s="278"/>
      <c r="O177" s="279">
        <f t="shared" si="1"/>
        <v>0</v>
      </c>
      <c r="P177" s="280"/>
      <c r="Q177" s="261" t="str">
        <f t="shared" si="2"/>
        <v>#REF!</v>
      </c>
      <c r="R177" s="290" t="str">
        <f>IF($AI177&gt;0,RANK($AI177,BoysPoints),0)</f>
        <v>#REF!</v>
      </c>
      <c r="S177" s="291" t="str">
        <f>IF($AJ177&gt;0,RANK($AJ177,GirlsPoints),0)</f>
        <v>#REF!</v>
      </c>
      <c r="T177" s="292">
        <f>IF($O177&gt;0,RANK(O177,AthletePoints),0)</f>
        <v>0</v>
      </c>
      <c r="U177" s="210"/>
      <c r="V177" s="330" t="str">
        <f>IF(O177&gt;=40,IF(X177="M",VLOOKUP(O177,UKABoysAwards,2),IF(X177="F",VLOOKUP(O177,UKAGirlsAwards,2),"")),"")</f>
        <v/>
      </c>
      <c r="W177" s="210"/>
      <c r="X177" s="266" t="str">
        <f t="array" ref="X177:X178">INDEX(DB,$B177,4)</f>
        <v>#REF!</v>
      </c>
      <c r="Y177" s="210"/>
      <c r="Z177" s="285" t="str">
        <f t="shared" si="3"/>
        <v>#REF!</v>
      </c>
      <c r="AA177" s="286" t="str">
        <f>IF($Z177&gt;=1,RANK($Z177,$Z165:$Z180),0)</f>
        <v>#REF!</v>
      </c>
      <c r="AB177" s="287" t="str">
        <f>IF(AA177&lt;=MaxS,INT(Z177),0)</f>
        <v>#REF!</v>
      </c>
      <c r="AC177" s="210"/>
      <c r="AD177" s="285" t="str">
        <f t="shared" si="4"/>
        <v>#REF!</v>
      </c>
      <c r="AE177" s="286" t="str">
        <f>IF($AD177&gt;=1,RANK($AD177,$AD165:$AD180),0)</f>
        <v>#REF!</v>
      </c>
      <c r="AF177" s="287" t="str">
        <f>IF(AE177&lt;=MaxS,INT(AD177),0)</f>
        <v>#REF!</v>
      </c>
      <c r="AG177" s="210"/>
      <c r="AH177" s="210"/>
      <c r="AI177" s="288" t="str">
        <f t="shared" si="5"/>
        <v>#REF!</v>
      </c>
      <c r="AJ177" s="289" t="str">
        <f t="shared" si="6"/>
        <v>#REF!</v>
      </c>
    </row>
    <row r="178" ht="15.0" customHeight="1">
      <c r="A178" s="272"/>
      <c r="B178" s="250">
        <f>IF(OR(ISNA(MATCH(C178&amp;"",AthleteNumbers,0)),ISBLANK(C178)),0,MATCH(C178&amp;"",AthleteNumbers,0))</f>
        <v>0</v>
      </c>
      <c r="C178" s="413"/>
      <c r="D178" s="273" t="str">
        <f t="array" ref="D178">IF($B178&gt;0,INDEX(DB,$B178,8),"")</f>
        <v/>
      </c>
      <c r="E178" s="274" t="str">
        <f t="array" ref="E178">IF($B178&gt;0,INDEX(DB,$B178,3),"")</f>
        <v/>
      </c>
      <c r="F178" s="275">
        <f t="array" ref="F178">IF($B178&gt;0,INDEX(DB,$B178,13),0)</f>
        <v>0</v>
      </c>
      <c r="G178" s="276">
        <f t="array" ref="G178">IF($B178&gt;0,INDEX(DB,$B178,17),0)</f>
        <v>0</v>
      </c>
      <c r="H178" s="277">
        <f t="array" ref="H178">IF($B178&gt;0,INDEX(DB,$B178,15),0)</f>
        <v>0</v>
      </c>
      <c r="I178" s="276">
        <f t="array" ref="I178">IF($B178&gt;0,INDEX(DB,$B178,19),0)</f>
        <v>0</v>
      </c>
      <c r="J178" s="277">
        <f t="array" ref="J178">IF($B178&gt;0,INDEX(DB,$B178,14),0)</f>
        <v>0</v>
      </c>
      <c r="K178" s="276">
        <f t="array" ref="K178">IF($B178&gt;0,INDEX(DB,$B178,18),0)</f>
        <v>0</v>
      </c>
      <c r="L178" s="275">
        <f t="array" ref="L178">IF($B178&gt;0,INDEX(DB,$B178,16),0)</f>
        <v>0</v>
      </c>
      <c r="M178" s="276">
        <f t="array" ref="M178">IF($B178&gt;0,INDEX(DB,$B178,20),0)</f>
        <v>0</v>
      </c>
      <c r="N178" s="278"/>
      <c r="O178" s="279">
        <f t="shared" si="1"/>
        <v>0</v>
      </c>
      <c r="P178" s="280"/>
      <c r="Q178" s="261" t="str">
        <f t="shared" si="2"/>
        <v>#REF!</v>
      </c>
      <c r="R178" s="281" t="str">
        <f>IF($AI178&gt;0,RANK($AI178,BoysPoints),0)</f>
        <v>#REF!</v>
      </c>
      <c r="S178" s="282" t="str">
        <f>IF($AJ178&gt;0,RANK($AJ178,GirlsPoints),0)</f>
        <v>#REF!</v>
      </c>
      <c r="T178" s="283">
        <f>IF($O178&gt;0,RANK(O178,AthletePoints),0)</f>
        <v>0</v>
      </c>
      <c r="U178" s="210"/>
      <c r="V178" s="415" t="str">
        <f>IF(O178&gt;=40,IF(X178="M",VLOOKUP(O178,UKABoysAwards,2),IF(X178="F",VLOOKUP(O178,UKAGirlsAwards,2),"")),"")</f>
        <v/>
      </c>
      <c r="W178" s="210"/>
      <c r="X178" s="266" t="str">
        <f t="array" ref="X178:X179">INDEX(DB,$B178,4)</f>
        <v>#REF!</v>
      </c>
      <c r="Y178" s="210"/>
      <c r="Z178" s="285" t="str">
        <f t="shared" si="3"/>
        <v>#REF!</v>
      </c>
      <c r="AA178" s="286" t="str">
        <f>IF($Z178&gt;=1,RANK($Z178,$Z165:$Z180),0)</f>
        <v>#REF!</v>
      </c>
      <c r="AB178" s="287" t="str">
        <f>IF(AA178&lt;=MaxS,INT(Z178),0)</f>
        <v>#REF!</v>
      </c>
      <c r="AC178" s="210"/>
      <c r="AD178" s="285" t="str">
        <f t="shared" si="4"/>
        <v>#REF!</v>
      </c>
      <c r="AE178" s="286" t="str">
        <f>IF($AD178&gt;=1,RANK($AD178,$AD165:$AD180),0)</f>
        <v>#REF!</v>
      </c>
      <c r="AF178" s="287" t="str">
        <f>IF(AE178&lt;=MaxS,INT(AD178),0)</f>
        <v>#REF!</v>
      </c>
      <c r="AG178" s="210"/>
      <c r="AH178" s="210"/>
      <c r="AI178" s="288" t="str">
        <f t="shared" si="5"/>
        <v>#REF!</v>
      </c>
      <c r="AJ178" s="289" t="str">
        <f t="shared" si="6"/>
        <v>#REF!</v>
      </c>
    </row>
    <row r="179" ht="15.0" customHeight="1">
      <c r="A179" s="272"/>
      <c r="B179" s="250">
        <f>IF(OR(ISNA(MATCH(C179&amp;"",AthleteNumbers,0)),ISBLANK(C179)),0,MATCH(C179&amp;"",AthleteNumbers,0))</f>
        <v>0</v>
      </c>
      <c r="C179" s="413"/>
      <c r="D179" s="273" t="str">
        <f t="array" ref="D179">IF($B179&gt;0,INDEX(DB,$B179,8),"")</f>
        <v/>
      </c>
      <c r="E179" s="274" t="str">
        <f t="array" ref="E179">IF($B179&gt;0,INDEX(DB,$B179,3),"")</f>
        <v/>
      </c>
      <c r="F179" s="275">
        <f t="array" ref="F179">IF($B179&gt;0,INDEX(DB,$B179,13),0)</f>
        <v>0</v>
      </c>
      <c r="G179" s="276">
        <f t="array" ref="G179">IF($B179&gt;0,INDEX(DB,$B179,17),0)</f>
        <v>0</v>
      </c>
      <c r="H179" s="277">
        <f t="array" ref="H179">IF($B179&gt;0,INDEX(DB,$B179,15),0)</f>
        <v>0</v>
      </c>
      <c r="I179" s="276">
        <f t="array" ref="I179">IF($B179&gt;0,INDEX(DB,$B179,19),0)</f>
        <v>0</v>
      </c>
      <c r="J179" s="277">
        <f t="array" ref="J179">IF($B179&gt;0,INDEX(DB,$B179,14),0)</f>
        <v>0</v>
      </c>
      <c r="K179" s="276">
        <f t="array" ref="K179">IF($B179&gt;0,INDEX(DB,$B179,18),0)</f>
        <v>0</v>
      </c>
      <c r="L179" s="275">
        <f t="array" ref="L179">IF($B179&gt;0,INDEX(DB,$B179,16),0)</f>
        <v>0</v>
      </c>
      <c r="M179" s="276">
        <f t="array" ref="M179">IF($B179&gt;0,INDEX(DB,$B179,20),0)</f>
        <v>0</v>
      </c>
      <c r="N179" s="278"/>
      <c r="O179" s="279">
        <f t="shared" si="1"/>
        <v>0</v>
      </c>
      <c r="P179" s="280"/>
      <c r="Q179" s="261" t="str">
        <f t="shared" si="2"/>
        <v>#REF!</v>
      </c>
      <c r="R179" s="290" t="str">
        <f>IF($AI179&gt;0,RANK($AI179,BoysPoints),0)</f>
        <v>#REF!</v>
      </c>
      <c r="S179" s="291" t="str">
        <f>IF($AJ179&gt;0,RANK($AJ179,GirlsPoints),0)</f>
        <v>#REF!</v>
      </c>
      <c r="T179" s="292">
        <f>IF($O179&gt;0,RANK(O179,AthletePoints),0)</f>
        <v>0</v>
      </c>
      <c r="U179" s="210"/>
      <c r="V179" s="330" t="str">
        <f>IF(O179&gt;=40,IF(X179="M",VLOOKUP(O179,UKABoysAwards,2),IF(X179="F",VLOOKUP(O179,UKAGirlsAwards,2),"")),"")</f>
        <v/>
      </c>
      <c r="W179" s="210"/>
      <c r="X179" s="266" t="str">
        <f t="array" ref="X179:X180">INDEX(DB,$B179,4)</f>
        <v>#REF!</v>
      </c>
      <c r="Y179" s="210"/>
      <c r="Z179" s="285" t="str">
        <f t="shared" si="3"/>
        <v>#REF!</v>
      </c>
      <c r="AA179" s="286" t="str">
        <f>IF($Z179&gt;=1,RANK($Z179,$Z165:$Z180),0)</f>
        <v>#REF!</v>
      </c>
      <c r="AB179" s="287" t="str">
        <f>IF(AA179&lt;=MaxS,INT(Z179),0)</f>
        <v>#REF!</v>
      </c>
      <c r="AC179" s="210"/>
      <c r="AD179" s="285" t="str">
        <f t="shared" si="4"/>
        <v>#REF!</v>
      </c>
      <c r="AE179" s="286" t="str">
        <f>IF($AD179&gt;=1,RANK($AD179,$AD165:$AD180),0)</f>
        <v>#REF!</v>
      </c>
      <c r="AF179" s="287" t="str">
        <f>IF(AE179&lt;=MaxS,INT(AD179),0)</f>
        <v>#REF!</v>
      </c>
      <c r="AG179" s="210"/>
      <c r="AH179" s="210"/>
      <c r="AI179" s="288" t="str">
        <f t="shared" si="5"/>
        <v>#REF!</v>
      </c>
      <c r="AJ179" s="289" t="str">
        <f t="shared" si="6"/>
        <v>#REF!</v>
      </c>
    </row>
    <row r="180" ht="15.0" customHeight="1">
      <c r="A180" s="305"/>
      <c r="B180" s="250">
        <f>IF(OR(ISNA(MATCH(C180&amp;"",AthleteNumbers,0)),ISBLANK(C180)),0,MATCH(C180&amp;"",AthleteNumbers,0))</f>
        <v>0</v>
      </c>
      <c r="C180" s="443"/>
      <c r="D180" s="306" t="str">
        <f t="array" ref="D180">IF($B180&gt;0,INDEX(DB,$B180,8),"")</f>
        <v/>
      </c>
      <c r="E180" s="307" t="str">
        <f t="array" ref="E180">IF($B180&gt;0,INDEX(DB,$B180,3),"")</f>
        <v/>
      </c>
      <c r="F180" s="308">
        <f t="array" ref="F180">IF($B180&gt;0,INDEX(DB,$B180,13),0)</f>
        <v>0</v>
      </c>
      <c r="G180" s="309">
        <f t="array" ref="G180">IF($B180&gt;0,INDEX(DB,$B180,17),0)</f>
        <v>0</v>
      </c>
      <c r="H180" s="310">
        <f t="array" ref="H180">IF($B180&gt;0,INDEX(DB,$B180,15),0)</f>
        <v>0</v>
      </c>
      <c r="I180" s="309">
        <f t="array" ref="I180">IF($B180&gt;0,INDEX(DB,$B180,19),0)</f>
        <v>0</v>
      </c>
      <c r="J180" s="310">
        <f t="array" ref="J180">IF($B180&gt;0,INDEX(DB,$B180,14),0)</f>
        <v>0</v>
      </c>
      <c r="K180" s="309">
        <f t="array" ref="K180">IF($B180&gt;0,INDEX(DB,$B180,18),0)</f>
        <v>0</v>
      </c>
      <c r="L180" s="308">
        <f t="array" ref="L180">IF($B180&gt;0,INDEX(DB,$B180,16),0)</f>
        <v>0</v>
      </c>
      <c r="M180" s="309">
        <f t="array" ref="M180">IF($B180&gt;0,INDEX(DB,$B180,20),0)</f>
        <v>0</v>
      </c>
      <c r="N180" s="25"/>
      <c r="O180" s="311">
        <f t="shared" si="1"/>
        <v>0</v>
      </c>
      <c r="P180" s="31"/>
      <c r="Q180" s="261" t="str">
        <f t="shared" si="2"/>
        <v>#REF!</v>
      </c>
      <c r="R180" s="312" t="str">
        <f>IF($AI180&gt;0,RANK($AI180,BoysPoints),0)</f>
        <v>#REF!</v>
      </c>
      <c r="S180" s="313" t="str">
        <f>IF($AJ180&gt;0,RANK($AJ180,GirlsPoints),0)</f>
        <v>#REF!</v>
      </c>
      <c r="T180" s="314">
        <f>IF($O180&gt;0,RANK(O180,AthletePoints),0)</f>
        <v>0</v>
      </c>
      <c r="U180" s="210"/>
      <c r="V180" s="444" t="str">
        <f>IF(O180&gt;=40,IF(X180="M",VLOOKUP(O180,UKABoysAwards,2),IF(X180="F",VLOOKUP(O180,UKAGirlsAwards,2),"")),"")</f>
        <v/>
      </c>
      <c r="W180" s="210"/>
      <c r="X180" s="266" t="str">
        <f t="array" ref="X180:X181">INDEX(DB,$B180,4)</f>
        <v>#REF!</v>
      </c>
      <c r="Y180" s="210"/>
      <c r="Z180" s="316" t="str">
        <f t="shared" si="3"/>
        <v>#REF!</v>
      </c>
      <c r="AA180" s="243" t="str">
        <f>IF($Z180&gt;=1,RANK($Z180,$Z165:$Z180),0)</f>
        <v>#REF!</v>
      </c>
      <c r="AB180" s="245" t="str">
        <f>IF(AA180&lt;=MaxS,INT(Z180),0)</f>
        <v>#REF!</v>
      </c>
      <c r="AC180" s="210" t="str">
        <f>SUM(AB165:AB180)</f>
        <v>#REF!</v>
      </c>
      <c r="AD180" s="316" t="str">
        <f t="shared" si="4"/>
        <v>#REF!</v>
      </c>
      <c r="AE180" s="243" t="str">
        <f>IF($AD180&gt;=1,RANK($AD180,$AD165:$AD180),0)</f>
        <v>#REF!</v>
      </c>
      <c r="AF180" s="245" t="str">
        <f>IF(AE180&lt;=MaxS,INT(AD180),0)</f>
        <v>#REF!</v>
      </c>
      <c r="AG180" s="210" t="str">
        <f>SUM(AF165:AF180)</f>
        <v>#REF!</v>
      </c>
      <c r="AH180" s="210"/>
      <c r="AI180" s="246" t="str">
        <f t="shared" si="5"/>
        <v>#REF!</v>
      </c>
      <c r="AJ180" s="247" t="str">
        <f t="shared" si="6"/>
        <v>#REF!</v>
      </c>
    </row>
    <row r="181" ht="15.0" customHeight="1">
      <c r="A181" s="248"/>
      <c r="B181" s="250">
        <f>IF(OR(ISNA(MATCH(C181&amp;"",AthleteNumbers,0)),ISBLANK(C181)),0,MATCH(C181&amp;"",AthleteNumbers,0))</f>
        <v>0</v>
      </c>
      <c r="C181" s="251"/>
      <c r="D181" s="252" t="str">
        <f t="array" ref="D181">IF($B181&gt;0,INDEX(DB,$B181,8),"")</f>
        <v/>
      </c>
      <c r="E181" s="253" t="str">
        <f t="array" ref="E181">IF($B181&gt;0,INDEX(DB,$B181,3),"")</f>
        <v/>
      </c>
      <c r="F181" s="254">
        <f t="array" ref="F181">IF($B181&gt;0,INDEX(DB,$B181,13),0)</f>
        <v>0</v>
      </c>
      <c r="G181" s="255">
        <f t="array" ref="G181">IF($B181&gt;0,INDEX(DB,$B181,17),0)</f>
        <v>0</v>
      </c>
      <c r="H181" s="257">
        <f t="array" ref="H181">IF($B181&gt;0,INDEX(DB,$B181,15),0)</f>
        <v>0</v>
      </c>
      <c r="I181" s="255">
        <f t="array" ref="I181">IF($B181&gt;0,INDEX(DB,$B181,19),0)</f>
        <v>0</v>
      </c>
      <c r="J181" s="257">
        <f t="array" ref="J181">IF($B181&gt;0,INDEX(DB,$B181,14),0)</f>
        <v>0</v>
      </c>
      <c r="K181" s="255">
        <f t="array" ref="K181">IF($B181&gt;0,INDEX(DB,$B181,18),0)</f>
        <v>0</v>
      </c>
      <c r="L181" s="254">
        <f t="array" ref="L181">IF($B181&gt;0,INDEX(DB,$B181,16),0)</f>
        <v>0</v>
      </c>
      <c r="M181" s="255">
        <f t="array" ref="M181">IF($B181&gt;0,INDEX(DB,$B181,20),0)</f>
        <v>0</v>
      </c>
      <c r="N181" s="258" t="str">
        <f t="array" ref="N181:N197">INDEX(RelayPoints,A196)</f>
        <v>#REF!</v>
      </c>
      <c r="O181" s="259">
        <f t="shared" si="1"/>
        <v>0</v>
      </c>
      <c r="P181" s="260" t="str">
        <f>+AC196+AG196+N181</f>
        <v>#REF!</v>
      </c>
      <c r="Q181" s="261" t="str">
        <f t="shared" si="2"/>
        <v>#REF!</v>
      </c>
      <c r="R181" s="262" t="str">
        <f>IF($AI181&gt;0,RANK($AI181,BoysPoints),0)</f>
        <v>#REF!</v>
      </c>
      <c r="S181" s="263" t="str">
        <f>IF($AJ181&gt;0,RANK($AJ181,GirlsPoints),0)</f>
        <v>#REF!</v>
      </c>
      <c r="T181" s="264">
        <f>IF($O181&gt;0,RANK(O181,AthletePoints),0)</f>
        <v>0</v>
      </c>
      <c r="U181" s="210"/>
      <c r="V181" s="317" t="str">
        <f>IF(O181&gt;=40,IF(X181="M",VLOOKUP(O181,UKABoysAwards,2),IF(X181="F",VLOOKUP(O181,UKAGirlsAwards,2),"")),"")</f>
        <v/>
      </c>
      <c r="W181" s="210"/>
      <c r="X181" s="266" t="str">
        <f t="array" ref="X181:X182">INDEX(DB,$B181,4)</f>
        <v>#REF!</v>
      </c>
      <c r="Y181" s="210"/>
      <c r="Z181" s="267" t="str">
        <f t="shared" si="3"/>
        <v>#REF!</v>
      </c>
      <c r="AA181" s="268" t="str">
        <f>IF($Z181&gt;=1,RANK($Z181,$Z181:$Z196),0)</f>
        <v>#REF!</v>
      </c>
      <c r="AB181" s="269" t="str">
        <f>IF(AA181&lt;=MaxS,INT(Z181),0)</f>
        <v>#REF!</v>
      </c>
      <c r="AC181" s="210"/>
      <c r="AD181" s="267" t="str">
        <f t="shared" si="4"/>
        <v>#REF!</v>
      </c>
      <c r="AE181" s="268" t="str">
        <f>IF($AD181&gt;=1,RANK($AD181,$AD181:$AD196),0)</f>
        <v>#REF!</v>
      </c>
      <c r="AF181" s="269" t="str">
        <f>IF(AE181&lt;=MaxS,INT(AD181),0)</f>
        <v>#REF!</v>
      </c>
      <c r="AG181" s="210"/>
      <c r="AH181" s="210"/>
      <c r="AI181" s="288" t="str">
        <f t="shared" si="5"/>
        <v>#REF!</v>
      </c>
      <c r="AJ181" s="289" t="str">
        <f t="shared" si="6"/>
        <v>#REF!</v>
      </c>
    </row>
    <row r="182" ht="15.0" customHeight="1">
      <c r="A182" s="272"/>
      <c r="B182" s="250">
        <f>IF(OR(ISNA(MATCH(C182&amp;"",AthleteNumbers,0)),ISBLANK(C182)),0,MATCH(C182&amp;"",AthleteNumbers,0))</f>
        <v>0</v>
      </c>
      <c r="C182" s="413"/>
      <c r="D182" s="273" t="str">
        <f t="array" ref="D182">IF($B182&gt;0,INDEX(DB,$B182,8),"")</f>
        <v/>
      </c>
      <c r="E182" s="274" t="str">
        <f t="array" ref="E182">IF($B182&gt;0,INDEX(DB,$B182,3),"")</f>
        <v/>
      </c>
      <c r="F182" s="275">
        <f t="array" ref="F182">IF($B182&gt;0,INDEX(DB,$B182,13),0)</f>
        <v>0</v>
      </c>
      <c r="G182" s="276">
        <f t="array" ref="G182">IF($B182&gt;0,INDEX(DB,$B182,17),0)</f>
        <v>0</v>
      </c>
      <c r="H182" s="277">
        <f t="array" ref="H182">IF($B182&gt;0,INDEX(DB,$B182,15),0)</f>
        <v>0</v>
      </c>
      <c r="I182" s="276">
        <f t="array" ref="I182">IF($B182&gt;0,INDEX(DB,$B182,19),0)</f>
        <v>0</v>
      </c>
      <c r="J182" s="277">
        <f t="array" ref="J182">IF($B182&gt;0,INDEX(DB,$B182,14),0)</f>
        <v>0</v>
      </c>
      <c r="K182" s="276">
        <f t="array" ref="K182">IF($B182&gt;0,INDEX(DB,$B182,18),0)</f>
        <v>0</v>
      </c>
      <c r="L182" s="275">
        <f t="array" ref="L182">IF($B182&gt;0,INDEX(DB,$B182,16),0)</f>
        <v>0</v>
      </c>
      <c r="M182" s="276">
        <f t="array" ref="M182">IF($B182&gt;0,INDEX(DB,$B182,20),0)</f>
        <v>0</v>
      </c>
      <c r="N182" s="278"/>
      <c r="O182" s="279">
        <f t="shared" si="1"/>
        <v>0</v>
      </c>
      <c r="P182" s="280"/>
      <c r="Q182" s="261" t="str">
        <f t="shared" si="2"/>
        <v>#REF!</v>
      </c>
      <c r="R182" s="281" t="str">
        <f>IF($AI182&gt;0,RANK($AI182,BoysPoints),0)</f>
        <v>#REF!</v>
      </c>
      <c r="S182" s="282" t="str">
        <f>IF($AJ182&gt;0,RANK($AJ182,GirlsPoints),0)</f>
        <v>#REF!</v>
      </c>
      <c r="T182" s="283">
        <f>IF($O182&gt;0,RANK(O182,AthletePoints),0)</f>
        <v>0</v>
      </c>
      <c r="U182" s="210"/>
      <c r="V182" s="415" t="str">
        <f>IF(O182&gt;=40,IF(X182="M",VLOOKUP(O182,UKABoysAwards,2),IF(X182="F",VLOOKUP(O182,UKAGirlsAwards,2),"")),"")</f>
        <v/>
      </c>
      <c r="W182" s="210"/>
      <c r="X182" s="266" t="str">
        <f t="array" ref="X182:X183">INDEX(DB,$B182,4)</f>
        <v>#REF!</v>
      </c>
      <c r="Y182" s="210"/>
      <c r="Z182" s="285" t="str">
        <f t="shared" si="3"/>
        <v>#REF!</v>
      </c>
      <c r="AA182" s="286" t="str">
        <f>IF($Z182&gt;=1,RANK($Z182,$Z181:$Z196),0)</f>
        <v>#REF!</v>
      </c>
      <c r="AB182" s="287" t="str">
        <f>IF(AA182&lt;=MaxS,INT(Z182),0)</f>
        <v>#REF!</v>
      </c>
      <c r="AC182" s="210"/>
      <c r="AD182" s="285" t="str">
        <f t="shared" si="4"/>
        <v>#REF!</v>
      </c>
      <c r="AE182" s="286" t="str">
        <f>IF($AD182&gt;=1,RANK($AD182,$AD181:$AD196),0)</f>
        <v>#REF!</v>
      </c>
      <c r="AF182" s="287" t="str">
        <f>IF(AE182&lt;=MaxS,INT(AD182),0)</f>
        <v>#REF!</v>
      </c>
      <c r="AG182" s="210"/>
      <c r="AH182" s="210"/>
      <c r="AI182" s="288" t="str">
        <f t="shared" si="5"/>
        <v>#REF!</v>
      </c>
      <c r="AJ182" s="289" t="str">
        <f t="shared" si="6"/>
        <v>#REF!</v>
      </c>
    </row>
    <row r="183" ht="15.0" customHeight="1">
      <c r="A183" s="272"/>
      <c r="B183" s="250">
        <f>IF(OR(ISNA(MATCH(C183&amp;"",AthleteNumbers,0)),ISBLANK(C183)),0,MATCH(C183&amp;"",AthleteNumbers,0))</f>
        <v>0</v>
      </c>
      <c r="C183" s="413"/>
      <c r="D183" s="273" t="str">
        <f t="array" ref="D183">IF($B183&gt;0,INDEX(DB,$B183,8),"")</f>
        <v/>
      </c>
      <c r="E183" s="274" t="str">
        <f t="array" ref="E183">IF($B183&gt;0,INDEX(DB,$B183,3),"")</f>
        <v/>
      </c>
      <c r="F183" s="275">
        <f t="array" ref="F183">IF($B183&gt;0,INDEX(DB,$B183,13),0)</f>
        <v>0</v>
      </c>
      <c r="G183" s="276">
        <f t="array" ref="G183">IF($B183&gt;0,INDEX(DB,$B183,17),0)</f>
        <v>0</v>
      </c>
      <c r="H183" s="277">
        <f t="array" ref="H183">IF($B183&gt;0,INDEX(DB,$B183,15),0)</f>
        <v>0</v>
      </c>
      <c r="I183" s="276">
        <f t="array" ref="I183">IF($B183&gt;0,INDEX(DB,$B183,19),0)</f>
        <v>0</v>
      </c>
      <c r="J183" s="277">
        <f t="array" ref="J183">IF($B183&gt;0,INDEX(DB,$B183,14),0)</f>
        <v>0</v>
      </c>
      <c r="K183" s="276">
        <f t="array" ref="K183">IF($B183&gt;0,INDEX(DB,$B183,18),0)</f>
        <v>0</v>
      </c>
      <c r="L183" s="275">
        <f t="array" ref="L183">IF($B183&gt;0,INDEX(DB,$B183,16),0)</f>
        <v>0</v>
      </c>
      <c r="M183" s="276">
        <f t="array" ref="M183">IF($B183&gt;0,INDEX(DB,$B183,20),0)</f>
        <v>0</v>
      </c>
      <c r="N183" s="278"/>
      <c r="O183" s="279">
        <f t="shared" si="1"/>
        <v>0</v>
      </c>
      <c r="P183" s="280"/>
      <c r="Q183" s="261" t="str">
        <f t="shared" si="2"/>
        <v>#REF!</v>
      </c>
      <c r="R183" s="290" t="str">
        <f>IF($AI183&gt;0,RANK($AI183,BoysPoints),0)</f>
        <v>#REF!</v>
      </c>
      <c r="S183" s="291" t="str">
        <f>IF($AJ183&gt;0,RANK($AJ183,GirlsPoints),0)</f>
        <v>#REF!</v>
      </c>
      <c r="T183" s="292">
        <f>IF($O183&gt;0,RANK(O183,AthletePoints),0)</f>
        <v>0</v>
      </c>
      <c r="U183" s="210"/>
      <c r="V183" s="330" t="str">
        <f>IF(O183&gt;=40,IF(X183="M",VLOOKUP(O183,UKABoysAwards,2),IF(X183="F",VLOOKUP(O183,UKAGirlsAwards,2),"")),"")</f>
        <v/>
      </c>
      <c r="W183" s="210"/>
      <c r="X183" s="266" t="str">
        <f t="array" ref="X183:X184">INDEX(DB,$B183,4)</f>
        <v>#REF!</v>
      </c>
      <c r="Y183" s="210"/>
      <c r="Z183" s="285" t="str">
        <f t="shared" si="3"/>
        <v>#REF!</v>
      </c>
      <c r="AA183" s="286" t="str">
        <f>IF($Z183&gt;=1,RANK($Z183,$Z181:$Z196),0)</f>
        <v>#REF!</v>
      </c>
      <c r="AB183" s="287" t="str">
        <f>IF(AA183&lt;=MaxS,INT(Z183),0)</f>
        <v>#REF!</v>
      </c>
      <c r="AC183" s="210"/>
      <c r="AD183" s="285" t="str">
        <f t="shared" si="4"/>
        <v>#REF!</v>
      </c>
      <c r="AE183" s="286" t="str">
        <f>IF($AD183&gt;=1,RANK($AD183,$AD181:$AD196),0)</f>
        <v>#REF!</v>
      </c>
      <c r="AF183" s="287" t="str">
        <f>IF(AE183&lt;=MaxS,INT(AD183),0)</f>
        <v>#REF!</v>
      </c>
      <c r="AG183" s="210"/>
      <c r="AH183" s="210"/>
      <c r="AI183" s="288" t="str">
        <f t="shared" si="5"/>
        <v>#REF!</v>
      </c>
      <c r="AJ183" s="289" t="str">
        <f t="shared" si="6"/>
        <v>#REF!</v>
      </c>
    </row>
    <row r="184" ht="15.0" customHeight="1">
      <c r="A184" s="272"/>
      <c r="B184" s="250">
        <f>IF(OR(ISNA(MATCH(C184&amp;"",AthleteNumbers,0)),ISBLANK(C184)),0,MATCH(C184&amp;"",AthleteNumbers,0))</f>
        <v>0</v>
      </c>
      <c r="C184" s="413"/>
      <c r="D184" s="273" t="str">
        <f t="array" ref="D184">IF($B184&gt;0,INDEX(DB,$B184,8),"")</f>
        <v/>
      </c>
      <c r="E184" s="274" t="str">
        <f t="array" ref="E184">IF($B184&gt;0,INDEX(DB,$B184,3),"")</f>
        <v/>
      </c>
      <c r="F184" s="275">
        <f t="array" ref="F184">IF($B184&gt;0,INDEX(DB,$B184,13),0)</f>
        <v>0</v>
      </c>
      <c r="G184" s="276">
        <f t="array" ref="G184">IF($B184&gt;0,INDEX(DB,$B184,17),0)</f>
        <v>0</v>
      </c>
      <c r="H184" s="277">
        <f t="array" ref="H184">IF($B184&gt;0,INDEX(DB,$B184,15),0)</f>
        <v>0</v>
      </c>
      <c r="I184" s="276">
        <f t="array" ref="I184">IF($B184&gt;0,INDEX(DB,$B184,19),0)</f>
        <v>0</v>
      </c>
      <c r="J184" s="277">
        <f t="array" ref="J184">IF($B184&gt;0,INDEX(DB,$B184,14),0)</f>
        <v>0</v>
      </c>
      <c r="K184" s="276">
        <f t="array" ref="K184">IF($B184&gt;0,INDEX(DB,$B184,18),0)</f>
        <v>0</v>
      </c>
      <c r="L184" s="275">
        <f t="array" ref="L184">IF($B184&gt;0,INDEX(DB,$B184,16),0)</f>
        <v>0</v>
      </c>
      <c r="M184" s="276">
        <f t="array" ref="M184">IF($B184&gt;0,INDEX(DB,$B184,20),0)</f>
        <v>0</v>
      </c>
      <c r="N184" s="278"/>
      <c r="O184" s="279">
        <f t="shared" si="1"/>
        <v>0</v>
      </c>
      <c r="P184" s="280"/>
      <c r="Q184" s="261" t="str">
        <f t="shared" si="2"/>
        <v>#REF!</v>
      </c>
      <c r="R184" s="281" t="str">
        <f>IF($AI184&gt;0,RANK($AI184,BoysPoints),0)</f>
        <v>#REF!</v>
      </c>
      <c r="S184" s="282" t="str">
        <f>IF($AJ184&gt;0,RANK($AJ184,GirlsPoints),0)</f>
        <v>#REF!</v>
      </c>
      <c r="T184" s="283">
        <f>IF($O184&gt;0,RANK(O184,AthletePoints),0)</f>
        <v>0</v>
      </c>
      <c r="U184" s="210"/>
      <c r="V184" s="415" t="str">
        <f>IF(O184&gt;=40,IF(X184="M",VLOOKUP(O184,UKABoysAwards,2),IF(X184="F",VLOOKUP(O184,UKAGirlsAwards,2),"")),"")</f>
        <v/>
      </c>
      <c r="W184" s="210"/>
      <c r="X184" s="266" t="str">
        <f t="array" ref="X184:X185">INDEX(DB,$B184,4)</f>
        <v>#REF!</v>
      </c>
      <c r="Y184" s="210"/>
      <c r="Z184" s="285" t="str">
        <f t="shared" si="3"/>
        <v>#REF!</v>
      </c>
      <c r="AA184" s="286" t="str">
        <f>IF($Z184&gt;=1,RANK($Z184,$Z181:$Z196),0)</f>
        <v>#REF!</v>
      </c>
      <c r="AB184" s="287" t="str">
        <f>IF(AA184&lt;=MaxS,INT(Z184),0)</f>
        <v>#REF!</v>
      </c>
      <c r="AC184" s="210"/>
      <c r="AD184" s="285" t="str">
        <f t="shared" si="4"/>
        <v>#REF!</v>
      </c>
      <c r="AE184" s="286" t="str">
        <f>IF($AD184&gt;=1,RANK($AD184,$AD181:$AD196),0)</f>
        <v>#REF!</v>
      </c>
      <c r="AF184" s="287" t="str">
        <f>IF(AE184&lt;=MaxS,INT(AD184),0)</f>
        <v>#REF!</v>
      </c>
      <c r="AG184" s="210"/>
      <c r="AH184" s="210"/>
      <c r="AI184" s="288" t="str">
        <f t="shared" si="5"/>
        <v>#REF!</v>
      </c>
      <c r="AJ184" s="289" t="str">
        <f t="shared" si="6"/>
        <v>#REF!</v>
      </c>
    </row>
    <row r="185" ht="15.0" customHeight="1">
      <c r="A185" s="272"/>
      <c r="B185" s="250">
        <f>IF(OR(ISNA(MATCH(C185&amp;"",AthleteNumbers,0)),ISBLANK(C185)),0,MATCH(C185&amp;"",AthleteNumbers,0))</f>
        <v>0</v>
      </c>
      <c r="C185" s="413"/>
      <c r="D185" s="273" t="str">
        <f t="array" ref="D185">IF($B185&gt;0,INDEX(DB,$B185,8),"")</f>
        <v/>
      </c>
      <c r="E185" s="274" t="str">
        <f t="array" ref="E185">IF($B185&gt;0,INDEX(DB,$B185,3),"")</f>
        <v/>
      </c>
      <c r="F185" s="275">
        <f t="array" ref="F185">IF($B185&gt;0,INDEX(DB,$B185,13),0)</f>
        <v>0</v>
      </c>
      <c r="G185" s="276">
        <f t="array" ref="G185">IF($B185&gt;0,INDEX(DB,$B185,17),0)</f>
        <v>0</v>
      </c>
      <c r="H185" s="277">
        <f t="array" ref="H185">IF($B185&gt;0,INDEX(DB,$B185,15),0)</f>
        <v>0</v>
      </c>
      <c r="I185" s="276">
        <f t="array" ref="I185">IF($B185&gt;0,INDEX(DB,$B185,19),0)</f>
        <v>0</v>
      </c>
      <c r="J185" s="277">
        <f t="array" ref="J185">IF($B185&gt;0,INDEX(DB,$B185,14),0)</f>
        <v>0</v>
      </c>
      <c r="K185" s="276">
        <f t="array" ref="K185">IF($B185&gt;0,INDEX(DB,$B185,18),0)</f>
        <v>0</v>
      </c>
      <c r="L185" s="275">
        <f t="array" ref="L185">IF($B185&gt;0,INDEX(DB,$B185,16),0)</f>
        <v>0</v>
      </c>
      <c r="M185" s="276">
        <f t="array" ref="M185">IF($B185&gt;0,INDEX(DB,$B185,20),0)</f>
        <v>0</v>
      </c>
      <c r="N185" s="278"/>
      <c r="O185" s="279">
        <f t="shared" si="1"/>
        <v>0</v>
      </c>
      <c r="P185" s="280"/>
      <c r="Q185" s="261" t="str">
        <f t="shared" si="2"/>
        <v>#REF!</v>
      </c>
      <c r="R185" s="290" t="str">
        <f>IF($AI185&gt;0,RANK($AI185,BoysPoints),0)</f>
        <v>#REF!</v>
      </c>
      <c r="S185" s="291" t="str">
        <f>IF($AJ185&gt;0,RANK($AJ185,GirlsPoints),0)</f>
        <v>#REF!</v>
      </c>
      <c r="T185" s="292">
        <f>IF($O185&gt;0,RANK(O185,AthletePoints),0)</f>
        <v>0</v>
      </c>
      <c r="U185" s="210"/>
      <c r="V185" s="330" t="str">
        <f>IF(O185&gt;=40,IF(X185="M",VLOOKUP(O185,UKABoysAwards,2),IF(X185="F",VLOOKUP(O185,UKAGirlsAwards,2),"")),"")</f>
        <v/>
      </c>
      <c r="W185" s="210"/>
      <c r="X185" s="266" t="str">
        <f t="array" ref="X185:X186">INDEX(DB,$B185,4)</f>
        <v>#REF!</v>
      </c>
      <c r="Y185" s="210"/>
      <c r="Z185" s="285" t="str">
        <f t="shared" si="3"/>
        <v>#REF!</v>
      </c>
      <c r="AA185" s="286" t="str">
        <f>IF($Z185&gt;=1,RANK($Z185,$Z181:$Z196),0)</f>
        <v>#REF!</v>
      </c>
      <c r="AB185" s="287" t="str">
        <f>IF(AA185&lt;=MaxS,INT(Z185),0)</f>
        <v>#REF!</v>
      </c>
      <c r="AC185" s="210"/>
      <c r="AD185" s="285" t="str">
        <f t="shared" si="4"/>
        <v>#REF!</v>
      </c>
      <c r="AE185" s="286" t="str">
        <f>IF($AD185&gt;=1,RANK($AD185,$AD181:$AD196),0)</f>
        <v>#REF!</v>
      </c>
      <c r="AF185" s="287" t="str">
        <f>IF(AE185&lt;=MaxS,INT(AD185),0)</f>
        <v>#REF!</v>
      </c>
      <c r="AG185" s="210"/>
      <c r="AH185" s="210"/>
      <c r="AI185" s="288" t="str">
        <f t="shared" si="5"/>
        <v>#REF!</v>
      </c>
      <c r="AJ185" s="289" t="str">
        <f t="shared" si="6"/>
        <v>#REF!</v>
      </c>
    </row>
    <row r="186" ht="15.0" customHeight="1">
      <c r="A186" s="272"/>
      <c r="B186" s="250">
        <f>IF(OR(ISNA(MATCH(C186&amp;"",AthleteNumbers,0)),ISBLANK(C186)),0,MATCH(C186&amp;"",AthleteNumbers,0))</f>
        <v>0</v>
      </c>
      <c r="C186" s="413"/>
      <c r="D186" s="273" t="str">
        <f t="array" ref="D186">IF($B186&gt;0,INDEX(DB,$B186,8),"")</f>
        <v/>
      </c>
      <c r="E186" s="274" t="str">
        <f t="array" ref="E186">IF($B186&gt;0,INDEX(DB,$B186,3),"")</f>
        <v/>
      </c>
      <c r="F186" s="275">
        <f t="array" ref="F186">IF($B186&gt;0,INDEX(DB,$B186,13),0)</f>
        <v>0</v>
      </c>
      <c r="G186" s="276">
        <f t="array" ref="G186">IF($B186&gt;0,INDEX(DB,$B186,17),0)</f>
        <v>0</v>
      </c>
      <c r="H186" s="277">
        <f t="array" ref="H186">IF($B186&gt;0,INDEX(DB,$B186,15),0)</f>
        <v>0</v>
      </c>
      <c r="I186" s="276">
        <f t="array" ref="I186">IF($B186&gt;0,INDEX(DB,$B186,19),0)</f>
        <v>0</v>
      </c>
      <c r="J186" s="277">
        <f t="array" ref="J186">IF($B186&gt;0,INDEX(DB,$B186,14),0)</f>
        <v>0</v>
      </c>
      <c r="K186" s="276">
        <f t="array" ref="K186">IF($B186&gt;0,INDEX(DB,$B186,18),0)</f>
        <v>0</v>
      </c>
      <c r="L186" s="275">
        <f t="array" ref="L186">IF($B186&gt;0,INDEX(DB,$B186,16),0)</f>
        <v>0</v>
      </c>
      <c r="M186" s="276">
        <f t="array" ref="M186">IF($B186&gt;0,INDEX(DB,$B186,20),0)</f>
        <v>0</v>
      </c>
      <c r="N186" s="278"/>
      <c r="O186" s="279">
        <f t="shared" si="1"/>
        <v>0</v>
      </c>
      <c r="P186" s="280"/>
      <c r="Q186" s="261" t="str">
        <f t="shared" si="2"/>
        <v>#REF!</v>
      </c>
      <c r="R186" s="281" t="str">
        <f>IF($AI186&gt;0,RANK($AI186,BoysPoints),0)</f>
        <v>#REF!</v>
      </c>
      <c r="S186" s="282" t="str">
        <f>IF($AJ186&gt;0,RANK($AJ186,GirlsPoints),0)</f>
        <v>#REF!</v>
      </c>
      <c r="T186" s="283">
        <f>IF($O186&gt;0,RANK(O186,AthletePoints),0)</f>
        <v>0</v>
      </c>
      <c r="U186" s="210"/>
      <c r="V186" s="415" t="str">
        <f>IF(O186&gt;=40,IF(X186="M",VLOOKUP(O186,UKABoysAwards,2),IF(X186="F",VLOOKUP(O186,UKAGirlsAwards,2),"")),"")</f>
        <v/>
      </c>
      <c r="W186" s="210"/>
      <c r="X186" s="266" t="str">
        <f t="array" ref="X186:X187">INDEX(DB,$B186,4)</f>
        <v>#REF!</v>
      </c>
      <c r="Y186" s="210"/>
      <c r="Z186" s="285" t="str">
        <f t="shared" si="3"/>
        <v>#REF!</v>
      </c>
      <c r="AA186" s="286" t="str">
        <f>IF($Z186&gt;=1,RANK($Z186,$Z181:$Z196),0)</f>
        <v>#REF!</v>
      </c>
      <c r="AB186" s="287" t="str">
        <f>IF(AA186&lt;=MaxS,INT(Z186),0)</f>
        <v>#REF!</v>
      </c>
      <c r="AC186" s="210"/>
      <c r="AD186" s="285" t="str">
        <f t="shared" si="4"/>
        <v>#REF!</v>
      </c>
      <c r="AE186" s="286" t="str">
        <f>IF($AD186&gt;=1,RANK($AD186,$AD181:$AD196),0)</f>
        <v>#REF!</v>
      </c>
      <c r="AF186" s="287" t="str">
        <f>IF(AE186&lt;=MaxS,INT(AD186),0)</f>
        <v>#REF!</v>
      </c>
      <c r="AG186" s="210"/>
      <c r="AH186" s="210"/>
      <c r="AI186" s="288" t="str">
        <f t="shared" si="5"/>
        <v>#REF!</v>
      </c>
      <c r="AJ186" s="289" t="str">
        <f t="shared" si="6"/>
        <v>#REF!</v>
      </c>
    </row>
    <row r="187" ht="15.0" customHeight="1">
      <c r="A187" s="272"/>
      <c r="B187" s="250">
        <f>IF(OR(ISNA(MATCH(C187&amp;"",AthleteNumbers,0)),ISBLANK(C187)),0,MATCH(C187&amp;"",AthleteNumbers,0))</f>
        <v>0</v>
      </c>
      <c r="C187" s="413"/>
      <c r="D187" s="273" t="str">
        <f t="array" ref="D187">IF($B187&gt;0,INDEX(DB,$B187,8),"")</f>
        <v/>
      </c>
      <c r="E187" s="274" t="str">
        <f t="array" ref="E187">IF($B187&gt;0,INDEX(DB,$B187,3),"")</f>
        <v/>
      </c>
      <c r="F187" s="275">
        <f t="array" ref="F187">IF($B187&gt;0,INDEX(DB,$B187,13),0)</f>
        <v>0</v>
      </c>
      <c r="G187" s="276">
        <f t="array" ref="G187">IF($B187&gt;0,INDEX(DB,$B187,17),0)</f>
        <v>0</v>
      </c>
      <c r="H187" s="277">
        <f t="array" ref="H187">IF($B187&gt;0,INDEX(DB,$B187,15),0)</f>
        <v>0</v>
      </c>
      <c r="I187" s="276">
        <f t="array" ref="I187">IF($B187&gt;0,INDEX(DB,$B187,19),0)</f>
        <v>0</v>
      </c>
      <c r="J187" s="277">
        <f t="array" ref="J187">IF($B187&gt;0,INDEX(DB,$B187,14),0)</f>
        <v>0</v>
      </c>
      <c r="K187" s="276">
        <f t="array" ref="K187">IF($B187&gt;0,INDEX(DB,$B187,18),0)</f>
        <v>0</v>
      </c>
      <c r="L187" s="275">
        <f t="array" ref="L187">IF($B187&gt;0,INDEX(DB,$B187,16),0)</f>
        <v>0</v>
      </c>
      <c r="M187" s="276">
        <f t="array" ref="M187">IF($B187&gt;0,INDEX(DB,$B187,20),0)</f>
        <v>0</v>
      </c>
      <c r="N187" s="278"/>
      <c r="O187" s="279">
        <f t="shared" si="1"/>
        <v>0</v>
      </c>
      <c r="P187" s="280"/>
      <c r="Q187" s="261" t="str">
        <f t="shared" si="2"/>
        <v>#REF!</v>
      </c>
      <c r="R187" s="290" t="str">
        <f>IF($AI187&gt;0,RANK($AI187,BoysPoints),0)</f>
        <v>#REF!</v>
      </c>
      <c r="S187" s="291" t="str">
        <f>IF($AJ187&gt;0,RANK($AJ187,GirlsPoints),0)</f>
        <v>#REF!</v>
      </c>
      <c r="T187" s="292">
        <f>IF($O187&gt;0,RANK(O187,AthletePoints),0)</f>
        <v>0</v>
      </c>
      <c r="U187" s="210"/>
      <c r="V187" s="330" t="str">
        <f>IF(O187&gt;=40,IF(X187="M",VLOOKUP(O187,UKABoysAwards,2),IF(X187="F",VLOOKUP(O187,UKAGirlsAwards,2),"")),"")</f>
        <v/>
      </c>
      <c r="W187" s="210"/>
      <c r="X187" s="266" t="str">
        <f t="array" ref="X187:X188">INDEX(DB,$B187,4)</f>
        <v>#REF!</v>
      </c>
      <c r="Y187" s="210"/>
      <c r="Z187" s="285" t="str">
        <f t="shared" si="3"/>
        <v>#REF!</v>
      </c>
      <c r="AA187" s="286" t="str">
        <f>IF($Z187&gt;=1,RANK($Z187,$Z181:$Z196),0)</f>
        <v>#REF!</v>
      </c>
      <c r="AB187" s="287" t="str">
        <f>IF(AA187&lt;=MaxS,INT(Z187),0)</f>
        <v>#REF!</v>
      </c>
      <c r="AC187" s="210"/>
      <c r="AD187" s="285" t="str">
        <f t="shared" si="4"/>
        <v>#REF!</v>
      </c>
      <c r="AE187" s="286" t="str">
        <f>IF($AD187&gt;=1,RANK($AD187,$AD181:$AD196),0)</f>
        <v>#REF!</v>
      </c>
      <c r="AF187" s="287" t="str">
        <f>IF(AE187&lt;=MaxS,INT(AD187),0)</f>
        <v>#REF!</v>
      </c>
      <c r="AG187" s="210"/>
      <c r="AH187" s="210"/>
      <c r="AI187" s="288" t="str">
        <f t="shared" si="5"/>
        <v>#REF!</v>
      </c>
      <c r="AJ187" s="289" t="str">
        <f t="shared" si="6"/>
        <v>#REF!</v>
      </c>
    </row>
    <row r="188" ht="15.0" customHeight="1">
      <c r="A188" s="272"/>
      <c r="B188" s="250">
        <f>IF(OR(ISNA(MATCH(C188&amp;"",AthleteNumbers,0)),ISBLANK(C188)),0,MATCH(C188&amp;"",AthleteNumbers,0))</f>
        <v>0</v>
      </c>
      <c r="C188" s="413"/>
      <c r="D188" s="273" t="str">
        <f t="array" ref="D188">IF($B188&gt;0,INDEX(DB,$B188,8),"")</f>
        <v/>
      </c>
      <c r="E188" s="274" t="str">
        <f t="array" ref="E188">IF($B188&gt;0,INDEX(DB,$B188,3),"")</f>
        <v/>
      </c>
      <c r="F188" s="275">
        <f t="array" ref="F188">IF($B188&gt;0,INDEX(DB,$B188,13),0)</f>
        <v>0</v>
      </c>
      <c r="G188" s="276">
        <f t="array" ref="G188">IF($B188&gt;0,INDEX(DB,$B188,17),0)</f>
        <v>0</v>
      </c>
      <c r="H188" s="277">
        <f t="array" ref="H188">IF($B188&gt;0,INDEX(DB,$B188,15),0)</f>
        <v>0</v>
      </c>
      <c r="I188" s="276">
        <f t="array" ref="I188">IF($B188&gt;0,INDEX(DB,$B188,19),0)</f>
        <v>0</v>
      </c>
      <c r="J188" s="277">
        <f t="array" ref="J188">IF($B188&gt;0,INDEX(DB,$B188,14),0)</f>
        <v>0</v>
      </c>
      <c r="K188" s="276">
        <f t="array" ref="K188">IF($B188&gt;0,INDEX(DB,$B188,18),0)</f>
        <v>0</v>
      </c>
      <c r="L188" s="275">
        <f t="array" ref="L188">IF($B188&gt;0,INDEX(DB,$B188,16),0)</f>
        <v>0</v>
      </c>
      <c r="M188" s="276">
        <f t="array" ref="M188">IF($B188&gt;0,INDEX(DB,$B188,20),0)</f>
        <v>0</v>
      </c>
      <c r="N188" s="278"/>
      <c r="O188" s="279">
        <f t="shared" si="1"/>
        <v>0</v>
      </c>
      <c r="P188" s="280"/>
      <c r="Q188" s="261" t="str">
        <f t="shared" si="2"/>
        <v>#REF!</v>
      </c>
      <c r="R188" s="281" t="str">
        <f>IF($AI188&gt;0,RANK($AI188,BoysPoints),0)</f>
        <v>#REF!</v>
      </c>
      <c r="S188" s="282" t="str">
        <f>IF($AJ188&gt;0,RANK($AJ188,GirlsPoints),0)</f>
        <v>#REF!</v>
      </c>
      <c r="T188" s="283">
        <f>IF($O188&gt;0,RANK(O188,AthletePoints),0)</f>
        <v>0</v>
      </c>
      <c r="U188" s="210"/>
      <c r="V188" s="415" t="str">
        <f>IF(O188&gt;=40,IF(X188="M",VLOOKUP(O188,UKABoysAwards,2),IF(X188="F",VLOOKUP(O188,UKAGirlsAwards,2),"")),"")</f>
        <v/>
      </c>
      <c r="W188" s="210"/>
      <c r="X188" s="266" t="str">
        <f t="array" ref="X188:X189">INDEX(DB,$B188,4)</f>
        <v>#REF!</v>
      </c>
      <c r="Y188" s="210"/>
      <c r="Z188" s="285" t="str">
        <f t="shared" si="3"/>
        <v>#REF!</v>
      </c>
      <c r="AA188" s="286" t="str">
        <f>IF($Z188&gt;=1,RANK($Z188,$Z181:$Z196),0)</f>
        <v>#REF!</v>
      </c>
      <c r="AB188" s="287" t="str">
        <f>IF(AA188&lt;=MaxS,INT(Z188),0)</f>
        <v>#REF!</v>
      </c>
      <c r="AC188" s="210"/>
      <c r="AD188" s="285" t="str">
        <f t="shared" si="4"/>
        <v>#REF!</v>
      </c>
      <c r="AE188" s="286" t="str">
        <f>IF($AD188&gt;=1,RANK($AD188,$AD181:$AD196),0)</f>
        <v>#REF!</v>
      </c>
      <c r="AF188" s="287" t="str">
        <f>IF(AE188&lt;=MaxS,INT(AD188),0)</f>
        <v>#REF!</v>
      </c>
      <c r="AG188" s="210"/>
      <c r="AH188" s="210"/>
      <c r="AI188" s="288" t="str">
        <f t="shared" si="5"/>
        <v>#REF!</v>
      </c>
      <c r="AJ188" s="289" t="str">
        <f t="shared" si="6"/>
        <v>#REF!</v>
      </c>
    </row>
    <row r="189" ht="15.0" customHeight="1">
      <c r="A189" s="272"/>
      <c r="B189" s="250">
        <f>IF(OR(ISNA(MATCH(C189&amp;"",AthleteNumbers,0)),ISBLANK(C189)),0,MATCH(C189&amp;"",AthleteNumbers,0))</f>
        <v>0</v>
      </c>
      <c r="C189" s="413"/>
      <c r="D189" s="273" t="str">
        <f t="array" ref="D189">IF($B189&gt;0,INDEX(DB,$B189,8),"")</f>
        <v/>
      </c>
      <c r="E189" s="274" t="str">
        <f t="array" ref="E189">IF($B189&gt;0,INDEX(DB,$B189,3),"")</f>
        <v/>
      </c>
      <c r="F189" s="275">
        <f t="array" ref="F189">IF($B189&gt;0,INDEX(DB,$B189,13),0)</f>
        <v>0</v>
      </c>
      <c r="G189" s="276">
        <f t="array" ref="G189">IF($B189&gt;0,INDEX(DB,$B189,17),0)</f>
        <v>0</v>
      </c>
      <c r="H189" s="277">
        <f t="array" ref="H189">IF($B189&gt;0,INDEX(DB,$B189,15),0)</f>
        <v>0</v>
      </c>
      <c r="I189" s="276">
        <f t="array" ref="I189">IF($B189&gt;0,INDEX(DB,$B189,19),0)</f>
        <v>0</v>
      </c>
      <c r="J189" s="277">
        <f t="array" ref="J189">IF($B189&gt;0,INDEX(DB,$B189,14),0)</f>
        <v>0</v>
      </c>
      <c r="K189" s="276">
        <f t="array" ref="K189">IF($B189&gt;0,INDEX(DB,$B189,18),0)</f>
        <v>0</v>
      </c>
      <c r="L189" s="275">
        <f t="array" ref="L189">IF($B189&gt;0,INDEX(DB,$B189,16),0)</f>
        <v>0</v>
      </c>
      <c r="M189" s="276">
        <f t="array" ref="M189">IF($B189&gt;0,INDEX(DB,$B189,20),0)</f>
        <v>0</v>
      </c>
      <c r="N189" s="278"/>
      <c r="O189" s="279">
        <f t="shared" si="1"/>
        <v>0</v>
      </c>
      <c r="P189" s="280"/>
      <c r="Q189" s="261" t="str">
        <f t="shared" si="2"/>
        <v>#REF!</v>
      </c>
      <c r="R189" s="290" t="str">
        <f>IF($AI189&gt;0,RANK($AI189,BoysPoints),0)</f>
        <v>#REF!</v>
      </c>
      <c r="S189" s="291" t="str">
        <f>IF($AJ189&gt;0,RANK($AJ189,GirlsPoints),0)</f>
        <v>#REF!</v>
      </c>
      <c r="T189" s="292">
        <f>IF($O189&gt;0,RANK(O189,AthletePoints),0)</f>
        <v>0</v>
      </c>
      <c r="U189" s="210"/>
      <c r="V189" s="330" t="str">
        <f>IF(O189&gt;=40,IF(X189="M",VLOOKUP(O189,UKABoysAwards,2),IF(X189="F",VLOOKUP(O189,UKAGirlsAwards,2),"")),"")</f>
        <v/>
      </c>
      <c r="W189" s="210"/>
      <c r="X189" s="266" t="str">
        <f t="array" ref="X189:X190">INDEX(DB,$B189,4)</f>
        <v>#REF!</v>
      </c>
      <c r="Y189" s="210"/>
      <c r="Z189" s="285" t="str">
        <f t="shared" si="3"/>
        <v>#REF!</v>
      </c>
      <c r="AA189" s="286" t="str">
        <f>IF($Z189&gt;=1,RANK($Z189,$Z181:$Z196),0)</f>
        <v>#REF!</v>
      </c>
      <c r="AB189" s="287" t="str">
        <f>IF(AA189&lt;=MaxS,INT(Z189),0)</f>
        <v>#REF!</v>
      </c>
      <c r="AC189" s="210"/>
      <c r="AD189" s="285" t="str">
        <f t="shared" si="4"/>
        <v>#REF!</v>
      </c>
      <c r="AE189" s="286" t="str">
        <f>IF($AD189&gt;=1,RANK($AD189,$AD181:$AD196),0)</f>
        <v>#REF!</v>
      </c>
      <c r="AF189" s="287" t="str">
        <f>IF(AE189&lt;=MaxS,INT(AD189),0)</f>
        <v>#REF!</v>
      </c>
      <c r="AG189" s="210"/>
      <c r="AH189" s="210"/>
      <c r="AI189" s="288" t="str">
        <f t="shared" si="5"/>
        <v>#REF!</v>
      </c>
      <c r="AJ189" s="289" t="str">
        <f t="shared" si="6"/>
        <v>#REF!</v>
      </c>
    </row>
    <row r="190" ht="15.0" customHeight="1">
      <c r="A190" s="272"/>
      <c r="B190" s="250">
        <f>IF(OR(ISNA(MATCH(C190&amp;"",AthleteNumbers,0)),ISBLANK(C190)),0,MATCH(C190&amp;"",AthleteNumbers,0))</f>
        <v>0</v>
      </c>
      <c r="C190" s="413"/>
      <c r="D190" s="273" t="str">
        <f t="array" ref="D190">IF($B190&gt;0,INDEX(DB,$B190,8),"")</f>
        <v/>
      </c>
      <c r="E190" s="274" t="str">
        <f t="array" ref="E190">IF($B190&gt;0,INDEX(DB,$B190,3),"")</f>
        <v/>
      </c>
      <c r="F190" s="275">
        <f t="array" ref="F190">IF($B190&gt;0,INDEX(DB,$B190,13),0)</f>
        <v>0</v>
      </c>
      <c r="G190" s="276">
        <f t="array" ref="G190">IF($B190&gt;0,INDEX(DB,$B190,17),0)</f>
        <v>0</v>
      </c>
      <c r="H190" s="277">
        <f t="array" ref="H190">IF($B190&gt;0,INDEX(DB,$B190,15),0)</f>
        <v>0</v>
      </c>
      <c r="I190" s="276">
        <f t="array" ref="I190">IF($B190&gt;0,INDEX(DB,$B190,19),0)</f>
        <v>0</v>
      </c>
      <c r="J190" s="277">
        <f t="array" ref="J190">IF($B190&gt;0,INDEX(DB,$B190,14),0)</f>
        <v>0</v>
      </c>
      <c r="K190" s="276">
        <f t="array" ref="K190">IF($B190&gt;0,INDEX(DB,$B190,18),0)</f>
        <v>0</v>
      </c>
      <c r="L190" s="275">
        <f t="array" ref="L190">IF($B190&gt;0,INDEX(DB,$B190,16),0)</f>
        <v>0</v>
      </c>
      <c r="M190" s="276">
        <f t="array" ref="M190">IF($B190&gt;0,INDEX(DB,$B190,20),0)</f>
        <v>0</v>
      </c>
      <c r="N190" s="278"/>
      <c r="O190" s="279">
        <f t="shared" si="1"/>
        <v>0</v>
      </c>
      <c r="P190" s="280"/>
      <c r="Q190" s="261" t="str">
        <f t="shared" si="2"/>
        <v>#REF!</v>
      </c>
      <c r="R190" s="281" t="str">
        <f>IF($AI190&gt;0,RANK($AI190,BoysPoints),0)</f>
        <v>#REF!</v>
      </c>
      <c r="S190" s="282" t="str">
        <f>IF($AJ190&gt;0,RANK($AJ190,GirlsPoints),0)</f>
        <v>#REF!</v>
      </c>
      <c r="T190" s="283">
        <f>IF($O190&gt;0,RANK(O190,AthletePoints),0)</f>
        <v>0</v>
      </c>
      <c r="U190" s="210"/>
      <c r="V190" s="415" t="str">
        <f>IF(O190&gt;=40,IF(X190="M",VLOOKUP(O190,UKABoysAwards,2),IF(X190="F",VLOOKUP(O190,UKAGirlsAwards,2),"")),"")</f>
        <v/>
      </c>
      <c r="W190" s="210"/>
      <c r="X190" s="266" t="str">
        <f t="array" ref="X190:X191">INDEX(DB,$B190,4)</f>
        <v>#REF!</v>
      </c>
      <c r="Y190" s="210"/>
      <c r="Z190" s="285" t="str">
        <f t="shared" si="3"/>
        <v>#REF!</v>
      </c>
      <c r="AA190" s="286" t="str">
        <f>IF($Z190&gt;=1,RANK($Z190,$Z181:$Z196),0)</f>
        <v>#REF!</v>
      </c>
      <c r="AB190" s="287" t="str">
        <f>IF(AA190&lt;=MaxS,INT(Z190),0)</f>
        <v>#REF!</v>
      </c>
      <c r="AC190" s="210"/>
      <c r="AD190" s="285" t="str">
        <f t="shared" si="4"/>
        <v>#REF!</v>
      </c>
      <c r="AE190" s="286" t="str">
        <f>IF($AD190&gt;=1,RANK($AD190,$AD181:$AD196),0)</f>
        <v>#REF!</v>
      </c>
      <c r="AF190" s="287" t="str">
        <f>IF(AE190&lt;=MaxS,INT(AD190),0)</f>
        <v>#REF!</v>
      </c>
      <c r="AG190" s="210"/>
      <c r="AH190" s="210"/>
      <c r="AI190" s="288" t="str">
        <f t="shared" si="5"/>
        <v>#REF!</v>
      </c>
      <c r="AJ190" s="289" t="str">
        <f t="shared" si="6"/>
        <v>#REF!</v>
      </c>
    </row>
    <row r="191" ht="15.0" customHeight="1">
      <c r="A191" s="272"/>
      <c r="B191" s="250">
        <f>IF(OR(ISNA(MATCH(C191&amp;"",AthleteNumbers,0)),ISBLANK(C191)),0,MATCH(C191&amp;"",AthleteNumbers,0))</f>
        <v>0</v>
      </c>
      <c r="C191" s="413"/>
      <c r="D191" s="273" t="str">
        <f t="array" ref="D191">IF($B191&gt;0,INDEX(DB,$B191,8),"")</f>
        <v/>
      </c>
      <c r="E191" s="274" t="str">
        <f t="array" ref="E191">IF($B191&gt;0,INDEX(DB,$B191,3),"")</f>
        <v/>
      </c>
      <c r="F191" s="275">
        <f t="array" ref="F191">IF($B191&gt;0,INDEX(DB,$B191,13),0)</f>
        <v>0</v>
      </c>
      <c r="G191" s="276">
        <f t="array" ref="G191">IF($B191&gt;0,INDEX(DB,$B191,17),0)</f>
        <v>0</v>
      </c>
      <c r="H191" s="277">
        <f t="array" ref="H191">IF($B191&gt;0,INDEX(DB,$B191,15),0)</f>
        <v>0</v>
      </c>
      <c r="I191" s="276">
        <f t="array" ref="I191">IF($B191&gt;0,INDEX(DB,$B191,19),0)</f>
        <v>0</v>
      </c>
      <c r="J191" s="277">
        <f t="array" ref="J191">IF($B191&gt;0,INDEX(DB,$B191,14),0)</f>
        <v>0</v>
      </c>
      <c r="K191" s="276">
        <f t="array" ref="K191">IF($B191&gt;0,INDEX(DB,$B191,18),0)</f>
        <v>0</v>
      </c>
      <c r="L191" s="275">
        <f t="array" ref="L191">IF($B191&gt;0,INDEX(DB,$B191,16),0)</f>
        <v>0</v>
      </c>
      <c r="M191" s="276">
        <f t="array" ref="M191">IF($B191&gt;0,INDEX(DB,$B191,20),0)</f>
        <v>0</v>
      </c>
      <c r="N191" s="278"/>
      <c r="O191" s="279">
        <f t="shared" si="1"/>
        <v>0</v>
      </c>
      <c r="P191" s="280"/>
      <c r="Q191" s="261" t="str">
        <f t="shared" si="2"/>
        <v>#REF!</v>
      </c>
      <c r="R191" s="290" t="str">
        <f>IF($AI191&gt;0,RANK($AI191,BoysPoints),0)</f>
        <v>#REF!</v>
      </c>
      <c r="S191" s="291" t="str">
        <f>IF($AJ191&gt;0,RANK($AJ191,GirlsPoints),0)</f>
        <v>#REF!</v>
      </c>
      <c r="T191" s="292">
        <f>IF($O191&gt;0,RANK(O191,AthletePoints),0)</f>
        <v>0</v>
      </c>
      <c r="U191" s="210"/>
      <c r="V191" s="330" t="str">
        <f>IF(O191&gt;=40,IF(X191="M",VLOOKUP(O191,UKABoysAwards,2),IF(X191="F",VLOOKUP(O191,UKAGirlsAwards,2),"")),"")</f>
        <v/>
      </c>
      <c r="W191" s="210"/>
      <c r="X191" s="266" t="str">
        <f t="array" ref="X191:X192">INDEX(DB,$B191,4)</f>
        <v>#REF!</v>
      </c>
      <c r="Y191" s="210"/>
      <c r="Z191" s="285" t="str">
        <f t="shared" si="3"/>
        <v>#REF!</v>
      </c>
      <c r="AA191" s="286" t="str">
        <f>IF($Z191&gt;=1,RANK($Z191,$Z181:$Z196),0)</f>
        <v>#REF!</v>
      </c>
      <c r="AB191" s="287" t="str">
        <f>IF(AA191&lt;=MaxS,INT(Z191),0)</f>
        <v>#REF!</v>
      </c>
      <c r="AC191" s="210"/>
      <c r="AD191" s="285" t="str">
        <f t="shared" si="4"/>
        <v>#REF!</v>
      </c>
      <c r="AE191" s="286" t="str">
        <f>IF($AD191&gt;=1,RANK($AD191,$AD181:$AD196),0)</f>
        <v>#REF!</v>
      </c>
      <c r="AF191" s="287" t="str">
        <f>IF(AE191&lt;=MaxS,INT(AD191),0)</f>
        <v>#REF!</v>
      </c>
      <c r="AG191" s="210"/>
      <c r="AH191" s="210"/>
      <c r="AI191" s="288" t="str">
        <f t="shared" si="5"/>
        <v>#REF!</v>
      </c>
      <c r="AJ191" s="289" t="str">
        <f t="shared" si="6"/>
        <v>#REF!</v>
      </c>
    </row>
    <row r="192" ht="15.0" customHeight="1">
      <c r="A192" s="272"/>
      <c r="B192" s="250">
        <f>IF(OR(ISNA(MATCH(C192&amp;"",AthleteNumbers,0)),ISBLANK(C192)),0,MATCH(C192&amp;"",AthleteNumbers,0))</f>
        <v>0</v>
      </c>
      <c r="C192" s="413"/>
      <c r="D192" s="273" t="str">
        <f t="array" ref="D192">IF($B192&gt;0,INDEX(DB,$B192,8),"")</f>
        <v/>
      </c>
      <c r="E192" s="274" t="str">
        <f t="array" ref="E192">IF($B192&gt;0,INDEX(DB,$B192,3),"")</f>
        <v/>
      </c>
      <c r="F192" s="275">
        <f t="array" ref="F192">IF($B192&gt;0,INDEX(DB,$B192,13),0)</f>
        <v>0</v>
      </c>
      <c r="G192" s="276">
        <f t="array" ref="G192">IF($B192&gt;0,INDEX(DB,$B192,17),0)</f>
        <v>0</v>
      </c>
      <c r="H192" s="277">
        <f t="array" ref="H192">IF($B192&gt;0,INDEX(DB,$B192,15),0)</f>
        <v>0</v>
      </c>
      <c r="I192" s="276">
        <f t="array" ref="I192">IF($B192&gt;0,INDEX(DB,$B192,19),0)</f>
        <v>0</v>
      </c>
      <c r="J192" s="277">
        <f t="array" ref="J192">IF($B192&gt;0,INDEX(DB,$B192,14),0)</f>
        <v>0</v>
      </c>
      <c r="K192" s="276">
        <f t="array" ref="K192">IF($B192&gt;0,INDEX(DB,$B192,18),0)</f>
        <v>0</v>
      </c>
      <c r="L192" s="275">
        <f t="array" ref="L192">IF($B192&gt;0,INDEX(DB,$B192,16),0)</f>
        <v>0</v>
      </c>
      <c r="M192" s="276">
        <f t="array" ref="M192">IF($B192&gt;0,INDEX(DB,$B192,20),0)</f>
        <v>0</v>
      </c>
      <c r="N192" s="278"/>
      <c r="O192" s="279">
        <f t="shared" si="1"/>
        <v>0</v>
      </c>
      <c r="P192" s="280"/>
      <c r="Q192" s="261" t="str">
        <f t="shared" si="2"/>
        <v>#REF!</v>
      </c>
      <c r="R192" s="281" t="str">
        <f>IF($AI192&gt;0,RANK($AI192,BoysPoints),0)</f>
        <v>#REF!</v>
      </c>
      <c r="S192" s="282" t="str">
        <f>IF($AJ192&gt;0,RANK($AJ192,GirlsPoints),0)</f>
        <v>#REF!</v>
      </c>
      <c r="T192" s="283">
        <f>IF($O192&gt;0,RANK(O192,AthletePoints),0)</f>
        <v>0</v>
      </c>
      <c r="U192" s="210"/>
      <c r="V192" s="415" t="str">
        <f>IF(O192&gt;=40,IF(X192="M",VLOOKUP(O192,UKABoysAwards,2),IF(X192="F",VLOOKUP(O192,UKAGirlsAwards,2),"")),"")</f>
        <v/>
      </c>
      <c r="W192" s="210"/>
      <c r="X192" s="266" t="str">
        <f t="array" ref="X192:X193">INDEX(DB,$B192,4)</f>
        <v>#REF!</v>
      </c>
      <c r="Y192" s="210"/>
      <c r="Z192" s="285" t="str">
        <f t="shared" si="3"/>
        <v>#REF!</v>
      </c>
      <c r="AA192" s="286" t="str">
        <f>IF($Z192&gt;=1,RANK($Z192,$Z181:$Z196),0)</f>
        <v>#REF!</v>
      </c>
      <c r="AB192" s="287" t="str">
        <f>IF(AA192&lt;=MaxS,INT(Z192),0)</f>
        <v>#REF!</v>
      </c>
      <c r="AC192" s="210"/>
      <c r="AD192" s="285" t="str">
        <f t="shared" si="4"/>
        <v>#REF!</v>
      </c>
      <c r="AE192" s="286" t="str">
        <f>IF($AD192&gt;=1,RANK($AD192,$AD181:$AD196),0)</f>
        <v>#REF!</v>
      </c>
      <c r="AF192" s="287" t="str">
        <f>IF(AE192&lt;=MaxS,INT(AD192),0)</f>
        <v>#REF!</v>
      </c>
      <c r="AG192" s="210"/>
      <c r="AH192" s="210"/>
      <c r="AI192" s="288" t="str">
        <f t="shared" si="5"/>
        <v>#REF!</v>
      </c>
      <c r="AJ192" s="289" t="str">
        <f t="shared" si="6"/>
        <v>#REF!</v>
      </c>
    </row>
    <row r="193" ht="15.0" customHeight="1">
      <c r="A193" s="272"/>
      <c r="B193" s="250">
        <f>IF(OR(ISNA(MATCH(C193&amp;"",AthleteNumbers,0)),ISBLANK(C193)),0,MATCH(C193&amp;"",AthleteNumbers,0))</f>
        <v>0</v>
      </c>
      <c r="C193" s="413"/>
      <c r="D193" s="273" t="str">
        <f t="array" ref="D193">IF($B193&gt;0,INDEX(DB,$B193,8),"")</f>
        <v/>
      </c>
      <c r="E193" s="274" t="str">
        <f t="array" ref="E193">IF($B193&gt;0,INDEX(DB,$B193,3),"")</f>
        <v/>
      </c>
      <c r="F193" s="275">
        <f t="array" ref="F193">IF($B193&gt;0,INDEX(DB,$B193,13),0)</f>
        <v>0</v>
      </c>
      <c r="G193" s="276">
        <f t="array" ref="G193">IF($B193&gt;0,INDEX(DB,$B193,17),0)</f>
        <v>0</v>
      </c>
      <c r="H193" s="277">
        <f t="array" ref="H193">IF($B193&gt;0,INDEX(DB,$B193,15),0)</f>
        <v>0</v>
      </c>
      <c r="I193" s="276">
        <f t="array" ref="I193">IF($B193&gt;0,INDEX(DB,$B193,19),0)</f>
        <v>0</v>
      </c>
      <c r="J193" s="277">
        <f t="array" ref="J193">IF($B193&gt;0,INDEX(DB,$B193,14),0)</f>
        <v>0</v>
      </c>
      <c r="K193" s="276">
        <f t="array" ref="K193">IF($B193&gt;0,INDEX(DB,$B193,18),0)</f>
        <v>0</v>
      </c>
      <c r="L193" s="275">
        <f t="array" ref="L193">IF($B193&gt;0,INDEX(DB,$B193,16),0)</f>
        <v>0</v>
      </c>
      <c r="M193" s="276">
        <f t="array" ref="M193">IF($B193&gt;0,INDEX(DB,$B193,20),0)</f>
        <v>0</v>
      </c>
      <c r="N193" s="278"/>
      <c r="O193" s="279">
        <f t="shared" si="1"/>
        <v>0</v>
      </c>
      <c r="P193" s="280"/>
      <c r="Q193" s="261" t="str">
        <f t="shared" si="2"/>
        <v>#REF!</v>
      </c>
      <c r="R193" s="290" t="str">
        <f>IF($AI193&gt;0,RANK($AI193,BoysPoints),0)</f>
        <v>#REF!</v>
      </c>
      <c r="S193" s="291" t="str">
        <f>IF($AJ193&gt;0,RANK($AJ193,GirlsPoints),0)</f>
        <v>#REF!</v>
      </c>
      <c r="T193" s="292">
        <f>IF($O193&gt;0,RANK(O193,AthletePoints),0)</f>
        <v>0</v>
      </c>
      <c r="U193" s="210"/>
      <c r="V193" s="330" t="str">
        <f>IF(O193&gt;=40,IF(X193="M",VLOOKUP(O193,UKABoysAwards,2),IF(X193="F",VLOOKUP(O193,UKAGirlsAwards,2),"")),"")</f>
        <v/>
      </c>
      <c r="W193" s="210"/>
      <c r="X193" s="266" t="str">
        <f t="array" ref="X193:X194">INDEX(DB,$B193,4)</f>
        <v>#REF!</v>
      </c>
      <c r="Y193" s="210"/>
      <c r="Z193" s="285" t="str">
        <f t="shared" si="3"/>
        <v>#REF!</v>
      </c>
      <c r="AA193" s="286" t="str">
        <f>IF($Z193&gt;=1,RANK($Z193,$Z181:$Z196),0)</f>
        <v>#REF!</v>
      </c>
      <c r="AB193" s="287" t="str">
        <f>IF(AA193&lt;=MaxS,INT(Z193),0)</f>
        <v>#REF!</v>
      </c>
      <c r="AC193" s="210"/>
      <c r="AD193" s="285" t="str">
        <f t="shared" si="4"/>
        <v>#REF!</v>
      </c>
      <c r="AE193" s="286" t="str">
        <f>IF($AD193&gt;=1,RANK($AD193,$AD181:$AD196),0)</f>
        <v>#REF!</v>
      </c>
      <c r="AF193" s="287" t="str">
        <f>IF(AE193&lt;=MaxS,INT(AD193),0)</f>
        <v>#REF!</v>
      </c>
      <c r="AG193" s="210"/>
      <c r="AH193" s="210"/>
      <c r="AI193" s="288" t="str">
        <f t="shared" si="5"/>
        <v>#REF!</v>
      </c>
      <c r="AJ193" s="289" t="str">
        <f t="shared" si="6"/>
        <v>#REF!</v>
      </c>
    </row>
    <row r="194" ht="15.0" customHeight="1">
      <c r="A194" s="272"/>
      <c r="B194" s="250">
        <f>IF(OR(ISNA(MATCH(C194&amp;"",AthleteNumbers,0)),ISBLANK(C194)),0,MATCH(C194&amp;"",AthleteNumbers,0))</f>
        <v>0</v>
      </c>
      <c r="C194" s="413"/>
      <c r="D194" s="273" t="str">
        <f t="array" ref="D194">IF($B194&gt;0,INDEX(DB,$B194,8),"")</f>
        <v/>
      </c>
      <c r="E194" s="274" t="str">
        <f t="array" ref="E194">IF($B194&gt;0,INDEX(DB,$B194,3),"")</f>
        <v/>
      </c>
      <c r="F194" s="275">
        <f t="array" ref="F194">IF($B194&gt;0,INDEX(DB,$B194,13),0)</f>
        <v>0</v>
      </c>
      <c r="G194" s="276">
        <f t="array" ref="G194">IF($B194&gt;0,INDEX(DB,$B194,17),0)</f>
        <v>0</v>
      </c>
      <c r="H194" s="277">
        <f t="array" ref="H194">IF($B194&gt;0,INDEX(DB,$B194,15),0)</f>
        <v>0</v>
      </c>
      <c r="I194" s="276">
        <f t="array" ref="I194">IF($B194&gt;0,INDEX(DB,$B194,19),0)</f>
        <v>0</v>
      </c>
      <c r="J194" s="277">
        <f t="array" ref="J194">IF($B194&gt;0,INDEX(DB,$B194,14),0)</f>
        <v>0</v>
      </c>
      <c r="K194" s="276">
        <f t="array" ref="K194">IF($B194&gt;0,INDEX(DB,$B194,18),0)</f>
        <v>0</v>
      </c>
      <c r="L194" s="275">
        <f t="array" ref="L194">IF($B194&gt;0,INDEX(DB,$B194,16),0)</f>
        <v>0</v>
      </c>
      <c r="M194" s="276">
        <f t="array" ref="M194">IF($B194&gt;0,INDEX(DB,$B194,20),0)</f>
        <v>0</v>
      </c>
      <c r="N194" s="278"/>
      <c r="O194" s="279">
        <f t="shared" si="1"/>
        <v>0</v>
      </c>
      <c r="P194" s="280"/>
      <c r="Q194" s="261" t="str">
        <f t="shared" si="2"/>
        <v>#REF!</v>
      </c>
      <c r="R194" s="281" t="str">
        <f>IF($AI194&gt;0,RANK($AI194,BoysPoints),0)</f>
        <v>#REF!</v>
      </c>
      <c r="S194" s="282" t="str">
        <f>IF($AJ194&gt;0,RANK($AJ194,GirlsPoints),0)</f>
        <v>#REF!</v>
      </c>
      <c r="T194" s="283">
        <f>IF($O194&gt;0,RANK(O194,AthletePoints),0)</f>
        <v>0</v>
      </c>
      <c r="U194" s="210"/>
      <c r="V194" s="415" t="str">
        <f>IF(O194&gt;=40,IF(X194="M",VLOOKUP(O194,UKABoysAwards,2),IF(X194="F",VLOOKUP(O194,UKAGirlsAwards,2),"")),"")</f>
        <v/>
      </c>
      <c r="W194" s="210"/>
      <c r="X194" s="266" t="str">
        <f t="array" ref="X194:X195">INDEX(DB,$B194,4)</f>
        <v>#REF!</v>
      </c>
      <c r="Y194" s="210"/>
      <c r="Z194" s="285" t="str">
        <f t="shared" si="3"/>
        <v>#REF!</v>
      </c>
      <c r="AA194" s="286" t="str">
        <f>IF($Z194&gt;=1,RANK($Z194,$Z181:$Z196),0)</f>
        <v>#REF!</v>
      </c>
      <c r="AB194" s="287" t="str">
        <f>IF(AA194&lt;=MaxS,INT(Z194),0)</f>
        <v>#REF!</v>
      </c>
      <c r="AC194" s="210"/>
      <c r="AD194" s="285" t="str">
        <f t="shared" si="4"/>
        <v>#REF!</v>
      </c>
      <c r="AE194" s="286" t="str">
        <f>IF($AD194&gt;=1,RANK($AD194,$AD181:$AD196),0)</f>
        <v>#REF!</v>
      </c>
      <c r="AF194" s="287" t="str">
        <f>IF(AE194&lt;=MaxS,INT(AD194),0)</f>
        <v>#REF!</v>
      </c>
      <c r="AG194" s="210"/>
      <c r="AH194" s="210"/>
      <c r="AI194" s="288" t="str">
        <f t="shared" si="5"/>
        <v>#REF!</v>
      </c>
      <c r="AJ194" s="289" t="str">
        <f t="shared" si="6"/>
        <v>#REF!</v>
      </c>
    </row>
    <row r="195" ht="15.0" customHeight="1">
      <c r="A195" s="272"/>
      <c r="B195" s="250">
        <f>IF(OR(ISNA(MATCH(C195&amp;"",AthleteNumbers,0)),ISBLANK(C195)),0,MATCH(C195&amp;"",AthleteNumbers,0))</f>
        <v>0</v>
      </c>
      <c r="C195" s="413"/>
      <c r="D195" s="273" t="str">
        <f t="array" ref="D195">IF($B195&gt;0,INDEX(DB,$B195,8),"")</f>
        <v/>
      </c>
      <c r="E195" s="274" t="str">
        <f t="array" ref="E195">IF($B195&gt;0,INDEX(DB,$B195,3),"")</f>
        <v/>
      </c>
      <c r="F195" s="275">
        <f t="array" ref="F195">IF($B195&gt;0,INDEX(DB,$B195,13),0)</f>
        <v>0</v>
      </c>
      <c r="G195" s="276">
        <f t="array" ref="G195">IF($B195&gt;0,INDEX(DB,$B195,17),0)</f>
        <v>0</v>
      </c>
      <c r="H195" s="277">
        <f t="array" ref="H195">IF($B195&gt;0,INDEX(DB,$B195,15),0)</f>
        <v>0</v>
      </c>
      <c r="I195" s="276">
        <f t="array" ref="I195">IF($B195&gt;0,INDEX(DB,$B195,19),0)</f>
        <v>0</v>
      </c>
      <c r="J195" s="277">
        <f t="array" ref="J195">IF($B195&gt;0,INDEX(DB,$B195,14),0)</f>
        <v>0</v>
      </c>
      <c r="K195" s="276">
        <f t="array" ref="K195">IF($B195&gt;0,INDEX(DB,$B195,18),0)</f>
        <v>0</v>
      </c>
      <c r="L195" s="275">
        <f t="array" ref="L195">IF($B195&gt;0,INDEX(DB,$B195,16),0)</f>
        <v>0</v>
      </c>
      <c r="M195" s="276">
        <f t="array" ref="M195">IF($B195&gt;0,INDEX(DB,$B195,20),0)</f>
        <v>0</v>
      </c>
      <c r="N195" s="278"/>
      <c r="O195" s="279">
        <f t="shared" si="1"/>
        <v>0</v>
      </c>
      <c r="P195" s="280"/>
      <c r="Q195" s="261" t="str">
        <f t="shared" si="2"/>
        <v>#REF!</v>
      </c>
      <c r="R195" s="290" t="str">
        <f>IF($AI195&gt;0,RANK($AI195,BoysPoints),0)</f>
        <v>#REF!</v>
      </c>
      <c r="S195" s="291" t="str">
        <f>IF($AJ195&gt;0,RANK($AJ195,GirlsPoints),0)</f>
        <v>#REF!</v>
      </c>
      <c r="T195" s="292">
        <f>IF($O195&gt;0,RANK(O195,AthletePoints),0)</f>
        <v>0</v>
      </c>
      <c r="U195" s="210"/>
      <c r="V195" s="330" t="str">
        <f>IF(O195&gt;=40,IF(X195="M",VLOOKUP(O195,UKABoysAwards,2),IF(X195="F",VLOOKUP(O195,UKAGirlsAwards,2),"")),"")</f>
        <v/>
      </c>
      <c r="W195" s="210"/>
      <c r="X195" s="266" t="str">
        <f t="array" ref="X195:X196">INDEX(DB,$B195,4)</f>
        <v>#REF!</v>
      </c>
      <c r="Y195" s="210"/>
      <c r="Z195" s="285" t="str">
        <f t="shared" si="3"/>
        <v>#REF!</v>
      </c>
      <c r="AA195" s="286" t="str">
        <f>IF($Z195&gt;=1,RANK($Z195,$Z181:$Z196),0)</f>
        <v>#REF!</v>
      </c>
      <c r="AB195" s="287" t="str">
        <f>IF(AA195&lt;=MaxS,INT(Z195),0)</f>
        <v>#REF!</v>
      </c>
      <c r="AC195" s="210"/>
      <c r="AD195" s="285" t="str">
        <f t="shared" si="4"/>
        <v>#REF!</v>
      </c>
      <c r="AE195" s="286" t="str">
        <f>IF($AD195&gt;=1,RANK($AD195,$AD181:$AD196),0)</f>
        <v>#REF!</v>
      </c>
      <c r="AF195" s="287" t="str">
        <f>IF(AE195&lt;=MaxS,INT(AD195),0)</f>
        <v>#REF!</v>
      </c>
      <c r="AG195" s="210"/>
      <c r="AH195" s="210"/>
      <c r="AI195" s="288" t="str">
        <f t="shared" si="5"/>
        <v>#REF!</v>
      </c>
      <c r="AJ195" s="289" t="str">
        <f t="shared" si="6"/>
        <v>#REF!</v>
      </c>
    </row>
    <row r="196" ht="15.0" customHeight="1">
      <c r="A196" s="305"/>
      <c r="B196" s="250">
        <f>IF(OR(ISNA(MATCH(C196&amp;"",AthleteNumbers,0)),ISBLANK(C196)),0,MATCH(C196&amp;"",AthleteNumbers,0))</f>
        <v>0</v>
      </c>
      <c r="C196" s="443"/>
      <c r="D196" s="306" t="str">
        <f t="array" ref="D196">IF($B196&gt;0,INDEX(DB,$B196,8),"")</f>
        <v/>
      </c>
      <c r="E196" s="307" t="str">
        <f t="array" ref="E196">IF($B196&gt;0,INDEX(DB,$B196,3),"")</f>
        <v/>
      </c>
      <c r="F196" s="308">
        <f t="array" ref="F196">IF($B196&gt;0,INDEX(DB,$B196,13),0)</f>
        <v>0</v>
      </c>
      <c r="G196" s="309">
        <f t="array" ref="G196">IF($B196&gt;0,INDEX(DB,$B196,17),0)</f>
        <v>0</v>
      </c>
      <c r="H196" s="310">
        <f t="array" ref="H196">IF($B196&gt;0,INDEX(DB,$B196,15),0)</f>
        <v>0</v>
      </c>
      <c r="I196" s="309">
        <f t="array" ref="I196">IF($B196&gt;0,INDEX(DB,$B196,19),0)</f>
        <v>0</v>
      </c>
      <c r="J196" s="310">
        <f t="array" ref="J196">IF($B196&gt;0,INDEX(DB,$B196,14),0)</f>
        <v>0</v>
      </c>
      <c r="K196" s="309">
        <f t="array" ref="K196">IF($B196&gt;0,INDEX(DB,$B196,18),0)</f>
        <v>0</v>
      </c>
      <c r="L196" s="308">
        <f t="array" ref="L196">IF($B196&gt;0,INDEX(DB,$B196,16),0)</f>
        <v>0</v>
      </c>
      <c r="M196" s="309">
        <f t="array" ref="M196">IF($B196&gt;0,INDEX(DB,$B196,20),0)</f>
        <v>0</v>
      </c>
      <c r="N196" s="25"/>
      <c r="O196" s="311">
        <f t="shared" si="1"/>
        <v>0</v>
      </c>
      <c r="P196" s="31"/>
      <c r="Q196" s="261" t="str">
        <f t="shared" si="2"/>
        <v>#REF!</v>
      </c>
      <c r="R196" s="312" t="str">
        <f>IF($AI196&gt;0,RANK($AI196,BoysPoints),0)</f>
        <v>#REF!</v>
      </c>
      <c r="S196" s="313" t="str">
        <f>IF($AJ196&gt;0,RANK($AJ196,GirlsPoints),0)</f>
        <v>#REF!</v>
      </c>
      <c r="T196" s="314">
        <f>IF($O196&gt;0,RANK(O196,AthletePoints),0)</f>
        <v>0</v>
      </c>
      <c r="U196" s="210"/>
      <c r="V196" s="444" t="str">
        <f>IF(O196&gt;=40,IF(X196="M",VLOOKUP(O196,UKABoysAwards,2),IF(X196="F",VLOOKUP(O196,UKAGirlsAwards,2),"")),"")</f>
        <v/>
      </c>
      <c r="W196" s="210"/>
      <c r="X196" s="266" t="str">
        <f t="array" ref="X196:X197">INDEX(DB,$B196,4)</f>
        <v>#REF!</v>
      </c>
      <c r="Y196" s="210"/>
      <c r="Z196" s="316" t="str">
        <f t="shared" si="3"/>
        <v>#REF!</v>
      </c>
      <c r="AA196" s="243" t="str">
        <f>IF($Z196&gt;=1,RANK($Z196,$Z181:$Z196),0)</f>
        <v>#REF!</v>
      </c>
      <c r="AB196" s="245" t="str">
        <f>IF(AA196&lt;=MaxS,INT(Z196),0)</f>
        <v>#REF!</v>
      </c>
      <c r="AC196" s="210" t="str">
        <f>SUM(AB181:AB196)</f>
        <v>#REF!</v>
      </c>
      <c r="AD196" s="316" t="str">
        <f t="shared" si="4"/>
        <v>#REF!</v>
      </c>
      <c r="AE196" s="243" t="str">
        <f>IF($AD196&gt;=1,RANK($AD196,$AD181:$AD196),0)</f>
        <v>#REF!</v>
      </c>
      <c r="AF196" s="245" t="str">
        <f>IF(AE196&lt;=MaxS,INT(AD196),0)</f>
        <v>#REF!</v>
      </c>
      <c r="AG196" s="210" t="str">
        <f>SUM(AF181:AF196)</f>
        <v>#REF!</v>
      </c>
      <c r="AH196" s="210"/>
      <c r="AI196" s="246" t="str">
        <f t="shared" si="5"/>
        <v>#REF!</v>
      </c>
      <c r="AJ196" s="247" t="str">
        <f t="shared" si="6"/>
        <v>#REF!</v>
      </c>
    </row>
    <row r="197" ht="15.0" customHeight="1">
      <c r="A197" s="248"/>
      <c r="B197" s="250">
        <f>IF(OR(ISNA(MATCH(C197&amp;"",AthleteNumbers,0)),ISBLANK(C197)),0,MATCH(C197&amp;"",AthleteNumbers,0))</f>
        <v>0</v>
      </c>
      <c r="C197" s="251"/>
      <c r="D197" s="252" t="str">
        <f t="array" ref="D197">IF($B197&gt;0,INDEX(DB,$B197,8),"")</f>
        <v/>
      </c>
      <c r="E197" s="253" t="str">
        <f t="array" ref="E197">IF($B197&gt;0,INDEX(DB,$B197,3),"")</f>
        <v/>
      </c>
      <c r="F197" s="254">
        <f t="array" ref="F197">IF($B197&gt;0,INDEX(DB,$B197,13),0)</f>
        <v>0</v>
      </c>
      <c r="G197" s="255">
        <f t="array" ref="G197">IF($B197&gt;0,INDEX(DB,$B197,17),0)</f>
        <v>0</v>
      </c>
      <c r="H197" s="257">
        <f t="array" ref="H197">IF($B197&gt;0,INDEX(DB,$B197,15),0)</f>
        <v>0</v>
      </c>
      <c r="I197" s="255">
        <f t="array" ref="I197">IF($B197&gt;0,INDEX(DB,$B197,19),0)</f>
        <v>0</v>
      </c>
      <c r="J197" s="257">
        <f t="array" ref="J197">IF($B197&gt;0,INDEX(DB,$B197,14),0)</f>
        <v>0</v>
      </c>
      <c r="K197" s="255">
        <f t="array" ref="K197">IF($B197&gt;0,INDEX(DB,$B197,18),0)</f>
        <v>0</v>
      </c>
      <c r="L197" s="254">
        <f t="array" ref="L197">IF($B197&gt;0,INDEX(DB,$B197,16),0)</f>
        <v>0</v>
      </c>
      <c r="M197" s="255">
        <f t="array" ref="M197">IF($B197&gt;0,INDEX(DB,$B197,20),0)</f>
        <v>0</v>
      </c>
      <c r="N197" s="258" t="str">
        <f t="array" ref="N197:N213">INDEX(RelayPoints,A212)</f>
        <v>#REF!</v>
      </c>
      <c r="O197" s="259">
        <f t="shared" si="1"/>
        <v>0</v>
      </c>
      <c r="P197" s="260" t="str">
        <f>+AC212+AG212+N197</f>
        <v>#REF!</v>
      </c>
      <c r="Q197" s="261" t="str">
        <f t="shared" si="2"/>
        <v>#REF!</v>
      </c>
      <c r="R197" s="262" t="str">
        <f>IF($AI197&gt;0,RANK($AI197,BoysPoints),0)</f>
        <v>#REF!</v>
      </c>
      <c r="S197" s="263" t="str">
        <f>IF($AJ197&gt;0,RANK($AJ197,GirlsPoints),0)</f>
        <v>#REF!</v>
      </c>
      <c r="T197" s="264">
        <f>IF($O197&gt;0,RANK(O197,AthletePoints),0)</f>
        <v>0</v>
      </c>
      <c r="U197" s="210"/>
      <c r="V197" s="317" t="str">
        <f>IF(O197&gt;=40,IF(X197="M",VLOOKUP(O197,UKABoysAwards,2),IF(X197="F",VLOOKUP(O197,UKAGirlsAwards,2),"")),"")</f>
        <v/>
      </c>
      <c r="W197" s="210"/>
      <c r="X197" s="266" t="str">
        <f t="array" ref="X197:X198">INDEX(DB,$B197,4)</f>
        <v>#REF!</v>
      </c>
      <c r="Y197" s="210"/>
      <c r="Z197" s="267" t="str">
        <f t="shared" si="3"/>
        <v>#REF!</v>
      </c>
      <c r="AA197" s="268" t="str">
        <f>IF($Z197&gt;=1,RANK($Z197,$Z197:$Z212),0)</f>
        <v>#REF!</v>
      </c>
      <c r="AB197" s="269" t="str">
        <f>IF(AA197&lt;=MaxS,INT(Z197),0)</f>
        <v>#REF!</v>
      </c>
      <c r="AC197" s="210"/>
      <c r="AD197" s="267" t="str">
        <f t="shared" si="4"/>
        <v>#REF!</v>
      </c>
      <c r="AE197" s="268" t="str">
        <f>IF($AD197&gt;=1,RANK($AD197,$AD197:$AD212),0)</f>
        <v>#REF!</v>
      </c>
      <c r="AF197" s="269" t="str">
        <f>IF(AE197&lt;=MaxS,INT(AD197),0)</f>
        <v>#REF!</v>
      </c>
      <c r="AG197" s="210"/>
      <c r="AH197" s="210"/>
      <c r="AI197" s="288" t="str">
        <f t="shared" si="5"/>
        <v>#REF!</v>
      </c>
      <c r="AJ197" s="289" t="str">
        <f t="shared" si="6"/>
        <v>#REF!</v>
      </c>
    </row>
    <row r="198" ht="15.0" customHeight="1">
      <c r="A198" s="272"/>
      <c r="B198" s="250">
        <f>IF(OR(ISNA(MATCH(C198&amp;"",AthleteNumbers,0)),ISBLANK(C198)),0,MATCH(C198&amp;"",AthleteNumbers,0))</f>
        <v>0</v>
      </c>
      <c r="C198" s="413"/>
      <c r="D198" s="273" t="str">
        <f t="array" ref="D198">IF($B198&gt;0,INDEX(DB,$B198,8),"")</f>
        <v/>
      </c>
      <c r="E198" s="274" t="str">
        <f t="array" ref="E198">IF($B198&gt;0,INDEX(DB,$B198,3),"")</f>
        <v/>
      </c>
      <c r="F198" s="275">
        <f t="array" ref="F198">IF($B198&gt;0,INDEX(DB,$B198,13),0)</f>
        <v>0</v>
      </c>
      <c r="G198" s="276">
        <f t="array" ref="G198">IF($B198&gt;0,INDEX(DB,$B198,17),0)</f>
        <v>0</v>
      </c>
      <c r="H198" s="277">
        <f t="array" ref="H198">IF($B198&gt;0,INDEX(DB,$B198,15),0)</f>
        <v>0</v>
      </c>
      <c r="I198" s="276">
        <f t="array" ref="I198">IF($B198&gt;0,INDEX(DB,$B198,19),0)</f>
        <v>0</v>
      </c>
      <c r="J198" s="277">
        <f t="array" ref="J198">IF($B198&gt;0,INDEX(DB,$B198,14),0)</f>
        <v>0</v>
      </c>
      <c r="K198" s="276">
        <f t="array" ref="K198">IF($B198&gt;0,INDEX(DB,$B198,18),0)</f>
        <v>0</v>
      </c>
      <c r="L198" s="275">
        <f t="array" ref="L198">IF($B198&gt;0,INDEX(DB,$B198,16),0)</f>
        <v>0</v>
      </c>
      <c r="M198" s="276">
        <f t="array" ref="M198">IF($B198&gt;0,INDEX(DB,$B198,20),0)</f>
        <v>0</v>
      </c>
      <c r="N198" s="278"/>
      <c r="O198" s="279">
        <f t="shared" si="1"/>
        <v>0</v>
      </c>
      <c r="P198" s="280"/>
      <c r="Q198" s="261" t="str">
        <f t="shared" si="2"/>
        <v>#REF!</v>
      </c>
      <c r="R198" s="281" t="str">
        <f>IF($AI198&gt;0,RANK($AI198,BoysPoints),0)</f>
        <v>#REF!</v>
      </c>
      <c r="S198" s="282" t="str">
        <f>IF($AJ198&gt;0,RANK($AJ198,GirlsPoints),0)</f>
        <v>#REF!</v>
      </c>
      <c r="T198" s="283">
        <f>IF($O198&gt;0,RANK(O198,AthletePoints),0)</f>
        <v>0</v>
      </c>
      <c r="U198" s="210"/>
      <c r="V198" s="415" t="str">
        <f>IF(O198&gt;=40,IF(X198="M",VLOOKUP(O198,UKABoysAwards,2),IF(X198="F",VLOOKUP(O198,UKAGirlsAwards,2),"")),"")</f>
        <v/>
      </c>
      <c r="W198" s="210"/>
      <c r="X198" s="266" t="str">
        <f t="array" ref="X198:X199">INDEX(DB,$B198,4)</f>
        <v>#REF!</v>
      </c>
      <c r="Y198" s="210"/>
      <c r="Z198" s="285" t="str">
        <f t="shared" si="3"/>
        <v>#REF!</v>
      </c>
      <c r="AA198" s="286" t="str">
        <f>IF($Z198&gt;=1,RANK($Z198,$Z197:$Z212),0)</f>
        <v>#REF!</v>
      </c>
      <c r="AB198" s="287" t="str">
        <f>IF(AA198&lt;=MaxS,INT(Z198),0)</f>
        <v>#REF!</v>
      </c>
      <c r="AC198" s="210"/>
      <c r="AD198" s="285" t="str">
        <f t="shared" si="4"/>
        <v>#REF!</v>
      </c>
      <c r="AE198" s="286" t="str">
        <f>IF($AD198&gt;=1,RANK($AD198,$AD197:$AD212),0)</f>
        <v>#REF!</v>
      </c>
      <c r="AF198" s="287" t="str">
        <f>IF(AE198&lt;=MaxS,INT(AD198),0)</f>
        <v>#REF!</v>
      </c>
      <c r="AG198" s="210"/>
      <c r="AH198" s="210"/>
      <c r="AI198" s="288" t="str">
        <f t="shared" si="5"/>
        <v>#REF!</v>
      </c>
      <c r="AJ198" s="289" t="str">
        <f t="shared" si="6"/>
        <v>#REF!</v>
      </c>
    </row>
    <row r="199" ht="15.0" customHeight="1">
      <c r="A199" s="272"/>
      <c r="B199" s="250">
        <f>IF(OR(ISNA(MATCH(C199&amp;"",AthleteNumbers,0)),ISBLANK(C199)),0,MATCH(C199&amp;"",AthleteNumbers,0))</f>
        <v>0</v>
      </c>
      <c r="C199" s="413"/>
      <c r="D199" s="273" t="str">
        <f t="array" ref="D199">IF($B199&gt;0,INDEX(DB,$B199,8),"")</f>
        <v/>
      </c>
      <c r="E199" s="274" t="str">
        <f t="array" ref="E199">IF($B199&gt;0,INDEX(DB,$B199,3),"")</f>
        <v/>
      </c>
      <c r="F199" s="275">
        <f t="array" ref="F199">IF($B199&gt;0,INDEX(DB,$B199,13),0)</f>
        <v>0</v>
      </c>
      <c r="G199" s="276">
        <f t="array" ref="G199">IF($B199&gt;0,INDEX(DB,$B199,17),0)</f>
        <v>0</v>
      </c>
      <c r="H199" s="277">
        <f t="array" ref="H199">IF($B199&gt;0,INDEX(DB,$B199,15),0)</f>
        <v>0</v>
      </c>
      <c r="I199" s="276">
        <f t="array" ref="I199">IF($B199&gt;0,INDEX(DB,$B199,19),0)</f>
        <v>0</v>
      </c>
      <c r="J199" s="277">
        <f t="array" ref="J199">IF($B199&gt;0,INDEX(DB,$B199,14),0)</f>
        <v>0</v>
      </c>
      <c r="K199" s="276">
        <f t="array" ref="K199">IF($B199&gt;0,INDEX(DB,$B199,18),0)</f>
        <v>0</v>
      </c>
      <c r="L199" s="275">
        <f t="array" ref="L199">IF($B199&gt;0,INDEX(DB,$B199,16),0)</f>
        <v>0</v>
      </c>
      <c r="M199" s="276">
        <f t="array" ref="M199">IF($B199&gt;0,INDEX(DB,$B199,20),0)</f>
        <v>0</v>
      </c>
      <c r="N199" s="278"/>
      <c r="O199" s="279">
        <f t="shared" si="1"/>
        <v>0</v>
      </c>
      <c r="P199" s="280"/>
      <c r="Q199" s="261" t="str">
        <f t="shared" si="2"/>
        <v>#REF!</v>
      </c>
      <c r="R199" s="290" t="str">
        <f>IF($AI199&gt;0,RANK($AI199,BoysPoints),0)</f>
        <v>#REF!</v>
      </c>
      <c r="S199" s="291" t="str">
        <f>IF($AJ199&gt;0,RANK($AJ199,GirlsPoints),0)</f>
        <v>#REF!</v>
      </c>
      <c r="T199" s="292">
        <f>IF($O199&gt;0,RANK(O199,AthletePoints),0)</f>
        <v>0</v>
      </c>
      <c r="U199" s="210"/>
      <c r="V199" s="330" t="str">
        <f>IF(O199&gt;=40,IF(X199="M",VLOOKUP(O199,UKABoysAwards,2),IF(X199="F",VLOOKUP(O199,UKAGirlsAwards,2),"")),"")</f>
        <v/>
      </c>
      <c r="W199" s="210"/>
      <c r="X199" s="266" t="str">
        <f t="array" ref="X199:X200">INDEX(DB,$B199,4)</f>
        <v>#REF!</v>
      </c>
      <c r="Y199" s="210"/>
      <c r="Z199" s="285" t="str">
        <f t="shared" si="3"/>
        <v>#REF!</v>
      </c>
      <c r="AA199" s="286" t="str">
        <f>IF($Z199&gt;=1,RANK($Z199,$Z197:$Z212),0)</f>
        <v>#REF!</v>
      </c>
      <c r="AB199" s="287" t="str">
        <f>IF(AA199&lt;=MaxS,INT(Z199),0)</f>
        <v>#REF!</v>
      </c>
      <c r="AC199" s="210"/>
      <c r="AD199" s="285" t="str">
        <f t="shared" si="4"/>
        <v>#REF!</v>
      </c>
      <c r="AE199" s="286" t="str">
        <f>IF($AD199&gt;=1,RANK($AD199,$AD197:$AD212),0)</f>
        <v>#REF!</v>
      </c>
      <c r="AF199" s="287" t="str">
        <f>IF(AE199&lt;=MaxS,INT(AD199),0)</f>
        <v>#REF!</v>
      </c>
      <c r="AG199" s="210"/>
      <c r="AH199" s="210"/>
      <c r="AI199" s="288" t="str">
        <f t="shared" si="5"/>
        <v>#REF!</v>
      </c>
      <c r="AJ199" s="289" t="str">
        <f t="shared" si="6"/>
        <v>#REF!</v>
      </c>
    </row>
    <row r="200" ht="15.0" customHeight="1">
      <c r="A200" s="272"/>
      <c r="B200" s="250">
        <f>IF(OR(ISNA(MATCH(C200&amp;"",AthleteNumbers,0)),ISBLANK(C200)),0,MATCH(C200&amp;"",AthleteNumbers,0))</f>
        <v>0</v>
      </c>
      <c r="C200" s="413"/>
      <c r="D200" s="273" t="str">
        <f t="array" ref="D200">IF($B200&gt;0,INDEX(DB,$B200,8),"")</f>
        <v/>
      </c>
      <c r="E200" s="274" t="str">
        <f t="array" ref="E200">IF($B200&gt;0,INDEX(DB,$B200,3),"")</f>
        <v/>
      </c>
      <c r="F200" s="275">
        <f t="array" ref="F200">IF($B200&gt;0,INDEX(DB,$B200,13),0)</f>
        <v>0</v>
      </c>
      <c r="G200" s="276">
        <f t="array" ref="G200">IF($B200&gt;0,INDEX(DB,$B200,17),0)</f>
        <v>0</v>
      </c>
      <c r="H200" s="277">
        <f t="array" ref="H200">IF($B200&gt;0,INDEX(DB,$B200,15),0)</f>
        <v>0</v>
      </c>
      <c r="I200" s="276">
        <f t="array" ref="I200">IF($B200&gt;0,INDEX(DB,$B200,19),0)</f>
        <v>0</v>
      </c>
      <c r="J200" s="277">
        <f t="array" ref="J200">IF($B200&gt;0,INDEX(DB,$B200,14),0)</f>
        <v>0</v>
      </c>
      <c r="K200" s="276">
        <f t="array" ref="K200">IF($B200&gt;0,INDEX(DB,$B200,18),0)</f>
        <v>0</v>
      </c>
      <c r="L200" s="275">
        <f t="array" ref="L200">IF($B200&gt;0,INDEX(DB,$B200,16),0)</f>
        <v>0</v>
      </c>
      <c r="M200" s="276">
        <f t="array" ref="M200">IF($B200&gt;0,INDEX(DB,$B200,20),0)</f>
        <v>0</v>
      </c>
      <c r="N200" s="278"/>
      <c r="O200" s="279">
        <f t="shared" si="1"/>
        <v>0</v>
      </c>
      <c r="P200" s="280"/>
      <c r="Q200" s="261" t="str">
        <f t="shared" si="2"/>
        <v>#REF!</v>
      </c>
      <c r="R200" s="281" t="str">
        <f>IF($AI200&gt;0,RANK($AI200,BoysPoints),0)</f>
        <v>#REF!</v>
      </c>
      <c r="S200" s="282" t="str">
        <f>IF($AJ200&gt;0,RANK($AJ200,GirlsPoints),0)</f>
        <v>#REF!</v>
      </c>
      <c r="T200" s="283">
        <f>IF($O200&gt;0,RANK(O200,AthletePoints),0)</f>
        <v>0</v>
      </c>
      <c r="U200" s="210"/>
      <c r="V200" s="415" t="str">
        <f>IF(O200&gt;=40,IF(X200="M",VLOOKUP(O200,UKABoysAwards,2),IF(X200="F",VLOOKUP(O200,UKAGirlsAwards,2),"")),"")</f>
        <v/>
      </c>
      <c r="W200" s="210"/>
      <c r="X200" s="266" t="str">
        <f t="array" ref="X200:X201">INDEX(DB,$B200,4)</f>
        <v>#REF!</v>
      </c>
      <c r="Y200" s="210"/>
      <c r="Z200" s="285" t="str">
        <f t="shared" si="3"/>
        <v>#REF!</v>
      </c>
      <c r="AA200" s="286" t="str">
        <f>IF($Z200&gt;=1,RANK($Z200,$Z197:$Z212),0)</f>
        <v>#REF!</v>
      </c>
      <c r="AB200" s="287" t="str">
        <f>IF(AA200&lt;=MaxS,INT(Z200),0)</f>
        <v>#REF!</v>
      </c>
      <c r="AC200" s="210"/>
      <c r="AD200" s="285" t="str">
        <f t="shared" si="4"/>
        <v>#REF!</v>
      </c>
      <c r="AE200" s="286" t="str">
        <f>IF($AD200&gt;=1,RANK($AD200,$AD197:$AD212),0)</f>
        <v>#REF!</v>
      </c>
      <c r="AF200" s="287" t="str">
        <f>IF(AE200&lt;=MaxS,INT(AD200),0)</f>
        <v>#REF!</v>
      </c>
      <c r="AG200" s="210"/>
      <c r="AH200" s="210"/>
      <c r="AI200" s="288" t="str">
        <f t="shared" si="5"/>
        <v>#REF!</v>
      </c>
      <c r="AJ200" s="289" t="str">
        <f t="shared" si="6"/>
        <v>#REF!</v>
      </c>
    </row>
    <row r="201" ht="15.0" customHeight="1">
      <c r="A201" s="272"/>
      <c r="B201" s="250">
        <f>IF(OR(ISNA(MATCH(C201&amp;"",AthleteNumbers,0)),ISBLANK(C201)),0,MATCH(C201&amp;"",AthleteNumbers,0))</f>
        <v>0</v>
      </c>
      <c r="C201" s="413"/>
      <c r="D201" s="273" t="str">
        <f t="array" ref="D201">IF($B201&gt;0,INDEX(DB,$B201,8),"")</f>
        <v/>
      </c>
      <c r="E201" s="274" t="str">
        <f t="array" ref="E201">IF($B201&gt;0,INDEX(DB,$B201,3),"")</f>
        <v/>
      </c>
      <c r="F201" s="275">
        <f t="array" ref="F201">IF($B201&gt;0,INDEX(DB,$B201,13),0)</f>
        <v>0</v>
      </c>
      <c r="G201" s="276">
        <f t="array" ref="G201">IF($B201&gt;0,INDEX(DB,$B201,17),0)</f>
        <v>0</v>
      </c>
      <c r="H201" s="277">
        <f t="array" ref="H201">IF($B201&gt;0,INDEX(DB,$B201,15),0)</f>
        <v>0</v>
      </c>
      <c r="I201" s="276">
        <f t="array" ref="I201">IF($B201&gt;0,INDEX(DB,$B201,19),0)</f>
        <v>0</v>
      </c>
      <c r="J201" s="277">
        <f t="array" ref="J201">IF($B201&gt;0,INDEX(DB,$B201,14),0)</f>
        <v>0</v>
      </c>
      <c r="K201" s="276">
        <f t="array" ref="K201">IF($B201&gt;0,INDEX(DB,$B201,18),0)</f>
        <v>0</v>
      </c>
      <c r="L201" s="275">
        <f t="array" ref="L201">IF($B201&gt;0,INDEX(DB,$B201,16),0)</f>
        <v>0</v>
      </c>
      <c r="M201" s="276">
        <f t="array" ref="M201">IF($B201&gt;0,INDEX(DB,$B201,20),0)</f>
        <v>0</v>
      </c>
      <c r="N201" s="278"/>
      <c r="O201" s="279">
        <f t="shared" si="1"/>
        <v>0</v>
      </c>
      <c r="P201" s="280"/>
      <c r="Q201" s="261" t="str">
        <f t="shared" si="2"/>
        <v>#REF!</v>
      </c>
      <c r="R201" s="290" t="str">
        <f>IF($AI201&gt;0,RANK($AI201,BoysPoints),0)</f>
        <v>#REF!</v>
      </c>
      <c r="S201" s="291" t="str">
        <f>IF($AJ201&gt;0,RANK($AJ201,GirlsPoints),0)</f>
        <v>#REF!</v>
      </c>
      <c r="T201" s="292">
        <f>IF($O201&gt;0,RANK(O201,AthletePoints),0)</f>
        <v>0</v>
      </c>
      <c r="U201" s="210"/>
      <c r="V201" s="330" t="str">
        <f>IF(O201&gt;=40,IF(X201="M",VLOOKUP(O201,UKABoysAwards,2),IF(X201="F",VLOOKUP(O201,UKAGirlsAwards,2),"")),"")</f>
        <v/>
      </c>
      <c r="W201" s="210"/>
      <c r="X201" s="266" t="str">
        <f t="array" ref="X201:X202">INDEX(DB,$B201,4)</f>
        <v>#REF!</v>
      </c>
      <c r="Y201" s="210"/>
      <c r="Z201" s="285" t="str">
        <f t="shared" si="3"/>
        <v>#REF!</v>
      </c>
      <c r="AA201" s="286" t="str">
        <f>IF($Z201&gt;=1,RANK($Z201,$Z197:$Z212),0)</f>
        <v>#REF!</v>
      </c>
      <c r="AB201" s="287" t="str">
        <f>IF(AA201&lt;=MaxS,INT(Z201),0)</f>
        <v>#REF!</v>
      </c>
      <c r="AC201" s="210"/>
      <c r="AD201" s="285" t="str">
        <f t="shared" si="4"/>
        <v>#REF!</v>
      </c>
      <c r="AE201" s="286" t="str">
        <f>IF($AD201&gt;=1,RANK($AD201,$AD197:$AD212),0)</f>
        <v>#REF!</v>
      </c>
      <c r="AF201" s="287" t="str">
        <f>IF(AE201&lt;=MaxS,INT(AD201),0)</f>
        <v>#REF!</v>
      </c>
      <c r="AG201" s="210"/>
      <c r="AH201" s="210"/>
      <c r="AI201" s="288" t="str">
        <f t="shared" si="5"/>
        <v>#REF!</v>
      </c>
      <c r="AJ201" s="289" t="str">
        <f t="shared" si="6"/>
        <v>#REF!</v>
      </c>
    </row>
    <row r="202" ht="15.0" customHeight="1">
      <c r="A202" s="272"/>
      <c r="B202" s="250">
        <f>IF(OR(ISNA(MATCH(C202&amp;"",AthleteNumbers,0)),ISBLANK(C202)),0,MATCH(C202&amp;"",AthleteNumbers,0))</f>
        <v>0</v>
      </c>
      <c r="C202" s="413"/>
      <c r="D202" s="273" t="str">
        <f t="array" ref="D202">IF($B202&gt;0,INDEX(DB,$B202,8),"")</f>
        <v/>
      </c>
      <c r="E202" s="274" t="str">
        <f t="array" ref="E202">IF($B202&gt;0,INDEX(DB,$B202,3),"")</f>
        <v/>
      </c>
      <c r="F202" s="275">
        <f t="array" ref="F202">IF($B202&gt;0,INDEX(DB,$B202,13),0)</f>
        <v>0</v>
      </c>
      <c r="G202" s="276">
        <f t="array" ref="G202">IF($B202&gt;0,INDEX(DB,$B202,17),0)</f>
        <v>0</v>
      </c>
      <c r="H202" s="277">
        <f t="array" ref="H202">IF($B202&gt;0,INDEX(DB,$B202,15),0)</f>
        <v>0</v>
      </c>
      <c r="I202" s="276">
        <f t="array" ref="I202">IF($B202&gt;0,INDEX(DB,$B202,19),0)</f>
        <v>0</v>
      </c>
      <c r="J202" s="277">
        <f t="array" ref="J202">IF($B202&gt;0,INDEX(DB,$B202,14),0)</f>
        <v>0</v>
      </c>
      <c r="K202" s="276">
        <f t="array" ref="K202">IF($B202&gt;0,INDEX(DB,$B202,18),0)</f>
        <v>0</v>
      </c>
      <c r="L202" s="275">
        <f t="array" ref="L202">IF($B202&gt;0,INDEX(DB,$B202,16),0)</f>
        <v>0</v>
      </c>
      <c r="M202" s="276">
        <f t="array" ref="M202">IF($B202&gt;0,INDEX(DB,$B202,20),0)</f>
        <v>0</v>
      </c>
      <c r="N202" s="278"/>
      <c r="O202" s="279">
        <f t="shared" si="1"/>
        <v>0</v>
      </c>
      <c r="P202" s="280"/>
      <c r="Q202" s="261" t="str">
        <f t="shared" si="2"/>
        <v>#REF!</v>
      </c>
      <c r="R202" s="281" t="str">
        <f>IF($AI202&gt;0,RANK($AI202,BoysPoints),0)</f>
        <v>#REF!</v>
      </c>
      <c r="S202" s="282" t="str">
        <f>IF($AJ202&gt;0,RANK($AJ202,GirlsPoints),0)</f>
        <v>#REF!</v>
      </c>
      <c r="T202" s="283">
        <f>IF($O202&gt;0,RANK(O202,AthletePoints),0)</f>
        <v>0</v>
      </c>
      <c r="U202" s="210"/>
      <c r="V202" s="415" t="str">
        <f>IF(O202&gt;=40,IF(X202="M",VLOOKUP(O202,UKABoysAwards,2),IF(X202="F",VLOOKUP(O202,UKAGirlsAwards,2),"")),"")</f>
        <v/>
      </c>
      <c r="W202" s="210"/>
      <c r="X202" s="266" t="str">
        <f t="array" ref="X202:X203">INDEX(DB,$B202,4)</f>
        <v>#REF!</v>
      </c>
      <c r="Y202" s="210"/>
      <c r="Z202" s="285" t="str">
        <f t="shared" si="3"/>
        <v>#REF!</v>
      </c>
      <c r="AA202" s="286" t="str">
        <f>IF($Z202&gt;=1,RANK($Z202,$Z197:$Z212),0)</f>
        <v>#REF!</v>
      </c>
      <c r="AB202" s="287" t="str">
        <f>IF(AA202&lt;=MaxS,INT(Z202),0)</f>
        <v>#REF!</v>
      </c>
      <c r="AC202" s="210"/>
      <c r="AD202" s="285" t="str">
        <f t="shared" si="4"/>
        <v>#REF!</v>
      </c>
      <c r="AE202" s="286" t="str">
        <f>IF($AD202&gt;=1,RANK($AD202,$AD197:$AD212),0)</f>
        <v>#REF!</v>
      </c>
      <c r="AF202" s="287" t="str">
        <f>IF(AE202&lt;=MaxS,INT(AD202),0)</f>
        <v>#REF!</v>
      </c>
      <c r="AG202" s="210"/>
      <c r="AH202" s="210"/>
      <c r="AI202" s="288" t="str">
        <f t="shared" si="5"/>
        <v>#REF!</v>
      </c>
      <c r="AJ202" s="289" t="str">
        <f t="shared" si="6"/>
        <v>#REF!</v>
      </c>
    </row>
    <row r="203" ht="15.0" customHeight="1">
      <c r="A203" s="272"/>
      <c r="B203" s="250">
        <f>IF(OR(ISNA(MATCH(C203&amp;"",AthleteNumbers,0)),ISBLANK(C203)),0,MATCH(C203&amp;"",AthleteNumbers,0))</f>
        <v>0</v>
      </c>
      <c r="C203" s="413"/>
      <c r="D203" s="273" t="str">
        <f t="array" ref="D203">IF($B203&gt;0,INDEX(DB,$B203,8),"")</f>
        <v/>
      </c>
      <c r="E203" s="274" t="str">
        <f t="array" ref="E203">IF($B203&gt;0,INDEX(DB,$B203,3),"")</f>
        <v/>
      </c>
      <c r="F203" s="275">
        <f t="array" ref="F203">IF($B203&gt;0,INDEX(DB,$B203,13),0)</f>
        <v>0</v>
      </c>
      <c r="G203" s="276">
        <f t="array" ref="G203">IF($B203&gt;0,INDEX(DB,$B203,17),0)</f>
        <v>0</v>
      </c>
      <c r="H203" s="277">
        <f t="array" ref="H203">IF($B203&gt;0,INDEX(DB,$B203,15),0)</f>
        <v>0</v>
      </c>
      <c r="I203" s="276">
        <f t="array" ref="I203">IF($B203&gt;0,INDEX(DB,$B203,19),0)</f>
        <v>0</v>
      </c>
      <c r="J203" s="277">
        <f t="array" ref="J203">IF($B203&gt;0,INDEX(DB,$B203,14),0)</f>
        <v>0</v>
      </c>
      <c r="K203" s="276">
        <f t="array" ref="K203">IF($B203&gt;0,INDEX(DB,$B203,18),0)</f>
        <v>0</v>
      </c>
      <c r="L203" s="275">
        <f t="array" ref="L203">IF($B203&gt;0,INDEX(DB,$B203,16),0)</f>
        <v>0</v>
      </c>
      <c r="M203" s="276">
        <f t="array" ref="M203">IF($B203&gt;0,INDEX(DB,$B203,20),0)</f>
        <v>0</v>
      </c>
      <c r="N203" s="278"/>
      <c r="O203" s="279">
        <f t="shared" si="1"/>
        <v>0</v>
      </c>
      <c r="P203" s="280"/>
      <c r="Q203" s="261" t="str">
        <f t="shared" si="2"/>
        <v>#REF!</v>
      </c>
      <c r="R203" s="290" t="str">
        <f>IF($AI203&gt;0,RANK($AI203,BoysPoints),0)</f>
        <v>#REF!</v>
      </c>
      <c r="S203" s="291" t="str">
        <f>IF($AJ203&gt;0,RANK($AJ203,GirlsPoints),0)</f>
        <v>#REF!</v>
      </c>
      <c r="T203" s="292">
        <f>IF($O203&gt;0,RANK(O203,AthletePoints),0)</f>
        <v>0</v>
      </c>
      <c r="U203" s="210"/>
      <c r="V203" s="330" t="str">
        <f>IF(O203&gt;=40,IF(X203="M",VLOOKUP(O203,UKABoysAwards,2),IF(X203="F",VLOOKUP(O203,UKAGirlsAwards,2),"")),"")</f>
        <v/>
      </c>
      <c r="W203" s="210"/>
      <c r="X203" s="266" t="str">
        <f t="array" ref="X203:X204">INDEX(DB,$B203,4)</f>
        <v>#REF!</v>
      </c>
      <c r="Y203" s="210"/>
      <c r="Z203" s="285" t="str">
        <f t="shared" si="3"/>
        <v>#REF!</v>
      </c>
      <c r="AA203" s="286" t="str">
        <f>IF($Z203&gt;=1,RANK($Z203,$Z197:$Z212),0)</f>
        <v>#REF!</v>
      </c>
      <c r="AB203" s="287" t="str">
        <f>IF(AA203&lt;=MaxS,INT(Z203),0)</f>
        <v>#REF!</v>
      </c>
      <c r="AC203" s="210"/>
      <c r="AD203" s="285" t="str">
        <f t="shared" si="4"/>
        <v>#REF!</v>
      </c>
      <c r="AE203" s="286" t="str">
        <f>IF($AD203&gt;=1,RANK($AD203,$AD197:$AD212),0)</f>
        <v>#REF!</v>
      </c>
      <c r="AF203" s="287" t="str">
        <f>IF(AE203&lt;=MaxS,INT(AD203),0)</f>
        <v>#REF!</v>
      </c>
      <c r="AG203" s="210"/>
      <c r="AH203" s="210"/>
      <c r="AI203" s="288" t="str">
        <f t="shared" si="5"/>
        <v>#REF!</v>
      </c>
      <c r="AJ203" s="289" t="str">
        <f t="shared" si="6"/>
        <v>#REF!</v>
      </c>
    </row>
    <row r="204" ht="15.0" customHeight="1">
      <c r="A204" s="272"/>
      <c r="B204" s="250">
        <f>IF(OR(ISNA(MATCH(C204&amp;"",AthleteNumbers,0)),ISBLANK(C204)),0,MATCH(C204&amp;"",AthleteNumbers,0))</f>
        <v>0</v>
      </c>
      <c r="C204" s="413"/>
      <c r="D204" s="273" t="str">
        <f t="array" ref="D204">IF($B204&gt;0,INDEX(DB,$B204,8),"")</f>
        <v/>
      </c>
      <c r="E204" s="274" t="str">
        <f t="array" ref="E204">IF($B204&gt;0,INDEX(DB,$B204,3),"")</f>
        <v/>
      </c>
      <c r="F204" s="275">
        <f t="array" ref="F204">IF($B204&gt;0,INDEX(DB,$B204,13),0)</f>
        <v>0</v>
      </c>
      <c r="G204" s="276">
        <f t="array" ref="G204">IF($B204&gt;0,INDEX(DB,$B204,17),0)</f>
        <v>0</v>
      </c>
      <c r="H204" s="277">
        <f t="array" ref="H204">IF($B204&gt;0,INDEX(DB,$B204,15),0)</f>
        <v>0</v>
      </c>
      <c r="I204" s="276">
        <f t="array" ref="I204">IF($B204&gt;0,INDEX(DB,$B204,19),0)</f>
        <v>0</v>
      </c>
      <c r="J204" s="277">
        <f t="array" ref="J204">IF($B204&gt;0,INDEX(DB,$B204,14),0)</f>
        <v>0</v>
      </c>
      <c r="K204" s="276">
        <f t="array" ref="K204">IF($B204&gt;0,INDEX(DB,$B204,18),0)</f>
        <v>0</v>
      </c>
      <c r="L204" s="275">
        <f t="array" ref="L204">IF($B204&gt;0,INDEX(DB,$B204,16),0)</f>
        <v>0</v>
      </c>
      <c r="M204" s="276">
        <f t="array" ref="M204">IF($B204&gt;0,INDEX(DB,$B204,20),0)</f>
        <v>0</v>
      </c>
      <c r="N204" s="278"/>
      <c r="O204" s="279">
        <f t="shared" si="1"/>
        <v>0</v>
      </c>
      <c r="P204" s="280"/>
      <c r="Q204" s="261" t="str">
        <f t="shared" si="2"/>
        <v>#REF!</v>
      </c>
      <c r="R204" s="281" t="str">
        <f>IF($AI204&gt;0,RANK($AI204,BoysPoints),0)</f>
        <v>#REF!</v>
      </c>
      <c r="S204" s="282" t="str">
        <f>IF($AJ204&gt;0,RANK($AJ204,GirlsPoints),0)</f>
        <v>#REF!</v>
      </c>
      <c r="T204" s="283">
        <f>IF($O204&gt;0,RANK(O204,AthletePoints),0)</f>
        <v>0</v>
      </c>
      <c r="U204" s="210"/>
      <c r="V204" s="415" t="str">
        <f>IF(O204&gt;=40,IF(X204="M",VLOOKUP(O204,UKABoysAwards,2),IF(X204="F",VLOOKUP(O204,UKAGirlsAwards,2),"")),"")</f>
        <v/>
      </c>
      <c r="W204" s="210"/>
      <c r="X204" s="266" t="str">
        <f t="array" ref="X204:X205">INDEX(DB,$B204,4)</f>
        <v>#REF!</v>
      </c>
      <c r="Y204" s="210"/>
      <c r="Z204" s="285" t="str">
        <f t="shared" si="3"/>
        <v>#REF!</v>
      </c>
      <c r="AA204" s="286" t="str">
        <f>IF($Z204&gt;=1,RANK($Z204,$Z197:$Z212),0)</f>
        <v>#REF!</v>
      </c>
      <c r="AB204" s="287" t="str">
        <f>IF(AA204&lt;=MaxS,INT(Z204),0)</f>
        <v>#REF!</v>
      </c>
      <c r="AC204" s="210"/>
      <c r="AD204" s="285" t="str">
        <f t="shared" si="4"/>
        <v>#REF!</v>
      </c>
      <c r="AE204" s="286" t="str">
        <f>IF($AD204&gt;=1,RANK($AD204,$AD197:$AD212),0)</f>
        <v>#REF!</v>
      </c>
      <c r="AF204" s="287" t="str">
        <f>IF(AE204&lt;=MaxS,INT(AD204),0)</f>
        <v>#REF!</v>
      </c>
      <c r="AG204" s="210"/>
      <c r="AH204" s="210"/>
      <c r="AI204" s="288" t="str">
        <f t="shared" si="5"/>
        <v>#REF!</v>
      </c>
      <c r="AJ204" s="289" t="str">
        <f t="shared" si="6"/>
        <v>#REF!</v>
      </c>
    </row>
    <row r="205" ht="15.0" customHeight="1">
      <c r="A205" s="272"/>
      <c r="B205" s="250">
        <f>IF(OR(ISNA(MATCH(C205&amp;"",AthleteNumbers,0)),ISBLANK(C205)),0,MATCH(C205&amp;"",AthleteNumbers,0))</f>
        <v>0</v>
      </c>
      <c r="C205" s="413"/>
      <c r="D205" s="273" t="str">
        <f t="array" ref="D205">IF($B205&gt;0,INDEX(DB,$B205,8),"")</f>
        <v/>
      </c>
      <c r="E205" s="274" t="str">
        <f t="array" ref="E205">IF($B205&gt;0,INDEX(DB,$B205,3),"")</f>
        <v/>
      </c>
      <c r="F205" s="275">
        <f t="array" ref="F205">IF($B205&gt;0,INDEX(DB,$B205,13),0)</f>
        <v>0</v>
      </c>
      <c r="G205" s="276">
        <f t="array" ref="G205">IF($B205&gt;0,INDEX(DB,$B205,17),0)</f>
        <v>0</v>
      </c>
      <c r="H205" s="277">
        <f t="array" ref="H205">IF($B205&gt;0,INDEX(DB,$B205,15),0)</f>
        <v>0</v>
      </c>
      <c r="I205" s="276">
        <f t="array" ref="I205">IF($B205&gt;0,INDEX(DB,$B205,19),0)</f>
        <v>0</v>
      </c>
      <c r="J205" s="277">
        <f t="array" ref="J205">IF($B205&gt;0,INDEX(DB,$B205,14),0)</f>
        <v>0</v>
      </c>
      <c r="K205" s="276">
        <f t="array" ref="K205">IF($B205&gt;0,INDEX(DB,$B205,18),0)</f>
        <v>0</v>
      </c>
      <c r="L205" s="275">
        <f t="array" ref="L205">IF($B205&gt;0,INDEX(DB,$B205,16),0)</f>
        <v>0</v>
      </c>
      <c r="M205" s="276">
        <f t="array" ref="M205">IF($B205&gt;0,INDEX(DB,$B205,20),0)</f>
        <v>0</v>
      </c>
      <c r="N205" s="278"/>
      <c r="O205" s="279">
        <f t="shared" si="1"/>
        <v>0</v>
      </c>
      <c r="P205" s="280"/>
      <c r="Q205" s="261" t="str">
        <f t="shared" si="2"/>
        <v>#REF!</v>
      </c>
      <c r="R205" s="290" t="str">
        <f>IF($AI205&gt;0,RANK($AI205,BoysPoints),0)</f>
        <v>#REF!</v>
      </c>
      <c r="S205" s="291" t="str">
        <f>IF($AJ205&gt;0,RANK($AJ205,GirlsPoints),0)</f>
        <v>#REF!</v>
      </c>
      <c r="T205" s="292">
        <f>IF($O205&gt;0,RANK(O205,AthletePoints),0)</f>
        <v>0</v>
      </c>
      <c r="U205" s="210"/>
      <c r="V205" s="330" t="str">
        <f>IF(O205&gt;=40,IF(X205="M",VLOOKUP(O205,UKABoysAwards,2),IF(X205="F",VLOOKUP(O205,UKAGirlsAwards,2),"")),"")</f>
        <v/>
      </c>
      <c r="W205" s="210"/>
      <c r="X205" s="266" t="str">
        <f t="array" ref="X205:X206">INDEX(DB,$B205,4)</f>
        <v>#REF!</v>
      </c>
      <c r="Y205" s="210"/>
      <c r="Z205" s="285" t="str">
        <f t="shared" si="3"/>
        <v>#REF!</v>
      </c>
      <c r="AA205" s="286" t="str">
        <f>IF($Z205&gt;=1,RANK($Z205,$Z197:$Z212),0)</f>
        <v>#REF!</v>
      </c>
      <c r="AB205" s="287" t="str">
        <f>IF(AA205&lt;=MaxS,INT(Z205),0)</f>
        <v>#REF!</v>
      </c>
      <c r="AC205" s="210"/>
      <c r="AD205" s="285" t="str">
        <f t="shared" si="4"/>
        <v>#REF!</v>
      </c>
      <c r="AE205" s="286" t="str">
        <f>IF($AD205&gt;=1,RANK($AD205,$AD197:$AD212),0)</f>
        <v>#REF!</v>
      </c>
      <c r="AF205" s="287" t="str">
        <f>IF(AE205&lt;=MaxS,INT(AD205),0)</f>
        <v>#REF!</v>
      </c>
      <c r="AG205" s="210"/>
      <c r="AH205" s="210"/>
      <c r="AI205" s="288" t="str">
        <f t="shared" si="5"/>
        <v>#REF!</v>
      </c>
      <c r="AJ205" s="289" t="str">
        <f t="shared" si="6"/>
        <v>#REF!</v>
      </c>
    </row>
    <row r="206" ht="15.0" customHeight="1">
      <c r="A206" s="272"/>
      <c r="B206" s="250">
        <f>IF(OR(ISNA(MATCH(C206&amp;"",AthleteNumbers,0)),ISBLANK(C206)),0,MATCH(C206&amp;"",AthleteNumbers,0))</f>
        <v>0</v>
      </c>
      <c r="C206" s="413"/>
      <c r="D206" s="273" t="str">
        <f t="array" ref="D206">IF($B206&gt;0,INDEX(DB,$B206,8),"")</f>
        <v/>
      </c>
      <c r="E206" s="274" t="str">
        <f t="array" ref="E206">IF($B206&gt;0,INDEX(DB,$B206,3),"")</f>
        <v/>
      </c>
      <c r="F206" s="275">
        <f t="array" ref="F206">IF($B206&gt;0,INDEX(DB,$B206,13),0)</f>
        <v>0</v>
      </c>
      <c r="G206" s="276">
        <f t="array" ref="G206">IF($B206&gt;0,INDEX(DB,$B206,17),0)</f>
        <v>0</v>
      </c>
      <c r="H206" s="277">
        <f t="array" ref="H206">IF($B206&gt;0,INDEX(DB,$B206,15),0)</f>
        <v>0</v>
      </c>
      <c r="I206" s="276">
        <f t="array" ref="I206">IF($B206&gt;0,INDEX(DB,$B206,19),0)</f>
        <v>0</v>
      </c>
      <c r="J206" s="277">
        <f t="array" ref="J206">IF($B206&gt;0,INDEX(DB,$B206,14),0)</f>
        <v>0</v>
      </c>
      <c r="K206" s="276">
        <f t="array" ref="K206">IF($B206&gt;0,INDEX(DB,$B206,18),0)</f>
        <v>0</v>
      </c>
      <c r="L206" s="275">
        <f t="array" ref="L206">IF($B206&gt;0,INDEX(DB,$B206,16),0)</f>
        <v>0</v>
      </c>
      <c r="M206" s="276">
        <f t="array" ref="M206">IF($B206&gt;0,INDEX(DB,$B206,20),0)</f>
        <v>0</v>
      </c>
      <c r="N206" s="278"/>
      <c r="O206" s="279">
        <f t="shared" si="1"/>
        <v>0</v>
      </c>
      <c r="P206" s="280"/>
      <c r="Q206" s="261" t="str">
        <f t="shared" si="2"/>
        <v>#REF!</v>
      </c>
      <c r="R206" s="281" t="str">
        <f>IF($AI206&gt;0,RANK($AI206,BoysPoints),0)</f>
        <v>#REF!</v>
      </c>
      <c r="S206" s="282" t="str">
        <f>IF($AJ206&gt;0,RANK($AJ206,GirlsPoints),0)</f>
        <v>#REF!</v>
      </c>
      <c r="T206" s="283">
        <f>IF($O206&gt;0,RANK(O206,AthletePoints),0)</f>
        <v>0</v>
      </c>
      <c r="U206" s="210"/>
      <c r="V206" s="415" t="str">
        <f>IF(O206&gt;=40,IF(X206="M",VLOOKUP(O206,UKABoysAwards,2),IF(X206="F",VLOOKUP(O206,UKAGirlsAwards,2),"")),"")</f>
        <v/>
      </c>
      <c r="W206" s="210"/>
      <c r="X206" s="266" t="str">
        <f t="array" ref="X206:X207">INDEX(DB,$B206,4)</f>
        <v>#REF!</v>
      </c>
      <c r="Y206" s="210"/>
      <c r="Z206" s="285" t="str">
        <f t="shared" si="3"/>
        <v>#REF!</v>
      </c>
      <c r="AA206" s="286" t="str">
        <f>IF($Z206&gt;=1,RANK($Z206,$Z197:$Z212),0)</f>
        <v>#REF!</v>
      </c>
      <c r="AB206" s="287" t="str">
        <f>IF(AA206&lt;=MaxS,INT(Z206),0)</f>
        <v>#REF!</v>
      </c>
      <c r="AC206" s="210"/>
      <c r="AD206" s="285" t="str">
        <f t="shared" si="4"/>
        <v>#REF!</v>
      </c>
      <c r="AE206" s="286" t="str">
        <f>IF($AD206&gt;=1,RANK($AD206,$AD197:$AD212),0)</f>
        <v>#REF!</v>
      </c>
      <c r="AF206" s="287" t="str">
        <f>IF(AE206&lt;=MaxS,INT(AD206),0)</f>
        <v>#REF!</v>
      </c>
      <c r="AG206" s="210"/>
      <c r="AH206" s="210"/>
      <c r="AI206" s="288" t="str">
        <f t="shared" si="5"/>
        <v>#REF!</v>
      </c>
      <c r="AJ206" s="289" t="str">
        <f t="shared" si="6"/>
        <v>#REF!</v>
      </c>
    </row>
    <row r="207" ht="15.0" customHeight="1">
      <c r="A207" s="272"/>
      <c r="B207" s="250">
        <f>IF(OR(ISNA(MATCH(C207&amp;"",AthleteNumbers,0)),ISBLANK(C207)),0,MATCH(C207&amp;"",AthleteNumbers,0))</f>
        <v>0</v>
      </c>
      <c r="C207" s="413"/>
      <c r="D207" s="273" t="str">
        <f t="array" ref="D207">IF($B207&gt;0,INDEX(DB,$B207,8),"")</f>
        <v/>
      </c>
      <c r="E207" s="274" t="str">
        <f t="array" ref="E207">IF($B207&gt;0,INDEX(DB,$B207,3),"")</f>
        <v/>
      </c>
      <c r="F207" s="275">
        <f t="array" ref="F207">IF($B207&gt;0,INDEX(DB,$B207,13),0)</f>
        <v>0</v>
      </c>
      <c r="G207" s="276">
        <f t="array" ref="G207">IF($B207&gt;0,INDEX(DB,$B207,17),0)</f>
        <v>0</v>
      </c>
      <c r="H207" s="277">
        <f t="array" ref="H207">IF($B207&gt;0,INDEX(DB,$B207,15),0)</f>
        <v>0</v>
      </c>
      <c r="I207" s="276">
        <f t="array" ref="I207">IF($B207&gt;0,INDEX(DB,$B207,19),0)</f>
        <v>0</v>
      </c>
      <c r="J207" s="277">
        <f t="array" ref="J207">IF($B207&gt;0,INDEX(DB,$B207,14),0)</f>
        <v>0</v>
      </c>
      <c r="K207" s="276">
        <f t="array" ref="K207">IF($B207&gt;0,INDEX(DB,$B207,18),0)</f>
        <v>0</v>
      </c>
      <c r="L207" s="275">
        <f t="array" ref="L207">IF($B207&gt;0,INDEX(DB,$B207,16),0)</f>
        <v>0</v>
      </c>
      <c r="M207" s="276">
        <f t="array" ref="M207">IF($B207&gt;0,INDEX(DB,$B207,20),0)</f>
        <v>0</v>
      </c>
      <c r="N207" s="278"/>
      <c r="O207" s="279">
        <f t="shared" si="1"/>
        <v>0</v>
      </c>
      <c r="P207" s="280"/>
      <c r="Q207" s="261" t="str">
        <f t="shared" si="2"/>
        <v>#REF!</v>
      </c>
      <c r="R207" s="290" t="str">
        <f>IF($AI207&gt;0,RANK($AI207,BoysPoints),0)</f>
        <v>#REF!</v>
      </c>
      <c r="S207" s="291" t="str">
        <f>IF($AJ207&gt;0,RANK($AJ207,GirlsPoints),0)</f>
        <v>#REF!</v>
      </c>
      <c r="T207" s="292">
        <f>IF($O207&gt;0,RANK(O207,AthletePoints),0)</f>
        <v>0</v>
      </c>
      <c r="U207" s="210"/>
      <c r="V207" s="330" t="str">
        <f>IF(O207&gt;=40,IF(X207="M",VLOOKUP(O207,UKABoysAwards,2),IF(X207="F",VLOOKUP(O207,UKAGirlsAwards,2),"")),"")</f>
        <v/>
      </c>
      <c r="W207" s="210"/>
      <c r="X207" s="266" t="str">
        <f t="array" ref="X207:X208">INDEX(DB,$B207,4)</f>
        <v>#REF!</v>
      </c>
      <c r="Y207" s="210"/>
      <c r="Z207" s="285" t="str">
        <f t="shared" si="3"/>
        <v>#REF!</v>
      </c>
      <c r="AA207" s="286" t="str">
        <f>IF($Z207&gt;=1,RANK($Z207,$Z197:$Z212),0)</f>
        <v>#REF!</v>
      </c>
      <c r="AB207" s="287" t="str">
        <f>IF(AA207&lt;=MaxS,INT(Z207),0)</f>
        <v>#REF!</v>
      </c>
      <c r="AC207" s="210"/>
      <c r="AD207" s="285" t="str">
        <f t="shared" si="4"/>
        <v>#REF!</v>
      </c>
      <c r="AE207" s="286" t="str">
        <f>IF($AD207&gt;=1,RANK($AD207,$AD197:$AD212),0)</f>
        <v>#REF!</v>
      </c>
      <c r="AF207" s="287" t="str">
        <f>IF(AE207&lt;=MaxS,INT(AD207),0)</f>
        <v>#REF!</v>
      </c>
      <c r="AG207" s="210"/>
      <c r="AH207" s="210"/>
      <c r="AI207" s="288" t="str">
        <f t="shared" si="5"/>
        <v>#REF!</v>
      </c>
      <c r="AJ207" s="289" t="str">
        <f t="shared" si="6"/>
        <v>#REF!</v>
      </c>
    </row>
    <row r="208" ht="15.0" customHeight="1">
      <c r="A208" s="272"/>
      <c r="B208" s="250">
        <f>IF(OR(ISNA(MATCH(C208&amp;"",AthleteNumbers,0)),ISBLANK(C208)),0,MATCH(C208&amp;"",AthleteNumbers,0))</f>
        <v>0</v>
      </c>
      <c r="C208" s="413"/>
      <c r="D208" s="273" t="str">
        <f t="array" ref="D208">IF($B208&gt;0,INDEX(DB,$B208,8),"")</f>
        <v/>
      </c>
      <c r="E208" s="274" t="str">
        <f t="array" ref="E208">IF($B208&gt;0,INDEX(DB,$B208,3),"")</f>
        <v/>
      </c>
      <c r="F208" s="275">
        <f t="array" ref="F208">IF($B208&gt;0,INDEX(DB,$B208,13),0)</f>
        <v>0</v>
      </c>
      <c r="G208" s="276">
        <f t="array" ref="G208">IF($B208&gt;0,INDEX(DB,$B208,17),0)</f>
        <v>0</v>
      </c>
      <c r="H208" s="277">
        <f t="array" ref="H208">IF($B208&gt;0,INDEX(DB,$B208,15),0)</f>
        <v>0</v>
      </c>
      <c r="I208" s="276">
        <f t="array" ref="I208">IF($B208&gt;0,INDEX(DB,$B208,19),0)</f>
        <v>0</v>
      </c>
      <c r="J208" s="277">
        <f t="array" ref="J208">IF($B208&gt;0,INDEX(DB,$B208,14),0)</f>
        <v>0</v>
      </c>
      <c r="K208" s="276">
        <f t="array" ref="K208">IF($B208&gt;0,INDEX(DB,$B208,18),0)</f>
        <v>0</v>
      </c>
      <c r="L208" s="275">
        <f t="array" ref="L208">IF($B208&gt;0,INDEX(DB,$B208,16),0)</f>
        <v>0</v>
      </c>
      <c r="M208" s="276">
        <f t="array" ref="M208">IF($B208&gt;0,INDEX(DB,$B208,20),0)</f>
        <v>0</v>
      </c>
      <c r="N208" s="278"/>
      <c r="O208" s="279">
        <f t="shared" si="1"/>
        <v>0</v>
      </c>
      <c r="P208" s="280"/>
      <c r="Q208" s="261" t="str">
        <f t="shared" si="2"/>
        <v>#REF!</v>
      </c>
      <c r="R208" s="281" t="str">
        <f>IF($AI208&gt;0,RANK($AI208,BoysPoints),0)</f>
        <v>#REF!</v>
      </c>
      <c r="S208" s="282" t="str">
        <f>IF($AJ208&gt;0,RANK($AJ208,GirlsPoints),0)</f>
        <v>#REF!</v>
      </c>
      <c r="T208" s="283">
        <f>IF($O208&gt;0,RANK(O208,AthletePoints),0)</f>
        <v>0</v>
      </c>
      <c r="U208" s="210"/>
      <c r="V208" s="415" t="str">
        <f>IF(O208&gt;=40,IF(X208="M",VLOOKUP(O208,UKABoysAwards,2),IF(X208="F",VLOOKUP(O208,UKAGirlsAwards,2),"")),"")</f>
        <v/>
      </c>
      <c r="W208" s="210"/>
      <c r="X208" s="266" t="str">
        <f t="array" ref="X208:X209">INDEX(DB,$B208,4)</f>
        <v>#REF!</v>
      </c>
      <c r="Y208" s="210"/>
      <c r="Z208" s="285" t="str">
        <f t="shared" si="3"/>
        <v>#REF!</v>
      </c>
      <c r="AA208" s="286" t="str">
        <f>IF($Z208&gt;=1,RANK($Z208,$Z197:$Z212),0)</f>
        <v>#REF!</v>
      </c>
      <c r="AB208" s="287" t="str">
        <f>IF(AA208&lt;=MaxS,INT(Z208),0)</f>
        <v>#REF!</v>
      </c>
      <c r="AC208" s="210"/>
      <c r="AD208" s="285" t="str">
        <f t="shared" si="4"/>
        <v>#REF!</v>
      </c>
      <c r="AE208" s="286" t="str">
        <f>IF($AD208&gt;=1,RANK($AD208,$AD197:$AD212),0)</f>
        <v>#REF!</v>
      </c>
      <c r="AF208" s="287" t="str">
        <f>IF(AE208&lt;=MaxS,INT(AD208),0)</f>
        <v>#REF!</v>
      </c>
      <c r="AG208" s="210"/>
      <c r="AH208" s="210"/>
      <c r="AI208" s="288" t="str">
        <f t="shared" si="5"/>
        <v>#REF!</v>
      </c>
      <c r="AJ208" s="289" t="str">
        <f t="shared" si="6"/>
        <v>#REF!</v>
      </c>
    </row>
    <row r="209" ht="15.0" customHeight="1">
      <c r="A209" s="272"/>
      <c r="B209" s="250">
        <f>IF(OR(ISNA(MATCH(C209&amp;"",AthleteNumbers,0)),ISBLANK(C209)),0,MATCH(C209&amp;"",AthleteNumbers,0))</f>
        <v>0</v>
      </c>
      <c r="C209" s="413"/>
      <c r="D209" s="273" t="str">
        <f t="array" ref="D209">IF($B209&gt;0,INDEX(DB,$B209,8),"")</f>
        <v/>
      </c>
      <c r="E209" s="274" t="str">
        <f t="array" ref="E209">IF($B209&gt;0,INDEX(DB,$B209,3),"")</f>
        <v/>
      </c>
      <c r="F209" s="275">
        <f t="array" ref="F209">IF($B209&gt;0,INDEX(DB,$B209,13),0)</f>
        <v>0</v>
      </c>
      <c r="G209" s="276">
        <f t="array" ref="G209">IF($B209&gt;0,INDEX(DB,$B209,17),0)</f>
        <v>0</v>
      </c>
      <c r="H209" s="277">
        <f t="array" ref="H209">IF($B209&gt;0,INDEX(DB,$B209,15),0)</f>
        <v>0</v>
      </c>
      <c r="I209" s="276">
        <f t="array" ref="I209">IF($B209&gt;0,INDEX(DB,$B209,19),0)</f>
        <v>0</v>
      </c>
      <c r="J209" s="277">
        <f t="array" ref="J209">IF($B209&gt;0,INDEX(DB,$B209,14),0)</f>
        <v>0</v>
      </c>
      <c r="K209" s="276">
        <f t="array" ref="K209">IF($B209&gt;0,INDEX(DB,$B209,18),0)</f>
        <v>0</v>
      </c>
      <c r="L209" s="275">
        <f t="array" ref="L209">IF($B209&gt;0,INDEX(DB,$B209,16),0)</f>
        <v>0</v>
      </c>
      <c r="M209" s="276">
        <f t="array" ref="M209">IF($B209&gt;0,INDEX(DB,$B209,20),0)</f>
        <v>0</v>
      </c>
      <c r="N209" s="278"/>
      <c r="O209" s="279">
        <f t="shared" si="1"/>
        <v>0</v>
      </c>
      <c r="P209" s="280"/>
      <c r="Q209" s="261" t="str">
        <f t="shared" si="2"/>
        <v>#REF!</v>
      </c>
      <c r="R209" s="290" t="str">
        <f>IF($AI209&gt;0,RANK($AI209,BoysPoints),0)</f>
        <v>#REF!</v>
      </c>
      <c r="S209" s="291" t="str">
        <f>IF($AJ209&gt;0,RANK($AJ209,GirlsPoints),0)</f>
        <v>#REF!</v>
      </c>
      <c r="T209" s="292">
        <f>IF($O209&gt;0,RANK(O209,AthletePoints),0)</f>
        <v>0</v>
      </c>
      <c r="U209" s="210"/>
      <c r="V209" s="330" t="str">
        <f>IF(O209&gt;=40,IF(X209="M",VLOOKUP(O209,UKABoysAwards,2),IF(X209="F",VLOOKUP(O209,UKAGirlsAwards,2),"")),"")</f>
        <v/>
      </c>
      <c r="W209" s="210"/>
      <c r="X209" s="266" t="str">
        <f t="array" ref="X209:X210">INDEX(DB,$B209,4)</f>
        <v>#REF!</v>
      </c>
      <c r="Y209" s="210"/>
      <c r="Z209" s="285" t="str">
        <f t="shared" si="3"/>
        <v>#REF!</v>
      </c>
      <c r="AA209" s="286" t="str">
        <f>IF($Z209&gt;=1,RANK($Z209,$Z197:$Z212),0)</f>
        <v>#REF!</v>
      </c>
      <c r="AB209" s="287" t="str">
        <f>IF(AA209&lt;=MaxS,INT(Z209),0)</f>
        <v>#REF!</v>
      </c>
      <c r="AC209" s="210"/>
      <c r="AD209" s="285" t="str">
        <f t="shared" si="4"/>
        <v>#REF!</v>
      </c>
      <c r="AE209" s="286" t="str">
        <f>IF($AD209&gt;=1,RANK($AD209,$AD197:$AD212),0)</f>
        <v>#REF!</v>
      </c>
      <c r="AF209" s="287" t="str">
        <f>IF(AE209&lt;=MaxS,INT(AD209),0)</f>
        <v>#REF!</v>
      </c>
      <c r="AG209" s="210"/>
      <c r="AH209" s="210"/>
      <c r="AI209" s="288" t="str">
        <f t="shared" si="5"/>
        <v>#REF!</v>
      </c>
      <c r="AJ209" s="289" t="str">
        <f t="shared" si="6"/>
        <v>#REF!</v>
      </c>
    </row>
    <row r="210" ht="15.0" customHeight="1">
      <c r="A210" s="272"/>
      <c r="B210" s="250">
        <f>IF(OR(ISNA(MATCH(C210&amp;"",AthleteNumbers,0)),ISBLANK(C210)),0,MATCH(C210&amp;"",AthleteNumbers,0))</f>
        <v>0</v>
      </c>
      <c r="C210" s="413"/>
      <c r="D210" s="273" t="str">
        <f t="array" ref="D210">IF($B210&gt;0,INDEX(DB,$B210,8),"")</f>
        <v/>
      </c>
      <c r="E210" s="274" t="str">
        <f t="array" ref="E210">IF($B210&gt;0,INDEX(DB,$B210,3),"")</f>
        <v/>
      </c>
      <c r="F210" s="275">
        <f t="array" ref="F210">IF($B210&gt;0,INDEX(DB,$B210,13),0)</f>
        <v>0</v>
      </c>
      <c r="G210" s="276">
        <f t="array" ref="G210">IF($B210&gt;0,INDEX(DB,$B210,17),0)</f>
        <v>0</v>
      </c>
      <c r="H210" s="277">
        <f t="array" ref="H210">IF($B210&gt;0,INDEX(DB,$B210,15),0)</f>
        <v>0</v>
      </c>
      <c r="I210" s="276">
        <f t="array" ref="I210">IF($B210&gt;0,INDEX(DB,$B210,19),0)</f>
        <v>0</v>
      </c>
      <c r="J210" s="277">
        <f t="array" ref="J210">IF($B210&gt;0,INDEX(DB,$B210,14),0)</f>
        <v>0</v>
      </c>
      <c r="K210" s="276">
        <f t="array" ref="K210">IF($B210&gt;0,INDEX(DB,$B210,18),0)</f>
        <v>0</v>
      </c>
      <c r="L210" s="275">
        <f t="array" ref="L210">IF($B210&gt;0,INDEX(DB,$B210,16),0)</f>
        <v>0</v>
      </c>
      <c r="M210" s="276">
        <f t="array" ref="M210">IF($B210&gt;0,INDEX(DB,$B210,20),0)</f>
        <v>0</v>
      </c>
      <c r="N210" s="278"/>
      <c r="O210" s="279">
        <f t="shared" si="1"/>
        <v>0</v>
      </c>
      <c r="P210" s="280"/>
      <c r="Q210" s="261" t="str">
        <f t="shared" si="2"/>
        <v>#REF!</v>
      </c>
      <c r="R210" s="281" t="str">
        <f>IF($AI210&gt;0,RANK($AI210,BoysPoints),0)</f>
        <v>#REF!</v>
      </c>
      <c r="S210" s="282" t="str">
        <f>IF($AJ210&gt;0,RANK($AJ210,GirlsPoints),0)</f>
        <v>#REF!</v>
      </c>
      <c r="T210" s="283">
        <f>IF($O210&gt;0,RANK(O210,AthletePoints),0)</f>
        <v>0</v>
      </c>
      <c r="U210" s="210"/>
      <c r="V210" s="415" t="str">
        <f>IF(O210&gt;=40,IF(X210="M",VLOOKUP(O210,UKABoysAwards,2),IF(X210="F",VLOOKUP(O210,UKAGirlsAwards,2),"")),"")</f>
        <v/>
      </c>
      <c r="W210" s="210"/>
      <c r="X210" s="266" t="str">
        <f t="array" ref="X210:X211">INDEX(DB,$B210,4)</f>
        <v>#REF!</v>
      </c>
      <c r="Y210" s="210"/>
      <c r="Z210" s="285" t="str">
        <f t="shared" si="3"/>
        <v>#REF!</v>
      </c>
      <c r="AA210" s="286" t="str">
        <f>IF($Z210&gt;=1,RANK($Z210,$Z197:$Z212),0)</f>
        <v>#REF!</v>
      </c>
      <c r="AB210" s="287" t="str">
        <f>IF(AA210&lt;=MaxS,INT(Z210),0)</f>
        <v>#REF!</v>
      </c>
      <c r="AC210" s="210"/>
      <c r="AD210" s="285" t="str">
        <f t="shared" si="4"/>
        <v>#REF!</v>
      </c>
      <c r="AE210" s="286" t="str">
        <f>IF($AD210&gt;=1,RANK($AD210,$AD197:$AD212),0)</f>
        <v>#REF!</v>
      </c>
      <c r="AF210" s="287" t="str">
        <f>IF(AE210&lt;=MaxS,INT(AD210),0)</f>
        <v>#REF!</v>
      </c>
      <c r="AG210" s="210"/>
      <c r="AH210" s="210"/>
      <c r="AI210" s="288" t="str">
        <f t="shared" si="5"/>
        <v>#REF!</v>
      </c>
      <c r="AJ210" s="289" t="str">
        <f t="shared" si="6"/>
        <v>#REF!</v>
      </c>
    </row>
    <row r="211" ht="15.0" customHeight="1">
      <c r="A211" s="272"/>
      <c r="B211" s="250">
        <f>IF(OR(ISNA(MATCH(C211&amp;"",AthleteNumbers,0)),ISBLANK(C211)),0,MATCH(C211&amp;"",AthleteNumbers,0))</f>
        <v>0</v>
      </c>
      <c r="C211" s="413"/>
      <c r="D211" s="273" t="str">
        <f t="array" ref="D211">IF($B211&gt;0,INDEX(DB,$B211,8),"")</f>
        <v/>
      </c>
      <c r="E211" s="274" t="str">
        <f t="array" ref="E211">IF($B211&gt;0,INDEX(DB,$B211,3),"")</f>
        <v/>
      </c>
      <c r="F211" s="275">
        <f t="array" ref="F211">IF($B211&gt;0,INDEX(DB,$B211,13),0)</f>
        <v>0</v>
      </c>
      <c r="G211" s="276">
        <f t="array" ref="G211">IF($B211&gt;0,INDEX(DB,$B211,17),0)</f>
        <v>0</v>
      </c>
      <c r="H211" s="277">
        <f t="array" ref="H211">IF($B211&gt;0,INDEX(DB,$B211,15),0)</f>
        <v>0</v>
      </c>
      <c r="I211" s="276">
        <f t="array" ref="I211">IF($B211&gt;0,INDEX(DB,$B211,19),0)</f>
        <v>0</v>
      </c>
      <c r="J211" s="277">
        <f t="array" ref="J211">IF($B211&gt;0,INDEX(DB,$B211,14),0)</f>
        <v>0</v>
      </c>
      <c r="K211" s="276">
        <f t="array" ref="K211">IF($B211&gt;0,INDEX(DB,$B211,18),0)</f>
        <v>0</v>
      </c>
      <c r="L211" s="275">
        <f t="array" ref="L211">IF($B211&gt;0,INDEX(DB,$B211,16),0)</f>
        <v>0</v>
      </c>
      <c r="M211" s="276">
        <f t="array" ref="M211">IF($B211&gt;0,INDEX(DB,$B211,20),0)</f>
        <v>0</v>
      </c>
      <c r="N211" s="278"/>
      <c r="O211" s="279">
        <f t="shared" si="1"/>
        <v>0</v>
      </c>
      <c r="P211" s="280"/>
      <c r="Q211" s="261" t="str">
        <f t="shared" si="2"/>
        <v>#REF!</v>
      </c>
      <c r="R211" s="290" t="str">
        <f>IF($AI211&gt;0,RANK($AI211,BoysPoints),0)</f>
        <v>#REF!</v>
      </c>
      <c r="S211" s="291" t="str">
        <f>IF($AJ211&gt;0,RANK($AJ211,GirlsPoints),0)</f>
        <v>#REF!</v>
      </c>
      <c r="T211" s="292">
        <f>IF($O211&gt;0,RANK(O211,AthletePoints),0)</f>
        <v>0</v>
      </c>
      <c r="U211" s="210"/>
      <c r="V211" s="330" t="str">
        <f>IF(O211&gt;=40,IF(X211="M",VLOOKUP(O211,UKABoysAwards,2),IF(X211="F",VLOOKUP(O211,UKAGirlsAwards,2),"")),"")</f>
        <v/>
      </c>
      <c r="W211" s="210"/>
      <c r="X211" s="266" t="str">
        <f t="array" ref="X211:X212">INDEX(DB,$B211,4)</f>
        <v>#REF!</v>
      </c>
      <c r="Y211" s="210"/>
      <c r="Z211" s="285" t="str">
        <f t="shared" si="3"/>
        <v>#REF!</v>
      </c>
      <c r="AA211" s="286" t="str">
        <f>IF($Z211&gt;=1,RANK($Z211,$Z197:$Z212),0)</f>
        <v>#REF!</v>
      </c>
      <c r="AB211" s="287" t="str">
        <f>IF(AA211&lt;=MaxS,INT(Z211),0)</f>
        <v>#REF!</v>
      </c>
      <c r="AC211" s="210"/>
      <c r="AD211" s="285" t="str">
        <f t="shared" si="4"/>
        <v>#REF!</v>
      </c>
      <c r="AE211" s="286" t="str">
        <f>IF($AD211&gt;=1,RANK($AD211,$AD197:$AD212),0)</f>
        <v>#REF!</v>
      </c>
      <c r="AF211" s="287" t="str">
        <f>IF(AE211&lt;=MaxS,INT(AD211),0)</f>
        <v>#REF!</v>
      </c>
      <c r="AG211" s="210"/>
      <c r="AH211" s="210"/>
      <c r="AI211" s="288" t="str">
        <f t="shared" si="5"/>
        <v>#REF!</v>
      </c>
      <c r="AJ211" s="289" t="str">
        <f t="shared" si="6"/>
        <v>#REF!</v>
      </c>
    </row>
    <row r="212" ht="15.0" customHeight="1">
      <c r="A212" s="305"/>
      <c r="B212" s="250">
        <f>IF(OR(ISNA(MATCH(C212&amp;"",AthleteNumbers,0)),ISBLANK(C212)),0,MATCH(C212&amp;"",AthleteNumbers,0))</f>
        <v>0</v>
      </c>
      <c r="C212" s="443"/>
      <c r="D212" s="306" t="str">
        <f t="array" ref="D212">IF($B212&gt;0,INDEX(DB,$B212,8),"")</f>
        <v/>
      </c>
      <c r="E212" s="307" t="str">
        <f t="array" ref="E212">IF($B212&gt;0,INDEX(DB,$B212,3),"")</f>
        <v/>
      </c>
      <c r="F212" s="308">
        <f t="array" ref="F212">IF($B212&gt;0,INDEX(DB,$B212,13),0)</f>
        <v>0</v>
      </c>
      <c r="G212" s="309">
        <f t="array" ref="G212">IF($B212&gt;0,INDEX(DB,$B212,17),0)</f>
        <v>0</v>
      </c>
      <c r="H212" s="310">
        <f t="array" ref="H212">IF($B212&gt;0,INDEX(DB,$B212,15),0)</f>
        <v>0</v>
      </c>
      <c r="I212" s="309">
        <f t="array" ref="I212">IF($B212&gt;0,INDEX(DB,$B212,19),0)</f>
        <v>0</v>
      </c>
      <c r="J212" s="310">
        <f t="array" ref="J212">IF($B212&gt;0,INDEX(DB,$B212,14),0)</f>
        <v>0</v>
      </c>
      <c r="K212" s="309">
        <f t="array" ref="K212">IF($B212&gt;0,INDEX(DB,$B212,18),0)</f>
        <v>0</v>
      </c>
      <c r="L212" s="308">
        <f t="array" ref="L212">IF($B212&gt;0,INDEX(DB,$B212,16),0)</f>
        <v>0</v>
      </c>
      <c r="M212" s="309">
        <f t="array" ref="M212">IF($B212&gt;0,INDEX(DB,$B212,20),0)</f>
        <v>0</v>
      </c>
      <c r="N212" s="25"/>
      <c r="O212" s="311">
        <f t="shared" si="1"/>
        <v>0</v>
      </c>
      <c r="P212" s="31"/>
      <c r="Q212" s="261" t="str">
        <f t="shared" si="2"/>
        <v>#REF!</v>
      </c>
      <c r="R212" s="312" t="str">
        <f>IF($AI212&gt;0,RANK($AI212,BoysPoints),0)</f>
        <v>#REF!</v>
      </c>
      <c r="S212" s="313" t="str">
        <f>IF($AJ212&gt;0,RANK($AJ212,GirlsPoints),0)</f>
        <v>#REF!</v>
      </c>
      <c r="T212" s="314">
        <f>IF($O212&gt;0,RANK(O212,AthletePoints),0)</f>
        <v>0</v>
      </c>
      <c r="U212" s="210"/>
      <c r="V212" s="444" t="str">
        <f>IF(O212&gt;=40,IF(X212="M",VLOOKUP(O212,UKABoysAwards,2),IF(X212="F",VLOOKUP(O212,UKAGirlsAwards,2),"")),"")</f>
        <v/>
      </c>
      <c r="W212" s="210"/>
      <c r="X212" s="266" t="str">
        <f t="array" ref="X212:X213">INDEX(DB,$B212,4)</f>
        <v>#REF!</v>
      </c>
      <c r="Y212" s="210"/>
      <c r="Z212" s="316" t="str">
        <f t="shared" si="3"/>
        <v>#REF!</v>
      </c>
      <c r="AA212" s="243" t="str">
        <f>IF($Z212&gt;=1,RANK($Z212,$Z197:$Z212),0)</f>
        <v>#REF!</v>
      </c>
      <c r="AB212" s="245" t="str">
        <f>IF(AA212&lt;=MaxS,INT(Z212),0)</f>
        <v>#REF!</v>
      </c>
      <c r="AC212" s="210" t="str">
        <f>SUM(AB197:AB212)</f>
        <v>#REF!</v>
      </c>
      <c r="AD212" s="316" t="str">
        <f t="shared" si="4"/>
        <v>#REF!</v>
      </c>
      <c r="AE212" s="243" t="str">
        <f>IF($AD212&gt;=1,RANK($AD212,$AD197:$AD212),0)</f>
        <v>#REF!</v>
      </c>
      <c r="AF212" s="245" t="str">
        <f>IF(AE212&lt;=MaxS,INT(AD212),0)</f>
        <v>#REF!</v>
      </c>
      <c r="AG212" s="210" t="str">
        <f>SUM(AF197:AF212)</f>
        <v>#REF!</v>
      </c>
      <c r="AH212" s="210"/>
      <c r="AI212" s="246" t="str">
        <f t="shared" si="5"/>
        <v>#REF!</v>
      </c>
      <c r="AJ212" s="247" t="str">
        <f t="shared" si="6"/>
        <v>#REF!</v>
      </c>
    </row>
    <row r="213" ht="15.0" customHeight="1">
      <c r="A213" s="248"/>
      <c r="B213" s="250">
        <f>IF(OR(ISNA(MATCH(C213&amp;"",AthleteNumbers,0)),ISBLANK(C213)),0,MATCH(C213&amp;"",AthleteNumbers,0))</f>
        <v>0</v>
      </c>
      <c r="C213" s="251"/>
      <c r="D213" s="252" t="str">
        <f t="array" ref="D213">IF($B213&gt;0,INDEX(DB,$B213,8),"")</f>
        <v/>
      </c>
      <c r="E213" s="253" t="str">
        <f t="array" ref="E213">IF($B213&gt;0,INDEX(DB,$B213,3),"")</f>
        <v/>
      </c>
      <c r="F213" s="254">
        <f t="array" ref="F213">IF($B213&gt;0,INDEX(DB,$B213,13),0)</f>
        <v>0</v>
      </c>
      <c r="G213" s="255">
        <f t="array" ref="G213">IF($B213&gt;0,INDEX(DB,$B213,17),0)</f>
        <v>0</v>
      </c>
      <c r="H213" s="257">
        <f t="array" ref="H213">IF($B213&gt;0,INDEX(DB,$B213,15),0)</f>
        <v>0</v>
      </c>
      <c r="I213" s="255">
        <f t="array" ref="I213">IF($B213&gt;0,INDEX(DB,$B213,19),0)</f>
        <v>0</v>
      </c>
      <c r="J213" s="257">
        <f t="array" ref="J213">IF($B213&gt;0,INDEX(DB,$B213,14),0)</f>
        <v>0</v>
      </c>
      <c r="K213" s="255">
        <f t="array" ref="K213">IF($B213&gt;0,INDEX(DB,$B213,18),0)</f>
        <v>0</v>
      </c>
      <c r="L213" s="254">
        <f t="array" ref="L213">IF($B213&gt;0,INDEX(DB,$B213,16),0)</f>
        <v>0</v>
      </c>
      <c r="M213" s="255">
        <f t="array" ref="M213">IF($B213&gt;0,INDEX(DB,$B213,20),0)</f>
        <v>0</v>
      </c>
      <c r="N213" s="258" t="str">
        <f t="array" ref="N213:N229">INDEX(RelayPoints,A228)</f>
        <v>#REF!</v>
      </c>
      <c r="O213" s="259">
        <f t="shared" si="1"/>
        <v>0</v>
      </c>
      <c r="P213" s="260" t="str">
        <f>+AC228+AG228+N213</f>
        <v>#REF!</v>
      </c>
      <c r="Q213" s="261" t="str">
        <f t="shared" si="2"/>
        <v>#REF!</v>
      </c>
      <c r="R213" s="262" t="str">
        <f>IF($AI213&gt;0,RANK($AI213,BoysPoints),0)</f>
        <v>#REF!</v>
      </c>
      <c r="S213" s="263" t="str">
        <f>IF($AJ213&gt;0,RANK($AJ213,GirlsPoints),0)</f>
        <v>#REF!</v>
      </c>
      <c r="T213" s="264">
        <f>IF($O213&gt;0,RANK(O213,AthletePoints),0)</f>
        <v>0</v>
      </c>
      <c r="U213" s="210"/>
      <c r="V213" s="317" t="str">
        <f>IF(O213&gt;=40,IF(X213="M",VLOOKUP(O213,UKABoysAwards,2),IF(X213="F",VLOOKUP(O213,UKAGirlsAwards,2),"")),"")</f>
        <v/>
      </c>
      <c r="W213" s="210"/>
      <c r="X213" s="266" t="str">
        <f t="array" ref="X213:X214">INDEX(DB,$B213,4)</f>
        <v>#REF!</v>
      </c>
      <c r="Y213" s="210"/>
      <c r="Z213" s="267" t="str">
        <f t="shared" si="3"/>
        <v>#REF!</v>
      </c>
      <c r="AA213" s="268" t="str">
        <f>IF($Z213&gt;=1,RANK($Z213,$Z213:$Z228),0)</f>
        <v>#REF!</v>
      </c>
      <c r="AB213" s="269" t="str">
        <f>IF(AA213&lt;=MaxS,INT(Z213),0)</f>
        <v>#REF!</v>
      </c>
      <c r="AC213" s="210"/>
      <c r="AD213" s="267" t="str">
        <f t="shared" si="4"/>
        <v>#REF!</v>
      </c>
      <c r="AE213" s="268" t="str">
        <f>IF($AD213&gt;=1,RANK($AD213,$AD213:$AD228),0)</f>
        <v>#REF!</v>
      </c>
      <c r="AF213" s="269" t="str">
        <f>IF(AE213&lt;=MaxS,INT(AD213),0)</f>
        <v>#REF!</v>
      </c>
      <c r="AG213" s="210"/>
      <c r="AH213" s="210"/>
      <c r="AI213" s="288" t="str">
        <f t="shared" si="5"/>
        <v>#REF!</v>
      </c>
      <c r="AJ213" s="289" t="str">
        <f t="shared" si="6"/>
        <v>#REF!</v>
      </c>
    </row>
    <row r="214" ht="15.0" customHeight="1">
      <c r="A214" s="272"/>
      <c r="B214" s="250">
        <f>IF(OR(ISNA(MATCH(C214&amp;"",AthleteNumbers,0)),ISBLANK(C214)),0,MATCH(C214&amp;"",AthleteNumbers,0))</f>
        <v>0</v>
      </c>
      <c r="C214" s="413"/>
      <c r="D214" s="273" t="str">
        <f t="array" ref="D214">IF($B214&gt;0,INDEX(DB,$B214,8),"")</f>
        <v/>
      </c>
      <c r="E214" s="274" t="str">
        <f t="array" ref="E214">IF($B214&gt;0,INDEX(DB,$B214,3),"")</f>
        <v/>
      </c>
      <c r="F214" s="275">
        <f t="array" ref="F214">IF($B214&gt;0,INDEX(DB,$B214,13),0)</f>
        <v>0</v>
      </c>
      <c r="G214" s="276">
        <f t="array" ref="G214">IF($B214&gt;0,INDEX(DB,$B214,17),0)</f>
        <v>0</v>
      </c>
      <c r="H214" s="277">
        <f t="array" ref="H214">IF($B214&gt;0,INDEX(DB,$B214,15),0)</f>
        <v>0</v>
      </c>
      <c r="I214" s="276">
        <f t="array" ref="I214">IF($B214&gt;0,INDEX(DB,$B214,19),0)</f>
        <v>0</v>
      </c>
      <c r="J214" s="277">
        <f t="array" ref="J214">IF($B214&gt;0,INDEX(DB,$B214,14),0)</f>
        <v>0</v>
      </c>
      <c r="K214" s="276">
        <f t="array" ref="K214">IF($B214&gt;0,INDEX(DB,$B214,18),0)</f>
        <v>0</v>
      </c>
      <c r="L214" s="275">
        <f t="array" ref="L214">IF($B214&gt;0,INDEX(DB,$B214,16),0)</f>
        <v>0</v>
      </c>
      <c r="M214" s="276">
        <f t="array" ref="M214">IF($B214&gt;0,INDEX(DB,$B214,20),0)</f>
        <v>0</v>
      </c>
      <c r="N214" s="278"/>
      <c r="O214" s="279">
        <f t="shared" si="1"/>
        <v>0</v>
      </c>
      <c r="P214" s="280"/>
      <c r="Q214" s="261" t="str">
        <f t="shared" si="2"/>
        <v>#REF!</v>
      </c>
      <c r="R214" s="281" t="str">
        <f>IF($AI214&gt;0,RANK($AI214,BoysPoints),0)</f>
        <v>#REF!</v>
      </c>
      <c r="S214" s="282" t="str">
        <f>IF($AJ214&gt;0,RANK($AJ214,GirlsPoints),0)</f>
        <v>#REF!</v>
      </c>
      <c r="T214" s="283">
        <f>IF($O214&gt;0,RANK(O214,AthletePoints),0)</f>
        <v>0</v>
      </c>
      <c r="U214" s="210"/>
      <c r="V214" s="415" t="str">
        <f>IF(O214&gt;=40,IF(X214="M",VLOOKUP(O214,UKABoysAwards,2),IF(X214="F",VLOOKUP(O214,UKAGirlsAwards,2),"")),"")</f>
        <v/>
      </c>
      <c r="W214" s="210"/>
      <c r="X214" s="266" t="str">
        <f t="array" ref="X214:X215">INDEX(DB,$B214,4)</f>
        <v>#REF!</v>
      </c>
      <c r="Y214" s="210"/>
      <c r="Z214" s="285" t="str">
        <f t="shared" si="3"/>
        <v>#REF!</v>
      </c>
      <c r="AA214" s="286" t="str">
        <f>IF($Z214&gt;=1,RANK($Z214,$Z213:$Z228),0)</f>
        <v>#REF!</v>
      </c>
      <c r="AB214" s="287" t="str">
        <f>IF(AA214&lt;=MaxS,INT(Z214),0)</f>
        <v>#REF!</v>
      </c>
      <c r="AC214" s="210"/>
      <c r="AD214" s="285" t="str">
        <f t="shared" si="4"/>
        <v>#REF!</v>
      </c>
      <c r="AE214" s="286" t="str">
        <f>IF($AD214&gt;=1,RANK($AD214,$AD213:$AD228),0)</f>
        <v>#REF!</v>
      </c>
      <c r="AF214" s="287" t="str">
        <f>IF(AE214&lt;=MaxS,INT(AD214),0)</f>
        <v>#REF!</v>
      </c>
      <c r="AG214" s="210"/>
      <c r="AH214" s="210"/>
      <c r="AI214" s="288" t="str">
        <f t="shared" si="5"/>
        <v>#REF!</v>
      </c>
      <c r="AJ214" s="289" t="str">
        <f t="shared" si="6"/>
        <v>#REF!</v>
      </c>
    </row>
    <row r="215" ht="15.0" customHeight="1">
      <c r="A215" s="272"/>
      <c r="B215" s="250">
        <f>IF(OR(ISNA(MATCH(C215&amp;"",AthleteNumbers,0)),ISBLANK(C215)),0,MATCH(C215&amp;"",AthleteNumbers,0))</f>
        <v>0</v>
      </c>
      <c r="C215" s="413"/>
      <c r="D215" s="273" t="str">
        <f t="array" ref="D215">IF($B215&gt;0,INDEX(DB,$B215,8),"")</f>
        <v/>
      </c>
      <c r="E215" s="274" t="str">
        <f t="array" ref="E215">IF($B215&gt;0,INDEX(DB,$B215,3),"")</f>
        <v/>
      </c>
      <c r="F215" s="275">
        <f t="array" ref="F215">IF($B215&gt;0,INDEX(DB,$B215,13),0)</f>
        <v>0</v>
      </c>
      <c r="G215" s="276">
        <f t="array" ref="G215">IF($B215&gt;0,INDEX(DB,$B215,17),0)</f>
        <v>0</v>
      </c>
      <c r="H215" s="277">
        <f t="array" ref="H215">IF($B215&gt;0,INDEX(DB,$B215,15),0)</f>
        <v>0</v>
      </c>
      <c r="I215" s="276">
        <f t="array" ref="I215">IF($B215&gt;0,INDEX(DB,$B215,19),0)</f>
        <v>0</v>
      </c>
      <c r="J215" s="277">
        <f t="array" ref="J215">IF($B215&gt;0,INDEX(DB,$B215,14),0)</f>
        <v>0</v>
      </c>
      <c r="K215" s="276">
        <f t="array" ref="K215">IF($B215&gt;0,INDEX(DB,$B215,18),0)</f>
        <v>0</v>
      </c>
      <c r="L215" s="275">
        <f t="array" ref="L215">IF($B215&gt;0,INDEX(DB,$B215,16),0)</f>
        <v>0</v>
      </c>
      <c r="M215" s="276">
        <f t="array" ref="M215">IF($B215&gt;0,INDEX(DB,$B215,20),0)</f>
        <v>0</v>
      </c>
      <c r="N215" s="278"/>
      <c r="O215" s="279">
        <f t="shared" si="1"/>
        <v>0</v>
      </c>
      <c r="P215" s="280"/>
      <c r="Q215" s="261" t="str">
        <f t="shared" si="2"/>
        <v>#REF!</v>
      </c>
      <c r="R215" s="290" t="str">
        <f>IF($AI215&gt;0,RANK($AI215,BoysPoints),0)</f>
        <v>#REF!</v>
      </c>
      <c r="S215" s="291" t="str">
        <f>IF($AJ215&gt;0,RANK($AJ215,GirlsPoints),0)</f>
        <v>#REF!</v>
      </c>
      <c r="T215" s="292">
        <f>IF($O215&gt;0,RANK(O215,AthletePoints),0)</f>
        <v>0</v>
      </c>
      <c r="U215" s="210"/>
      <c r="V215" s="330" t="str">
        <f>IF(O215&gt;=40,IF(X215="M",VLOOKUP(O215,UKABoysAwards,2),IF(X215="F",VLOOKUP(O215,UKAGirlsAwards,2),"")),"")</f>
        <v/>
      </c>
      <c r="W215" s="210"/>
      <c r="X215" s="266" t="str">
        <f t="array" ref="X215:X216">INDEX(DB,$B215,4)</f>
        <v>#REF!</v>
      </c>
      <c r="Y215" s="210"/>
      <c r="Z215" s="285" t="str">
        <f t="shared" si="3"/>
        <v>#REF!</v>
      </c>
      <c r="AA215" s="286" t="str">
        <f>IF($Z215&gt;=1,RANK($Z215,$Z213:$Z228),0)</f>
        <v>#REF!</v>
      </c>
      <c r="AB215" s="287" t="str">
        <f>IF(AA215&lt;=MaxS,INT(Z215),0)</f>
        <v>#REF!</v>
      </c>
      <c r="AC215" s="210"/>
      <c r="AD215" s="285" t="str">
        <f t="shared" si="4"/>
        <v>#REF!</v>
      </c>
      <c r="AE215" s="286" t="str">
        <f>IF($AD215&gt;=1,RANK($AD215,$AD213:$AD228),0)</f>
        <v>#REF!</v>
      </c>
      <c r="AF215" s="287" t="str">
        <f>IF(AE215&lt;=MaxS,INT(AD215),0)</f>
        <v>#REF!</v>
      </c>
      <c r="AG215" s="210"/>
      <c r="AH215" s="210"/>
      <c r="AI215" s="288" t="str">
        <f t="shared" si="5"/>
        <v>#REF!</v>
      </c>
      <c r="AJ215" s="289" t="str">
        <f t="shared" si="6"/>
        <v>#REF!</v>
      </c>
    </row>
    <row r="216" ht="15.0" customHeight="1">
      <c r="A216" s="272"/>
      <c r="B216" s="250">
        <f>IF(OR(ISNA(MATCH(C216&amp;"",AthleteNumbers,0)),ISBLANK(C216)),0,MATCH(C216&amp;"",AthleteNumbers,0))</f>
        <v>0</v>
      </c>
      <c r="C216" s="413"/>
      <c r="D216" s="273" t="str">
        <f t="array" ref="D216">IF($B216&gt;0,INDEX(DB,$B216,8),"")</f>
        <v/>
      </c>
      <c r="E216" s="274" t="str">
        <f t="array" ref="E216">IF($B216&gt;0,INDEX(DB,$B216,3),"")</f>
        <v/>
      </c>
      <c r="F216" s="275">
        <f t="array" ref="F216">IF($B216&gt;0,INDEX(DB,$B216,13),0)</f>
        <v>0</v>
      </c>
      <c r="G216" s="276">
        <f t="array" ref="G216">IF($B216&gt;0,INDEX(DB,$B216,17),0)</f>
        <v>0</v>
      </c>
      <c r="H216" s="277">
        <f t="array" ref="H216">IF($B216&gt;0,INDEX(DB,$B216,15),0)</f>
        <v>0</v>
      </c>
      <c r="I216" s="276">
        <f t="array" ref="I216">IF($B216&gt;0,INDEX(DB,$B216,19),0)</f>
        <v>0</v>
      </c>
      <c r="J216" s="277">
        <f t="array" ref="J216">IF($B216&gt;0,INDEX(DB,$B216,14),0)</f>
        <v>0</v>
      </c>
      <c r="K216" s="276">
        <f t="array" ref="K216">IF($B216&gt;0,INDEX(DB,$B216,18),0)</f>
        <v>0</v>
      </c>
      <c r="L216" s="275">
        <f t="array" ref="L216">IF($B216&gt;0,INDEX(DB,$B216,16),0)</f>
        <v>0</v>
      </c>
      <c r="M216" s="276">
        <f t="array" ref="M216">IF($B216&gt;0,INDEX(DB,$B216,20),0)</f>
        <v>0</v>
      </c>
      <c r="N216" s="278"/>
      <c r="O216" s="279">
        <f t="shared" si="1"/>
        <v>0</v>
      </c>
      <c r="P216" s="280"/>
      <c r="Q216" s="261" t="str">
        <f t="shared" si="2"/>
        <v>#REF!</v>
      </c>
      <c r="R216" s="281" t="str">
        <f>IF($AI216&gt;0,RANK($AI216,BoysPoints),0)</f>
        <v>#REF!</v>
      </c>
      <c r="S216" s="282" t="str">
        <f>IF($AJ216&gt;0,RANK($AJ216,GirlsPoints),0)</f>
        <v>#REF!</v>
      </c>
      <c r="T216" s="283">
        <f>IF($O216&gt;0,RANK(O216,AthletePoints),0)</f>
        <v>0</v>
      </c>
      <c r="U216" s="210"/>
      <c r="V216" s="415" t="str">
        <f>IF(O216&gt;=40,IF(X216="M",VLOOKUP(O216,UKABoysAwards,2),IF(X216="F",VLOOKUP(O216,UKAGirlsAwards,2),"")),"")</f>
        <v/>
      </c>
      <c r="W216" s="210"/>
      <c r="X216" s="266" t="str">
        <f t="array" ref="X216:X217">INDEX(DB,$B216,4)</f>
        <v>#REF!</v>
      </c>
      <c r="Y216" s="210"/>
      <c r="Z216" s="285" t="str">
        <f t="shared" si="3"/>
        <v>#REF!</v>
      </c>
      <c r="AA216" s="286" t="str">
        <f>IF($Z216&gt;=1,RANK($Z216,$Z213:$Z228),0)</f>
        <v>#REF!</v>
      </c>
      <c r="AB216" s="287" t="str">
        <f>IF(AA216&lt;=MaxS,INT(Z216),0)</f>
        <v>#REF!</v>
      </c>
      <c r="AC216" s="210"/>
      <c r="AD216" s="285" t="str">
        <f t="shared" si="4"/>
        <v>#REF!</v>
      </c>
      <c r="AE216" s="286" t="str">
        <f>IF($AD216&gt;=1,RANK($AD216,$AD213:$AD228),0)</f>
        <v>#REF!</v>
      </c>
      <c r="AF216" s="287" t="str">
        <f>IF(AE216&lt;=MaxS,INT(AD216),0)</f>
        <v>#REF!</v>
      </c>
      <c r="AG216" s="210"/>
      <c r="AH216" s="210"/>
      <c r="AI216" s="288" t="str">
        <f t="shared" si="5"/>
        <v>#REF!</v>
      </c>
      <c r="AJ216" s="289" t="str">
        <f t="shared" si="6"/>
        <v>#REF!</v>
      </c>
    </row>
    <row r="217" ht="15.0" customHeight="1">
      <c r="A217" s="272"/>
      <c r="B217" s="250">
        <f>IF(OR(ISNA(MATCH(C217&amp;"",AthleteNumbers,0)),ISBLANK(C217)),0,MATCH(C217&amp;"",AthleteNumbers,0))</f>
        <v>0</v>
      </c>
      <c r="C217" s="413"/>
      <c r="D217" s="273" t="str">
        <f t="array" ref="D217">IF($B217&gt;0,INDEX(DB,$B217,8),"")</f>
        <v/>
      </c>
      <c r="E217" s="274" t="str">
        <f t="array" ref="E217">IF($B217&gt;0,INDEX(DB,$B217,3),"")</f>
        <v/>
      </c>
      <c r="F217" s="275">
        <f t="array" ref="F217">IF($B217&gt;0,INDEX(DB,$B217,13),0)</f>
        <v>0</v>
      </c>
      <c r="G217" s="276">
        <f t="array" ref="G217">IF($B217&gt;0,INDEX(DB,$B217,17),0)</f>
        <v>0</v>
      </c>
      <c r="H217" s="277">
        <f t="array" ref="H217">IF($B217&gt;0,INDEX(DB,$B217,15),0)</f>
        <v>0</v>
      </c>
      <c r="I217" s="276">
        <f t="array" ref="I217">IF($B217&gt;0,INDEX(DB,$B217,19),0)</f>
        <v>0</v>
      </c>
      <c r="J217" s="277">
        <f t="array" ref="J217">IF($B217&gt;0,INDEX(DB,$B217,14),0)</f>
        <v>0</v>
      </c>
      <c r="K217" s="276">
        <f t="array" ref="K217">IF($B217&gt;0,INDEX(DB,$B217,18),0)</f>
        <v>0</v>
      </c>
      <c r="L217" s="275">
        <f t="array" ref="L217">IF($B217&gt;0,INDEX(DB,$B217,16),0)</f>
        <v>0</v>
      </c>
      <c r="M217" s="276">
        <f t="array" ref="M217">IF($B217&gt;0,INDEX(DB,$B217,20),0)</f>
        <v>0</v>
      </c>
      <c r="N217" s="278"/>
      <c r="O217" s="279">
        <f t="shared" si="1"/>
        <v>0</v>
      </c>
      <c r="P217" s="280"/>
      <c r="Q217" s="261" t="str">
        <f t="shared" si="2"/>
        <v>#REF!</v>
      </c>
      <c r="R217" s="290" t="str">
        <f>IF($AI217&gt;0,RANK($AI217,BoysPoints),0)</f>
        <v>#REF!</v>
      </c>
      <c r="S217" s="291" t="str">
        <f>IF($AJ217&gt;0,RANK($AJ217,GirlsPoints),0)</f>
        <v>#REF!</v>
      </c>
      <c r="T217" s="292">
        <f>IF($O217&gt;0,RANK(O217,AthletePoints),0)</f>
        <v>0</v>
      </c>
      <c r="U217" s="210"/>
      <c r="V217" s="330" t="str">
        <f>IF(O217&gt;=40,IF(X217="M",VLOOKUP(O217,UKABoysAwards,2),IF(X217="F",VLOOKUP(O217,UKAGirlsAwards,2),"")),"")</f>
        <v/>
      </c>
      <c r="W217" s="210"/>
      <c r="X217" s="266" t="str">
        <f t="array" ref="X217:X218">INDEX(DB,$B217,4)</f>
        <v>#REF!</v>
      </c>
      <c r="Y217" s="210"/>
      <c r="Z217" s="285" t="str">
        <f t="shared" si="3"/>
        <v>#REF!</v>
      </c>
      <c r="AA217" s="286" t="str">
        <f>IF($Z217&gt;=1,RANK($Z217,$Z213:$Z228),0)</f>
        <v>#REF!</v>
      </c>
      <c r="AB217" s="287" t="str">
        <f>IF(AA217&lt;=MaxS,INT(Z217),0)</f>
        <v>#REF!</v>
      </c>
      <c r="AC217" s="210"/>
      <c r="AD217" s="285" t="str">
        <f t="shared" si="4"/>
        <v>#REF!</v>
      </c>
      <c r="AE217" s="286" t="str">
        <f>IF($AD217&gt;=1,RANK($AD217,$AD213:$AD228),0)</f>
        <v>#REF!</v>
      </c>
      <c r="AF217" s="287" t="str">
        <f>IF(AE217&lt;=MaxS,INT(AD217),0)</f>
        <v>#REF!</v>
      </c>
      <c r="AG217" s="210"/>
      <c r="AH217" s="210"/>
      <c r="AI217" s="288" t="str">
        <f t="shared" si="5"/>
        <v>#REF!</v>
      </c>
      <c r="AJ217" s="289" t="str">
        <f t="shared" si="6"/>
        <v>#REF!</v>
      </c>
    </row>
    <row r="218" ht="15.0" customHeight="1">
      <c r="A218" s="272"/>
      <c r="B218" s="250">
        <f>IF(OR(ISNA(MATCH(C218&amp;"",AthleteNumbers,0)),ISBLANK(C218)),0,MATCH(C218&amp;"",AthleteNumbers,0))</f>
        <v>0</v>
      </c>
      <c r="C218" s="413"/>
      <c r="D218" s="273" t="str">
        <f t="array" ref="D218">IF($B218&gt;0,INDEX(DB,$B218,8),"")</f>
        <v/>
      </c>
      <c r="E218" s="274" t="str">
        <f t="array" ref="E218">IF($B218&gt;0,INDEX(DB,$B218,3),"")</f>
        <v/>
      </c>
      <c r="F218" s="275">
        <f t="array" ref="F218">IF($B218&gt;0,INDEX(DB,$B218,13),0)</f>
        <v>0</v>
      </c>
      <c r="G218" s="276">
        <f t="array" ref="G218">IF($B218&gt;0,INDEX(DB,$B218,17),0)</f>
        <v>0</v>
      </c>
      <c r="H218" s="277">
        <f t="array" ref="H218">IF($B218&gt;0,INDEX(DB,$B218,15),0)</f>
        <v>0</v>
      </c>
      <c r="I218" s="276">
        <f t="array" ref="I218">IF($B218&gt;0,INDEX(DB,$B218,19),0)</f>
        <v>0</v>
      </c>
      <c r="J218" s="277">
        <f t="array" ref="J218">IF($B218&gt;0,INDEX(DB,$B218,14),0)</f>
        <v>0</v>
      </c>
      <c r="K218" s="276">
        <f t="array" ref="K218">IF($B218&gt;0,INDEX(DB,$B218,18),0)</f>
        <v>0</v>
      </c>
      <c r="L218" s="275">
        <f t="array" ref="L218">IF($B218&gt;0,INDEX(DB,$B218,16),0)</f>
        <v>0</v>
      </c>
      <c r="M218" s="276">
        <f t="array" ref="M218">IF($B218&gt;0,INDEX(DB,$B218,20),0)</f>
        <v>0</v>
      </c>
      <c r="N218" s="278"/>
      <c r="O218" s="279">
        <f t="shared" si="1"/>
        <v>0</v>
      </c>
      <c r="P218" s="280"/>
      <c r="Q218" s="261" t="str">
        <f t="shared" si="2"/>
        <v>#REF!</v>
      </c>
      <c r="R218" s="281" t="str">
        <f>IF($AI218&gt;0,RANK($AI218,BoysPoints),0)</f>
        <v>#REF!</v>
      </c>
      <c r="S218" s="282" t="str">
        <f>IF($AJ218&gt;0,RANK($AJ218,GirlsPoints),0)</f>
        <v>#REF!</v>
      </c>
      <c r="T218" s="283">
        <f>IF($O218&gt;0,RANK(O218,AthletePoints),0)</f>
        <v>0</v>
      </c>
      <c r="U218" s="210"/>
      <c r="V218" s="415" t="str">
        <f>IF(O218&gt;=40,IF(X218="M",VLOOKUP(O218,UKABoysAwards,2),IF(X218="F",VLOOKUP(O218,UKAGirlsAwards,2),"")),"")</f>
        <v/>
      </c>
      <c r="W218" s="210"/>
      <c r="X218" s="266" t="str">
        <f t="array" ref="X218:X219">INDEX(DB,$B218,4)</f>
        <v>#REF!</v>
      </c>
      <c r="Y218" s="210"/>
      <c r="Z218" s="285" t="str">
        <f t="shared" si="3"/>
        <v>#REF!</v>
      </c>
      <c r="AA218" s="286" t="str">
        <f>IF($Z218&gt;=1,RANK($Z218,$Z213:$Z228),0)</f>
        <v>#REF!</v>
      </c>
      <c r="AB218" s="287" t="str">
        <f>IF(AA218&lt;=MaxS,INT(Z218),0)</f>
        <v>#REF!</v>
      </c>
      <c r="AC218" s="210"/>
      <c r="AD218" s="285" t="str">
        <f t="shared" si="4"/>
        <v>#REF!</v>
      </c>
      <c r="AE218" s="286" t="str">
        <f>IF($AD218&gt;=1,RANK($AD218,$AD213:$AD228),0)</f>
        <v>#REF!</v>
      </c>
      <c r="AF218" s="287" t="str">
        <f>IF(AE218&lt;=MaxS,INT(AD218),0)</f>
        <v>#REF!</v>
      </c>
      <c r="AG218" s="210"/>
      <c r="AH218" s="210"/>
      <c r="AI218" s="288" t="str">
        <f t="shared" si="5"/>
        <v>#REF!</v>
      </c>
      <c r="AJ218" s="289" t="str">
        <f t="shared" si="6"/>
        <v>#REF!</v>
      </c>
    </row>
    <row r="219" ht="15.0" customHeight="1">
      <c r="A219" s="272"/>
      <c r="B219" s="250">
        <f>IF(OR(ISNA(MATCH(C219&amp;"",AthleteNumbers,0)),ISBLANK(C219)),0,MATCH(C219&amp;"",AthleteNumbers,0))</f>
        <v>0</v>
      </c>
      <c r="C219" s="413"/>
      <c r="D219" s="273" t="str">
        <f t="array" ref="D219">IF($B219&gt;0,INDEX(DB,$B219,8),"")</f>
        <v/>
      </c>
      <c r="E219" s="274" t="str">
        <f t="array" ref="E219">IF($B219&gt;0,INDEX(DB,$B219,3),"")</f>
        <v/>
      </c>
      <c r="F219" s="275">
        <f t="array" ref="F219">IF($B219&gt;0,INDEX(DB,$B219,13),0)</f>
        <v>0</v>
      </c>
      <c r="G219" s="276">
        <f t="array" ref="G219">IF($B219&gt;0,INDEX(DB,$B219,17),0)</f>
        <v>0</v>
      </c>
      <c r="H219" s="277">
        <f t="array" ref="H219">IF($B219&gt;0,INDEX(DB,$B219,15),0)</f>
        <v>0</v>
      </c>
      <c r="I219" s="276">
        <f t="array" ref="I219">IF($B219&gt;0,INDEX(DB,$B219,19),0)</f>
        <v>0</v>
      </c>
      <c r="J219" s="277">
        <f t="array" ref="J219">IF($B219&gt;0,INDEX(DB,$B219,14),0)</f>
        <v>0</v>
      </c>
      <c r="K219" s="276">
        <f t="array" ref="K219">IF($B219&gt;0,INDEX(DB,$B219,18),0)</f>
        <v>0</v>
      </c>
      <c r="L219" s="275">
        <f t="array" ref="L219">IF($B219&gt;0,INDEX(DB,$B219,16),0)</f>
        <v>0</v>
      </c>
      <c r="M219" s="276">
        <f t="array" ref="M219">IF($B219&gt;0,INDEX(DB,$B219,20),0)</f>
        <v>0</v>
      </c>
      <c r="N219" s="278"/>
      <c r="O219" s="279">
        <f t="shared" si="1"/>
        <v>0</v>
      </c>
      <c r="P219" s="280"/>
      <c r="Q219" s="261" t="str">
        <f t="shared" si="2"/>
        <v>#REF!</v>
      </c>
      <c r="R219" s="290" t="str">
        <f>IF($AI219&gt;0,RANK($AI219,BoysPoints),0)</f>
        <v>#REF!</v>
      </c>
      <c r="S219" s="291" t="str">
        <f>IF($AJ219&gt;0,RANK($AJ219,GirlsPoints),0)</f>
        <v>#REF!</v>
      </c>
      <c r="T219" s="292">
        <f>IF($O219&gt;0,RANK(O219,AthletePoints),0)</f>
        <v>0</v>
      </c>
      <c r="U219" s="210"/>
      <c r="V219" s="330" t="str">
        <f>IF(O219&gt;=40,IF(X219="M",VLOOKUP(O219,UKABoysAwards,2),IF(X219="F",VLOOKUP(O219,UKAGirlsAwards,2),"")),"")</f>
        <v/>
      </c>
      <c r="W219" s="210"/>
      <c r="X219" s="266" t="str">
        <f t="array" ref="X219:X220">INDEX(DB,$B219,4)</f>
        <v>#REF!</v>
      </c>
      <c r="Y219" s="210"/>
      <c r="Z219" s="285" t="str">
        <f t="shared" si="3"/>
        <v>#REF!</v>
      </c>
      <c r="AA219" s="286" t="str">
        <f>IF($Z219&gt;=1,RANK($Z219,$Z213:$Z228),0)</f>
        <v>#REF!</v>
      </c>
      <c r="AB219" s="287" t="str">
        <f>IF(AA219&lt;=MaxS,INT(Z219),0)</f>
        <v>#REF!</v>
      </c>
      <c r="AC219" s="210"/>
      <c r="AD219" s="285" t="str">
        <f t="shared" si="4"/>
        <v>#REF!</v>
      </c>
      <c r="AE219" s="286" t="str">
        <f>IF($AD219&gt;=1,RANK($AD219,$AD213:$AD228),0)</f>
        <v>#REF!</v>
      </c>
      <c r="AF219" s="287" t="str">
        <f>IF(AE219&lt;=MaxS,INT(AD219),0)</f>
        <v>#REF!</v>
      </c>
      <c r="AG219" s="210"/>
      <c r="AH219" s="210"/>
      <c r="AI219" s="288" t="str">
        <f t="shared" si="5"/>
        <v>#REF!</v>
      </c>
      <c r="AJ219" s="289" t="str">
        <f t="shared" si="6"/>
        <v>#REF!</v>
      </c>
    </row>
    <row r="220" ht="15.0" customHeight="1">
      <c r="A220" s="272"/>
      <c r="B220" s="250">
        <f>IF(OR(ISNA(MATCH(C220&amp;"",AthleteNumbers,0)),ISBLANK(C220)),0,MATCH(C220&amp;"",AthleteNumbers,0))</f>
        <v>0</v>
      </c>
      <c r="C220" s="413"/>
      <c r="D220" s="273" t="str">
        <f t="array" ref="D220">IF($B220&gt;0,INDEX(DB,$B220,8),"")</f>
        <v/>
      </c>
      <c r="E220" s="274" t="str">
        <f t="array" ref="E220">IF($B220&gt;0,INDEX(DB,$B220,3),"")</f>
        <v/>
      </c>
      <c r="F220" s="275">
        <f t="array" ref="F220">IF($B220&gt;0,INDEX(DB,$B220,13),0)</f>
        <v>0</v>
      </c>
      <c r="G220" s="276">
        <f t="array" ref="G220">IF($B220&gt;0,INDEX(DB,$B220,17),0)</f>
        <v>0</v>
      </c>
      <c r="H220" s="277">
        <f t="array" ref="H220">IF($B220&gt;0,INDEX(DB,$B220,15),0)</f>
        <v>0</v>
      </c>
      <c r="I220" s="276">
        <f t="array" ref="I220">IF($B220&gt;0,INDEX(DB,$B220,19),0)</f>
        <v>0</v>
      </c>
      <c r="J220" s="277">
        <f t="array" ref="J220">IF($B220&gt;0,INDEX(DB,$B220,14),0)</f>
        <v>0</v>
      </c>
      <c r="K220" s="276">
        <f t="array" ref="K220">IF($B220&gt;0,INDEX(DB,$B220,18),0)</f>
        <v>0</v>
      </c>
      <c r="L220" s="275">
        <f t="array" ref="L220">IF($B220&gt;0,INDEX(DB,$B220,16),0)</f>
        <v>0</v>
      </c>
      <c r="M220" s="276">
        <f t="array" ref="M220">IF($B220&gt;0,INDEX(DB,$B220,20),0)</f>
        <v>0</v>
      </c>
      <c r="N220" s="278"/>
      <c r="O220" s="279">
        <f t="shared" si="1"/>
        <v>0</v>
      </c>
      <c r="P220" s="280"/>
      <c r="Q220" s="261" t="str">
        <f t="shared" si="2"/>
        <v>#REF!</v>
      </c>
      <c r="R220" s="281" t="str">
        <f>IF($AI220&gt;0,RANK($AI220,BoysPoints),0)</f>
        <v>#REF!</v>
      </c>
      <c r="S220" s="282" t="str">
        <f>IF($AJ220&gt;0,RANK($AJ220,GirlsPoints),0)</f>
        <v>#REF!</v>
      </c>
      <c r="T220" s="283">
        <f>IF($O220&gt;0,RANK(O220,AthletePoints),0)</f>
        <v>0</v>
      </c>
      <c r="U220" s="210"/>
      <c r="V220" s="415" t="str">
        <f>IF(O220&gt;=40,IF(X220="M",VLOOKUP(O220,UKABoysAwards,2),IF(X220="F",VLOOKUP(O220,UKAGirlsAwards,2),"")),"")</f>
        <v/>
      </c>
      <c r="W220" s="210"/>
      <c r="X220" s="266" t="str">
        <f t="array" ref="X220:X221">INDEX(DB,$B220,4)</f>
        <v>#REF!</v>
      </c>
      <c r="Y220" s="210"/>
      <c r="Z220" s="285" t="str">
        <f t="shared" si="3"/>
        <v>#REF!</v>
      </c>
      <c r="AA220" s="286" t="str">
        <f>IF($Z220&gt;=1,RANK($Z220,$Z213:$Z228),0)</f>
        <v>#REF!</v>
      </c>
      <c r="AB220" s="287" t="str">
        <f>IF(AA220&lt;=MaxS,INT(Z220),0)</f>
        <v>#REF!</v>
      </c>
      <c r="AC220" s="210"/>
      <c r="AD220" s="285" t="str">
        <f t="shared" si="4"/>
        <v>#REF!</v>
      </c>
      <c r="AE220" s="286" t="str">
        <f>IF($AD220&gt;=1,RANK($AD220,$AD213:$AD228),0)</f>
        <v>#REF!</v>
      </c>
      <c r="AF220" s="287" t="str">
        <f>IF(AE220&lt;=MaxS,INT(AD220),0)</f>
        <v>#REF!</v>
      </c>
      <c r="AG220" s="210"/>
      <c r="AH220" s="210"/>
      <c r="AI220" s="288" t="str">
        <f t="shared" si="5"/>
        <v>#REF!</v>
      </c>
      <c r="AJ220" s="289" t="str">
        <f t="shared" si="6"/>
        <v>#REF!</v>
      </c>
    </row>
    <row r="221" ht="15.0" customHeight="1">
      <c r="A221" s="272"/>
      <c r="B221" s="250">
        <f>IF(OR(ISNA(MATCH(C221&amp;"",AthleteNumbers,0)),ISBLANK(C221)),0,MATCH(C221&amp;"",AthleteNumbers,0))</f>
        <v>0</v>
      </c>
      <c r="C221" s="413"/>
      <c r="D221" s="273" t="str">
        <f t="array" ref="D221">IF($B221&gt;0,INDEX(DB,$B221,8),"")</f>
        <v/>
      </c>
      <c r="E221" s="274" t="str">
        <f t="array" ref="E221">IF($B221&gt;0,INDEX(DB,$B221,3),"")</f>
        <v/>
      </c>
      <c r="F221" s="275">
        <f t="array" ref="F221">IF($B221&gt;0,INDEX(DB,$B221,13),0)</f>
        <v>0</v>
      </c>
      <c r="G221" s="276">
        <f t="array" ref="G221">IF($B221&gt;0,INDEX(DB,$B221,17),0)</f>
        <v>0</v>
      </c>
      <c r="H221" s="277">
        <f t="array" ref="H221">IF($B221&gt;0,INDEX(DB,$B221,15),0)</f>
        <v>0</v>
      </c>
      <c r="I221" s="276">
        <f t="array" ref="I221">IF($B221&gt;0,INDEX(DB,$B221,19),0)</f>
        <v>0</v>
      </c>
      <c r="J221" s="277">
        <f t="array" ref="J221">IF($B221&gt;0,INDEX(DB,$B221,14),0)</f>
        <v>0</v>
      </c>
      <c r="K221" s="276">
        <f t="array" ref="K221">IF($B221&gt;0,INDEX(DB,$B221,18),0)</f>
        <v>0</v>
      </c>
      <c r="L221" s="275">
        <f t="array" ref="L221">IF($B221&gt;0,INDEX(DB,$B221,16),0)</f>
        <v>0</v>
      </c>
      <c r="M221" s="276">
        <f t="array" ref="M221">IF($B221&gt;0,INDEX(DB,$B221,20),0)</f>
        <v>0</v>
      </c>
      <c r="N221" s="278"/>
      <c r="O221" s="279">
        <f t="shared" si="1"/>
        <v>0</v>
      </c>
      <c r="P221" s="280"/>
      <c r="Q221" s="261" t="str">
        <f t="shared" si="2"/>
        <v>#REF!</v>
      </c>
      <c r="R221" s="290" t="str">
        <f>IF($AI221&gt;0,RANK($AI221,BoysPoints),0)</f>
        <v>#REF!</v>
      </c>
      <c r="S221" s="291" t="str">
        <f>IF($AJ221&gt;0,RANK($AJ221,GirlsPoints),0)</f>
        <v>#REF!</v>
      </c>
      <c r="T221" s="292">
        <f>IF($O221&gt;0,RANK(O221,AthletePoints),0)</f>
        <v>0</v>
      </c>
      <c r="U221" s="210"/>
      <c r="V221" s="330" t="str">
        <f>IF(O221&gt;=40,IF(X221="M",VLOOKUP(O221,UKABoysAwards,2),IF(X221="F",VLOOKUP(O221,UKAGirlsAwards,2),"")),"")</f>
        <v/>
      </c>
      <c r="W221" s="210"/>
      <c r="X221" s="266" t="str">
        <f t="array" ref="X221:X222">INDEX(DB,$B221,4)</f>
        <v>#REF!</v>
      </c>
      <c r="Y221" s="210"/>
      <c r="Z221" s="285" t="str">
        <f t="shared" si="3"/>
        <v>#REF!</v>
      </c>
      <c r="AA221" s="286" t="str">
        <f>IF($Z221&gt;=1,RANK($Z221,$Z213:$Z228),0)</f>
        <v>#REF!</v>
      </c>
      <c r="AB221" s="287" t="str">
        <f>IF(AA221&lt;=MaxS,INT(Z221),0)</f>
        <v>#REF!</v>
      </c>
      <c r="AC221" s="210"/>
      <c r="AD221" s="285" t="str">
        <f t="shared" si="4"/>
        <v>#REF!</v>
      </c>
      <c r="AE221" s="286" t="str">
        <f>IF($AD221&gt;=1,RANK($AD221,$AD213:$AD228),0)</f>
        <v>#REF!</v>
      </c>
      <c r="AF221" s="287" t="str">
        <f>IF(AE221&lt;=MaxS,INT(AD221),0)</f>
        <v>#REF!</v>
      </c>
      <c r="AG221" s="210"/>
      <c r="AH221" s="210"/>
      <c r="AI221" s="288" t="str">
        <f t="shared" si="5"/>
        <v>#REF!</v>
      </c>
      <c r="AJ221" s="289" t="str">
        <f t="shared" si="6"/>
        <v>#REF!</v>
      </c>
    </row>
    <row r="222" ht="15.0" customHeight="1">
      <c r="A222" s="272"/>
      <c r="B222" s="250">
        <f>IF(OR(ISNA(MATCH(C222&amp;"",AthleteNumbers,0)),ISBLANK(C222)),0,MATCH(C222&amp;"",AthleteNumbers,0))</f>
        <v>0</v>
      </c>
      <c r="C222" s="413"/>
      <c r="D222" s="273" t="str">
        <f t="array" ref="D222">IF($B222&gt;0,INDEX(DB,$B222,8),"")</f>
        <v/>
      </c>
      <c r="E222" s="274" t="str">
        <f t="array" ref="E222">IF($B222&gt;0,INDEX(DB,$B222,3),"")</f>
        <v/>
      </c>
      <c r="F222" s="275">
        <f t="array" ref="F222">IF($B222&gt;0,INDEX(DB,$B222,13),0)</f>
        <v>0</v>
      </c>
      <c r="G222" s="276">
        <f t="array" ref="G222">IF($B222&gt;0,INDEX(DB,$B222,17),0)</f>
        <v>0</v>
      </c>
      <c r="H222" s="277">
        <f t="array" ref="H222">IF($B222&gt;0,INDEX(DB,$B222,15),0)</f>
        <v>0</v>
      </c>
      <c r="I222" s="276">
        <f t="array" ref="I222">IF($B222&gt;0,INDEX(DB,$B222,19),0)</f>
        <v>0</v>
      </c>
      <c r="J222" s="277">
        <f t="array" ref="J222">IF($B222&gt;0,INDEX(DB,$B222,14),0)</f>
        <v>0</v>
      </c>
      <c r="K222" s="276">
        <f t="array" ref="K222">IF($B222&gt;0,INDEX(DB,$B222,18),0)</f>
        <v>0</v>
      </c>
      <c r="L222" s="275">
        <f t="array" ref="L222">IF($B222&gt;0,INDEX(DB,$B222,16),0)</f>
        <v>0</v>
      </c>
      <c r="M222" s="276">
        <f t="array" ref="M222">IF($B222&gt;0,INDEX(DB,$B222,20),0)</f>
        <v>0</v>
      </c>
      <c r="N222" s="278"/>
      <c r="O222" s="279">
        <f t="shared" si="1"/>
        <v>0</v>
      </c>
      <c r="P222" s="280"/>
      <c r="Q222" s="261" t="str">
        <f t="shared" si="2"/>
        <v>#REF!</v>
      </c>
      <c r="R222" s="281" t="str">
        <f>IF($AI222&gt;0,RANK($AI222,BoysPoints),0)</f>
        <v>#REF!</v>
      </c>
      <c r="S222" s="282" t="str">
        <f>IF($AJ222&gt;0,RANK($AJ222,GirlsPoints),0)</f>
        <v>#REF!</v>
      </c>
      <c r="T222" s="283">
        <f>IF($O222&gt;0,RANK(O222,AthletePoints),0)</f>
        <v>0</v>
      </c>
      <c r="U222" s="210"/>
      <c r="V222" s="415" t="str">
        <f>IF(O222&gt;=40,IF(X222="M",VLOOKUP(O222,UKABoysAwards,2),IF(X222="F",VLOOKUP(O222,UKAGirlsAwards,2),"")),"")</f>
        <v/>
      </c>
      <c r="W222" s="210"/>
      <c r="X222" s="266" t="str">
        <f t="array" ref="X222:X223">INDEX(DB,$B222,4)</f>
        <v>#REF!</v>
      </c>
      <c r="Y222" s="210"/>
      <c r="Z222" s="285" t="str">
        <f t="shared" si="3"/>
        <v>#REF!</v>
      </c>
      <c r="AA222" s="286" t="str">
        <f>IF($Z222&gt;=1,RANK($Z222,$Z213:$Z228),0)</f>
        <v>#REF!</v>
      </c>
      <c r="AB222" s="287" t="str">
        <f>IF(AA222&lt;=MaxS,INT(Z222),0)</f>
        <v>#REF!</v>
      </c>
      <c r="AC222" s="210"/>
      <c r="AD222" s="285" t="str">
        <f t="shared" si="4"/>
        <v>#REF!</v>
      </c>
      <c r="AE222" s="286" t="str">
        <f>IF($AD222&gt;=1,RANK($AD222,$AD213:$AD228),0)</f>
        <v>#REF!</v>
      </c>
      <c r="AF222" s="287" t="str">
        <f>IF(AE222&lt;=MaxS,INT(AD222),0)</f>
        <v>#REF!</v>
      </c>
      <c r="AG222" s="210"/>
      <c r="AH222" s="210"/>
      <c r="AI222" s="288" t="str">
        <f t="shared" si="5"/>
        <v>#REF!</v>
      </c>
      <c r="AJ222" s="289" t="str">
        <f t="shared" si="6"/>
        <v>#REF!</v>
      </c>
    </row>
    <row r="223" ht="15.0" customHeight="1">
      <c r="A223" s="272"/>
      <c r="B223" s="250">
        <f>IF(OR(ISNA(MATCH(C223&amp;"",AthleteNumbers,0)),ISBLANK(C223)),0,MATCH(C223&amp;"",AthleteNumbers,0))</f>
        <v>0</v>
      </c>
      <c r="C223" s="413"/>
      <c r="D223" s="273" t="str">
        <f t="array" ref="D223">IF($B223&gt;0,INDEX(DB,$B223,8),"")</f>
        <v/>
      </c>
      <c r="E223" s="274" t="str">
        <f t="array" ref="E223">IF($B223&gt;0,INDEX(DB,$B223,3),"")</f>
        <v/>
      </c>
      <c r="F223" s="275">
        <f t="array" ref="F223">IF($B223&gt;0,INDEX(DB,$B223,13),0)</f>
        <v>0</v>
      </c>
      <c r="G223" s="276">
        <f t="array" ref="G223">IF($B223&gt;0,INDEX(DB,$B223,17),0)</f>
        <v>0</v>
      </c>
      <c r="H223" s="277">
        <f t="array" ref="H223">IF($B223&gt;0,INDEX(DB,$B223,15),0)</f>
        <v>0</v>
      </c>
      <c r="I223" s="276">
        <f t="array" ref="I223">IF($B223&gt;0,INDEX(DB,$B223,19),0)</f>
        <v>0</v>
      </c>
      <c r="J223" s="277">
        <f t="array" ref="J223">IF($B223&gt;0,INDEX(DB,$B223,14),0)</f>
        <v>0</v>
      </c>
      <c r="K223" s="276">
        <f t="array" ref="K223">IF($B223&gt;0,INDEX(DB,$B223,18),0)</f>
        <v>0</v>
      </c>
      <c r="L223" s="275">
        <f t="array" ref="L223">IF($B223&gt;0,INDEX(DB,$B223,16),0)</f>
        <v>0</v>
      </c>
      <c r="M223" s="276">
        <f t="array" ref="M223">IF($B223&gt;0,INDEX(DB,$B223,20),0)</f>
        <v>0</v>
      </c>
      <c r="N223" s="278"/>
      <c r="O223" s="279">
        <f t="shared" si="1"/>
        <v>0</v>
      </c>
      <c r="P223" s="280"/>
      <c r="Q223" s="261" t="str">
        <f t="shared" si="2"/>
        <v>#REF!</v>
      </c>
      <c r="R223" s="290" t="str">
        <f>IF($AI223&gt;0,RANK($AI223,BoysPoints),0)</f>
        <v>#REF!</v>
      </c>
      <c r="S223" s="291" t="str">
        <f>IF($AJ223&gt;0,RANK($AJ223,GirlsPoints),0)</f>
        <v>#REF!</v>
      </c>
      <c r="T223" s="292">
        <f>IF($O223&gt;0,RANK(O223,AthletePoints),0)</f>
        <v>0</v>
      </c>
      <c r="U223" s="210"/>
      <c r="V223" s="330" t="str">
        <f>IF(O223&gt;=40,IF(X223="M",VLOOKUP(O223,UKABoysAwards,2),IF(X223="F",VLOOKUP(O223,UKAGirlsAwards,2),"")),"")</f>
        <v/>
      </c>
      <c r="W223" s="210"/>
      <c r="X223" s="266" t="str">
        <f t="array" ref="X223:X224">INDEX(DB,$B223,4)</f>
        <v>#REF!</v>
      </c>
      <c r="Y223" s="210"/>
      <c r="Z223" s="285" t="str">
        <f t="shared" si="3"/>
        <v>#REF!</v>
      </c>
      <c r="AA223" s="286" t="str">
        <f>IF($Z223&gt;=1,RANK($Z223,$Z213:$Z228),0)</f>
        <v>#REF!</v>
      </c>
      <c r="AB223" s="287" t="str">
        <f>IF(AA223&lt;=MaxS,INT(Z223),0)</f>
        <v>#REF!</v>
      </c>
      <c r="AC223" s="210"/>
      <c r="AD223" s="285" t="str">
        <f t="shared" si="4"/>
        <v>#REF!</v>
      </c>
      <c r="AE223" s="286" t="str">
        <f>IF($AD223&gt;=1,RANK($AD223,$AD213:$AD228),0)</f>
        <v>#REF!</v>
      </c>
      <c r="AF223" s="287" t="str">
        <f>IF(AE223&lt;=MaxS,INT(AD223),0)</f>
        <v>#REF!</v>
      </c>
      <c r="AG223" s="210"/>
      <c r="AH223" s="210"/>
      <c r="AI223" s="288" t="str">
        <f t="shared" si="5"/>
        <v>#REF!</v>
      </c>
      <c r="AJ223" s="289" t="str">
        <f t="shared" si="6"/>
        <v>#REF!</v>
      </c>
    </row>
    <row r="224" ht="15.0" customHeight="1">
      <c r="A224" s="272"/>
      <c r="B224" s="250">
        <f>IF(OR(ISNA(MATCH(C224&amp;"",AthleteNumbers,0)),ISBLANK(C224)),0,MATCH(C224&amp;"",AthleteNumbers,0))</f>
        <v>0</v>
      </c>
      <c r="C224" s="413"/>
      <c r="D224" s="273" t="str">
        <f t="array" ref="D224">IF($B224&gt;0,INDEX(DB,$B224,8),"")</f>
        <v/>
      </c>
      <c r="E224" s="274" t="str">
        <f t="array" ref="E224">IF($B224&gt;0,INDEX(DB,$B224,3),"")</f>
        <v/>
      </c>
      <c r="F224" s="275">
        <f t="array" ref="F224">IF($B224&gt;0,INDEX(DB,$B224,13),0)</f>
        <v>0</v>
      </c>
      <c r="G224" s="276">
        <f t="array" ref="G224">IF($B224&gt;0,INDEX(DB,$B224,17),0)</f>
        <v>0</v>
      </c>
      <c r="H224" s="277">
        <f t="array" ref="H224">IF($B224&gt;0,INDEX(DB,$B224,15),0)</f>
        <v>0</v>
      </c>
      <c r="I224" s="276">
        <f t="array" ref="I224">IF($B224&gt;0,INDEX(DB,$B224,19),0)</f>
        <v>0</v>
      </c>
      <c r="J224" s="277">
        <f t="array" ref="J224">IF($B224&gt;0,INDEX(DB,$B224,14),0)</f>
        <v>0</v>
      </c>
      <c r="K224" s="276">
        <f t="array" ref="K224">IF($B224&gt;0,INDEX(DB,$B224,18),0)</f>
        <v>0</v>
      </c>
      <c r="L224" s="275">
        <f t="array" ref="L224">IF($B224&gt;0,INDEX(DB,$B224,16),0)</f>
        <v>0</v>
      </c>
      <c r="M224" s="276">
        <f t="array" ref="M224">IF($B224&gt;0,INDEX(DB,$B224,20),0)</f>
        <v>0</v>
      </c>
      <c r="N224" s="278"/>
      <c r="O224" s="279">
        <f t="shared" si="1"/>
        <v>0</v>
      </c>
      <c r="P224" s="280"/>
      <c r="Q224" s="261" t="str">
        <f t="shared" si="2"/>
        <v>#REF!</v>
      </c>
      <c r="R224" s="281" t="str">
        <f>IF($AI224&gt;0,RANK($AI224,BoysPoints),0)</f>
        <v>#REF!</v>
      </c>
      <c r="S224" s="282" t="str">
        <f>IF($AJ224&gt;0,RANK($AJ224,GirlsPoints),0)</f>
        <v>#REF!</v>
      </c>
      <c r="T224" s="283">
        <f>IF($O224&gt;0,RANK(O224,AthletePoints),0)</f>
        <v>0</v>
      </c>
      <c r="U224" s="210"/>
      <c r="V224" s="415" t="str">
        <f>IF(O224&gt;=40,IF(X224="M",VLOOKUP(O224,UKABoysAwards,2),IF(X224="F",VLOOKUP(O224,UKAGirlsAwards,2),"")),"")</f>
        <v/>
      </c>
      <c r="W224" s="210"/>
      <c r="X224" s="266" t="str">
        <f t="array" ref="X224:X225">INDEX(DB,$B224,4)</f>
        <v>#REF!</v>
      </c>
      <c r="Y224" s="210"/>
      <c r="Z224" s="285" t="str">
        <f t="shared" si="3"/>
        <v>#REF!</v>
      </c>
      <c r="AA224" s="286" t="str">
        <f>IF($Z224&gt;=1,RANK($Z224,$Z213:$Z228),0)</f>
        <v>#REF!</v>
      </c>
      <c r="AB224" s="287" t="str">
        <f>IF(AA224&lt;=MaxS,INT(Z224),0)</f>
        <v>#REF!</v>
      </c>
      <c r="AC224" s="210"/>
      <c r="AD224" s="285" t="str">
        <f t="shared" si="4"/>
        <v>#REF!</v>
      </c>
      <c r="AE224" s="286" t="str">
        <f>IF($AD224&gt;=1,RANK($AD224,$AD213:$AD228),0)</f>
        <v>#REF!</v>
      </c>
      <c r="AF224" s="287" t="str">
        <f>IF(AE224&lt;=MaxS,INT(AD224),0)</f>
        <v>#REF!</v>
      </c>
      <c r="AG224" s="210"/>
      <c r="AH224" s="210"/>
      <c r="AI224" s="288" t="str">
        <f t="shared" si="5"/>
        <v>#REF!</v>
      </c>
      <c r="AJ224" s="289" t="str">
        <f t="shared" si="6"/>
        <v>#REF!</v>
      </c>
    </row>
    <row r="225" ht="15.0" customHeight="1">
      <c r="A225" s="272"/>
      <c r="B225" s="250">
        <f>IF(OR(ISNA(MATCH(C225&amp;"",AthleteNumbers,0)),ISBLANK(C225)),0,MATCH(C225&amp;"",AthleteNumbers,0))</f>
        <v>0</v>
      </c>
      <c r="C225" s="413"/>
      <c r="D225" s="273" t="str">
        <f t="array" ref="D225">IF($B225&gt;0,INDEX(DB,$B225,8),"")</f>
        <v/>
      </c>
      <c r="E225" s="274" t="str">
        <f t="array" ref="E225">IF($B225&gt;0,INDEX(DB,$B225,3),"")</f>
        <v/>
      </c>
      <c r="F225" s="275">
        <f t="array" ref="F225">IF($B225&gt;0,INDEX(DB,$B225,13),0)</f>
        <v>0</v>
      </c>
      <c r="G225" s="276">
        <f t="array" ref="G225">IF($B225&gt;0,INDEX(DB,$B225,17),0)</f>
        <v>0</v>
      </c>
      <c r="H225" s="277">
        <f t="array" ref="H225">IF($B225&gt;0,INDEX(DB,$B225,15),0)</f>
        <v>0</v>
      </c>
      <c r="I225" s="276">
        <f t="array" ref="I225">IF($B225&gt;0,INDEX(DB,$B225,19),0)</f>
        <v>0</v>
      </c>
      <c r="J225" s="277">
        <f t="array" ref="J225">IF($B225&gt;0,INDEX(DB,$B225,14),0)</f>
        <v>0</v>
      </c>
      <c r="K225" s="276">
        <f t="array" ref="K225">IF($B225&gt;0,INDEX(DB,$B225,18),0)</f>
        <v>0</v>
      </c>
      <c r="L225" s="275">
        <f t="array" ref="L225">IF($B225&gt;0,INDEX(DB,$B225,16),0)</f>
        <v>0</v>
      </c>
      <c r="M225" s="276">
        <f t="array" ref="M225">IF($B225&gt;0,INDEX(DB,$B225,20),0)</f>
        <v>0</v>
      </c>
      <c r="N225" s="278"/>
      <c r="O225" s="279">
        <f t="shared" si="1"/>
        <v>0</v>
      </c>
      <c r="P225" s="280"/>
      <c r="Q225" s="261" t="str">
        <f t="shared" si="2"/>
        <v>#REF!</v>
      </c>
      <c r="R225" s="290" t="str">
        <f>IF($AI225&gt;0,RANK($AI225,BoysPoints),0)</f>
        <v>#REF!</v>
      </c>
      <c r="S225" s="291" t="str">
        <f>IF($AJ225&gt;0,RANK($AJ225,GirlsPoints),0)</f>
        <v>#REF!</v>
      </c>
      <c r="T225" s="292">
        <f>IF($O225&gt;0,RANK(O225,AthletePoints),0)</f>
        <v>0</v>
      </c>
      <c r="U225" s="210"/>
      <c r="V225" s="330" t="str">
        <f>IF(O225&gt;=40,IF(X225="M",VLOOKUP(O225,UKABoysAwards,2),IF(X225="F",VLOOKUP(O225,UKAGirlsAwards,2),"")),"")</f>
        <v/>
      </c>
      <c r="W225" s="210"/>
      <c r="X225" s="266" t="str">
        <f t="array" ref="X225:X226">INDEX(DB,$B225,4)</f>
        <v>#REF!</v>
      </c>
      <c r="Y225" s="210"/>
      <c r="Z225" s="285" t="str">
        <f t="shared" si="3"/>
        <v>#REF!</v>
      </c>
      <c r="AA225" s="286" t="str">
        <f>IF($Z225&gt;=1,RANK($Z225,$Z213:$Z228),0)</f>
        <v>#REF!</v>
      </c>
      <c r="AB225" s="287" t="str">
        <f>IF(AA225&lt;=MaxS,INT(Z225),0)</f>
        <v>#REF!</v>
      </c>
      <c r="AC225" s="210"/>
      <c r="AD225" s="285" t="str">
        <f t="shared" si="4"/>
        <v>#REF!</v>
      </c>
      <c r="AE225" s="286" t="str">
        <f>IF($AD225&gt;=1,RANK($AD225,$AD213:$AD228),0)</f>
        <v>#REF!</v>
      </c>
      <c r="AF225" s="287" t="str">
        <f>IF(AE225&lt;=MaxS,INT(AD225),0)</f>
        <v>#REF!</v>
      </c>
      <c r="AG225" s="210"/>
      <c r="AH225" s="210"/>
      <c r="AI225" s="288" t="str">
        <f t="shared" si="5"/>
        <v>#REF!</v>
      </c>
      <c r="AJ225" s="289" t="str">
        <f t="shared" si="6"/>
        <v>#REF!</v>
      </c>
    </row>
    <row r="226" ht="15.0" customHeight="1">
      <c r="A226" s="272"/>
      <c r="B226" s="250">
        <f>IF(OR(ISNA(MATCH(C226&amp;"",AthleteNumbers,0)),ISBLANK(C226)),0,MATCH(C226&amp;"",AthleteNumbers,0))</f>
        <v>0</v>
      </c>
      <c r="C226" s="413"/>
      <c r="D226" s="273" t="str">
        <f t="array" ref="D226">IF($B226&gt;0,INDEX(DB,$B226,8),"")</f>
        <v/>
      </c>
      <c r="E226" s="274" t="str">
        <f t="array" ref="E226">IF($B226&gt;0,INDEX(DB,$B226,3),"")</f>
        <v/>
      </c>
      <c r="F226" s="275">
        <f t="array" ref="F226">IF($B226&gt;0,INDEX(DB,$B226,13),0)</f>
        <v>0</v>
      </c>
      <c r="G226" s="276">
        <f t="array" ref="G226">IF($B226&gt;0,INDEX(DB,$B226,17),0)</f>
        <v>0</v>
      </c>
      <c r="H226" s="277">
        <f t="array" ref="H226">IF($B226&gt;0,INDEX(DB,$B226,15),0)</f>
        <v>0</v>
      </c>
      <c r="I226" s="276">
        <f t="array" ref="I226">IF($B226&gt;0,INDEX(DB,$B226,19),0)</f>
        <v>0</v>
      </c>
      <c r="J226" s="277">
        <f t="array" ref="J226">IF($B226&gt;0,INDEX(DB,$B226,14),0)</f>
        <v>0</v>
      </c>
      <c r="K226" s="276">
        <f t="array" ref="K226">IF($B226&gt;0,INDEX(DB,$B226,18),0)</f>
        <v>0</v>
      </c>
      <c r="L226" s="275">
        <f t="array" ref="L226">IF($B226&gt;0,INDEX(DB,$B226,16),0)</f>
        <v>0</v>
      </c>
      <c r="M226" s="276">
        <f t="array" ref="M226">IF($B226&gt;0,INDEX(DB,$B226,20),0)</f>
        <v>0</v>
      </c>
      <c r="N226" s="278"/>
      <c r="O226" s="279">
        <f t="shared" si="1"/>
        <v>0</v>
      </c>
      <c r="P226" s="280"/>
      <c r="Q226" s="261" t="str">
        <f t="shared" si="2"/>
        <v>#REF!</v>
      </c>
      <c r="R226" s="281" t="str">
        <f>IF($AI226&gt;0,RANK($AI226,BoysPoints),0)</f>
        <v>#REF!</v>
      </c>
      <c r="S226" s="282" t="str">
        <f>IF($AJ226&gt;0,RANK($AJ226,GirlsPoints),0)</f>
        <v>#REF!</v>
      </c>
      <c r="T226" s="283">
        <f>IF($O226&gt;0,RANK(O226,AthletePoints),0)</f>
        <v>0</v>
      </c>
      <c r="U226" s="210"/>
      <c r="V226" s="415" t="str">
        <f>IF(O226&gt;=40,IF(X226="M",VLOOKUP(O226,UKABoysAwards,2),IF(X226="F",VLOOKUP(O226,UKAGirlsAwards,2),"")),"")</f>
        <v/>
      </c>
      <c r="W226" s="210"/>
      <c r="X226" s="266" t="str">
        <f t="array" ref="X226:X227">INDEX(DB,$B226,4)</f>
        <v>#REF!</v>
      </c>
      <c r="Y226" s="210"/>
      <c r="Z226" s="285" t="str">
        <f t="shared" si="3"/>
        <v>#REF!</v>
      </c>
      <c r="AA226" s="286" t="str">
        <f>IF($Z226&gt;=1,RANK($Z226,$Z213:$Z228),0)</f>
        <v>#REF!</v>
      </c>
      <c r="AB226" s="287" t="str">
        <f>IF(AA226&lt;=MaxS,INT(Z226),0)</f>
        <v>#REF!</v>
      </c>
      <c r="AC226" s="210"/>
      <c r="AD226" s="285" t="str">
        <f t="shared" si="4"/>
        <v>#REF!</v>
      </c>
      <c r="AE226" s="286" t="str">
        <f>IF($AD226&gt;=1,RANK($AD226,$AD213:$AD228),0)</f>
        <v>#REF!</v>
      </c>
      <c r="AF226" s="287" t="str">
        <f>IF(AE226&lt;=MaxS,INT(AD226),0)</f>
        <v>#REF!</v>
      </c>
      <c r="AG226" s="210"/>
      <c r="AH226" s="210"/>
      <c r="AI226" s="288" t="str">
        <f t="shared" si="5"/>
        <v>#REF!</v>
      </c>
      <c r="AJ226" s="289" t="str">
        <f t="shared" si="6"/>
        <v>#REF!</v>
      </c>
    </row>
    <row r="227" ht="15.0" customHeight="1">
      <c r="A227" s="272"/>
      <c r="B227" s="250">
        <f>IF(OR(ISNA(MATCH(C227&amp;"",AthleteNumbers,0)),ISBLANK(C227)),0,MATCH(C227&amp;"",AthleteNumbers,0))</f>
        <v>0</v>
      </c>
      <c r="C227" s="413"/>
      <c r="D227" s="273" t="str">
        <f t="array" ref="D227">IF($B227&gt;0,INDEX(DB,$B227,8),"")</f>
        <v/>
      </c>
      <c r="E227" s="274" t="str">
        <f t="array" ref="E227">IF($B227&gt;0,INDEX(DB,$B227,3),"")</f>
        <v/>
      </c>
      <c r="F227" s="275">
        <f t="array" ref="F227">IF($B227&gt;0,INDEX(DB,$B227,13),0)</f>
        <v>0</v>
      </c>
      <c r="G227" s="276">
        <f t="array" ref="G227">IF($B227&gt;0,INDEX(DB,$B227,17),0)</f>
        <v>0</v>
      </c>
      <c r="H227" s="277">
        <f t="array" ref="H227">IF($B227&gt;0,INDEX(DB,$B227,15),0)</f>
        <v>0</v>
      </c>
      <c r="I227" s="276">
        <f t="array" ref="I227">IF($B227&gt;0,INDEX(DB,$B227,19),0)</f>
        <v>0</v>
      </c>
      <c r="J227" s="277">
        <f t="array" ref="J227">IF($B227&gt;0,INDEX(DB,$B227,14),0)</f>
        <v>0</v>
      </c>
      <c r="K227" s="276">
        <f t="array" ref="K227">IF($B227&gt;0,INDEX(DB,$B227,18),0)</f>
        <v>0</v>
      </c>
      <c r="L227" s="275">
        <f t="array" ref="L227">IF($B227&gt;0,INDEX(DB,$B227,16),0)</f>
        <v>0</v>
      </c>
      <c r="M227" s="276">
        <f t="array" ref="M227">IF($B227&gt;0,INDEX(DB,$B227,20),0)</f>
        <v>0</v>
      </c>
      <c r="N227" s="278"/>
      <c r="O227" s="279">
        <f t="shared" si="1"/>
        <v>0</v>
      </c>
      <c r="P227" s="280"/>
      <c r="Q227" s="261" t="str">
        <f t="shared" si="2"/>
        <v>#REF!</v>
      </c>
      <c r="R227" s="290" t="str">
        <f>IF($AI227&gt;0,RANK($AI227,BoysPoints),0)</f>
        <v>#REF!</v>
      </c>
      <c r="S227" s="291" t="str">
        <f>IF($AJ227&gt;0,RANK($AJ227,GirlsPoints),0)</f>
        <v>#REF!</v>
      </c>
      <c r="T227" s="292">
        <f>IF($O227&gt;0,RANK(O227,AthletePoints),0)</f>
        <v>0</v>
      </c>
      <c r="U227" s="210"/>
      <c r="V227" s="330" t="str">
        <f>IF(O227&gt;=40,IF(X227="M",VLOOKUP(O227,UKABoysAwards,2),IF(X227="F",VLOOKUP(O227,UKAGirlsAwards,2),"")),"")</f>
        <v/>
      </c>
      <c r="W227" s="210"/>
      <c r="X227" s="266" t="str">
        <f t="array" ref="X227:X228">INDEX(DB,$B227,4)</f>
        <v>#REF!</v>
      </c>
      <c r="Y227" s="210"/>
      <c r="Z227" s="285" t="str">
        <f t="shared" si="3"/>
        <v>#REF!</v>
      </c>
      <c r="AA227" s="286" t="str">
        <f>IF($Z227&gt;=1,RANK($Z227,$Z213:$Z228),0)</f>
        <v>#REF!</v>
      </c>
      <c r="AB227" s="287" t="str">
        <f>IF(AA227&lt;=MaxS,INT(Z227),0)</f>
        <v>#REF!</v>
      </c>
      <c r="AC227" s="210"/>
      <c r="AD227" s="285" t="str">
        <f t="shared" si="4"/>
        <v>#REF!</v>
      </c>
      <c r="AE227" s="286" t="str">
        <f>IF($AD227&gt;=1,RANK($AD227,$AD213:$AD228),0)</f>
        <v>#REF!</v>
      </c>
      <c r="AF227" s="287" t="str">
        <f>IF(AE227&lt;=MaxS,INT(AD227),0)</f>
        <v>#REF!</v>
      </c>
      <c r="AG227" s="210"/>
      <c r="AH227" s="210"/>
      <c r="AI227" s="288" t="str">
        <f t="shared" si="5"/>
        <v>#REF!</v>
      </c>
      <c r="AJ227" s="289" t="str">
        <f t="shared" si="6"/>
        <v>#REF!</v>
      </c>
    </row>
    <row r="228" ht="15.0" customHeight="1">
      <c r="A228" s="305"/>
      <c r="B228" s="250">
        <f>IF(OR(ISNA(MATCH(C228&amp;"",AthleteNumbers,0)),ISBLANK(C228)),0,MATCH(C228&amp;"",AthleteNumbers,0))</f>
        <v>0</v>
      </c>
      <c r="C228" s="443"/>
      <c r="D228" s="306" t="str">
        <f t="array" ref="D228">IF($B228&gt;0,INDEX(DB,$B228,8),"")</f>
        <v/>
      </c>
      <c r="E228" s="307" t="str">
        <f t="array" ref="E228">IF($B228&gt;0,INDEX(DB,$B228,3),"")</f>
        <v/>
      </c>
      <c r="F228" s="308">
        <f t="array" ref="F228">IF($B228&gt;0,INDEX(DB,$B228,13),0)</f>
        <v>0</v>
      </c>
      <c r="G228" s="309">
        <f t="array" ref="G228">IF($B228&gt;0,INDEX(DB,$B228,17),0)</f>
        <v>0</v>
      </c>
      <c r="H228" s="310">
        <f t="array" ref="H228">IF($B228&gt;0,INDEX(DB,$B228,15),0)</f>
        <v>0</v>
      </c>
      <c r="I228" s="309">
        <f t="array" ref="I228">IF($B228&gt;0,INDEX(DB,$B228,19),0)</f>
        <v>0</v>
      </c>
      <c r="J228" s="310">
        <f t="array" ref="J228">IF($B228&gt;0,INDEX(DB,$B228,14),0)</f>
        <v>0</v>
      </c>
      <c r="K228" s="309">
        <f t="array" ref="K228">IF($B228&gt;0,INDEX(DB,$B228,18),0)</f>
        <v>0</v>
      </c>
      <c r="L228" s="308">
        <f t="array" ref="L228">IF($B228&gt;0,INDEX(DB,$B228,16),0)</f>
        <v>0</v>
      </c>
      <c r="M228" s="309">
        <f t="array" ref="M228">IF($B228&gt;0,INDEX(DB,$B228,20),0)</f>
        <v>0</v>
      </c>
      <c r="N228" s="25"/>
      <c r="O228" s="311">
        <f t="shared" si="1"/>
        <v>0</v>
      </c>
      <c r="P228" s="31"/>
      <c r="Q228" s="261" t="str">
        <f t="shared" si="2"/>
        <v>#REF!</v>
      </c>
      <c r="R228" s="312" t="str">
        <f>IF($AI228&gt;0,RANK($AI228,BoysPoints),0)</f>
        <v>#REF!</v>
      </c>
      <c r="S228" s="313" t="str">
        <f>IF($AJ228&gt;0,RANK($AJ228,GirlsPoints),0)</f>
        <v>#REF!</v>
      </c>
      <c r="T228" s="314">
        <f>IF($O228&gt;0,RANK(O228,AthletePoints),0)</f>
        <v>0</v>
      </c>
      <c r="U228" s="210"/>
      <c r="V228" s="444" t="str">
        <f>IF(O228&gt;=40,IF(X228="M",VLOOKUP(O228,UKABoysAwards,2),IF(X228="F",VLOOKUP(O228,UKAGirlsAwards,2),"")),"")</f>
        <v/>
      </c>
      <c r="W228" s="210"/>
      <c r="X228" s="266" t="str">
        <f t="array" ref="X228:X229">INDEX(DB,$B228,4)</f>
        <v>#REF!</v>
      </c>
      <c r="Y228" s="210"/>
      <c r="Z228" s="316" t="str">
        <f t="shared" si="3"/>
        <v>#REF!</v>
      </c>
      <c r="AA228" s="243" t="str">
        <f>IF($Z228&gt;=1,RANK($Z228,$Z213:$Z228),0)</f>
        <v>#REF!</v>
      </c>
      <c r="AB228" s="245" t="str">
        <f>IF(AA228&lt;=MaxS,INT(Z228),0)</f>
        <v>#REF!</v>
      </c>
      <c r="AC228" s="210" t="str">
        <f>SUM(AB213:AB228)</f>
        <v>#REF!</v>
      </c>
      <c r="AD228" s="316" t="str">
        <f t="shared" si="4"/>
        <v>#REF!</v>
      </c>
      <c r="AE228" s="243" t="str">
        <f>IF($AD228&gt;=1,RANK($AD228,$AD213:$AD228),0)</f>
        <v>#REF!</v>
      </c>
      <c r="AF228" s="245" t="str">
        <f>IF(AE228&lt;=MaxS,INT(AD228),0)</f>
        <v>#REF!</v>
      </c>
      <c r="AG228" s="210" t="str">
        <f>SUM(AF213:AF228)</f>
        <v>#REF!</v>
      </c>
      <c r="AH228" s="210"/>
      <c r="AI228" s="246" t="str">
        <f t="shared" si="5"/>
        <v>#REF!</v>
      </c>
      <c r="AJ228" s="247" t="str">
        <f t="shared" si="6"/>
        <v>#REF!</v>
      </c>
    </row>
    <row r="229" ht="15.0" customHeight="1">
      <c r="A229" s="248"/>
      <c r="B229" s="250">
        <f>IF(OR(ISNA(MATCH(C229&amp;"",AthleteNumbers,0)),ISBLANK(C229)),0,MATCH(C229&amp;"",AthleteNumbers,0))</f>
        <v>0</v>
      </c>
      <c r="C229" s="251"/>
      <c r="D229" s="252" t="str">
        <f t="array" ref="D229">IF($B229&gt;0,INDEX(DB,$B229,8),"")</f>
        <v/>
      </c>
      <c r="E229" s="253" t="str">
        <f t="array" ref="E229">IF($B229&gt;0,INDEX(DB,$B229,3),"")</f>
        <v/>
      </c>
      <c r="F229" s="254">
        <f t="array" ref="F229">IF($B229&gt;0,INDEX(DB,$B229,13),0)</f>
        <v>0</v>
      </c>
      <c r="G229" s="255">
        <f t="array" ref="G229">IF($B229&gt;0,INDEX(DB,$B229,17),0)</f>
        <v>0</v>
      </c>
      <c r="H229" s="257">
        <f t="array" ref="H229">IF($B229&gt;0,INDEX(DB,$B229,15),0)</f>
        <v>0</v>
      </c>
      <c r="I229" s="255">
        <f t="array" ref="I229">IF($B229&gt;0,INDEX(DB,$B229,19),0)</f>
        <v>0</v>
      </c>
      <c r="J229" s="257">
        <f t="array" ref="J229">IF($B229&gt;0,INDEX(DB,$B229,14),0)</f>
        <v>0</v>
      </c>
      <c r="K229" s="255">
        <f t="array" ref="K229">IF($B229&gt;0,INDEX(DB,$B229,18),0)</f>
        <v>0</v>
      </c>
      <c r="L229" s="254">
        <f t="array" ref="L229">IF($B229&gt;0,INDEX(DB,$B229,16),0)</f>
        <v>0</v>
      </c>
      <c r="M229" s="255">
        <f t="array" ref="M229">IF($B229&gt;0,INDEX(DB,$B229,20),0)</f>
        <v>0</v>
      </c>
      <c r="N229" s="258" t="str">
        <f t="array" ref="N229:N245">INDEX(RelayPoints,A244)</f>
        <v>#REF!</v>
      </c>
      <c r="O229" s="259">
        <f t="shared" si="1"/>
        <v>0</v>
      </c>
      <c r="P229" s="260" t="str">
        <f>+AC244+AG244+N229</f>
        <v>#REF!</v>
      </c>
      <c r="Q229" s="261" t="str">
        <f t="shared" si="2"/>
        <v>#REF!</v>
      </c>
      <c r="R229" s="262" t="str">
        <f>IF($AI229&gt;0,RANK($AI229,BoysPoints),0)</f>
        <v>#REF!</v>
      </c>
      <c r="S229" s="263" t="str">
        <f>IF($AJ229&gt;0,RANK($AJ229,GirlsPoints),0)</f>
        <v>#REF!</v>
      </c>
      <c r="T229" s="264">
        <f>IF($O229&gt;0,RANK(O229,AthletePoints),0)</f>
        <v>0</v>
      </c>
      <c r="U229" s="210"/>
      <c r="V229" s="317" t="str">
        <f>IF(O229&gt;=40,IF(X229="M",VLOOKUP(O229,UKABoysAwards,2),IF(X229="F",VLOOKUP(O229,UKAGirlsAwards,2),"")),"")</f>
        <v/>
      </c>
      <c r="W229" s="210"/>
      <c r="X229" s="266" t="str">
        <f t="array" ref="X229:X230">INDEX(DB,$B229,4)</f>
        <v>#REF!</v>
      </c>
      <c r="Y229" s="210"/>
      <c r="Z229" s="267" t="str">
        <f t="shared" si="3"/>
        <v>#REF!</v>
      </c>
      <c r="AA229" s="268" t="str">
        <f>IF($Z229&gt;=1,RANK($Z229,$Z229:$Z244),0)</f>
        <v>#REF!</v>
      </c>
      <c r="AB229" s="269" t="str">
        <f>IF(AA229&lt;=MaxS,INT(Z229),0)</f>
        <v>#REF!</v>
      </c>
      <c r="AC229" s="210"/>
      <c r="AD229" s="267" t="str">
        <f t="shared" si="4"/>
        <v>#REF!</v>
      </c>
      <c r="AE229" s="268" t="str">
        <f>IF($AD229&gt;=1,RANK($AD229,$AD229:$AD244),0)</f>
        <v>#REF!</v>
      </c>
      <c r="AF229" s="269" t="str">
        <f>IF(AE229&lt;=MaxS,INT(AD229),0)</f>
        <v>#REF!</v>
      </c>
      <c r="AG229" s="210"/>
      <c r="AH229" s="210"/>
      <c r="AI229" s="288" t="str">
        <f t="shared" si="5"/>
        <v>#REF!</v>
      </c>
      <c r="AJ229" s="289" t="str">
        <f t="shared" si="6"/>
        <v>#REF!</v>
      </c>
    </row>
    <row r="230" ht="15.0" customHeight="1">
      <c r="A230" s="272"/>
      <c r="B230" s="250">
        <f>IF(OR(ISNA(MATCH(C230&amp;"",AthleteNumbers,0)),ISBLANK(C230)),0,MATCH(C230&amp;"",AthleteNumbers,0))</f>
        <v>0</v>
      </c>
      <c r="C230" s="413"/>
      <c r="D230" s="273" t="str">
        <f t="array" ref="D230">IF($B230&gt;0,INDEX(DB,$B230,8),"")</f>
        <v/>
      </c>
      <c r="E230" s="274" t="str">
        <f t="array" ref="E230">IF($B230&gt;0,INDEX(DB,$B230,3),"")</f>
        <v/>
      </c>
      <c r="F230" s="275">
        <f t="array" ref="F230">IF($B230&gt;0,INDEX(DB,$B230,13),0)</f>
        <v>0</v>
      </c>
      <c r="G230" s="276">
        <f t="array" ref="G230">IF($B230&gt;0,INDEX(DB,$B230,17),0)</f>
        <v>0</v>
      </c>
      <c r="H230" s="277">
        <f t="array" ref="H230">IF($B230&gt;0,INDEX(DB,$B230,15),0)</f>
        <v>0</v>
      </c>
      <c r="I230" s="276">
        <f t="array" ref="I230">IF($B230&gt;0,INDEX(DB,$B230,19),0)</f>
        <v>0</v>
      </c>
      <c r="J230" s="277">
        <f t="array" ref="J230">IF($B230&gt;0,INDEX(DB,$B230,14),0)</f>
        <v>0</v>
      </c>
      <c r="K230" s="276">
        <f t="array" ref="K230">IF($B230&gt;0,INDEX(DB,$B230,18),0)</f>
        <v>0</v>
      </c>
      <c r="L230" s="275">
        <f t="array" ref="L230">IF($B230&gt;0,INDEX(DB,$B230,16),0)</f>
        <v>0</v>
      </c>
      <c r="M230" s="276">
        <f t="array" ref="M230">IF($B230&gt;0,INDEX(DB,$B230,20),0)</f>
        <v>0</v>
      </c>
      <c r="N230" s="278"/>
      <c r="O230" s="279">
        <f t="shared" si="1"/>
        <v>0</v>
      </c>
      <c r="P230" s="280"/>
      <c r="Q230" s="261" t="str">
        <f t="shared" si="2"/>
        <v>#REF!</v>
      </c>
      <c r="R230" s="281" t="str">
        <f>IF($AI230&gt;0,RANK($AI230,BoysPoints),0)</f>
        <v>#REF!</v>
      </c>
      <c r="S230" s="282" t="str">
        <f>IF($AJ230&gt;0,RANK($AJ230,GirlsPoints),0)</f>
        <v>#REF!</v>
      </c>
      <c r="T230" s="283">
        <f>IF($O230&gt;0,RANK(O230,AthletePoints),0)</f>
        <v>0</v>
      </c>
      <c r="U230" s="210"/>
      <c r="V230" s="415" t="str">
        <f>IF(O230&gt;=40,IF(X230="M",VLOOKUP(O230,UKABoysAwards,2),IF(X230="F",VLOOKUP(O230,UKAGirlsAwards,2),"")),"")</f>
        <v/>
      </c>
      <c r="W230" s="210"/>
      <c r="X230" s="266" t="str">
        <f t="array" ref="X230:X231">INDEX(DB,$B230,4)</f>
        <v>#REF!</v>
      </c>
      <c r="Y230" s="210"/>
      <c r="Z230" s="285" t="str">
        <f t="shared" si="3"/>
        <v>#REF!</v>
      </c>
      <c r="AA230" s="286" t="str">
        <f>IF($Z230&gt;=1,RANK($Z230,$Z229:$Z244),0)</f>
        <v>#REF!</v>
      </c>
      <c r="AB230" s="287" t="str">
        <f>IF(AA230&lt;=MaxS,INT(Z230),0)</f>
        <v>#REF!</v>
      </c>
      <c r="AC230" s="210"/>
      <c r="AD230" s="285" t="str">
        <f t="shared" si="4"/>
        <v>#REF!</v>
      </c>
      <c r="AE230" s="286" t="str">
        <f>IF($AD230&gt;=1,RANK($AD230,$AD229:$AD244),0)</f>
        <v>#REF!</v>
      </c>
      <c r="AF230" s="287" t="str">
        <f>IF(AE230&lt;=MaxS,INT(AD230),0)</f>
        <v>#REF!</v>
      </c>
      <c r="AG230" s="210"/>
      <c r="AH230" s="210"/>
      <c r="AI230" s="288" t="str">
        <f t="shared" si="5"/>
        <v>#REF!</v>
      </c>
      <c r="AJ230" s="289" t="str">
        <f t="shared" si="6"/>
        <v>#REF!</v>
      </c>
    </row>
    <row r="231" ht="15.0" customHeight="1">
      <c r="A231" s="272"/>
      <c r="B231" s="250">
        <f>IF(OR(ISNA(MATCH(C231&amp;"",AthleteNumbers,0)),ISBLANK(C231)),0,MATCH(C231&amp;"",AthleteNumbers,0))</f>
        <v>0</v>
      </c>
      <c r="C231" s="413"/>
      <c r="D231" s="273" t="str">
        <f t="array" ref="D231">IF($B231&gt;0,INDEX(DB,$B231,8),"")</f>
        <v/>
      </c>
      <c r="E231" s="274" t="str">
        <f t="array" ref="E231">IF($B231&gt;0,INDEX(DB,$B231,3),"")</f>
        <v/>
      </c>
      <c r="F231" s="275">
        <f t="array" ref="F231">IF($B231&gt;0,INDEX(DB,$B231,13),0)</f>
        <v>0</v>
      </c>
      <c r="G231" s="276">
        <f t="array" ref="G231">IF($B231&gt;0,INDEX(DB,$B231,17),0)</f>
        <v>0</v>
      </c>
      <c r="H231" s="277">
        <f t="array" ref="H231">IF($B231&gt;0,INDEX(DB,$B231,15),0)</f>
        <v>0</v>
      </c>
      <c r="I231" s="276">
        <f t="array" ref="I231">IF($B231&gt;0,INDEX(DB,$B231,19),0)</f>
        <v>0</v>
      </c>
      <c r="J231" s="277">
        <f t="array" ref="J231">IF($B231&gt;0,INDEX(DB,$B231,14),0)</f>
        <v>0</v>
      </c>
      <c r="K231" s="276">
        <f t="array" ref="K231">IF($B231&gt;0,INDEX(DB,$B231,18),0)</f>
        <v>0</v>
      </c>
      <c r="L231" s="275">
        <f t="array" ref="L231">IF($B231&gt;0,INDEX(DB,$B231,16),0)</f>
        <v>0</v>
      </c>
      <c r="M231" s="276">
        <f t="array" ref="M231">IF($B231&gt;0,INDEX(DB,$B231,20),0)</f>
        <v>0</v>
      </c>
      <c r="N231" s="278"/>
      <c r="O231" s="279">
        <f t="shared" si="1"/>
        <v>0</v>
      </c>
      <c r="P231" s="280"/>
      <c r="Q231" s="261" t="str">
        <f t="shared" si="2"/>
        <v>#REF!</v>
      </c>
      <c r="R231" s="290" t="str">
        <f>IF($AI231&gt;0,RANK($AI231,BoysPoints),0)</f>
        <v>#REF!</v>
      </c>
      <c r="S231" s="291" t="str">
        <f>IF($AJ231&gt;0,RANK($AJ231,GirlsPoints),0)</f>
        <v>#REF!</v>
      </c>
      <c r="T231" s="292">
        <f>IF($O231&gt;0,RANK(O231,AthletePoints),0)</f>
        <v>0</v>
      </c>
      <c r="U231" s="210"/>
      <c r="V231" s="330" t="str">
        <f>IF(O231&gt;=40,IF(X231="M",VLOOKUP(O231,UKABoysAwards,2),IF(X231="F",VLOOKUP(O231,UKAGirlsAwards,2),"")),"")</f>
        <v/>
      </c>
      <c r="W231" s="210"/>
      <c r="X231" s="266" t="str">
        <f t="array" ref="X231:X232">INDEX(DB,$B231,4)</f>
        <v>#REF!</v>
      </c>
      <c r="Y231" s="210"/>
      <c r="Z231" s="285" t="str">
        <f t="shared" si="3"/>
        <v>#REF!</v>
      </c>
      <c r="AA231" s="286" t="str">
        <f>IF($Z231&gt;=1,RANK($Z231,$Z229:$Z244),0)</f>
        <v>#REF!</v>
      </c>
      <c r="AB231" s="287" t="str">
        <f>IF(AA231&lt;=MaxS,INT(Z231),0)</f>
        <v>#REF!</v>
      </c>
      <c r="AC231" s="210"/>
      <c r="AD231" s="285" t="str">
        <f t="shared" si="4"/>
        <v>#REF!</v>
      </c>
      <c r="AE231" s="286" t="str">
        <f>IF($AD231&gt;=1,RANK($AD231,$AD229:$AD244),0)</f>
        <v>#REF!</v>
      </c>
      <c r="AF231" s="287" t="str">
        <f>IF(AE231&lt;=MaxS,INT(AD231),0)</f>
        <v>#REF!</v>
      </c>
      <c r="AG231" s="210"/>
      <c r="AH231" s="210"/>
      <c r="AI231" s="288" t="str">
        <f t="shared" si="5"/>
        <v>#REF!</v>
      </c>
      <c r="AJ231" s="289" t="str">
        <f t="shared" si="6"/>
        <v>#REF!</v>
      </c>
    </row>
    <row r="232" ht="15.0" customHeight="1">
      <c r="A232" s="272"/>
      <c r="B232" s="250">
        <f>IF(OR(ISNA(MATCH(C232&amp;"",AthleteNumbers,0)),ISBLANK(C232)),0,MATCH(C232&amp;"",AthleteNumbers,0))</f>
        <v>0</v>
      </c>
      <c r="C232" s="413"/>
      <c r="D232" s="273" t="str">
        <f t="array" ref="D232">IF($B232&gt;0,INDEX(DB,$B232,8),"")</f>
        <v/>
      </c>
      <c r="E232" s="274" t="str">
        <f t="array" ref="E232">IF($B232&gt;0,INDEX(DB,$B232,3),"")</f>
        <v/>
      </c>
      <c r="F232" s="275">
        <f t="array" ref="F232">IF($B232&gt;0,INDEX(DB,$B232,13),0)</f>
        <v>0</v>
      </c>
      <c r="G232" s="276">
        <f t="array" ref="G232">IF($B232&gt;0,INDEX(DB,$B232,17),0)</f>
        <v>0</v>
      </c>
      <c r="H232" s="277">
        <f t="array" ref="H232">IF($B232&gt;0,INDEX(DB,$B232,15),0)</f>
        <v>0</v>
      </c>
      <c r="I232" s="276">
        <f t="array" ref="I232">IF($B232&gt;0,INDEX(DB,$B232,19),0)</f>
        <v>0</v>
      </c>
      <c r="J232" s="277">
        <f t="array" ref="J232">IF($B232&gt;0,INDEX(DB,$B232,14),0)</f>
        <v>0</v>
      </c>
      <c r="K232" s="276">
        <f t="array" ref="K232">IF($B232&gt;0,INDEX(DB,$B232,18),0)</f>
        <v>0</v>
      </c>
      <c r="L232" s="275">
        <f t="array" ref="L232">IF($B232&gt;0,INDEX(DB,$B232,16),0)</f>
        <v>0</v>
      </c>
      <c r="M232" s="276">
        <f t="array" ref="M232">IF($B232&gt;0,INDEX(DB,$B232,20),0)</f>
        <v>0</v>
      </c>
      <c r="N232" s="278"/>
      <c r="O232" s="279">
        <f t="shared" si="1"/>
        <v>0</v>
      </c>
      <c r="P232" s="280"/>
      <c r="Q232" s="261" t="str">
        <f t="shared" si="2"/>
        <v>#REF!</v>
      </c>
      <c r="R232" s="281" t="str">
        <f>IF($AI232&gt;0,RANK($AI232,BoysPoints),0)</f>
        <v>#REF!</v>
      </c>
      <c r="S232" s="282" t="str">
        <f>IF($AJ232&gt;0,RANK($AJ232,GirlsPoints),0)</f>
        <v>#REF!</v>
      </c>
      <c r="T232" s="283">
        <f>IF($O232&gt;0,RANK(O232,AthletePoints),0)</f>
        <v>0</v>
      </c>
      <c r="U232" s="210"/>
      <c r="V232" s="415" t="str">
        <f>IF(O232&gt;=40,IF(X232="M",VLOOKUP(O232,UKABoysAwards,2),IF(X232="F",VLOOKUP(O232,UKAGirlsAwards,2),"")),"")</f>
        <v/>
      </c>
      <c r="W232" s="210"/>
      <c r="X232" s="266" t="str">
        <f t="array" ref="X232:X233">INDEX(DB,$B232,4)</f>
        <v>#REF!</v>
      </c>
      <c r="Y232" s="210"/>
      <c r="Z232" s="285" t="str">
        <f t="shared" si="3"/>
        <v>#REF!</v>
      </c>
      <c r="AA232" s="286" t="str">
        <f>IF($Z232&gt;=1,RANK($Z232,$Z229:$Z244),0)</f>
        <v>#REF!</v>
      </c>
      <c r="AB232" s="287" t="str">
        <f>IF(AA232&lt;=MaxS,INT(Z232),0)</f>
        <v>#REF!</v>
      </c>
      <c r="AC232" s="210"/>
      <c r="AD232" s="285" t="str">
        <f t="shared" si="4"/>
        <v>#REF!</v>
      </c>
      <c r="AE232" s="286" t="str">
        <f>IF($AD232&gt;=1,RANK($AD232,$AD229:$AD244),0)</f>
        <v>#REF!</v>
      </c>
      <c r="AF232" s="287" t="str">
        <f>IF(AE232&lt;=MaxS,INT(AD232),0)</f>
        <v>#REF!</v>
      </c>
      <c r="AG232" s="210"/>
      <c r="AH232" s="210"/>
      <c r="AI232" s="288" t="str">
        <f t="shared" si="5"/>
        <v>#REF!</v>
      </c>
      <c r="AJ232" s="289" t="str">
        <f t="shared" si="6"/>
        <v>#REF!</v>
      </c>
    </row>
    <row r="233" ht="15.0" customHeight="1">
      <c r="A233" s="272"/>
      <c r="B233" s="250">
        <f>IF(OR(ISNA(MATCH(C233&amp;"",AthleteNumbers,0)),ISBLANK(C233)),0,MATCH(C233&amp;"",AthleteNumbers,0))</f>
        <v>0</v>
      </c>
      <c r="C233" s="413"/>
      <c r="D233" s="273" t="str">
        <f t="array" ref="D233">IF($B233&gt;0,INDEX(DB,$B233,8),"")</f>
        <v/>
      </c>
      <c r="E233" s="274" t="str">
        <f t="array" ref="E233">IF($B233&gt;0,INDEX(DB,$B233,3),"")</f>
        <v/>
      </c>
      <c r="F233" s="275">
        <f t="array" ref="F233">IF($B233&gt;0,INDEX(DB,$B233,13),0)</f>
        <v>0</v>
      </c>
      <c r="G233" s="276">
        <f t="array" ref="G233">IF($B233&gt;0,INDEX(DB,$B233,17),0)</f>
        <v>0</v>
      </c>
      <c r="H233" s="277">
        <f t="array" ref="H233">IF($B233&gt;0,INDEX(DB,$B233,15),0)</f>
        <v>0</v>
      </c>
      <c r="I233" s="276">
        <f t="array" ref="I233">IF($B233&gt;0,INDEX(DB,$B233,19),0)</f>
        <v>0</v>
      </c>
      <c r="J233" s="277">
        <f t="array" ref="J233">IF($B233&gt;0,INDEX(DB,$B233,14),0)</f>
        <v>0</v>
      </c>
      <c r="K233" s="276">
        <f t="array" ref="K233">IF($B233&gt;0,INDEX(DB,$B233,18),0)</f>
        <v>0</v>
      </c>
      <c r="L233" s="275">
        <f t="array" ref="L233">IF($B233&gt;0,INDEX(DB,$B233,16),0)</f>
        <v>0</v>
      </c>
      <c r="M233" s="276">
        <f t="array" ref="M233">IF($B233&gt;0,INDEX(DB,$B233,20),0)</f>
        <v>0</v>
      </c>
      <c r="N233" s="278"/>
      <c r="O233" s="279">
        <f t="shared" si="1"/>
        <v>0</v>
      </c>
      <c r="P233" s="280"/>
      <c r="Q233" s="261" t="str">
        <f t="shared" si="2"/>
        <v>#REF!</v>
      </c>
      <c r="R233" s="290" t="str">
        <f>IF($AI233&gt;0,RANK($AI233,BoysPoints),0)</f>
        <v>#REF!</v>
      </c>
      <c r="S233" s="291" t="str">
        <f>IF($AJ233&gt;0,RANK($AJ233,GirlsPoints),0)</f>
        <v>#REF!</v>
      </c>
      <c r="T233" s="292">
        <f>IF($O233&gt;0,RANK(O233,AthletePoints),0)</f>
        <v>0</v>
      </c>
      <c r="U233" s="210"/>
      <c r="V233" s="330" t="str">
        <f>IF(O233&gt;=40,IF(X233="M",VLOOKUP(O233,UKABoysAwards,2),IF(X233="F",VLOOKUP(O233,UKAGirlsAwards,2),"")),"")</f>
        <v/>
      </c>
      <c r="W233" s="210"/>
      <c r="X233" s="266" t="str">
        <f t="array" ref="X233:X234">INDEX(DB,$B233,4)</f>
        <v>#REF!</v>
      </c>
      <c r="Y233" s="210"/>
      <c r="Z233" s="285" t="str">
        <f t="shared" si="3"/>
        <v>#REF!</v>
      </c>
      <c r="AA233" s="286" t="str">
        <f>IF($Z233&gt;=1,RANK($Z233,$Z229:$Z244),0)</f>
        <v>#REF!</v>
      </c>
      <c r="AB233" s="287" t="str">
        <f>IF(AA233&lt;=MaxS,INT(Z233),0)</f>
        <v>#REF!</v>
      </c>
      <c r="AC233" s="210"/>
      <c r="AD233" s="285" t="str">
        <f t="shared" si="4"/>
        <v>#REF!</v>
      </c>
      <c r="AE233" s="286" t="str">
        <f>IF($AD233&gt;=1,RANK($AD233,$AD229:$AD244),0)</f>
        <v>#REF!</v>
      </c>
      <c r="AF233" s="287" t="str">
        <f>IF(AE233&lt;=MaxS,INT(AD233),0)</f>
        <v>#REF!</v>
      </c>
      <c r="AG233" s="210"/>
      <c r="AH233" s="210"/>
      <c r="AI233" s="288" t="str">
        <f t="shared" si="5"/>
        <v>#REF!</v>
      </c>
      <c r="AJ233" s="289" t="str">
        <f t="shared" si="6"/>
        <v>#REF!</v>
      </c>
    </row>
    <row r="234" ht="15.0" customHeight="1">
      <c r="A234" s="272"/>
      <c r="B234" s="250">
        <f>IF(OR(ISNA(MATCH(C234&amp;"",AthleteNumbers,0)),ISBLANK(C234)),0,MATCH(C234&amp;"",AthleteNumbers,0))</f>
        <v>0</v>
      </c>
      <c r="C234" s="413"/>
      <c r="D234" s="273" t="str">
        <f t="array" ref="D234">IF($B234&gt;0,INDEX(DB,$B234,8),"")</f>
        <v/>
      </c>
      <c r="E234" s="274" t="str">
        <f t="array" ref="E234">IF($B234&gt;0,INDEX(DB,$B234,3),"")</f>
        <v/>
      </c>
      <c r="F234" s="275">
        <f t="array" ref="F234">IF($B234&gt;0,INDEX(DB,$B234,13),0)</f>
        <v>0</v>
      </c>
      <c r="G234" s="276">
        <f t="array" ref="G234">IF($B234&gt;0,INDEX(DB,$B234,17),0)</f>
        <v>0</v>
      </c>
      <c r="H234" s="277">
        <f t="array" ref="H234">IF($B234&gt;0,INDEX(DB,$B234,15),0)</f>
        <v>0</v>
      </c>
      <c r="I234" s="276">
        <f t="array" ref="I234">IF($B234&gt;0,INDEX(DB,$B234,19),0)</f>
        <v>0</v>
      </c>
      <c r="J234" s="277">
        <f t="array" ref="J234">IF($B234&gt;0,INDEX(DB,$B234,14),0)</f>
        <v>0</v>
      </c>
      <c r="K234" s="276">
        <f t="array" ref="K234">IF($B234&gt;0,INDEX(DB,$B234,18),0)</f>
        <v>0</v>
      </c>
      <c r="L234" s="275">
        <f t="array" ref="L234">IF($B234&gt;0,INDEX(DB,$B234,16),0)</f>
        <v>0</v>
      </c>
      <c r="M234" s="276">
        <f t="array" ref="M234">IF($B234&gt;0,INDEX(DB,$B234,20),0)</f>
        <v>0</v>
      </c>
      <c r="N234" s="278"/>
      <c r="O234" s="279">
        <f t="shared" si="1"/>
        <v>0</v>
      </c>
      <c r="P234" s="280"/>
      <c r="Q234" s="261" t="str">
        <f t="shared" si="2"/>
        <v>#REF!</v>
      </c>
      <c r="R234" s="281" t="str">
        <f>IF($AI234&gt;0,RANK($AI234,BoysPoints),0)</f>
        <v>#REF!</v>
      </c>
      <c r="S234" s="282" t="str">
        <f>IF($AJ234&gt;0,RANK($AJ234,GirlsPoints),0)</f>
        <v>#REF!</v>
      </c>
      <c r="T234" s="283">
        <f>IF($O234&gt;0,RANK(O234,AthletePoints),0)</f>
        <v>0</v>
      </c>
      <c r="U234" s="210"/>
      <c r="V234" s="415" t="str">
        <f>IF(O234&gt;=40,IF(X234="M",VLOOKUP(O234,UKABoysAwards,2),IF(X234="F",VLOOKUP(O234,UKAGirlsAwards,2),"")),"")</f>
        <v/>
      </c>
      <c r="W234" s="210"/>
      <c r="X234" s="266" t="str">
        <f t="array" ref="X234:X235">INDEX(DB,$B234,4)</f>
        <v>#REF!</v>
      </c>
      <c r="Y234" s="210"/>
      <c r="Z234" s="285" t="str">
        <f t="shared" si="3"/>
        <v>#REF!</v>
      </c>
      <c r="AA234" s="286" t="str">
        <f>IF($Z234&gt;=1,RANK($Z234,$Z229:$Z244),0)</f>
        <v>#REF!</v>
      </c>
      <c r="AB234" s="287" t="str">
        <f>IF(AA234&lt;=MaxS,INT(Z234),0)</f>
        <v>#REF!</v>
      </c>
      <c r="AC234" s="210"/>
      <c r="AD234" s="285" t="str">
        <f t="shared" si="4"/>
        <v>#REF!</v>
      </c>
      <c r="AE234" s="286" t="str">
        <f>IF($AD234&gt;=1,RANK($AD234,$AD229:$AD244),0)</f>
        <v>#REF!</v>
      </c>
      <c r="AF234" s="287" t="str">
        <f>IF(AE234&lt;=MaxS,INT(AD234),0)</f>
        <v>#REF!</v>
      </c>
      <c r="AG234" s="210"/>
      <c r="AH234" s="210"/>
      <c r="AI234" s="288" t="str">
        <f t="shared" si="5"/>
        <v>#REF!</v>
      </c>
      <c r="AJ234" s="289" t="str">
        <f t="shared" si="6"/>
        <v>#REF!</v>
      </c>
    </row>
    <row r="235" ht="15.0" customHeight="1">
      <c r="A235" s="272"/>
      <c r="B235" s="250">
        <f>IF(OR(ISNA(MATCH(C235&amp;"",AthleteNumbers,0)),ISBLANK(C235)),0,MATCH(C235&amp;"",AthleteNumbers,0))</f>
        <v>0</v>
      </c>
      <c r="C235" s="413"/>
      <c r="D235" s="273" t="str">
        <f t="array" ref="D235">IF($B235&gt;0,INDEX(DB,$B235,8),"")</f>
        <v/>
      </c>
      <c r="E235" s="274" t="str">
        <f t="array" ref="E235">IF($B235&gt;0,INDEX(DB,$B235,3),"")</f>
        <v/>
      </c>
      <c r="F235" s="275">
        <f t="array" ref="F235">IF($B235&gt;0,INDEX(DB,$B235,13),0)</f>
        <v>0</v>
      </c>
      <c r="G235" s="276">
        <f t="array" ref="G235">IF($B235&gt;0,INDEX(DB,$B235,17),0)</f>
        <v>0</v>
      </c>
      <c r="H235" s="277">
        <f t="array" ref="H235">IF($B235&gt;0,INDEX(DB,$B235,15),0)</f>
        <v>0</v>
      </c>
      <c r="I235" s="276">
        <f t="array" ref="I235">IF($B235&gt;0,INDEX(DB,$B235,19),0)</f>
        <v>0</v>
      </c>
      <c r="J235" s="277">
        <f t="array" ref="J235">IF($B235&gt;0,INDEX(DB,$B235,14),0)</f>
        <v>0</v>
      </c>
      <c r="K235" s="276">
        <f t="array" ref="K235">IF($B235&gt;0,INDEX(DB,$B235,18),0)</f>
        <v>0</v>
      </c>
      <c r="L235" s="275">
        <f t="array" ref="L235">IF($B235&gt;0,INDEX(DB,$B235,16),0)</f>
        <v>0</v>
      </c>
      <c r="M235" s="276">
        <f t="array" ref="M235">IF($B235&gt;0,INDEX(DB,$B235,20),0)</f>
        <v>0</v>
      </c>
      <c r="N235" s="278"/>
      <c r="O235" s="279">
        <f t="shared" si="1"/>
        <v>0</v>
      </c>
      <c r="P235" s="280"/>
      <c r="Q235" s="261" t="str">
        <f t="shared" si="2"/>
        <v>#REF!</v>
      </c>
      <c r="R235" s="290" t="str">
        <f>IF($AI235&gt;0,RANK($AI235,BoysPoints),0)</f>
        <v>#REF!</v>
      </c>
      <c r="S235" s="291" t="str">
        <f>IF($AJ235&gt;0,RANK($AJ235,GirlsPoints),0)</f>
        <v>#REF!</v>
      </c>
      <c r="T235" s="292">
        <f>IF($O235&gt;0,RANK(O235,AthletePoints),0)</f>
        <v>0</v>
      </c>
      <c r="U235" s="210"/>
      <c r="V235" s="330" t="str">
        <f>IF(O235&gt;=40,IF(X235="M",VLOOKUP(O235,UKABoysAwards,2),IF(X235="F",VLOOKUP(O235,UKAGirlsAwards,2),"")),"")</f>
        <v/>
      </c>
      <c r="W235" s="210"/>
      <c r="X235" s="266" t="str">
        <f t="array" ref="X235:X236">INDEX(DB,$B235,4)</f>
        <v>#REF!</v>
      </c>
      <c r="Y235" s="210"/>
      <c r="Z235" s="285" t="str">
        <f t="shared" si="3"/>
        <v>#REF!</v>
      </c>
      <c r="AA235" s="286" t="str">
        <f>IF($Z235&gt;=1,RANK($Z235,$Z229:$Z244),0)</f>
        <v>#REF!</v>
      </c>
      <c r="AB235" s="287" t="str">
        <f>IF(AA235&lt;=MaxS,INT(Z235),0)</f>
        <v>#REF!</v>
      </c>
      <c r="AC235" s="210"/>
      <c r="AD235" s="285" t="str">
        <f t="shared" si="4"/>
        <v>#REF!</v>
      </c>
      <c r="AE235" s="286" t="str">
        <f>IF($AD235&gt;=1,RANK($AD235,$AD229:$AD244),0)</f>
        <v>#REF!</v>
      </c>
      <c r="AF235" s="287" t="str">
        <f>IF(AE235&lt;=MaxS,INT(AD235),0)</f>
        <v>#REF!</v>
      </c>
      <c r="AG235" s="210"/>
      <c r="AH235" s="210"/>
      <c r="AI235" s="288" t="str">
        <f t="shared" si="5"/>
        <v>#REF!</v>
      </c>
      <c r="AJ235" s="289" t="str">
        <f t="shared" si="6"/>
        <v>#REF!</v>
      </c>
    </row>
    <row r="236" ht="15.0" customHeight="1">
      <c r="A236" s="272"/>
      <c r="B236" s="250">
        <f>IF(OR(ISNA(MATCH(C236&amp;"",AthleteNumbers,0)),ISBLANK(C236)),0,MATCH(C236&amp;"",AthleteNumbers,0))</f>
        <v>0</v>
      </c>
      <c r="C236" s="413"/>
      <c r="D236" s="273" t="str">
        <f t="array" ref="D236">IF($B236&gt;0,INDEX(DB,$B236,8),"")</f>
        <v/>
      </c>
      <c r="E236" s="274" t="str">
        <f t="array" ref="E236">IF($B236&gt;0,INDEX(DB,$B236,3),"")</f>
        <v/>
      </c>
      <c r="F236" s="275">
        <f t="array" ref="F236">IF($B236&gt;0,INDEX(DB,$B236,13),0)</f>
        <v>0</v>
      </c>
      <c r="G236" s="276">
        <f t="array" ref="G236">IF($B236&gt;0,INDEX(DB,$B236,17),0)</f>
        <v>0</v>
      </c>
      <c r="H236" s="277">
        <f t="array" ref="H236">IF($B236&gt;0,INDEX(DB,$B236,15),0)</f>
        <v>0</v>
      </c>
      <c r="I236" s="276">
        <f t="array" ref="I236">IF($B236&gt;0,INDEX(DB,$B236,19),0)</f>
        <v>0</v>
      </c>
      <c r="J236" s="277">
        <f t="array" ref="J236">IF($B236&gt;0,INDEX(DB,$B236,14),0)</f>
        <v>0</v>
      </c>
      <c r="K236" s="276">
        <f t="array" ref="K236">IF($B236&gt;0,INDEX(DB,$B236,18),0)</f>
        <v>0</v>
      </c>
      <c r="L236" s="275">
        <f t="array" ref="L236">IF($B236&gt;0,INDEX(DB,$B236,16),0)</f>
        <v>0</v>
      </c>
      <c r="M236" s="276">
        <f t="array" ref="M236">IF($B236&gt;0,INDEX(DB,$B236,20),0)</f>
        <v>0</v>
      </c>
      <c r="N236" s="278"/>
      <c r="O236" s="279">
        <f t="shared" si="1"/>
        <v>0</v>
      </c>
      <c r="P236" s="280"/>
      <c r="Q236" s="261" t="str">
        <f t="shared" si="2"/>
        <v>#REF!</v>
      </c>
      <c r="R236" s="281" t="str">
        <f>IF($AI236&gt;0,RANK($AI236,BoysPoints),0)</f>
        <v>#REF!</v>
      </c>
      <c r="S236" s="282" t="str">
        <f>IF($AJ236&gt;0,RANK($AJ236,GirlsPoints),0)</f>
        <v>#REF!</v>
      </c>
      <c r="T236" s="283">
        <f>IF($O236&gt;0,RANK(O236,AthletePoints),0)</f>
        <v>0</v>
      </c>
      <c r="U236" s="210"/>
      <c r="V236" s="415" t="str">
        <f>IF(O236&gt;=40,IF(X236="M",VLOOKUP(O236,UKABoysAwards,2),IF(X236="F",VLOOKUP(O236,UKAGirlsAwards,2),"")),"")</f>
        <v/>
      </c>
      <c r="W236" s="210"/>
      <c r="X236" s="266" t="str">
        <f t="array" ref="X236:X237">INDEX(DB,$B236,4)</f>
        <v>#REF!</v>
      </c>
      <c r="Y236" s="210"/>
      <c r="Z236" s="285" t="str">
        <f t="shared" si="3"/>
        <v>#REF!</v>
      </c>
      <c r="AA236" s="286" t="str">
        <f>IF($Z236&gt;=1,RANK($Z236,$Z229:$Z244),0)</f>
        <v>#REF!</v>
      </c>
      <c r="AB236" s="287" t="str">
        <f>IF(AA236&lt;=MaxS,INT(Z236),0)</f>
        <v>#REF!</v>
      </c>
      <c r="AC236" s="210"/>
      <c r="AD236" s="285" t="str">
        <f t="shared" si="4"/>
        <v>#REF!</v>
      </c>
      <c r="AE236" s="286" t="str">
        <f>IF($AD236&gt;=1,RANK($AD236,$AD229:$AD244),0)</f>
        <v>#REF!</v>
      </c>
      <c r="AF236" s="287" t="str">
        <f>IF(AE236&lt;=MaxS,INT(AD236),0)</f>
        <v>#REF!</v>
      </c>
      <c r="AG236" s="210"/>
      <c r="AH236" s="210"/>
      <c r="AI236" s="288" t="str">
        <f t="shared" si="5"/>
        <v>#REF!</v>
      </c>
      <c r="AJ236" s="289" t="str">
        <f t="shared" si="6"/>
        <v>#REF!</v>
      </c>
    </row>
    <row r="237" ht="15.0" customHeight="1">
      <c r="A237" s="272"/>
      <c r="B237" s="250">
        <f>IF(OR(ISNA(MATCH(C237&amp;"",AthleteNumbers,0)),ISBLANK(C237)),0,MATCH(C237&amp;"",AthleteNumbers,0))</f>
        <v>0</v>
      </c>
      <c r="C237" s="413"/>
      <c r="D237" s="273" t="str">
        <f t="array" ref="D237">IF($B237&gt;0,INDEX(DB,$B237,8),"")</f>
        <v/>
      </c>
      <c r="E237" s="274" t="str">
        <f t="array" ref="E237">IF($B237&gt;0,INDEX(DB,$B237,3),"")</f>
        <v/>
      </c>
      <c r="F237" s="275">
        <f t="array" ref="F237">IF($B237&gt;0,INDEX(DB,$B237,13),0)</f>
        <v>0</v>
      </c>
      <c r="G237" s="276">
        <f t="array" ref="G237">IF($B237&gt;0,INDEX(DB,$B237,17),0)</f>
        <v>0</v>
      </c>
      <c r="H237" s="277">
        <f t="array" ref="H237">IF($B237&gt;0,INDEX(DB,$B237,15),0)</f>
        <v>0</v>
      </c>
      <c r="I237" s="276">
        <f t="array" ref="I237">IF($B237&gt;0,INDEX(DB,$B237,19),0)</f>
        <v>0</v>
      </c>
      <c r="J237" s="277">
        <f t="array" ref="J237">IF($B237&gt;0,INDEX(DB,$B237,14),0)</f>
        <v>0</v>
      </c>
      <c r="K237" s="276">
        <f t="array" ref="K237">IF($B237&gt;0,INDEX(DB,$B237,18),0)</f>
        <v>0</v>
      </c>
      <c r="L237" s="275">
        <f t="array" ref="L237">IF($B237&gt;0,INDEX(DB,$B237,16),0)</f>
        <v>0</v>
      </c>
      <c r="M237" s="276">
        <f t="array" ref="M237">IF($B237&gt;0,INDEX(DB,$B237,20),0)</f>
        <v>0</v>
      </c>
      <c r="N237" s="278"/>
      <c r="O237" s="279">
        <f t="shared" si="1"/>
        <v>0</v>
      </c>
      <c r="P237" s="280"/>
      <c r="Q237" s="261" t="str">
        <f t="shared" si="2"/>
        <v>#REF!</v>
      </c>
      <c r="R237" s="290" t="str">
        <f>IF($AI237&gt;0,RANK($AI237,BoysPoints),0)</f>
        <v>#REF!</v>
      </c>
      <c r="S237" s="291" t="str">
        <f>IF($AJ237&gt;0,RANK($AJ237,GirlsPoints),0)</f>
        <v>#REF!</v>
      </c>
      <c r="T237" s="292">
        <f>IF($O237&gt;0,RANK(O237,AthletePoints),0)</f>
        <v>0</v>
      </c>
      <c r="U237" s="210"/>
      <c r="V237" s="330" t="str">
        <f>IF(O237&gt;=40,IF(X237="M",VLOOKUP(O237,UKABoysAwards,2),IF(X237="F",VLOOKUP(O237,UKAGirlsAwards,2),"")),"")</f>
        <v/>
      </c>
      <c r="W237" s="210"/>
      <c r="X237" s="266" t="str">
        <f t="array" ref="X237:X238">INDEX(DB,$B237,4)</f>
        <v>#REF!</v>
      </c>
      <c r="Y237" s="210"/>
      <c r="Z237" s="285" t="str">
        <f t="shared" si="3"/>
        <v>#REF!</v>
      </c>
      <c r="AA237" s="286" t="str">
        <f>IF($Z237&gt;=1,RANK($Z237,$Z229:$Z244),0)</f>
        <v>#REF!</v>
      </c>
      <c r="AB237" s="287" t="str">
        <f>IF(AA237&lt;=MaxS,INT(Z237),0)</f>
        <v>#REF!</v>
      </c>
      <c r="AC237" s="210"/>
      <c r="AD237" s="285" t="str">
        <f t="shared" si="4"/>
        <v>#REF!</v>
      </c>
      <c r="AE237" s="286" t="str">
        <f>IF($AD237&gt;=1,RANK($AD237,$AD229:$AD244),0)</f>
        <v>#REF!</v>
      </c>
      <c r="AF237" s="287" t="str">
        <f>IF(AE237&lt;=MaxS,INT(AD237),0)</f>
        <v>#REF!</v>
      </c>
      <c r="AG237" s="210"/>
      <c r="AH237" s="210"/>
      <c r="AI237" s="288" t="str">
        <f t="shared" si="5"/>
        <v>#REF!</v>
      </c>
      <c r="AJ237" s="289" t="str">
        <f t="shared" si="6"/>
        <v>#REF!</v>
      </c>
    </row>
    <row r="238" ht="15.0" customHeight="1">
      <c r="A238" s="272"/>
      <c r="B238" s="250">
        <f>IF(OR(ISNA(MATCH(C238&amp;"",AthleteNumbers,0)),ISBLANK(C238)),0,MATCH(C238&amp;"",AthleteNumbers,0))</f>
        <v>0</v>
      </c>
      <c r="C238" s="413"/>
      <c r="D238" s="273" t="str">
        <f t="array" ref="D238">IF($B238&gt;0,INDEX(DB,$B238,8),"")</f>
        <v/>
      </c>
      <c r="E238" s="274" t="str">
        <f t="array" ref="E238">IF($B238&gt;0,INDEX(DB,$B238,3),"")</f>
        <v/>
      </c>
      <c r="F238" s="275">
        <f t="array" ref="F238">IF($B238&gt;0,INDEX(DB,$B238,13),0)</f>
        <v>0</v>
      </c>
      <c r="G238" s="276">
        <f t="array" ref="G238">IF($B238&gt;0,INDEX(DB,$B238,17),0)</f>
        <v>0</v>
      </c>
      <c r="H238" s="277">
        <f t="array" ref="H238">IF($B238&gt;0,INDEX(DB,$B238,15),0)</f>
        <v>0</v>
      </c>
      <c r="I238" s="276">
        <f t="array" ref="I238">IF($B238&gt;0,INDEX(DB,$B238,19),0)</f>
        <v>0</v>
      </c>
      <c r="J238" s="277">
        <f t="array" ref="J238">IF($B238&gt;0,INDEX(DB,$B238,14),0)</f>
        <v>0</v>
      </c>
      <c r="K238" s="276">
        <f t="array" ref="K238">IF($B238&gt;0,INDEX(DB,$B238,18),0)</f>
        <v>0</v>
      </c>
      <c r="L238" s="275">
        <f t="array" ref="L238">IF($B238&gt;0,INDEX(DB,$B238,16),0)</f>
        <v>0</v>
      </c>
      <c r="M238" s="276">
        <f t="array" ref="M238">IF($B238&gt;0,INDEX(DB,$B238,20),0)</f>
        <v>0</v>
      </c>
      <c r="N238" s="278"/>
      <c r="O238" s="279">
        <f t="shared" si="1"/>
        <v>0</v>
      </c>
      <c r="P238" s="280"/>
      <c r="Q238" s="261" t="str">
        <f t="shared" si="2"/>
        <v>#REF!</v>
      </c>
      <c r="R238" s="281" t="str">
        <f>IF($AI238&gt;0,RANK($AI238,BoysPoints),0)</f>
        <v>#REF!</v>
      </c>
      <c r="S238" s="282" t="str">
        <f>IF($AJ238&gt;0,RANK($AJ238,GirlsPoints),0)</f>
        <v>#REF!</v>
      </c>
      <c r="T238" s="283">
        <f>IF($O238&gt;0,RANK(O238,AthletePoints),0)</f>
        <v>0</v>
      </c>
      <c r="U238" s="210"/>
      <c r="V238" s="415" t="str">
        <f>IF(O238&gt;=40,IF(X238="M",VLOOKUP(O238,UKABoysAwards,2),IF(X238="F",VLOOKUP(O238,UKAGirlsAwards,2),"")),"")</f>
        <v/>
      </c>
      <c r="W238" s="210"/>
      <c r="X238" s="266" t="str">
        <f t="array" ref="X238:X239">INDEX(DB,$B238,4)</f>
        <v>#REF!</v>
      </c>
      <c r="Y238" s="210"/>
      <c r="Z238" s="285" t="str">
        <f t="shared" si="3"/>
        <v>#REF!</v>
      </c>
      <c r="AA238" s="286" t="str">
        <f>IF($Z238&gt;=1,RANK($Z238,$Z229:$Z244),0)</f>
        <v>#REF!</v>
      </c>
      <c r="AB238" s="287" t="str">
        <f>IF(AA238&lt;=MaxS,INT(Z238),0)</f>
        <v>#REF!</v>
      </c>
      <c r="AC238" s="210"/>
      <c r="AD238" s="285" t="str">
        <f t="shared" si="4"/>
        <v>#REF!</v>
      </c>
      <c r="AE238" s="286" t="str">
        <f>IF($AD238&gt;=1,RANK($AD238,$AD229:$AD244),0)</f>
        <v>#REF!</v>
      </c>
      <c r="AF238" s="287" t="str">
        <f>IF(AE238&lt;=MaxS,INT(AD238),0)</f>
        <v>#REF!</v>
      </c>
      <c r="AG238" s="210"/>
      <c r="AH238" s="210"/>
      <c r="AI238" s="288" t="str">
        <f t="shared" si="5"/>
        <v>#REF!</v>
      </c>
      <c r="AJ238" s="289" t="str">
        <f t="shared" si="6"/>
        <v>#REF!</v>
      </c>
    </row>
    <row r="239" ht="15.0" customHeight="1">
      <c r="A239" s="272"/>
      <c r="B239" s="250">
        <f>IF(OR(ISNA(MATCH(C239&amp;"",AthleteNumbers,0)),ISBLANK(C239)),0,MATCH(C239&amp;"",AthleteNumbers,0))</f>
        <v>0</v>
      </c>
      <c r="C239" s="413"/>
      <c r="D239" s="273" t="str">
        <f t="array" ref="D239">IF($B239&gt;0,INDEX(DB,$B239,8),"")</f>
        <v/>
      </c>
      <c r="E239" s="274" t="str">
        <f t="array" ref="E239">IF($B239&gt;0,INDEX(DB,$B239,3),"")</f>
        <v/>
      </c>
      <c r="F239" s="275">
        <f t="array" ref="F239">IF($B239&gt;0,INDEX(DB,$B239,13),0)</f>
        <v>0</v>
      </c>
      <c r="G239" s="276">
        <f t="array" ref="G239">IF($B239&gt;0,INDEX(DB,$B239,17),0)</f>
        <v>0</v>
      </c>
      <c r="H239" s="277">
        <f t="array" ref="H239">IF($B239&gt;0,INDEX(DB,$B239,15),0)</f>
        <v>0</v>
      </c>
      <c r="I239" s="276">
        <f t="array" ref="I239">IF($B239&gt;0,INDEX(DB,$B239,19),0)</f>
        <v>0</v>
      </c>
      <c r="J239" s="277">
        <f t="array" ref="J239">IF($B239&gt;0,INDEX(DB,$B239,14),0)</f>
        <v>0</v>
      </c>
      <c r="K239" s="276">
        <f t="array" ref="K239">IF($B239&gt;0,INDEX(DB,$B239,18),0)</f>
        <v>0</v>
      </c>
      <c r="L239" s="275">
        <f t="array" ref="L239">IF($B239&gt;0,INDEX(DB,$B239,16),0)</f>
        <v>0</v>
      </c>
      <c r="M239" s="276">
        <f t="array" ref="M239">IF($B239&gt;0,INDEX(DB,$B239,20),0)</f>
        <v>0</v>
      </c>
      <c r="N239" s="278"/>
      <c r="O239" s="279">
        <f t="shared" si="1"/>
        <v>0</v>
      </c>
      <c r="P239" s="280"/>
      <c r="Q239" s="261" t="str">
        <f t="shared" si="2"/>
        <v>#REF!</v>
      </c>
      <c r="R239" s="290" t="str">
        <f>IF($AI239&gt;0,RANK($AI239,BoysPoints),0)</f>
        <v>#REF!</v>
      </c>
      <c r="S239" s="291" t="str">
        <f>IF($AJ239&gt;0,RANK($AJ239,GirlsPoints),0)</f>
        <v>#REF!</v>
      </c>
      <c r="T239" s="292">
        <f>IF($O239&gt;0,RANK(O239,AthletePoints),0)</f>
        <v>0</v>
      </c>
      <c r="U239" s="210"/>
      <c r="V239" s="330" t="str">
        <f>IF(O239&gt;=40,IF(X239="M",VLOOKUP(O239,UKABoysAwards,2),IF(X239="F",VLOOKUP(O239,UKAGirlsAwards,2),"")),"")</f>
        <v/>
      </c>
      <c r="W239" s="210"/>
      <c r="X239" s="266" t="str">
        <f t="array" ref="X239:X240">INDEX(DB,$B239,4)</f>
        <v>#REF!</v>
      </c>
      <c r="Y239" s="210"/>
      <c r="Z239" s="285" t="str">
        <f t="shared" si="3"/>
        <v>#REF!</v>
      </c>
      <c r="AA239" s="286" t="str">
        <f>IF($Z239&gt;=1,RANK($Z239,$Z229:$Z244),0)</f>
        <v>#REF!</v>
      </c>
      <c r="AB239" s="287" t="str">
        <f>IF(AA239&lt;=MaxS,INT(Z239),0)</f>
        <v>#REF!</v>
      </c>
      <c r="AC239" s="210"/>
      <c r="AD239" s="285" t="str">
        <f t="shared" si="4"/>
        <v>#REF!</v>
      </c>
      <c r="AE239" s="286" t="str">
        <f>IF($AD239&gt;=1,RANK($AD239,$AD229:$AD244),0)</f>
        <v>#REF!</v>
      </c>
      <c r="AF239" s="287" t="str">
        <f>IF(AE239&lt;=MaxS,INT(AD239),0)</f>
        <v>#REF!</v>
      </c>
      <c r="AG239" s="210"/>
      <c r="AH239" s="210"/>
      <c r="AI239" s="288" t="str">
        <f t="shared" si="5"/>
        <v>#REF!</v>
      </c>
      <c r="AJ239" s="289" t="str">
        <f t="shared" si="6"/>
        <v>#REF!</v>
      </c>
    </row>
    <row r="240" ht="15.0" customHeight="1">
      <c r="A240" s="272"/>
      <c r="B240" s="250">
        <f>IF(OR(ISNA(MATCH(C240&amp;"",AthleteNumbers,0)),ISBLANK(C240)),0,MATCH(C240&amp;"",AthleteNumbers,0))</f>
        <v>0</v>
      </c>
      <c r="C240" s="413"/>
      <c r="D240" s="273" t="str">
        <f t="array" ref="D240">IF($B240&gt;0,INDEX(DB,$B240,8),"")</f>
        <v/>
      </c>
      <c r="E240" s="274" t="str">
        <f t="array" ref="E240">IF($B240&gt;0,INDEX(DB,$B240,3),"")</f>
        <v/>
      </c>
      <c r="F240" s="275">
        <f t="array" ref="F240">IF($B240&gt;0,INDEX(DB,$B240,13),0)</f>
        <v>0</v>
      </c>
      <c r="G240" s="276">
        <f t="array" ref="G240">IF($B240&gt;0,INDEX(DB,$B240,17),0)</f>
        <v>0</v>
      </c>
      <c r="H240" s="277">
        <f t="array" ref="H240">IF($B240&gt;0,INDEX(DB,$B240,15),0)</f>
        <v>0</v>
      </c>
      <c r="I240" s="276">
        <f t="array" ref="I240">IF($B240&gt;0,INDEX(DB,$B240,19),0)</f>
        <v>0</v>
      </c>
      <c r="J240" s="277">
        <f t="array" ref="J240">IF($B240&gt;0,INDEX(DB,$B240,14),0)</f>
        <v>0</v>
      </c>
      <c r="K240" s="276">
        <f t="array" ref="K240">IF($B240&gt;0,INDEX(DB,$B240,18),0)</f>
        <v>0</v>
      </c>
      <c r="L240" s="275">
        <f t="array" ref="L240">IF($B240&gt;0,INDEX(DB,$B240,16),0)</f>
        <v>0</v>
      </c>
      <c r="M240" s="276">
        <f t="array" ref="M240">IF($B240&gt;0,INDEX(DB,$B240,20),0)</f>
        <v>0</v>
      </c>
      <c r="N240" s="278"/>
      <c r="O240" s="279">
        <f t="shared" si="1"/>
        <v>0</v>
      </c>
      <c r="P240" s="280"/>
      <c r="Q240" s="261" t="str">
        <f t="shared" si="2"/>
        <v>#REF!</v>
      </c>
      <c r="R240" s="281" t="str">
        <f>IF($AI240&gt;0,RANK($AI240,BoysPoints),0)</f>
        <v>#REF!</v>
      </c>
      <c r="S240" s="282" t="str">
        <f>IF($AJ240&gt;0,RANK($AJ240,GirlsPoints),0)</f>
        <v>#REF!</v>
      </c>
      <c r="T240" s="283">
        <f>IF($O240&gt;0,RANK(O240,AthletePoints),0)</f>
        <v>0</v>
      </c>
      <c r="U240" s="210"/>
      <c r="V240" s="415" t="str">
        <f>IF(O240&gt;=40,IF(X240="M",VLOOKUP(O240,UKABoysAwards,2),IF(X240="F",VLOOKUP(O240,UKAGirlsAwards,2),"")),"")</f>
        <v/>
      </c>
      <c r="W240" s="210"/>
      <c r="X240" s="266" t="str">
        <f t="array" ref="X240:X241">INDEX(DB,$B240,4)</f>
        <v>#REF!</v>
      </c>
      <c r="Y240" s="210"/>
      <c r="Z240" s="285" t="str">
        <f t="shared" si="3"/>
        <v>#REF!</v>
      </c>
      <c r="AA240" s="286" t="str">
        <f>IF($Z240&gt;=1,RANK($Z240,$Z229:$Z244),0)</f>
        <v>#REF!</v>
      </c>
      <c r="AB240" s="287" t="str">
        <f>IF(AA240&lt;=MaxS,INT(Z240),0)</f>
        <v>#REF!</v>
      </c>
      <c r="AC240" s="210"/>
      <c r="AD240" s="285" t="str">
        <f t="shared" si="4"/>
        <v>#REF!</v>
      </c>
      <c r="AE240" s="286" t="str">
        <f>IF($AD240&gt;=1,RANK($AD240,$AD229:$AD244),0)</f>
        <v>#REF!</v>
      </c>
      <c r="AF240" s="287" t="str">
        <f>IF(AE240&lt;=MaxS,INT(AD240),0)</f>
        <v>#REF!</v>
      </c>
      <c r="AG240" s="210"/>
      <c r="AH240" s="210"/>
      <c r="AI240" s="288" t="str">
        <f t="shared" si="5"/>
        <v>#REF!</v>
      </c>
      <c r="AJ240" s="289" t="str">
        <f t="shared" si="6"/>
        <v>#REF!</v>
      </c>
    </row>
    <row r="241" ht="15.0" customHeight="1">
      <c r="A241" s="272"/>
      <c r="B241" s="250">
        <f>IF(OR(ISNA(MATCH(C241&amp;"",AthleteNumbers,0)),ISBLANK(C241)),0,MATCH(C241&amp;"",AthleteNumbers,0))</f>
        <v>0</v>
      </c>
      <c r="C241" s="413"/>
      <c r="D241" s="273" t="str">
        <f t="array" ref="D241">IF($B241&gt;0,INDEX(DB,$B241,8),"")</f>
        <v/>
      </c>
      <c r="E241" s="274" t="str">
        <f t="array" ref="E241">IF($B241&gt;0,INDEX(DB,$B241,3),"")</f>
        <v/>
      </c>
      <c r="F241" s="275">
        <f t="array" ref="F241">IF($B241&gt;0,INDEX(DB,$B241,13),0)</f>
        <v>0</v>
      </c>
      <c r="G241" s="276">
        <f t="array" ref="G241">IF($B241&gt;0,INDEX(DB,$B241,17),0)</f>
        <v>0</v>
      </c>
      <c r="H241" s="277">
        <f t="array" ref="H241">IF($B241&gt;0,INDEX(DB,$B241,15),0)</f>
        <v>0</v>
      </c>
      <c r="I241" s="276">
        <f t="array" ref="I241">IF($B241&gt;0,INDEX(DB,$B241,19),0)</f>
        <v>0</v>
      </c>
      <c r="J241" s="277">
        <f t="array" ref="J241">IF($B241&gt;0,INDEX(DB,$B241,14),0)</f>
        <v>0</v>
      </c>
      <c r="K241" s="276">
        <f t="array" ref="K241">IF($B241&gt;0,INDEX(DB,$B241,18),0)</f>
        <v>0</v>
      </c>
      <c r="L241" s="275">
        <f t="array" ref="L241">IF($B241&gt;0,INDEX(DB,$B241,16),0)</f>
        <v>0</v>
      </c>
      <c r="M241" s="276">
        <f t="array" ref="M241">IF($B241&gt;0,INDEX(DB,$B241,20),0)</f>
        <v>0</v>
      </c>
      <c r="N241" s="278"/>
      <c r="O241" s="279">
        <f t="shared" si="1"/>
        <v>0</v>
      </c>
      <c r="P241" s="280"/>
      <c r="Q241" s="261" t="str">
        <f t="shared" si="2"/>
        <v>#REF!</v>
      </c>
      <c r="R241" s="290" t="str">
        <f>IF($AI241&gt;0,RANK($AI241,BoysPoints),0)</f>
        <v>#REF!</v>
      </c>
      <c r="S241" s="291" t="str">
        <f>IF($AJ241&gt;0,RANK($AJ241,GirlsPoints),0)</f>
        <v>#REF!</v>
      </c>
      <c r="T241" s="292">
        <f>IF($O241&gt;0,RANK(O241,AthletePoints),0)</f>
        <v>0</v>
      </c>
      <c r="U241" s="210"/>
      <c r="V241" s="330" t="str">
        <f>IF(O241&gt;=40,IF(X241="M",VLOOKUP(O241,UKABoysAwards,2),IF(X241="F",VLOOKUP(O241,UKAGirlsAwards,2),"")),"")</f>
        <v/>
      </c>
      <c r="W241" s="210"/>
      <c r="X241" s="266" t="str">
        <f t="array" ref="X241:X242">INDEX(DB,$B241,4)</f>
        <v>#REF!</v>
      </c>
      <c r="Y241" s="210"/>
      <c r="Z241" s="285" t="str">
        <f t="shared" si="3"/>
        <v>#REF!</v>
      </c>
      <c r="AA241" s="286" t="str">
        <f>IF($Z241&gt;=1,RANK($Z241,$Z229:$Z244),0)</f>
        <v>#REF!</v>
      </c>
      <c r="AB241" s="287" t="str">
        <f>IF(AA241&lt;=MaxS,INT(Z241),0)</f>
        <v>#REF!</v>
      </c>
      <c r="AC241" s="210"/>
      <c r="AD241" s="285" t="str">
        <f t="shared" si="4"/>
        <v>#REF!</v>
      </c>
      <c r="AE241" s="286" t="str">
        <f>IF($AD241&gt;=1,RANK($AD241,$AD229:$AD244),0)</f>
        <v>#REF!</v>
      </c>
      <c r="AF241" s="287" t="str">
        <f>IF(AE241&lt;=MaxS,INT(AD241),0)</f>
        <v>#REF!</v>
      </c>
      <c r="AG241" s="210"/>
      <c r="AH241" s="210"/>
      <c r="AI241" s="288" t="str">
        <f t="shared" si="5"/>
        <v>#REF!</v>
      </c>
      <c r="AJ241" s="289" t="str">
        <f t="shared" si="6"/>
        <v>#REF!</v>
      </c>
    </row>
    <row r="242" ht="15.0" customHeight="1">
      <c r="A242" s="272"/>
      <c r="B242" s="250">
        <f>IF(OR(ISNA(MATCH(C242&amp;"",AthleteNumbers,0)),ISBLANK(C242)),0,MATCH(C242&amp;"",AthleteNumbers,0))</f>
        <v>0</v>
      </c>
      <c r="C242" s="413"/>
      <c r="D242" s="273" t="str">
        <f t="array" ref="D242">IF($B242&gt;0,INDEX(DB,$B242,8),"")</f>
        <v/>
      </c>
      <c r="E242" s="274" t="str">
        <f t="array" ref="E242">IF($B242&gt;0,INDEX(DB,$B242,3),"")</f>
        <v/>
      </c>
      <c r="F242" s="275">
        <f t="array" ref="F242">IF($B242&gt;0,INDEX(DB,$B242,13),0)</f>
        <v>0</v>
      </c>
      <c r="G242" s="276">
        <f t="array" ref="G242">IF($B242&gt;0,INDEX(DB,$B242,17),0)</f>
        <v>0</v>
      </c>
      <c r="H242" s="277">
        <f t="array" ref="H242">IF($B242&gt;0,INDEX(DB,$B242,15),0)</f>
        <v>0</v>
      </c>
      <c r="I242" s="276">
        <f t="array" ref="I242">IF($B242&gt;0,INDEX(DB,$B242,19),0)</f>
        <v>0</v>
      </c>
      <c r="J242" s="277">
        <f t="array" ref="J242">IF($B242&gt;0,INDEX(DB,$B242,14),0)</f>
        <v>0</v>
      </c>
      <c r="K242" s="276">
        <f t="array" ref="K242">IF($B242&gt;0,INDEX(DB,$B242,18),0)</f>
        <v>0</v>
      </c>
      <c r="L242" s="275">
        <f t="array" ref="L242">IF($B242&gt;0,INDEX(DB,$B242,16),0)</f>
        <v>0</v>
      </c>
      <c r="M242" s="276">
        <f t="array" ref="M242">IF($B242&gt;0,INDEX(DB,$B242,20),0)</f>
        <v>0</v>
      </c>
      <c r="N242" s="278"/>
      <c r="O242" s="279">
        <f t="shared" si="1"/>
        <v>0</v>
      </c>
      <c r="P242" s="280"/>
      <c r="Q242" s="261" t="str">
        <f t="shared" si="2"/>
        <v>#REF!</v>
      </c>
      <c r="R242" s="281" t="str">
        <f>IF($AI242&gt;0,RANK($AI242,BoysPoints),0)</f>
        <v>#REF!</v>
      </c>
      <c r="S242" s="282" t="str">
        <f>IF($AJ242&gt;0,RANK($AJ242,GirlsPoints),0)</f>
        <v>#REF!</v>
      </c>
      <c r="T242" s="283">
        <f>IF($O242&gt;0,RANK(O242,AthletePoints),0)</f>
        <v>0</v>
      </c>
      <c r="U242" s="210"/>
      <c r="V242" s="415" t="str">
        <f>IF(O242&gt;=40,IF(X242="M",VLOOKUP(O242,UKABoysAwards,2),IF(X242="F",VLOOKUP(O242,UKAGirlsAwards,2),"")),"")</f>
        <v/>
      </c>
      <c r="W242" s="210"/>
      <c r="X242" s="266" t="str">
        <f t="array" ref="X242:X243">INDEX(DB,$B242,4)</f>
        <v>#REF!</v>
      </c>
      <c r="Y242" s="210"/>
      <c r="Z242" s="285" t="str">
        <f t="shared" si="3"/>
        <v>#REF!</v>
      </c>
      <c r="AA242" s="286" t="str">
        <f>IF($Z242&gt;=1,RANK($Z242,$Z229:$Z244),0)</f>
        <v>#REF!</v>
      </c>
      <c r="AB242" s="287" t="str">
        <f>IF(AA242&lt;=MaxS,INT(Z242),0)</f>
        <v>#REF!</v>
      </c>
      <c r="AC242" s="210"/>
      <c r="AD242" s="285" t="str">
        <f t="shared" si="4"/>
        <v>#REF!</v>
      </c>
      <c r="AE242" s="286" t="str">
        <f>IF($AD242&gt;=1,RANK($AD242,$AD229:$AD244),0)</f>
        <v>#REF!</v>
      </c>
      <c r="AF242" s="287" t="str">
        <f>IF(AE242&lt;=MaxS,INT(AD242),0)</f>
        <v>#REF!</v>
      </c>
      <c r="AG242" s="210"/>
      <c r="AH242" s="210"/>
      <c r="AI242" s="288" t="str">
        <f t="shared" si="5"/>
        <v>#REF!</v>
      </c>
      <c r="AJ242" s="289" t="str">
        <f t="shared" si="6"/>
        <v>#REF!</v>
      </c>
    </row>
    <row r="243" ht="15.0" customHeight="1">
      <c r="A243" s="272"/>
      <c r="B243" s="250">
        <f>IF(OR(ISNA(MATCH(C243&amp;"",AthleteNumbers,0)),ISBLANK(C243)),0,MATCH(C243&amp;"",AthleteNumbers,0))</f>
        <v>0</v>
      </c>
      <c r="C243" s="413"/>
      <c r="D243" s="273" t="str">
        <f t="array" ref="D243">IF($B243&gt;0,INDEX(DB,$B243,8),"")</f>
        <v/>
      </c>
      <c r="E243" s="274" t="str">
        <f t="array" ref="E243">IF($B243&gt;0,INDEX(DB,$B243,3),"")</f>
        <v/>
      </c>
      <c r="F243" s="275">
        <f t="array" ref="F243">IF($B243&gt;0,INDEX(DB,$B243,13),0)</f>
        <v>0</v>
      </c>
      <c r="G243" s="276">
        <f t="array" ref="G243">IF($B243&gt;0,INDEX(DB,$B243,17),0)</f>
        <v>0</v>
      </c>
      <c r="H243" s="277">
        <f t="array" ref="H243">IF($B243&gt;0,INDEX(DB,$B243,15),0)</f>
        <v>0</v>
      </c>
      <c r="I243" s="276">
        <f t="array" ref="I243">IF($B243&gt;0,INDEX(DB,$B243,19),0)</f>
        <v>0</v>
      </c>
      <c r="J243" s="277">
        <f t="array" ref="J243">IF($B243&gt;0,INDEX(DB,$B243,14),0)</f>
        <v>0</v>
      </c>
      <c r="K243" s="276">
        <f t="array" ref="K243">IF($B243&gt;0,INDEX(DB,$B243,18),0)</f>
        <v>0</v>
      </c>
      <c r="L243" s="275">
        <f t="array" ref="L243">IF($B243&gt;0,INDEX(DB,$B243,16),0)</f>
        <v>0</v>
      </c>
      <c r="M243" s="276">
        <f t="array" ref="M243">IF($B243&gt;0,INDEX(DB,$B243,20),0)</f>
        <v>0</v>
      </c>
      <c r="N243" s="278"/>
      <c r="O243" s="279">
        <f t="shared" si="1"/>
        <v>0</v>
      </c>
      <c r="P243" s="280"/>
      <c r="Q243" s="261" t="str">
        <f t="shared" si="2"/>
        <v>#REF!</v>
      </c>
      <c r="R243" s="290" t="str">
        <f>IF($AI243&gt;0,RANK($AI243,BoysPoints),0)</f>
        <v>#REF!</v>
      </c>
      <c r="S243" s="291" t="str">
        <f>IF($AJ243&gt;0,RANK($AJ243,GirlsPoints),0)</f>
        <v>#REF!</v>
      </c>
      <c r="T243" s="292">
        <f>IF($O243&gt;0,RANK(O243,AthletePoints),0)</f>
        <v>0</v>
      </c>
      <c r="U243" s="210"/>
      <c r="V243" s="330" t="str">
        <f>IF(O243&gt;=40,IF(X243="M",VLOOKUP(O243,UKABoysAwards,2),IF(X243="F",VLOOKUP(O243,UKAGirlsAwards,2),"")),"")</f>
        <v/>
      </c>
      <c r="W243" s="210"/>
      <c r="X243" s="266" t="str">
        <f t="array" ref="X243:X244">INDEX(DB,$B243,4)</f>
        <v>#REF!</v>
      </c>
      <c r="Y243" s="210"/>
      <c r="Z243" s="285" t="str">
        <f t="shared" si="3"/>
        <v>#REF!</v>
      </c>
      <c r="AA243" s="286" t="str">
        <f>IF($Z243&gt;=1,RANK($Z243,$Z229:$Z244),0)</f>
        <v>#REF!</v>
      </c>
      <c r="AB243" s="287" t="str">
        <f>IF(AA243&lt;=MaxS,INT(Z243),0)</f>
        <v>#REF!</v>
      </c>
      <c r="AC243" s="210"/>
      <c r="AD243" s="285" t="str">
        <f t="shared" si="4"/>
        <v>#REF!</v>
      </c>
      <c r="AE243" s="286" t="str">
        <f>IF($AD243&gt;=1,RANK($AD243,$AD229:$AD244),0)</f>
        <v>#REF!</v>
      </c>
      <c r="AF243" s="287" t="str">
        <f>IF(AE243&lt;=MaxS,INT(AD243),0)</f>
        <v>#REF!</v>
      </c>
      <c r="AG243" s="210"/>
      <c r="AH243" s="210"/>
      <c r="AI243" s="288" t="str">
        <f t="shared" si="5"/>
        <v>#REF!</v>
      </c>
      <c r="AJ243" s="289" t="str">
        <f t="shared" si="6"/>
        <v>#REF!</v>
      </c>
    </row>
    <row r="244" ht="15.0" customHeight="1">
      <c r="A244" s="305"/>
      <c r="B244" s="250">
        <f>IF(OR(ISNA(MATCH(C244&amp;"",AthleteNumbers,0)),ISBLANK(C244)),0,MATCH(C244&amp;"",AthleteNumbers,0))</f>
        <v>0</v>
      </c>
      <c r="C244" s="443"/>
      <c r="D244" s="306" t="str">
        <f t="array" ref="D244">IF($B244&gt;0,INDEX(DB,$B244,8),"")</f>
        <v/>
      </c>
      <c r="E244" s="307" t="str">
        <f t="array" ref="E244">IF($B244&gt;0,INDEX(DB,$B244,3),"")</f>
        <v/>
      </c>
      <c r="F244" s="308">
        <f t="array" ref="F244">IF($B244&gt;0,INDEX(DB,$B244,13),0)</f>
        <v>0</v>
      </c>
      <c r="G244" s="309">
        <f t="array" ref="G244">IF($B244&gt;0,INDEX(DB,$B244,17),0)</f>
        <v>0</v>
      </c>
      <c r="H244" s="310">
        <f t="array" ref="H244">IF($B244&gt;0,INDEX(DB,$B244,15),0)</f>
        <v>0</v>
      </c>
      <c r="I244" s="309">
        <f t="array" ref="I244">IF($B244&gt;0,INDEX(DB,$B244,19),0)</f>
        <v>0</v>
      </c>
      <c r="J244" s="310">
        <f t="array" ref="J244">IF($B244&gt;0,INDEX(DB,$B244,14),0)</f>
        <v>0</v>
      </c>
      <c r="K244" s="309">
        <f t="array" ref="K244">IF($B244&gt;0,INDEX(DB,$B244,18),0)</f>
        <v>0</v>
      </c>
      <c r="L244" s="308">
        <f t="array" ref="L244">IF($B244&gt;0,INDEX(DB,$B244,16),0)</f>
        <v>0</v>
      </c>
      <c r="M244" s="309">
        <f t="array" ref="M244">IF($B244&gt;0,INDEX(DB,$B244,20),0)</f>
        <v>0</v>
      </c>
      <c r="N244" s="25"/>
      <c r="O244" s="311">
        <f t="shared" si="1"/>
        <v>0</v>
      </c>
      <c r="P244" s="31"/>
      <c r="Q244" s="261" t="str">
        <f t="shared" si="2"/>
        <v>#REF!</v>
      </c>
      <c r="R244" s="312" t="str">
        <f>IF($AI244&gt;0,RANK($AI244,BoysPoints),0)</f>
        <v>#REF!</v>
      </c>
      <c r="S244" s="313" t="str">
        <f>IF($AJ244&gt;0,RANK($AJ244,GirlsPoints),0)</f>
        <v>#REF!</v>
      </c>
      <c r="T244" s="314">
        <f>IF($O244&gt;0,RANK(O244,AthletePoints),0)</f>
        <v>0</v>
      </c>
      <c r="U244" s="210"/>
      <c r="V244" s="444" t="str">
        <f>IF(O244&gt;=40,IF(X244="M",VLOOKUP(O244,UKABoysAwards,2),IF(X244="F",VLOOKUP(O244,UKAGirlsAwards,2),"")),"")</f>
        <v/>
      </c>
      <c r="W244" s="210"/>
      <c r="X244" s="266" t="str">
        <f t="array" ref="X244:X245">INDEX(DB,$B244,4)</f>
        <v>#REF!</v>
      </c>
      <c r="Y244" s="210"/>
      <c r="Z244" s="316" t="str">
        <f t="shared" si="3"/>
        <v>#REF!</v>
      </c>
      <c r="AA244" s="243" t="str">
        <f>IF($Z244&gt;=1,RANK($Z244,$Z229:$Z244),0)</f>
        <v>#REF!</v>
      </c>
      <c r="AB244" s="245" t="str">
        <f>IF(AA244&lt;=MaxS,INT(Z244),0)</f>
        <v>#REF!</v>
      </c>
      <c r="AC244" s="210" t="str">
        <f>SUM(AB229:AB244)</f>
        <v>#REF!</v>
      </c>
      <c r="AD244" s="316" t="str">
        <f t="shared" si="4"/>
        <v>#REF!</v>
      </c>
      <c r="AE244" s="243" t="str">
        <f>IF($AD244&gt;=1,RANK($AD244,$AD229:$AD244),0)</f>
        <v>#REF!</v>
      </c>
      <c r="AF244" s="245" t="str">
        <f>IF(AE244&lt;=MaxS,INT(AD244),0)</f>
        <v>#REF!</v>
      </c>
      <c r="AG244" s="210" t="str">
        <f>SUM(AF229:AF244)</f>
        <v>#REF!</v>
      </c>
      <c r="AH244" s="210"/>
      <c r="AI244" s="246" t="str">
        <f t="shared" si="5"/>
        <v>#REF!</v>
      </c>
      <c r="AJ244" s="247" t="str">
        <f t="shared" si="6"/>
        <v>#REF!</v>
      </c>
    </row>
    <row r="245" ht="15.0" customHeight="1">
      <c r="A245" s="248"/>
      <c r="B245" s="250">
        <f>IF(OR(ISNA(MATCH(C245&amp;"",AthleteNumbers,0)),ISBLANK(C245)),0,MATCH(C245&amp;"",AthleteNumbers,0))</f>
        <v>0</v>
      </c>
      <c r="C245" s="251"/>
      <c r="D245" s="252" t="str">
        <f t="array" ref="D245">IF($B245&gt;0,INDEX(DB,$B245,8),"")</f>
        <v/>
      </c>
      <c r="E245" s="253" t="str">
        <f t="array" ref="E245">IF($B245&gt;0,INDEX(DB,$B245,3),"")</f>
        <v/>
      </c>
      <c r="F245" s="254">
        <f t="array" ref="F245">IF($B245&gt;0,INDEX(DB,$B245,13),0)</f>
        <v>0</v>
      </c>
      <c r="G245" s="255">
        <f t="array" ref="G245">IF($B245&gt;0,INDEX(DB,$B245,17),0)</f>
        <v>0</v>
      </c>
      <c r="H245" s="257">
        <f t="array" ref="H245">IF($B245&gt;0,INDEX(DB,$B245,15),0)</f>
        <v>0</v>
      </c>
      <c r="I245" s="255">
        <f t="array" ref="I245">IF($B245&gt;0,INDEX(DB,$B245,19),0)</f>
        <v>0</v>
      </c>
      <c r="J245" s="257">
        <f t="array" ref="J245">IF($B245&gt;0,INDEX(DB,$B245,14),0)</f>
        <v>0</v>
      </c>
      <c r="K245" s="255">
        <f t="array" ref="K245">IF($B245&gt;0,INDEX(DB,$B245,18),0)</f>
        <v>0</v>
      </c>
      <c r="L245" s="254">
        <f t="array" ref="L245">IF($B245&gt;0,INDEX(DB,$B245,16),0)</f>
        <v>0</v>
      </c>
      <c r="M245" s="255">
        <f t="array" ref="M245">IF($B245&gt;0,INDEX(DB,$B245,20),0)</f>
        <v>0</v>
      </c>
      <c r="N245" s="258" t="str">
        <f t="array" ref="N245:N261">INDEX(RelayPoints,A260)</f>
        <v>#REF!</v>
      </c>
      <c r="O245" s="259">
        <f t="shared" si="1"/>
        <v>0</v>
      </c>
      <c r="P245" s="260" t="str">
        <f>+AC260+AG260+N245</f>
        <v>#REF!</v>
      </c>
      <c r="Q245" s="261" t="str">
        <f t="shared" si="2"/>
        <v>#REF!</v>
      </c>
      <c r="R245" s="262" t="str">
        <f>IF($AI245&gt;0,RANK($AI245,BoysPoints),0)</f>
        <v>#REF!</v>
      </c>
      <c r="S245" s="263" t="str">
        <f>IF($AJ245&gt;0,RANK($AJ245,GirlsPoints),0)</f>
        <v>#REF!</v>
      </c>
      <c r="T245" s="264">
        <f>IF($O245&gt;0,RANK(O245,AthletePoints),0)</f>
        <v>0</v>
      </c>
      <c r="U245" s="210"/>
      <c r="V245" s="317" t="str">
        <f>IF(O245&gt;=40,IF(X245="M",VLOOKUP(O245,UKABoysAwards,2),IF(X245="F",VLOOKUP(O245,UKAGirlsAwards,2),"")),"")</f>
        <v/>
      </c>
      <c r="W245" s="210"/>
      <c r="X245" s="266" t="str">
        <f t="array" ref="X245:X246">INDEX(DB,$B245,4)</f>
        <v>#REF!</v>
      </c>
      <c r="Y245" s="210"/>
      <c r="Z245" s="267" t="str">
        <f t="shared" si="3"/>
        <v>#REF!</v>
      </c>
      <c r="AA245" s="268" t="str">
        <f>IF($Z245&gt;=1,RANK($Z245,$Z245:$Z260),0)</f>
        <v>#REF!</v>
      </c>
      <c r="AB245" s="269" t="str">
        <f>IF(AA245&lt;=MaxS,INT(Z245),0)</f>
        <v>#REF!</v>
      </c>
      <c r="AC245" s="210"/>
      <c r="AD245" s="267" t="str">
        <f t="shared" si="4"/>
        <v>#REF!</v>
      </c>
      <c r="AE245" s="268" t="str">
        <f>IF($AD245&gt;=1,RANK($AD245,$AD245:$AD260),0)</f>
        <v>#REF!</v>
      </c>
      <c r="AF245" s="269" t="str">
        <f>IF(AE245&lt;=MaxS,INT(AD245),0)</f>
        <v>#REF!</v>
      </c>
      <c r="AG245" s="210"/>
      <c r="AH245" s="210"/>
      <c r="AI245" s="288" t="str">
        <f t="shared" si="5"/>
        <v>#REF!</v>
      </c>
      <c r="AJ245" s="289" t="str">
        <f t="shared" si="6"/>
        <v>#REF!</v>
      </c>
    </row>
    <row r="246" ht="15.0" customHeight="1">
      <c r="A246" s="272"/>
      <c r="B246" s="250">
        <f>IF(OR(ISNA(MATCH(C246&amp;"",AthleteNumbers,0)),ISBLANK(C246)),0,MATCH(C246&amp;"",AthleteNumbers,0))</f>
        <v>0</v>
      </c>
      <c r="C246" s="413"/>
      <c r="D246" s="273" t="str">
        <f t="array" ref="D246">IF($B246&gt;0,INDEX(DB,$B246,8),"")</f>
        <v/>
      </c>
      <c r="E246" s="274" t="str">
        <f t="array" ref="E246">IF($B246&gt;0,INDEX(DB,$B246,3),"")</f>
        <v/>
      </c>
      <c r="F246" s="275">
        <f t="array" ref="F246">IF($B246&gt;0,INDEX(DB,$B246,13),0)</f>
        <v>0</v>
      </c>
      <c r="G246" s="276">
        <f t="array" ref="G246">IF($B246&gt;0,INDEX(DB,$B246,17),0)</f>
        <v>0</v>
      </c>
      <c r="H246" s="277">
        <f t="array" ref="H246">IF($B246&gt;0,INDEX(DB,$B246,15),0)</f>
        <v>0</v>
      </c>
      <c r="I246" s="276">
        <f t="array" ref="I246">IF($B246&gt;0,INDEX(DB,$B246,19),0)</f>
        <v>0</v>
      </c>
      <c r="J246" s="277">
        <f t="array" ref="J246">IF($B246&gt;0,INDEX(DB,$B246,14),0)</f>
        <v>0</v>
      </c>
      <c r="K246" s="276">
        <f t="array" ref="K246">IF($B246&gt;0,INDEX(DB,$B246,18),0)</f>
        <v>0</v>
      </c>
      <c r="L246" s="275">
        <f t="array" ref="L246">IF($B246&gt;0,INDEX(DB,$B246,16),0)</f>
        <v>0</v>
      </c>
      <c r="M246" s="276">
        <f t="array" ref="M246">IF($B246&gt;0,INDEX(DB,$B246,20),0)</f>
        <v>0</v>
      </c>
      <c r="N246" s="278"/>
      <c r="O246" s="279">
        <f t="shared" si="1"/>
        <v>0</v>
      </c>
      <c r="P246" s="280"/>
      <c r="Q246" s="261" t="str">
        <f t="shared" si="2"/>
        <v>#REF!</v>
      </c>
      <c r="R246" s="281" t="str">
        <f>IF($AI246&gt;0,RANK($AI246,BoysPoints),0)</f>
        <v>#REF!</v>
      </c>
      <c r="S246" s="282" t="str">
        <f>IF($AJ246&gt;0,RANK($AJ246,GirlsPoints),0)</f>
        <v>#REF!</v>
      </c>
      <c r="T246" s="283">
        <f>IF($O246&gt;0,RANK(O246,AthletePoints),0)</f>
        <v>0</v>
      </c>
      <c r="U246" s="210"/>
      <c r="V246" s="415" t="str">
        <f>IF(O246&gt;=40,IF(X246="M",VLOOKUP(O246,UKABoysAwards,2),IF(X246="F",VLOOKUP(O246,UKAGirlsAwards,2),"")),"")</f>
        <v/>
      </c>
      <c r="W246" s="210"/>
      <c r="X246" s="266" t="str">
        <f t="array" ref="X246:X247">INDEX(DB,$B246,4)</f>
        <v>#REF!</v>
      </c>
      <c r="Y246" s="210"/>
      <c r="Z246" s="285" t="str">
        <f t="shared" si="3"/>
        <v>#REF!</v>
      </c>
      <c r="AA246" s="286" t="str">
        <f>IF($Z246&gt;=1,RANK($Z246,$Z245:$Z260),0)</f>
        <v>#REF!</v>
      </c>
      <c r="AB246" s="287" t="str">
        <f>IF(AA246&lt;=MaxS,INT(Z246),0)</f>
        <v>#REF!</v>
      </c>
      <c r="AC246" s="210"/>
      <c r="AD246" s="285" t="str">
        <f t="shared" si="4"/>
        <v>#REF!</v>
      </c>
      <c r="AE246" s="286" t="str">
        <f>IF($AD246&gt;=1,RANK($AD246,$AD245:$AD260),0)</f>
        <v>#REF!</v>
      </c>
      <c r="AF246" s="287" t="str">
        <f>IF(AE246&lt;=MaxS,INT(AD246),0)</f>
        <v>#REF!</v>
      </c>
      <c r="AG246" s="210"/>
      <c r="AH246" s="210"/>
      <c r="AI246" s="288" t="str">
        <f t="shared" si="5"/>
        <v>#REF!</v>
      </c>
      <c r="AJ246" s="289" t="str">
        <f t="shared" si="6"/>
        <v>#REF!</v>
      </c>
    </row>
    <row r="247" ht="15.0" customHeight="1">
      <c r="A247" s="272"/>
      <c r="B247" s="250">
        <f>IF(OR(ISNA(MATCH(C247&amp;"",AthleteNumbers,0)),ISBLANK(C247)),0,MATCH(C247&amp;"",AthleteNumbers,0))</f>
        <v>0</v>
      </c>
      <c r="C247" s="413"/>
      <c r="D247" s="273" t="str">
        <f t="array" ref="D247">IF($B247&gt;0,INDEX(DB,$B247,8),"")</f>
        <v/>
      </c>
      <c r="E247" s="274" t="str">
        <f t="array" ref="E247">IF($B247&gt;0,INDEX(DB,$B247,3),"")</f>
        <v/>
      </c>
      <c r="F247" s="275">
        <f t="array" ref="F247">IF($B247&gt;0,INDEX(DB,$B247,13),0)</f>
        <v>0</v>
      </c>
      <c r="G247" s="276">
        <f t="array" ref="G247">IF($B247&gt;0,INDEX(DB,$B247,17),0)</f>
        <v>0</v>
      </c>
      <c r="H247" s="277">
        <f t="array" ref="H247">IF($B247&gt;0,INDEX(DB,$B247,15),0)</f>
        <v>0</v>
      </c>
      <c r="I247" s="276">
        <f t="array" ref="I247">IF($B247&gt;0,INDEX(DB,$B247,19),0)</f>
        <v>0</v>
      </c>
      <c r="J247" s="277">
        <f t="array" ref="J247">IF($B247&gt;0,INDEX(DB,$B247,14),0)</f>
        <v>0</v>
      </c>
      <c r="K247" s="276">
        <f t="array" ref="K247">IF($B247&gt;0,INDEX(DB,$B247,18),0)</f>
        <v>0</v>
      </c>
      <c r="L247" s="275">
        <f t="array" ref="L247">IF($B247&gt;0,INDEX(DB,$B247,16),0)</f>
        <v>0</v>
      </c>
      <c r="M247" s="276">
        <f t="array" ref="M247">IF($B247&gt;0,INDEX(DB,$B247,20),0)</f>
        <v>0</v>
      </c>
      <c r="N247" s="278"/>
      <c r="O247" s="279">
        <f t="shared" si="1"/>
        <v>0</v>
      </c>
      <c r="P247" s="280"/>
      <c r="Q247" s="261" t="str">
        <f t="shared" si="2"/>
        <v>#REF!</v>
      </c>
      <c r="R247" s="290" t="str">
        <f>IF($AI247&gt;0,RANK($AI247,BoysPoints),0)</f>
        <v>#REF!</v>
      </c>
      <c r="S247" s="291" t="str">
        <f>IF($AJ247&gt;0,RANK($AJ247,GirlsPoints),0)</f>
        <v>#REF!</v>
      </c>
      <c r="T247" s="292">
        <f>IF($O247&gt;0,RANK(O247,AthletePoints),0)</f>
        <v>0</v>
      </c>
      <c r="U247" s="210"/>
      <c r="V247" s="330" t="str">
        <f>IF(O247&gt;=40,IF(X247="M",VLOOKUP(O247,UKABoysAwards,2),IF(X247="F",VLOOKUP(O247,UKAGirlsAwards,2),"")),"")</f>
        <v/>
      </c>
      <c r="W247" s="210"/>
      <c r="X247" s="266" t="str">
        <f t="array" ref="X247:X248">INDEX(DB,$B247,4)</f>
        <v>#REF!</v>
      </c>
      <c r="Y247" s="210"/>
      <c r="Z247" s="285" t="str">
        <f t="shared" si="3"/>
        <v>#REF!</v>
      </c>
      <c r="AA247" s="286" t="str">
        <f>IF($Z247&gt;=1,RANK($Z247,$Z245:$Z260),0)</f>
        <v>#REF!</v>
      </c>
      <c r="AB247" s="287" t="str">
        <f>IF(AA247&lt;=MaxS,INT(Z247),0)</f>
        <v>#REF!</v>
      </c>
      <c r="AC247" s="210"/>
      <c r="AD247" s="285" t="str">
        <f t="shared" si="4"/>
        <v>#REF!</v>
      </c>
      <c r="AE247" s="286" t="str">
        <f>IF($AD247&gt;=1,RANK($AD247,$AD245:$AD260),0)</f>
        <v>#REF!</v>
      </c>
      <c r="AF247" s="287" t="str">
        <f>IF(AE247&lt;=MaxS,INT(AD247),0)</f>
        <v>#REF!</v>
      </c>
      <c r="AG247" s="210"/>
      <c r="AH247" s="210"/>
      <c r="AI247" s="288" t="str">
        <f t="shared" si="5"/>
        <v>#REF!</v>
      </c>
      <c r="AJ247" s="289" t="str">
        <f t="shared" si="6"/>
        <v>#REF!</v>
      </c>
    </row>
    <row r="248" ht="15.0" customHeight="1">
      <c r="A248" s="272"/>
      <c r="B248" s="250">
        <f>IF(OR(ISNA(MATCH(C248&amp;"",AthleteNumbers,0)),ISBLANK(C248)),0,MATCH(C248&amp;"",AthleteNumbers,0))</f>
        <v>0</v>
      </c>
      <c r="C248" s="413"/>
      <c r="D248" s="273" t="str">
        <f t="array" ref="D248">IF($B248&gt;0,INDEX(DB,$B248,8),"")</f>
        <v/>
      </c>
      <c r="E248" s="274" t="str">
        <f t="array" ref="E248">IF($B248&gt;0,INDEX(DB,$B248,3),"")</f>
        <v/>
      </c>
      <c r="F248" s="275">
        <f t="array" ref="F248">IF($B248&gt;0,INDEX(DB,$B248,13),0)</f>
        <v>0</v>
      </c>
      <c r="G248" s="276">
        <f t="array" ref="G248">IF($B248&gt;0,INDEX(DB,$B248,17),0)</f>
        <v>0</v>
      </c>
      <c r="H248" s="277">
        <f t="array" ref="H248">IF($B248&gt;0,INDEX(DB,$B248,15),0)</f>
        <v>0</v>
      </c>
      <c r="I248" s="276">
        <f t="array" ref="I248">IF($B248&gt;0,INDEX(DB,$B248,19),0)</f>
        <v>0</v>
      </c>
      <c r="J248" s="277">
        <f t="array" ref="J248">IF($B248&gt;0,INDEX(DB,$B248,14),0)</f>
        <v>0</v>
      </c>
      <c r="K248" s="276">
        <f t="array" ref="K248">IF($B248&gt;0,INDEX(DB,$B248,18),0)</f>
        <v>0</v>
      </c>
      <c r="L248" s="275">
        <f t="array" ref="L248">IF($B248&gt;0,INDEX(DB,$B248,16),0)</f>
        <v>0</v>
      </c>
      <c r="M248" s="276">
        <f t="array" ref="M248">IF($B248&gt;0,INDEX(DB,$B248,20),0)</f>
        <v>0</v>
      </c>
      <c r="N248" s="278"/>
      <c r="O248" s="279">
        <f t="shared" si="1"/>
        <v>0</v>
      </c>
      <c r="P248" s="280"/>
      <c r="Q248" s="261" t="str">
        <f t="shared" si="2"/>
        <v>#REF!</v>
      </c>
      <c r="R248" s="281" t="str">
        <f>IF($AI248&gt;0,RANK($AI248,BoysPoints),0)</f>
        <v>#REF!</v>
      </c>
      <c r="S248" s="282" t="str">
        <f>IF($AJ248&gt;0,RANK($AJ248,GirlsPoints),0)</f>
        <v>#REF!</v>
      </c>
      <c r="T248" s="283">
        <f>IF($O248&gt;0,RANK(O248,AthletePoints),0)</f>
        <v>0</v>
      </c>
      <c r="U248" s="210"/>
      <c r="V248" s="415" t="str">
        <f>IF(O248&gt;=40,IF(X248="M",VLOOKUP(O248,UKABoysAwards,2),IF(X248="F",VLOOKUP(O248,UKAGirlsAwards,2),"")),"")</f>
        <v/>
      </c>
      <c r="W248" s="210"/>
      <c r="X248" s="266" t="str">
        <f t="array" ref="X248:X249">INDEX(DB,$B248,4)</f>
        <v>#REF!</v>
      </c>
      <c r="Y248" s="210"/>
      <c r="Z248" s="285" t="str">
        <f t="shared" si="3"/>
        <v>#REF!</v>
      </c>
      <c r="AA248" s="286" t="str">
        <f>IF($Z248&gt;=1,RANK($Z248,$Z245:$Z260),0)</f>
        <v>#REF!</v>
      </c>
      <c r="AB248" s="287" t="str">
        <f>IF(AA248&lt;=MaxS,INT(Z248),0)</f>
        <v>#REF!</v>
      </c>
      <c r="AC248" s="210"/>
      <c r="AD248" s="285" t="str">
        <f t="shared" si="4"/>
        <v>#REF!</v>
      </c>
      <c r="AE248" s="286" t="str">
        <f>IF($AD248&gt;=1,RANK($AD248,$AD245:$AD260),0)</f>
        <v>#REF!</v>
      </c>
      <c r="AF248" s="287" t="str">
        <f>IF(AE248&lt;=MaxS,INT(AD248),0)</f>
        <v>#REF!</v>
      </c>
      <c r="AG248" s="210"/>
      <c r="AH248" s="210"/>
      <c r="AI248" s="288" t="str">
        <f t="shared" si="5"/>
        <v>#REF!</v>
      </c>
      <c r="AJ248" s="289" t="str">
        <f t="shared" si="6"/>
        <v>#REF!</v>
      </c>
    </row>
    <row r="249" ht="15.0" customHeight="1">
      <c r="A249" s="272"/>
      <c r="B249" s="250">
        <f>IF(OR(ISNA(MATCH(C249&amp;"",AthleteNumbers,0)),ISBLANK(C249)),0,MATCH(C249&amp;"",AthleteNumbers,0))</f>
        <v>0</v>
      </c>
      <c r="C249" s="413"/>
      <c r="D249" s="273" t="str">
        <f t="array" ref="D249">IF($B249&gt;0,INDEX(DB,$B249,8),"")</f>
        <v/>
      </c>
      <c r="E249" s="274" t="str">
        <f t="array" ref="E249">IF($B249&gt;0,INDEX(DB,$B249,3),"")</f>
        <v/>
      </c>
      <c r="F249" s="275">
        <f t="array" ref="F249">IF($B249&gt;0,INDEX(DB,$B249,13),0)</f>
        <v>0</v>
      </c>
      <c r="G249" s="276">
        <f t="array" ref="G249">IF($B249&gt;0,INDEX(DB,$B249,17),0)</f>
        <v>0</v>
      </c>
      <c r="H249" s="277">
        <f t="array" ref="H249">IF($B249&gt;0,INDEX(DB,$B249,15),0)</f>
        <v>0</v>
      </c>
      <c r="I249" s="276">
        <f t="array" ref="I249">IF($B249&gt;0,INDEX(DB,$B249,19),0)</f>
        <v>0</v>
      </c>
      <c r="J249" s="277">
        <f t="array" ref="J249">IF($B249&gt;0,INDEX(DB,$B249,14),0)</f>
        <v>0</v>
      </c>
      <c r="K249" s="276">
        <f t="array" ref="K249">IF($B249&gt;0,INDEX(DB,$B249,18),0)</f>
        <v>0</v>
      </c>
      <c r="L249" s="275">
        <f t="array" ref="L249">IF($B249&gt;0,INDEX(DB,$B249,16),0)</f>
        <v>0</v>
      </c>
      <c r="M249" s="276">
        <f t="array" ref="M249">IF($B249&gt;0,INDEX(DB,$B249,20),0)</f>
        <v>0</v>
      </c>
      <c r="N249" s="278"/>
      <c r="O249" s="279">
        <f t="shared" si="1"/>
        <v>0</v>
      </c>
      <c r="P249" s="280"/>
      <c r="Q249" s="261" t="str">
        <f t="shared" si="2"/>
        <v>#REF!</v>
      </c>
      <c r="R249" s="290" t="str">
        <f>IF($AI249&gt;0,RANK($AI249,BoysPoints),0)</f>
        <v>#REF!</v>
      </c>
      <c r="S249" s="291" t="str">
        <f>IF($AJ249&gt;0,RANK($AJ249,GirlsPoints),0)</f>
        <v>#REF!</v>
      </c>
      <c r="T249" s="292">
        <f>IF($O249&gt;0,RANK(O249,AthletePoints),0)</f>
        <v>0</v>
      </c>
      <c r="U249" s="210"/>
      <c r="V249" s="330" t="str">
        <f>IF(O249&gt;=40,IF(X249="M",VLOOKUP(O249,UKABoysAwards,2),IF(X249="F",VLOOKUP(O249,UKAGirlsAwards,2),"")),"")</f>
        <v/>
      </c>
      <c r="W249" s="210"/>
      <c r="X249" s="266" t="str">
        <f t="array" ref="X249:X250">INDEX(DB,$B249,4)</f>
        <v>#REF!</v>
      </c>
      <c r="Y249" s="210"/>
      <c r="Z249" s="285" t="str">
        <f t="shared" si="3"/>
        <v>#REF!</v>
      </c>
      <c r="AA249" s="286" t="str">
        <f>IF($Z249&gt;=1,RANK($Z249,$Z245:$Z260),0)</f>
        <v>#REF!</v>
      </c>
      <c r="AB249" s="287" t="str">
        <f>IF(AA249&lt;=MaxS,INT(Z249),0)</f>
        <v>#REF!</v>
      </c>
      <c r="AC249" s="210"/>
      <c r="AD249" s="285" t="str">
        <f t="shared" si="4"/>
        <v>#REF!</v>
      </c>
      <c r="AE249" s="286" t="str">
        <f>IF($AD249&gt;=1,RANK($AD249,$AD245:$AD260),0)</f>
        <v>#REF!</v>
      </c>
      <c r="AF249" s="287" t="str">
        <f>IF(AE249&lt;=MaxS,INT(AD249),0)</f>
        <v>#REF!</v>
      </c>
      <c r="AG249" s="210"/>
      <c r="AH249" s="210"/>
      <c r="AI249" s="288" t="str">
        <f t="shared" si="5"/>
        <v>#REF!</v>
      </c>
      <c r="AJ249" s="289" t="str">
        <f t="shared" si="6"/>
        <v>#REF!</v>
      </c>
    </row>
    <row r="250" ht="15.0" customHeight="1">
      <c r="A250" s="272"/>
      <c r="B250" s="250">
        <f>IF(OR(ISNA(MATCH(C250&amp;"",AthleteNumbers,0)),ISBLANK(C250)),0,MATCH(C250&amp;"",AthleteNumbers,0))</f>
        <v>0</v>
      </c>
      <c r="C250" s="413"/>
      <c r="D250" s="273" t="str">
        <f t="array" ref="D250">IF($B250&gt;0,INDEX(DB,$B250,8),"")</f>
        <v/>
      </c>
      <c r="E250" s="274" t="str">
        <f t="array" ref="E250">IF($B250&gt;0,INDEX(DB,$B250,3),"")</f>
        <v/>
      </c>
      <c r="F250" s="275">
        <f t="array" ref="F250">IF($B250&gt;0,INDEX(DB,$B250,13),0)</f>
        <v>0</v>
      </c>
      <c r="G250" s="276">
        <f t="array" ref="G250">IF($B250&gt;0,INDEX(DB,$B250,17),0)</f>
        <v>0</v>
      </c>
      <c r="H250" s="277">
        <f t="array" ref="H250">IF($B250&gt;0,INDEX(DB,$B250,15),0)</f>
        <v>0</v>
      </c>
      <c r="I250" s="276">
        <f t="array" ref="I250">IF($B250&gt;0,INDEX(DB,$B250,19),0)</f>
        <v>0</v>
      </c>
      <c r="J250" s="277">
        <f t="array" ref="J250">IF($B250&gt;0,INDEX(DB,$B250,14),0)</f>
        <v>0</v>
      </c>
      <c r="K250" s="276">
        <f t="array" ref="K250">IF($B250&gt;0,INDEX(DB,$B250,18),0)</f>
        <v>0</v>
      </c>
      <c r="L250" s="275">
        <f t="array" ref="L250">IF($B250&gt;0,INDEX(DB,$B250,16),0)</f>
        <v>0</v>
      </c>
      <c r="M250" s="276">
        <f t="array" ref="M250">IF($B250&gt;0,INDEX(DB,$B250,20),0)</f>
        <v>0</v>
      </c>
      <c r="N250" s="278"/>
      <c r="O250" s="279">
        <f t="shared" si="1"/>
        <v>0</v>
      </c>
      <c r="P250" s="280"/>
      <c r="Q250" s="261" t="str">
        <f t="shared" si="2"/>
        <v>#REF!</v>
      </c>
      <c r="R250" s="281" t="str">
        <f>IF($AI250&gt;0,RANK($AI250,BoysPoints),0)</f>
        <v>#REF!</v>
      </c>
      <c r="S250" s="282" t="str">
        <f>IF($AJ250&gt;0,RANK($AJ250,GirlsPoints),0)</f>
        <v>#REF!</v>
      </c>
      <c r="T250" s="283">
        <f>IF($O250&gt;0,RANK(O250,AthletePoints),0)</f>
        <v>0</v>
      </c>
      <c r="U250" s="210"/>
      <c r="V250" s="415" t="str">
        <f>IF(O250&gt;=40,IF(X250="M",VLOOKUP(O250,UKABoysAwards,2),IF(X250="F",VLOOKUP(O250,UKAGirlsAwards,2),"")),"")</f>
        <v/>
      </c>
      <c r="W250" s="210"/>
      <c r="X250" s="266" t="str">
        <f t="array" ref="X250:X251">INDEX(DB,$B250,4)</f>
        <v>#REF!</v>
      </c>
      <c r="Y250" s="210"/>
      <c r="Z250" s="285" t="str">
        <f t="shared" si="3"/>
        <v>#REF!</v>
      </c>
      <c r="AA250" s="286" t="str">
        <f>IF($Z250&gt;=1,RANK($Z250,$Z245:$Z260),0)</f>
        <v>#REF!</v>
      </c>
      <c r="AB250" s="287" t="str">
        <f>IF(AA250&lt;=MaxS,INT(Z250),0)</f>
        <v>#REF!</v>
      </c>
      <c r="AC250" s="210"/>
      <c r="AD250" s="285" t="str">
        <f t="shared" si="4"/>
        <v>#REF!</v>
      </c>
      <c r="AE250" s="286" t="str">
        <f>IF($AD250&gt;=1,RANK($AD250,$AD245:$AD260),0)</f>
        <v>#REF!</v>
      </c>
      <c r="AF250" s="287" t="str">
        <f>IF(AE250&lt;=MaxS,INT(AD250),0)</f>
        <v>#REF!</v>
      </c>
      <c r="AG250" s="210"/>
      <c r="AH250" s="210"/>
      <c r="AI250" s="288" t="str">
        <f t="shared" si="5"/>
        <v>#REF!</v>
      </c>
      <c r="AJ250" s="289" t="str">
        <f t="shared" si="6"/>
        <v>#REF!</v>
      </c>
    </row>
    <row r="251" ht="15.0" customHeight="1">
      <c r="A251" s="272"/>
      <c r="B251" s="250">
        <f>IF(OR(ISNA(MATCH(C251&amp;"",AthleteNumbers,0)),ISBLANK(C251)),0,MATCH(C251&amp;"",AthleteNumbers,0))</f>
        <v>0</v>
      </c>
      <c r="C251" s="413"/>
      <c r="D251" s="273" t="str">
        <f t="array" ref="D251">IF($B251&gt;0,INDEX(DB,$B251,8),"")</f>
        <v/>
      </c>
      <c r="E251" s="274" t="str">
        <f t="array" ref="E251">IF($B251&gt;0,INDEX(DB,$B251,3),"")</f>
        <v/>
      </c>
      <c r="F251" s="275">
        <f t="array" ref="F251">IF($B251&gt;0,INDEX(DB,$B251,13),0)</f>
        <v>0</v>
      </c>
      <c r="G251" s="276">
        <f t="array" ref="G251">IF($B251&gt;0,INDEX(DB,$B251,17),0)</f>
        <v>0</v>
      </c>
      <c r="H251" s="277">
        <f t="array" ref="H251">IF($B251&gt;0,INDEX(DB,$B251,15),0)</f>
        <v>0</v>
      </c>
      <c r="I251" s="276">
        <f t="array" ref="I251">IF($B251&gt;0,INDEX(DB,$B251,19),0)</f>
        <v>0</v>
      </c>
      <c r="J251" s="277">
        <f t="array" ref="J251">IF($B251&gt;0,INDEX(DB,$B251,14),0)</f>
        <v>0</v>
      </c>
      <c r="K251" s="276">
        <f t="array" ref="K251">IF($B251&gt;0,INDEX(DB,$B251,18),0)</f>
        <v>0</v>
      </c>
      <c r="L251" s="275">
        <f t="array" ref="L251">IF($B251&gt;0,INDEX(DB,$B251,16),0)</f>
        <v>0</v>
      </c>
      <c r="M251" s="276">
        <f t="array" ref="M251">IF($B251&gt;0,INDEX(DB,$B251,20),0)</f>
        <v>0</v>
      </c>
      <c r="N251" s="278"/>
      <c r="O251" s="279">
        <f t="shared" si="1"/>
        <v>0</v>
      </c>
      <c r="P251" s="280"/>
      <c r="Q251" s="261" t="str">
        <f t="shared" si="2"/>
        <v>#REF!</v>
      </c>
      <c r="R251" s="290" t="str">
        <f>IF($AI251&gt;0,RANK($AI251,BoysPoints),0)</f>
        <v>#REF!</v>
      </c>
      <c r="S251" s="291" t="str">
        <f>IF($AJ251&gt;0,RANK($AJ251,GirlsPoints),0)</f>
        <v>#REF!</v>
      </c>
      <c r="T251" s="292">
        <f>IF($O251&gt;0,RANK(O251,AthletePoints),0)</f>
        <v>0</v>
      </c>
      <c r="U251" s="210"/>
      <c r="V251" s="330" t="str">
        <f>IF(O251&gt;=40,IF(X251="M",VLOOKUP(O251,UKABoysAwards,2),IF(X251="F",VLOOKUP(O251,UKAGirlsAwards,2),"")),"")</f>
        <v/>
      </c>
      <c r="W251" s="210"/>
      <c r="X251" s="266" t="str">
        <f t="array" ref="X251:X252">INDEX(DB,$B251,4)</f>
        <v>#REF!</v>
      </c>
      <c r="Y251" s="210"/>
      <c r="Z251" s="285" t="str">
        <f t="shared" si="3"/>
        <v>#REF!</v>
      </c>
      <c r="AA251" s="286" t="str">
        <f>IF($Z251&gt;=1,RANK($Z251,$Z245:$Z260),0)</f>
        <v>#REF!</v>
      </c>
      <c r="AB251" s="287" t="str">
        <f>IF(AA251&lt;=MaxS,INT(Z251),0)</f>
        <v>#REF!</v>
      </c>
      <c r="AC251" s="210"/>
      <c r="AD251" s="285" t="str">
        <f t="shared" si="4"/>
        <v>#REF!</v>
      </c>
      <c r="AE251" s="286" t="str">
        <f>IF($AD251&gt;=1,RANK($AD251,$AD245:$AD260),0)</f>
        <v>#REF!</v>
      </c>
      <c r="AF251" s="287" t="str">
        <f>IF(AE251&lt;=MaxS,INT(AD251),0)</f>
        <v>#REF!</v>
      </c>
      <c r="AG251" s="210"/>
      <c r="AH251" s="210"/>
      <c r="AI251" s="288" t="str">
        <f t="shared" si="5"/>
        <v>#REF!</v>
      </c>
      <c r="AJ251" s="289" t="str">
        <f t="shared" si="6"/>
        <v>#REF!</v>
      </c>
    </row>
    <row r="252" ht="15.0" customHeight="1">
      <c r="A252" s="272"/>
      <c r="B252" s="250">
        <f>IF(OR(ISNA(MATCH(C252&amp;"",AthleteNumbers,0)),ISBLANK(C252)),0,MATCH(C252&amp;"",AthleteNumbers,0))</f>
        <v>0</v>
      </c>
      <c r="C252" s="413"/>
      <c r="D252" s="273" t="str">
        <f t="array" ref="D252">IF($B252&gt;0,INDEX(DB,$B252,8),"")</f>
        <v/>
      </c>
      <c r="E252" s="274" t="str">
        <f t="array" ref="E252">IF($B252&gt;0,INDEX(DB,$B252,3),"")</f>
        <v/>
      </c>
      <c r="F252" s="275">
        <f t="array" ref="F252">IF($B252&gt;0,INDEX(DB,$B252,13),0)</f>
        <v>0</v>
      </c>
      <c r="G252" s="276">
        <f t="array" ref="G252">IF($B252&gt;0,INDEX(DB,$B252,17),0)</f>
        <v>0</v>
      </c>
      <c r="H252" s="277">
        <f t="array" ref="H252">IF($B252&gt;0,INDEX(DB,$B252,15),0)</f>
        <v>0</v>
      </c>
      <c r="I252" s="276">
        <f t="array" ref="I252">IF($B252&gt;0,INDEX(DB,$B252,19),0)</f>
        <v>0</v>
      </c>
      <c r="J252" s="277">
        <f t="array" ref="J252">IF($B252&gt;0,INDEX(DB,$B252,14),0)</f>
        <v>0</v>
      </c>
      <c r="K252" s="276">
        <f t="array" ref="K252">IF($B252&gt;0,INDEX(DB,$B252,18),0)</f>
        <v>0</v>
      </c>
      <c r="L252" s="275">
        <f t="array" ref="L252">IF($B252&gt;0,INDEX(DB,$B252,16),0)</f>
        <v>0</v>
      </c>
      <c r="M252" s="276">
        <f t="array" ref="M252">IF($B252&gt;0,INDEX(DB,$B252,20),0)</f>
        <v>0</v>
      </c>
      <c r="N252" s="278"/>
      <c r="O252" s="279">
        <f t="shared" si="1"/>
        <v>0</v>
      </c>
      <c r="P252" s="280"/>
      <c r="Q252" s="261" t="str">
        <f t="shared" si="2"/>
        <v>#REF!</v>
      </c>
      <c r="R252" s="281" t="str">
        <f>IF($AI252&gt;0,RANK($AI252,BoysPoints),0)</f>
        <v>#REF!</v>
      </c>
      <c r="S252" s="282" t="str">
        <f>IF($AJ252&gt;0,RANK($AJ252,GirlsPoints),0)</f>
        <v>#REF!</v>
      </c>
      <c r="T252" s="283">
        <f>IF($O252&gt;0,RANK(O252,AthletePoints),0)</f>
        <v>0</v>
      </c>
      <c r="U252" s="210"/>
      <c r="V252" s="415" t="str">
        <f>IF(O252&gt;=40,IF(X252="M",VLOOKUP(O252,UKABoysAwards,2),IF(X252="F",VLOOKUP(O252,UKAGirlsAwards,2),"")),"")</f>
        <v/>
      </c>
      <c r="W252" s="210"/>
      <c r="X252" s="266" t="str">
        <f t="array" ref="X252:X253">INDEX(DB,$B252,4)</f>
        <v>#REF!</v>
      </c>
      <c r="Y252" s="210"/>
      <c r="Z252" s="285" t="str">
        <f t="shared" si="3"/>
        <v>#REF!</v>
      </c>
      <c r="AA252" s="286" t="str">
        <f>IF($Z252&gt;=1,RANK($Z252,$Z245:$Z260),0)</f>
        <v>#REF!</v>
      </c>
      <c r="AB252" s="287" t="str">
        <f>IF(AA252&lt;=MaxS,INT(Z252),0)</f>
        <v>#REF!</v>
      </c>
      <c r="AC252" s="210"/>
      <c r="AD252" s="285" t="str">
        <f t="shared" si="4"/>
        <v>#REF!</v>
      </c>
      <c r="AE252" s="286" t="str">
        <f>IF($AD252&gt;=1,RANK($AD252,$AD245:$AD260),0)</f>
        <v>#REF!</v>
      </c>
      <c r="AF252" s="287" t="str">
        <f>IF(AE252&lt;=MaxS,INT(AD252),0)</f>
        <v>#REF!</v>
      </c>
      <c r="AG252" s="210"/>
      <c r="AH252" s="210"/>
      <c r="AI252" s="288" t="str">
        <f t="shared" si="5"/>
        <v>#REF!</v>
      </c>
      <c r="AJ252" s="289" t="str">
        <f t="shared" si="6"/>
        <v>#REF!</v>
      </c>
    </row>
    <row r="253" ht="15.0" customHeight="1">
      <c r="A253" s="272"/>
      <c r="B253" s="250">
        <f>IF(OR(ISNA(MATCH(C253&amp;"",AthleteNumbers,0)),ISBLANK(C253)),0,MATCH(C253&amp;"",AthleteNumbers,0))</f>
        <v>0</v>
      </c>
      <c r="C253" s="413"/>
      <c r="D253" s="273" t="str">
        <f t="array" ref="D253">IF($B253&gt;0,INDEX(DB,$B253,8),"")</f>
        <v/>
      </c>
      <c r="E253" s="274" t="str">
        <f t="array" ref="E253">IF($B253&gt;0,INDEX(DB,$B253,3),"")</f>
        <v/>
      </c>
      <c r="F253" s="275">
        <f t="array" ref="F253">IF($B253&gt;0,INDEX(DB,$B253,13),0)</f>
        <v>0</v>
      </c>
      <c r="G253" s="276">
        <f t="array" ref="G253">IF($B253&gt;0,INDEX(DB,$B253,17),0)</f>
        <v>0</v>
      </c>
      <c r="H253" s="277">
        <f t="array" ref="H253">IF($B253&gt;0,INDEX(DB,$B253,15),0)</f>
        <v>0</v>
      </c>
      <c r="I253" s="276">
        <f t="array" ref="I253">IF($B253&gt;0,INDEX(DB,$B253,19),0)</f>
        <v>0</v>
      </c>
      <c r="J253" s="277">
        <f t="array" ref="J253">IF($B253&gt;0,INDEX(DB,$B253,14),0)</f>
        <v>0</v>
      </c>
      <c r="K253" s="276">
        <f t="array" ref="K253">IF($B253&gt;0,INDEX(DB,$B253,18),0)</f>
        <v>0</v>
      </c>
      <c r="L253" s="275">
        <f t="array" ref="L253">IF($B253&gt;0,INDEX(DB,$B253,16),0)</f>
        <v>0</v>
      </c>
      <c r="M253" s="276">
        <f t="array" ref="M253">IF($B253&gt;0,INDEX(DB,$B253,20),0)</f>
        <v>0</v>
      </c>
      <c r="N253" s="278"/>
      <c r="O253" s="279">
        <f t="shared" si="1"/>
        <v>0</v>
      </c>
      <c r="P253" s="280"/>
      <c r="Q253" s="261" t="str">
        <f t="shared" si="2"/>
        <v>#REF!</v>
      </c>
      <c r="R253" s="290" t="str">
        <f>IF($AI253&gt;0,RANK($AI253,BoysPoints),0)</f>
        <v>#REF!</v>
      </c>
      <c r="S253" s="291" t="str">
        <f>IF($AJ253&gt;0,RANK($AJ253,GirlsPoints),0)</f>
        <v>#REF!</v>
      </c>
      <c r="T253" s="292">
        <f>IF($O253&gt;0,RANK(O253,AthletePoints),0)</f>
        <v>0</v>
      </c>
      <c r="U253" s="210"/>
      <c r="V253" s="330" t="str">
        <f>IF(O253&gt;=40,IF(X253="M",VLOOKUP(O253,UKABoysAwards,2),IF(X253="F",VLOOKUP(O253,UKAGirlsAwards,2),"")),"")</f>
        <v/>
      </c>
      <c r="W253" s="210"/>
      <c r="X253" s="266" t="str">
        <f t="array" ref="X253:X254">INDEX(DB,$B253,4)</f>
        <v>#REF!</v>
      </c>
      <c r="Y253" s="210"/>
      <c r="Z253" s="285" t="str">
        <f t="shared" si="3"/>
        <v>#REF!</v>
      </c>
      <c r="AA253" s="286" t="str">
        <f>IF($Z253&gt;=1,RANK($Z253,$Z245:$Z260),0)</f>
        <v>#REF!</v>
      </c>
      <c r="AB253" s="287" t="str">
        <f>IF(AA253&lt;=MaxS,INT(Z253),0)</f>
        <v>#REF!</v>
      </c>
      <c r="AC253" s="210"/>
      <c r="AD253" s="285" t="str">
        <f t="shared" si="4"/>
        <v>#REF!</v>
      </c>
      <c r="AE253" s="286" t="str">
        <f>IF($AD253&gt;=1,RANK($AD253,$AD245:$AD260),0)</f>
        <v>#REF!</v>
      </c>
      <c r="AF253" s="287" t="str">
        <f>IF(AE253&lt;=MaxS,INT(AD253),0)</f>
        <v>#REF!</v>
      </c>
      <c r="AG253" s="210"/>
      <c r="AH253" s="210"/>
      <c r="AI253" s="288" t="str">
        <f t="shared" si="5"/>
        <v>#REF!</v>
      </c>
      <c r="AJ253" s="289" t="str">
        <f t="shared" si="6"/>
        <v>#REF!</v>
      </c>
    </row>
    <row r="254" ht="15.0" customHeight="1">
      <c r="A254" s="272"/>
      <c r="B254" s="250">
        <f>IF(OR(ISNA(MATCH(C254&amp;"",AthleteNumbers,0)),ISBLANK(C254)),0,MATCH(C254&amp;"",AthleteNumbers,0))</f>
        <v>0</v>
      </c>
      <c r="C254" s="413"/>
      <c r="D254" s="273" t="str">
        <f t="array" ref="D254">IF($B254&gt;0,INDEX(DB,$B254,8),"")</f>
        <v/>
      </c>
      <c r="E254" s="274" t="str">
        <f t="array" ref="E254">IF($B254&gt;0,INDEX(DB,$B254,3),"")</f>
        <v/>
      </c>
      <c r="F254" s="275">
        <f t="array" ref="F254">IF($B254&gt;0,INDEX(DB,$B254,13),0)</f>
        <v>0</v>
      </c>
      <c r="G254" s="276">
        <f t="array" ref="G254">IF($B254&gt;0,INDEX(DB,$B254,17),0)</f>
        <v>0</v>
      </c>
      <c r="H254" s="277">
        <f t="array" ref="H254">IF($B254&gt;0,INDEX(DB,$B254,15),0)</f>
        <v>0</v>
      </c>
      <c r="I254" s="276">
        <f t="array" ref="I254">IF($B254&gt;0,INDEX(DB,$B254,19),0)</f>
        <v>0</v>
      </c>
      <c r="J254" s="277">
        <f t="array" ref="J254">IF($B254&gt;0,INDEX(DB,$B254,14),0)</f>
        <v>0</v>
      </c>
      <c r="K254" s="276">
        <f t="array" ref="K254">IF($B254&gt;0,INDEX(DB,$B254,18),0)</f>
        <v>0</v>
      </c>
      <c r="L254" s="275">
        <f t="array" ref="L254">IF($B254&gt;0,INDEX(DB,$B254,16),0)</f>
        <v>0</v>
      </c>
      <c r="M254" s="276">
        <f t="array" ref="M254">IF($B254&gt;0,INDEX(DB,$B254,20),0)</f>
        <v>0</v>
      </c>
      <c r="N254" s="278"/>
      <c r="O254" s="279">
        <f t="shared" si="1"/>
        <v>0</v>
      </c>
      <c r="P254" s="280"/>
      <c r="Q254" s="261" t="str">
        <f t="shared" si="2"/>
        <v>#REF!</v>
      </c>
      <c r="R254" s="281" t="str">
        <f>IF($AI254&gt;0,RANK($AI254,BoysPoints),0)</f>
        <v>#REF!</v>
      </c>
      <c r="S254" s="282" t="str">
        <f>IF($AJ254&gt;0,RANK($AJ254,GirlsPoints),0)</f>
        <v>#REF!</v>
      </c>
      <c r="T254" s="283">
        <f>IF($O254&gt;0,RANK(O254,AthletePoints),0)</f>
        <v>0</v>
      </c>
      <c r="U254" s="210"/>
      <c r="V254" s="415" t="str">
        <f>IF(O254&gt;=40,IF(X254="M",VLOOKUP(O254,UKABoysAwards,2),IF(X254="F",VLOOKUP(O254,UKAGirlsAwards,2),"")),"")</f>
        <v/>
      </c>
      <c r="W254" s="210"/>
      <c r="X254" s="266" t="str">
        <f t="array" ref="X254:X255">INDEX(DB,$B254,4)</f>
        <v>#REF!</v>
      </c>
      <c r="Y254" s="210"/>
      <c r="Z254" s="285" t="str">
        <f t="shared" si="3"/>
        <v>#REF!</v>
      </c>
      <c r="AA254" s="286" t="str">
        <f>IF($Z254&gt;=1,RANK($Z254,$Z245:$Z260),0)</f>
        <v>#REF!</v>
      </c>
      <c r="AB254" s="287" t="str">
        <f>IF(AA254&lt;=MaxS,INT(Z254),0)</f>
        <v>#REF!</v>
      </c>
      <c r="AC254" s="210"/>
      <c r="AD254" s="285" t="str">
        <f t="shared" si="4"/>
        <v>#REF!</v>
      </c>
      <c r="AE254" s="286" t="str">
        <f>IF($AD254&gt;=1,RANK($AD254,$AD245:$AD260),0)</f>
        <v>#REF!</v>
      </c>
      <c r="AF254" s="287" t="str">
        <f>IF(AE254&lt;=MaxS,INT(AD254),0)</f>
        <v>#REF!</v>
      </c>
      <c r="AG254" s="210"/>
      <c r="AH254" s="210"/>
      <c r="AI254" s="288" t="str">
        <f t="shared" si="5"/>
        <v>#REF!</v>
      </c>
      <c r="AJ254" s="289" t="str">
        <f t="shared" si="6"/>
        <v>#REF!</v>
      </c>
    </row>
    <row r="255" ht="15.0" customHeight="1">
      <c r="A255" s="272"/>
      <c r="B255" s="250">
        <f>IF(OR(ISNA(MATCH(C255&amp;"",AthleteNumbers,0)),ISBLANK(C255)),0,MATCH(C255&amp;"",AthleteNumbers,0))</f>
        <v>0</v>
      </c>
      <c r="C255" s="413"/>
      <c r="D255" s="273" t="str">
        <f t="array" ref="D255">IF($B255&gt;0,INDEX(DB,$B255,8),"")</f>
        <v/>
      </c>
      <c r="E255" s="274" t="str">
        <f t="array" ref="E255">IF($B255&gt;0,INDEX(DB,$B255,3),"")</f>
        <v/>
      </c>
      <c r="F255" s="275">
        <f t="array" ref="F255">IF($B255&gt;0,INDEX(DB,$B255,13),0)</f>
        <v>0</v>
      </c>
      <c r="G255" s="276">
        <f t="array" ref="G255">IF($B255&gt;0,INDEX(DB,$B255,17),0)</f>
        <v>0</v>
      </c>
      <c r="H255" s="277">
        <f t="array" ref="H255">IF($B255&gt;0,INDEX(DB,$B255,15),0)</f>
        <v>0</v>
      </c>
      <c r="I255" s="276">
        <f t="array" ref="I255">IF($B255&gt;0,INDEX(DB,$B255,19),0)</f>
        <v>0</v>
      </c>
      <c r="J255" s="277">
        <f t="array" ref="J255">IF($B255&gt;0,INDEX(DB,$B255,14),0)</f>
        <v>0</v>
      </c>
      <c r="K255" s="276">
        <f t="array" ref="K255">IF($B255&gt;0,INDEX(DB,$B255,18),0)</f>
        <v>0</v>
      </c>
      <c r="L255" s="275">
        <f t="array" ref="L255">IF($B255&gt;0,INDEX(DB,$B255,16),0)</f>
        <v>0</v>
      </c>
      <c r="M255" s="276">
        <f t="array" ref="M255">IF($B255&gt;0,INDEX(DB,$B255,20),0)</f>
        <v>0</v>
      </c>
      <c r="N255" s="278"/>
      <c r="O255" s="279">
        <f t="shared" si="1"/>
        <v>0</v>
      </c>
      <c r="P255" s="280"/>
      <c r="Q255" s="261" t="str">
        <f t="shared" si="2"/>
        <v>#REF!</v>
      </c>
      <c r="R255" s="290" t="str">
        <f>IF($AI255&gt;0,RANK($AI255,BoysPoints),0)</f>
        <v>#REF!</v>
      </c>
      <c r="S255" s="291" t="str">
        <f>IF($AJ255&gt;0,RANK($AJ255,GirlsPoints),0)</f>
        <v>#REF!</v>
      </c>
      <c r="T255" s="292">
        <f>IF($O255&gt;0,RANK(O255,AthletePoints),0)</f>
        <v>0</v>
      </c>
      <c r="U255" s="210"/>
      <c r="V255" s="330" t="str">
        <f>IF(O255&gt;=40,IF(X255="M",VLOOKUP(O255,UKABoysAwards,2),IF(X255="F",VLOOKUP(O255,UKAGirlsAwards,2),"")),"")</f>
        <v/>
      </c>
      <c r="W255" s="210"/>
      <c r="X255" s="266" t="str">
        <f t="array" ref="X255:X256">INDEX(DB,$B255,4)</f>
        <v>#REF!</v>
      </c>
      <c r="Y255" s="210"/>
      <c r="Z255" s="285" t="str">
        <f t="shared" si="3"/>
        <v>#REF!</v>
      </c>
      <c r="AA255" s="286" t="str">
        <f>IF($Z255&gt;=1,RANK($Z255,$Z245:$Z260),0)</f>
        <v>#REF!</v>
      </c>
      <c r="AB255" s="287" t="str">
        <f>IF(AA255&lt;=MaxS,INT(Z255),0)</f>
        <v>#REF!</v>
      </c>
      <c r="AC255" s="210"/>
      <c r="AD255" s="285" t="str">
        <f t="shared" si="4"/>
        <v>#REF!</v>
      </c>
      <c r="AE255" s="286" t="str">
        <f>IF($AD255&gt;=1,RANK($AD255,$AD245:$AD260),0)</f>
        <v>#REF!</v>
      </c>
      <c r="AF255" s="287" t="str">
        <f>IF(AE255&lt;=MaxS,INT(AD255),0)</f>
        <v>#REF!</v>
      </c>
      <c r="AG255" s="210"/>
      <c r="AH255" s="210"/>
      <c r="AI255" s="288" t="str">
        <f t="shared" si="5"/>
        <v>#REF!</v>
      </c>
      <c r="AJ255" s="289" t="str">
        <f t="shared" si="6"/>
        <v>#REF!</v>
      </c>
    </row>
    <row r="256" ht="15.0" customHeight="1">
      <c r="A256" s="272"/>
      <c r="B256" s="250">
        <f>IF(OR(ISNA(MATCH(C256&amp;"",AthleteNumbers,0)),ISBLANK(C256)),0,MATCH(C256&amp;"",AthleteNumbers,0))</f>
        <v>0</v>
      </c>
      <c r="C256" s="413"/>
      <c r="D256" s="273" t="str">
        <f t="array" ref="D256">IF($B256&gt;0,INDEX(DB,$B256,8),"")</f>
        <v/>
      </c>
      <c r="E256" s="274" t="str">
        <f t="array" ref="E256">IF($B256&gt;0,INDEX(DB,$B256,3),"")</f>
        <v/>
      </c>
      <c r="F256" s="275">
        <f t="array" ref="F256">IF($B256&gt;0,INDEX(DB,$B256,13),0)</f>
        <v>0</v>
      </c>
      <c r="G256" s="276">
        <f t="array" ref="G256">IF($B256&gt;0,INDEX(DB,$B256,17),0)</f>
        <v>0</v>
      </c>
      <c r="H256" s="277">
        <f t="array" ref="H256">IF($B256&gt;0,INDEX(DB,$B256,15),0)</f>
        <v>0</v>
      </c>
      <c r="I256" s="276">
        <f t="array" ref="I256">IF($B256&gt;0,INDEX(DB,$B256,19),0)</f>
        <v>0</v>
      </c>
      <c r="J256" s="277">
        <f t="array" ref="J256">IF($B256&gt;0,INDEX(DB,$B256,14),0)</f>
        <v>0</v>
      </c>
      <c r="K256" s="276">
        <f t="array" ref="K256">IF($B256&gt;0,INDEX(DB,$B256,18),0)</f>
        <v>0</v>
      </c>
      <c r="L256" s="275">
        <f t="array" ref="L256">IF($B256&gt;0,INDEX(DB,$B256,16),0)</f>
        <v>0</v>
      </c>
      <c r="M256" s="276">
        <f t="array" ref="M256">IF($B256&gt;0,INDEX(DB,$B256,20),0)</f>
        <v>0</v>
      </c>
      <c r="N256" s="278"/>
      <c r="O256" s="279">
        <f t="shared" si="1"/>
        <v>0</v>
      </c>
      <c r="P256" s="280"/>
      <c r="Q256" s="261" t="str">
        <f t="shared" si="2"/>
        <v>#REF!</v>
      </c>
      <c r="R256" s="281" t="str">
        <f>IF($AI256&gt;0,RANK($AI256,BoysPoints),0)</f>
        <v>#REF!</v>
      </c>
      <c r="S256" s="282" t="str">
        <f>IF($AJ256&gt;0,RANK($AJ256,GirlsPoints),0)</f>
        <v>#REF!</v>
      </c>
      <c r="T256" s="283">
        <f>IF($O256&gt;0,RANK(O256,AthletePoints),0)</f>
        <v>0</v>
      </c>
      <c r="U256" s="210"/>
      <c r="V256" s="415" t="str">
        <f>IF(O256&gt;=40,IF(X256="M",VLOOKUP(O256,UKABoysAwards,2),IF(X256="F",VLOOKUP(O256,UKAGirlsAwards,2),"")),"")</f>
        <v/>
      </c>
      <c r="W256" s="210"/>
      <c r="X256" s="266" t="str">
        <f t="array" ref="X256:X257">INDEX(DB,$B256,4)</f>
        <v>#REF!</v>
      </c>
      <c r="Y256" s="210"/>
      <c r="Z256" s="285" t="str">
        <f t="shared" si="3"/>
        <v>#REF!</v>
      </c>
      <c r="AA256" s="286" t="str">
        <f>IF($Z256&gt;=1,RANK($Z256,$Z245:$Z260),0)</f>
        <v>#REF!</v>
      </c>
      <c r="AB256" s="287" t="str">
        <f>IF(AA256&lt;=MaxS,INT(Z256),0)</f>
        <v>#REF!</v>
      </c>
      <c r="AC256" s="210"/>
      <c r="AD256" s="285" t="str">
        <f t="shared" si="4"/>
        <v>#REF!</v>
      </c>
      <c r="AE256" s="286" t="str">
        <f>IF($AD256&gt;=1,RANK($AD256,$AD245:$AD260),0)</f>
        <v>#REF!</v>
      </c>
      <c r="AF256" s="287" t="str">
        <f>IF(AE256&lt;=MaxS,INT(AD256),0)</f>
        <v>#REF!</v>
      </c>
      <c r="AG256" s="210"/>
      <c r="AH256" s="210"/>
      <c r="AI256" s="288" t="str">
        <f t="shared" si="5"/>
        <v>#REF!</v>
      </c>
      <c r="AJ256" s="289" t="str">
        <f t="shared" si="6"/>
        <v>#REF!</v>
      </c>
    </row>
    <row r="257" ht="15.0" customHeight="1">
      <c r="A257" s="272"/>
      <c r="B257" s="250">
        <f>IF(OR(ISNA(MATCH(C257&amp;"",AthleteNumbers,0)),ISBLANK(C257)),0,MATCH(C257&amp;"",AthleteNumbers,0))</f>
        <v>0</v>
      </c>
      <c r="C257" s="413"/>
      <c r="D257" s="273" t="str">
        <f t="array" ref="D257">IF($B257&gt;0,INDEX(DB,$B257,8),"")</f>
        <v/>
      </c>
      <c r="E257" s="274" t="str">
        <f t="array" ref="E257">IF($B257&gt;0,INDEX(DB,$B257,3),"")</f>
        <v/>
      </c>
      <c r="F257" s="275">
        <f t="array" ref="F257">IF($B257&gt;0,INDEX(DB,$B257,13),0)</f>
        <v>0</v>
      </c>
      <c r="G257" s="276">
        <f t="array" ref="G257">IF($B257&gt;0,INDEX(DB,$B257,17),0)</f>
        <v>0</v>
      </c>
      <c r="H257" s="277">
        <f t="array" ref="H257">IF($B257&gt;0,INDEX(DB,$B257,15),0)</f>
        <v>0</v>
      </c>
      <c r="I257" s="276">
        <f t="array" ref="I257">IF($B257&gt;0,INDEX(DB,$B257,19),0)</f>
        <v>0</v>
      </c>
      <c r="J257" s="277">
        <f t="array" ref="J257">IF($B257&gt;0,INDEX(DB,$B257,14),0)</f>
        <v>0</v>
      </c>
      <c r="K257" s="276">
        <f t="array" ref="K257">IF($B257&gt;0,INDEX(DB,$B257,18),0)</f>
        <v>0</v>
      </c>
      <c r="L257" s="275">
        <f t="array" ref="L257">IF($B257&gt;0,INDEX(DB,$B257,16),0)</f>
        <v>0</v>
      </c>
      <c r="M257" s="276">
        <f t="array" ref="M257">IF($B257&gt;0,INDEX(DB,$B257,20),0)</f>
        <v>0</v>
      </c>
      <c r="N257" s="278"/>
      <c r="O257" s="279">
        <f t="shared" si="1"/>
        <v>0</v>
      </c>
      <c r="P257" s="280"/>
      <c r="Q257" s="261" t="str">
        <f t="shared" si="2"/>
        <v>#REF!</v>
      </c>
      <c r="R257" s="290" t="str">
        <f>IF($AI257&gt;0,RANK($AI257,BoysPoints),0)</f>
        <v>#REF!</v>
      </c>
      <c r="S257" s="291" t="str">
        <f>IF($AJ257&gt;0,RANK($AJ257,GirlsPoints),0)</f>
        <v>#REF!</v>
      </c>
      <c r="T257" s="292">
        <f>IF($O257&gt;0,RANK(O257,AthletePoints),0)</f>
        <v>0</v>
      </c>
      <c r="U257" s="210"/>
      <c r="V257" s="330" t="str">
        <f>IF(O257&gt;=40,IF(X257="M",VLOOKUP(O257,UKABoysAwards,2),IF(X257="F",VLOOKUP(O257,UKAGirlsAwards,2),"")),"")</f>
        <v/>
      </c>
      <c r="W257" s="210"/>
      <c r="X257" s="266" t="str">
        <f t="array" ref="X257:X258">INDEX(DB,$B257,4)</f>
        <v>#REF!</v>
      </c>
      <c r="Y257" s="210"/>
      <c r="Z257" s="285" t="str">
        <f t="shared" si="3"/>
        <v>#REF!</v>
      </c>
      <c r="AA257" s="286" t="str">
        <f>IF($Z257&gt;=1,RANK($Z257,$Z245:$Z260),0)</f>
        <v>#REF!</v>
      </c>
      <c r="AB257" s="287" t="str">
        <f>IF(AA257&lt;=MaxS,INT(Z257),0)</f>
        <v>#REF!</v>
      </c>
      <c r="AC257" s="210"/>
      <c r="AD257" s="285" t="str">
        <f t="shared" si="4"/>
        <v>#REF!</v>
      </c>
      <c r="AE257" s="286" t="str">
        <f>IF($AD257&gt;=1,RANK($AD257,$AD245:$AD260),0)</f>
        <v>#REF!</v>
      </c>
      <c r="AF257" s="287" t="str">
        <f>IF(AE257&lt;=MaxS,INT(AD257),0)</f>
        <v>#REF!</v>
      </c>
      <c r="AG257" s="210"/>
      <c r="AH257" s="210"/>
      <c r="AI257" s="288" t="str">
        <f t="shared" si="5"/>
        <v>#REF!</v>
      </c>
      <c r="AJ257" s="289" t="str">
        <f t="shared" si="6"/>
        <v>#REF!</v>
      </c>
    </row>
    <row r="258" ht="15.0" customHeight="1">
      <c r="A258" s="272"/>
      <c r="B258" s="250">
        <f>IF(OR(ISNA(MATCH(C258&amp;"",AthleteNumbers,0)),ISBLANK(C258)),0,MATCH(C258&amp;"",AthleteNumbers,0))</f>
        <v>0</v>
      </c>
      <c r="C258" s="413"/>
      <c r="D258" s="273" t="str">
        <f t="array" ref="D258">IF($B258&gt;0,INDEX(DB,$B258,8),"")</f>
        <v/>
      </c>
      <c r="E258" s="274" t="str">
        <f t="array" ref="E258">IF($B258&gt;0,INDEX(DB,$B258,3),"")</f>
        <v/>
      </c>
      <c r="F258" s="275">
        <f t="array" ref="F258">IF($B258&gt;0,INDEX(DB,$B258,13),0)</f>
        <v>0</v>
      </c>
      <c r="G258" s="276">
        <f t="array" ref="G258">IF($B258&gt;0,INDEX(DB,$B258,17),0)</f>
        <v>0</v>
      </c>
      <c r="H258" s="277">
        <f t="array" ref="H258">IF($B258&gt;0,INDEX(DB,$B258,15),0)</f>
        <v>0</v>
      </c>
      <c r="I258" s="276">
        <f t="array" ref="I258">IF($B258&gt;0,INDEX(DB,$B258,19),0)</f>
        <v>0</v>
      </c>
      <c r="J258" s="277">
        <f t="array" ref="J258">IF($B258&gt;0,INDEX(DB,$B258,14),0)</f>
        <v>0</v>
      </c>
      <c r="K258" s="276">
        <f t="array" ref="K258">IF($B258&gt;0,INDEX(DB,$B258,18),0)</f>
        <v>0</v>
      </c>
      <c r="L258" s="275">
        <f t="array" ref="L258">IF($B258&gt;0,INDEX(DB,$B258,16),0)</f>
        <v>0</v>
      </c>
      <c r="M258" s="276">
        <f t="array" ref="M258">IF($B258&gt;0,INDEX(DB,$B258,20),0)</f>
        <v>0</v>
      </c>
      <c r="N258" s="278"/>
      <c r="O258" s="279">
        <f t="shared" si="1"/>
        <v>0</v>
      </c>
      <c r="P258" s="280"/>
      <c r="Q258" s="261" t="str">
        <f t="shared" si="2"/>
        <v>#REF!</v>
      </c>
      <c r="R258" s="281" t="str">
        <f>IF($AI258&gt;0,RANK($AI258,BoysPoints),0)</f>
        <v>#REF!</v>
      </c>
      <c r="S258" s="282" t="str">
        <f>IF($AJ258&gt;0,RANK($AJ258,GirlsPoints),0)</f>
        <v>#REF!</v>
      </c>
      <c r="T258" s="283">
        <f>IF($O258&gt;0,RANK(O258,AthletePoints),0)</f>
        <v>0</v>
      </c>
      <c r="U258" s="210"/>
      <c r="V258" s="415" t="str">
        <f>IF(O258&gt;=40,IF(X258="M",VLOOKUP(O258,UKABoysAwards,2),IF(X258="F",VLOOKUP(O258,UKAGirlsAwards,2),"")),"")</f>
        <v/>
      </c>
      <c r="W258" s="210"/>
      <c r="X258" s="266" t="str">
        <f t="array" ref="X258:X259">INDEX(DB,$B258,4)</f>
        <v>#REF!</v>
      </c>
      <c r="Y258" s="210"/>
      <c r="Z258" s="285" t="str">
        <f t="shared" si="3"/>
        <v>#REF!</v>
      </c>
      <c r="AA258" s="286" t="str">
        <f>IF($Z258&gt;=1,RANK($Z258,$Z245:$Z260),0)</f>
        <v>#REF!</v>
      </c>
      <c r="AB258" s="287" t="str">
        <f>IF(AA258&lt;=MaxS,INT(Z258),0)</f>
        <v>#REF!</v>
      </c>
      <c r="AC258" s="210"/>
      <c r="AD258" s="285" t="str">
        <f t="shared" si="4"/>
        <v>#REF!</v>
      </c>
      <c r="AE258" s="286" t="str">
        <f>IF($AD258&gt;=1,RANK($AD258,$AD245:$AD260),0)</f>
        <v>#REF!</v>
      </c>
      <c r="AF258" s="287" t="str">
        <f>IF(AE258&lt;=MaxS,INT(AD258),0)</f>
        <v>#REF!</v>
      </c>
      <c r="AG258" s="210"/>
      <c r="AH258" s="210"/>
      <c r="AI258" s="288" t="str">
        <f t="shared" si="5"/>
        <v>#REF!</v>
      </c>
      <c r="AJ258" s="289" t="str">
        <f t="shared" si="6"/>
        <v>#REF!</v>
      </c>
    </row>
    <row r="259" ht="15.0" customHeight="1">
      <c r="A259" s="272"/>
      <c r="B259" s="250">
        <f>IF(OR(ISNA(MATCH(C259&amp;"",AthleteNumbers,0)),ISBLANK(C259)),0,MATCH(C259&amp;"",AthleteNumbers,0))</f>
        <v>0</v>
      </c>
      <c r="C259" s="413"/>
      <c r="D259" s="273" t="str">
        <f t="array" ref="D259">IF($B259&gt;0,INDEX(DB,$B259,8),"")</f>
        <v/>
      </c>
      <c r="E259" s="274" t="str">
        <f t="array" ref="E259">IF($B259&gt;0,INDEX(DB,$B259,3),"")</f>
        <v/>
      </c>
      <c r="F259" s="275">
        <f t="array" ref="F259">IF($B259&gt;0,INDEX(DB,$B259,13),0)</f>
        <v>0</v>
      </c>
      <c r="G259" s="276">
        <f t="array" ref="G259">IF($B259&gt;0,INDEX(DB,$B259,17),0)</f>
        <v>0</v>
      </c>
      <c r="H259" s="277">
        <f t="array" ref="H259">IF($B259&gt;0,INDEX(DB,$B259,15),0)</f>
        <v>0</v>
      </c>
      <c r="I259" s="276">
        <f t="array" ref="I259">IF($B259&gt;0,INDEX(DB,$B259,19),0)</f>
        <v>0</v>
      </c>
      <c r="J259" s="277">
        <f t="array" ref="J259">IF($B259&gt;0,INDEX(DB,$B259,14),0)</f>
        <v>0</v>
      </c>
      <c r="K259" s="276">
        <f t="array" ref="K259">IF($B259&gt;0,INDEX(DB,$B259,18),0)</f>
        <v>0</v>
      </c>
      <c r="L259" s="275">
        <f t="array" ref="L259">IF($B259&gt;0,INDEX(DB,$B259,16),0)</f>
        <v>0</v>
      </c>
      <c r="M259" s="276">
        <f t="array" ref="M259">IF($B259&gt;0,INDEX(DB,$B259,20),0)</f>
        <v>0</v>
      </c>
      <c r="N259" s="278"/>
      <c r="O259" s="279">
        <f t="shared" si="1"/>
        <v>0</v>
      </c>
      <c r="P259" s="280"/>
      <c r="Q259" s="261" t="str">
        <f t="shared" si="2"/>
        <v>#REF!</v>
      </c>
      <c r="R259" s="290" t="str">
        <f>IF($AI259&gt;0,RANK($AI259,BoysPoints),0)</f>
        <v>#REF!</v>
      </c>
      <c r="S259" s="291" t="str">
        <f>IF($AJ259&gt;0,RANK($AJ259,GirlsPoints),0)</f>
        <v>#REF!</v>
      </c>
      <c r="T259" s="292">
        <f>IF($O259&gt;0,RANK(O259,AthletePoints),0)</f>
        <v>0</v>
      </c>
      <c r="U259" s="210"/>
      <c r="V259" s="330" t="str">
        <f>IF(O259&gt;=40,IF(X259="M",VLOOKUP(O259,UKABoysAwards,2),IF(X259="F",VLOOKUP(O259,UKAGirlsAwards,2),"")),"")</f>
        <v/>
      </c>
      <c r="W259" s="210"/>
      <c r="X259" s="266" t="str">
        <f t="array" ref="X259:X260">INDEX(DB,$B259,4)</f>
        <v>#REF!</v>
      </c>
      <c r="Y259" s="210"/>
      <c r="Z259" s="285" t="str">
        <f t="shared" si="3"/>
        <v>#REF!</v>
      </c>
      <c r="AA259" s="286" t="str">
        <f>IF($Z259&gt;=1,RANK($Z259,$Z245:$Z260),0)</f>
        <v>#REF!</v>
      </c>
      <c r="AB259" s="287" t="str">
        <f>IF(AA259&lt;=MaxS,INT(Z259),0)</f>
        <v>#REF!</v>
      </c>
      <c r="AC259" s="210"/>
      <c r="AD259" s="285" t="str">
        <f t="shared" si="4"/>
        <v>#REF!</v>
      </c>
      <c r="AE259" s="286" t="str">
        <f>IF($AD259&gt;=1,RANK($AD259,$AD245:$AD260),0)</f>
        <v>#REF!</v>
      </c>
      <c r="AF259" s="287" t="str">
        <f>IF(AE259&lt;=MaxS,INT(AD259),0)</f>
        <v>#REF!</v>
      </c>
      <c r="AG259" s="210"/>
      <c r="AH259" s="210"/>
      <c r="AI259" s="288" t="str">
        <f t="shared" si="5"/>
        <v>#REF!</v>
      </c>
      <c r="AJ259" s="289" t="str">
        <f t="shared" si="6"/>
        <v>#REF!</v>
      </c>
    </row>
    <row r="260" ht="15.0" customHeight="1">
      <c r="A260" s="305"/>
      <c r="B260" s="250">
        <f>IF(OR(ISNA(MATCH(C260&amp;"",AthleteNumbers,0)),ISBLANK(C260)),0,MATCH(C260&amp;"",AthleteNumbers,0))</f>
        <v>0</v>
      </c>
      <c r="C260" s="443"/>
      <c r="D260" s="306" t="str">
        <f t="array" ref="D260">IF($B260&gt;0,INDEX(DB,$B260,8),"")</f>
        <v/>
      </c>
      <c r="E260" s="307" t="str">
        <f t="array" ref="E260">IF($B260&gt;0,INDEX(DB,$B260,3),"")</f>
        <v/>
      </c>
      <c r="F260" s="308">
        <f t="array" ref="F260">IF($B260&gt;0,INDEX(DB,$B260,13),0)</f>
        <v>0</v>
      </c>
      <c r="G260" s="309">
        <f t="array" ref="G260">IF($B260&gt;0,INDEX(DB,$B260,17),0)</f>
        <v>0</v>
      </c>
      <c r="H260" s="310">
        <f t="array" ref="H260">IF($B260&gt;0,INDEX(DB,$B260,15),0)</f>
        <v>0</v>
      </c>
      <c r="I260" s="309">
        <f t="array" ref="I260">IF($B260&gt;0,INDEX(DB,$B260,19),0)</f>
        <v>0</v>
      </c>
      <c r="J260" s="310">
        <f t="array" ref="J260">IF($B260&gt;0,INDEX(DB,$B260,14),0)</f>
        <v>0</v>
      </c>
      <c r="K260" s="309">
        <f t="array" ref="K260">IF($B260&gt;0,INDEX(DB,$B260,18),0)</f>
        <v>0</v>
      </c>
      <c r="L260" s="308">
        <f t="array" ref="L260">IF($B260&gt;0,INDEX(DB,$B260,16),0)</f>
        <v>0</v>
      </c>
      <c r="M260" s="309">
        <f t="array" ref="M260">IF($B260&gt;0,INDEX(DB,$B260,20),0)</f>
        <v>0</v>
      </c>
      <c r="N260" s="25"/>
      <c r="O260" s="311">
        <f t="shared" si="1"/>
        <v>0</v>
      </c>
      <c r="P260" s="31"/>
      <c r="Q260" s="261" t="str">
        <f t="shared" si="2"/>
        <v>#REF!</v>
      </c>
      <c r="R260" s="312" t="str">
        <f>IF($AI260&gt;0,RANK($AI260,BoysPoints),0)</f>
        <v>#REF!</v>
      </c>
      <c r="S260" s="313" t="str">
        <f>IF($AJ260&gt;0,RANK($AJ260,GirlsPoints),0)</f>
        <v>#REF!</v>
      </c>
      <c r="T260" s="314">
        <f>IF($O260&gt;0,RANK(O260,AthletePoints),0)</f>
        <v>0</v>
      </c>
      <c r="U260" s="210"/>
      <c r="V260" s="444" t="str">
        <f>IF(O260&gt;=40,IF(X260="M",VLOOKUP(O260,UKABoysAwards,2),IF(X260="F",VLOOKUP(O260,UKAGirlsAwards,2),"")),"")</f>
        <v/>
      </c>
      <c r="W260" s="210"/>
      <c r="X260" s="266" t="str">
        <f t="array" ref="X260:X261">INDEX(DB,$B260,4)</f>
        <v>#REF!</v>
      </c>
      <c r="Y260" s="210"/>
      <c r="Z260" s="316" t="str">
        <f t="shared" si="3"/>
        <v>#REF!</v>
      </c>
      <c r="AA260" s="243" t="str">
        <f>IF($Z260&gt;=1,RANK($Z260,$Z245:$Z260),0)</f>
        <v>#REF!</v>
      </c>
      <c r="AB260" s="245" t="str">
        <f>IF(AA260&lt;=MaxS,INT(Z260),0)</f>
        <v>#REF!</v>
      </c>
      <c r="AC260" s="210" t="str">
        <f>SUM(AB245:AB260)</f>
        <v>#REF!</v>
      </c>
      <c r="AD260" s="316" t="str">
        <f t="shared" si="4"/>
        <v>#REF!</v>
      </c>
      <c r="AE260" s="243" t="str">
        <f>IF($AD260&gt;=1,RANK($AD260,$AD245:$AD260),0)</f>
        <v>#REF!</v>
      </c>
      <c r="AF260" s="245" t="str">
        <f>IF(AE260&lt;=MaxS,INT(AD260),0)</f>
        <v>#REF!</v>
      </c>
      <c r="AG260" s="210" t="str">
        <f>SUM(AF245:AF260)</f>
        <v>#REF!</v>
      </c>
      <c r="AH260" s="210"/>
      <c r="AI260" s="246" t="str">
        <f t="shared" si="5"/>
        <v>#REF!</v>
      </c>
      <c r="AJ260" s="247" t="str">
        <f t="shared" si="6"/>
        <v>#REF!</v>
      </c>
    </row>
    <row r="261" ht="15.0" customHeight="1">
      <c r="A261" s="248"/>
      <c r="B261" s="250">
        <f>IF(OR(ISNA(MATCH(C261&amp;"",AthleteNumbers,0)),ISBLANK(C261)),0,MATCH(C261&amp;"",AthleteNumbers,0))</f>
        <v>0</v>
      </c>
      <c r="C261" s="251"/>
      <c r="D261" s="252" t="str">
        <f t="array" ref="D261">IF($B261&gt;0,INDEX(DB,$B261,8),"")</f>
        <v/>
      </c>
      <c r="E261" s="253" t="str">
        <f t="array" ref="E261">IF($B261&gt;0,INDEX(DB,$B261,3),"")</f>
        <v/>
      </c>
      <c r="F261" s="254">
        <f t="array" ref="F261">IF($B261&gt;0,INDEX(DB,$B261,13),0)</f>
        <v>0</v>
      </c>
      <c r="G261" s="255">
        <f t="array" ref="G261">IF($B261&gt;0,INDEX(DB,$B261,17),0)</f>
        <v>0</v>
      </c>
      <c r="H261" s="257">
        <f t="array" ref="H261">IF($B261&gt;0,INDEX(DB,$B261,15),0)</f>
        <v>0</v>
      </c>
      <c r="I261" s="255">
        <f t="array" ref="I261">IF($B261&gt;0,INDEX(DB,$B261,19),0)</f>
        <v>0</v>
      </c>
      <c r="J261" s="257">
        <f t="array" ref="J261">IF($B261&gt;0,INDEX(DB,$B261,14),0)</f>
        <v>0</v>
      </c>
      <c r="K261" s="255">
        <f t="array" ref="K261">IF($B261&gt;0,INDEX(DB,$B261,18),0)</f>
        <v>0</v>
      </c>
      <c r="L261" s="254">
        <f t="array" ref="L261">IF($B261&gt;0,INDEX(DB,$B261,16),0)</f>
        <v>0</v>
      </c>
      <c r="M261" s="255">
        <f t="array" ref="M261">IF($B261&gt;0,INDEX(DB,$B261,20),0)</f>
        <v>0</v>
      </c>
      <c r="N261" s="258" t="str">
        <f t="array" ref="N261:N277">INDEX(RelayPoints,A276)</f>
        <v>#REF!</v>
      </c>
      <c r="O261" s="259">
        <f t="shared" si="1"/>
        <v>0</v>
      </c>
      <c r="P261" s="260" t="str">
        <f>+AC276+AG276+N261</f>
        <v>#REF!</v>
      </c>
      <c r="Q261" s="261" t="str">
        <f t="shared" si="2"/>
        <v>#REF!</v>
      </c>
      <c r="R261" s="262" t="str">
        <f>IF($AI261&gt;0,RANK($AI261,BoysPoints),0)</f>
        <v>#REF!</v>
      </c>
      <c r="S261" s="263" t="str">
        <f>IF($AJ261&gt;0,RANK($AJ261,GirlsPoints),0)</f>
        <v>#REF!</v>
      </c>
      <c r="T261" s="264">
        <f>IF($O261&gt;0,RANK(O261,AthletePoints),0)</f>
        <v>0</v>
      </c>
      <c r="U261" s="210"/>
      <c r="V261" s="317" t="str">
        <f>IF(O261&gt;=40,IF(X261="M",VLOOKUP(O261,UKABoysAwards,2),IF(X261="F",VLOOKUP(O261,UKAGirlsAwards,2),"")),"")</f>
        <v/>
      </c>
      <c r="W261" s="210"/>
      <c r="X261" s="266" t="str">
        <f t="array" ref="X261:X262">INDEX(DB,$B261,4)</f>
        <v>#REF!</v>
      </c>
      <c r="Y261" s="210"/>
      <c r="Z261" s="267" t="str">
        <f t="shared" si="3"/>
        <v>#REF!</v>
      </c>
      <c r="AA261" s="268" t="str">
        <f>IF($Z261&gt;=1,RANK($Z261,$Z261:$Z276),0)</f>
        <v>#REF!</v>
      </c>
      <c r="AB261" s="269" t="str">
        <f>IF(AA261&lt;=MaxS,INT(Z261),0)</f>
        <v>#REF!</v>
      </c>
      <c r="AC261" s="210"/>
      <c r="AD261" s="267" t="str">
        <f t="shared" si="4"/>
        <v>#REF!</v>
      </c>
      <c r="AE261" s="268" t="str">
        <f>IF($AD261&gt;=1,RANK($AD261,$AD261:$AD276),0)</f>
        <v>#REF!</v>
      </c>
      <c r="AF261" s="269" t="str">
        <f>IF(AE261&lt;=MaxS,INT(AD261),0)</f>
        <v>#REF!</v>
      </c>
      <c r="AG261" s="210"/>
      <c r="AH261" s="210"/>
      <c r="AI261" s="288" t="str">
        <f t="shared" si="5"/>
        <v>#REF!</v>
      </c>
      <c r="AJ261" s="289" t="str">
        <f t="shared" si="6"/>
        <v>#REF!</v>
      </c>
    </row>
    <row r="262" ht="15.0" customHeight="1">
      <c r="A262" s="272"/>
      <c r="B262" s="250">
        <f>IF(OR(ISNA(MATCH(C262&amp;"",AthleteNumbers,0)),ISBLANK(C262)),0,MATCH(C262&amp;"",AthleteNumbers,0))</f>
        <v>0</v>
      </c>
      <c r="C262" s="413"/>
      <c r="D262" s="273" t="str">
        <f t="array" ref="D262">IF($B262&gt;0,INDEX(DB,$B262,8),"")</f>
        <v/>
      </c>
      <c r="E262" s="274" t="str">
        <f t="array" ref="E262">IF($B262&gt;0,INDEX(DB,$B262,3),"")</f>
        <v/>
      </c>
      <c r="F262" s="275">
        <f t="array" ref="F262">IF($B262&gt;0,INDEX(DB,$B262,13),0)</f>
        <v>0</v>
      </c>
      <c r="G262" s="276">
        <f t="array" ref="G262">IF($B262&gt;0,INDEX(DB,$B262,17),0)</f>
        <v>0</v>
      </c>
      <c r="H262" s="277">
        <f t="array" ref="H262">IF($B262&gt;0,INDEX(DB,$B262,15),0)</f>
        <v>0</v>
      </c>
      <c r="I262" s="276">
        <f t="array" ref="I262">IF($B262&gt;0,INDEX(DB,$B262,19),0)</f>
        <v>0</v>
      </c>
      <c r="J262" s="277">
        <f t="array" ref="J262">IF($B262&gt;0,INDEX(DB,$B262,14),0)</f>
        <v>0</v>
      </c>
      <c r="K262" s="276">
        <f t="array" ref="K262">IF($B262&gt;0,INDEX(DB,$B262,18),0)</f>
        <v>0</v>
      </c>
      <c r="L262" s="275">
        <f t="array" ref="L262">IF($B262&gt;0,INDEX(DB,$B262,16),0)</f>
        <v>0</v>
      </c>
      <c r="M262" s="276">
        <f t="array" ref="M262">IF($B262&gt;0,INDEX(DB,$B262,20),0)</f>
        <v>0</v>
      </c>
      <c r="N262" s="278"/>
      <c r="O262" s="279">
        <f t="shared" si="1"/>
        <v>0</v>
      </c>
      <c r="P262" s="280"/>
      <c r="Q262" s="261" t="str">
        <f t="shared" si="2"/>
        <v>#REF!</v>
      </c>
      <c r="R262" s="281" t="str">
        <f>IF($AI262&gt;0,RANK($AI262,BoysPoints),0)</f>
        <v>#REF!</v>
      </c>
      <c r="S262" s="282" t="str">
        <f>IF($AJ262&gt;0,RANK($AJ262,GirlsPoints),0)</f>
        <v>#REF!</v>
      </c>
      <c r="T262" s="283">
        <f>IF($O262&gt;0,RANK(O262,AthletePoints),0)</f>
        <v>0</v>
      </c>
      <c r="U262" s="210"/>
      <c r="V262" s="415" t="str">
        <f>IF(O262&gt;=40,IF(X262="M",VLOOKUP(O262,UKABoysAwards,2),IF(X262="F",VLOOKUP(O262,UKAGirlsAwards,2),"")),"")</f>
        <v/>
      </c>
      <c r="W262" s="210"/>
      <c r="X262" s="266" t="str">
        <f t="array" ref="X262:X263">INDEX(DB,$B262,4)</f>
        <v>#REF!</v>
      </c>
      <c r="Y262" s="210"/>
      <c r="Z262" s="285" t="str">
        <f t="shared" si="3"/>
        <v>#REF!</v>
      </c>
      <c r="AA262" s="286" t="str">
        <f>IF($Z262&gt;=1,RANK($Z262,$Z261:$Z276),0)</f>
        <v>#REF!</v>
      </c>
      <c r="AB262" s="287" t="str">
        <f>IF(AA262&lt;=MaxS,INT(Z262),0)</f>
        <v>#REF!</v>
      </c>
      <c r="AC262" s="210"/>
      <c r="AD262" s="285" t="str">
        <f t="shared" si="4"/>
        <v>#REF!</v>
      </c>
      <c r="AE262" s="286" t="str">
        <f>IF($AD262&gt;=1,RANK($AD262,$AD261:$AD276),0)</f>
        <v>#REF!</v>
      </c>
      <c r="AF262" s="287" t="str">
        <f>IF(AE262&lt;=MaxS,INT(AD262),0)</f>
        <v>#REF!</v>
      </c>
      <c r="AG262" s="210"/>
      <c r="AH262" s="210"/>
      <c r="AI262" s="288" t="str">
        <f t="shared" si="5"/>
        <v>#REF!</v>
      </c>
      <c r="AJ262" s="289" t="str">
        <f t="shared" si="6"/>
        <v>#REF!</v>
      </c>
    </row>
    <row r="263" ht="15.0" customHeight="1">
      <c r="A263" s="272"/>
      <c r="B263" s="250">
        <f>IF(OR(ISNA(MATCH(C263&amp;"",AthleteNumbers,0)),ISBLANK(C263)),0,MATCH(C263&amp;"",AthleteNumbers,0))</f>
        <v>0</v>
      </c>
      <c r="C263" s="413"/>
      <c r="D263" s="273" t="str">
        <f t="array" ref="D263">IF($B263&gt;0,INDEX(DB,$B263,8),"")</f>
        <v/>
      </c>
      <c r="E263" s="274" t="str">
        <f t="array" ref="E263">IF($B263&gt;0,INDEX(DB,$B263,3),"")</f>
        <v/>
      </c>
      <c r="F263" s="275">
        <f t="array" ref="F263">IF($B263&gt;0,INDEX(DB,$B263,13),0)</f>
        <v>0</v>
      </c>
      <c r="G263" s="276">
        <f t="array" ref="G263">IF($B263&gt;0,INDEX(DB,$B263,17),0)</f>
        <v>0</v>
      </c>
      <c r="H263" s="277">
        <f t="array" ref="H263">IF($B263&gt;0,INDEX(DB,$B263,15),0)</f>
        <v>0</v>
      </c>
      <c r="I263" s="276">
        <f t="array" ref="I263">IF($B263&gt;0,INDEX(DB,$B263,19),0)</f>
        <v>0</v>
      </c>
      <c r="J263" s="277">
        <f t="array" ref="J263">IF($B263&gt;0,INDEX(DB,$B263,14),0)</f>
        <v>0</v>
      </c>
      <c r="K263" s="276">
        <f t="array" ref="K263">IF($B263&gt;0,INDEX(DB,$B263,18),0)</f>
        <v>0</v>
      </c>
      <c r="L263" s="275">
        <f t="array" ref="L263">IF($B263&gt;0,INDEX(DB,$B263,16),0)</f>
        <v>0</v>
      </c>
      <c r="M263" s="276">
        <f t="array" ref="M263">IF($B263&gt;0,INDEX(DB,$B263,20),0)</f>
        <v>0</v>
      </c>
      <c r="N263" s="278"/>
      <c r="O263" s="279">
        <f t="shared" si="1"/>
        <v>0</v>
      </c>
      <c r="P263" s="280"/>
      <c r="Q263" s="261" t="str">
        <f t="shared" si="2"/>
        <v>#REF!</v>
      </c>
      <c r="R263" s="290" t="str">
        <f>IF($AI263&gt;0,RANK($AI263,BoysPoints),0)</f>
        <v>#REF!</v>
      </c>
      <c r="S263" s="291" t="str">
        <f>IF($AJ263&gt;0,RANK($AJ263,GirlsPoints),0)</f>
        <v>#REF!</v>
      </c>
      <c r="T263" s="292">
        <f>IF($O263&gt;0,RANK(O263,AthletePoints),0)</f>
        <v>0</v>
      </c>
      <c r="U263" s="210"/>
      <c r="V263" s="330" t="str">
        <f>IF(O263&gt;=40,IF(X263="M",VLOOKUP(O263,UKABoysAwards,2),IF(X263="F",VLOOKUP(O263,UKAGirlsAwards,2),"")),"")</f>
        <v/>
      </c>
      <c r="W263" s="210"/>
      <c r="X263" s="266" t="str">
        <f t="array" ref="X263:X264">INDEX(DB,$B263,4)</f>
        <v>#REF!</v>
      </c>
      <c r="Y263" s="210"/>
      <c r="Z263" s="285" t="str">
        <f t="shared" si="3"/>
        <v>#REF!</v>
      </c>
      <c r="AA263" s="286" t="str">
        <f>IF($Z263&gt;=1,RANK($Z263,$Z261:$Z276),0)</f>
        <v>#REF!</v>
      </c>
      <c r="AB263" s="287" t="str">
        <f>IF(AA263&lt;=MaxS,INT(Z263),0)</f>
        <v>#REF!</v>
      </c>
      <c r="AC263" s="210"/>
      <c r="AD263" s="285" t="str">
        <f t="shared" si="4"/>
        <v>#REF!</v>
      </c>
      <c r="AE263" s="286" t="str">
        <f>IF($AD263&gt;=1,RANK($AD263,$AD261:$AD276),0)</f>
        <v>#REF!</v>
      </c>
      <c r="AF263" s="287" t="str">
        <f>IF(AE263&lt;=MaxS,INT(AD263),0)</f>
        <v>#REF!</v>
      </c>
      <c r="AG263" s="210"/>
      <c r="AH263" s="210"/>
      <c r="AI263" s="288" t="str">
        <f t="shared" si="5"/>
        <v>#REF!</v>
      </c>
      <c r="AJ263" s="289" t="str">
        <f t="shared" si="6"/>
        <v>#REF!</v>
      </c>
    </row>
    <row r="264" ht="15.0" customHeight="1">
      <c r="A264" s="272"/>
      <c r="B264" s="250">
        <f>IF(OR(ISNA(MATCH(C264&amp;"",AthleteNumbers,0)),ISBLANK(C264)),0,MATCH(C264&amp;"",AthleteNumbers,0))</f>
        <v>0</v>
      </c>
      <c r="C264" s="413"/>
      <c r="D264" s="273" t="str">
        <f t="array" ref="D264">IF($B264&gt;0,INDEX(DB,$B264,8),"")</f>
        <v/>
      </c>
      <c r="E264" s="274" t="str">
        <f t="array" ref="E264">IF($B264&gt;0,INDEX(DB,$B264,3),"")</f>
        <v/>
      </c>
      <c r="F264" s="275">
        <f t="array" ref="F264">IF($B264&gt;0,INDEX(DB,$B264,13),0)</f>
        <v>0</v>
      </c>
      <c r="G264" s="276">
        <f t="array" ref="G264">IF($B264&gt;0,INDEX(DB,$B264,17),0)</f>
        <v>0</v>
      </c>
      <c r="H264" s="277">
        <f t="array" ref="H264">IF($B264&gt;0,INDEX(DB,$B264,15),0)</f>
        <v>0</v>
      </c>
      <c r="I264" s="276">
        <f t="array" ref="I264">IF($B264&gt;0,INDEX(DB,$B264,19),0)</f>
        <v>0</v>
      </c>
      <c r="J264" s="277">
        <f t="array" ref="J264">IF($B264&gt;0,INDEX(DB,$B264,14),0)</f>
        <v>0</v>
      </c>
      <c r="K264" s="276">
        <f t="array" ref="K264">IF($B264&gt;0,INDEX(DB,$B264,18),0)</f>
        <v>0</v>
      </c>
      <c r="L264" s="275">
        <f t="array" ref="L264">IF($B264&gt;0,INDEX(DB,$B264,16),0)</f>
        <v>0</v>
      </c>
      <c r="M264" s="276">
        <f t="array" ref="M264">IF($B264&gt;0,INDEX(DB,$B264,20),0)</f>
        <v>0</v>
      </c>
      <c r="N264" s="278"/>
      <c r="O264" s="279">
        <f t="shared" si="1"/>
        <v>0</v>
      </c>
      <c r="P264" s="280"/>
      <c r="Q264" s="261" t="str">
        <f t="shared" si="2"/>
        <v>#REF!</v>
      </c>
      <c r="R264" s="281" t="str">
        <f>IF($AI264&gt;0,RANK($AI264,BoysPoints),0)</f>
        <v>#REF!</v>
      </c>
      <c r="S264" s="282" t="str">
        <f>IF($AJ264&gt;0,RANK($AJ264,GirlsPoints),0)</f>
        <v>#REF!</v>
      </c>
      <c r="T264" s="283">
        <f>IF($O264&gt;0,RANK(O264,AthletePoints),0)</f>
        <v>0</v>
      </c>
      <c r="U264" s="210"/>
      <c r="V264" s="415" t="str">
        <f>IF(O264&gt;=40,IF(X264="M",VLOOKUP(O264,UKABoysAwards,2),IF(X264="F",VLOOKUP(O264,UKAGirlsAwards,2),"")),"")</f>
        <v/>
      </c>
      <c r="W264" s="210"/>
      <c r="X264" s="266" t="str">
        <f t="array" ref="X264:X265">INDEX(DB,$B264,4)</f>
        <v>#REF!</v>
      </c>
      <c r="Y264" s="210"/>
      <c r="Z264" s="285" t="str">
        <f t="shared" si="3"/>
        <v>#REF!</v>
      </c>
      <c r="AA264" s="286" t="str">
        <f>IF($Z264&gt;=1,RANK($Z264,$Z261:$Z276),0)</f>
        <v>#REF!</v>
      </c>
      <c r="AB264" s="287" t="str">
        <f>IF(AA264&lt;=MaxS,INT(Z264),0)</f>
        <v>#REF!</v>
      </c>
      <c r="AC264" s="210"/>
      <c r="AD264" s="285" t="str">
        <f t="shared" si="4"/>
        <v>#REF!</v>
      </c>
      <c r="AE264" s="286" t="str">
        <f>IF($AD264&gt;=1,RANK($AD264,$AD261:$AD276),0)</f>
        <v>#REF!</v>
      </c>
      <c r="AF264" s="287" t="str">
        <f>IF(AE264&lt;=MaxS,INT(AD264),0)</f>
        <v>#REF!</v>
      </c>
      <c r="AG264" s="210"/>
      <c r="AH264" s="210"/>
      <c r="AI264" s="288" t="str">
        <f t="shared" si="5"/>
        <v>#REF!</v>
      </c>
      <c r="AJ264" s="289" t="str">
        <f t="shared" si="6"/>
        <v>#REF!</v>
      </c>
    </row>
    <row r="265" ht="15.0" customHeight="1">
      <c r="A265" s="272"/>
      <c r="B265" s="250">
        <f>IF(OR(ISNA(MATCH(C265&amp;"",AthleteNumbers,0)),ISBLANK(C265)),0,MATCH(C265&amp;"",AthleteNumbers,0))</f>
        <v>0</v>
      </c>
      <c r="C265" s="413"/>
      <c r="D265" s="273" t="str">
        <f t="array" ref="D265">IF($B265&gt;0,INDEX(DB,$B265,8),"")</f>
        <v/>
      </c>
      <c r="E265" s="274" t="str">
        <f t="array" ref="E265">IF($B265&gt;0,INDEX(DB,$B265,3),"")</f>
        <v/>
      </c>
      <c r="F265" s="275">
        <f t="array" ref="F265">IF($B265&gt;0,INDEX(DB,$B265,13),0)</f>
        <v>0</v>
      </c>
      <c r="G265" s="276">
        <f t="array" ref="G265">IF($B265&gt;0,INDEX(DB,$B265,17),0)</f>
        <v>0</v>
      </c>
      <c r="H265" s="277">
        <f t="array" ref="H265">IF($B265&gt;0,INDEX(DB,$B265,15),0)</f>
        <v>0</v>
      </c>
      <c r="I265" s="276">
        <f t="array" ref="I265">IF($B265&gt;0,INDEX(DB,$B265,19),0)</f>
        <v>0</v>
      </c>
      <c r="J265" s="277">
        <f t="array" ref="J265">IF($B265&gt;0,INDEX(DB,$B265,14),0)</f>
        <v>0</v>
      </c>
      <c r="K265" s="276">
        <f t="array" ref="K265">IF($B265&gt;0,INDEX(DB,$B265,18),0)</f>
        <v>0</v>
      </c>
      <c r="L265" s="275">
        <f t="array" ref="L265">IF($B265&gt;0,INDEX(DB,$B265,16),0)</f>
        <v>0</v>
      </c>
      <c r="M265" s="276">
        <f t="array" ref="M265">IF($B265&gt;0,INDEX(DB,$B265,20),0)</f>
        <v>0</v>
      </c>
      <c r="N265" s="278"/>
      <c r="O265" s="279">
        <f t="shared" si="1"/>
        <v>0</v>
      </c>
      <c r="P265" s="280"/>
      <c r="Q265" s="261" t="str">
        <f t="shared" si="2"/>
        <v>#REF!</v>
      </c>
      <c r="R265" s="290" t="str">
        <f>IF($AI265&gt;0,RANK($AI265,BoysPoints),0)</f>
        <v>#REF!</v>
      </c>
      <c r="S265" s="291" t="str">
        <f>IF($AJ265&gt;0,RANK($AJ265,GirlsPoints),0)</f>
        <v>#REF!</v>
      </c>
      <c r="T265" s="292">
        <f>IF($O265&gt;0,RANK(O265,AthletePoints),0)</f>
        <v>0</v>
      </c>
      <c r="U265" s="210"/>
      <c r="V265" s="330" t="str">
        <f>IF(O265&gt;=40,IF(X265="M",VLOOKUP(O265,UKABoysAwards,2),IF(X265="F",VLOOKUP(O265,UKAGirlsAwards,2),"")),"")</f>
        <v/>
      </c>
      <c r="W265" s="210"/>
      <c r="X265" s="266" t="str">
        <f t="array" ref="X265:X266">INDEX(DB,$B265,4)</f>
        <v>#REF!</v>
      </c>
      <c r="Y265" s="210"/>
      <c r="Z265" s="285" t="str">
        <f t="shared" si="3"/>
        <v>#REF!</v>
      </c>
      <c r="AA265" s="286" t="str">
        <f>IF($Z265&gt;=1,RANK($Z265,$Z261:$Z276),0)</f>
        <v>#REF!</v>
      </c>
      <c r="AB265" s="287" t="str">
        <f>IF(AA265&lt;=MaxS,INT(Z265),0)</f>
        <v>#REF!</v>
      </c>
      <c r="AC265" s="210"/>
      <c r="AD265" s="285" t="str">
        <f t="shared" si="4"/>
        <v>#REF!</v>
      </c>
      <c r="AE265" s="286" t="str">
        <f>IF($AD265&gt;=1,RANK($AD265,$AD261:$AD276),0)</f>
        <v>#REF!</v>
      </c>
      <c r="AF265" s="287" t="str">
        <f>IF(AE265&lt;=MaxS,INT(AD265),0)</f>
        <v>#REF!</v>
      </c>
      <c r="AG265" s="210"/>
      <c r="AH265" s="210"/>
      <c r="AI265" s="288" t="str">
        <f t="shared" si="5"/>
        <v>#REF!</v>
      </c>
      <c r="AJ265" s="289" t="str">
        <f t="shared" si="6"/>
        <v>#REF!</v>
      </c>
    </row>
    <row r="266" ht="15.0" customHeight="1">
      <c r="A266" s="272"/>
      <c r="B266" s="250">
        <f>IF(OR(ISNA(MATCH(C266&amp;"",AthleteNumbers,0)),ISBLANK(C266)),0,MATCH(C266&amp;"",AthleteNumbers,0))</f>
        <v>0</v>
      </c>
      <c r="C266" s="413"/>
      <c r="D266" s="273" t="str">
        <f t="array" ref="D266">IF($B266&gt;0,INDEX(DB,$B266,8),"")</f>
        <v/>
      </c>
      <c r="E266" s="274" t="str">
        <f t="array" ref="E266">IF($B266&gt;0,INDEX(DB,$B266,3),"")</f>
        <v/>
      </c>
      <c r="F266" s="275">
        <f t="array" ref="F266">IF($B266&gt;0,INDEX(DB,$B266,13),0)</f>
        <v>0</v>
      </c>
      <c r="G266" s="276">
        <f t="array" ref="G266">IF($B266&gt;0,INDEX(DB,$B266,17),0)</f>
        <v>0</v>
      </c>
      <c r="H266" s="277">
        <f t="array" ref="H266">IF($B266&gt;0,INDEX(DB,$B266,15),0)</f>
        <v>0</v>
      </c>
      <c r="I266" s="276">
        <f t="array" ref="I266">IF($B266&gt;0,INDEX(DB,$B266,19),0)</f>
        <v>0</v>
      </c>
      <c r="J266" s="277">
        <f t="array" ref="J266">IF($B266&gt;0,INDEX(DB,$B266,14),0)</f>
        <v>0</v>
      </c>
      <c r="K266" s="276">
        <f t="array" ref="K266">IF($B266&gt;0,INDEX(DB,$B266,18),0)</f>
        <v>0</v>
      </c>
      <c r="L266" s="275">
        <f t="array" ref="L266">IF($B266&gt;0,INDEX(DB,$B266,16),0)</f>
        <v>0</v>
      </c>
      <c r="M266" s="276">
        <f t="array" ref="M266">IF($B266&gt;0,INDEX(DB,$B266,20),0)</f>
        <v>0</v>
      </c>
      <c r="N266" s="278"/>
      <c r="O266" s="279">
        <f t="shared" si="1"/>
        <v>0</v>
      </c>
      <c r="P266" s="280"/>
      <c r="Q266" s="261" t="str">
        <f t="shared" si="2"/>
        <v>#REF!</v>
      </c>
      <c r="R266" s="281" t="str">
        <f>IF($AI266&gt;0,RANK($AI266,BoysPoints),0)</f>
        <v>#REF!</v>
      </c>
      <c r="S266" s="282" t="str">
        <f>IF($AJ266&gt;0,RANK($AJ266,GirlsPoints),0)</f>
        <v>#REF!</v>
      </c>
      <c r="T266" s="283">
        <f>IF($O266&gt;0,RANK(O266,AthletePoints),0)</f>
        <v>0</v>
      </c>
      <c r="U266" s="210"/>
      <c r="V266" s="415" t="str">
        <f>IF(O266&gt;=40,IF(X266="M",VLOOKUP(O266,UKABoysAwards,2),IF(X266="F",VLOOKUP(O266,UKAGirlsAwards,2),"")),"")</f>
        <v/>
      </c>
      <c r="W266" s="210"/>
      <c r="X266" s="266" t="str">
        <f t="array" ref="X266:X267">INDEX(DB,$B266,4)</f>
        <v>#REF!</v>
      </c>
      <c r="Y266" s="210"/>
      <c r="Z266" s="285" t="str">
        <f t="shared" si="3"/>
        <v>#REF!</v>
      </c>
      <c r="AA266" s="286" t="str">
        <f>IF($Z266&gt;=1,RANK($Z266,$Z261:$Z276),0)</f>
        <v>#REF!</v>
      </c>
      <c r="AB266" s="287" t="str">
        <f>IF(AA266&lt;=MaxS,INT(Z266),0)</f>
        <v>#REF!</v>
      </c>
      <c r="AC266" s="210"/>
      <c r="AD266" s="285" t="str">
        <f t="shared" si="4"/>
        <v>#REF!</v>
      </c>
      <c r="AE266" s="286" t="str">
        <f>IF($AD266&gt;=1,RANK($AD266,$AD261:$AD276),0)</f>
        <v>#REF!</v>
      </c>
      <c r="AF266" s="287" t="str">
        <f>IF(AE266&lt;=MaxS,INT(AD266),0)</f>
        <v>#REF!</v>
      </c>
      <c r="AG266" s="210"/>
      <c r="AH266" s="210"/>
      <c r="AI266" s="288" t="str">
        <f t="shared" si="5"/>
        <v>#REF!</v>
      </c>
      <c r="AJ266" s="289" t="str">
        <f t="shared" si="6"/>
        <v>#REF!</v>
      </c>
    </row>
    <row r="267" ht="15.0" customHeight="1">
      <c r="A267" s="272"/>
      <c r="B267" s="250">
        <f>IF(OR(ISNA(MATCH(C267&amp;"",AthleteNumbers,0)),ISBLANK(C267)),0,MATCH(C267&amp;"",AthleteNumbers,0))</f>
        <v>0</v>
      </c>
      <c r="C267" s="413"/>
      <c r="D267" s="273" t="str">
        <f t="array" ref="D267">IF($B267&gt;0,INDEX(DB,$B267,8),"")</f>
        <v/>
      </c>
      <c r="E267" s="274" t="str">
        <f t="array" ref="E267">IF($B267&gt;0,INDEX(DB,$B267,3),"")</f>
        <v/>
      </c>
      <c r="F267" s="275">
        <f t="array" ref="F267">IF($B267&gt;0,INDEX(DB,$B267,13),0)</f>
        <v>0</v>
      </c>
      <c r="G267" s="276">
        <f t="array" ref="G267">IF($B267&gt;0,INDEX(DB,$B267,17),0)</f>
        <v>0</v>
      </c>
      <c r="H267" s="277">
        <f t="array" ref="H267">IF($B267&gt;0,INDEX(DB,$B267,15),0)</f>
        <v>0</v>
      </c>
      <c r="I267" s="276">
        <f t="array" ref="I267">IF($B267&gt;0,INDEX(DB,$B267,19),0)</f>
        <v>0</v>
      </c>
      <c r="J267" s="277">
        <f t="array" ref="J267">IF($B267&gt;0,INDEX(DB,$B267,14),0)</f>
        <v>0</v>
      </c>
      <c r="K267" s="276">
        <f t="array" ref="K267">IF($B267&gt;0,INDEX(DB,$B267,18),0)</f>
        <v>0</v>
      </c>
      <c r="L267" s="275">
        <f t="array" ref="L267">IF($B267&gt;0,INDEX(DB,$B267,16),0)</f>
        <v>0</v>
      </c>
      <c r="M267" s="276">
        <f t="array" ref="M267">IF($B267&gt;0,INDEX(DB,$B267,20),0)</f>
        <v>0</v>
      </c>
      <c r="N267" s="278"/>
      <c r="O267" s="279">
        <f t="shared" si="1"/>
        <v>0</v>
      </c>
      <c r="P267" s="280"/>
      <c r="Q267" s="261" t="str">
        <f t="shared" si="2"/>
        <v>#REF!</v>
      </c>
      <c r="R267" s="290" t="str">
        <f>IF($AI267&gt;0,RANK($AI267,BoysPoints),0)</f>
        <v>#REF!</v>
      </c>
      <c r="S267" s="291" t="str">
        <f>IF($AJ267&gt;0,RANK($AJ267,GirlsPoints),0)</f>
        <v>#REF!</v>
      </c>
      <c r="T267" s="292">
        <f>IF($O267&gt;0,RANK(O267,AthletePoints),0)</f>
        <v>0</v>
      </c>
      <c r="U267" s="210"/>
      <c r="V267" s="330" t="str">
        <f>IF(O267&gt;=40,IF(X267="M",VLOOKUP(O267,UKABoysAwards,2),IF(X267="F",VLOOKUP(O267,UKAGirlsAwards,2),"")),"")</f>
        <v/>
      </c>
      <c r="W267" s="210"/>
      <c r="X267" s="266" t="str">
        <f t="array" ref="X267:X268">INDEX(DB,$B267,4)</f>
        <v>#REF!</v>
      </c>
      <c r="Y267" s="210"/>
      <c r="Z267" s="285" t="str">
        <f t="shared" si="3"/>
        <v>#REF!</v>
      </c>
      <c r="AA267" s="286" t="str">
        <f>IF($Z267&gt;=1,RANK($Z267,$Z261:$Z276),0)</f>
        <v>#REF!</v>
      </c>
      <c r="AB267" s="287" t="str">
        <f>IF(AA267&lt;=MaxS,INT(Z267),0)</f>
        <v>#REF!</v>
      </c>
      <c r="AC267" s="210"/>
      <c r="AD267" s="285" t="str">
        <f t="shared" si="4"/>
        <v>#REF!</v>
      </c>
      <c r="AE267" s="286" t="str">
        <f>IF($AD267&gt;=1,RANK($AD267,$AD261:$AD276),0)</f>
        <v>#REF!</v>
      </c>
      <c r="AF267" s="287" t="str">
        <f>IF(AE267&lt;=MaxS,INT(AD267),0)</f>
        <v>#REF!</v>
      </c>
      <c r="AG267" s="210"/>
      <c r="AH267" s="210"/>
      <c r="AI267" s="288" t="str">
        <f t="shared" si="5"/>
        <v>#REF!</v>
      </c>
      <c r="AJ267" s="289" t="str">
        <f t="shared" si="6"/>
        <v>#REF!</v>
      </c>
    </row>
    <row r="268" ht="15.0" customHeight="1">
      <c r="A268" s="272"/>
      <c r="B268" s="250">
        <f>IF(OR(ISNA(MATCH(C268&amp;"",AthleteNumbers,0)),ISBLANK(C268)),0,MATCH(C268&amp;"",AthleteNumbers,0))</f>
        <v>0</v>
      </c>
      <c r="C268" s="413"/>
      <c r="D268" s="273" t="str">
        <f t="array" ref="D268">IF($B268&gt;0,INDEX(DB,$B268,8),"")</f>
        <v/>
      </c>
      <c r="E268" s="274" t="str">
        <f t="array" ref="E268">IF($B268&gt;0,INDEX(DB,$B268,3),"")</f>
        <v/>
      </c>
      <c r="F268" s="275">
        <f t="array" ref="F268">IF($B268&gt;0,INDEX(DB,$B268,13),0)</f>
        <v>0</v>
      </c>
      <c r="G268" s="276">
        <f t="array" ref="G268">IF($B268&gt;0,INDEX(DB,$B268,17),0)</f>
        <v>0</v>
      </c>
      <c r="H268" s="277">
        <f t="array" ref="H268">IF($B268&gt;0,INDEX(DB,$B268,15),0)</f>
        <v>0</v>
      </c>
      <c r="I268" s="276">
        <f t="array" ref="I268">IF($B268&gt;0,INDEX(DB,$B268,19),0)</f>
        <v>0</v>
      </c>
      <c r="J268" s="277">
        <f t="array" ref="J268">IF($B268&gt;0,INDEX(DB,$B268,14),0)</f>
        <v>0</v>
      </c>
      <c r="K268" s="276">
        <f t="array" ref="K268">IF($B268&gt;0,INDEX(DB,$B268,18),0)</f>
        <v>0</v>
      </c>
      <c r="L268" s="275">
        <f t="array" ref="L268">IF($B268&gt;0,INDEX(DB,$B268,16),0)</f>
        <v>0</v>
      </c>
      <c r="M268" s="276">
        <f t="array" ref="M268">IF($B268&gt;0,INDEX(DB,$B268,20),0)</f>
        <v>0</v>
      </c>
      <c r="N268" s="278"/>
      <c r="O268" s="279">
        <f t="shared" si="1"/>
        <v>0</v>
      </c>
      <c r="P268" s="280"/>
      <c r="Q268" s="261" t="str">
        <f t="shared" si="2"/>
        <v>#REF!</v>
      </c>
      <c r="R268" s="281" t="str">
        <f>IF($AI268&gt;0,RANK($AI268,BoysPoints),0)</f>
        <v>#REF!</v>
      </c>
      <c r="S268" s="282" t="str">
        <f>IF($AJ268&gt;0,RANK($AJ268,GirlsPoints),0)</f>
        <v>#REF!</v>
      </c>
      <c r="T268" s="283">
        <f>IF($O268&gt;0,RANK(O268,AthletePoints),0)</f>
        <v>0</v>
      </c>
      <c r="U268" s="210"/>
      <c r="V268" s="415" t="str">
        <f>IF(O268&gt;=40,IF(X268="M",VLOOKUP(O268,UKABoysAwards,2),IF(X268="F",VLOOKUP(O268,UKAGirlsAwards,2),"")),"")</f>
        <v/>
      </c>
      <c r="W268" s="210"/>
      <c r="X268" s="266" t="str">
        <f t="array" ref="X268:X269">INDEX(DB,$B268,4)</f>
        <v>#REF!</v>
      </c>
      <c r="Y268" s="210"/>
      <c r="Z268" s="285" t="str">
        <f t="shared" si="3"/>
        <v>#REF!</v>
      </c>
      <c r="AA268" s="286" t="str">
        <f>IF($Z268&gt;=1,RANK($Z268,$Z261:$Z276),0)</f>
        <v>#REF!</v>
      </c>
      <c r="AB268" s="287" t="str">
        <f>IF(AA268&lt;=MaxS,INT(Z268),0)</f>
        <v>#REF!</v>
      </c>
      <c r="AC268" s="210"/>
      <c r="AD268" s="285" t="str">
        <f t="shared" si="4"/>
        <v>#REF!</v>
      </c>
      <c r="AE268" s="286" t="str">
        <f>IF($AD268&gt;=1,RANK($AD268,$AD261:$AD276),0)</f>
        <v>#REF!</v>
      </c>
      <c r="AF268" s="287" t="str">
        <f>IF(AE268&lt;=MaxS,INT(AD268),0)</f>
        <v>#REF!</v>
      </c>
      <c r="AG268" s="210"/>
      <c r="AH268" s="210"/>
      <c r="AI268" s="288" t="str">
        <f t="shared" si="5"/>
        <v>#REF!</v>
      </c>
      <c r="AJ268" s="289" t="str">
        <f t="shared" si="6"/>
        <v>#REF!</v>
      </c>
    </row>
    <row r="269" ht="15.0" customHeight="1">
      <c r="A269" s="272"/>
      <c r="B269" s="250">
        <f>IF(OR(ISNA(MATCH(C269&amp;"",AthleteNumbers,0)),ISBLANK(C269)),0,MATCH(C269&amp;"",AthleteNumbers,0))</f>
        <v>0</v>
      </c>
      <c r="C269" s="413"/>
      <c r="D269" s="273" t="str">
        <f t="array" ref="D269">IF($B269&gt;0,INDEX(DB,$B269,8),"")</f>
        <v/>
      </c>
      <c r="E269" s="274" t="str">
        <f t="array" ref="E269">IF($B269&gt;0,INDEX(DB,$B269,3),"")</f>
        <v/>
      </c>
      <c r="F269" s="275">
        <f t="array" ref="F269">IF($B269&gt;0,INDEX(DB,$B269,13),0)</f>
        <v>0</v>
      </c>
      <c r="G269" s="276">
        <f t="array" ref="G269">IF($B269&gt;0,INDEX(DB,$B269,17),0)</f>
        <v>0</v>
      </c>
      <c r="H269" s="277">
        <f t="array" ref="H269">IF($B269&gt;0,INDEX(DB,$B269,15),0)</f>
        <v>0</v>
      </c>
      <c r="I269" s="276">
        <f t="array" ref="I269">IF($B269&gt;0,INDEX(DB,$B269,19),0)</f>
        <v>0</v>
      </c>
      <c r="J269" s="277">
        <f t="array" ref="J269">IF($B269&gt;0,INDEX(DB,$B269,14),0)</f>
        <v>0</v>
      </c>
      <c r="K269" s="276">
        <f t="array" ref="K269">IF($B269&gt;0,INDEX(DB,$B269,18),0)</f>
        <v>0</v>
      </c>
      <c r="L269" s="275">
        <f t="array" ref="L269">IF($B269&gt;0,INDEX(DB,$B269,16),0)</f>
        <v>0</v>
      </c>
      <c r="M269" s="276">
        <f t="array" ref="M269">IF($B269&gt;0,INDEX(DB,$B269,20),0)</f>
        <v>0</v>
      </c>
      <c r="N269" s="278"/>
      <c r="O269" s="279">
        <f t="shared" si="1"/>
        <v>0</v>
      </c>
      <c r="P269" s="280"/>
      <c r="Q269" s="261" t="str">
        <f t="shared" si="2"/>
        <v>#REF!</v>
      </c>
      <c r="R269" s="290" t="str">
        <f>IF($AI269&gt;0,RANK($AI269,BoysPoints),0)</f>
        <v>#REF!</v>
      </c>
      <c r="S269" s="291" t="str">
        <f>IF($AJ269&gt;0,RANK($AJ269,GirlsPoints),0)</f>
        <v>#REF!</v>
      </c>
      <c r="T269" s="292">
        <f>IF($O269&gt;0,RANK(O269,AthletePoints),0)</f>
        <v>0</v>
      </c>
      <c r="U269" s="210"/>
      <c r="V269" s="330" t="str">
        <f>IF(O269&gt;=40,IF(X269="M",VLOOKUP(O269,UKABoysAwards,2),IF(X269="F",VLOOKUP(O269,UKAGirlsAwards,2),"")),"")</f>
        <v/>
      </c>
      <c r="W269" s="210"/>
      <c r="X269" s="266" t="str">
        <f t="array" ref="X269:X270">INDEX(DB,$B269,4)</f>
        <v>#REF!</v>
      </c>
      <c r="Y269" s="210"/>
      <c r="Z269" s="285" t="str">
        <f t="shared" si="3"/>
        <v>#REF!</v>
      </c>
      <c r="AA269" s="286" t="str">
        <f>IF($Z269&gt;=1,RANK($Z269,$Z261:$Z276),0)</f>
        <v>#REF!</v>
      </c>
      <c r="AB269" s="287" t="str">
        <f>IF(AA269&lt;=MaxS,INT(Z269),0)</f>
        <v>#REF!</v>
      </c>
      <c r="AC269" s="210"/>
      <c r="AD269" s="285" t="str">
        <f t="shared" si="4"/>
        <v>#REF!</v>
      </c>
      <c r="AE269" s="286" t="str">
        <f>IF($AD269&gt;=1,RANK($AD269,$AD261:$AD276),0)</f>
        <v>#REF!</v>
      </c>
      <c r="AF269" s="287" t="str">
        <f>IF(AE269&lt;=MaxS,INT(AD269),0)</f>
        <v>#REF!</v>
      </c>
      <c r="AG269" s="210"/>
      <c r="AH269" s="210"/>
      <c r="AI269" s="288" t="str">
        <f t="shared" si="5"/>
        <v>#REF!</v>
      </c>
      <c r="AJ269" s="289" t="str">
        <f t="shared" si="6"/>
        <v>#REF!</v>
      </c>
    </row>
    <row r="270" ht="15.0" customHeight="1">
      <c r="A270" s="272"/>
      <c r="B270" s="250">
        <f>IF(OR(ISNA(MATCH(C270&amp;"",AthleteNumbers,0)),ISBLANK(C270)),0,MATCH(C270&amp;"",AthleteNumbers,0))</f>
        <v>0</v>
      </c>
      <c r="C270" s="413"/>
      <c r="D270" s="273" t="str">
        <f t="array" ref="D270">IF($B270&gt;0,INDEX(DB,$B270,8),"")</f>
        <v/>
      </c>
      <c r="E270" s="274" t="str">
        <f t="array" ref="E270">IF($B270&gt;0,INDEX(DB,$B270,3),"")</f>
        <v/>
      </c>
      <c r="F270" s="275">
        <f t="array" ref="F270">IF($B270&gt;0,INDEX(DB,$B270,13),0)</f>
        <v>0</v>
      </c>
      <c r="G270" s="276">
        <f t="array" ref="G270">IF($B270&gt;0,INDEX(DB,$B270,17),0)</f>
        <v>0</v>
      </c>
      <c r="H270" s="277">
        <f t="array" ref="H270">IF($B270&gt;0,INDEX(DB,$B270,15),0)</f>
        <v>0</v>
      </c>
      <c r="I270" s="276">
        <f t="array" ref="I270">IF($B270&gt;0,INDEX(DB,$B270,19),0)</f>
        <v>0</v>
      </c>
      <c r="J270" s="277">
        <f t="array" ref="J270">IF($B270&gt;0,INDEX(DB,$B270,14),0)</f>
        <v>0</v>
      </c>
      <c r="K270" s="276">
        <f t="array" ref="K270">IF($B270&gt;0,INDEX(DB,$B270,18),0)</f>
        <v>0</v>
      </c>
      <c r="L270" s="275">
        <f t="array" ref="L270">IF($B270&gt;0,INDEX(DB,$B270,16),0)</f>
        <v>0</v>
      </c>
      <c r="M270" s="276">
        <f t="array" ref="M270">IF($B270&gt;0,INDEX(DB,$B270,20),0)</f>
        <v>0</v>
      </c>
      <c r="N270" s="278"/>
      <c r="O270" s="279">
        <f t="shared" si="1"/>
        <v>0</v>
      </c>
      <c r="P270" s="280"/>
      <c r="Q270" s="261" t="str">
        <f t="shared" si="2"/>
        <v>#REF!</v>
      </c>
      <c r="R270" s="281" t="str">
        <f>IF($AI270&gt;0,RANK($AI270,BoysPoints),0)</f>
        <v>#REF!</v>
      </c>
      <c r="S270" s="282" t="str">
        <f>IF($AJ270&gt;0,RANK($AJ270,GirlsPoints),0)</f>
        <v>#REF!</v>
      </c>
      <c r="T270" s="283">
        <f>IF($O270&gt;0,RANK(O270,AthletePoints),0)</f>
        <v>0</v>
      </c>
      <c r="U270" s="210"/>
      <c r="V270" s="415" t="str">
        <f>IF(O270&gt;=40,IF(X270="M",VLOOKUP(O270,UKABoysAwards,2),IF(X270="F",VLOOKUP(O270,UKAGirlsAwards,2),"")),"")</f>
        <v/>
      </c>
      <c r="W270" s="210"/>
      <c r="X270" s="266" t="str">
        <f t="array" ref="X270:X271">INDEX(DB,$B270,4)</f>
        <v>#REF!</v>
      </c>
      <c r="Y270" s="210"/>
      <c r="Z270" s="285" t="str">
        <f t="shared" si="3"/>
        <v>#REF!</v>
      </c>
      <c r="AA270" s="286" t="str">
        <f>IF($Z270&gt;=1,RANK($Z270,$Z261:$Z276),0)</f>
        <v>#REF!</v>
      </c>
      <c r="AB270" s="287" t="str">
        <f>IF(AA270&lt;=MaxS,INT(Z270),0)</f>
        <v>#REF!</v>
      </c>
      <c r="AC270" s="210"/>
      <c r="AD270" s="285" t="str">
        <f t="shared" si="4"/>
        <v>#REF!</v>
      </c>
      <c r="AE270" s="286" t="str">
        <f>IF($AD270&gt;=1,RANK($AD270,$AD261:$AD276),0)</f>
        <v>#REF!</v>
      </c>
      <c r="AF270" s="287" t="str">
        <f>IF(AE270&lt;=MaxS,INT(AD270),0)</f>
        <v>#REF!</v>
      </c>
      <c r="AG270" s="210"/>
      <c r="AH270" s="210"/>
      <c r="AI270" s="288" t="str">
        <f t="shared" si="5"/>
        <v>#REF!</v>
      </c>
      <c r="AJ270" s="289" t="str">
        <f t="shared" si="6"/>
        <v>#REF!</v>
      </c>
    </row>
    <row r="271" ht="15.0" customHeight="1">
      <c r="A271" s="272"/>
      <c r="B271" s="250">
        <f>IF(OR(ISNA(MATCH(C271&amp;"",AthleteNumbers,0)),ISBLANK(C271)),0,MATCH(C271&amp;"",AthleteNumbers,0))</f>
        <v>0</v>
      </c>
      <c r="C271" s="413"/>
      <c r="D271" s="273" t="str">
        <f t="array" ref="D271">IF($B271&gt;0,INDEX(DB,$B271,8),"")</f>
        <v/>
      </c>
      <c r="E271" s="274" t="str">
        <f t="array" ref="E271">IF($B271&gt;0,INDEX(DB,$B271,3),"")</f>
        <v/>
      </c>
      <c r="F271" s="275">
        <f t="array" ref="F271">IF($B271&gt;0,INDEX(DB,$B271,13),0)</f>
        <v>0</v>
      </c>
      <c r="G271" s="276">
        <f t="array" ref="G271">IF($B271&gt;0,INDEX(DB,$B271,17),0)</f>
        <v>0</v>
      </c>
      <c r="H271" s="277">
        <f t="array" ref="H271">IF($B271&gt;0,INDEX(DB,$B271,15),0)</f>
        <v>0</v>
      </c>
      <c r="I271" s="276">
        <f t="array" ref="I271">IF($B271&gt;0,INDEX(DB,$B271,19),0)</f>
        <v>0</v>
      </c>
      <c r="J271" s="277">
        <f t="array" ref="J271">IF($B271&gt;0,INDEX(DB,$B271,14),0)</f>
        <v>0</v>
      </c>
      <c r="K271" s="276">
        <f t="array" ref="K271">IF($B271&gt;0,INDEX(DB,$B271,18),0)</f>
        <v>0</v>
      </c>
      <c r="L271" s="275">
        <f t="array" ref="L271">IF($B271&gt;0,INDEX(DB,$B271,16),0)</f>
        <v>0</v>
      </c>
      <c r="M271" s="276">
        <f t="array" ref="M271">IF($B271&gt;0,INDEX(DB,$B271,20),0)</f>
        <v>0</v>
      </c>
      <c r="N271" s="278"/>
      <c r="O271" s="279">
        <f t="shared" si="1"/>
        <v>0</v>
      </c>
      <c r="P271" s="280"/>
      <c r="Q271" s="261" t="str">
        <f t="shared" si="2"/>
        <v>#REF!</v>
      </c>
      <c r="R271" s="290" t="str">
        <f>IF($AI271&gt;0,RANK($AI271,BoysPoints),0)</f>
        <v>#REF!</v>
      </c>
      <c r="S271" s="291" t="str">
        <f>IF($AJ271&gt;0,RANK($AJ271,GirlsPoints),0)</f>
        <v>#REF!</v>
      </c>
      <c r="T271" s="292">
        <f>IF($O271&gt;0,RANK(O271,AthletePoints),0)</f>
        <v>0</v>
      </c>
      <c r="U271" s="210"/>
      <c r="V271" s="330" t="str">
        <f>IF(O271&gt;=40,IF(X271="M",VLOOKUP(O271,UKABoysAwards,2),IF(X271="F",VLOOKUP(O271,UKAGirlsAwards,2),"")),"")</f>
        <v/>
      </c>
      <c r="W271" s="210"/>
      <c r="X271" s="266" t="str">
        <f t="array" ref="X271:X272">INDEX(DB,$B271,4)</f>
        <v>#REF!</v>
      </c>
      <c r="Y271" s="210"/>
      <c r="Z271" s="285" t="str">
        <f t="shared" si="3"/>
        <v>#REF!</v>
      </c>
      <c r="AA271" s="286" t="str">
        <f>IF($Z271&gt;=1,RANK($Z271,$Z261:$Z276),0)</f>
        <v>#REF!</v>
      </c>
      <c r="AB271" s="287" t="str">
        <f>IF(AA271&lt;=MaxS,INT(Z271),0)</f>
        <v>#REF!</v>
      </c>
      <c r="AC271" s="210"/>
      <c r="AD271" s="285" t="str">
        <f t="shared" si="4"/>
        <v>#REF!</v>
      </c>
      <c r="AE271" s="286" t="str">
        <f>IF($AD271&gt;=1,RANK($AD271,$AD261:$AD276),0)</f>
        <v>#REF!</v>
      </c>
      <c r="AF271" s="287" t="str">
        <f>IF(AE271&lt;=MaxS,INT(AD271),0)</f>
        <v>#REF!</v>
      </c>
      <c r="AG271" s="210"/>
      <c r="AH271" s="210"/>
      <c r="AI271" s="288" t="str">
        <f t="shared" si="5"/>
        <v>#REF!</v>
      </c>
      <c r="AJ271" s="289" t="str">
        <f t="shared" si="6"/>
        <v>#REF!</v>
      </c>
    </row>
    <row r="272" ht="15.0" customHeight="1">
      <c r="A272" s="272"/>
      <c r="B272" s="250">
        <f>IF(OR(ISNA(MATCH(C272&amp;"",AthleteNumbers,0)),ISBLANK(C272)),0,MATCH(C272&amp;"",AthleteNumbers,0))</f>
        <v>0</v>
      </c>
      <c r="C272" s="413"/>
      <c r="D272" s="273" t="str">
        <f t="array" ref="D272">IF($B272&gt;0,INDEX(DB,$B272,8),"")</f>
        <v/>
      </c>
      <c r="E272" s="274" t="str">
        <f t="array" ref="E272">IF($B272&gt;0,INDEX(DB,$B272,3),"")</f>
        <v/>
      </c>
      <c r="F272" s="275">
        <f t="array" ref="F272">IF($B272&gt;0,INDEX(DB,$B272,13),0)</f>
        <v>0</v>
      </c>
      <c r="G272" s="276">
        <f t="array" ref="G272">IF($B272&gt;0,INDEX(DB,$B272,17),0)</f>
        <v>0</v>
      </c>
      <c r="H272" s="277">
        <f t="array" ref="H272">IF($B272&gt;0,INDEX(DB,$B272,15),0)</f>
        <v>0</v>
      </c>
      <c r="I272" s="276">
        <f t="array" ref="I272">IF($B272&gt;0,INDEX(DB,$B272,19),0)</f>
        <v>0</v>
      </c>
      <c r="J272" s="277">
        <f t="array" ref="J272">IF($B272&gt;0,INDEX(DB,$B272,14),0)</f>
        <v>0</v>
      </c>
      <c r="K272" s="276">
        <f t="array" ref="K272">IF($B272&gt;0,INDEX(DB,$B272,18),0)</f>
        <v>0</v>
      </c>
      <c r="L272" s="275">
        <f t="array" ref="L272">IF($B272&gt;0,INDEX(DB,$B272,16),0)</f>
        <v>0</v>
      </c>
      <c r="M272" s="276">
        <f t="array" ref="M272">IF($B272&gt;0,INDEX(DB,$B272,20),0)</f>
        <v>0</v>
      </c>
      <c r="N272" s="278"/>
      <c r="O272" s="279">
        <f t="shared" si="1"/>
        <v>0</v>
      </c>
      <c r="P272" s="280"/>
      <c r="Q272" s="261" t="str">
        <f t="shared" si="2"/>
        <v>#REF!</v>
      </c>
      <c r="R272" s="281" t="str">
        <f>IF($AI272&gt;0,RANK($AI272,BoysPoints),0)</f>
        <v>#REF!</v>
      </c>
      <c r="S272" s="282" t="str">
        <f>IF($AJ272&gt;0,RANK($AJ272,GirlsPoints),0)</f>
        <v>#REF!</v>
      </c>
      <c r="T272" s="283">
        <f>IF($O272&gt;0,RANK(O272,AthletePoints),0)</f>
        <v>0</v>
      </c>
      <c r="U272" s="210"/>
      <c r="V272" s="415" t="str">
        <f>IF(O272&gt;=40,IF(X272="M",VLOOKUP(O272,UKABoysAwards,2),IF(X272="F",VLOOKUP(O272,UKAGirlsAwards,2),"")),"")</f>
        <v/>
      </c>
      <c r="W272" s="210"/>
      <c r="X272" s="266" t="str">
        <f t="array" ref="X272:X273">INDEX(DB,$B272,4)</f>
        <v>#REF!</v>
      </c>
      <c r="Y272" s="210"/>
      <c r="Z272" s="285" t="str">
        <f t="shared" si="3"/>
        <v>#REF!</v>
      </c>
      <c r="AA272" s="286" t="str">
        <f>IF($Z272&gt;=1,RANK($Z272,$Z261:$Z276),0)</f>
        <v>#REF!</v>
      </c>
      <c r="AB272" s="287" t="str">
        <f>IF(AA272&lt;=MaxS,INT(Z272),0)</f>
        <v>#REF!</v>
      </c>
      <c r="AC272" s="210"/>
      <c r="AD272" s="285" t="str">
        <f t="shared" si="4"/>
        <v>#REF!</v>
      </c>
      <c r="AE272" s="286" t="str">
        <f>IF($AD272&gt;=1,RANK($AD272,$AD261:$AD276),0)</f>
        <v>#REF!</v>
      </c>
      <c r="AF272" s="287" t="str">
        <f>IF(AE272&lt;=MaxS,INT(AD272),0)</f>
        <v>#REF!</v>
      </c>
      <c r="AG272" s="210"/>
      <c r="AH272" s="210"/>
      <c r="AI272" s="288" t="str">
        <f t="shared" si="5"/>
        <v>#REF!</v>
      </c>
      <c r="AJ272" s="289" t="str">
        <f t="shared" si="6"/>
        <v>#REF!</v>
      </c>
    </row>
    <row r="273" ht="15.0" customHeight="1">
      <c r="A273" s="272"/>
      <c r="B273" s="250">
        <f>IF(OR(ISNA(MATCH(C273&amp;"",AthleteNumbers,0)),ISBLANK(C273)),0,MATCH(C273&amp;"",AthleteNumbers,0))</f>
        <v>0</v>
      </c>
      <c r="C273" s="413"/>
      <c r="D273" s="273" t="str">
        <f t="array" ref="D273">IF($B273&gt;0,INDEX(DB,$B273,8),"")</f>
        <v/>
      </c>
      <c r="E273" s="274" t="str">
        <f t="array" ref="E273">IF($B273&gt;0,INDEX(DB,$B273,3),"")</f>
        <v/>
      </c>
      <c r="F273" s="275">
        <f t="array" ref="F273">IF($B273&gt;0,INDEX(DB,$B273,13),0)</f>
        <v>0</v>
      </c>
      <c r="G273" s="276">
        <f t="array" ref="G273">IF($B273&gt;0,INDEX(DB,$B273,17),0)</f>
        <v>0</v>
      </c>
      <c r="H273" s="277">
        <f t="array" ref="H273">IF($B273&gt;0,INDEX(DB,$B273,15),0)</f>
        <v>0</v>
      </c>
      <c r="I273" s="276">
        <f t="array" ref="I273">IF($B273&gt;0,INDEX(DB,$B273,19),0)</f>
        <v>0</v>
      </c>
      <c r="J273" s="277">
        <f t="array" ref="J273">IF($B273&gt;0,INDEX(DB,$B273,14),0)</f>
        <v>0</v>
      </c>
      <c r="K273" s="276">
        <f t="array" ref="K273">IF($B273&gt;0,INDEX(DB,$B273,18),0)</f>
        <v>0</v>
      </c>
      <c r="L273" s="275">
        <f t="array" ref="L273">IF($B273&gt;0,INDEX(DB,$B273,16),0)</f>
        <v>0</v>
      </c>
      <c r="M273" s="276">
        <f t="array" ref="M273">IF($B273&gt;0,INDEX(DB,$B273,20),0)</f>
        <v>0</v>
      </c>
      <c r="N273" s="278"/>
      <c r="O273" s="279">
        <f t="shared" si="1"/>
        <v>0</v>
      </c>
      <c r="P273" s="280"/>
      <c r="Q273" s="261" t="str">
        <f t="shared" si="2"/>
        <v>#REF!</v>
      </c>
      <c r="R273" s="290" t="str">
        <f>IF($AI273&gt;0,RANK($AI273,BoysPoints),0)</f>
        <v>#REF!</v>
      </c>
      <c r="S273" s="291" t="str">
        <f>IF($AJ273&gt;0,RANK($AJ273,GirlsPoints),0)</f>
        <v>#REF!</v>
      </c>
      <c r="T273" s="292">
        <f>IF($O273&gt;0,RANK(O273,AthletePoints),0)</f>
        <v>0</v>
      </c>
      <c r="U273" s="210"/>
      <c r="V273" s="330" t="str">
        <f>IF(O273&gt;=40,IF(X273="M",VLOOKUP(O273,UKABoysAwards,2),IF(X273="F",VLOOKUP(O273,UKAGirlsAwards,2),"")),"")</f>
        <v/>
      </c>
      <c r="W273" s="210"/>
      <c r="X273" s="266" t="str">
        <f t="array" ref="X273:X274">INDEX(DB,$B273,4)</f>
        <v>#REF!</v>
      </c>
      <c r="Y273" s="210"/>
      <c r="Z273" s="285" t="str">
        <f t="shared" si="3"/>
        <v>#REF!</v>
      </c>
      <c r="AA273" s="286" t="str">
        <f>IF($Z273&gt;=1,RANK($Z273,$Z261:$Z276),0)</f>
        <v>#REF!</v>
      </c>
      <c r="AB273" s="287" t="str">
        <f>IF(AA273&lt;=MaxS,INT(Z273),0)</f>
        <v>#REF!</v>
      </c>
      <c r="AC273" s="210"/>
      <c r="AD273" s="285" t="str">
        <f t="shared" si="4"/>
        <v>#REF!</v>
      </c>
      <c r="AE273" s="286" t="str">
        <f>IF($AD273&gt;=1,RANK($AD273,$AD261:$AD276),0)</f>
        <v>#REF!</v>
      </c>
      <c r="AF273" s="287" t="str">
        <f>IF(AE273&lt;=MaxS,INT(AD273),0)</f>
        <v>#REF!</v>
      </c>
      <c r="AG273" s="210"/>
      <c r="AH273" s="210"/>
      <c r="AI273" s="288" t="str">
        <f t="shared" si="5"/>
        <v>#REF!</v>
      </c>
      <c r="AJ273" s="289" t="str">
        <f t="shared" si="6"/>
        <v>#REF!</v>
      </c>
    </row>
    <row r="274" ht="15.0" customHeight="1">
      <c r="A274" s="272"/>
      <c r="B274" s="250">
        <f>IF(OR(ISNA(MATCH(C274&amp;"",AthleteNumbers,0)),ISBLANK(C274)),0,MATCH(C274&amp;"",AthleteNumbers,0))</f>
        <v>0</v>
      </c>
      <c r="C274" s="413"/>
      <c r="D274" s="273" t="str">
        <f t="array" ref="D274">IF($B274&gt;0,INDEX(DB,$B274,8),"")</f>
        <v/>
      </c>
      <c r="E274" s="274" t="str">
        <f t="array" ref="E274">IF($B274&gt;0,INDEX(DB,$B274,3),"")</f>
        <v/>
      </c>
      <c r="F274" s="275">
        <f t="array" ref="F274">IF($B274&gt;0,INDEX(DB,$B274,13),0)</f>
        <v>0</v>
      </c>
      <c r="G274" s="276">
        <f t="array" ref="G274">IF($B274&gt;0,INDEX(DB,$B274,17),0)</f>
        <v>0</v>
      </c>
      <c r="H274" s="277">
        <f t="array" ref="H274">IF($B274&gt;0,INDEX(DB,$B274,15),0)</f>
        <v>0</v>
      </c>
      <c r="I274" s="276">
        <f t="array" ref="I274">IF($B274&gt;0,INDEX(DB,$B274,19),0)</f>
        <v>0</v>
      </c>
      <c r="J274" s="277">
        <f t="array" ref="J274">IF($B274&gt;0,INDEX(DB,$B274,14),0)</f>
        <v>0</v>
      </c>
      <c r="K274" s="276">
        <f t="array" ref="K274">IF($B274&gt;0,INDEX(DB,$B274,18),0)</f>
        <v>0</v>
      </c>
      <c r="L274" s="275">
        <f t="array" ref="L274">IF($B274&gt;0,INDEX(DB,$B274,16),0)</f>
        <v>0</v>
      </c>
      <c r="M274" s="276">
        <f t="array" ref="M274">IF($B274&gt;0,INDEX(DB,$B274,20),0)</f>
        <v>0</v>
      </c>
      <c r="N274" s="278"/>
      <c r="O274" s="279">
        <f t="shared" si="1"/>
        <v>0</v>
      </c>
      <c r="P274" s="280"/>
      <c r="Q274" s="261" t="str">
        <f t="shared" si="2"/>
        <v>#REF!</v>
      </c>
      <c r="R274" s="281" t="str">
        <f>IF($AI274&gt;0,RANK($AI274,BoysPoints),0)</f>
        <v>#REF!</v>
      </c>
      <c r="S274" s="282" t="str">
        <f>IF($AJ274&gt;0,RANK($AJ274,GirlsPoints),0)</f>
        <v>#REF!</v>
      </c>
      <c r="T274" s="283">
        <f>IF($O274&gt;0,RANK(O274,AthletePoints),0)</f>
        <v>0</v>
      </c>
      <c r="U274" s="210"/>
      <c r="V274" s="415" t="str">
        <f>IF(O274&gt;=40,IF(X274="M",VLOOKUP(O274,UKABoysAwards,2),IF(X274="F",VLOOKUP(O274,UKAGirlsAwards,2),"")),"")</f>
        <v/>
      </c>
      <c r="W274" s="210"/>
      <c r="X274" s="266" t="str">
        <f t="array" ref="X274:X275">INDEX(DB,$B274,4)</f>
        <v>#REF!</v>
      </c>
      <c r="Y274" s="210"/>
      <c r="Z274" s="285" t="str">
        <f t="shared" si="3"/>
        <v>#REF!</v>
      </c>
      <c r="AA274" s="286" t="str">
        <f>IF($Z274&gt;=1,RANK($Z274,$Z261:$Z276),0)</f>
        <v>#REF!</v>
      </c>
      <c r="AB274" s="287" t="str">
        <f>IF(AA274&lt;=MaxS,INT(Z274),0)</f>
        <v>#REF!</v>
      </c>
      <c r="AC274" s="210"/>
      <c r="AD274" s="285" t="str">
        <f t="shared" si="4"/>
        <v>#REF!</v>
      </c>
      <c r="AE274" s="286" t="str">
        <f>IF($AD274&gt;=1,RANK($AD274,$AD261:$AD276),0)</f>
        <v>#REF!</v>
      </c>
      <c r="AF274" s="287" t="str">
        <f>IF(AE274&lt;=MaxS,INT(AD274),0)</f>
        <v>#REF!</v>
      </c>
      <c r="AG274" s="210"/>
      <c r="AH274" s="210"/>
      <c r="AI274" s="288" t="str">
        <f t="shared" si="5"/>
        <v>#REF!</v>
      </c>
      <c r="AJ274" s="289" t="str">
        <f t="shared" si="6"/>
        <v>#REF!</v>
      </c>
    </row>
    <row r="275" ht="15.0" customHeight="1">
      <c r="A275" s="272"/>
      <c r="B275" s="250">
        <f>IF(OR(ISNA(MATCH(C275&amp;"",AthleteNumbers,0)),ISBLANK(C275)),0,MATCH(C275&amp;"",AthleteNumbers,0))</f>
        <v>0</v>
      </c>
      <c r="C275" s="413"/>
      <c r="D275" s="273" t="str">
        <f t="array" ref="D275">IF($B275&gt;0,INDEX(DB,$B275,8),"")</f>
        <v/>
      </c>
      <c r="E275" s="274" t="str">
        <f t="array" ref="E275">IF($B275&gt;0,INDEX(DB,$B275,3),"")</f>
        <v/>
      </c>
      <c r="F275" s="275">
        <f t="array" ref="F275">IF($B275&gt;0,INDEX(DB,$B275,13),0)</f>
        <v>0</v>
      </c>
      <c r="G275" s="276">
        <f t="array" ref="G275">IF($B275&gt;0,INDEX(DB,$B275,17),0)</f>
        <v>0</v>
      </c>
      <c r="H275" s="277">
        <f t="array" ref="H275">IF($B275&gt;0,INDEX(DB,$B275,15),0)</f>
        <v>0</v>
      </c>
      <c r="I275" s="276">
        <f t="array" ref="I275">IF($B275&gt;0,INDEX(DB,$B275,19),0)</f>
        <v>0</v>
      </c>
      <c r="J275" s="277">
        <f t="array" ref="J275">IF($B275&gt;0,INDEX(DB,$B275,14),0)</f>
        <v>0</v>
      </c>
      <c r="K275" s="276">
        <f t="array" ref="K275">IF($B275&gt;0,INDEX(DB,$B275,18),0)</f>
        <v>0</v>
      </c>
      <c r="L275" s="275">
        <f t="array" ref="L275">IF($B275&gt;0,INDEX(DB,$B275,16),0)</f>
        <v>0</v>
      </c>
      <c r="M275" s="276">
        <f t="array" ref="M275">IF($B275&gt;0,INDEX(DB,$B275,20),0)</f>
        <v>0</v>
      </c>
      <c r="N275" s="278"/>
      <c r="O275" s="279">
        <f t="shared" si="1"/>
        <v>0</v>
      </c>
      <c r="P275" s="280"/>
      <c r="Q275" s="261" t="str">
        <f t="shared" si="2"/>
        <v>#REF!</v>
      </c>
      <c r="R275" s="290" t="str">
        <f>IF($AI275&gt;0,RANK($AI275,BoysPoints),0)</f>
        <v>#REF!</v>
      </c>
      <c r="S275" s="291" t="str">
        <f>IF($AJ275&gt;0,RANK($AJ275,GirlsPoints),0)</f>
        <v>#REF!</v>
      </c>
      <c r="T275" s="292">
        <f>IF($O275&gt;0,RANK(O275,AthletePoints),0)</f>
        <v>0</v>
      </c>
      <c r="U275" s="210"/>
      <c r="V275" s="330" t="str">
        <f>IF(O275&gt;=40,IF(X275="M",VLOOKUP(O275,UKABoysAwards,2),IF(X275="F",VLOOKUP(O275,UKAGirlsAwards,2),"")),"")</f>
        <v/>
      </c>
      <c r="W275" s="210"/>
      <c r="X275" s="266" t="str">
        <f t="array" ref="X275:X276">INDEX(DB,$B275,4)</f>
        <v>#REF!</v>
      </c>
      <c r="Y275" s="210"/>
      <c r="Z275" s="285" t="str">
        <f t="shared" si="3"/>
        <v>#REF!</v>
      </c>
      <c r="AA275" s="286" t="str">
        <f>IF($Z275&gt;=1,RANK($Z275,$Z261:$Z276),0)</f>
        <v>#REF!</v>
      </c>
      <c r="AB275" s="287" t="str">
        <f>IF(AA275&lt;=MaxS,INT(Z275),0)</f>
        <v>#REF!</v>
      </c>
      <c r="AC275" s="210"/>
      <c r="AD275" s="285" t="str">
        <f t="shared" si="4"/>
        <v>#REF!</v>
      </c>
      <c r="AE275" s="286" t="str">
        <f>IF($AD275&gt;=1,RANK($AD275,$AD261:$AD276),0)</f>
        <v>#REF!</v>
      </c>
      <c r="AF275" s="287" t="str">
        <f>IF(AE275&lt;=MaxS,INT(AD275),0)</f>
        <v>#REF!</v>
      </c>
      <c r="AG275" s="210"/>
      <c r="AH275" s="210"/>
      <c r="AI275" s="288" t="str">
        <f t="shared" si="5"/>
        <v>#REF!</v>
      </c>
      <c r="AJ275" s="289" t="str">
        <f t="shared" si="6"/>
        <v>#REF!</v>
      </c>
    </row>
    <row r="276" ht="15.0" customHeight="1">
      <c r="A276" s="305"/>
      <c r="B276" s="250">
        <f>IF(OR(ISNA(MATCH(C276&amp;"",AthleteNumbers,0)),ISBLANK(C276)),0,MATCH(C276&amp;"",AthleteNumbers,0))</f>
        <v>0</v>
      </c>
      <c r="C276" s="443"/>
      <c r="D276" s="306" t="str">
        <f t="array" ref="D276">IF($B276&gt;0,INDEX(DB,$B276,8),"")</f>
        <v/>
      </c>
      <c r="E276" s="307" t="str">
        <f t="array" ref="E276">IF($B276&gt;0,INDEX(DB,$B276,3),"")</f>
        <v/>
      </c>
      <c r="F276" s="308">
        <f t="array" ref="F276">IF($B276&gt;0,INDEX(DB,$B276,13),0)</f>
        <v>0</v>
      </c>
      <c r="G276" s="309">
        <f t="array" ref="G276">IF($B276&gt;0,INDEX(DB,$B276,17),0)</f>
        <v>0</v>
      </c>
      <c r="H276" s="310">
        <f t="array" ref="H276">IF($B276&gt;0,INDEX(DB,$B276,15),0)</f>
        <v>0</v>
      </c>
      <c r="I276" s="309">
        <f t="array" ref="I276">IF($B276&gt;0,INDEX(DB,$B276,19),0)</f>
        <v>0</v>
      </c>
      <c r="J276" s="310">
        <f t="array" ref="J276">IF($B276&gt;0,INDEX(DB,$B276,14),0)</f>
        <v>0</v>
      </c>
      <c r="K276" s="309">
        <f t="array" ref="K276">IF($B276&gt;0,INDEX(DB,$B276,18),0)</f>
        <v>0</v>
      </c>
      <c r="L276" s="308">
        <f t="array" ref="L276">IF($B276&gt;0,INDEX(DB,$B276,16),0)</f>
        <v>0</v>
      </c>
      <c r="M276" s="309">
        <f t="array" ref="M276">IF($B276&gt;0,INDEX(DB,$B276,20),0)</f>
        <v>0</v>
      </c>
      <c r="N276" s="25"/>
      <c r="O276" s="311">
        <f t="shared" si="1"/>
        <v>0</v>
      </c>
      <c r="P276" s="31"/>
      <c r="Q276" s="261" t="str">
        <f t="shared" si="2"/>
        <v>#REF!</v>
      </c>
      <c r="R276" s="312" t="str">
        <f>IF($AI276&gt;0,RANK($AI276,BoysPoints),0)</f>
        <v>#REF!</v>
      </c>
      <c r="S276" s="313" t="str">
        <f>IF($AJ276&gt;0,RANK($AJ276,GirlsPoints),0)</f>
        <v>#REF!</v>
      </c>
      <c r="T276" s="314">
        <f>IF($O276&gt;0,RANK(O276,AthletePoints),0)</f>
        <v>0</v>
      </c>
      <c r="U276" s="210"/>
      <c r="V276" s="444" t="str">
        <f>IF(O276&gt;=40,IF(X276="M",VLOOKUP(O276,UKABoysAwards,2),IF(X276="F",VLOOKUP(O276,UKAGirlsAwards,2),"")),"")</f>
        <v/>
      </c>
      <c r="W276" s="210"/>
      <c r="X276" s="266" t="str">
        <f t="array" ref="X276:X277">INDEX(DB,$B276,4)</f>
        <v>#REF!</v>
      </c>
      <c r="Y276" s="210"/>
      <c r="Z276" s="316" t="str">
        <f t="shared" si="3"/>
        <v>#REF!</v>
      </c>
      <c r="AA276" s="243" t="str">
        <f>IF($Z276&gt;=1,RANK($Z276,$Z261:$Z276),0)</f>
        <v>#REF!</v>
      </c>
      <c r="AB276" s="245" t="str">
        <f>IF(AA276&lt;=MaxS,INT(Z276),0)</f>
        <v>#REF!</v>
      </c>
      <c r="AC276" s="210" t="str">
        <f>SUM(AB261:AB276)</f>
        <v>#REF!</v>
      </c>
      <c r="AD276" s="316" t="str">
        <f t="shared" si="4"/>
        <v>#REF!</v>
      </c>
      <c r="AE276" s="243" t="str">
        <f>IF($AD276&gt;=1,RANK($AD276,$AD261:$AD276),0)</f>
        <v>#REF!</v>
      </c>
      <c r="AF276" s="245" t="str">
        <f>IF(AE276&lt;=MaxS,INT(AD276),0)</f>
        <v>#REF!</v>
      </c>
      <c r="AG276" s="210" t="str">
        <f>SUM(AF261:AF276)</f>
        <v>#REF!</v>
      </c>
      <c r="AH276" s="210"/>
      <c r="AI276" s="246" t="str">
        <f t="shared" si="5"/>
        <v>#REF!</v>
      </c>
      <c r="AJ276" s="247" t="str">
        <f t="shared" si="6"/>
        <v>#REF!</v>
      </c>
    </row>
    <row r="277" ht="15.0" customHeight="1">
      <c r="A277" s="248"/>
      <c r="B277" s="250">
        <f>IF(OR(ISNA(MATCH(C277&amp;"",AthleteNumbers,0)),ISBLANK(C277)),0,MATCH(C277&amp;"",AthleteNumbers,0))</f>
        <v>0</v>
      </c>
      <c r="C277" s="251"/>
      <c r="D277" s="252" t="str">
        <f t="array" ref="D277">IF($B277&gt;0,INDEX(DB,$B277,8),"")</f>
        <v/>
      </c>
      <c r="E277" s="253" t="str">
        <f t="array" ref="E277">IF($B277&gt;0,INDEX(DB,$B277,3),"")</f>
        <v/>
      </c>
      <c r="F277" s="254">
        <f t="array" ref="F277">IF($B277&gt;0,INDEX(DB,$B277,13),0)</f>
        <v>0</v>
      </c>
      <c r="G277" s="255">
        <f t="array" ref="G277">IF($B277&gt;0,INDEX(DB,$B277,17),0)</f>
        <v>0</v>
      </c>
      <c r="H277" s="257">
        <f t="array" ref="H277">IF($B277&gt;0,INDEX(DB,$B277,15),0)</f>
        <v>0</v>
      </c>
      <c r="I277" s="255">
        <f t="array" ref="I277">IF($B277&gt;0,INDEX(DB,$B277,19),0)</f>
        <v>0</v>
      </c>
      <c r="J277" s="257">
        <f t="array" ref="J277">IF($B277&gt;0,INDEX(DB,$B277,14),0)</f>
        <v>0</v>
      </c>
      <c r="K277" s="255">
        <f t="array" ref="K277">IF($B277&gt;0,INDEX(DB,$B277,18),0)</f>
        <v>0</v>
      </c>
      <c r="L277" s="254">
        <f t="array" ref="L277">IF($B277&gt;0,INDEX(DB,$B277,16),0)</f>
        <v>0</v>
      </c>
      <c r="M277" s="255">
        <f t="array" ref="M277">IF($B277&gt;0,INDEX(DB,$B277,20),0)</f>
        <v>0</v>
      </c>
      <c r="N277" s="258" t="str">
        <f t="array" ref="N277:N293">INDEX(RelayPoints,A292)</f>
        <v>#REF!</v>
      </c>
      <c r="O277" s="259">
        <f t="shared" si="1"/>
        <v>0</v>
      </c>
      <c r="P277" s="260" t="str">
        <f>+AC292+AG292+N277</f>
        <v>#REF!</v>
      </c>
      <c r="Q277" s="261" t="str">
        <f t="shared" si="2"/>
        <v>#REF!</v>
      </c>
      <c r="R277" s="262" t="str">
        <f>IF($AI277&gt;0,RANK($AI277,BoysPoints),0)</f>
        <v>#REF!</v>
      </c>
      <c r="S277" s="263" t="str">
        <f>IF($AJ277&gt;0,RANK($AJ277,GirlsPoints),0)</f>
        <v>#REF!</v>
      </c>
      <c r="T277" s="264">
        <f>IF($O277&gt;0,RANK(O277,AthletePoints),0)</f>
        <v>0</v>
      </c>
      <c r="U277" s="210"/>
      <c r="V277" s="317" t="str">
        <f>IF(O277&gt;=40,IF(X277="M",VLOOKUP(O277,UKABoysAwards,2),IF(X277="F",VLOOKUP(O277,UKAGirlsAwards,2),"")),"")</f>
        <v/>
      </c>
      <c r="W277" s="210"/>
      <c r="X277" s="266" t="str">
        <f t="array" ref="X277:X278">INDEX(DB,$B277,4)</f>
        <v>#REF!</v>
      </c>
      <c r="Y277" s="210"/>
      <c r="Z277" s="267" t="str">
        <f t="shared" si="3"/>
        <v>#REF!</v>
      </c>
      <c r="AA277" s="268" t="str">
        <f>IF($Z277&gt;=1,RANK($Z277,$Z277:$Z292),0)</f>
        <v>#REF!</v>
      </c>
      <c r="AB277" s="269" t="str">
        <f>IF(AA277&lt;=MaxS,INT(Z277),0)</f>
        <v>#REF!</v>
      </c>
      <c r="AC277" s="210"/>
      <c r="AD277" s="267" t="str">
        <f t="shared" si="4"/>
        <v>#REF!</v>
      </c>
      <c r="AE277" s="268" t="str">
        <f>IF($AD277&gt;=1,RANK($AD277,$AD277:$AD292),0)</f>
        <v>#REF!</v>
      </c>
      <c r="AF277" s="269" t="str">
        <f>IF(AE277&lt;=MaxS,INT(AD277),0)</f>
        <v>#REF!</v>
      </c>
      <c r="AG277" s="210"/>
      <c r="AH277" s="210"/>
      <c r="AI277" s="288" t="str">
        <f t="shared" si="5"/>
        <v>#REF!</v>
      </c>
      <c r="AJ277" s="289" t="str">
        <f t="shared" si="6"/>
        <v>#REF!</v>
      </c>
    </row>
    <row r="278" ht="15.0" customHeight="1">
      <c r="A278" s="272"/>
      <c r="B278" s="250">
        <f>IF(OR(ISNA(MATCH(C278&amp;"",AthleteNumbers,0)),ISBLANK(C278)),0,MATCH(C278&amp;"",AthleteNumbers,0))</f>
        <v>0</v>
      </c>
      <c r="C278" s="413"/>
      <c r="D278" s="273" t="str">
        <f t="array" ref="D278">IF($B278&gt;0,INDEX(DB,$B278,8),"")</f>
        <v/>
      </c>
      <c r="E278" s="274" t="str">
        <f t="array" ref="E278">IF($B278&gt;0,INDEX(DB,$B278,3),"")</f>
        <v/>
      </c>
      <c r="F278" s="275">
        <f t="array" ref="F278">IF($B278&gt;0,INDEX(DB,$B278,13),0)</f>
        <v>0</v>
      </c>
      <c r="G278" s="276">
        <f t="array" ref="G278">IF($B278&gt;0,INDEX(DB,$B278,17),0)</f>
        <v>0</v>
      </c>
      <c r="H278" s="277">
        <f t="array" ref="H278">IF($B278&gt;0,INDEX(DB,$B278,15),0)</f>
        <v>0</v>
      </c>
      <c r="I278" s="276">
        <f t="array" ref="I278">IF($B278&gt;0,INDEX(DB,$B278,19),0)</f>
        <v>0</v>
      </c>
      <c r="J278" s="277">
        <f t="array" ref="J278">IF($B278&gt;0,INDEX(DB,$B278,14),0)</f>
        <v>0</v>
      </c>
      <c r="K278" s="276">
        <f t="array" ref="K278">IF($B278&gt;0,INDEX(DB,$B278,18),0)</f>
        <v>0</v>
      </c>
      <c r="L278" s="275">
        <f t="array" ref="L278">IF($B278&gt;0,INDEX(DB,$B278,16),0)</f>
        <v>0</v>
      </c>
      <c r="M278" s="276">
        <f t="array" ref="M278">IF($B278&gt;0,INDEX(DB,$B278,20),0)</f>
        <v>0</v>
      </c>
      <c r="N278" s="278"/>
      <c r="O278" s="279">
        <f t="shared" si="1"/>
        <v>0</v>
      </c>
      <c r="P278" s="280"/>
      <c r="Q278" s="261" t="str">
        <f t="shared" si="2"/>
        <v>#REF!</v>
      </c>
      <c r="R278" s="281" t="str">
        <f>IF($AI278&gt;0,RANK($AI278,BoysPoints),0)</f>
        <v>#REF!</v>
      </c>
      <c r="S278" s="282" t="str">
        <f>IF($AJ278&gt;0,RANK($AJ278,GirlsPoints),0)</f>
        <v>#REF!</v>
      </c>
      <c r="T278" s="283">
        <f>IF($O278&gt;0,RANK(O278,AthletePoints),0)</f>
        <v>0</v>
      </c>
      <c r="U278" s="210"/>
      <c r="V278" s="415" t="str">
        <f>IF(O278&gt;=40,IF(X278="M",VLOOKUP(O278,UKABoysAwards,2),IF(X278="F",VLOOKUP(O278,UKAGirlsAwards,2),"")),"")</f>
        <v/>
      </c>
      <c r="W278" s="210"/>
      <c r="X278" s="266" t="str">
        <f t="array" ref="X278:X279">INDEX(DB,$B278,4)</f>
        <v>#REF!</v>
      </c>
      <c r="Y278" s="210"/>
      <c r="Z278" s="285" t="str">
        <f t="shared" si="3"/>
        <v>#REF!</v>
      </c>
      <c r="AA278" s="286" t="str">
        <f>IF($Z278&gt;=1,RANK($Z278,$Z277:$Z292),0)</f>
        <v>#REF!</v>
      </c>
      <c r="AB278" s="287" t="str">
        <f>IF(AA278&lt;=MaxS,INT(Z278),0)</f>
        <v>#REF!</v>
      </c>
      <c r="AC278" s="210"/>
      <c r="AD278" s="285" t="str">
        <f t="shared" si="4"/>
        <v>#REF!</v>
      </c>
      <c r="AE278" s="286" t="str">
        <f>IF($AD278&gt;=1,RANK($AD278,$AD277:$AD292),0)</f>
        <v>#REF!</v>
      </c>
      <c r="AF278" s="287" t="str">
        <f>IF(AE278&lt;=MaxS,INT(AD278),0)</f>
        <v>#REF!</v>
      </c>
      <c r="AG278" s="210"/>
      <c r="AH278" s="210"/>
      <c r="AI278" s="288" t="str">
        <f t="shared" si="5"/>
        <v>#REF!</v>
      </c>
      <c r="AJ278" s="289" t="str">
        <f t="shared" si="6"/>
        <v>#REF!</v>
      </c>
    </row>
    <row r="279" ht="15.0" customHeight="1">
      <c r="A279" s="272"/>
      <c r="B279" s="250">
        <f>IF(OR(ISNA(MATCH(C279&amp;"",AthleteNumbers,0)),ISBLANK(C279)),0,MATCH(C279&amp;"",AthleteNumbers,0))</f>
        <v>0</v>
      </c>
      <c r="C279" s="413"/>
      <c r="D279" s="273" t="str">
        <f t="array" ref="D279">IF($B279&gt;0,INDEX(DB,$B279,8),"")</f>
        <v/>
      </c>
      <c r="E279" s="274" t="str">
        <f t="array" ref="E279">IF($B279&gt;0,INDEX(DB,$B279,3),"")</f>
        <v/>
      </c>
      <c r="F279" s="275">
        <f t="array" ref="F279">IF($B279&gt;0,INDEX(DB,$B279,13),0)</f>
        <v>0</v>
      </c>
      <c r="G279" s="276">
        <f t="array" ref="G279">IF($B279&gt;0,INDEX(DB,$B279,17),0)</f>
        <v>0</v>
      </c>
      <c r="H279" s="277">
        <f t="array" ref="H279">IF($B279&gt;0,INDEX(DB,$B279,15),0)</f>
        <v>0</v>
      </c>
      <c r="I279" s="276">
        <f t="array" ref="I279">IF($B279&gt;0,INDEX(DB,$B279,19),0)</f>
        <v>0</v>
      </c>
      <c r="J279" s="277">
        <f t="array" ref="J279">IF($B279&gt;0,INDEX(DB,$B279,14),0)</f>
        <v>0</v>
      </c>
      <c r="K279" s="276">
        <f t="array" ref="K279">IF($B279&gt;0,INDEX(DB,$B279,18),0)</f>
        <v>0</v>
      </c>
      <c r="L279" s="275">
        <f t="array" ref="L279">IF($B279&gt;0,INDEX(DB,$B279,16),0)</f>
        <v>0</v>
      </c>
      <c r="M279" s="276">
        <f t="array" ref="M279">IF($B279&gt;0,INDEX(DB,$B279,20),0)</f>
        <v>0</v>
      </c>
      <c r="N279" s="278"/>
      <c r="O279" s="279">
        <f t="shared" si="1"/>
        <v>0</v>
      </c>
      <c r="P279" s="280"/>
      <c r="Q279" s="261" t="str">
        <f t="shared" si="2"/>
        <v>#REF!</v>
      </c>
      <c r="R279" s="290" t="str">
        <f>IF($AI279&gt;0,RANK($AI279,BoysPoints),0)</f>
        <v>#REF!</v>
      </c>
      <c r="S279" s="291" t="str">
        <f>IF($AJ279&gt;0,RANK($AJ279,GirlsPoints),0)</f>
        <v>#REF!</v>
      </c>
      <c r="T279" s="292">
        <f>IF($O279&gt;0,RANK(O279,AthletePoints),0)</f>
        <v>0</v>
      </c>
      <c r="U279" s="210"/>
      <c r="V279" s="330" t="str">
        <f>IF(O279&gt;=40,IF(X279="M",VLOOKUP(O279,UKABoysAwards,2),IF(X279="F",VLOOKUP(O279,UKAGirlsAwards,2),"")),"")</f>
        <v/>
      </c>
      <c r="W279" s="210"/>
      <c r="X279" s="266" t="str">
        <f t="array" ref="X279:X280">INDEX(DB,$B279,4)</f>
        <v>#REF!</v>
      </c>
      <c r="Y279" s="210"/>
      <c r="Z279" s="285" t="str">
        <f t="shared" si="3"/>
        <v>#REF!</v>
      </c>
      <c r="AA279" s="286" t="str">
        <f>IF($Z279&gt;=1,RANK($Z279,$Z277:$Z292),0)</f>
        <v>#REF!</v>
      </c>
      <c r="AB279" s="287" t="str">
        <f>IF(AA279&lt;=MaxS,INT(Z279),0)</f>
        <v>#REF!</v>
      </c>
      <c r="AC279" s="210"/>
      <c r="AD279" s="285" t="str">
        <f t="shared" si="4"/>
        <v>#REF!</v>
      </c>
      <c r="AE279" s="286" t="str">
        <f>IF($AD279&gt;=1,RANK($AD279,$AD277:$AD292),0)</f>
        <v>#REF!</v>
      </c>
      <c r="AF279" s="287" t="str">
        <f>IF(AE279&lt;=MaxS,INT(AD279),0)</f>
        <v>#REF!</v>
      </c>
      <c r="AG279" s="210"/>
      <c r="AH279" s="210"/>
      <c r="AI279" s="288" t="str">
        <f t="shared" si="5"/>
        <v>#REF!</v>
      </c>
      <c r="AJ279" s="289" t="str">
        <f t="shared" si="6"/>
        <v>#REF!</v>
      </c>
    </row>
    <row r="280" ht="15.0" customHeight="1">
      <c r="A280" s="272"/>
      <c r="B280" s="250">
        <f>IF(OR(ISNA(MATCH(C280&amp;"",AthleteNumbers,0)),ISBLANK(C280)),0,MATCH(C280&amp;"",AthleteNumbers,0))</f>
        <v>0</v>
      </c>
      <c r="C280" s="413"/>
      <c r="D280" s="273" t="str">
        <f t="array" ref="D280">IF($B280&gt;0,INDEX(DB,$B280,8),"")</f>
        <v/>
      </c>
      <c r="E280" s="274" t="str">
        <f t="array" ref="E280">IF($B280&gt;0,INDEX(DB,$B280,3),"")</f>
        <v/>
      </c>
      <c r="F280" s="275">
        <f t="array" ref="F280">IF($B280&gt;0,INDEX(DB,$B280,13),0)</f>
        <v>0</v>
      </c>
      <c r="G280" s="276">
        <f t="array" ref="G280">IF($B280&gt;0,INDEX(DB,$B280,17),0)</f>
        <v>0</v>
      </c>
      <c r="H280" s="277">
        <f t="array" ref="H280">IF($B280&gt;0,INDEX(DB,$B280,15),0)</f>
        <v>0</v>
      </c>
      <c r="I280" s="276">
        <f t="array" ref="I280">IF($B280&gt;0,INDEX(DB,$B280,19),0)</f>
        <v>0</v>
      </c>
      <c r="J280" s="277">
        <f t="array" ref="J280">IF($B280&gt;0,INDEX(DB,$B280,14),0)</f>
        <v>0</v>
      </c>
      <c r="K280" s="276">
        <f t="array" ref="K280">IF($B280&gt;0,INDEX(DB,$B280,18),0)</f>
        <v>0</v>
      </c>
      <c r="L280" s="275">
        <f t="array" ref="L280">IF($B280&gt;0,INDEX(DB,$B280,16),0)</f>
        <v>0</v>
      </c>
      <c r="M280" s="276">
        <f t="array" ref="M280">IF($B280&gt;0,INDEX(DB,$B280,20),0)</f>
        <v>0</v>
      </c>
      <c r="N280" s="278"/>
      <c r="O280" s="279">
        <f t="shared" si="1"/>
        <v>0</v>
      </c>
      <c r="P280" s="280"/>
      <c r="Q280" s="261" t="str">
        <f t="shared" si="2"/>
        <v>#REF!</v>
      </c>
      <c r="R280" s="281" t="str">
        <f>IF($AI280&gt;0,RANK($AI280,BoysPoints),0)</f>
        <v>#REF!</v>
      </c>
      <c r="S280" s="282" t="str">
        <f>IF($AJ280&gt;0,RANK($AJ280,GirlsPoints),0)</f>
        <v>#REF!</v>
      </c>
      <c r="T280" s="283">
        <f>IF($O280&gt;0,RANK(O280,AthletePoints),0)</f>
        <v>0</v>
      </c>
      <c r="U280" s="210"/>
      <c r="V280" s="415" t="str">
        <f>IF(O280&gt;=40,IF(X280="M",VLOOKUP(O280,UKABoysAwards,2),IF(X280="F",VLOOKUP(O280,UKAGirlsAwards,2),"")),"")</f>
        <v/>
      </c>
      <c r="W280" s="210"/>
      <c r="X280" s="266" t="str">
        <f t="array" ref="X280:X281">INDEX(DB,$B280,4)</f>
        <v>#REF!</v>
      </c>
      <c r="Y280" s="210"/>
      <c r="Z280" s="285" t="str">
        <f t="shared" si="3"/>
        <v>#REF!</v>
      </c>
      <c r="AA280" s="286" t="str">
        <f>IF($Z280&gt;=1,RANK($Z280,$Z277:$Z292),0)</f>
        <v>#REF!</v>
      </c>
      <c r="AB280" s="287" t="str">
        <f>IF(AA280&lt;=MaxS,INT(Z280),0)</f>
        <v>#REF!</v>
      </c>
      <c r="AC280" s="210"/>
      <c r="AD280" s="285" t="str">
        <f t="shared" si="4"/>
        <v>#REF!</v>
      </c>
      <c r="AE280" s="286" t="str">
        <f>IF($AD280&gt;=1,RANK($AD280,$AD277:$AD292),0)</f>
        <v>#REF!</v>
      </c>
      <c r="AF280" s="287" t="str">
        <f>IF(AE280&lt;=MaxS,INT(AD280),0)</f>
        <v>#REF!</v>
      </c>
      <c r="AG280" s="210"/>
      <c r="AH280" s="210"/>
      <c r="AI280" s="288" t="str">
        <f t="shared" si="5"/>
        <v>#REF!</v>
      </c>
      <c r="AJ280" s="289" t="str">
        <f t="shared" si="6"/>
        <v>#REF!</v>
      </c>
    </row>
    <row r="281" ht="15.0" customHeight="1">
      <c r="A281" s="272"/>
      <c r="B281" s="250">
        <f>IF(OR(ISNA(MATCH(C281&amp;"",AthleteNumbers,0)),ISBLANK(C281)),0,MATCH(C281&amp;"",AthleteNumbers,0))</f>
        <v>0</v>
      </c>
      <c r="C281" s="413"/>
      <c r="D281" s="273" t="str">
        <f t="array" ref="D281">IF($B281&gt;0,INDEX(DB,$B281,8),"")</f>
        <v/>
      </c>
      <c r="E281" s="274" t="str">
        <f t="array" ref="E281">IF($B281&gt;0,INDEX(DB,$B281,3),"")</f>
        <v/>
      </c>
      <c r="F281" s="275">
        <f t="array" ref="F281">IF($B281&gt;0,INDEX(DB,$B281,13),0)</f>
        <v>0</v>
      </c>
      <c r="G281" s="276">
        <f t="array" ref="G281">IF($B281&gt;0,INDEX(DB,$B281,17),0)</f>
        <v>0</v>
      </c>
      <c r="H281" s="277">
        <f t="array" ref="H281">IF($B281&gt;0,INDEX(DB,$B281,15),0)</f>
        <v>0</v>
      </c>
      <c r="I281" s="276">
        <f t="array" ref="I281">IF($B281&gt;0,INDEX(DB,$B281,19),0)</f>
        <v>0</v>
      </c>
      <c r="J281" s="277">
        <f t="array" ref="J281">IF($B281&gt;0,INDEX(DB,$B281,14),0)</f>
        <v>0</v>
      </c>
      <c r="K281" s="276">
        <f t="array" ref="K281">IF($B281&gt;0,INDEX(DB,$B281,18),0)</f>
        <v>0</v>
      </c>
      <c r="L281" s="275">
        <f t="array" ref="L281">IF($B281&gt;0,INDEX(DB,$B281,16),0)</f>
        <v>0</v>
      </c>
      <c r="M281" s="276">
        <f t="array" ref="M281">IF($B281&gt;0,INDEX(DB,$B281,20),0)</f>
        <v>0</v>
      </c>
      <c r="N281" s="278"/>
      <c r="O281" s="279">
        <f t="shared" si="1"/>
        <v>0</v>
      </c>
      <c r="P281" s="280"/>
      <c r="Q281" s="261" t="str">
        <f t="shared" si="2"/>
        <v>#REF!</v>
      </c>
      <c r="R281" s="290" t="str">
        <f>IF($AI281&gt;0,RANK($AI281,BoysPoints),0)</f>
        <v>#REF!</v>
      </c>
      <c r="S281" s="291" t="str">
        <f>IF($AJ281&gt;0,RANK($AJ281,GirlsPoints),0)</f>
        <v>#REF!</v>
      </c>
      <c r="T281" s="292">
        <f>IF($O281&gt;0,RANK(O281,AthletePoints),0)</f>
        <v>0</v>
      </c>
      <c r="U281" s="210"/>
      <c r="V281" s="330" t="str">
        <f>IF(O281&gt;=40,IF(X281="M",VLOOKUP(O281,UKABoysAwards,2),IF(X281="F",VLOOKUP(O281,UKAGirlsAwards,2),"")),"")</f>
        <v/>
      </c>
      <c r="W281" s="210"/>
      <c r="X281" s="266" t="str">
        <f t="array" ref="X281:X282">INDEX(DB,$B281,4)</f>
        <v>#REF!</v>
      </c>
      <c r="Y281" s="210"/>
      <c r="Z281" s="285" t="str">
        <f t="shared" si="3"/>
        <v>#REF!</v>
      </c>
      <c r="AA281" s="286" t="str">
        <f>IF($Z281&gt;=1,RANK($Z281,$Z277:$Z292),0)</f>
        <v>#REF!</v>
      </c>
      <c r="AB281" s="287" t="str">
        <f>IF(AA281&lt;=MaxS,INT(Z281),0)</f>
        <v>#REF!</v>
      </c>
      <c r="AC281" s="210"/>
      <c r="AD281" s="285" t="str">
        <f t="shared" si="4"/>
        <v>#REF!</v>
      </c>
      <c r="AE281" s="286" t="str">
        <f>IF($AD281&gt;=1,RANK($AD281,$AD277:$AD292),0)</f>
        <v>#REF!</v>
      </c>
      <c r="AF281" s="287" t="str">
        <f>IF(AE281&lt;=MaxS,INT(AD281),0)</f>
        <v>#REF!</v>
      </c>
      <c r="AG281" s="210"/>
      <c r="AH281" s="210"/>
      <c r="AI281" s="288" t="str">
        <f t="shared" si="5"/>
        <v>#REF!</v>
      </c>
      <c r="AJ281" s="289" t="str">
        <f t="shared" si="6"/>
        <v>#REF!</v>
      </c>
    </row>
    <row r="282" ht="15.0" customHeight="1">
      <c r="A282" s="272"/>
      <c r="B282" s="250">
        <f>IF(OR(ISNA(MATCH(C282&amp;"",AthleteNumbers,0)),ISBLANK(C282)),0,MATCH(C282&amp;"",AthleteNumbers,0))</f>
        <v>0</v>
      </c>
      <c r="C282" s="413"/>
      <c r="D282" s="273" t="str">
        <f t="array" ref="D282">IF($B282&gt;0,INDEX(DB,$B282,8),"")</f>
        <v/>
      </c>
      <c r="E282" s="274" t="str">
        <f t="array" ref="E282">IF($B282&gt;0,INDEX(DB,$B282,3),"")</f>
        <v/>
      </c>
      <c r="F282" s="275">
        <f t="array" ref="F282">IF($B282&gt;0,INDEX(DB,$B282,13),0)</f>
        <v>0</v>
      </c>
      <c r="G282" s="276">
        <f t="array" ref="G282">IF($B282&gt;0,INDEX(DB,$B282,17),0)</f>
        <v>0</v>
      </c>
      <c r="H282" s="277">
        <f t="array" ref="H282">IF($B282&gt;0,INDEX(DB,$B282,15),0)</f>
        <v>0</v>
      </c>
      <c r="I282" s="276">
        <f t="array" ref="I282">IF($B282&gt;0,INDEX(DB,$B282,19),0)</f>
        <v>0</v>
      </c>
      <c r="J282" s="277">
        <f t="array" ref="J282">IF($B282&gt;0,INDEX(DB,$B282,14),0)</f>
        <v>0</v>
      </c>
      <c r="K282" s="276">
        <f t="array" ref="K282">IF($B282&gt;0,INDEX(DB,$B282,18),0)</f>
        <v>0</v>
      </c>
      <c r="L282" s="275">
        <f t="array" ref="L282">IF($B282&gt;0,INDEX(DB,$B282,16),0)</f>
        <v>0</v>
      </c>
      <c r="M282" s="276">
        <f t="array" ref="M282">IF($B282&gt;0,INDEX(DB,$B282,20),0)</f>
        <v>0</v>
      </c>
      <c r="N282" s="278"/>
      <c r="O282" s="279">
        <f t="shared" si="1"/>
        <v>0</v>
      </c>
      <c r="P282" s="280"/>
      <c r="Q282" s="261" t="str">
        <f t="shared" si="2"/>
        <v>#REF!</v>
      </c>
      <c r="R282" s="281" t="str">
        <f>IF($AI282&gt;0,RANK($AI282,BoysPoints),0)</f>
        <v>#REF!</v>
      </c>
      <c r="S282" s="282" t="str">
        <f>IF($AJ282&gt;0,RANK($AJ282,GirlsPoints),0)</f>
        <v>#REF!</v>
      </c>
      <c r="T282" s="283">
        <f>IF($O282&gt;0,RANK(O282,AthletePoints),0)</f>
        <v>0</v>
      </c>
      <c r="U282" s="210"/>
      <c r="V282" s="415" t="str">
        <f>IF(O282&gt;=40,IF(X282="M",VLOOKUP(O282,UKABoysAwards,2),IF(X282="F",VLOOKUP(O282,UKAGirlsAwards,2),"")),"")</f>
        <v/>
      </c>
      <c r="W282" s="210"/>
      <c r="X282" s="266" t="str">
        <f t="array" ref="X282:X283">INDEX(DB,$B282,4)</f>
        <v>#REF!</v>
      </c>
      <c r="Y282" s="210"/>
      <c r="Z282" s="285" t="str">
        <f t="shared" si="3"/>
        <v>#REF!</v>
      </c>
      <c r="AA282" s="286" t="str">
        <f>IF($Z282&gt;=1,RANK($Z282,$Z277:$Z292),0)</f>
        <v>#REF!</v>
      </c>
      <c r="AB282" s="287" t="str">
        <f>IF(AA282&lt;=MaxS,INT(Z282),0)</f>
        <v>#REF!</v>
      </c>
      <c r="AC282" s="210"/>
      <c r="AD282" s="285" t="str">
        <f t="shared" si="4"/>
        <v>#REF!</v>
      </c>
      <c r="AE282" s="286" t="str">
        <f>IF($AD282&gt;=1,RANK($AD282,$AD277:$AD292),0)</f>
        <v>#REF!</v>
      </c>
      <c r="AF282" s="287" t="str">
        <f>IF(AE282&lt;=MaxS,INT(AD282),0)</f>
        <v>#REF!</v>
      </c>
      <c r="AG282" s="210"/>
      <c r="AH282" s="210"/>
      <c r="AI282" s="288" t="str">
        <f t="shared" si="5"/>
        <v>#REF!</v>
      </c>
      <c r="AJ282" s="289" t="str">
        <f t="shared" si="6"/>
        <v>#REF!</v>
      </c>
    </row>
    <row r="283" ht="15.0" customHeight="1">
      <c r="A283" s="272"/>
      <c r="B283" s="250">
        <f>IF(OR(ISNA(MATCH(C283&amp;"",AthleteNumbers,0)),ISBLANK(C283)),0,MATCH(C283&amp;"",AthleteNumbers,0))</f>
        <v>0</v>
      </c>
      <c r="C283" s="413"/>
      <c r="D283" s="273" t="str">
        <f t="array" ref="D283">IF($B283&gt;0,INDEX(DB,$B283,8),"")</f>
        <v/>
      </c>
      <c r="E283" s="274" t="str">
        <f t="array" ref="E283">IF($B283&gt;0,INDEX(DB,$B283,3),"")</f>
        <v/>
      </c>
      <c r="F283" s="275">
        <f t="array" ref="F283">IF($B283&gt;0,INDEX(DB,$B283,13),0)</f>
        <v>0</v>
      </c>
      <c r="G283" s="276">
        <f t="array" ref="G283">IF($B283&gt;0,INDEX(DB,$B283,17),0)</f>
        <v>0</v>
      </c>
      <c r="H283" s="277">
        <f t="array" ref="H283">IF($B283&gt;0,INDEX(DB,$B283,15),0)</f>
        <v>0</v>
      </c>
      <c r="I283" s="276">
        <f t="array" ref="I283">IF($B283&gt;0,INDEX(DB,$B283,19),0)</f>
        <v>0</v>
      </c>
      <c r="J283" s="277">
        <f t="array" ref="J283">IF($B283&gt;0,INDEX(DB,$B283,14),0)</f>
        <v>0</v>
      </c>
      <c r="K283" s="276">
        <f t="array" ref="K283">IF($B283&gt;0,INDEX(DB,$B283,18),0)</f>
        <v>0</v>
      </c>
      <c r="L283" s="275">
        <f t="array" ref="L283">IF($B283&gt;0,INDEX(DB,$B283,16),0)</f>
        <v>0</v>
      </c>
      <c r="M283" s="276">
        <f t="array" ref="M283">IF($B283&gt;0,INDEX(DB,$B283,20),0)</f>
        <v>0</v>
      </c>
      <c r="N283" s="278"/>
      <c r="O283" s="279">
        <f t="shared" si="1"/>
        <v>0</v>
      </c>
      <c r="P283" s="280"/>
      <c r="Q283" s="261" t="str">
        <f t="shared" si="2"/>
        <v>#REF!</v>
      </c>
      <c r="R283" s="290" t="str">
        <f>IF($AI283&gt;0,RANK($AI283,BoysPoints),0)</f>
        <v>#REF!</v>
      </c>
      <c r="S283" s="291" t="str">
        <f>IF($AJ283&gt;0,RANK($AJ283,GirlsPoints),0)</f>
        <v>#REF!</v>
      </c>
      <c r="T283" s="292">
        <f>IF($O283&gt;0,RANK(O283,AthletePoints),0)</f>
        <v>0</v>
      </c>
      <c r="U283" s="210"/>
      <c r="V283" s="330" t="str">
        <f>IF(O283&gt;=40,IF(X283="M",VLOOKUP(O283,UKABoysAwards,2),IF(X283="F",VLOOKUP(O283,UKAGirlsAwards,2),"")),"")</f>
        <v/>
      </c>
      <c r="W283" s="210"/>
      <c r="X283" s="266" t="str">
        <f t="array" ref="X283:X284">INDEX(DB,$B283,4)</f>
        <v>#REF!</v>
      </c>
      <c r="Y283" s="210"/>
      <c r="Z283" s="285" t="str">
        <f t="shared" si="3"/>
        <v>#REF!</v>
      </c>
      <c r="AA283" s="286" t="str">
        <f>IF($Z283&gt;=1,RANK($Z283,$Z277:$Z292),0)</f>
        <v>#REF!</v>
      </c>
      <c r="AB283" s="287" t="str">
        <f>IF(AA283&lt;=MaxS,INT(Z283),0)</f>
        <v>#REF!</v>
      </c>
      <c r="AC283" s="210"/>
      <c r="AD283" s="285" t="str">
        <f t="shared" si="4"/>
        <v>#REF!</v>
      </c>
      <c r="AE283" s="286" t="str">
        <f>IF($AD283&gt;=1,RANK($AD283,$AD277:$AD292),0)</f>
        <v>#REF!</v>
      </c>
      <c r="AF283" s="287" t="str">
        <f>IF(AE283&lt;=MaxS,INT(AD283),0)</f>
        <v>#REF!</v>
      </c>
      <c r="AG283" s="210"/>
      <c r="AH283" s="210"/>
      <c r="AI283" s="288" t="str">
        <f t="shared" si="5"/>
        <v>#REF!</v>
      </c>
      <c r="AJ283" s="289" t="str">
        <f t="shared" si="6"/>
        <v>#REF!</v>
      </c>
    </row>
    <row r="284" ht="15.0" customHeight="1">
      <c r="A284" s="272"/>
      <c r="B284" s="250">
        <f>IF(OR(ISNA(MATCH(C284&amp;"",AthleteNumbers,0)),ISBLANK(C284)),0,MATCH(C284&amp;"",AthleteNumbers,0))</f>
        <v>0</v>
      </c>
      <c r="C284" s="413"/>
      <c r="D284" s="273" t="str">
        <f t="array" ref="D284">IF($B284&gt;0,INDEX(DB,$B284,8),"")</f>
        <v/>
      </c>
      <c r="E284" s="274" t="str">
        <f t="array" ref="E284">IF($B284&gt;0,INDEX(DB,$B284,3),"")</f>
        <v/>
      </c>
      <c r="F284" s="275">
        <f t="array" ref="F284">IF($B284&gt;0,INDEX(DB,$B284,13),0)</f>
        <v>0</v>
      </c>
      <c r="G284" s="276">
        <f t="array" ref="G284">IF($B284&gt;0,INDEX(DB,$B284,17),0)</f>
        <v>0</v>
      </c>
      <c r="H284" s="277">
        <f t="array" ref="H284">IF($B284&gt;0,INDEX(DB,$B284,15),0)</f>
        <v>0</v>
      </c>
      <c r="I284" s="276">
        <f t="array" ref="I284">IF($B284&gt;0,INDEX(DB,$B284,19),0)</f>
        <v>0</v>
      </c>
      <c r="J284" s="277">
        <f t="array" ref="J284">IF($B284&gt;0,INDEX(DB,$B284,14),0)</f>
        <v>0</v>
      </c>
      <c r="K284" s="276">
        <f t="array" ref="K284">IF($B284&gt;0,INDEX(DB,$B284,18),0)</f>
        <v>0</v>
      </c>
      <c r="L284" s="275">
        <f t="array" ref="L284">IF($B284&gt;0,INDEX(DB,$B284,16),0)</f>
        <v>0</v>
      </c>
      <c r="M284" s="276">
        <f t="array" ref="M284">IF($B284&gt;0,INDEX(DB,$B284,20),0)</f>
        <v>0</v>
      </c>
      <c r="N284" s="278"/>
      <c r="O284" s="279">
        <f t="shared" si="1"/>
        <v>0</v>
      </c>
      <c r="P284" s="280"/>
      <c r="Q284" s="261" t="str">
        <f t="shared" si="2"/>
        <v>#REF!</v>
      </c>
      <c r="R284" s="281" t="str">
        <f>IF($AI284&gt;0,RANK($AI284,BoysPoints),0)</f>
        <v>#REF!</v>
      </c>
      <c r="S284" s="282" t="str">
        <f>IF($AJ284&gt;0,RANK($AJ284,GirlsPoints),0)</f>
        <v>#REF!</v>
      </c>
      <c r="T284" s="283">
        <f>IF($O284&gt;0,RANK(O284,AthletePoints),0)</f>
        <v>0</v>
      </c>
      <c r="U284" s="210"/>
      <c r="V284" s="415" t="str">
        <f>IF(O284&gt;=40,IF(X284="M",VLOOKUP(O284,UKABoysAwards,2),IF(X284="F",VLOOKUP(O284,UKAGirlsAwards,2),"")),"")</f>
        <v/>
      </c>
      <c r="W284" s="210"/>
      <c r="X284" s="266" t="str">
        <f t="array" ref="X284:X285">INDEX(DB,$B284,4)</f>
        <v>#REF!</v>
      </c>
      <c r="Y284" s="210"/>
      <c r="Z284" s="285" t="str">
        <f t="shared" si="3"/>
        <v>#REF!</v>
      </c>
      <c r="AA284" s="286" t="str">
        <f>IF($Z284&gt;=1,RANK($Z284,$Z277:$Z292),0)</f>
        <v>#REF!</v>
      </c>
      <c r="AB284" s="287" t="str">
        <f>IF(AA284&lt;=MaxS,INT(Z284),0)</f>
        <v>#REF!</v>
      </c>
      <c r="AC284" s="210"/>
      <c r="AD284" s="285" t="str">
        <f t="shared" si="4"/>
        <v>#REF!</v>
      </c>
      <c r="AE284" s="286" t="str">
        <f>IF($AD284&gt;=1,RANK($AD284,$AD277:$AD292),0)</f>
        <v>#REF!</v>
      </c>
      <c r="AF284" s="287" t="str">
        <f>IF(AE284&lt;=MaxS,INT(AD284),0)</f>
        <v>#REF!</v>
      </c>
      <c r="AG284" s="210"/>
      <c r="AH284" s="210"/>
      <c r="AI284" s="288" t="str">
        <f t="shared" si="5"/>
        <v>#REF!</v>
      </c>
      <c r="AJ284" s="289" t="str">
        <f t="shared" si="6"/>
        <v>#REF!</v>
      </c>
    </row>
    <row r="285" ht="15.0" customHeight="1">
      <c r="A285" s="272"/>
      <c r="B285" s="250">
        <f>IF(OR(ISNA(MATCH(C285&amp;"",AthleteNumbers,0)),ISBLANK(C285)),0,MATCH(C285&amp;"",AthleteNumbers,0))</f>
        <v>0</v>
      </c>
      <c r="C285" s="413"/>
      <c r="D285" s="273" t="str">
        <f t="array" ref="D285">IF($B285&gt;0,INDEX(DB,$B285,8),"")</f>
        <v/>
      </c>
      <c r="E285" s="274" t="str">
        <f t="array" ref="E285">IF($B285&gt;0,INDEX(DB,$B285,3),"")</f>
        <v/>
      </c>
      <c r="F285" s="275">
        <f t="array" ref="F285">IF($B285&gt;0,INDEX(DB,$B285,13),0)</f>
        <v>0</v>
      </c>
      <c r="G285" s="276">
        <f t="array" ref="G285">IF($B285&gt;0,INDEX(DB,$B285,17),0)</f>
        <v>0</v>
      </c>
      <c r="H285" s="277">
        <f t="array" ref="H285">IF($B285&gt;0,INDEX(DB,$B285,15),0)</f>
        <v>0</v>
      </c>
      <c r="I285" s="276">
        <f t="array" ref="I285">IF($B285&gt;0,INDEX(DB,$B285,19),0)</f>
        <v>0</v>
      </c>
      <c r="J285" s="277">
        <f t="array" ref="J285">IF($B285&gt;0,INDEX(DB,$B285,14),0)</f>
        <v>0</v>
      </c>
      <c r="K285" s="276">
        <f t="array" ref="K285">IF($B285&gt;0,INDEX(DB,$B285,18),0)</f>
        <v>0</v>
      </c>
      <c r="L285" s="275">
        <f t="array" ref="L285">IF($B285&gt;0,INDEX(DB,$B285,16),0)</f>
        <v>0</v>
      </c>
      <c r="M285" s="276">
        <f t="array" ref="M285">IF($B285&gt;0,INDEX(DB,$B285,20),0)</f>
        <v>0</v>
      </c>
      <c r="N285" s="278"/>
      <c r="O285" s="279">
        <f t="shared" si="1"/>
        <v>0</v>
      </c>
      <c r="P285" s="280"/>
      <c r="Q285" s="261" t="str">
        <f t="shared" si="2"/>
        <v>#REF!</v>
      </c>
      <c r="R285" s="290" t="str">
        <f>IF($AI285&gt;0,RANK($AI285,BoysPoints),0)</f>
        <v>#REF!</v>
      </c>
      <c r="S285" s="291" t="str">
        <f>IF($AJ285&gt;0,RANK($AJ285,GirlsPoints),0)</f>
        <v>#REF!</v>
      </c>
      <c r="T285" s="292">
        <f>IF($O285&gt;0,RANK(O285,AthletePoints),0)</f>
        <v>0</v>
      </c>
      <c r="U285" s="210"/>
      <c r="V285" s="330" t="str">
        <f>IF(O285&gt;=40,IF(X285="M",VLOOKUP(O285,UKABoysAwards,2),IF(X285="F",VLOOKUP(O285,UKAGirlsAwards,2),"")),"")</f>
        <v/>
      </c>
      <c r="W285" s="210"/>
      <c r="X285" s="266" t="str">
        <f t="array" ref="X285:X286">INDEX(DB,$B285,4)</f>
        <v>#REF!</v>
      </c>
      <c r="Y285" s="210"/>
      <c r="Z285" s="285" t="str">
        <f t="shared" si="3"/>
        <v>#REF!</v>
      </c>
      <c r="AA285" s="286" t="str">
        <f>IF($Z285&gt;=1,RANK($Z285,$Z277:$Z292),0)</f>
        <v>#REF!</v>
      </c>
      <c r="AB285" s="287" t="str">
        <f>IF(AA285&lt;=MaxS,INT(Z285),0)</f>
        <v>#REF!</v>
      </c>
      <c r="AC285" s="210"/>
      <c r="AD285" s="285" t="str">
        <f t="shared" si="4"/>
        <v>#REF!</v>
      </c>
      <c r="AE285" s="286" t="str">
        <f>IF($AD285&gt;=1,RANK($AD285,$AD277:$AD292),0)</f>
        <v>#REF!</v>
      </c>
      <c r="AF285" s="287" t="str">
        <f>IF(AE285&lt;=MaxS,INT(AD285),0)</f>
        <v>#REF!</v>
      </c>
      <c r="AG285" s="210"/>
      <c r="AH285" s="210"/>
      <c r="AI285" s="288" t="str">
        <f t="shared" si="5"/>
        <v>#REF!</v>
      </c>
      <c r="AJ285" s="289" t="str">
        <f t="shared" si="6"/>
        <v>#REF!</v>
      </c>
    </row>
    <row r="286" ht="15.0" customHeight="1">
      <c r="A286" s="272"/>
      <c r="B286" s="250">
        <f>IF(OR(ISNA(MATCH(C286&amp;"",AthleteNumbers,0)),ISBLANK(C286)),0,MATCH(C286&amp;"",AthleteNumbers,0))</f>
        <v>0</v>
      </c>
      <c r="C286" s="413"/>
      <c r="D286" s="273" t="str">
        <f t="array" ref="D286">IF($B286&gt;0,INDEX(DB,$B286,8),"")</f>
        <v/>
      </c>
      <c r="E286" s="274" t="str">
        <f t="array" ref="E286">IF($B286&gt;0,INDEX(DB,$B286,3),"")</f>
        <v/>
      </c>
      <c r="F286" s="275">
        <f t="array" ref="F286">IF($B286&gt;0,INDEX(DB,$B286,13),0)</f>
        <v>0</v>
      </c>
      <c r="G286" s="276">
        <f t="array" ref="G286">IF($B286&gt;0,INDEX(DB,$B286,17),0)</f>
        <v>0</v>
      </c>
      <c r="H286" s="277">
        <f t="array" ref="H286">IF($B286&gt;0,INDEX(DB,$B286,15),0)</f>
        <v>0</v>
      </c>
      <c r="I286" s="276">
        <f t="array" ref="I286">IF($B286&gt;0,INDEX(DB,$B286,19),0)</f>
        <v>0</v>
      </c>
      <c r="J286" s="277">
        <f t="array" ref="J286">IF($B286&gt;0,INDEX(DB,$B286,14),0)</f>
        <v>0</v>
      </c>
      <c r="K286" s="276">
        <f t="array" ref="K286">IF($B286&gt;0,INDEX(DB,$B286,18),0)</f>
        <v>0</v>
      </c>
      <c r="L286" s="275">
        <f t="array" ref="L286">IF($B286&gt;0,INDEX(DB,$B286,16),0)</f>
        <v>0</v>
      </c>
      <c r="M286" s="276">
        <f t="array" ref="M286">IF($B286&gt;0,INDEX(DB,$B286,20),0)</f>
        <v>0</v>
      </c>
      <c r="N286" s="278"/>
      <c r="O286" s="279">
        <f t="shared" si="1"/>
        <v>0</v>
      </c>
      <c r="P286" s="280"/>
      <c r="Q286" s="261" t="str">
        <f t="shared" si="2"/>
        <v>#REF!</v>
      </c>
      <c r="R286" s="281" t="str">
        <f>IF($AI286&gt;0,RANK($AI286,BoysPoints),0)</f>
        <v>#REF!</v>
      </c>
      <c r="S286" s="282" t="str">
        <f>IF($AJ286&gt;0,RANK($AJ286,GirlsPoints),0)</f>
        <v>#REF!</v>
      </c>
      <c r="T286" s="283">
        <f>IF($O286&gt;0,RANK(O286,AthletePoints),0)</f>
        <v>0</v>
      </c>
      <c r="U286" s="210"/>
      <c r="V286" s="415" t="str">
        <f>IF(O286&gt;=40,IF(X286="M",VLOOKUP(O286,UKABoysAwards,2),IF(X286="F",VLOOKUP(O286,UKAGirlsAwards,2),"")),"")</f>
        <v/>
      </c>
      <c r="W286" s="210"/>
      <c r="X286" s="266" t="str">
        <f t="array" ref="X286:X287">INDEX(DB,$B286,4)</f>
        <v>#REF!</v>
      </c>
      <c r="Y286" s="210"/>
      <c r="Z286" s="285" t="str">
        <f t="shared" si="3"/>
        <v>#REF!</v>
      </c>
      <c r="AA286" s="286" t="str">
        <f>IF($Z286&gt;=1,RANK($Z286,$Z277:$Z292),0)</f>
        <v>#REF!</v>
      </c>
      <c r="AB286" s="287" t="str">
        <f>IF(AA286&lt;=MaxS,INT(Z286),0)</f>
        <v>#REF!</v>
      </c>
      <c r="AC286" s="210"/>
      <c r="AD286" s="285" t="str">
        <f t="shared" si="4"/>
        <v>#REF!</v>
      </c>
      <c r="AE286" s="286" t="str">
        <f>IF($AD286&gt;=1,RANK($AD286,$AD277:$AD292),0)</f>
        <v>#REF!</v>
      </c>
      <c r="AF286" s="287" t="str">
        <f>IF(AE286&lt;=MaxS,INT(AD286),0)</f>
        <v>#REF!</v>
      </c>
      <c r="AG286" s="210"/>
      <c r="AH286" s="210"/>
      <c r="AI286" s="288" t="str">
        <f t="shared" si="5"/>
        <v>#REF!</v>
      </c>
      <c r="AJ286" s="289" t="str">
        <f t="shared" si="6"/>
        <v>#REF!</v>
      </c>
    </row>
    <row r="287" ht="15.0" customHeight="1">
      <c r="A287" s="272"/>
      <c r="B287" s="250">
        <f>IF(OR(ISNA(MATCH(C287&amp;"",AthleteNumbers,0)),ISBLANK(C287)),0,MATCH(C287&amp;"",AthleteNumbers,0))</f>
        <v>0</v>
      </c>
      <c r="C287" s="413"/>
      <c r="D287" s="273" t="str">
        <f t="array" ref="D287">IF($B287&gt;0,INDEX(DB,$B287,8),"")</f>
        <v/>
      </c>
      <c r="E287" s="274" t="str">
        <f t="array" ref="E287">IF($B287&gt;0,INDEX(DB,$B287,3),"")</f>
        <v/>
      </c>
      <c r="F287" s="275">
        <f t="array" ref="F287">IF($B287&gt;0,INDEX(DB,$B287,13),0)</f>
        <v>0</v>
      </c>
      <c r="G287" s="276">
        <f t="array" ref="G287">IF($B287&gt;0,INDEX(DB,$B287,17),0)</f>
        <v>0</v>
      </c>
      <c r="H287" s="277">
        <f t="array" ref="H287">IF($B287&gt;0,INDEX(DB,$B287,15),0)</f>
        <v>0</v>
      </c>
      <c r="I287" s="276">
        <f t="array" ref="I287">IF($B287&gt;0,INDEX(DB,$B287,19),0)</f>
        <v>0</v>
      </c>
      <c r="J287" s="277">
        <f t="array" ref="J287">IF($B287&gt;0,INDEX(DB,$B287,14),0)</f>
        <v>0</v>
      </c>
      <c r="K287" s="276">
        <f t="array" ref="K287">IF($B287&gt;0,INDEX(DB,$B287,18),0)</f>
        <v>0</v>
      </c>
      <c r="L287" s="275">
        <f t="array" ref="L287">IF($B287&gt;0,INDEX(DB,$B287,16),0)</f>
        <v>0</v>
      </c>
      <c r="M287" s="276">
        <f t="array" ref="M287">IF($B287&gt;0,INDEX(DB,$B287,20),0)</f>
        <v>0</v>
      </c>
      <c r="N287" s="278"/>
      <c r="O287" s="279">
        <f t="shared" si="1"/>
        <v>0</v>
      </c>
      <c r="P287" s="280"/>
      <c r="Q287" s="261" t="str">
        <f t="shared" si="2"/>
        <v>#REF!</v>
      </c>
      <c r="R287" s="290" t="str">
        <f>IF($AI287&gt;0,RANK($AI287,BoysPoints),0)</f>
        <v>#REF!</v>
      </c>
      <c r="S287" s="291" t="str">
        <f>IF($AJ287&gt;0,RANK($AJ287,GirlsPoints),0)</f>
        <v>#REF!</v>
      </c>
      <c r="T287" s="292">
        <f>IF($O287&gt;0,RANK(O287,AthletePoints),0)</f>
        <v>0</v>
      </c>
      <c r="U287" s="210"/>
      <c r="V287" s="330" t="str">
        <f>IF(O287&gt;=40,IF(X287="M",VLOOKUP(O287,UKABoysAwards,2),IF(X287="F",VLOOKUP(O287,UKAGirlsAwards,2),"")),"")</f>
        <v/>
      </c>
      <c r="W287" s="210"/>
      <c r="X287" s="266" t="str">
        <f t="array" ref="X287:X288">INDEX(DB,$B287,4)</f>
        <v>#REF!</v>
      </c>
      <c r="Y287" s="210"/>
      <c r="Z287" s="285" t="str">
        <f t="shared" si="3"/>
        <v>#REF!</v>
      </c>
      <c r="AA287" s="286" t="str">
        <f>IF($Z287&gt;=1,RANK($Z287,$Z277:$Z292),0)</f>
        <v>#REF!</v>
      </c>
      <c r="AB287" s="287" t="str">
        <f>IF(AA287&lt;=MaxS,INT(Z287),0)</f>
        <v>#REF!</v>
      </c>
      <c r="AC287" s="210"/>
      <c r="AD287" s="285" t="str">
        <f t="shared" si="4"/>
        <v>#REF!</v>
      </c>
      <c r="AE287" s="286" t="str">
        <f>IF($AD287&gt;=1,RANK($AD287,$AD277:$AD292),0)</f>
        <v>#REF!</v>
      </c>
      <c r="AF287" s="287" t="str">
        <f>IF(AE287&lt;=MaxS,INT(AD287),0)</f>
        <v>#REF!</v>
      </c>
      <c r="AG287" s="210"/>
      <c r="AH287" s="210"/>
      <c r="AI287" s="288" t="str">
        <f t="shared" si="5"/>
        <v>#REF!</v>
      </c>
      <c r="AJ287" s="289" t="str">
        <f t="shared" si="6"/>
        <v>#REF!</v>
      </c>
    </row>
    <row r="288" ht="15.0" customHeight="1">
      <c r="A288" s="272"/>
      <c r="B288" s="250">
        <f>IF(OR(ISNA(MATCH(C288&amp;"",AthleteNumbers,0)),ISBLANK(C288)),0,MATCH(C288&amp;"",AthleteNumbers,0))</f>
        <v>0</v>
      </c>
      <c r="C288" s="413"/>
      <c r="D288" s="273" t="str">
        <f t="array" ref="D288">IF($B288&gt;0,INDEX(DB,$B288,8),"")</f>
        <v/>
      </c>
      <c r="E288" s="274" t="str">
        <f t="array" ref="E288">IF($B288&gt;0,INDEX(DB,$B288,3),"")</f>
        <v/>
      </c>
      <c r="F288" s="275">
        <f t="array" ref="F288">IF($B288&gt;0,INDEX(DB,$B288,13),0)</f>
        <v>0</v>
      </c>
      <c r="G288" s="276">
        <f t="array" ref="G288">IF($B288&gt;0,INDEX(DB,$B288,17),0)</f>
        <v>0</v>
      </c>
      <c r="H288" s="277">
        <f t="array" ref="H288">IF($B288&gt;0,INDEX(DB,$B288,15),0)</f>
        <v>0</v>
      </c>
      <c r="I288" s="276">
        <f t="array" ref="I288">IF($B288&gt;0,INDEX(DB,$B288,19),0)</f>
        <v>0</v>
      </c>
      <c r="J288" s="277">
        <f t="array" ref="J288">IF($B288&gt;0,INDEX(DB,$B288,14),0)</f>
        <v>0</v>
      </c>
      <c r="K288" s="276">
        <f t="array" ref="K288">IF($B288&gt;0,INDEX(DB,$B288,18),0)</f>
        <v>0</v>
      </c>
      <c r="L288" s="275">
        <f t="array" ref="L288">IF($B288&gt;0,INDEX(DB,$B288,16),0)</f>
        <v>0</v>
      </c>
      <c r="M288" s="276">
        <f t="array" ref="M288">IF($B288&gt;0,INDEX(DB,$B288,20),0)</f>
        <v>0</v>
      </c>
      <c r="N288" s="278"/>
      <c r="O288" s="279">
        <f t="shared" si="1"/>
        <v>0</v>
      </c>
      <c r="P288" s="280"/>
      <c r="Q288" s="261" t="str">
        <f t="shared" si="2"/>
        <v>#REF!</v>
      </c>
      <c r="R288" s="281" t="str">
        <f>IF($AI288&gt;0,RANK($AI288,BoysPoints),0)</f>
        <v>#REF!</v>
      </c>
      <c r="S288" s="282" t="str">
        <f>IF($AJ288&gt;0,RANK($AJ288,GirlsPoints),0)</f>
        <v>#REF!</v>
      </c>
      <c r="T288" s="283">
        <f>IF($O288&gt;0,RANK(O288,AthletePoints),0)</f>
        <v>0</v>
      </c>
      <c r="U288" s="210"/>
      <c r="V288" s="415" t="str">
        <f>IF(O288&gt;=40,IF(X288="M",VLOOKUP(O288,UKABoysAwards,2),IF(X288="F",VLOOKUP(O288,UKAGirlsAwards,2),"")),"")</f>
        <v/>
      </c>
      <c r="W288" s="210"/>
      <c r="X288" s="266" t="str">
        <f t="array" ref="X288:X289">INDEX(DB,$B288,4)</f>
        <v>#REF!</v>
      </c>
      <c r="Y288" s="210"/>
      <c r="Z288" s="285" t="str">
        <f t="shared" si="3"/>
        <v>#REF!</v>
      </c>
      <c r="AA288" s="286" t="str">
        <f>IF($Z288&gt;=1,RANK($Z288,$Z277:$Z292),0)</f>
        <v>#REF!</v>
      </c>
      <c r="AB288" s="287" t="str">
        <f>IF(AA288&lt;=MaxS,INT(Z288),0)</f>
        <v>#REF!</v>
      </c>
      <c r="AC288" s="210"/>
      <c r="AD288" s="285" t="str">
        <f t="shared" si="4"/>
        <v>#REF!</v>
      </c>
      <c r="AE288" s="286" t="str">
        <f>IF($AD288&gt;=1,RANK($AD288,$AD277:$AD292),0)</f>
        <v>#REF!</v>
      </c>
      <c r="AF288" s="287" t="str">
        <f>IF(AE288&lt;=MaxS,INT(AD288),0)</f>
        <v>#REF!</v>
      </c>
      <c r="AG288" s="210"/>
      <c r="AH288" s="210"/>
      <c r="AI288" s="288" t="str">
        <f t="shared" si="5"/>
        <v>#REF!</v>
      </c>
      <c r="AJ288" s="289" t="str">
        <f t="shared" si="6"/>
        <v>#REF!</v>
      </c>
    </row>
    <row r="289" ht="15.0" customHeight="1">
      <c r="A289" s="272"/>
      <c r="B289" s="250">
        <f>IF(OR(ISNA(MATCH(C289&amp;"",AthleteNumbers,0)),ISBLANK(C289)),0,MATCH(C289&amp;"",AthleteNumbers,0))</f>
        <v>0</v>
      </c>
      <c r="C289" s="413"/>
      <c r="D289" s="273" t="str">
        <f t="array" ref="D289">IF($B289&gt;0,INDEX(DB,$B289,8),"")</f>
        <v/>
      </c>
      <c r="E289" s="274" t="str">
        <f t="array" ref="E289">IF($B289&gt;0,INDEX(DB,$B289,3),"")</f>
        <v/>
      </c>
      <c r="F289" s="275">
        <f t="array" ref="F289">IF($B289&gt;0,INDEX(DB,$B289,13),0)</f>
        <v>0</v>
      </c>
      <c r="G289" s="276">
        <f t="array" ref="G289">IF($B289&gt;0,INDEX(DB,$B289,17),0)</f>
        <v>0</v>
      </c>
      <c r="H289" s="277">
        <f t="array" ref="H289">IF($B289&gt;0,INDEX(DB,$B289,15),0)</f>
        <v>0</v>
      </c>
      <c r="I289" s="276">
        <f t="array" ref="I289">IF($B289&gt;0,INDEX(DB,$B289,19),0)</f>
        <v>0</v>
      </c>
      <c r="J289" s="277">
        <f t="array" ref="J289">IF($B289&gt;0,INDEX(DB,$B289,14),0)</f>
        <v>0</v>
      </c>
      <c r="K289" s="276">
        <f t="array" ref="K289">IF($B289&gt;0,INDEX(DB,$B289,18),0)</f>
        <v>0</v>
      </c>
      <c r="L289" s="275">
        <f t="array" ref="L289">IF($B289&gt;0,INDEX(DB,$B289,16),0)</f>
        <v>0</v>
      </c>
      <c r="M289" s="276">
        <f t="array" ref="M289">IF($B289&gt;0,INDEX(DB,$B289,20),0)</f>
        <v>0</v>
      </c>
      <c r="N289" s="278"/>
      <c r="O289" s="279">
        <f t="shared" si="1"/>
        <v>0</v>
      </c>
      <c r="P289" s="280"/>
      <c r="Q289" s="261" t="str">
        <f t="shared" si="2"/>
        <v>#REF!</v>
      </c>
      <c r="R289" s="290" t="str">
        <f>IF($AI289&gt;0,RANK($AI289,BoysPoints),0)</f>
        <v>#REF!</v>
      </c>
      <c r="S289" s="291" t="str">
        <f>IF($AJ289&gt;0,RANK($AJ289,GirlsPoints),0)</f>
        <v>#REF!</v>
      </c>
      <c r="T289" s="292">
        <f>IF($O289&gt;0,RANK(O289,AthletePoints),0)</f>
        <v>0</v>
      </c>
      <c r="U289" s="210"/>
      <c r="V289" s="330" t="str">
        <f>IF(O289&gt;=40,IF(X289="M",VLOOKUP(O289,UKABoysAwards,2),IF(X289="F",VLOOKUP(O289,UKAGirlsAwards,2),"")),"")</f>
        <v/>
      </c>
      <c r="W289" s="210"/>
      <c r="X289" s="266" t="str">
        <f t="array" ref="X289:X290">INDEX(DB,$B289,4)</f>
        <v>#REF!</v>
      </c>
      <c r="Y289" s="210"/>
      <c r="Z289" s="285" t="str">
        <f t="shared" si="3"/>
        <v>#REF!</v>
      </c>
      <c r="AA289" s="286" t="str">
        <f>IF($Z289&gt;=1,RANK($Z289,$Z277:$Z292),0)</f>
        <v>#REF!</v>
      </c>
      <c r="AB289" s="287" t="str">
        <f>IF(AA289&lt;=MaxS,INT(Z289),0)</f>
        <v>#REF!</v>
      </c>
      <c r="AC289" s="210"/>
      <c r="AD289" s="285" t="str">
        <f t="shared" si="4"/>
        <v>#REF!</v>
      </c>
      <c r="AE289" s="286" t="str">
        <f>IF($AD289&gt;=1,RANK($AD289,$AD277:$AD292),0)</f>
        <v>#REF!</v>
      </c>
      <c r="AF289" s="287" t="str">
        <f>IF(AE289&lt;=MaxS,INT(AD289),0)</f>
        <v>#REF!</v>
      </c>
      <c r="AG289" s="210"/>
      <c r="AH289" s="210"/>
      <c r="AI289" s="288" t="str">
        <f t="shared" si="5"/>
        <v>#REF!</v>
      </c>
      <c r="AJ289" s="289" t="str">
        <f t="shared" si="6"/>
        <v>#REF!</v>
      </c>
    </row>
    <row r="290" ht="15.0" customHeight="1">
      <c r="A290" s="272"/>
      <c r="B290" s="250">
        <f>IF(OR(ISNA(MATCH(C290&amp;"",AthleteNumbers,0)),ISBLANK(C290)),0,MATCH(C290&amp;"",AthleteNumbers,0))</f>
        <v>0</v>
      </c>
      <c r="C290" s="413"/>
      <c r="D290" s="273" t="str">
        <f t="array" ref="D290">IF($B290&gt;0,INDEX(DB,$B290,8),"")</f>
        <v/>
      </c>
      <c r="E290" s="274" t="str">
        <f t="array" ref="E290">IF($B290&gt;0,INDEX(DB,$B290,3),"")</f>
        <v/>
      </c>
      <c r="F290" s="275">
        <f t="array" ref="F290">IF($B290&gt;0,INDEX(DB,$B290,13),0)</f>
        <v>0</v>
      </c>
      <c r="G290" s="276">
        <f t="array" ref="G290">IF($B290&gt;0,INDEX(DB,$B290,17),0)</f>
        <v>0</v>
      </c>
      <c r="H290" s="277">
        <f t="array" ref="H290">IF($B290&gt;0,INDEX(DB,$B290,15),0)</f>
        <v>0</v>
      </c>
      <c r="I290" s="276">
        <f t="array" ref="I290">IF($B290&gt;0,INDEX(DB,$B290,19),0)</f>
        <v>0</v>
      </c>
      <c r="J290" s="277">
        <f t="array" ref="J290">IF($B290&gt;0,INDEX(DB,$B290,14),0)</f>
        <v>0</v>
      </c>
      <c r="K290" s="276">
        <f t="array" ref="K290">IF($B290&gt;0,INDEX(DB,$B290,18),0)</f>
        <v>0</v>
      </c>
      <c r="L290" s="275">
        <f t="array" ref="L290">IF($B290&gt;0,INDEX(DB,$B290,16),0)</f>
        <v>0</v>
      </c>
      <c r="M290" s="276">
        <f t="array" ref="M290">IF($B290&gt;0,INDEX(DB,$B290,20),0)</f>
        <v>0</v>
      </c>
      <c r="N290" s="278"/>
      <c r="O290" s="279">
        <f t="shared" si="1"/>
        <v>0</v>
      </c>
      <c r="P290" s="280"/>
      <c r="Q290" s="261" t="str">
        <f t="shared" si="2"/>
        <v>#REF!</v>
      </c>
      <c r="R290" s="281" t="str">
        <f>IF($AI290&gt;0,RANK($AI290,BoysPoints),0)</f>
        <v>#REF!</v>
      </c>
      <c r="S290" s="282" t="str">
        <f>IF($AJ290&gt;0,RANK($AJ290,GirlsPoints),0)</f>
        <v>#REF!</v>
      </c>
      <c r="T290" s="283">
        <f>IF($O290&gt;0,RANK(O290,AthletePoints),0)</f>
        <v>0</v>
      </c>
      <c r="U290" s="210"/>
      <c r="V290" s="415" t="str">
        <f>IF(O290&gt;=40,IF(X290="M",VLOOKUP(O290,UKABoysAwards,2),IF(X290="F",VLOOKUP(O290,UKAGirlsAwards,2),"")),"")</f>
        <v/>
      </c>
      <c r="W290" s="210"/>
      <c r="X290" s="266" t="str">
        <f t="array" ref="X290:X291">INDEX(DB,$B290,4)</f>
        <v>#REF!</v>
      </c>
      <c r="Y290" s="210"/>
      <c r="Z290" s="285" t="str">
        <f t="shared" si="3"/>
        <v>#REF!</v>
      </c>
      <c r="AA290" s="286" t="str">
        <f>IF($Z290&gt;=1,RANK($Z290,$Z277:$Z292),0)</f>
        <v>#REF!</v>
      </c>
      <c r="AB290" s="287" t="str">
        <f>IF(AA290&lt;=MaxS,INT(Z290),0)</f>
        <v>#REF!</v>
      </c>
      <c r="AC290" s="210"/>
      <c r="AD290" s="285" t="str">
        <f t="shared" si="4"/>
        <v>#REF!</v>
      </c>
      <c r="AE290" s="286" t="str">
        <f>IF($AD290&gt;=1,RANK($AD290,$AD277:$AD292),0)</f>
        <v>#REF!</v>
      </c>
      <c r="AF290" s="287" t="str">
        <f>IF(AE290&lt;=MaxS,INT(AD290),0)</f>
        <v>#REF!</v>
      </c>
      <c r="AG290" s="210"/>
      <c r="AH290" s="210"/>
      <c r="AI290" s="288" t="str">
        <f t="shared" si="5"/>
        <v>#REF!</v>
      </c>
      <c r="AJ290" s="289" t="str">
        <f t="shared" si="6"/>
        <v>#REF!</v>
      </c>
    </row>
    <row r="291" ht="15.0" customHeight="1">
      <c r="A291" s="272"/>
      <c r="B291" s="250">
        <f>IF(OR(ISNA(MATCH(C291&amp;"",AthleteNumbers,0)),ISBLANK(C291)),0,MATCH(C291&amp;"",AthleteNumbers,0))</f>
        <v>0</v>
      </c>
      <c r="C291" s="413"/>
      <c r="D291" s="273" t="str">
        <f t="array" ref="D291">IF($B291&gt;0,INDEX(DB,$B291,8),"")</f>
        <v/>
      </c>
      <c r="E291" s="274" t="str">
        <f t="array" ref="E291">IF($B291&gt;0,INDEX(DB,$B291,3),"")</f>
        <v/>
      </c>
      <c r="F291" s="275">
        <f t="array" ref="F291">IF($B291&gt;0,INDEX(DB,$B291,13),0)</f>
        <v>0</v>
      </c>
      <c r="G291" s="276">
        <f t="array" ref="G291">IF($B291&gt;0,INDEX(DB,$B291,17),0)</f>
        <v>0</v>
      </c>
      <c r="H291" s="277">
        <f t="array" ref="H291">IF($B291&gt;0,INDEX(DB,$B291,15),0)</f>
        <v>0</v>
      </c>
      <c r="I291" s="276">
        <f t="array" ref="I291">IF($B291&gt;0,INDEX(DB,$B291,19),0)</f>
        <v>0</v>
      </c>
      <c r="J291" s="277">
        <f t="array" ref="J291">IF($B291&gt;0,INDEX(DB,$B291,14),0)</f>
        <v>0</v>
      </c>
      <c r="K291" s="276">
        <f t="array" ref="K291">IF($B291&gt;0,INDEX(DB,$B291,18),0)</f>
        <v>0</v>
      </c>
      <c r="L291" s="275">
        <f t="array" ref="L291">IF($B291&gt;0,INDEX(DB,$B291,16),0)</f>
        <v>0</v>
      </c>
      <c r="M291" s="276">
        <f t="array" ref="M291">IF($B291&gt;0,INDEX(DB,$B291,20),0)</f>
        <v>0</v>
      </c>
      <c r="N291" s="278"/>
      <c r="O291" s="279">
        <f t="shared" si="1"/>
        <v>0</v>
      </c>
      <c r="P291" s="280"/>
      <c r="Q291" s="261" t="str">
        <f t="shared" si="2"/>
        <v>#REF!</v>
      </c>
      <c r="R291" s="290" t="str">
        <f>IF($AI291&gt;0,RANK($AI291,BoysPoints),0)</f>
        <v>#REF!</v>
      </c>
      <c r="S291" s="291" t="str">
        <f>IF($AJ291&gt;0,RANK($AJ291,GirlsPoints),0)</f>
        <v>#REF!</v>
      </c>
      <c r="T291" s="292">
        <f>IF($O291&gt;0,RANK(O291,AthletePoints),0)</f>
        <v>0</v>
      </c>
      <c r="U291" s="210"/>
      <c r="V291" s="330" t="str">
        <f>IF(O291&gt;=40,IF(X291="M",VLOOKUP(O291,UKABoysAwards,2),IF(X291="F",VLOOKUP(O291,UKAGirlsAwards,2),"")),"")</f>
        <v/>
      </c>
      <c r="W291" s="210"/>
      <c r="X291" s="266" t="str">
        <f t="array" ref="X291:X292">INDEX(DB,$B291,4)</f>
        <v>#REF!</v>
      </c>
      <c r="Y291" s="210"/>
      <c r="Z291" s="285" t="str">
        <f t="shared" si="3"/>
        <v>#REF!</v>
      </c>
      <c r="AA291" s="286" t="str">
        <f>IF($Z291&gt;=1,RANK($Z291,$Z277:$Z292),0)</f>
        <v>#REF!</v>
      </c>
      <c r="AB291" s="287" t="str">
        <f>IF(AA291&lt;=MaxS,INT(Z291),0)</f>
        <v>#REF!</v>
      </c>
      <c r="AC291" s="210"/>
      <c r="AD291" s="285" t="str">
        <f t="shared" si="4"/>
        <v>#REF!</v>
      </c>
      <c r="AE291" s="286" t="str">
        <f>IF($AD291&gt;=1,RANK($AD291,$AD277:$AD292),0)</f>
        <v>#REF!</v>
      </c>
      <c r="AF291" s="287" t="str">
        <f>IF(AE291&lt;=MaxS,INT(AD291),0)</f>
        <v>#REF!</v>
      </c>
      <c r="AG291" s="210"/>
      <c r="AH291" s="210"/>
      <c r="AI291" s="288" t="str">
        <f t="shared" si="5"/>
        <v>#REF!</v>
      </c>
      <c r="AJ291" s="289" t="str">
        <f t="shared" si="6"/>
        <v>#REF!</v>
      </c>
    </row>
    <row r="292" ht="15.0" customHeight="1">
      <c r="A292" s="305"/>
      <c r="B292" s="250">
        <f>IF(OR(ISNA(MATCH(C292&amp;"",AthleteNumbers,0)),ISBLANK(C292)),0,MATCH(C292&amp;"",AthleteNumbers,0))</f>
        <v>0</v>
      </c>
      <c r="C292" s="443"/>
      <c r="D292" s="306" t="str">
        <f t="array" ref="D292">IF($B292&gt;0,INDEX(DB,$B292,8),"")</f>
        <v/>
      </c>
      <c r="E292" s="307" t="str">
        <f t="array" ref="E292">IF($B292&gt;0,INDEX(DB,$B292,3),"")</f>
        <v/>
      </c>
      <c r="F292" s="308">
        <f t="array" ref="F292">IF($B292&gt;0,INDEX(DB,$B292,13),0)</f>
        <v>0</v>
      </c>
      <c r="G292" s="309">
        <f t="array" ref="G292">IF($B292&gt;0,INDEX(DB,$B292,17),0)</f>
        <v>0</v>
      </c>
      <c r="H292" s="310">
        <f t="array" ref="H292">IF($B292&gt;0,INDEX(DB,$B292,15),0)</f>
        <v>0</v>
      </c>
      <c r="I292" s="309">
        <f t="array" ref="I292">IF($B292&gt;0,INDEX(DB,$B292,19),0)</f>
        <v>0</v>
      </c>
      <c r="J292" s="310">
        <f t="array" ref="J292">IF($B292&gt;0,INDEX(DB,$B292,14),0)</f>
        <v>0</v>
      </c>
      <c r="K292" s="309">
        <f t="array" ref="K292">IF($B292&gt;0,INDEX(DB,$B292,18),0)</f>
        <v>0</v>
      </c>
      <c r="L292" s="308">
        <f t="array" ref="L292">IF($B292&gt;0,INDEX(DB,$B292,16),0)</f>
        <v>0</v>
      </c>
      <c r="M292" s="309">
        <f t="array" ref="M292">IF($B292&gt;0,INDEX(DB,$B292,20),0)</f>
        <v>0</v>
      </c>
      <c r="N292" s="25"/>
      <c r="O292" s="311">
        <f t="shared" si="1"/>
        <v>0</v>
      </c>
      <c r="P292" s="31"/>
      <c r="Q292" s="261" t="str">
        <f t="shared" si="2"/>
        <v>#REF!</v>
      </c>
      <c r="R292" s="312" t="str">
        <f>IF($AI292&gt;0,RANK($AI292,BoysPoints),0)</f>
        <v>#REF!</v>
      </c>
      <c r="S292" s="313" t="str">
        <f>IF($AJ292&gt;0,RANK($AJ292,GirlsPoints),0)</f>
        <v>#REF!</v>
      </c>
      <c r="T292" s="314">
        <f>IF($O292&gt;0,RANK(O292,AthletePoints),0)</f>
        <v>0</v>
      </c>
      <c r="U292" s="210"/>
      <c r="V292" s="444" t="str">
        <f>IF(O292&gt;=40,IF(X292="M",VLOOKUP(O292,UKABoysAwards,2),IF(X292="F",VLOOKUP(O292,UKAGirlsAwards,2),"")),"")</f>
        <v/>
      </c>
      <c r="W292" s="210"/>
      <c r="X292" s="266" t="str">
        <f t="array" ref="X292:X293">INDEX(DB,$B292,4)</f>
        <v>#REF!</v>
      </c>
      <c r="Y292" s="210"/>
      <c r="Z292" s="316" t="str">
        <f t="shared" si="3"/>
        <v>#REF!</v>
      </c>
      <c r="AA292" s="243" t="str">
        <f>IF($Z292&gt;=1,RANK($Z292,$Z277:$Z292),0)</f>
        <v>#REF!</v>
      </c>
      <c r="AB292" s="245" t="str">
        <f>IF(AA292&lt;=MaxS,INT(Z292),0)</f>
        <v>#REF!</v>
      </c>
      <c r="AC292" s="210" t="str">
        <f>SUM(AB277:AB292)</f>
        <v>#REF!</v>
      </c>
      <c r="AD292" s="316" t="str">
        <f t="shared" si="4"/>
        <v>#REF!</v>
      </c>
      <c r="AE292" s="243" t="str">
        <f>IF($AD292&gt;=1,RANK($AD292,$AD277:$AD292),0)</f>
        <v>#REF!</v>
      </c>
      <c r="AF292" s="245" t="str">
        <f>IF(AE292&lt;=MaxS,INT(AD292),0)</f>
        <v>#REF!</v>
      </c>
      <c r="AG292" s="210" t="str">
        <f>SUM(AF277:AF292)</f>
        <v>#REF!</v>
      </c>
      <c r="AH292" s="210"/>
      <c r="AI292" s="246" t="str">
        <f t="shared" si="5"/>
        <v>#REF!</v>
      </c>
      <c r="AJ292" s="247" t="str">
        <f t="shared" si="6"/>
        <v>#REF!</v>
      </c>
    </row>
    <row r="293" ht="15.0" customHeight="1">
      <c r="A293" s="248"/>
      <c r="B293" s="250">
        <f>IF(OR(ISNA(MATCH(C293&amp;"",AthleteNumbers,0)),ISBLANK(C293)),0,MATCH(C293&amp;"",AthleteNumbers,0))</f>
        <v>0</v>
      </c>
      <c r="C293" s="251"/>
      <c r="D293" s="252" t="str">
        <f t="array" ref="D293">IF($B293&gt;0,INDEX(DB,$B293,8),"")</f>
        <v/>
      </c>
      <c r="E293" s="253" t="str">
        <f t="array" ref="E293">IF($B293&gt;0,INDEX(DB,$B293,3),"")</f>
        <v/>
      </c>
      <c r="F293" s="254">
        <f t="array" ref="F293">IF($B293&gt;0,INDEX(DB,$B293,13),0)</f>
        <v>0</v>
      </c>
      <c r="G293" s="255">
        <f t="array" ref="G293">IF($B293&gt;0,INDEX(DB,$B293,17),0)</f>
        <v>0</v>
      </c>
      <c r="H293" s="257">
        <f t="array" ref="H293">IF($B293&gt;0,INDEX(DB,$B293,15),0)</f>
        <v>0</v>
      </c>
      <c r="I293" s="255">
        <f t="array" ref="I293">IF($B293&gt;0,INDEX(DB,$B293,19),0)</f>
        <v>0</v>
      </c>
      <c r="J293" s="257">
        <f t="array" ref="J293">IF($B293&gt;0,INDEX(DB,$B293,14),0)</f>
        <v>0</v>
      </c>
      <c r="K293" s="255">
        <f t="array" ref="K293">IF($B293&gt;0,INDEX(DB,$B293,18),0)</f>
        <v>0</v>
      </c>
      <c r="L293" s="254">
        <f t="array" ref="L293">IF($B293&gt;0,INDEX(DB,$B293,16),0)</f>
        <v>0</v>
      </c>
      <c r="M293" s="255">
        <f t="array" ref="M293">IF($B293&gt;0,INDEX(DB,$B293,20),0)</f>
        <v>0</v>
      </c>
      <c r="N293" s="258" t="str">
        <f t="array" ref="N293:N309">INDEX(RelayPoints,A308)</f>
        <v>#REF!</v>
      </c>
      <c r="O293" s="259">
        <f t="shared" si="1"/>
        <v>0</v>
      </c>
      <c r="P293" s="260" t="str">
        <f>+AC308+AG308+N293</f>
        <v>#REF!</v>
      </c>
      <c r="Q293" s="261" t="str">
        <f t="shared" si="2"/>
        <v>#REF!</v>
      </c>
      <c r="R293" s="262" t="str">
        <f>IF($AI293&gt;0,RANK($AI293,BoysPoints),0)</f>
        <v>#REF!</v>
      </c>
      <c r="S293" s="263" t="str">
        <f>IF($AJ293&gt;0,RANK($AJ293,GirlsPoints),0)</f>
        <v>#REF!</v>
      </c>
      <c r="T293" s="264">
        <f>IF($O293&gt;0,RANK(O293,AthletePoints),0)</f>
        <v>0</v>
      </c>
      <c r="U293" s="210"/>
      <c r="V293" s="317" t="str">
        <f>IF(O293&gt;=40,IF(X293="M",VLOOKUP(O293,UKABoysAwards,2),IF(X293="F",VLOOKUP(O293,UKAGirlsAwards,2),"")),"")</f>
        <v/>
      </c>
      <c r="W293" s="210"/>
      <c r="X293" s="266" t="str">
        <f t="array" ref="X293:X294">INDEX(DB,$B293,4)</f>
        <v>#REF!</v>
      </c>
      <c r="Y293" s="210"/>
      <c r="Z293" s="267" t="str">
        <f t="shared" si="3"/>
        <v>#REF!</v>
      </c>
      <c r="AA293" s="268" t="str">
        <f>IF($Z293&gt;=1,RANK($Z293,$Z293:$Z308),0)</f>
        <v>#REF!</v>
      </c>
      <c r="AB293" s="269" t="str">
        <f>IF(AA293&lt;=MaxS,INT(Z293),0)</f>
        <v>#REF!</v>
      </c>
      <c r="AC293" s="210"/>
      <c r="AD293" s="267" t="str">
        <f t="shared" si="4"/>
        <v>#REF!</v>
      </c>
      <c r="AE293" s="268" t="str">
        <f>IF($AD293&gt;=1,RANK($AD293,$AD293:$AD308),0)</f>
        <v>#REF!</v>
      </c>
      <c r="AF293" s="269" t="str">
        <f>IF(AE293&lt;=MaxS,INT(AD293),0)</f>
        <v>#REF!</v>
      </c>
      <c r="AG293" s="210"/>
      <c r="AH293" s="210"/>
      <c r="AI293" s="288" t="str">
        <f t="shared" si="5"/>
        <v>#REF!</v>
      </c>
      <c r="AJ293" s="289" t="str">
        <f t="shared" si="6"/>
        <v>#REF!</v>
      </c>
    </row>
    <row r="294" ht="15.0" customHeight="1">
      <c r="A294" s="272"/>
      <c r="B294" s="250">
        <f>IF(OR(ISNA(MATCH(C294&amp;"",AthleteNumbers,0)),ISBLANK(C294)),0,MATCH(C294&amp;"",AthleteNumbers,0))</f>
        <v>0</v>
      </c>
      <c r="C294" s="413"/>
      <c r="D294" s="273" t="str">
        <f t="array" ref="D294">IF($B294&gt;0,INDEX(DB,$B294,8),"")</f>
        <v/>
      </c>
      <c r="E294" s="274" t="str">
        <f t="array" ref="E294">IF($B294&gt;0,INDEX(DB,$B294,3),"")</f>
        <v/>
      </c>
      <c r="F294" s="275">
        <f t="array" ref="F294">IF($B294&gt;0,INDEX(DB,$B294,13),0)</f>
        <v>0</v>
      </c>
      <c r="G294" s="276">
        <f t="array" ref="G294">IF($B294&gt;0,INDEX(DB,$B294,17),0)</f>
        <v>0</v>
      </c>
      <c r="H294" s="277">
        <f t="array" ref="H294">IF($B294&gt;0,INDEX(DB,$B294,15),0)</f>
        <v>0</v>
      </c>
      <c r="I294" s="276">
        <f t="array" ref="I294">IF($B294&gt;0,INDEX(DB,$B294,19),0)</f>
        <v>0</v>
      </c>
      <c r="J294" s="277">
        <f t="array" ref="J294">IF($B294&gt;0,INDEX(DB,$B294,14),0)</f>
        <v>0</v>
      </c>
      <c r="K294" s="276">
        <f t="array" ref="K294">IF($B294&gt;0,INDEX(DB,$B294,18),0)</f>
        <v>0</v>
      </c>
      <c r="L294" s="275">
        <f t="array" ref="L294">IF($B294&gt;0,INDEX(DB,$B294,16),0)</f>
        <v>0</v>
      </c>
      <c r="M294" s="276">
        <f t="array" ref="M294">IF($B294&gt;0,INDEX(DB,$B294,20),0)</f>
        <v>0</v>
      </c>
      <c r="N294" s="278"/>
      <c r="O294" s="279">
        <f t="shared" si="1"/>
        <v>0</v>
      </c>
      <c r="P294" s="280"/>
      <c r="Q294" s="261" t="str">
        <f t="shared" si="2"/>
        <v>#REF!</v>
      </c>
      <c r="R294" s="281" t="str">
        <f>IF($AI294&gt;0,RANK($AI294,BoysPoints),0)</f>
        <v>#REF!</v>
      </c>
      <c r="S294" s="282" t="str">
        <f>IF($AJ294&gt;0,RANK($AJ294,GirlsPoints),0)</f>
        <v>#REF!</v>
      </c>
      <c r="T294" s="283">
        <f>IF($O294&gt;0,RANK(O294,AthletePoints),0)</f>
        <v>0</v>
      </c>
      <c r="U294" s="210"/>
      <c r="V294" s="415" t="str">
        <f>IF(O294&gt;=40,IF(X294="M",VLOOKUP(O294,UKABoysAwards,2),IF(X294="F",VLOOKUP(O294,UKAGirlsAwards,2),"")),"")</f>
        <v/>
      </c>
      <c r="W294" s="210"/>
      <c r="X294" s="266" t="str">
        <f t="array" ref="X294:X295">INDEX(DB,$B294,4)</f>
        <v>#REF!</v>
      </c>
      <c r="Y294" s="210"/>
      <c r="Z294" s="285" t="str">
        <f t="shared" si="3"/>
        <v>#REF!</v>
      </c>
      <c r="AA294" s="286" t="str">
        <f>IF($Z294&gt;=1,RANK($Z294,$Z293:$Z308),0)</f>
        <v>#REF!</v>
      </c>
      <c r="AB294" s="287" t="str">
        <f>IF(AA294&lt;=MaxS,INT(Z294),0)</f>
        <v>#REF!</v>
      </c>
      <c r="AC294" s="210"/>
      <c r="AD294" s="285" t="str">
        <f t="shared" si="4"/>
        <v>#REF!</v>
      </c>
      <c r="AE294" s="286" t="str">
        <f>IF($AD294&gt;=1,RANK($AD294,$AD293:$AD308),0)</f>
        <v>#REF!</v>
      </c>
      <c r="AF294" s="287" t="str">
        <f>IF(AE294&lt;=MaxS,INT(AD294),0)</f>
        <v>#REF!</v>
      </c>
      <c r="AG294" s="210"/>
      <c r="AH294" s="210"/>
      <c r="AI294" s="288" t="str">
        <f t="shared" si="5"/>
        <v>#REF!</v>
      </c>
      <c r="AJ294" s="289" t="str">
        <f t="shared" si="6"/>
        <v>#REF!</v>
      </c>
    </row>
    <row r="295" ht="15.0" customHeight="1">
      <c r="A295" s="272"/>
      <c r="B295" s="250">
        <f>IF(OR(ISNA(MATCH(C295&amp;"",AthleteNumbers,0)),ISBLANK(C295)),0,MATCH(C295&amp;"",AthleteNumbers,0))</f>
        <v>0</v>
      </c>
      <c r="C295" s="413"/>
      <c r="D295" s="273" t="str">
        <f t="array" ref="D295">IF($B295&gt;0,INDEX(DB,$B295,8),"")</f>
        <v/>
      </c>
      <c r="E295" s="274" t="str">
        <f t="array" ref="E295">IF($B295&gt;0,INDEX(DB,$B295,3),"")</f>
        <v/>
      </c>
      <c r="F295" s="275">
        <f t="array" ref="F295">IF($B295&gt;0,INDEX(DB,$B295,13),0)</f>
        <v>0</v>
      </c>
      <c r="G295" s="276">
        <f t="array" ref="G295">IF($B295&gt;0,INDEX(DB,$B295,17),0)</f>
        <v>0</v>
      </c>
      <c r="H295" s="277">
        <f t="array" ref="H295">IF($B295&gt;0,INDEX(DB,$B295,15),0)</f>
        <v>0</v>
      </c>
      <c r="I295" s="276">
        <f t="array" ref="I295">IF($B295&gt;0,INDEX(DB,$B295,19),0)</f>
        <v>0</v>
      </c>
      <c r="J295" s="277">
        <f t="array" ref="J295">IF($B295&gt;0,INDEX(DB,$B295,14),0)</f>
        <v>0</v>
      </c>
      <c r="K295" s="276">
        <f t="array" ref="K295">IF($B295&gt;0,INDEX(DB,$B295,18),0)</f>
        <v>0</v>
      </c>
      <c r="L295" s="275">
        <f t="array" ref="L295">IF($B295&gt;0,INDEX(DB,$B295,16),0)</f>
        <v>0</v>
      </c>
      <c r="M295" s="276">
        <f t="array" ref="M295">IF($B295&gt;0,INDEX(DB,$B295,20),0)</f>
        <v>0</v>
      </c>
      <c r="N295" s="278"/>
      <c r="O295" s="279">
        <f t="shared" si="1"/>
        <v>0</v>
      </c>
      <c r="P295" s="280"/>
      <c r="Q295" s="261" t="str">
        <f t="shared" si="2"/>
        <v>#REF!</v>
      </c>
      <c r="R295" s="290" t="str">
        <f>IF($AI295&gt;0,RANK($AI295,BoysPoints),0)</f>
        <v>#REF!</v>
      </c>
      <c r="S295" s="291" t="str">
        <f>IF($AJ295&gt;0,RANK($AJ295,GirlsPoints),0)</f>
        <v>#REF!</v>
      </c>
      <c r="T295" s="292">
        <f>IF($O295&gt;0,RANK(O295,AthletePoints),0)</f>
        <v>0</v>
      </c>
      <c r="U295" s="210"/>
      <c r="V295" s="330" t="str">
        <f>IF(O295&gt;=40,IF(X295="M",VLOOKUP(O295,UKABoysAwards,2),IF(X295="F",VLOOKUP(O295,UKAGirlsAwards,2),"")),"")</f>
        <v/>
      </c>
      <c r="W295" s="210"/>
      <c r="X295" s="266" t="str">
        <f t="array" ref="X295:X296">INDEX(DB,$B295,4)</f>
        <v>#REF!</v>
      </c>
      <c r="Y295" s="210"/>
      <c r="Z295" s="285" t="str">
        <f t="shared" si="3"/>
        <v>#REF!</v>
      </c>
      <c r="AA295" s="286" t="str">
        <f>IF($Z295&gt;=1,RANK($Z295,$Z293:$Z308),0)</f>
        <v>#REF!</v>
      </c>
      <c r="AB295" s="287" t="str">
        <f>IF(AA295&lt;=MaxS,INT(Z295),0)</f>
        <v>#REF!</v>
      </c>
      <c r="AC295" s="210"/>
      <c r="AD295" s="285" t="str">
        <f t="shared" si="4"/>
        <v>#REF!</v>
      </c>
      <c r="AE295" s="286" t="str">
        <f>IF($AD295&gt;=1,RANK($AD295,$AD293:$AD308),0)</f>
        <v>#REF!</v>
      </c>
      <c r="AF295" s="287" t="str">
        <f>IF(AE295&lt;=MaxS,INT(AD295),0)</f>
        <v>#REF!</v>
      </c>
      <c r="AG295" s="210"/>
      <c r="AH295" s="210"/>
      <c r="AI295" s="288" t="str">
        <f t="shared" si="5"/>
        <v>#REF!</v>
      </c>
      <c r="AJ295" s="289" t="str">
        <f t="shared" si="6"/>
        <v>#REF!</v>
      </c>
    </row>
    <row r="296" ht="15.0" customHeight="1">
      <c r="A296" s="272"/>
      <c r="B296" s="250">
        <f>IF(OR(ISNA(MATCH(C296&amp;"",AthleteNumbers,0)),ISBLANK(C296)),0,MATCH(C296&amp;"",AthleteNumbers,0))</f>
        <v>0</v>
      </c>
      <c r="C296" s="413"/>
      <c r="D296" s="273" t="str">
        <f t="array" ref="D296">IF($B296&gt;0,INDEX(DB,$B296,8),"")</f>
        <v/>
      </c>
      <c r="E296" s="274" t="str">
        <f t="array" ref="E296">IF($B296&gt;0,INDEX(DB,$B296,3),"")</f>
        <v/>
      </c>
      <c r="F296" s="275">
        <f t="array" ref="F296">IF($B296&gt;0,INDEX(DB,$B296,13),0)</f>
        <v>0</v>
      </c>
      <c r="G296" s="276">
        <f t="array" ref="G296">IF($B296&gt;0,INDEX(DB,$B296,17),0)</f>
        <v>0</v>
      </c>
      <c r="H296" s="277">
        <f t="array" ref="H296">IF($B296&gt;0,INDEX(DB,$B296,15),0)</f>
        <v>0</v>
      </c>
      <c r="I296" s="276">
        <f t="array" ref="I296">IF($B296&gt;0,INDEX(DB,$B296,19),0)</f>
        <v>0</v>
      </c>
      <c r="J296" s="277">
        <f t="array" ref="J296">IF($B296&gt;0,INDEX(DB,$B296,14),0)</f>
        <v>0</v>
      </c>
      <c r="K296" s="276">
        <f t="array" ref="K296">IF($B296&gt;0,INDEX(DB,$B296,18),0)</f>
        <v>0</v>
      </c>
      <c r="L296" s="275">
        <f t="array" ref="L296">IF($B296&gt;0,INDEX(DB,$B296,16),0)</f>
        <v>0</v>
      </c>
      <c r="M296" s="276">
        <f t="array" ref="M296">IF($B296&gt;0,INDEX(DB,$B296,20),0)</f>
        <v>0</v>
      </c>
      <c r="N296" s="278"/>
      <c r="O296" s="279">
        <f t="shared" si="1"/>
        <v>0</v>
      </c>
      <c r="P296" s="280"/>
      <c r="Q296" s="261" t="str">
        <f t="shared" si="2"/>
        <v>#REF!</v>
      </c>
      <c r="R296" s="281" t="str">
        <f>IF($AI296&gt;0,RANK($AI296,BoysPoints),0)</f>
        <v>#REF!</v>
      </c>
      <c r="S296" s="282" t="str">
        <f>IF($AJ296&gt;0,RANK($AJ296,GirlsPoints),0)</f>
        <v>#REF!</v>
      </c>
      <c r="T296" s="283">
        <f>IF($O296&gt;0,RANK(O296,AthletePoints),0)</f>
        <v>0</v>
      </c>
      <c r="U296" s="210"/>
      <c r="V296" s="415" t="str">
        <f>IF(O296&gt;=40,IF(X296="M",VLOOKUP(O296,UKABoysAwards,2),IF(X296="F",VLOOKUP(O296,UKAGirlsAwards,2),"")),"")</f>
        <v/>
      </c>
      <c r="W296" s="210"/>
      <c r="X296" s="266" t="str">
        <f t="array" ref="X296:X297">INDEX(DB,$B296,4)</f>
        <v>#REF!</v>
      </c>
      <c r="Y296" s="210"/>
      <c r="Z296" s="285" t="str">
        <f t="shared" si="3"/>
        <v>#REF!</v>
      </c>
      <c r="AA296" s="286" t="str">
        <f>IF($Z296&gt;=1,RANK($Z296,$Z293:$Z308),0)</f>
        <v>#REF!</v>
      </c>
      <c r="AB296" s="287" t="str">
        <f>IF(AA296&lt;=MaxS,INT(Z296),0)</f>
        <v>#REF!</v>
      </c>
      <c r="AC296" s="210"/>
      <c r="AD296" s="285" t="str">
        <f t="shared" si="4"/>
        <v>#REF!</v>
      </c>
      <c r="AE296" s="286" t="str">
        <f>IF($AD296&gt;=1,RANK($AD296,$AD293:$AD308),0)</f>
        <v>#REF!</v>
      </c>
      <c r="AF296" s="287" t="str">
        <f>IF(AE296&lt;=MaxS,INT(AD296),0)</f>
        <v>#REF!</v>
      </c>
      <c r="AG296" s="210"/>
      <c r="AH296" s="210"/>
      <c r="AI296" s="288" t="str">
        <f t="shared" si="5"/>
        <v>#REF!</v>
      </c>
      <c r="AJ296" s="289" t="str">
        <f t="shared" si="6"/>
        <v>#REF!</v>
      </c>
    </row>
    <row r="297" ht="15.0" customHeight="1">
      <c r="A297" s="272"/>
      <c r="B297" s="250">
        <f>IF(OR(ISNA(MATCH(C297&amp;"",AthleteNumbers,0)),ISBLANK(C297)),0,MATCH(C297&amp;"",AthleteNumbers,0))</f>
        <v>0</v>
      </c>
      <c r="C297" s="413"/>
      <c r="D297" s="273" t="str">
        <f t="array" ref="D297">IF($B297&gt;0,INDEX(DB,$B297,8),"")</f>
        <v/>
      </c>
      <c r="E297" s="274" t="str">
        <f t="array" ref="E297">IF($B297&gt;0,INDEX(DB,$B297,3),"")</f>
        <v/>
      </c>
      <c r="F297" s="275">
        <f t="array" ref="F297">IF($B297&gt;0,INDEX(DB,$B297,13),0)</f>
        <v>0</v>
      </c>
      <c r="G297" s="276">
        <f t="array" ref="G297">IF($B297&gt;0,INDEX(DB,$B297,17),0)</f>
        <v>0</v>
      </c>
      <c r="H297" s="277">
        <f t="array" ref="H297">IF($B297&gt;0,INDEX(DB,$B297,15),0)</f>
        <v>0</v>
      </c>
      <c r="I297" s="276">
        <f t="array" ref="I297">IF($B297&gt;0,INDEX(DB,$B297,19),0)</f>
        <v>0</v>
      </c>
      <c r="J297" s="277">
        <f t="array" ref="J297">IF($B297&gt;0,INDEX(DB,$B297,14),0)</f>
        <v>0</v>
      </c>
      <c r="K297" s="276">
        <f t="array" ref="K297">IF($B297&gt;0,INDEX(DB,$B297,18),0)</f>
        <v>0</v>
      </c>
      <c r="L297" s="275">
        <f t="array" ref="L297">IF($B297&gt;0,INDEX(DB,$B297,16),0)</f>
        <v>0</v>
      </c>
      <c r="M297" s="276">
        <f t="array" ref="M297">IF($B297&gt;0,INDEX(DB,$B297,20),0)</f>
        <v>0</v>
      </c>
      <c r="N297" s="278"/>
      <c r="O297" s="279">
        <f t="shared" si="1"/>
        <v>0</v>
      </c>
      <c r="P297" s="280"/>
      <c r="Q297" s="261" t="str">
        <f t="shared" si="2"/>
        <v>#REF!</v>
      </c>
      <c r="R297" s="290" t="str">
        <f>IF($AI297&gt;0,RANK($AI297,BoysPoints),0)</f>
        <v>#REF!</v>
      </c>
      <c r="S297" s="291" t="str">
        <f>IF($AJ297&gt;0,RANK($AJ297,GirlsPoints),0)</f>
        <v>#REF!</v>
      </c>
      <c r="T297" s="292">
        <f>IF($O297&gt;0,RANK(O297,AthletePoints),0)</f>
        <v>0</v>
      </c>
      <c r="U297" s="210"/>
      <c r="V297" s="330" t="str">
        <f>IF(O297&gt;=40,IF(X297="M",VLOOKUP(O297,UKABoysAwards,2),IF(X297="F",VLOOKUP(O297,UKAGirlsAwards,2),"")),"")</f>
        <v/>
      </c>
      <c r="W297" s="210"/>
      <c r="X297" s="266" t="str">
        <f t="array" ref="X297:X298">INDEX(DB,$B297,4)</f>
        <v>#REF!</v>
      </c>
      <c r="Y297" s="210"/>
      <c r="Z297" s="285" t="str">
        <f t="shared" si="3"/>
        <v>#REF!</v>
      </c>
      <c r="AA297" s="286" t="str">
        <f>IF($Z297&gt;=1,RANK($Z297,$Z293:$Z308),0)</f>
        <v>#REF!</v>
      </c>
      <c r="AB297" s="287" t="str">
        <f>IF(AA297&lt;=MaxS,INT(Z297),0)</f>
        <v>#REF!</v>
      </c>
      <c r="AC297" s="210"/>
      <c r="AD297" s="285" t="str">
        <f t="shared" si="4"/>
        <v>#REF!</v>
      </c>
      <c r="AE297" s="286" t="str">
        <f>IF($AD297&gt;=1,RANK($AD297,$AD293:$AD308),0)</f>
        <v>#REF!</v>
      </c>
      <c r="AF297" s="287" t="str">
        <f>IF(AE297&lt;=MaxS,INT(AD297),0)</f>
        <v>#REF!</v>
      </c>
      <c r="AG297" s="210"/>
      <c r="AH297" s="210"/>
      <c r="AI297" s="288" t="str">
        <f t="shared" si="5"/>
        <v>#REF!</v>
      </c>
      <c r="AJ297" s="289" t="str">
        <f t="shared" si="6"/>
        <v>#REF!</v>
      </c>
    </row>
    <row r="298" ht="15.0" customHeight="1">
      <c r="A298" s="272"/>
      <c r="B298" s="250">
        <f>IF(OR(ISNA(MATCH(C298&amp;"",AthleteNumbers,0)),ISBLANK(C298)),0,MATCH(C298&amp;"",AthleteNumbers,0))</f>
        <v>0</v>
      </c>
      <c r="C298" s="413"/>
      <c r="D298" s="273" t="str">
        <f t="array" ref="D298">IF($B298&gt;0,INDEX(DB,$B298,8),"")</f>
        <v/>
      </c>
      <c r="E298" s="274" t="str">
        <f t="array" ref="E298">IF($B298&gt;0,INDEX(DB,$B298,3),"")</f>
        <v/>
      </c>
      <c r="F298" s="275">
        <f t="array" ref="F298">IF($B298&gt;0,INDEX(DB,$B298,13),0)</f>
        <v>0</v>
      </c>
      <c r="G298" s="276">
        <f t="array" ref="G298">IF($B298&gt;0,INDEX(DB,$B298,17),0)</f>
        <v>0</v>
      </c>
      <c r="H298" s="277">
        <f t="array" ref="H298">IF($B298&gt;0,INDEX(DB,$B298,15),0)</f>
        <v>0</v>
      </c>
      <c r="I298" s="276">
        <f t="array" ref="I298">IF($B298&gt;0,INDEX(DB,$B298,19),0)</f>
        <v>0</v>
      </c>
      <c r="J298" s="277">
        <f t="array" ref="J298">IF($B298&gt;0,INDEX(DB,$B298,14),0)</f>
        <v>0</v>
      </c>
      <c r="K298" s="276">
        <f t="array" ref="K298">IF($B298&gt;0,INDEX(DB,$B298,18),0)</f>
        <v>0</v>
      </c>
      <c r="L298" s="275">
        <f t="array" ref="L298">IF($B298&gt;0,INDEX(DB,$B298,16),0)</f>
        <v>0</v>
      </c>
      <c r="M298" s="276">
        <f t="array" ref="M298">IF($B298&gt;0,INDEX(DB,$B298,20),0)</f>
        <v>0</v>
      </c>
      <c r="N298" s="278"/>
      <c r="O298" s="279">
        <f t="shared" si="1"/>
        <v>0</v>
      </c>
      <c r="P298" s="280"/>
      <c r="Q298" s="261" t="str">
        <f t="shared" si="2"/>
        <v>#REF!</v>
      </c>
      <c r="R298" s="281" t="str">
        <f>IF($AI298&gt;0,RANK($AI298,BoysPoints),0)</f>
        <v>#REF!</v>
      </c>
      <c r="S298" s="282" t="str">
        <f>IF($AJ298&gt;0,RANK($AJ298,GirlsPoints),0)</f>
        <v>#REF!</v>
      </c>
      <c r="T298" s="283">
        <f>IF($O298&gt;0,RANK(O298,AthletePoints),0)</f>
        <v>0</v>
      </c>
      <c r="U298" s="210"/>
      <c r="V298" s="415" t="str">
        <f>IF(O298&gt;=40,IF(X298="M",VLOOKUP(O298,UKABoysAwards,2),IF(X298="F",VLOOKUP(O298,UKAGirlsAwards,2),"")),"")</f>
        <v/>
      </c>
      <c r="W298" s="210"/>
      <c r="X298" s="266" t="str">
        <f t="array" ref="X298:X299">INDEX(DB,$B298,4)</f>
        <v>#REF!</v>
      </c>
      <c r="Y298" s="210"/>
      <c r="Z298" s="285" t="str">
        <f t="shared" si="3"/>
        <v>#REF!</v>
      </c>
      <c r="AA298" s="286" t="str">
        <f>IF($Z298&gt;=1,RANK($Z298,$Z293:$Z308),0)</f>
        <v>#REF!</v>
      </c>
      <c r="AB298" s="287" t="str">
        <f>IF(AA298&lt;=MaxS,INT(Z298),0)</f>
        <v>#REF!</v>
      </c>
      <c r="AC298" s="210"/>
      <c r="AD298" s="285" t="str">
        <f t="shared" si="4"/>
        <v>#REF!</v>
      </c>
      <c r="AE298" s="286" t="str">
        <f>IF($AD298&gt;=1,RANK($AD298,$AD293:$AD308),0)</f>
        <v>#REF!</v>
      </c>
      <c r="AF298" s="287" t="str">
        <f>IF(AE298&lt;=MaxS,INT(AD298),0)</f>
        <v>#REF!</v>
      </c>
      <c r="AG298" s="210"/>
      <c r="AH298" s="210"/>
      <c r="AI298" s="288" t="str">
        <f t="shared" si="5"/>
        <v>#REF!</v>
      </c>
      <c r="AJ298" s="289" t="str">
        <f t="shared" si="6"/>
        <v>#REF!</v>
      </c>
    </row>
    <row r="299" ht="15.0" customHeight="1">
      <c r="A299" s="272"/>
      <c r="B299" s="250">
        <f>IF(OR(ISNA(MATCH(C299&amp;"",AthleteNumbers,0)),ISBLANK(C299)),0,MATCH(C299&amp;"",AthleteNumbers,0))</f>
        <v>0</v>
      </c>
      <c r="C299" s="413"/>
      <c r="D299" s="273" t="str">
        <f t="array" ref="D299">IF($B299&gt;0,INDEX(DB,$B299,8),"")</f>
        <v/>
      </c>
      <c r="E299" s="274" t="str">
        <f t="array" ref="E299">IF($B299&gt;0,INDEX(DB,$B299,3),"")</f>
        <v/>
      </c>
      <c r="F299" s="275">
        <f t="array" ref="F299">IF($B299&gt;0,INDEX(DB,$B299,13),0)</f>
        <v>0</v>
      </c>
      <c r="G299" s="276">
        <f t="array" ref="G299">IF($B299&gt;0,INDEX(DB,$B299,17),0)</f>
        <v>0</v>
      </c>
      <c r="H299" s="277">
        <f t="array" ref="H299">IF($B299&gt;0,INDEX(DB,$B299,15),0)</f>
        <v>0</v>
      </c>
      <c r="I299" s="276">
        <f t="array" ref="I299">IF($B299&gt;0,INDEX(DB,$B299,19),0)</f>
        <v>0</v>
      </c>
      <c r="J299" s="277">
        <f t="array" ref="J299">IF($B299&gt;0,INDEX(DB,$B299,14),0)</f>
        <v>0</v>
      </c>
      <c r="K299" s="276">
        <f t="array" ref="K299">IF($B299&gt;0,INDEX(DB,$B299,18),0)</f>
        <v>0</v>
      </c>
      <c r="L299" s="275">
        <f t="array" ref="L299">IF($B299&gt;0,INDEX(DB,$B299,16),0)</f>
        <v>0</v>
      </c>
      <c r="M299" s="276">
        <f t="array" ref="M299">IF($B299&gt;0,INDEX(DB,$B299,20),0)</f>
        <v>0</v>
      </c>
      <c r="N299" s="278"/>
      <c r="O299" s="279">
        <f t="shared" si="1"/>
        <v>0</v>
      </c>
      <c r="P299" s="280"/>
      <c r="Q299" s="261" t="str">
        <f t="shared" si="2"/>
        <v>#REF!</v>
      </c>
      <c r="R299" s="290" t="str">
        <f>IF($AI299&gt;0,RANK($AI299,BoysPoints),0)</f>
        <v>#REF!</v>
      </c>
      <c r="S299" s="291" t="str">
        <f>IF($AJ299&gt;0,RANK($AJ299,GirlsPoints),0)</f>
        <v>#REF!</v>
      </c>
      <c r="T299" s="292">
        <f>IF($O299&gt;0,RANK(O299,AthletePoints),0)</f>
        <v>0</v>
      </c>
      <c r="U299" s="210"/>
      <c r="V299" s="330" t="str">
        <f>IF(O299&gt;=40,IF(X299="M",VLOOKUP(O299,UKABoysAwards,2),IF(X299="F",VLOOKUP(O299,UKAGirlsAwards,2),"")),"")</f>
        <v/>
      </c>
      <c r="W299" s="210"/>
      <c r="X299" s="266" t="str">
        <f t="array" ref="X299:X300">INDEX(DB,$B299,4)</f>
        <v>#REF!</v>
      </c>
      <c r="Y299" s="210"/>
      <c r="Z299" s="285" t="str">
        <f t="shared" si="3"/>
        <v>#REF!</v>
      </c>
      <c r="AA299" s="286" t="str">
        <f>IF($Z299&gt;=1,RANK($Z299,$Z293:$Z308),0)</f>
        <v>#REF!</v>
      </c>
      <c r="AB299" s="287" t="str">
        <f>IF(AA299&lt;=MaxS,INT(Z299),0)</f>
        <v>#REF!</v>
      </c>
      <c r="AC299" s="210"/>
      <c r="AD299" s="285" t="str">
        <f t="shared" si="4"/>
        <v>#REF!</v>
      </c>
      <c r="AE299" s="286" t="str">
        <f>IF($AD299&gt;=1,RANK($AD299,$AD293:$AD308),0)</f>
        <v>#REF!</v>
      </c>
      <c r="AF299" s="287" t="str">
        <f>IF(AE299&lt;=MaxS,INT(AD299),0)</f>
        <v>#REF!</v>
      </c>
      <c r="AG299" s="210"/>
      <c r="AH299" s="210"/>
      <c r="AI299" s="288" t="str">
        <f t="shared" si="5"/>
        <v>#REF!</v>
      </c>
      <c r="AJ299" s="289" t="str">
        <f t="shared" si="6"/>
        <v>#REF!</v>
      </c>
    </row>
    <row r="300" ht="15.0" customHeight="1">
      <c r="A300" s="272"/>
      <c r="B300" s="250">
        <f>IF(OR(ISNA(MATCH(C300&amp;"",AthleteNumbers,0)),ISBLANK(C300)),0,MATCH(C300&amp;"",AthleteNumbers,0))</f>
        <v>0</v>
      </c>
      <c r="C300" s="413"/>
      <c r="D300" s="273" t="str">
        <f t="array" ref="D300">IF($B300&gt;0,INDEX(DB,$B300,8),"")</f>
        <v/>
      </c>
      <c r="E300" s="274" t="str">
        <f t="array" ref="E300">IF($B300&gt;0,INDEX(DB,$B300,3),"")</f>
        <v/>
      </c>
      <c r="F300" s="275">
        <f t="array" ref="F300">IF($B300&gt;0,INDEX(DB,$B300,13),0)</f>
        <v>0</v>
      </c>
      <c r="G300" s="276">
        <f t="array" ref="G300">IF($B300&gt;0,INDEX(DB,$B300,17),0)</f>
        <v>0</v>
      </c>
      <c r="H300" s="277">
        <f t="array" ref="H300">IF($B300&gt;0,INDEX(DB,$B300,15),0)</f>
        <v>0</v>
      </c>
      <c r="I300" s="276">
        <f t="array" ref="I300">IF($B300&gt;0,INDEX(DB,$B300,19),0)</f>
        <v>0</v>
      </c>
      <c r="J300" s="277">
        <f t="array" ref="J300">IF($B300&gt;0,INDEX(DB,$B300,14),0)</f>
        <v>0</v>
      </c>
      <c r="K300" s="276">
        <f t="array" ref="K300">IF($B300&gt;0,INDEX(DB,$B300,18),0)</f>
        <v>0</v>
      </c>
      <c r="L300" s="275">
        <f t="array" ref="L300">IF($B300&gt;0,INDEX(DB,$B300,16),0)</f>
        <v>0</v>
      </c>
      <c r="M300" s="276">
        <f t="array" ref="M300">IF($B300&gt;0,INDEX(DB,$B300,20),0)</f>
        <v>0</v>
      </c>
      <c r="N300" s="278"/>
      <c r="O300" s="279">
        <f t="shared" si="1"/>
        <v>0</v>
      </c>
      <c r="P300" s="280"/>
      <c r="Q300" s="261" t="str">
        <f t="shared" si="2"/>
        <v>#REF!</v>
      </c>
      <c r="R300" s="281" t="str">
        <f>IF($AI300&gt;0,RANK($AI300,BoysPoints),0)</f>
        <v>#REF!</v>
      </c>
      <c r="S300" s="282" t="str">
        <f>IF($AJ300&gt;0,RANK($AJ300,GirlsPoints),0)</f>
        <v>#REF!</v>
      </c>
      <c r="T300" s="283">
        <f>IF($O300&gt;0,RANK(O300,AthletePoints),0)</f>
        <v>0</v>
      </c>
      <c r="U300" s="210"/>
      <c r="V300" s="415" t="str">
        <f>IF(O300&gt;=40,IF(X300="M",VLOOKUP(O300,UKABoysAwards,2),IF(X300="F",VLOOKUP(O300,UKAGirlsAwards,2),"")),"")</f>
        <v/>
      </c>
      <c r="W300" s="210"/>
      <c r="X300" s="266" t="str">
        <f t="array" ref="X300:X301">INDEX(DB,$B300,4)</f>
        <v>#REF!</v>
      </c>
      <c r="Y300" s="210"/>
      <c r="Z300" s="285" t="str">
        <f t="shared" si="3"/>
        <v>#REF!</v>
      </c>
      <c r="AA300" s="286" t="str">
        <f>IF($Z300&gt;=1,RANK($Z300,$Z293:$Z308),0)</f>
        <v>#REF!</v>
      </c>
      <c r="AB300" s="287" t="str">
        <f>IF(AA300&lt;=MaxS,INT(Z300),0)</f>
        <v>#REF!</v>
      </c>
      <c r="AC300" s="210"/>
      <c r="AD300" s="285" t="str">
        <f t="shared" si="4"/>
        <v>#REF!</v>
      </c>
      <c r="AE300" s="286" t="str">
        <f>IF($AD300&gt;=1,RANK($AD300,$AD293:$AD308),0)</f>
        <v>#REF!</v>
      </c>
      <c r="AF300" s="287" t="str">
        <f>IF(AE300&lt;=MaxS,INT(AD300),0)</f>
        <v>#REF!</v>
      </c>
      <c r="AG300" s="210"/>
      <c r="AH300" s="210"/>
      <c r="AI300" s="288" t="str">
        <f t="shared" si="5"/>
        <v>#REF!</v>
      </c>
      <c r="AJ300" s="289" t="str">
        <f t="shared" si="6"/>
        <v>#REF!</v>
      </c>
    </row>
    <row r="301" ht="15.0" customHeight="1">
      <c r="A301" s="272"/>
      <c r="B301" s="250">
        <f>IF(OR(ISNA(MATCH(C301&amp;"",AthleteNumbers,0)),ISBLANK(C301)),0,MATCH(C301&amp;"",AthleteNumbers,0))</f>
        <v>0</v>
      </c>
      <c r="C301" s="413"/>
      <c r="D301" s="273" t="str">
        <f t="array" ref="D301">IF($B301&gt;0,INDEX(DB,$B301,8),"")</f>
        <v/>
      </c>
      <c r="E301" s="274" t="str">
        <f t="array" ref="E301">IF($B301&gt;0,INDEX(DB,$B301,3),"")</f>
        <v/>
      </c>
      <c r="F301" s="275">
        <f t="array" ref="F301">IF($B301&gt;0,INDEX(DB,$B301,13),0)</f>
        <v>0</v>
      </c>
      <c r="G301" s="276">
        <f t="array" ref="G301">IF($B301&gt;0,INDEX(DB,$B301,17),0)</f>
        <v>0</v>
      </c>
      <c r="H301" s="277">
        <f t="array" ref="H301">IF($B301&gt;0,INDEX(DB,$B301,15),0)</f>
        <v>0</v>
      </c>
      <c r="I301" s="276">
        <f t="array" ref="I301">IF($B301&gt;0,INDEX(DB,$B301,19),0)</f>
        <v>0</v>
      </c>
      <c r="J301" s="277">
        <f t="array" ref="J301">IF($B301&gt;0,INDEX(DB,$B301,14),0)</f>
        <v>0</v>
      </c>
      <c r="K301" s="276">
        <f t="array" ref="K301">IF($B301&gt;0,INDEX(DB,$B301,18),0)</f>
        <v>0</v>
      </c>
      <c r="L301" s="275">
        <f t="array" ref="L301">IF($B301&gt;0,INDEX(DB,$B301,16),0)</f>
        <v>0</v>
      </c>
      <c r="M301" s="276">
        <f t="array" ref="M301">IF($B301&gt;0,INDEX(DB,$B301,20),0)</f>
        <v>0</v>
      </c>
      <c r="N301" s="278"/>
      <c r="O301" s="279">
        <f t="shared" si="1"/>
        <v>0</v>
      </c>
      <c r="P301" s="280"/>
      <c r="Q301" s="261" t="str">
        <f t="shared" si="2"/>
        <v>#REF!</v>
      </c>
      <c r="R301" s="290" t="str">
        <f>IF($AI301&gt;0,RANK($AI301,BoysPoints),0)</f>
        <v>#REF!</v>
      </c>
      <c r="S301" s="291" t="str">
        <f>IF($AJ301&gt;0,RANK($AJ301,GirlsPoints),0)</f>
        <v>#REF!</v>
      </c>
      <c r="T301" s="292">
        <f>IF($O301&gt;0,RANK(O301,AthletePoints),0)</f>
        <v>0</v>
      </c>
      <c r="U301" s="210"/>
      <c r="V301" s="330" t="str">
        <f>IF(O301&gt;=40,IF(X301="M",VLOOKUP(O301,UKABoysAwards,2),IF(X301="F",VLOOKUP(O301,UKAGirlsAwards,2),"")),"")</f>
        <v/>
      </c>
      <c r="W301" s="210"/>
      <c r="X301" s="266" t="str">
        <f t="array" ref="X301:X302">INDEX(DB,$B301,4)</f>
        <v>#REF!</v>
      </c>
      <c r="Y301" s="210"/>
      <c r="Z301" s="285" t="str">
        <f t="shared" si="3"/>
        <v>#REF!</v>
      </c>
      <c r="AA301" s="286" t="str">
        <f>IF($Z301&gt;=1,RANK($Z301,$Z293:$Z308),0)</f>
        <v>#REF!</v>
      </c>
      <c r="AB301" s="287" t="str">
        <f>IF(AA301&lt;=MaxS,INT(Z301),0)</f>
        <v>#REF!</v>
      </c>
      <c r="AC301" s="210"/>
      <c r="AD301" s="285" t="str">
        <f t="shared" si="4"/>
        <v>#REF!</v>
      </c>
      <c r="AE301" s="286" t="str">
        <f>IF($AD301&gt;=1,RANK($AD301,$AD293:$AD308),0)</f>
        <v>#REF!</v>
      </c>
      <c r="AF301" s="287" t="str">
        <f>IF(AE301&lt;=MaxS,INT(AD301),0)</f>
        <v>#REF!</v>
      </c>
      <c r="AG301" s="210"/>
      <c r="AH301" s="210"/>
      <c r="AI301" s="288" t="str">
        <f t="shared" si="5"/>
        <v>#REF!</v>
      </c>
      <c r="AJ301" s="289" t="str">
        <f t="shared" si="6"/>
        <v>#REF!</v>
      </c>
    </row>
    <row r="302" ht="15.0" customHeight="1">
      <c r="A302" s="272"/>
      <c r="B302" s="250">
        <f>IF(OR(ISNA(MATCH(C302&amp;"",AthleteNumbers,0)),ISBLANK(C302)),0,MATCH(C302&amp;"",AthleteNumbers,0))</f>
        <v>0</v>
      </c>
      <c r="C302" s="413"/>
      <c r="D302" s="273" t="str">
        <f t="array" ref="D302">IF($B302&gt;0,INDEX(DB,$B302,8),"")</f>
        <v/>
      </c>
      <c r="E302" s="274" t="str">
        <f t="array" ref="E302">IF($B302&gt;0,INDEX(DB,$B302,3),"")</f>
        <v/>
      </c>
      <c r="F302" s="275">
        <f t="array" ref="F302">IF($B302&gt;0,INDEX(DB,$B302,13),0)</f>
        <v>0</v>
      </c>
      <c r="G302" s="276">
        <f t="array" ref="G302">IF($B302&gt;0,INDEX(DB,$B302,17),0)</f>
        <v>0</v>
      </c>
      <c r="H302" s="277">
        <f t="array" ref="H302">IF($B302&gt;0,INDEX(DB,$B302,15),0)</f>
        <v>0</v>
      </c>
      <c r="I302" s="276">
        <f t="array" ref="I302">IF($B302&gt;0,INDEX(DB,$B302,19),0)</f>
        <v>0</v>
      </c>
      <c r="J302" s="277">
        <f t="array" ref="J302">IF($B302&gt;0,INDEX(DB,$B302,14),0)</f>
        <v>0</v>
      </c>
      <c r="K302" s="276">
        <f t="array" ref="K302">IF($B302&gt;0,INDEX(DB,$B302,18),0)</f>
        <v>0</v>
      </c>
      <c r="L302" s="275">
        <f t="array" ref="L302">IF($B302&gt;0,INDEX(DB,$B302,16),0)</f>
        <v>0</v>
      </c>
      <c r="M302" s="276">
        <f t="array" ref="M302">IF($B302&gt;0,INDEX(DB,$B302,20),0)</f>
        <v>0</v>
      </c>
      <c r="N302" s="278"/>
      <c r="O302" s="279">
        <f t="shared" si="1"/>
        <v>0</v>
      </c>
      <c r="P302" s="280"/>
      <c r="Q302" s="261" t="str">
        <f t="shared" si="2"/>
        <v>#REF!</v>
      </c>
      <c r="R302" s="281" t="str">
        <f>IF($AI302&gt;0,RANK($AI302,BoysPoints),0)</f>
        <v>#REF!</v>
      </c>
      <c r="S302" s="282" t="str">
        <f>IF($AJ302&gt;0,RANK($AJ302,GirlsPoints),0)</f>
        <v>#REF!</v>
      </c>
      <c r="T302" s="283">
        <f>IF($O302&gt;0,RANK(O302,AthletePoints),0)</f>
        <v>0</v>
      </c>
      <c r="U302" s="210"/>
      <c r="V302" s="415" t="str">
        <f>IF(O302&gt;=40,IF(X302="M",VLOOKUP(O302,UKABoysAwards,2),IF(X302="F",VLOOKUP(O302,UKAGirlsAwards,2),"")),"")</f>
        <v/>
      </c>
      <c r="W302" s="210"/>
      <c r="X302" s="266" t="str">
        <f t="array" ref="X302:X303">INDEX(DB,$B302,4)</f>
        <v>#REF!</v>
      </c>
      <c r="Y302" s="210"/>
      <c r="Z302" s="285" t="str">
        <f t="shared" si="3"/>
        <v>#REF!</v>
      </c>
      <c r="AA302" s="286" t="str">
        <f>IF($Z302&gt;=1,RANK($Z302,$Z293:$Z308),0)</f>
        <v>#REF!</v>
      </c>
      <c r="AB302" s="287" t="str">
        <f>IF(AA302&lt;=MaxS,INT(Z302),0)</f>
        <v>#REF!</v>
      </c>
      <c r="AC302" s="210"/>
      <c r="AD302" s="285" t="str">
        <f t="shared" si="4"/>
        <v>#REF!</v>
      </c>
      <c r="AE302" s="286" t="str">
        <f>IF($AD302&gt;=1,RANK($AD302,$AD293:$AD308),0)</f>
        <v>#REF!</v>
      </c>
      <c r="AF302" s="287" t="str">
        <f>IF(AE302&lt;=MaxS,INT(AD302),0)</f>
        <v>#REF!</v>
      </c>
      <c r="AG302" s="210"/>
      <c r="AH302" s="210"/>
      <c r="AI302" s="288" t="str">
        <f t="shared" si="5"/>
        <v>#REF!</v>
      </c>
      <c r="AJ302" s="289" t="str">
        <f t="shared" si="6"/>
        <v>#REF!</v>
      </c>
    </row>
    <row r="303" ht="15.0" customHeight="1">
      <c r="A303" s="272"/>
      <c r="B303" s="250">
        <f>IF(OR(ISNA(MATCH(C303&amp;"",AthleteNumbers,0)),ISBLANK(C303)),0,MATCH(C303&amp;"",AthleteNumbers,0))</f>
        <v>0</v>
      </c>
      <c r="C303" s="413"/>
      <c r="D303" s="273" t="str">
        <f t="array" ref="D303">IF($B303&gt;0,INDEX(DB,$B303,8),"")</f>
        <v/>
      </c>
      <c r="E303" s="274" t="str">
        <f t="array" ref="E303">IF($B303&gt;0,INDEX(DB,$B303,3),"")</f>
        <v/>
      </c>
      <c r="F303" s="275">
        <f t="array" ref="F303">IF($B303&gt;0,INDEX(DB,$B303,13),0)</f>
        <v>0</v>
      </c>
      <c r="G303" s="276">
        <f t="array" ref="G303">IF($B303&gt;0,INDEX(DB,$B303,17),0)</f>
        <v>0</v>
      </c>
      <c r="H303" s="277">
        <f t="array" ref="H303">IF($B303&gt;0,INDEX(DB,$B303,15),0)</f>
        <v>0</v>
      </c>
      <c r="I303" s="276">
        <f t="array" ref="I303">IF($B303&gt;0,INDEX(DB,$B303,19),0)</f>
        <v>0</v>
      </c>
      <c r="J303" s="277">
        <f t="array" ref="J303">IF($B303&gt;0,INDEX(DB,$B303,14),0)</f>
        <v>0</v>
      </c>
      <c r="K303" s="276">
        <f t="array" ref="K303">IF($B303&gt;0,INDEX(DB,$B303,18),0)</f>
        <v>0</v>
      </c>
      <c r="L303" s="275">
        <f t="array" ref="L303">IF($B303&gt;0,INDEX(DB,$B303,16),0)</f>
        <v>0</v>
      </c>
      <c r="M303" s="276">
        <f t="array" ref="M303">IF($B303&gt;0,INDEX(DB,$B303,20),0)</f>
        <v>0</v>
      </c>
      <c r="N303" s="278"/>
      <c r="O303" s="279">
        <f t="shared" si="1"/>
        <v>0</v>
      </c>
      <c r="P303" s="280"/>
      <c r="Q303" s="261" t="str">
        <f t="shared" si="2"/>
        <v>#REF!</v>
      </c>
      <c r="R303" s="290" t="str">
        <f>IF($AI303&gt;0,RANK($AI303,BoysPoints),0)</f>
        <v>#REF!</v>
      </c>
      <c r="S303" s="291" t="str">
        <f>IF($AJ303&gt;0,RANK($AJ303,GirlsPoints),0)</f>
        <v>#REF!</v>
      </c>
      <c r="T303" s="292">
        <f>IF($O303&gt;0,RANK(O303,AthletePoints),0)</f>
        <v>0</v>
      </c>
      <c r="U303" s="210"/>
      <c r="V303" s="330" t="str">
        <f>IF(O303&gt;=40,IF(X303="M",VLOOKUP(O303,UKABoysAwards,2),IF(X303="F",VLOOKUP(O303,UKAGirlsAwards,2),"")),"")</f>
        <v/>
      </c>
      <c r="W303" s="210"/>
      <c r="X303" s="266" t="str">
        <f t="array" ref="X303:X304">INDEX(DB,$B303,4)</f>
        <v>#REF!</v>
      </c>
      <c r="Y303" s="210"/>
      <c r="Z303" s="285" t="str">
        <f t="shared" si="3"/>
        <v>#REF!</v>
      </c>
      <c r="AA303" s="286" t="str">
        <f>IF($Z303&gt;=1,RANK($Z303,$Z293:$Z308),0)</f>
        <v>#REF!</v>
      </c>
      <c r="AB303" s="287" t="str">
        <f>IF(AA303&lt;=MaxS,INT(Z303),0)</f>
        <v>#REF!</v>
      </c>
      <c r="AC303" s="210"/>
      <c r="AD303" s="285" t="str">
        <f t="shared" si="4"/>
        <v>#REF!</v>
      </c>
      <c r="AE303" s="286" t="str">
        <f>IF($AD303&gt;=1,RANK($AD303,$AD293:$AD308),0)</f>
        <v>#REF!</v>
      </c>
      <c r="AF303" s="287" t="str">
        <f>IF(AE303&lt;=MaxS,INT(AD303),0)</f>
        <v>#REF!</v>
      </c>
      <c r="AG303" s="210"/>
      <c r="AH303" s="210"/>
      <c r="AI303" s="288" t="str">
        <f t="shared" si="5"/>
        <v>#REF!</v>
      </c>
      <c r="AJ303" s="289" t="str">
        <f t="shared" si="6"/>
        <v>#REF!</v>
      </c>
    </row>
    <row r="304" ht="15.0" customHeight="1">
      <c r="A304" s="272"/>
      <c r="B304" s="250">
        <f>IF(OR(ISNA(MATCH(C304&amp;"",AthleteNumbers,0)),ISBLANK(C304)),0,MATCH(C304&amp;"",AthleteNumbers,0))</f>
        <v>0</v>
      </c>
      <c r="C304" s="413"/>
      <c r="D304" s="273" t="str">
        <f t="array" ref="D304">IF($B304&gt;0,INDEX(DB,$B304,8),"")</f>
        <v/>
      </c>
      <c r="E304" s="274" t="str">
        <f t="array" ref="E304">IF($B304&gt;0,INDEX(DB,$B304,3),"")</f>
        <v/>
      </c>
      <c r="F304" s="275">
        <f t="array" ref="F304">IF($B304&gt;0,INDEX(DB,$B304,13),0)</f>
        <v>0</v>
      </c>
      <c r="G304" s="276">
        <f t="array" ref="G304">IF($B304&gt;0,INDEX(DB,$B304,17),0)</f>
        <v>0</v>
      </c>
      <c r="H304" s="277">
        <f t="array" ref="H304">IF($B304&gt;0,INDEX(DB,$B304,15),0)</f>
        <v>0</v>
      </c>
      <c r="I304" s="276">
        <f t="array" ref="I304">IF($B304&gt;0,INDEX(DB,$B304,19),0)</f>
        <v>0</v>
      </c>
      <c r="J304" s="277">
        <f t="array" ref="J304">IF($B304&gt;0,INDEX(DB,$B304,14),0)</f>
        <v>0</v>
      </c>
      <c r="K304" s="276">
        <f t="array" ref="K304">IF($B304&gt;0,INDEX(DB,$B304,18),0)</f>
        <v>0</v>
      </c>
      <c r="L304" s="275">
        <f t="array" ref="L304">IF($B304&gt;0,INDEX(DB,$B304,16),0)</f>
        <v>0</v>
      </c>
      <c r="M304" s="276">
        <f t="array" ref="M304">IF($B304&gt;0,INDEX(DB,$B304,20),0)</f>
        <v>0</v>
      </c>
      <c r="N304" s="278"/>
      <c r="O304" s="279">
        <f t="shared" si="1"/>
        <v>0</v>
      </c>
      <c r="P304" s="280"/>
      <c r="Q304" s="261" t="str">
        <f t="shared" si="2"/>
        <v>#REF!</v>
      </c>
      <c r="R304" s="281" t="str">
        <f>IF($AI304&gt;0,RANK($AI304,BoysPoints),0)</f>
        <v>#REF!</v>
      </c>
      <c r="S304" s="282" t="str">
        <f>IF($AJ304&gt;0,RANK($AJ304,GirlsPoints),0)</f>
        <v>#REF!</v>
      </c>
      <c r="T304" s="283">
        <f>IF($O304&gt;0,RANK(O304,AthletePoints),0)</f>
        <v>0</v>
      </c>
      <c r="U304" s="210"/>
      <c r="V304" s="415" t="str">
        <f>IF(O304&gt;=40,IF(X304="M",VLOOKUP(O304,UKABoysAwards,2),IF(X304="F",VLOOKUP(O304,UKAGirlsAwards,2),"")),"")</f>
        <v/>
      </c>
      <c r="W304" s="210"/>
      <c r="X304" s="266" t="str">
        <f t="array" ref="X304:X305">INDEX(DB,$B304,4)</f>
        <v>#REF!</v>
      </c>
      <c r="Y304" s="210"/>
      <c r="Z304" s="285" t="str">
        <f t="shared" si="3"/>
        <v>#REF!</v>
      </c>
      <c r="AA304" s="286" t="str">
        <f>IF($Z304&gt;=1,RANK($Z304,$Z293:$Z308),0)</f>
        <v>#REF!</v>
      </c>
      <c r="AB304" s="287" t="str">
        <f>IF(AA304&lt;=MaxS,INT(Z304),0)</f>
        <v>#REF!</v>
      </c>
      <c r="AC304" s="210"/>
      <c r="AD304" s="285" t="str">
        <f t="shared" si="4"/>
        <v>#REF!</v>
      </c>
      <c r="AE304" s="286" t="str">
        <f>IF($AD304&gt;=1,RANK($AD304,$AD293:$AD308),0)</f>
        <v>#REF!</v>
      </c>
      <c r="AF304" s="287" t="str">
        <f>IF(AE304&lt;=MaxS,INT(AD304),0)</f>
        <v>#REF!</v>
      </c>
      <c r="AG304" s="210"/>
      <c r="AH304" s="210"/>
      <c r="AI304" s="288" t="str">
        <f t="shared" si="5"/>
        <v>#REF!</v>
      </c>
      <c r="AJ304" s="289" t="str">
        <f t="shared" si="6"/>
        <v>#REF!</v>
      </c>
    </row>
    <row r="305" ht="15.0" customHeight="1">
      <c r="A305" s="272"/>
      <c r="B305" s="250">
        <f>IF(OR(ISNA(MATCH(C305&amp;"",AthleteNumbers,0)),ISBLANK(C305)),0,MATCH(C305&amp;"",AthleteNumbers,0))</f>
        <v>0</v>
      </c>
      <c r="C305" s="413"/>
      <c r="D305" s="273" t="str">
        <f t="array" ref="D305">IF($B305&gt;0,INDEX(DB,$B305,8),"")</f>
        <v/>
      </c>
      <c r="E305" s="274" t="str">
        <f t="array" ref="E305">IF($B305&gt;0,INDEX(DB,$B305,3),"")</f>
        <v/>
      </c>
      <c r="F305" s="275">
        <f t="array" ref="F305">IF($B305&gt;0,INDEX(DB,$B305,13),0)</f>
        <v>0</v>
      </c>
      <c r="G305" s="276">
        <f t="array" ref="G305">IF($B305&gt;0,INDEX(DB,$B305,17),0)</f>
        <v>0</v>
      </c>
      <c r="H305" s="277">
        <f t="array" ref="H305">IF($B305&gt;0,INDEX(DB,$B305,15),0)</f>
        <v>0</v>
      </c>
      <c r="I305" s="276">
        <f t="array" ref="I305">IF($B305&gt;0,INDEX(DB,$B305,19),0)</f>
        <v>0</v>
      </c>
      <c r="J305" s="277">
        <f t="array" ref="J305">IF($B305&gt;0,INDEX(DB,$B305,14),0)</f>
        <v>0</v>
      </c>
      <c r="K305" s="276">
        <f t="array" ref="K305">IF($B305&gt;0,INDEX(DB,$B305,18),0)</f>
        <v>0</v>
      </c>
      <c r="L305" s="275">
        <f t="array" ref="L305">IF($B305&gt;0,INDEX(DB,$B305,16),0)</f>
        <v>0</v>
      </c>
      <c r="M305" s="276">
        <f t="array" ref="M305">IF($B305&gt;0,INDEX(DB,$B305,20),0)</f>
        <v>0</v>
      </c>
      <c r="N305" s="278"/>
      <c r="O305" s="279">
        <f t="shared" si="1"/>
        <v>0</v>
      </c>
      <c r="P305" s="280"/>
      <c r="Q305" s="261" t="str">
        <f t="shared" si="2"/>
        <v>#REF!</v>
      </c>
      <c r="R305" s="290" t="str">
        <f>IF($AI305&gt;0,RANK($AI305,BoysPoints),0)</f>
        <v>#REF!</v>
      </c>
      <c r="S305" s="291" t="str">
        <f>IF($AJ305&gt;0,RANK($AJ305,GirlsPoints),0)</f>
        <v>#REF!</v>
      </c>
      <c r="T305" s="292">
        <f>IF($O305&gt;0,RANK(O305,AthletePoints),0)</f>
        <v>0</v>
      </c>
      <c r="U305" s="210"/>
      <c r="V305" s="330" t="str">
        <f>IF(O305&gt;=40,IF(X305="M",VLOOKUP(O305,UKABoysAwards,2),IF(X305="F",VLOOKUP(O305,UKAGirlsAwards,2),"")),"")</f>
        <v/>
      </c>
      <c r="W305" s="210"/>
      <c r="X305" s="266" t="str">
        <f t="array" ref="X305:X306">INDEX(DB,$B305,4)</f>
        <v>#REF!</v>
      </c>
      <c r="Y305" s="210"/>
      <c r="Z305" s="285" t="str">
        <f t="shared" si="3"/>
        <v>#REF!</v>
      </c>
      <c r="AA305" s="286" t="str">
        <f>IF($Z305&gt;=1,RANK($Z305,$Z293:$Z308),0)</f>
        <v>#REF!</v>
      </c>
      <c r="AB305" s="287" t="str">
        <f>IF(AA305&lt;=MaxS,INT(Z305),0)</f>
        <v>#REF!</v>
      </c>
      <c r="AC305" s="210"/>
      <c r="AD305" s="285" t="str">
        <f t="shared" si="4"/>
        <v>#REF!</v>
      </c>
      <c r="AE305" s="286" t="str">
        <f>IF($AD305&gt;=1,RANK($AD305,$AD293:$AD308),0)</f>
        <v>#REF!</v>
      </c>
      <c r="AF305" s="287" t="str">
        <f>IF(AE305&lt;=MaxS,INT(AD305),0)</f>
        <v>#REF!</v>
      </c>
      <c r="AG305" s="210"/>
      <c r="AH305" s="210"/>
      <c r="AI305" s="288" t="str">
        <f t="shared" si="5"/>
        <v>#REF!</v>
      </c>
      <c r="AJ305" s="289" t="str">
        <f t="shared" si="6"/>
        <v>#REF!</v>
      </c>
    </row>
    <row r="306" ht="15.0" customHeight="1">
      <c r="A306" s="272"/>
      <c r="B306" s="250">
        <f>IF(OR(ISNA(MATCH(C306&amp;"",AthleteNumbers,0)),ISBLANK(C306)),0,MATCH(C306&amp;"",AthleteNumbers,0))</f>
        <v>0</v>
      </c>
      <c r="C306" s="413"/>
      <c r="D306" s="273" t="str">
        <f t="array" ref="D306">IF($B306&gt;0,INDEX(DB,$B306,8),"")</f>
        <v/>
      </c>
      <c r="E306" s="274" t="str">
        <f t="array" ref="E306">IF($B306&gt;0,INDEX(DB,$B306,3),"")</f>
        <v/>
      </c>
      <c r="F306" s="275">
        <f t="array" ref="F306">IF($B306&gt;0,INDEX(DB,$B306,13),0)</f>
        <v>0</v>
      </c>
      <c r="G306" s="276">
        <f t="array" ref="G306">IF($B306&gt;0,INDEX(DB,$B306,17),0)</f>
        <v>0</v>
      </c>
      <c r="H306" s="277">
        <f t="array" ref="H306">IF($B306&gt;0,INDEX(DB,$B306,15),0)</f>
        <v>0</v>
      </c>
      <c r="I306" s="276">
        <f t="array" ref="I306">IF($B306&gt;0,INDEX(DB,$B306,19),0)</f>
        <v>0</v>
      </c>
      <c r="J306" s="277">
        <f t="array" ref="J306">IF($B306&gt;0,INDEX(DB,$B306,14),0)</f>
        <v>0</v>
      </c>
      <c r="K306" s="276">
        <f t="array" ref="K306">IF($B306&gt;0,INDEX(DB,$B306,18),0)</f>
        <v>0</v>
      </c>
      <c r="L306" s="275">
        <f t="array" ref="L306">IF($B306&gt;0,INDEX(DB,$B306,16),0)</f>
        <v>0</v>
      </c>
      <c r="M306" s="276">
        <f t="array" ref="M306">IF($B306&gt;0,INDEX(DB,$B306,20),0)</f>
        <v>0</v>
      </c>
      <c r="N306" s="278"/>
      <c r="O306" s="279">
        <f t="shared" si="1"/>
        <v>0</v>
      </c>
      <c r="P306" s="280"/>
      <c r="Q306" s="261" t="str">
        <f t="shared" si="2"/>
        <v>#REF!</v>
      </c>
      <c r="R306" s="281" t="str">
        <f>IF($AI306&gt;0,RANK($AI306,BoysPoints),0)</f>
        <v>#REF!</v>
      </c>
      <c r="S306" s="282" t="str">
        <f>IF($AJ306&gt;0,RANK($AJ306,GirlsPoints),0)</f>
        <v>#REF!</v>
      </c>
      <c r="T306" s="283">
        <f>IF($O306&gt;0,RANK(O306,AthletePoints),0)</f>
        <v>0</v>
      </c>
      <c r="U306" s="210"/>
      <c r="V306" s="415" t="str">
        <f>IF(O306&gt;=40,IF(X306="M",VLOOKUP(O306,UKABoysAwards,2),IF(X306="F",VLOOKUP(O306,UKAGirlsAwards,2),"")),"")</f>
        <v/>
      </c>
      <c r="W306" s="210"/>
      <c r="X306" s="266" t="str">
        <f t="array" ref="X306:X307">INDEX(DB,$B306,4)</f>
        <v>#REF!</v>
      </c>
      <c r="Y306" s="210"/>
      <c r="Z306" s="285" t="str">
        <f t="shared" si="3"/>
        <v>#REF!</v>
      </c>
      <c r="AA306" s="286" t="str">
        <f>IF($Z306&gt;=1,RANK($Z306,$Z293:$Z308),0)</f>
        <v>#REF!</v>
      </c>
      <c r="AB306" s="287" t="str">
        <f>IF(AA306&lt;=MaxS,INT(Z306),0)</f>
        <v>#REF!</v>
      </c>
      <c r="AC306" s="210"/>
      <c r="AD306" s="285" t="str">
        <f t="shared" si="4"/>
        <v>#REF!</v>
      </c>
      <c r="AE306" s="286" t="str">
        <f>IF($AD306&gt;=1,RANK($AD306,$AD293:$AD308),0)</f>
        <v>#REF!</v>
      </c>
      <c r="AF306" s="287" t="str">
        <f>IF(AE306&lt;=MaxS,INT(AD306),0)</f>
        <v>#REF!</v>
      </c>
      <c r="AG306" s="210"/>
      <c r="AH306" s="210"/>
      <c r="AI306" s="288" t="str">
        <f t="shared" si="5"/>
        <v>#REF!</v>
      </c>
      <c r="AJ306" s="289" t="str">
        <f t="shared" si="6"/>
        <v>#REF!</v>
      </c>
    </row>
    <row r="307" ht="15.0" customHeight="1">
      <c r="A307" s="272"/>
      <c r="B307" s="250">
        <f>IF(OR(ISNA(MATCH(C307&amp;"",AthleteNumbers,0)),ISBLANK(C307)),0,MATCH(C307&amp;"",AthleteNumbers,0))</f>
        <v>0</v>
      </c>
      <c r="C307" s="413"/>
      <c r="D307" s="273" t="str">
        <f t="array" ref="D307">IF($B307&gt;0,INDEX(DB,$B307,8),"")</f>
        <v/>
      </c>
      <c r="E307" s="274" t="str">
        <f t="array" ref="E307">IF($B307&gt;0,INDEX(DB,$B307,3),"")</f>
        <v/>
      </c>
      <c r="F307" s="275">
        <f t="array" ref="F307">IF($B307&gt;0,INDEX(DB,$B307,13),0)</f>
        <v>0</v>
      </c>
      <c r="G307" s="276">
        <f t="array" ref="G307">IF($B307&gt;0,INDEX(DB,$B307,17),0)</f>
        <v>0</v>
      </c>
      <c r="H307" s="277">
        <f t="array" ref="H307">IF($B307&gt;0,INDEX(DB,$B307,15),0)</f>
        <v>0</v>
      </c>
      <c r="I307" s="276">
        <f t="array" ref="I307">IF($B307&gt;0,INDEX(DB,$B307,19),0)</f>
        <v>0</v>
      </c>
      <c r="J307" s="277">
        <f t="array" ref="J307">IF($B307&gt;0,INDEX(DB,$B307,14),0)</f>
        <v>0</v>
      </c>
      <c r="K307" s="276">
        <f t="array" ref="K307">IF($B307&gt;0,INDEX(DB,$B307,18),0)</f>
        <v>0</v>
      </c>
      <c r="L307" s="275">
        <f t="array" ref="L307">IF($B307&gt;0,INDEX(DB,$B307,16),0)</f>
        <v>0</v>
      </c>
      <c r="M307" s="276">
        <f t="array" ref="M307">IF($B307&gt;0,INDEX(DB,$B307,20),0)</f>
        <v>0</v>
      </c>
      <c r="N307" s="278"/>
      <c r="O307" s="279">
        <f t="shared" si="1"/>
        <v>0</v>
      </c>
      <c r="P307" s="280"/>
      <c r="Q307" s="261" t="str">
        <f t="shared" si="2"/>
        <v>#REF!</v>
      </c>
      <c r="R307" s="290" t="str">
        <f>IF($AI307&gt;0,RANK($AI307,BoysPoints),0)</f>
        <v>#REF!</v>
      </c>
      <c r="S307" s="291" t="str">
        <f>IF($AJ307&gt;0,RANK($AJ307,GirlsPoints),0)</f>
        <v>#REF!</v>
      </c>
      <c r="T307" s="292">
        <f>IF($O307&gt;0,RANK(O307,AthletePoints),0)</f>
        <v>0</v>
      </c>
      <c r="U307" s="210"/>
      <c r="V307" s="330" t="str">
        <f>IF(O307&gt;=40,IF(X307="M",VLOOKUP(O307,UKABoysAwards,2),IF(X307="F",VLOOKUP(O307,UKAGirlsAwards,2),"")),"")</f>
        <v/>
      </c>
      <c r="W307" s="210"/>
      <c r="X307" s="266" t="str">
        <f t="array" ref="X307:X308">INDEX(DB,$B307,4)</f>
        <v>#REF!</v>
      </c>
      <c r="Y307" s="210"/>
      <c r="Z307" s="285" t="str">
        <f t="shared" si="3"/>
        <v>#REF!</v>
      </c>
      <c r="AA307" s="286" t="str">
        <f>IF($Z307&gt;=1,RANK($Z307,$Z293:$Z308),0)</f>
        <v>#REF!</v>
      </c>
      <c r="AB307" s="287" t="str">
        <f>IF(AA307&lt;=MaxS,INT(Z307),0)</f>
        <v>#REF!</v>
      </c>
      <c r="AC307" s="210"/>
      <c r="AD307" s="285" t="str">
        <f t="shared" si="4"/>
        <v>#REF!</v>
      </c>
      <c r="AE307" s="286" t="str">
        <f>IF($AD307&gt;=1,RANK($AD307,$AD293:$AD308),0)</f>
        <v>#REF!</v>
      </c>
      <c r="AF307" s="287" t="str">
        <f>IF(AE307&lt;=MaxS,INT(AD307),0)</f>
        <v>#REF!</v>
      </c>
      <c r="AG307" s="210"/>
      <c r="AH307" s="210"/>
      <c r="AI307" s="288" t="str">
        <f t="shared" si="5"/>
        <v>#REF!</v>
      </c>
      <c r="AJ307" s="289" t="str">
        <f t="shared" si="6"/>
        <v>#REF!</v>
      </c>
    </row>
    <row r="308" ht="15.0" customHeight="1">
      <c r="A308" s="305"/>
      <c r="B308" s="250">
        <f>IF(OR(ISNA(MATCH(C308&amp;"",AthleteNumbers,0)),ISBLANK(C308)),0,MATCH(C308&amp;"",AthleteNumbers,0))</f>
        <v>0</v>
      </c>
      <c r="C308" s="443"/>
      <c r="D308" s="306" t="str">
        <f t="array" ref="D308">IF($B308&gt;0,INDEX(DB,$B308,8),"")</f>
        <v/>
      </c>
      <c r="E308" s="307" t="str">
        <f t="array" ref="E308">IF($B308&gt;0,INDEX(DB,$B308,3),"")</f>
        <v/>
      </c>
      <c r="F308" s="308">
        <f t="array" ref="F308">IF($B308&gt;0,INDEX(DB,$B308,13),0)</f>
        <v>0</v>
      </c>
      <c r="G308" s="309">
        <f t="array" ref="G308">IF($B308&gt;0,INDEX(DB,$B308,17),0)</f>
        <v>0</v>
      </c>
      <c r="H308" s="310">
        <f t="array" ref="H308">IF($B308&gt;0,INDEX(DB,$B308,15),0)</f>
        <v>0</v>
      </c>
      <c r="I308" s="309">
        <f t="array" ref="I308">IF($B308&gt;0,INDEX(DB,$B308,19),0)</f>
        <v>0</v>
      </c>
      <c r="J308" s="310">
        <f t="array" ref="J308">IF($B308&gt;0,INDEX(DB,$B308,14),0)</f>
        <v>0</v>
      </c>
      <c r="K308" s="309">
        <f t="array" ref="K308">IF($B308&gt;0,INDEX(DB,$B308,18),0)</f>
        <v>0</v>
      </c>
      <c r="L308" s="308">
        <f t="array" ref="L308">IF($B308&gt;0,INDEX(DB,$B308,16),0)</f>
        <v>0</v>
      </c>
      <c r="M308" s="309">
        <f t="array" ref="M308">IF($B308&gt;0,INDEX(DB,$B308,20),0)</f>
        <v>0</v>
      </c>
      <c r="N308" s="25"/>
      <c r="O308" s="311">
        <f t="shared" si="1"/>
        <v>0</v>
      </c>
      <c r="P308" s="31"/>
      <c r="Q308" s="261" t="str">
        <f t="shared" si="2"/>
        <v>#REF!</v>
      </c>
      <c r="R308" s="312" t="str">
        <f>IF($AI308&gt;0,RANK($AI308,BoysPoints),0)</f>
        <v>#REF!</v>
      </c>
      <c r="S308" s="313" t="str">
        <f>IF($AJ308&gt;0,RANK($AJ308,GirlsPoints),0)</f>
        <v>#REF!</v>
      </c>
      <c r="T308" s="314">
        <f>IF($O308&gt;0,RANK(O308,AthletePoints),0)</f>
        <v>0</v>
      </c>
      <c r="U308" s="210"/>
      <c r="V308" s="444" t="str">
        <f>IF(O308&gt;=40,IF(X308="M",VLOOKUP(O308,UKABoysAwards,2),IF(X308="F",VLOOKUP(O308,UKAGirlsAwards,2),"")),"")</f>
        <v/>
      </c>
      <c r="W308" s="210"/>
      <c r="X308" s="266" t="str">
        <f t="array" ref="X308:X309">INDEX(DB,$B308,4)</f>
        <v>#REF!</v>
      </c>
      <c r="Y308" s="210"/>
      <c r="Z308" s="316" t="str">
        <f t="shared" si="3"/>
        <v>#REF!</v>
      </c>
      <c r="AA308" s="243" t="str">
        <f>IF($Z308&gt;=1,RANK($Z308,$Z293:$Z308),0)</f>
        <v>#REF!</v>
      </c>
      <c r="AB308" s="245" t="str">
        <f>IF(AA308&lt;=MaxS,INT(Z308),0)</f>
        <v>#REF!</v>
      </c>
      <c r="AC308" s="210" t="str">
        <f>SUM(AB293:AB308)</f>
        <v>#REF!</v>
      </c>
      <c r="AD308" s="316" t="str">
        <f t="shared" si="4"/>
        <v>#REF!</v>
      </c>
      <c r="AE308" s="243" t="str">
        <f>IF($AD308&gt;=1,RANK($AD308,$AD293:$AD308),0)</f>
        <v>#REF!</v>
      </c>
      <c r="AF308" s="245" t="str">
        <f>IF(AE308&lt;=MaxS,INT(AD308),0)</f>
        <v>#REF!</v>
      </c>
      <c r="AG308" s="210" t="str">
        <f>SUM(AF293:AF308)</f>
        <v>#REF!</v>
      </c>
      <c r="AH308" s="210"/>
      <c r="AI308" s="246" t="str">
        <f t="shared" si="5"/>
        <v>#REF!</v>
      </c>
      <c r="AJ308" s="247" t="str">
        <f t="shared" si="6"/>
        <v>#REF!</v>
      </c>
    </row>
    <row r="309" ht="15.0" customHeight="1">
      <c r="A309" s="248" t="str">
        <f>IF(LEN(E309),+E309,"")</f>
        <v/>
      </c>
      <c r="B309" s="250">
        <f>IF(OR(ISNA(MATCH(C309&amp;"",AthleteNumbers,0)),ISBLANK(C309)),0,MATCH(C309&amp;"",AthleteNumbers,0))</f>
        <v>0</v>
      </c>
      <c r="C309" s="251"/>
      <c r="D309" s="252" t="str">
        <f t="array" ref="D309">IF($B309&gt;0,INDEX(DB,$B309,8),"")</f>
        <v/>
      </c>
      <c r="E309" s="253" t="str">
        <f t="array" ref="E309">IF($B309&gt;0,INDEX(DB,$B309,3),"")</f>
        <v/>
      </c>
      <c r="F309" s="254">
        <f t="array" ref="F309">IF($B309&gt;0,INDEX(DB,$B309,13),0)</f>
        <v>0</v>
      </c>
      <c r="G309" s="255">
        <f t="array" ref="G309">IF($B309&gt;0,INDEX(DB,$B309,17),0)</f>
        <v>0</v>
      </c>
      <c r="H309" s="257">
        <f t="array" ref="H309">IF($B309&gt;0,INDEX(DB,$B309,15),0)</f>
        <v>0</v>
      </c>
      <c r="I309" s="255">
        <f t="array" ref="I309">IF($B309&gt;0,INDEX(DB,$B309,19),0)</f>
        <v>0</v>
      </c>
      <c r="J309" s="257">
        <f t="array" ref="J309">IF($B309&gt;0,INDEX(DB,$B309,14),0)</f>
        <v>0</v>
      </c>
      <c r="K309" s="255">
        <f t="array" ref="K309">IF($B309&gt;0,INDEX(DB,$B309,18),0)</f>
        <v>0</v>
      </c>
      <c r="L309" s="254">
        <f t="array" ref="L309">IF($B309&gt;0,INDEX(DB,$B309,16),0)</f>
        <v>0</v>
      </c>
      <c r="M309" s="255">
        <f t="array" ref="M309">IF($B309&gt;0,INDEX(DB,$B309,20),0)</f>
        <v>0</v>
      </c>
      <c r="N309" s="258" t="str">
        <f t="array" ref="N309:N325">INDEX(RelayPoints,A324)</f>
        <v>#REF!</v>
      </c>
      <c r="O309" s="259">
        <f t="shared" si="1"/>
        <v>0</v>
      </c>
      <c r="P309" s="260" t="str">
        <f>+AC324+AG324+N309</f>
        <v>#REF!</v>
      </c>
      <c r="Q309" s="261" t="str">
        <f t="shared" si="2"/>
        <v>#REF!</v>
      </c>
      <c r="R309" s="262" t="str">
        <f>IF($AI309&gt;0,RANK($AI309,BoysPoints),0)</f>
        <v>#REF!</v>
      </c>
      <c r="S309" s="263" t="str">
        <f>IF($AJ309&gt;0,RANK($AJ309,GirlsPoints),0)</f>
        <v>#REF!</v>
      </c>
      <c r="T309" s="264">
        <f>IF($O309&gt;0,RANK(O309,AthletePoints),0)</f>
        <v>0</v>
      </c>
      <c r="U309" s="210"/>
      <c r="V309" s="317" t="str">
        <f>IF(O309&gt;=40,IF(X309="M",VLOOKUP(O309,UKABoysAwards,2),IF(X309="F",VLOOKUP(O309,UKAGirlsAwards,2),"")),"")</f>
        <v/>
      </c>
      <c r="W309" s="210"/>
      <c r="X309" s="266" t="str">
        <f t="array" ref="X309:X310">INDEX(DB,$B309,4)</f>
        <v>#REF!</v>
      </c>
      <c r="Y309" s="210"/>
      <c r="Z309" s="267" t="str">
        <f t="shared" si="3"/>
        <v>#REF!</v>
      </c>
      <c r="AA309" s="268" t="str">
        <f>IF($Z309&gt;=1,RANK($Z309,$Z309:$Z324),0)</f>
        <v>#REF!</v>
      </c>
      <c r="AB309" s="269" t="str">
        <f>IF(AA309&lt;=MaxS,INT(Z309),0)</f>
        <v>#REF!</v>
      </c>
      <c r="AC309" s="210"/>
      <c r="AD309" s="267" t="str">
        <f t="shared" si="4"/>
        <v>#REF!</v>
      </c>
      <c r="AE309" s="268" t="str">
        <f>IF($AD309&gt;=1,RANK($AD309,$AD309:$AD324),0)</f>
        <v>#REF!</v>
      </c>
      <c r="AF309" s="269" t="str">
        <f>IF(AE309&lt;=MaxS,INT(AD309),0)</f>
        <v>#REF!</v>
      </c>
      <c r="AG309" s="210"/>
      <c r="AH309" s="210"/>
      <c r="AI309" s="288" t="str">
        <f t="shared" si="5"/>
        <v>#REF!</v>
      </c>
      <c r="AJ309" s="289" t="str">
        <f t="shared" si="6"/>
        <v>#REF!</v>
      </c>
    </row>
    <row r="310" ht="15.0" customHeight="1">
      <c r="A310" s="272"/>
      <c r="B310" s="250">
        <f>IF(OR(ISNA(MATCH(C310&amp;"",AthleteNumbers,0)),ISBLANK(C310)),0,MATCH(C310&amp;"",AthleteNumbers,0))</f>
        <v>0</v>
      </c>
      <c r="C310" s="413"/>
      <c r="D310" s="273" t="str">
        <f t="array" ref="D310">IF($B310&gt;0,INDEX(DB,$B310,8),"")</f>
        <v/>
      </c>
      <c r="E310" s="274" t="str">
        <f t="array" ref="E310">IF($B310&gt;0,INDEX(DB,$B310,3),"")</f>
        <v/>
      </c>
      <c r="F310" s="275">
        <f t="array" ref="F310">IF($B310&gt;0,INDEX(DB,$B310,13),0)</f>
        <v>0</v>
      </c>
      <c r="G310" s="276">
        <f t="array" ref="G310">IF($B310&gt;0,INDEX(DB,$B310,17),0)</f>
        <v>0</v>
      </c>
      <c r="H310" s="277">
        <f t="array" ref="H310">IF($B310&gt;0,INDEX(DB,$B310,15),0)</f>
        <v>0</v>
      </c>
      <c r="I310" s="276">
        <f t="array" ref="I310">IF($B310&gt;0,INDEX(DB,$B310,19),0)</f>
        <v>0</v>
      </c>
      <c r="J310" s="277">
        <f t="array" ref="J310">IF($B310&gt;0,INDEX(DB,$B310,14),0)</f>
        <v>0</v>
      </c>
      <c r="K310" s="276">
        <f t="array" ref="K310">IF($B310&gt;0,INDEX(DB,$B310,18),0)</f>
        <v>0</v>
      </c>
      <c r="L310" s="275">
        <f t="array" ref="L310">IF($B310&gt;0,INDEX(DB,$B310,16),0)</f>
        <v>0</v>
      </c>
      <c r="M310" s="276">
        <f t="array" ref="M310">IF($B310&gt;0,INDEX(DB,$B310,20),0)</f>
        <v>0</v>
      </c>
      <c r="N310" s="278"/>
      <c r="O310" s="279">
        <f t="shared" si="1"/>
        <v>0</v>
      </c>
      <c r="P310" s="280"/>
      <c r="Q310" s="261" t="str">
        <f t="shared" si="2"/>
        <v>#REF!</v>
      </c>
      <c r="R310" s="281" t="str">
        <f>IF($AI310&gt;0,RANK($AI310,BoysPoints),0)</f>
        <v>#REF!</v>
      </c>
      <c r="S310" s="282" t="str">
        <f>IF($AJ310&gt;0,RANK($AJ310,GirlsPoints),0)</f>
        <v>#REF!</v>
      </c>
      <c r="T310" s="283">
        <f>IF($O310&gt;0,RANK(O310,AthletePoints),0)</f>
        <v>0</v>
      </c>
      <c r="U310" s="210"/>
      <c r="V310" s="415" t="str">
        <f>IF(O310&gt;=40,IF(X310="M",VLOOKUP(O310,UKABoysAwards,2),IF(X310="F",VLOOKUP(O310,UKAGirlsAwards,2),"")),"")</f>
        <v/>
      </c>
      <c r="W310" s="210"/>
      <c r="X310" s="266" t="str">
        <f t="array" ref="X310:X311">INDEX(DB,$B310,4)</f>
        <v>#REF!</v>
      </c>
      <c r="Y310" s="210"/>
      <c r="Z310" s="285" t="str">
        <f t="shared" si="3"/>
        <v>#REF!</v>
      </c>
      <c r="AA310" s="286" t="str">
        <f>IF($Z310&gt;=1,RANK($Z310,$Z309:$Z324),0)</f>
        <v>#REF!</v>
      </c>
      <c r="AB310" s="287" t="str">
        <f>IF(AA310&lt;=MaxS,INT(Z310),0)</f>
        <v>#REF!</v>
      </c>
      <c r="AC310" s="210"/>
      <c r="AD310" s="285" t="str">
        <f t="shared" si="4"/>
        <v>#REF!</v>
      </c>
      <c r="AE310" s="286" t="str">
        <f>IF($AD310&gt;=1,RANK($AD310,$AD309:$AD324),0)</f>
        <v>#REF!</v>
      </c>
      <c r="AF310" s="287" t="str">
        <f>IF(AE310&lt;=MaxS,INT(AD310),0)</f>
        <v>#REF!</v>
      </c>
      <c r="AG310" s="210"/>
      <c r="AH310" s="210"/>
      <c r="AI310" s="288" t="str">
        <f t="shared" si="5"/>
        <v>#REF!</v>
      </c>
      <c r="AJ310" s="289" t="str">
        <f t="shared" si="6"/>
        <v>#REF!</v>
      </c>
    </row>
    <row r="311" ht="15.0" customHeight="1">
      <c r="A311" s="272"/>
      <c r="B311" s="250">
        <f>IF(OR(ISNA(MATCH(C311&amp;"",AthleteNumbers,0)),ISBLANK(C311)),0,MATCH(C311&amp;"",AthleteNumbers,0))</f>
        <v>0</v>
      </c>
      <c r="C311" s="413"/>
      <c r="D311" s="273" t="str">
        <f t="array" ref="D311">IF($B311&gt;0,INDEX(DB,$B311,8),"")</f>
        <v/>
      </c>
      <c r="E311" s="274" t="str">
        <f t="array" ref="E311">IF($B311&gt;0,INDEX(DB,$B311,3),"")</f>
        <v/>
      </c>
      <c r="F311" s="275">
        <f t="array" ref="F311">IF($B311&gt;0,INDEX(DB,$B311,13),0)</f>
        <v>0</v>
      </c>
      <c r="G311" s="276">
        <f t="array" ref="G311">IF($B311&gt;0,INDEX(DB,$B311,17),0)</f>
        <v>0</v>
      </c>
      <c r="H311" s="277">
        <f t="array" ref="H311">IF($B311&gt;0,INDEX(DB,$B311,15),0)</f>
        <v>0</v>
      </c>
      <c r="I311" s="276">
        <f t="array" ref="I311">IF($B311&gt;0,INDEX(DB,$B311,19),0)</f>
        <v>0</v>
      </c>
      <c r="J311" s="277">
        <f t="array" ref="J311">IF($B311&gt;0,INDEX(DB,$B311,14),0)</f>
        <v>0</v>
      </c>
      <c r="K311" s="276">
        <f t="array" ref="K311">IF($B311&gt;0,INDEX(DB,$B311,18),0)</f>
        <v>0</v>
      </c>
      <c r="L311" s="275">
        <f t="array" ref="L311">IF($B311&gt;0,INDEX(DB,$B311,16),0)</f>
        <v>0</v>
      </c>
      <c r="M311" s="276">
        <f t="array" ref="M311">IF($B311&gt;0,INDEX(DB,$B311,20),0)</f>
        <v>0</v>
      </c>
      <c r="N311" s="278"/>
      <c r="O311" s="279">
        <f t="shared" si="1"/>
        <v>0</v>
      </c>
      <c r="P311" s="280"/>
      <c r="Q311" s="261" t="str">
        <f t="shared" si="2"/>
        <v>#REF!</v>
      </c>
      <c r="R311" s="290" t="str">
        <f>IF($AI311&gt;0,RANK($AI311,BoysPoints),0)</f>
        <v>#REF!</v>
      </c>
      <c r="S311" s="291" t="str">
        <f>IF($AJ311&gt;0,RANK($AJ311,GirlsPoints),0)</f>
        <v>#REF!</v>
      </c>
      <c r="T311" s="292">
        <f>IF($O311&gt;0,RANK(O311,AthletePoints),0)</f>
        <v>0</v>
      </c>
      <c r="U311" s="210"/>
      <c r="V311" s="330" t="str">
        <f>IF(O311&gt;=40,IF(X311="M",VLOOKUP(O311,UKABoysAwards,2),IF(X311="F",VLOOKUP(O311,UKAGirlsAwards,2),"")),"")</f>
        <v/>
      </c>
      <c r="W311" s="210"/>
      <c r="X311" s="266" t="str">
        <f t="array" ref="X311:X312">INDEX(DB,$B311,4)</f>
        <v>#REF!</v>
      </c>
      <c r="Y311" s="210"/>
      <c r="Z311" s="285" t="str">
        <f t="shared" si="3"/>
        <v>#REF!</v>
      </c>
      <c r="AA311" s="286" t="str">
        <f>IF($Z311&gt;=1,RANK($Z311,$Z309:$Z324),0)</f>
        <v>#REF!</v>
      </c>
      <c r="AB311" s="287" t="str">
        <f>IF(AA311&lt;=MaxS,INT(Z311),0)</f>
        <v>#REF!</v>
      </c>
      <c r="AC311" s="210"/>
      <c r="AD311" s="285" t="str">
        <f t="shared" si="4"/>
        <v>#REF!</v>
      </c>
      <c r="AE311" s="286" t="str">
        <f>IF($AD311&gt;=1,RANK($AD311,$AD309:$AD324),0)</f>
        <v>#REF!</v>
      </c>
      <c r="AF311" s="287" t="str">
        <f>IF(AE311&lt;=MaxS,INT(AD311),0)</f>
        <v>#REF!</v>
      </c>
      <c r="AG311" s="210"/>
      <c r="AH311" s="210"/>
      <c r="AI311" s="288" t="str">
        <f t="shared" si="5"/>
        <v>#REF!</v>
      </c>
      <c r="AJ311" s="289" t="str">
        <f t="shared" si="6"/>
        <v>#REF!</v>
      </c>
    </row>
    <row r="312" ht="15.0" customHeight="1">
      <c r="A312" s="272"/>
      <c r="B312" s="250">
        <f>IF(OR(ISNA(MATCH(C312&amp;"",AthleteNumbers,0)),ISBLANK(C312)),0,MATCH(C312&amp;"",AthleteNumbers,0))</f>
        <v>0</v>
      </c>
      <c r="C312" s="413"/>
      <c r="D312" s="273" t="str">
        <f t="array" ref="D312">IF($B312&gt;0,INDEX(DB,$B312,8),"")</f>
        <v/>
      </c>
      <c r="E312" s="274" t="str">
        <f t="array" ref="E312">IF($B312&gt;0,INDEX(DB,$B312,3),"")</f>
        <v/>
      </c>
      <c r="F312" s="275">
        <f t="array" ref="F312">IF($B312&gt;0,INDEX(DB,$B312,13),0)</f>
        <v>0</v>
      </c>
      <c r="G312" s="276">
        <f t="array" ref="G312">IF($B312&gt;0,INDEX(DB,$B312,17),0)</f>
        <v>0</v>
      </c>
      <c r="H312" s="277">
        <f t="array" ref="H312">IF($B312&gt;0,INDEX(DB,$B312,15),0)</f>
        <v>0</v>
      </c>
      <c r="I312" s="276">
        <f t="array" ref="I312">IF($B312&gt;0,INDEX(DB,$B312,19),0)</f>
        <v>0</v>
      </c>
      <c r="J312" s="277">
        <f t="array" ref="J312">IF($B312&gt;0,INDEX(DB,$B312,14),0)</f>
        <v>0</v>
      </c>
      <c r="K312" s="276">
        <f t="array" ref="K312">IF($B312&gt;0,INDEX(DB,$B312,18),0)</f>
        <v>0</v>
      </c>
      <c r="L312" s="275">
        <f t="array" ref="L312">IF($B312&gt;0,INDEX(DB,$B312,16),0)</f>
        <v>0</v>
      </c>
      <c r="M312" s="276">
        <f t="array" ref="M312">IF($B312&gt;0,INDEX(DB,$B312,20),0)</f>
        <v>0</v>
      </c>
      <c r="N312" s="278"/>
      <c r="O312" s="279">
        <f t="shared" si="1"/>
        <v>0</v>
      </c>
      <c r="P312" s="280"/>
      <c r="Q312" s="261" t="str">
        <f t="shared" si="2"/>
        <v>#REF!</v>
      </c>
      <c r="R312" s="281" t="str">
        <f>IF($AI312&gt;0,RANK($AI312,BoysPoints),0)</f>
        <v>#REF!</v>
      </c>
      <c r="S312" s="282" t="str">
        <f>IF($AJ312&gt;0,RANK($AJ312,GirlsPoints),0)</f>
        <v>#REF!</v>
      </c>
      <c r="T312" s="283">
        <f>IF($O312&gt;0,RANK(O312,AthletePoints),0)</f>
        <v>0</v>
      </c>
      <c r="U312" s="210"/>
      <c r="V312" s="415" t="str">
        <f>IF(O312&gt;=40,IF(X312="M",VLOOKUP(O312,UKABoysAwards,2),IF(X312="F",VLOOKUP(O312,UKAGirlsAwards,2),"")),"")</f>
        <v/>
      </c>
      <c r="W312" s="210"/>
      <c r="X312" s="266" t="str">
        <f t="array" ref="X312:X313">INDEX(DB,$B312,4)</f>
        <v>#REF!</v>
      </c>
      <c r="Y312" s="210"/>
      <c r="Z312" s="285" t="str">
        <f t="shared" si="3"/>
        <v>#REF!</v>
      </c>
      <c r="AA312" s="286" t="str">
        <f>IF($Z312&gt;=1,RANK($Z312,$Z309:$Z324),0)</f>
        <v>#REF!</v>
      </c>
      <c r="AB312" s="287" t="str">
        <f>IF(AA312&lt;=MaxS,INT(Z312),0)</f>
        <v>#REF!</v>
      </c>
      <c r="AC312" s="210"/>
      <c r="AD312" s="285" t="str">
        <f t="shared" si="4"/>
        <v>#REF!</v>
      </c>
      <c r="AE312" s="286" t="str">
        <f>IF($AD312&gt;=1,RANK($AD312,$AD309:$AD324),0)</f>
        <v>#REF!</v>
      </c>
      <c r="AF312" s="287" t="str">
        <f>IF(AE312&lt;=MaxS,INT(AD312),0)</f>
        <v>#REF!</v>
      </c>
      <c r="AG312" s="210"/>
      <c r="AH312" s="210"/>
      <c r="AI312" s="288" t="str">
        <f t="shared" si="5"/>
        <v>#REF!</v>
      </c>
      <c r="AJ312" s="289" t="str">
        <f t="shared" si="6"/>
        <v>#REF!</v>
      </c>
    </row>
    <row r="313" ht="15.0" customHeight="1">
      <c r="A313" s="272"/>
      <c r="B313" s="250">
        <f>IF(OR(ISNA(MATCH(C313&amp;"",AthleteNumbers,0)),ISBLANK(C313)),0,MATCH(C313&amp;"",AthleteNumbers,0))</f>
        <v>0</v>
      </c>
      <c r="C313" s="413"/>
      <c r="D313" s="273" t="str">
        <f t="array" ref="D313">IF($B313&gt;0,INDEX(DB,$B313,8),"")</f>
        <v/>
      </c>
      <c r="E313" s="274" t="str">
        <f t="array" ref="E313">IF($B313&gt;0,INDEX(DB,$B313,3),"")</f>
        <v/>
      </c>
      <c r="F313" s="275">
        <f t="array" ref="F313">IF($B313&gt;0,INDEX(DB,$B313,13),0)</f>
        <v>0</v>
      </c>
      <c r="G313" s="276">
        <f t="array" ref="G313">IF($B313&gt;0,INDEX(DB,$B313,17),0)</f>
        <v>0</v>
      </c>
      <c r="H313" s="277">
        <f t="array" ref="H313">IF($B313&gt;0,INDEX(DB,$B313,15),0)</f>
        <v>0</v>
      </c>
      <c r="I313" s="276">
        <f t="array" ref="I313">IF($B313&gt;0,INDEX(DB,$B313,19),0)</f>
        <v>0</v>
      </c>
      <c r="J313" s="277">
        <f t="array" ref="J313">IF($B313&gt;0,INDEX(DB,$B313,14),0)</f>
        <v>0</v>
      </c>
      <c r="K313" s="276">
        <f t="array" ref="K313">IF($B313&gt;0,INDEX(DB,$B313,18),0)</f>
        <v>0</v>
      </c>
      <c r="L313" s="275">
        <f t="array" ref="L313">IF($B313&gt;0,INDEX(DB,$B313,16),0)</f>
        <v>0</v>
      </c>
      <c r="M313" s="276">
        <f t="array" ref="M313">IF($B313&gt;0,INDEX(DB,$B313,20),0)</f>
        <v>0</v>
      </c>
      <c r="N313" s="278"/>
      <c r="O313" s="279">
        <f t="shared" si="1"/>
        <v>0</v>
      </c>
      <c r="P313" s="280"/>
      <c r="Q313" s="261" t="str">
        <f t="shared" si="2"/>
        <v>#REF!</v>
      </c>
      <c r="R313" s="290" t="str">
        <f>IF($AI313&gt;0,RANK($AI313,BoysPoints),0)</f>
        <v>#REF!</v>
      </c>
      <c r="S313" s="291" t="str">
        <f>IF($AJ313&gt;0,RANK($AJ313,GirlsPoints),0)</f>
        <v>#REF!</v>
      </c>
      <c r="T313" s="292">
        <f>IF($O313&gt;0,RANK(O313,AthletePoints),0)</f>
        <v>0</v>
      </c>
      <c r="U313" s="210"/>
      <c r="V313" s="330" t="str">
        <f>IF(O313&gt;=40,IF(X313="M",VLOOKUP(O313,UKABoysAwards,2),IF(X313="F",VLOOKUP(O313,UKAGirlsAwards,2),"")),"")</f>
        <v/>
      </c>
      <c r="W313" s="210"/>
      <c r="X313" s="266" t="str">
        <f t="array" ref="X313:X314">INDEX(DB,$B313,4)</f>
        <v>#REF!</v>
      </c>
      <c r="Y313" s="210"/>
      <c r="Z313" s="285" t="str">
        <f t="shared" si="3"/>
        <v>#REF!</v>
      </c>
      <c r="AA313" s="286" t="str">
        <f>IF($Z313&gt;=1,RANK($Z313,$Z309:$Z324),0)</f>
        <v>#REF!</v>
      </c>
      <c r="AB313" s="287" t="str">
        <f>IF(AA313&lt;=MaxS,INT(Z313),0)</f>
        <v>#REF!</v>
      </c>
      <c r="AC313" s="210"/>
      <c r="AD313" s="285" t="str">
        <f t="shared" si="4"/>
        <v>#REF!</v>
      </c>
      <c r="AE313" s="286" t="str">
        <f>IF($AD313&gt;=1,RANK($AD313,$AD309:$AD324),0)</f>
        <v>#REF!</v>
      </c>
      <c r="AF313" s="287" t="str">
        <f>IF(AE313&lt;=MaxS,INT(AD313),0)</f>
        <v>#REF!</v>
      </c>
      <c r="AG313" s="210"/>
      <c r="AH313" s="210"/>
      <c r="AI313" s="288" t="str">
        <f t="shared" si="5"/>
        <v>#REF!</v>
      </c>
      <c r="AJ313" s="289" t="str">
        <f t="shared" si="6"/>
        <v>#REF!</v>
      </c>
    </row>
    <row r="314" ht="15.0" customHeight="1">
      <c r="A314" s="272"/>
      <c r="B314" s="250">
        <f>IF(OR(ISNA(MATCH(C314&amp;"",AthleteNumbers,0)),ISBLANK(C314)),0,MATCH(C314&amp;"",AthleteNumbers,0))</f>
        <v>0</v>
      </c>
      <c r="C314" s="413"/>
      <c r="D314" s="273" t="str">
        <f t="array" ref="D314">IF($B314&gt;0,INDEX(DB,$B314,8),"")</f>
        <v/>
      </c>
      <c r="E314" s="274" t="str">
        <f t="array" ref="E314">IF($B314&gt;0,INDEX(DB,$B314,3),"")</f>
        <v/>
      </c>
      <c r="F314" s="275">
        <f t="array" ref="F314">IF($B314&gt;0,INDEX(DB,$B314,13),0)</f>
        <v>0</v>
      </c>
      <c r="G314" s="276">
        <f t="array" ref="G314">IF($B314&gt;0,INDEX(DB,$B314,17),0)</f>
        <v>0</v>
      </c>
      <c r="H314" s="277">
        <f t="array" ref="H314">IF($B314&gt;0,INDEX(DB,$B314,15),0)</f>
        <v>0</v>
      </c>
      <c r="I314" s="276">
        <f t="array" ref="I314">IF($B314&gt;0,INDEX(DB,$B314,19),0)</f>
        <v>0</v>
      </c>
      <c r="J314" s="277">
        <f t="array" ref="J314">IF($B314&gt;0,INDEX(DB,$B314,14),0)</f>
        <v>0</v>
      </c>
      <c r="K314" s="276">
        <f t="array" ref="K314">IF($B314&gt;0,INDEX(DB,$B314,18),0)</f>
        <v>0</v>
      </c>
      <c r="L314" s="275">
        <f t="array" ref="L314">IF($B314&gt;0,INDEX(DB,$B314,16),0)</f>
        <v>0</v>
      </c>
      <c r="M314" s="276">
        <f t="array" ref="M314">IF($B314&gt;0,INDEX(DB,$B314,20),0)</f>
        <v>0</v>
      </c>
      <c r="N314" s="278"/>
      <c r="O314" s="279">
        <f t="shared" si="1"/>
        <v>0</v>
      </c>
      <c r="P314" s="280"/>
      <c r="Q314" s="261" t="str">
        <f t="shared" si="2"/>
        <v>#REF!</v>
      </c>
      <c r="R314" s="281" t="str">
        <f>IF($AI314&gt;0,RANK($AI314,BoysPoints),0)</f>
        <v>#REF!</v>
      </c>
      <c r="S314" s="282" t="str">
        <f>IF($AJ314&gt;0,RANK($AJ314,GirlsPoints),0)</f>
        <v>#REF!</v>
      </c>
      <c r="T314" s="283">
        <f>IF($O314&gt;0,RANK(O314,AthletePoints),0)</f>
        <v>0</v>
      </c>
      <c r="U314" s="210"/>
      <c r="V314" s="415" t="str">
        <f>IF(O314&gt;=40,IF(X314="M",VLOOKUP(O314,UKABoysAwards,2),IF(X314="F",VLOOKUP(O314,UKAGirlsAwards,2),"")),"")</f>
        <v/>
      </c>
      <c r="W314" s="210"/>
      <c r="X314" s="266" t="str">
        <f t="array" ref="X314:X315">INDEX(DB,$B314,4)</f>
        <v>#REF!</v>
      </c>
      <c r="Y314" s="210"/>
      <c r="Z314" s="285" t="str">
        <f t="shared" si="3"/>
        <v>#REF!</v>
      </c>
      <c r="AA314" s="286" t="str">
        <f>IF($Z314&gt;=1,RANK($Z314,$Z309:$Z324),0)</f>
        <v>#REF!</v>
      </c>
      <c r="AB314" s="287" t="str">
        <f>IF(AA314&lt;=MaxS,INT(Z314),0)</f>
        <v>#REF!</v>
      </c>
      <c r="AC314" s="210"/>
      <c r="AD314" s="285" t="str">
        <f t="shared" si="4"/>
        <v>#REF!</v>
      </c>
      <c r="AE314" s="286" t="str">
        <f>IF($AD314&gt;=1,RANK($AD314,$AD309:$AD324),0)</f>
        <v>#REF!</v>
      </c>
      <c r="AF314" s="287" t="str">
        <f>IF(AE314&lt;=MaxS,INT(AD314),0)</f>
        <v>#REF!</v>
      </c>
      <c r="AG314" s="210"/>
      <c r="AH314" s="210"/>
      <c r="AI314" s="288" t="str">
        <f t="shared" si="5"/>
        <v>#REF!</v>
      </c>
      <c r="AJ314" s="289" t="str">
        <f t="shared" si="6"/>
        <v>#REF!</v>
      </c>
    </row>
    <row r="315" ht="15.0" customHeight="1">
      <c r="A315" s="272"/>
      <c r="B315" s="250">
        <f>IF(OR(ISNA(MATCH(C315&amp;"",AthleteNumbers,0)),ISBLANK(C315)),0,MATCH(C315&amp;"",AthleteNumbers,0))</f>
        <v>0</v>
      </c>
      <c r="C315" s="413"/>
      <c r="D315" s="273" t="str">
        <f t="array" ref="D315">IF($B315&gt;0,INDEX(DB,$B315,8),"")</f>
        <v/>
      </c>
      <c r="E315" s="274" t="str">
        <f t="array" ref="E315">IF($B315&gt;0,INDEX(DB,$B315,3),"")</f>
        <v/>
      </c>
      <c r="F315" s="275">
        <f t="array" ref="F315">IF($B315&gt;0,INDEX(DB,$B315,13),0)</f>
        <v>0</v>
      </c>
      <c r="G315" s="276">
        <f t="array" ref="G315">IF($B315&gt;0,INDEX(DB,$B315,17),0)</f>
        <v>0</v>
      </c>
      <c r="H315" s="277">
        <f t="array" ref="H315">IF($B315&gt;0,INDEX(DB,$B315,15),0)</f>
        <v>0</v>
      </c>
      <c r="I315" s="276">
        <f t="array" ref="I315">IF($B315&gt;0,INDEX(DB,$B315,19),0)</f>
        <v>0</v>
      </c>
      <c r="J315" s="277">
        <f t="array" ref="J315">IF($B315&gt;0,INDEX(DB,$B315,14),0)</f>
        <v>0</v>
      </c>
      <c r="K315" s="276">
        <f t="array" ref="K315">IF($B315&gt;0,INDEX(DB,$B315,18),0)</f>
        <v>0</v>
      </c>
      <c r="L315" s="275">
        <f t="array" ref="L315">IF($B315&gt;0,INDEX(DB,$B315,16),0)</f>
        <v>0</v>
      </c>
      <c r="M315" s="276">
        <f t="array" ref="M315">IF($B315&gt;0,INDEX(DB,$B315,20),0)</f>
        <v>0</v>
      </c>
      <c r="N315" s="278"/>
      <c r="O315" s="279">
        <f t="shared" si="1"/>
        <v>0</v>
      </c>
      <c r="P315" s="280"/>
      <c r="Q315" s="261" t="str">
        <f t="shared" si="2"/>
        <v>#REF!</v>
      </c>
      <c r="R315" s="290" t="str">
        <f>IF($AI315&gt;0,RANK($AI315,BoysPoints),0)</f>
        <v>#REF!</v>
      </c>
      <c r="S315" s="291" t="str">
        <f>IF($AJ315&gt;0,RANK($AJ315,GirlsPoints),0)</f>
        <v>#REF!</v>
      </c>
      <c r="T315" s="292">
        <f>IF($O315&gt;0,RANK(O315,AthletePoints),0)</f>
        <v>0</v>
      </c>
      <c r="U315" s="210"/>
      <c r="V315" s="330" t="str">
        <f>IF(O315&gt;=40,IF(X315="M",VLOOKUP(O315,UKABoysAwards,2),IF(X315="F",VLOOKUP(O315,UKAGirlsAwards,2),"")),"")</f>
        <v/>
      </c>
      <c r="W315" s="210"/>
      <c r="X315" s="266" t="str">
        <f t="array" ref="X315:X316">INDEX(DB,$B315,4)</f>
        <v>#REF!</v>
      </c>
      <c r="Y315" s="210"/>
      <c r="Z315" s="285" t="str">
        <f t="shared" si="3"/>
        <v>#REF!</v>
      </c>
      <c r="AA315" s="286" t="str">
        <f>IF($Z315&gt;=1,RANK($Z315,$Z309:$Z324),0)</f>
        <v>#REF!</v>
      </c>
      <c r="AB315" s="287" t="str">
        <f>IF(AA315&lt;=MaxS,INT(Z315),0)</f>
        <v>#REF!</v>
      </c>
      <c r="AC315" s="210"/>
      <c r="AD315" s="285" t="str">
        <f t="shared" si="4"/>
        <v>#REF!</v>
      </c>
      <c r="AE315" s="286" t="str">
        <f>IF($AD315&gt;=1,RANK($AD315,$AD309:$AD324),0)</f>
        <v>#REF!</v>
      </c>
      <c r="AF315" s="287" t="str">
        <f>IF(AE315&lt;=MaxS,INT(AD315),0)</f>
        <v>#REF!</v>
      </c>
      <c r="AG315" s="210"/>
      <c r="AH315" s="210"/>
      <c r="AI315" s="288" t="str">
        <f t="shared" si="5"/>
        <v>#REF!</v>
      </c>
      <c r="AJ315" s="289" t="str">
        <f t="shared" si="6"/>
        <v>#REF!</v>
      </c>
    </row>
    <row r="316" ht="15.0" customHeight="1">
      <c r="A316" s="272"/>
      <c r="B316" s="250">
        <f>IF(OR(ISNA(MATCH(C316&amp;"",AthleteNumbers,0)),ISBLANK(C316)),0,MATCH(C316&amp;"",AthleteNumbers,0))</f>
        <v>0</v>
      </c>
      <c r="C316" s="413"/>
      <c r="D316" s="273" t="str">
        <f t="array" ref="D316">IF($B316&gt;0,INDEX(DB,$B316,8),"")</f>
        <v/>
      </c>
      <c r="E316" s="274" t="str">
        <f t="array" ref="E316">IF($B316&gt;0,INDEX(DB,$B316,3),"")</f>
        <v/>
      </c>
      <c r="F316" s="275">
        <f t="array" ref="F316">IF($B316&gt;0,INDEX(DB,$B316,13),0)</f>
        <v>0</v>
      </c>
      <c r="G316" s="276">
        <f t="array" ref="G316">IF($B316&gt;0,INDEX(DB,$B316,17),0)</f>
        <v>0</v>
      </c>
      <c r="H316" s="277">
        <f t="array" ref="H316">IF($B316&gt;0,INDEX(DB,$B316,15),0)</f>
        <v>0</v>
      </c>
      <c r="I316" s="276">
        <f t="array" ref="I316">IF($B316&gt;0,INDEX(DB,$B316,19),0)</f>
        <v>0</v>
      </c>
      <c r="J316" s="277">
        <f t="array" ref="J316">IF($B316&gt;0,INDEX(DB,$B316,14),0)</f>
        <v>0</v>
      </c>
      <c r="K316" s="276">
        <f t="array" ref="K316">IF($B316&gt;0,INDEX(DB,$B316,18),0)</f>
        <v>0</v>
      </c>
      <c r="L316" s="275">
        <f t="array" ref="L316">IF($B316&gt;0,INDEX(DB,$B316,16),0)</f>
        <v>0</v>
      </c>
      <c r="M316" s="276">
        <f t="array" ref="M316">IF($B316&gt;0,INDEX(DB,$B316,20),0)</f>
        <v>0</v>
      </c>
      <c r="N316" s="278"/>
      <c r="O316" s="279">
        <f t="shared" si="1"/>
        <v>0</v>
      </c>
      <c r="P316" s="280"/>
      <c r="Q316" s="261" t="str">
        <f t="shared" si="2"/>
        <v>#REF!</v>
      </c>
      <c r="R316" s="281" t="str">
        <f>IF($AI316&gt;0,RANK($AI316,BoysPoints),0)</f>
        <v>#REF!</v>
      </c>
      <c r="S316" s="282" t="str">
        <f>IF($AJ316&gt;0,RANK($AJ316,GirlsPoints),0)</f>
        <v>#REF!</v>
      </c>
      <c r="T316" s="283">
        <f>IF($O316&gt;0,RANK(O316,AthletePoints),0)</f>
        <v>0</v>
      </c>
      <c r="U316" s="210"/>
      <c r="V316" s="415" t="str">
        <f>IF(O316&gt;=40,IF(X316="M",VLOOKUP(O316,UKABoysAwards,2),IF(X316="F",VLOOKUP(O316,UKAGirlsAwards,2),"")),"")</f>
        <v/>
      </c>
      <c r="W316" s="210"/>
      <c r="X316" s="266" t="str">
        <f t="array" ref="X316:X317">INDEX(DB,$B316,4)</f>
        <v>#REF!</v>
      </c>
      <c r="Y316" s="210"/>
      <c r="Z316" s="285" t="str">
        <f t="shared" si="3"/>
        <v>#REF!</v>
      </c>
      <c r="AA316" s="286" t="str">
        <f>IF($Z316&gt;=1,RANK($Z316,$Z309:$Z324),0)</f>
        <v>#REF!</v>
      </c>
      <c r="AB316" s="287" t="str">
        <f>IF(AA316&lt;=MaxS,INT(Z316),0)</f>
        <v>#REF!</v>
      </c>
      <c r="AC316" s="210"/>
      <c r="AD316" s="285" t="str">
        <f t="shared" si="4"/>
        <v>#REF!</v>
      </c>
      <c r="AE316" s="286" t="str">
        <f>IF($AD316&gt;=1,RANK($AD316,$AD309:$AD324),0)</f>
        <v>#REF!</v>
      </c>
      <c r="AF316" s="287" t="str">
        <f>IF(AE316&lt;=MaxS,INT(AD316),0)</f>
        <v>#REF!</v>
      </c>
      <c r="AG316" s="210"/>
      <c r="AH316" s="210"/>
      <c r="AI316" s="288" t="str">
        <f t="shared" si="5"/>
        <v>#REF!</v>
      </c>
      <c r="AJ316" s="289" t="str">
        <f t="shared" si="6"/>
        <v>#REF!</v>
      </c>
    </row>
    <row r="317" ht="15.0" customHeight="1">
      <c r="A317" s="272"/>
      <c r="B317" s="250">
        <f>IF(OR(ISNA(MATCH(C317&amp;"",AthleteNumbers,0)),ISBLANK(C317)),0,MATCH(C317&amp;"",AthleteNumbers,0))</f>
        <v>0</v>
      </c>
      <c r="C317" s="413"/>
      <c r="D317" s="273" t="str">
        <f t="array" ref="D317">IF($B317&gt;0,INDEX(DB,$B317,8),"")</f>
        <v/>
      </c>
      <c r="E317" s="274" t="str">
        <f t="array" ref="E317">IF($B317&gt;0,INDEX(DB,$B317,3),"")</f>
        <v/>
      </c>
      <c r="F317" s="275">
        <f t="array" ref="F317">IF($B317&gt;0,INDEX(DB,$B317,13),0)</f>
        <v>0</v>
      </c>
      <c r="G317" s="276">
        <f t="array" ref="G317">IF($B317&gt;0,INDEX(DB,$B317,17),0)</f>
        <v>0</v>
      </c>
      <c r="H317" s="277">
        <f t="array" ref="H317">IF($B317&gt;0,INDEX(DB,$B317,15),0)</f>
        <v>0</v>
      </c>
      <c r="I317" s="276">
        <f t="array" ref="I317">IF($B317&gt;0,INDEX(DB,$B317,19),0)</f>
        <v>0</v>
      </c>
      <c r="J317" s="277">
        <f t="array" ref="J317">IF($B317&gt;0,INDEX(DB,$B317,14),0)</f>
        <v>0</v>
      </c>
      <c r="K317" s="276">
        <f t="array" ref="K317">IF($B317&gt;0,INDEX(DB,$B317,18),0)</f>
        <v>0</v>
      </c>
      <c r="L317" s="275">
        <f t="array" ref="L317">IF($B317&gt;0,INDEX(DB,$B317,16),0)</f>
        <v>0</v>
      </c>
      <c r="M317" s="276">
        <f t="array" ref="M317">IF($B317&gt;0,INDEX(DB,$B317,20),0)</f>
        <v>0</v>
      </c>
      <c r="N317" s="278"/>
      <c r="O317" s="279">
        <f t="shared" si="1"/>
        <v>0</v>
      </c>
      <c r="P317" s="280"/>
      <c r="Q317" s="261" t="str">
        <f t="shared" si="2"/>
        <v>#REF!</v>
      </c>
      <c r="R317" s="290" t="str">
        <f>IF($AI317&gt;0,RANK($AI317,BoysPoints),0)</f>
        <v>#REF!</v>
      </c>
      <c r="S317" s="291" t="str">
        <f>IF($AJ317&gt;0,RANK($AJ317,GirlsPoints),0)</f>
        <v>#REF!</v>
      </c>
      <c r="T317" s="292">
        <f>IF($O317&gt;0,RANK(O317,AthletePoints),0)</f>
        <v>0</v>
      </c>
      <c r="U317" s="210"/>
      <c r="V317" s="330" t="str">
        <f>IF(O317&gt;=40,IF(X317="M",VLOOKUP(O317,UKABoysAwards,2),IF(X317="F",VLOOKUP(O317,UKAGirlsAwards,2),"")),"")</f>
        <v/>
      </c>
      <c r="W317" s="210"/>
      <c r="X317" s="266" t="str">
        <f t="array" ref="X317:X318">INDEX(DB,$B317,4)</f>
        <v>#REF!</v>
      </c>
      <c r="Y317" s="210"/>
      <c r="Z317" s="285" t="str">
        <f t="shared" si="3"/>
        <v>#REF!</v>
      </c>
      <c r="AA317" s="286" t="str">
        <f>IF($Z317&gt;=1,RANK($Z317,$Z309:$Z324),0)</f>
        <v>#REF!</v>
      </c>
      <c r="AB317" s="287" t="str">
        <f>IF(AA317&lt;=MaxS,INT(Z317),0)</f>
        <v>#REF!</v>
      </c>
      <c r="AC317" s="210"/>
      <c r="AD317" s="285" t="str">
        <f t="shared" si="4"/>
        <v>#REF!</v>
      </c>
      <c r="AE317" s="286" t="str">
        <f>IF($AD317&gt;=1,RANK($AD317,$AD309:$AD324),0)</f>
        <v>#REF!</v>
      </c>
      <c r="AF317" s="287" t="str">
        <f>IF(AE317&lt;=MaxS,INT(AD317),0)</f>
        <v>#REF!</v>
      </c>
      <c r="AG317" s="210"/>
      <c r="AH317" s="210"/>
      <c r="AI317" s="288" t="str">
        <f t="shared" si="5"/>
        <v>#REF!</v>
      </c>
      <c r="AJ317" s="289" t="str">
        <f t="shared" si="6"/>
        <v>#REF!</v>
      </c>
    </row>
    <row r="318" ht="15.0" customHeight="1">
      <c r="A318" s="272"/>
      <c r="B318" s="250">
        <f>IF(OR(ISNA(MATCH(C318&amp;"",AthleteNumbers,0)),ISBLANK(C318)),0,MATCH(C318&amp;"",AthleteNumbers,0))</f>
        <v>0</v>
      </c>
      <c r="C318" s="413"/>
      <c r="D318" s="273" t="str">
        <f t="array" ref="D318">IF($B318&gt;0,INDEX(DB,$B318,8),"")</f>
        <v/>
      </c>
      <c r="E318" s="274" t="str">
        <f t="array" ref="E318">IF($B318&gt;0,INDEX(DB,$B318,3),"")</f>
        <v/>
      </c>
      <c r="F318" s="275">
        <f t="array" ref="F318">IF($B318&gt;0,INDEX(DB,$B318,13),0)</f>
        <v>0</v>
      </c>
      <c r="G318" s="276">
        <f t="array" ref="G318">IF($B318&gt;0,INDEX(DB,$B318,17),0)</f>
        <v>0</v>
      </c>
      <c r="H318" s="277">
        <f t="array" ref="H318">IF($B318&gt;0,INDEX(DB,$B318,15),0)</f>
        <v>0</v>
      </c>
      <c r="I318" s="276">
        <f t="array" ref="I318">IF($B318&gt;0,INDEX(DB,$B318,19),0)</f>
        <v>0</v>
      </c>
      <c r="J318" s="277">
        <f t="array" ref="J318">IF($B318&gt;0,INDEX(DB,$B318,14),0)</f>
        <v>0</v>
      </c>
      <c r="K318" s="276">
        <f t="array" ref="K318">IF($B318&gt;0,INDEX(DB,$B318,18),0)</f>
        <v>0</v>
      </c>
      <c r="L318" s="275">
        <f t="array" ref="L318">IF($B318&gt;0,INDEX(DB,$B318,16),0)</f>
        <v>0</v>
      </c>
      <c r="M318" s="276">
        <f t="array" ref="M318">IF($B318&gt;0,INDEX(DB,$B318,20),0)</f>
        <v>0</v>
      </c>
      <c r="N318" s="278"/>
      <c r="O318" s="279">
        <f t="shared" si="1"/>
        <v>0</v>
      </c>
      <c r="P318" s="280"/>
      <c r="Q318" s="261" t="str">
        <f t="shared" si="2"/>
        <v>#REF!</v>
      </c>
      <c r="R318" s="281" t="str">
        <f>IF($AI318&gt;0,RANK($AI318,BoysPoints),0)</f>
        <v>#REF!</v>
      </c>
      <c r="S318" s="282" t="str">
        <f>IF($AJ318&gt;0,RANK($AJ318,GirlsPoints),0)</f>
        <v>#REF!</v>
      </c>
      <c r="T318" s="283">
        <f>IF($O318&gt;0,RANK(O318,AthletePoints),0)</f>
        <v>0</v>
      </c>
      <c r="U318" s="210"/>
      <c r="V318" s="415" t="str">
        <f>IF(O318&gt;=40,IF(X318="M",VLOOKUP(O318,UKABoysAwards,2),IF(X318="F",VLOOKUP(O318,UKAGirlsAwards,2),"")),"")</f>
        <v/>
      </c>
      <c r="W318" s="210"/>
      <c r="X318" s="266" t="str">
        <f t="array" ref="X318:X319">INDEX(DB,$B318,4)</f>
        <v>#REF!</v>
      </c>
      <c r="Y318" s="210"/>
      <c r="Z318" s="285" t="str">
        <f t="shared" si="3"/>
        <v>#REF!</v>
      </c>
      <c r="AA318" s="286" t="str">
        <f>IF($Z318&gt;=1,RANK($Z318,$Z309:$Z324),0)</f>
        <v>#REF!</v>
      </c>
      <c r="AB318" s="287" t="str">
        <f>IF(AA318&lt;=MaxS,INT(Z318),0)</f>
        <v>#REF!</v>
      </c>
      <c r="AC318" s="210"/>
      <c r="AD318" s="285" t="str">
        <f t="shared" si="4"/>
        <v>#REF!</v>
      </c>
      <c r="AE318" s="286" t="str">
        <f>IF($AD318&gt;=1,RANK($AD318,$AD309:$AD324),0)</f>
        <v>#REF!</v>
      </c>
      <c r="AF318" s="287" t="str">
        <f>IF(AE318&lt;=MaxS,INT(AD318),0)</f>
        <v>#REF!</v>
      </c>
      <c r="AG318" s="210"/>
      <c r="AH318" s="210"/>
      <c r="AI318" s="288" t="str">
        <f t="shared" si="5"/>
        <v>#REF!</v>
      </c>
      <c r="AJ318" s="289" t="str">
        <f t="shared" si="6"/>
        <v>#REF!</v>
      </c>
    </row>
    <row r="319" ht="15.0" customHeight="1">
      <c r="A319" s="272"/>
      <c r="B319" s="250">
        <f>IF(OR(ISNA(MATCH(C319&amp;"",AthleteNumbers,0)),ISBLANK(C319)),0,MATCH(C319&amp;"",AthleteNumbers,0))</f>
        <v>0</v>
      </c>
      <c r="C319" s="413"/>
      <c r="D319" s="273" t="str">
        <f t="array" ref="D319">IF($B319&gt;0,INDEX(DB,$B319,8),"")</f>
        <v/>
      </c>
      <c r="E319" s="274" t="str">
        <f t="array" ref="E319">IF($B319&gt;0,INDEX(DB,$B319,3),"")</f>
        <v/>
      </c>
      <c r="F319" s="275">
        <f t="array" ref="F319">IF($B319&gt;0,INDEX(DB,$B319,13),0)</f>
        <v>0</v>
      </c>
      <c r="G319" s="276">
        <f t="array" ref="G319">IF($B319&gt;0,INDEX(DB,$B319,17),0)</f>
        <v>0</v>
      </c>
      <c r="H319" s="277">
        <f t="array" ref="H319">IF($B319&gt;0,INDEX(DB,$B319,15),0)</f>
        <v>0</v>
      </c>
      <c r="I319" s="276">
        <f t="array" ref="I319">IF($B319&gt;0,INDEX(DB,$B319,19),0)</f>
        <v>0</v>
      </c>
      <c r="J319" s="277">
        <f t="array" ref="J319">IF($B319&gt;0,INDEX(DB,$B319,14),0)</f>
        <v>0</v>
      </c>
      <c r="K319" s="276">
        <f t="array" ref="K319">IF($B319&gt;0,INDEX(DB,$B319,18),0)</f>
        <v>0</v>
      </c>
      <c r="L319" s="275">
        <f t="array" ref="L319">IF($B319&gt;0,INDEX(DB,$B319,16),0)</f>
        <v>0</v>
      </c>
      <c r="M319" s="276">
        <f t="array" ref="M319">IF($B319&gt;0,INDEX(DB,$B319,20),0)</f>
        <v>0</v>
      </c>
      <c r="N319" s="278"/>
      <c r="O319" s="279">
        <f t="shared" si="1"/>
        <v>0</v>
      </c>
      <c r="P319" s="280"/>
      <c r="Q319" s="261" t="str">
        <f t="shared" si="2"/>
        <v>#REF!</v>
      </c>
      <c r="R319" s="290" t="str">
        <f>IF($AI319&gt;0,RANK($AI319,BoysPoints),0)</f>
        <v>#REF!</v>
      </c>
      <c r="S319" s="291" t="str">
        <f>IF($AJ319&gt;0,RANK($AJ319,GirlsPoints),0)</f>
        <v>#REF!</v>
      </c>
      <c r="T319" s="292">
        <f>IF($O319&gt;0,RANK(O319,AthletePoints),0)</f>
        <v>0</v>
      </c>
      <c r="U319" s="210"/>
      <c r="V319" s="330" t="str">
        <f>IF(O319&gt;=40,IF(X319="M",VLOOKUP(O319,UKABoysAwards,2),IF(X319="F",VLOOKUP(O319,UKAGirlsAwards,2),"")),"")</f>
        <v/>
      </c>
      <c r="W319" s="210"/>
      <c r="X319" s="266" t="str">
        <f t="array" ref="X319:X320">INDEX(DB,$B319,4)</f>
        <v>#REF!</v>
      </c>
      <c r="Y319" s="210"/>
      <c r="Z319" s="285" t="str">
        <f t="shared" si="3"/>
        <v>#REF!</v>
      </c>
      <c r="AA319" s="286" t="str">
        <f>IF($Z319&gt;=1,RANK($Z319,$Z309:$Z324),0)</f>
        <v>#REF!</v>
      </c>
      <c r="AB319" s="287" t="str">
        <f>IF(AA319&lt;=MaxS,INT(Z319),0)</f>
        <v>#REF!</v>
      </c>
      <c r="AC319" s="210"/>
      <c r="AD319" s="285" t="str">
        <f t="shared" si="4"/>
        <v>#REF!</v>
      </c>
      <c r="AE319" s="286" t="str">
        <f>IF($AD319&gt;=1,RANK($AD319,$AD309:$AD324),0)</f>
        <v>#REF!</v>
      </c>
      <c r="AF319" s="287" t="str">
        <f>IF(AE319&lt;=MaxS,INT(AD319),0)</f>
        <v>#REF!</v>
      </c>
      <c r="AG319" s="210"/>
      <c r="AH319" s="210"/>
      <c r="AI319" s="288" t="str">
        <f t="shared" si="5"/>
        <v>#REF!</v>
      </c>
      <c r="AJ319" s="289" t="str">
        <f t="shared" si="6"/>
        <v>#REF!</v>
      </c>
    </row>
    <row r="320" ht="15.0" customHeight="1">
      <c r="A320" s="272"/>
      <c r="B320" s="250">
        <f>IF(OR(ISNA(MATCH(C320&amp;"",AthleteNumbers,0)),ISBLANK(C320)),0,MATCH(C320&amp;"",AthleteNumbers,0))</f>
        <v>0</v>
      </c>
      <c r="C320" s="413"/>
      <c r="D320" s="273" t="str">
        <f t="array" ref="D320">IF($B320&gt;0,INDEX(DB,$B320,8),"")</f>
        <v/>
      </c>
      <c r="E320" s="274" t="str">
        <f t="array" ref="E320">IF($B320&gt;0,INDEX(DB,$B320,3),"")</f>
        <v/>
      </c>
      <c r="F320" s="275">
        <f t="array" ref="F320">IF($B320&gt;0,INDEX(DB,$B320,13),0)</f>
        <v>0</v>
      </c>
      <c r="G320" s="276">
        <f t="array" ref="G320">IF($B320&gt;0,INDEX(DB,$B320,17),0)</f>
        <v>0</v>
      </c>
      <c r="H320" s="277">
        <f t="array" ref="H320">IF($B320&gt;0,INDEX(DB,$B320,15),0)</f>
        <v>0</v>
      </c>
      <c r="I320" s="276">
        <f t="array" ref="I320">IF($B320&gt;0,INDEX(DB,$B320,19),0)</f>
        <v>0</v>
      </c>
      <c r="J320" s="277">
        <f t="array" ref="J320">IF($B320&gt;0,INDEX(DB,$B320,14),0)</f>
        <v>0</v>
      </c>
      <c r="K320" s="276">
        <f t="array" ref="K320">IF($B320&gt;0,INDEX(DB,$B320,18),0)</f>
        <v>0</v>
      </c>
      <c r="L320" s="275">
        <f t="array" ref="L320">IF($B320&gt;0,INDEX(DB,$B320,16),0)</f>
        <v>0</v>
      </c>
      <c r="M320" s="276">
        <f t="array" ref="M320">IF($B320&gt;0,INDEX(DB,$B320,20),0)</f>
        <v>0</v>
      </c>
      <c r="N320" s="278"/>
      <c r="O320" s="279">
        <f t="shared" si="1"/>
        <v>0</v>
      </c>
      <c r="P320" s="280"/>
      <c r="Q320" s="261" t="str">
        <f t="shared" si="2"/>
        <v>#REF!</v>
      </c>
      <c r="R320" s="281" t="str">
        <f>IF($AI320&gt;0,RANK($AI320,BoysPoints),0)</f>
        <v>#REF!</v>
      </c>
      <c r="S320" s="282" t="str">
        <f>IF($AJ320&gt;0,RANK($AJ320,GirlsPoints),0)</f>
        <v>#REF!</v>
      </c>
      <c r="T320" s="283">
        <f>IF($O320&gt;0,RANK(O320,AthletePoints),0)</f>
        <v>0</v>
      </c>
      <c r="U320" s="210"/>
      <c r="V320" s="415" t="str">
        <f>IF(O320&gt;=40,IF(X320="M",VLOOKUP(O320,UKABoysAwards,2),IF(X320="F",VLOOKUP(O320,UKAGirlsAwards,2),"")),"")</f>
        <v/>
      </c>
      <c r="W320" s="210"/>
      <c r="X320" s="266" t="str">
        <f t="array" ref="X320:X321">INDEX(DB,$B320,4)</f>
        <v>#REF!</v>
      </c>
      <c r="Y320" s="210"/>
      <c r="Z320" s="285" t="str">
        <f t="shared" si="3"/>
        <v>#REF!</v>
      </c>
      <c r="AA320" s="286" t="str">
        <f>IF($Z320&gt;=1,RANK($Z320,$Z309:$Z324),0)</f>
        <v>#REF!</v>
      </c>
      <c r="AB320" s="287" t="str">
        <f>IF(AA320&lt;=MaxS,INT(Z320),0)</f>
        <v>#REF!</v>
      </c>
      <c r="AC320" s="210"/>
      <c r="AD320" s="285" t="str">
        <f t="shared" si="4"/>
        <v>#REF!</v>
      </c>
      <c r="AE320" s="286" t="str">
        <f>IF($AD320&gt;=1,RANK($AD320,$AD309:$AD324),0)</f>
        <v>#REF!</v>
      </c>
      <c r="AF320" s="287" t="str">
        <f>IF(AE320&lt;=MaxS,INT(AD320),0)</f>
        <v>#REF!</v>
      </c>
      <c r="AG320" s="210"/>
      <c r="AH320" s="210"/>
      <c r="AI320" s="288" t="str">
        <f t="shared" si="5"/>
        <v>#REF!</v>
      </c>
      <c r="AJ320" s="289" t="str">
        <f t="shared" si="6"/>
        <v>#REF!</v>
      </c>
    </row>
    <row r="321" ht="15.0" customHeight="1">
      <c r="A321" s="272"/>
      <c r="B321" s="250">
        <f>IF(OR(ISNA(MATCH(C321&amp;"",AthleteNumbers,0)),ISBLANK(C321)),0,MATCH(C321&amp;"",AthleteNumbers,0))</f>
        <v>0</v>
      </c>
      <c r="C321" s="413"/>
      <c r="D321" s="273" t="str">
        <f t="array" ref="D321">IF($B321&gt;0,INDEX(DB,$B321,8),"")</f>
        <v/>
      </c>
      <c r="E321" s="274" t="str">
        <f t="array" ref="E321">IF($B321&gt;0,INDEX(DB,$B321,3),"")</f>
        <v/>
      </c>
      <c r="F321" s="275">
        <f t="array" ref="F321">IF($B321&gt;0,INDEX(DB,$B321,13),0)</f>
        <v>0</v>
      </c>
      <c r="G321" s="276">
        <f t="array" ref="G321">IF($B321&gt;0,INDEX(DB,$B321,17),0)</f>
        <v>0</v>
      </c>
      <c r="H321" s="277">
        <f t="array" ref="H321">IF($B321&gt;0,INDEX(DB,$B321,15),0)</f>
        <v>0</v>
      </c>
      <c r="I321" s="276">
        <f t="array" ref="I321">IF($B321&gt;0,INDEX(DB,$B321,19),0)</f>
        <v>0</v>
      </c>
      <c r="J321" s="277">
        <f t="array" ref="J321">IF($B321&gt;0,INDEX(DB,$B321,14),0)</f>
        <v>0</v>
      </c>
      <c r="K321" s="276">
        <f t="array" ref="K321">IF($B321&gt;0,INDEX(DB,$B321,18),0)</f>
        <v>0</v>
      </c>
      <c r="L321" s="275">
        <f t="array" ref="L321">IF($B321&gt;0,INDEX(DB,$B321,16),0)</f>
        <v>0</v>
      </c>
      <c r="M321" s="276">
        <f t="array" ref="M321">IF($B321&gt;0,INDEX(DB,$B321,20),0)</f>
        <v>0</v>
      </c>
      <c r="N321" s="278"/>
      <c r="O321" s="279">
        <f t="shared" si="1"/>
        <v>0</v>
      </c>
      <c r="P321" s="280"/>
      <c r="Q321" s="261" t="str">
        <f t="shared" si="2"/>
        <v>#REF!</v>
      </c>
      <c r="R321" s="290" t="str">
        <f>IF($AI321&gt;0,RANK($AI321,BoysPoints),0)</f>
        <v>#REF!</v>
      </c>
      <c r="S321" s="291" t="str">
        <f>IF($AJ321&gt;0,RANK($AJ321,GirlsPoints),0)</f>
        <v>#REF!</v>
      </c>
      <c r="T321" s="292">
        <f>IF($O321&gt;0,RANK(O321,AthletePoints),0)</f>
        <v>0</v>
      </c>
      <c r="U321" s="210"/>
      <c r="V321" s="330" t="str">
        <f>IF(O321&gt;=40,IF(X321="M",VLOOKUP(O321,UKABoysAwards,2),IF(X321="F",VLOOKUP(O321,UKAGirlsAwards,2),"")),"")</f>
        <v/>
      </c>
      <c r="W321" s="210"/>
      <c r="X321" s="266" t="str">
        <f t="array" ref="X321:X322">INDEX(DB,$B321,4)</f>
        <v>#REF!</v>
      </c>
      <c r="Y321" s="210"/>
      <c r="Z321" s="285" t="str">
        <f t="shared" si="3"/>
        <v>#REF!</v>
      </c>
      <c r="AA321" s="286" t="str">
        <f>IF($Z321&gt;=1,RANK($Z321,$Z309:$Z324),0)</f>
        <v>#REF!</v>
      </c>
      <c r="AB321" s="287" t="str">
        <f>IF(AA321&lt;=MaxS,INT(Z321),0)</f>
        <v>#REF!</v>
      </c>
      <c r="AC321" s="210"/>
      <c r="AD321" s="285" t="str">
        <f t="shared" si="4"/>
        <v>#REF!</v>
      </c>
      <c r="AE321" s="286" t="str">
        <f>IF($AD321&gt;=1,RANK($AD321,$AD309:$AD324),0)</f>
        <v>#REF!</v>
      </c>
      <c r="AF321" s="287" t="str">
        <f>IF(AE321&lt;=MaxS,INT(AD321),0)</f>
        <v>#REF!</v>
      </c>
      <c r="AG321" s="210"/>
      <c r="AH321" s="210"/>
      <c r="AI321" s="288" t="str">
        <f t="shared" si="5"/>
        <v>#REF!</v>
      </c>
      <c r="AJ321" s="289" t="str">
        <f t="shared" si="6"/>
        <v>#REF!</v>
      </c>
    </row>
    <row r="322" ht="15.0" customHeight="1">
      <c r="A322" s="272"/>
      <c r="B322" s="250">
        <f>IF(OR(ISNA(MATCH(C322&amp;"",AthleteNumbers,0)),ISBLANK(C322)),0,MATCH(C322&amp;"",AthleteNumbers,0))</f>
        <v>0</v>
      </c>
      <c r="C322" s="413"/>
      <c r="D322" s="273" t="str">
        <f t="array" ref="D322">IF($B322&gt;0,INDEX(DB,$B322,8),"")</f>
        <v/>
      </c>
      <c r="E322" s="274" t="str">
        <f t="array" ref="E322">IF($B322&gt;0,INDEX(DB,$B322,3),"")</f>
        <v/>
      </c>
      <c r="F322" s="275">
        <f t="array" ref="F322">IF($B322&gt;0,INDEX(DB,$B322,13),0)</f>
        <v>0</v>
      </c>
      <c r="G322" s="276">
        <f t="array" ref="G322">IF($B322&gt;0,INDEX(DB,$B322,17),0)</f>
        <v>0</v>
      </c>
      <c r="H322" s="277">
        <f t="array" ref="H322">IF($B322&gt;0,INDEX(DB,$B322,15),0)</f>
        <v>0</v>
      </c>
      <c r="I322" s="276">
        <f t="array" ref="I322">IF($B322&gt;0,INDEX(DB,$B322,19),0)</f>
        <v>0</v>
      </c>
      <c r="J322" s="277">
        <f t="array" ref="J322">IF($B322&gt;0,INDEX(DB,$B322,14),0)</f>
        <v>0</v>
      </c>
      <c r="K322" s="276">
        <f t="array" ref="K322">IF($B322&gt;0,INDEX(DB,$B322,18),0)</f>
        <v>0</v>
      </c>
      <c r="L322" s="275">
        <f t="array" ref="L322">IF($B322&gt;0,INDEX(DB,$B322,16),0)</f>
        <v>0</v>
      </c>
      <c r="M322" s="276">
        <f t="array" ref="M322">IF($B322&gt;0,INDEX(DB,$B322,20),0)</f>
        <v>0</v>
      </c>
      <c r="N322" s="278"/>
      <c r="O322" s="279">
        <f t="shared" si="1"/>
        <v>0</v>
      </c>
      <c r="P322" s="280"/>
      <c r="Q322" s="261" t="str">
        <f t="shared" si="2"/>
        <v>#REF!</v>
      </c>
      <c r="R322" s="281" t="str">
        <f>IF($AI322&gt;0,RANK($AI322,BoysPoints),0)</f>
        <v>#REF!</v>
      </c>
      <c r="S322" s="282" t="str">
        <f>IF($AJ322&gt;0,RANK($AJ322,GirlsPoints),0)</f>
        <v>#REF!</v>
      </c>
      <c r="T322" s="283">
        <f>IF($O322&gt;0,RANK(O322,AthletePoints),0)</f>
        <v>0</v>
      </c>
      <c r="U322" s="210"/>
      <c r="V322" s="415" t="str">
        <f>IF(O322&gt;=40,IF(X322="M",VLOOKUP(O322,UKABoysAwards,2),IF(X322="F",VLOOKUP(O322,UKAGirlsAwards,2),"")),"")</f>
        <v/>
      </c>
      <c r="W322" s="210"/>
      <c r="X322" s="266" t="str">
        <f t="array" ref="X322:X323">INDEX(DB,$B322,4)</f>
        <v>#REF!</v>
      </c>
      <c r="Y322" s="210"/>
      <c r="Z322" s="285" t="str">
        <f t="shared" si="3"/>
        <v>#REF!</v>
      </c>
      <c r="AA322" s="286" t="str">
        <f>IF($Z322&gt;=1,RANK($Z322,$Z309:$Z324),0)</f>
        <v>#REF!</v>
      </c>
      <c r="AB322" s="287" t="str">
        <f>IF(AA322&lt;=MaxS,INT(Z322),0)</f>
        <v>#REF!</v>
      </c>
      <c r="AC322" s="210"/>
      <c r="AD322" s="285" t="str">
        <f t="shared" si="4"/>
        <v>#REF!</v>
      </c>
      <c r="AE322" s="286" t="str">
        <f>IF($AD322&gt;=1,RANK($AD322,$AD309:$AD324),0)</f>
        <v>#REF!</v>
      </c>
      <c r="AF322" s="287" t="str">
        <f>IF(AE322&lt;=MaxS,INT(AD322),0)</f>
        <v>#REF!</v>
      </c>
      <c r="AG322" s="210"/>
      <c r="AH322" s="210"/>
      <c r="AI322" s="288" t="str">
        <f t="shared" si="5"/>
        <v>#REF!</v>
      </c>
      <c r="AJ322" s="289" t="str">
        <f t="shared" si="6"/>
        <v>#REF!</v>
      </c>
    </row>
    <row r="323" ht="15.0" customHeight="1">
      <c r="A323" s="272"/>
      <c r="B323" s="250">
        <f>IF(OR(ISNA(MATCH(C323&amp;"",AthleteNumbers,0)),ISBLANK(C323)),0,MATCH(C323&amp;"",AthleteNumbers,0))</f>
        <v>0</v>
      </c>
      <c r="C323" s="413"/>
      <c r="D323" s="273" t="str">
        <f t="array" ref="D323">IF($B323&gt;0,INDEX(DB,$B323,8),"")</f>
        <v/>
      </c>
      <c r="E323" s="274" t="str">
        <f t="array" ref="E323">IF($B323&gt;0,INDEX(DB,$B323,3),"")</f>
        <v/>
      </c>
      <c r="F323" s="275">
        <f t="array" ref="F323">IF($B323&gt;0,INDEX(DB,$B323,13),0)</f>
        <v>0</v>
      </c>
      <c r="G323" s="276">
        <f t="array" ref="G323">IF($B323&gt;0,INDEX(DB,$B323,17),0)</f>
        <v>0</v>
      </c>
      <c r="H323" s="277">
        <f t="array" ref="H323">IF($B323&gt;0,INDEX(DB,$B323,15),0)</f>
        <v>0</v>
      </c>
      <c r="I323" s="276">
        <f t="array" ref="I323">IF($B323&gt;0,INDEX(DB,$B323,19),0)</f>
        <v>0</v>
      </c>
      <c r="J323" s="277">
        <f t="array" ref="J323">IF($B323&gt;0,INDEX(DB,$B323,14),0)</f>
        <v>0</v>
      </c>
      <c r="K323" s="276">
        <f t="array" ref="K323">IF($B323&gt;0,INDEX(DB,$B323,18),0)</f>
        <v>0</v>
      </c>
      <c r="L323" s="275">
        <f t="array" ref="L323">IF($B323&gt;0,INDEX(DB,$B323,16),0)</f>
        <v>0</v>
      </c>
      <c r="M323" s="276">
        <f t="array" ref="M323">IF($B323&gt;0,INDEX(DB,$B323,20),0)</f>
        <v>0</v>
      </c>
      <c r="N323" s="278"/>
      <c r="O323" s="279">
        <f t="shared" si="1"/>
        <v>0</v>
      </c>
      <c r="P323" s="280"/>
      <c r="Q323" s="261" t="str">
        <f t="shared" si="2"/>
        <v>#REF!</v>
      </c>
      <c r="R323" s="290" t="str">
        <f>IF($AI323&gt;0,RANK($AI323,BoysPoints),0)</f>
        <v>#REF!</v>
      </c>
      <c r="S323" s="291" t="str">
        <f>IF($AJ323&gt;0,RANK($AJ323,GirlsPoints),0)</f>
        <v>#REF!</v>
      </c>
      <c r="T323" s="292">
        <f>IF($O323&gt;0,RANK(O323,AthletePoints),0)</f>
        <v>0</v>
      </c>
      <c r="U323" s="210"/>
      <c r="V323" s="330" t="str">
        <f>IF(O323&gt;=40,IF(X323="M",VLOOKUP(O323,UKABoysAwards,2),IF(X323="F",VLOOKUP(O323,UKAGirlsAwards,2),"")),"")</f>
        <v/>
      </c>
      <c r="W323" s="210"/>
      <c r="X323" s="266" t="str">
        <f t="array" ref="X323:X324">INDEX(DB,$B323,4)</f>
        <v>#REF!</v>
      </c>
      <c r="Y323" s="210"/>
      <c r="Z323" s="285" t="str">
        <f t="shared" si="3"/>
        <v>#REF!</v>
      </c>
      <c r="AA323" s="286" t="str">
        <f>IF($Z323&gt;=1,RANK($Z323,$Z309:$Z324),0)</f>
        <v>#REF!</v>
      </c>
      <c r="AB323" s="287" t="str">
        <f>IF(AA323&lt;=MaxS,INT(Z323),0)</f>
        <v>#REF!</v>
      </c>
      <c r="AC323" s="210"/>
      <c r="AD323" s="285" t="str">
        <f t="shared" si="4"/>
        <v>#REF!</v>
      </c>
      <c r="AE323" s="286" t="str">
        <f>IF($AD323&gt;=1,RANK($AD323,$AD309:$AD324),0)</f>
        <v>#REF!</v>
      </c>
      <c r="AF323" s="287" t="str">
        <f>IF(AE323&lt;=MaxS,INT(AD323),0)</f>
        <v>#REF!</v>
      </c>
      <c r="AG323" s="210"/>
      <c r="AH323" s="210"/>
      <c r="AI323" s="288" t="str">
        <f t="shared" si="5"/>
        <v>#REF!</v>
      </c>
      <c r="AJ323" s="289" t="str">
        <f t="shared" si="6"/>
        <v>#REF!</v>
      </c>
    </row>
    <row r="324" ht="15.0" customHeight="1">
      <c r="A324" s="305"/>
      <c r="B324" s="250">
        <f>IF(OR(ISNA(MATCH(C324&amp;"",AthleteNumbers,0)),ISBLANK(C324)),0,MATCH(C324&amp;"",AthleteNumbers,0))</f>
        <v>0</v>
      </c>
      <c r="C324" s="443"/>
      <c r="D324" s="306" t="str">
        <f t="array" ref="D324">IF($B324&gt;0,INDEX(DB,$B324,8),"")</f>
        <v/>
      </c>
      <c r="E324" s="307" t="str">
        <f t="array" ref="E324">IF($B324&gt;0,INDEX(DB,$B324,3),"")</f>
        <v/>
      </c>
      <c r="F324" s="308">
        <f t="array" ref="F324">IF($B324&gt;0,INDEX(DB,$B324,13),0)</f>
        <v>0</v>
      </c>
      <c r="G324" s="309">
        <f t="array" ref="G324">IF($B324&gt;0,INDEX(DB,$B324,17),0)</f>
        <v>0</v>
      </c>
      <c r="H324" s="310">
        <f t="array" ref="H324">IF($B324&gt;0,INDEX(DB,$B324,15),0)</f>
        <v>0</v>
      </c>
      <c r="I324" s="309">
        <f t="array" ref="I324">IF($B324&gt;0,INDEX(DB,$B324,19),0)</f>
        <v>0</v>
      </c>
      <c r="J324" s="310">
        <f t="array" ref="J324">IF($B324&gt;0,INDEX(DB,$B324,14),0)</f>
        <v>0</v>
      </c>
      <c r="K324" s="309">
        <f t="array" ref="K324">IF($B324&gt;0,INDEX(DB,$B324,18),0)</f>
        <v>0</v>
      </c>
      <c r="L324" s="308">
        <f t="array" ref="L324">IF($B324&gt;0,INDEX(DB,$B324,16),0)</f>
        <v>0</v>
      </c>
      <c r="M324" s="309">
        <f t="array" ref="M324">IF($B324&gt;0,INDEX(DB,$B324,20),0)</f>
        <v>0</v>
      </c>
      <c r="N324" s="25"/>
      <c r="O324" s="311">
        <f t="shared" si="1"/>
        <v>0</v>
      </c>
      <c r="P324" s="31"/>
      <c r="Q324" s="261" t="str">
        <f t="shared" si="2"/>
        <v>#REF!</v>
      </c>
      <c r="R324" s="312" t="str">
        <f>IF($AI324&gt;0,RANK($AI324,BoysPoints),0)</f>
        <v>#REF!</v>
      </c>
      <c r="S324" s="313" t="str">
        <f>IF($AJ324&gt;0,RANK($AJ324,GirlsPoints),0)</f>
        <v>#REF!</v>
      </c>
      <c r="T324" s="314">
        <f>IF($O324&gt;0,RANK(O324,AthletePoints),0)</f>
        <v>0</v>
      </c>
      <c r="U324" s="210"/>
      <c r="V324" s="444" t="str">
        <f>IF(O324&gt;=40,IF(X324="M",VLOOKUP(O324,UKABoysAwards,2),IF(X324="F",VLOOKUP(O324,UKAGirlsAwards,2),"")),"")</f>
        <v/>
      </c>
      <c r="W324" s="210"/>
      <c r="X324" s="266" t="str">
        <f t="array" ref="X324:X325">INDEX(DB,$B324,4)</f>
        <v>#REF!</v>
      </c>
      <c r="Y324" s="210"/>
      <c r="Z324" s="316" t="str">
        <f t="shared" si="3"/>
        <v>#REF!</v>
      </c>
      <c r="AA324" s="243" t="str">
        <f>IF($Z324&gt;=1,RANK($Z324,$Z309:$Z324),0)</f>
        <v>#REF!</v>
      </c>
      <c r="AB324" s="245" t="str">
        <f>IF(AA324&lt;=MaxS,INT(Z324),0)</f>
        <v>#REF!</v>
      </c>
      <c r="AC324" s="210" t="str">
        <f>SUM(AB309:AB324)</f>
        <v>#REF!</v>
      </c>
      <c r="AD324" s="316" t="str">
        <f t="shared" si="4"/>
        <v>#REF!</v>
      </c>
      <c r="AE324" s="243" t="str">
        <f>IF($AD324&gt;=1,RANK($AD324,$AD309:$AD324),0)</f>
        <v>#REF!</v>
      </c>
      <c r="AF324" s="245" t="str">
        <f>IF(AE324&lt;=MaxS,INT(AD324),0)</f>
        <v>#REF!</v>
      </c>
      <c r="AG324" s="210" t="str">
        <f>SUM(AF309:AF324)</f>
        <v>#REF!</v>
      </c>
      <c r="AH324" s="210"/>
      <c r="AI324" s="246" t="str">
        <f t="shared" si="5"/>
        <v>#REF!</v>
      </c>
      <c r="AJ324" s="247" t="str">
        <f t="shared" si="6"/>
        <v>#REF!</v>
      </c>
    </row>
    <row r="325" ht="15.0" customHeight="1">
      <c r="A325" s="248"/>
      <c r="B325" s="250">
        <f>IF(OR(ISNA(MATCH(C325&amp;"",AthleteNumbers,0)),ISBLANK(C325)),0,MATCH(C325&amp;"",AthleteNumbers,0))</f>
        <v>0</v>
      </c>
      <c r="C325" s="251"/>
      <c r="D325" s="252" t="str">
        <f t="array" ref="D325">IF($B325&gt;0,INDEX(DB,$B325,8),"")</f>
        <v/>
      </c>
      <c r="E325" s="253" t="str">
        <f t="array" ref="E325">IF($B325&gt;0,INDEX(DB,$B325,3),"")</f>
        <v/>
      </c>
      <c r="F325" s="254">
        <f t="array" ref="F325">IF($B325&gt;0,INDEX(DB,$B325,13),0)</f>
        <v>0</v>
      </c>
      <c r="G325" s="255">
        <f t="array" ref="G325">IF($B325&gt;0,INDEX(DB,$B325,17),0)</f>
        <v>0</v>
      </c>
      <c r="H325" s="257">
        <f t="array" ref="H325">IF($B325&gt;0,INDEX(DB,$B325,15),0)</f>
        <v>0</v>
      </c>
      <c r="I325" s="255">
        <f t="array" ref="I325">IF($B325&gt;0,INDEX(DB,$B325,19),0)</f>
        <v>0</v>
      </c>
      <c r="J325" s="257">
        <f t="array" ref="J325">IF($B325&gt;0,INDEX(DB,$B325,14),0)</f>
        <v>0</v>
      </c>
      <c r="K325" s="255">
        <f t="array" ref="K325">IF($B325&gt;0,INDEX(DB,$B325,18),0)</f>
        <v>0</v>
      </c>
      <c r="L325" s="254">
        <f t="array" ref="L325">IF($B325&gt;0,INDEX(DB,$B325,16),0)</f>
        <v>0</v>
      </c>
      <c r="M325" s="255">
        <f t="array" ref="M325">IF($B325&gt;0,INDEX(DB,$B325,20),0)</f>
        <v>0</v>
      </c>
      <c r="N325" s="258" t="str">
        <f t="array" ref="N325:N341">INDEX(RelayPoints,A340)</f>
        <v>#REF!</v>
      </c>
      <c r="O325" s="259">
        <f t="shared" si="1"/>
        <v>0</v>
      </c>
      <c r="P325" s="260" t="str">
        <f>+AC340+AG340+N325</f>
        <v>#REF!</v>
      </c>
      <c r="Q325" s="261" t="str">
        <f t="shared" si="2"/>
        <v>#REF!</v>
      </c>
      <c r="R325" s="262" t="str">
        <f>IF($AI325&gt;0,RANK($AI325,BoysPoints),0)</f>
        <v>#REF!</v>
      </c>
      <c r="S325" s="263" t="str">
        <f>IF($AJ325&gt;0,RANK($AJ325,GirlsPoints),0)</f>
        <v>#REF!</v>
      </c>
      <c r="T325" s="264">
        <f>IF($O325&gt;0,RANK(O325,AthletePoints),0)</f>
        <v>0</v>
      </c>
      <c r="U325" s="210"/>
      <c r="V325" s="317" t="str">
        <f>IF(O325&gt;=40,IF(X325="M",VLOOKUP(O325,UKABoysAwards,2),IF(X325="F",VLOOKUP(O325,UKAGirlsAwards,2),"")),"")</f>
        <v/>
      </c>
      <c r="W325" s="210"/>
      <c r="X325" s="266" t="str">
        <f t="array" ref="X325:X326">INDEX(DB,$B325,4)</f>
        <v>#REF!</v>
      </c>
      <c r="Y325" s="210"/>
      <c r="Z325" s="267" t="str">
        <f t="shared" si="3"/>
        <v>#REF!</v>
      </c>
      <c r="AA325" s="268" t="str">
        <f>IF($Z325&gt;=1,RANK($Z325,$Z325:$Z340),0)</f>
        <v>#REF!</v>
      </c>
      <c r="AB325" s="269" t="str">
        <f>IF(AA325&lt;=MaxS,INT(Z325),0)</f>
        <v>#REF!</v>
      </c>
      <c r="AC325" s="210"/>
      <c r="AD325" s="267" t="str">
        <f t="shared" si="4"/>
        <v>#REF!</v>
      </c>
      <c r="AE325" s="268" t="str">
        <f>IF($AD325&gt;=1,RANK($AD325,$AD325:$AD340),0)</f>
        <v>#REF!</v>
      </c>
      <c r="AF325" s="269" t="str">
        <f>IF(AE325&lt;=MaxS,INT(AD325),0)</f>
        <v>#REF!</v>
      </c>
      <c r="AG325" s="210"/>
      <c r="AH325" s="210"/>
      <c r="AI325" s="288" t="str">
        <f t="shared" si="5"/>
        <v>#REF!</v>
      </c>
      <c r="AJ325" s="289" t="str">
        <f t="shared" si="6"/>
        <v>#REF!</v>
      </c>
    </row>
    <row r="326" ht="15.0" customHeight="1">
      <c r="A326" s="272"/>
      <c r="B326" s="250">
        <f>IF(OR(ISNA(MATCH(C326&amp;"",AthleteNumbers,0)),ISBLANK(C326)),0,MATCH(C326&amp;"",AthleteNumbers,0))</f>
        <v>0</v>
      </c>
      <c r="C326" s="413"/>
      <c r="D326" s="273" t="str">
        <f t="array" ref="D326">IF($B326&gt;0,INDEX(DB,$B326,8),"")</f>
        <v/>
      </c>
      <c r="E326" s="274" t="str">
        <f t="array" ref="E326">IF($B326&gt;0,INDEX(DB,$B326,3),"")</f>
        <v/>
      </c>
      <c r="F326" s="275">
        <f t="array" ref="F326">IF($B326&gt;0,INDEX(DB,$B326,13),0)</f>
        <v>0</v>
      </c>
      <c r="G326" s="276">
        <f t="array" ref="G326">IF($B326&gt;0,INDEX(DB,$B326,17),0)</f>
        <v>0</v>
      </c>
      <c r="H326" s="277">
        <f t="array" ref="H326">IF($B326&gt;0,INDEX(DB,$B326,15),0)</f>
        <v>0</v>
      </c>
      <c r="I326" s="276">
        <f t="array" ref="I326">IF($B326&gt;0,INDEX(DB,$B326,19),0)</f>
        <v>0</v>
      </c>
      <c r="J326" s="277">
        <f t="array" ref="J326">IF($B326&gt;0,INDEX(DB,$B326,14),0)</f>
        <v>0</v>
      </c>
      <c r="K326" s="276">
        <f t="array" ref="K326">IF($B326&gt;0,INDEX(DB,$B326,18),0)</f>
        <v>0</v>
      </c>
      <c r="L326" s="275">
        <f t="array" ref="L326">IF($B326&gt;0,INDEX(DB,$B326,16),0)</f>
        <v>0</v>
      </c>
      <c r="M326" s="276">
        <f t="array" ref="M326">IF($B326&gt;0,INDEX(DB,$B326,20),0)</f>
        <v>0</v>
      </c>
      <c r="N326" s="278"/>
      <c r="O326" s="279">
        <f t="shared" si="1"/>
        <v>0</v>
      </c>
      <c r="P326" s="280"/>
      <c r="Q326" s="261" t="str">
        <f t="shared" si="2"/>
        <v>#REF!</v>
      </c>
      <c r="R326" s="281" t="str">
        <f>IF($AI326&gt;0,RANK($AI326,BoysPoints),0)</f>
        <v>#REF!</v>
      </c>
      <c r="S326" s="282" t="str">
        <f>IF($AJ326&gt;0,RANK($AJ326,GirlsPoints),0)</f>
        <v>#REF!</v>
      </c>
      <c r="T326" s="283">
        <f>IF($O326&gt;0,RANK(O326,AthletePoints),0)</f>
        <v>0</v>
      </c>
      <c r="U326" s="210"/>
      <c r="V326" s="415" t="str">
        <f>IF(O326&gt;=40,IF(X326="M",VLOOKUP(O326,UKABoysAwards,2),IF(X326="F",VLOOKUP(O326,UKAGirlsAwards,2),"")),"")</f>
        <v/>
      </c>
      <c r="W326" s="210"/>
      <c r="X326" s="266" t="str">
        <f t="array" ref="X326:X327">INDEX(DB,$B326,4)</f>
        <v>#REF!</v>
      </c>
      <c r="Y326" s="210"/>
      <c r="Z326" s="285" t="str">
        <f t="shared" si="3"/>
        <v>#REF!</v>
      </c>
      <c r="AA326" s="286" t="str">
        <f>IF($Z326&gt;=1,RANK($Z326,$Z325:$Z340),0)</f>
        <v>#REF!</v>
      </c>
      <c r="AB326" s="287" t="str">
        <f>IF(AA326&lt;=MaxS,INT(Z326),0)</f>
        <v>#REF!</v>
      </c>
      <c r="AC326" s="210"/>
      <c r="AD326" s="285" t="str">
        <f t="shared" si="4"/>
        <v>#REF!</v>
      </c>
      <c r="AE326" s="286" t="str">
        <f>IF($AD326&gt;=1,RANK($AD326,$AD325:$AD340),0)</f>
        <v>#REF!</v>
      </c>
      <c r="AF326" s="287" t="str">
        <f>IF(AE326&lt;=MaxS,INT(AD326),0)</f>
        <v>#REF!</v>
      </c>
      <c r="AG326" s="210"/>
      <c r="AH326" s="210"/>
      <c r="AI326" s="288" t="str">
        <f t="shared" si="5"/>
        <v>#REF!</v>
      </c>
      <c r="AJ326" s="289" t="str">
        <f t="shared" si="6"/>
        <v>#REF!</v>
      </c>
    </row>
    <row r="327" ht="15.0" customHeight="1">
      <c r="A327" s="272"/>
      <c r="B327" s="250">
        <f>IF(OR(ISNA(MATCH(C327&amp;"",AthleteNumbers,0)),ISBLANK(C327)),0,MATCH(C327&amp;"",AthleteNumbers,0))</f>
        <v>0</v>
      </c>
      <c r="C327" s="413"/>
      <c r="D327" s="273" t="str">
        <f t="array" ref="D327">IF($B327&gt;0,INDEX(DB,$B327,8),"")</f>
        <v/>
      </c>
      <c r="E327" s="274" t="str">
        <f t="array" ref="E327">IF($B327&gt;0,INDEX(DB,$B327,3),"")</f>
        <v/>
      </c>
      <c r="F327" s="275">
        <f t="array" ref="F327">IF($B327&gt;0,INDEX(DB,$B327,13),0)</f>
        <v>0</v>
      </c>
      <c r="G327" s="276">
        <f t="array" ref="G327">IF($B327&gt;0,INDEX(DB,$B327,17),0)</f>
        <v>0</v>
      </c>
      <c r="H327" s="277">
        <f t="array" ref="H327">IF($B327&gt;0,INDEX(DB,$B327,15),0)</f>
        <v>0</v>
      </c>
      <c r="I327" s="276">
        <f t="array" ref="I327">IF($B327&gt;0,INDEX(DB,$B327,19),0)</f>
        <v>0</v>
      </c>
      <c r="J327" s="277">
        <f t="array" ref="J327">IF($B327&gt;0,INDEX(DB,$B327,14),0)</f>
        <v>0</v>
      </c>
      <c r="K327" s="276">
        <f t="array" ref="K327">IF($B327&gt;0,INDEX(DB,$B327,18),0)</f>
        <v>0</v>
      </c>
      <c r="L327" s="275">
        <f t="array" ref="L327">IF($B327&gt;0,INDEX(DB,$B327,16),0)</f>
        <v>0</v>
      </c>
      <c r="M327" s="276">
        <f t="array" ref="M327">IF($B327&gt;0,INDEX(DB,$B327,20),0)</f>
        <v>0</v>
      </c>
      <c r="N327" s="278"/>
      <c r="O327" s="279">
        <f t="shared" si="1"/>
        <v>0</v>
      </c>
      <c r="P327" s="280"/>
      <c r="Q327" s="261" t="str">
        <f t="shared" si="2"/>
        <v>#REF!</v>
      </c>
      <c r="R327" s="290" t="str">
        <f>IF($AI327&gt;0,RANK($AI327,BoysPoints),0)</f>
        <v>#REF!</v>
      </c>
      <c r="S327" s="291" t="str">
        <f>IF($AJ327&gt;0,RANK($AJ327,GirlsPoints),0)</f>
        <v>#REF!</v>
      </c>
      <c r="T327" s="292">
        <f>IF($O327&gt;0,RANK(O327,AthletePoints),0)</f>
        <v>0</v>
      </c>
      <c r="U327" s="210"/>
      <c r="V327" s="330" t="str">
        <f>IF(O327&gt;=40,IF(X327="M",VLOOKUP(O327,UKABoysAwards,2),IF(X327="F",VLOOKUP(O327,UKAGirlsAwards,2),"")),"")</f>
        <v/>
      </c>
      <c r="W327" s="210"/>
      <c r="X327" s="266" t="str">
        <f t="array" ref="X327:X328">INDEX(DB,$B327,4)</f>
        <v>#REF!</v>
      </c>
      <c r="Y327" s="210"/>
      <c r="Z327" s="285" t="str">
        <f t="shared" si="3"/>
        <v>#REF!</v>
      </c>
      <c r="AA327" s="286" t="str">
        <f>IF($Z327&gt;=1,RANK($Z327,$Z325:$Z340),0)</f>
        <v>#REF!</v>
      </c>
      <c r="AB327" s="287" t="str">
        <f>IF(AA327&lt;=MaxS,INT(Z327),0)</f>
        <v>#REF!</v>
      </c>
      <c r="AC327" s="210"/>
      <c r="AD327" s="285" t="str">
        <f t="shared" si="4"/>
        <v>#REF!</v>
      </c>
      <c r="AE327" s="286" t="str">
        <f>IF($AD327&gt;=1,RANK($AD327,$AD325:$AD340),0)</f>
        <v>#REF!</v>
      </c>
      <c r="AF327" s="287" t="str">
        <f>IF(AE327&lt;=MaxS,INT(AD327),0)</f>
        <v>#REF!</v>
      </c>
      <c r="AG327" s="210"/>
      <c r="AH327" s="210"/>
      <c r="AI327" s="288" t="str">
        <f t="shared" si="5"/>
        <v>#REF!</v>
      </c>
      <c r="AJ327" s="289" t="str">
        <f t="shared" si="6"/>
        <v>#REF!</v>
      </c>
    </row>
    <row r="328" ht="15.0" customHeight="1">
      <c r="A328" s="272"/>
      <c r="B328" s="250">
        <f>IF(OR(ISNA(MATCH(C328&amp;"",AthleteNumbers,0)),ISBLANK(C328)),0,MATCH(C328&amp;"",AthleteNumbers,0))</f>
        <v>0</v>
      </c>
      <c r="C328" s="413"/>
      <c r="D328" s="273" t="str">
        <f t="array" ref="D328">IF($B328&gt;0,INDEX(DB,$B328,8),"")</f>
        <v/>
      </c>
      <c r="E328" s="274" t="str">
        <f t="array" ref="E328">IF($B328&gt;0,INDEX(DB,$B328,3),"")</f>
        <v/>
      </c>
      <c r="F328" s="275">
        <f t="array" ref="F328">IF($B328&gt;0,INDEX(DB,$B328,13),0)</f>
        <v>0</v>
      </c>
      <c r="G328" s="276">
        <f t="array" ref="G328">IF($B328&gt;0,INDEX(DB,$B328,17),0)</f>
        <v>0</v>
      </c>
      <c r="H328" s="277">
        <f t="array" ref="H328">IF($B328&gt;0,INDEX(DB,$B328,15),0)</f>
        <v>0</v>
      </c>
      <c r="I328" s="276">
        <f t="array" ref="I328">IF($B328&gt;0,INDEX(DB,$B328,19),0)</f>
        <v>0</v>
      </c>
      <c r="J328" s="277">
        <f t="array" ref="J328">IF($B328&gt;0,INDEX(DB,$B328,14),0)</f>
        <v>0</v>
      </c>
      <c r="K328" s="276">
        <f t="array" ref="K328">IF($B328&gt;0,INDEX(DB,$B328,18),0)</f>
        <v>0</v>
      </c>
      <c r="L328" s="275">
        <f t="array" ref="L328">IF($B328&gt;0,INDEX(DB,$B328,16),0)</f>
        <v>0</v>
      </c>
      <c r="M328" s="276">
        <f t="array" ref="M328">IF($B328&gt;0,INDEX(DB,$B328,20),0)</f>
        <v>0</v>
      </c>
      <c r="N328" s="278"/>
      <c r="O328" s="279">
        <f t="shared" si="1"/>
        <v>0</v>
      </c>
      <c r="P328" s="280"/>
      <c r="Q328" s="261" t="str">
        <f t="shared" si="2"/>
        <v>#REF!</v>
      </c>
      <c r="R328" s="281" t="str">
        <f>IF($AI328&gt;0,RANK($AI328,BoysPoints),0)</f>
        <v>#REF!</v>
      </c>
      <c r="S328" s="282" t="str">
        <f>IF($AJ328&gt;0,RANK($AJ328,GirlsPoints),0)</f>
        <v>#REF!</v>
      </c>
      <c r="T328" s="283">
        <f>IF($O328&gt;0,RANK(O328,AthletePoints),0)</f>
        <v>0</v>
      </c>
      <c r="U328" s="210"/>
      <c r="V328" s="415" t="str">
        <f>IF(O328&gt;=40,IF(X328="M",VLOOKUP(O328,UKABoysAwards,2),IF(X328="F",VLOOKUP(O328,UKAGirlsAwards,2),"")),"")</f>
        <v/>
      </c>
      <c r="W328" s="210"/>
      <c r="X328" s="266" t="str">
        <f t="array" ref="X328:X329">INDEX(DB,$B328,4)</f>
        <v>#REF!</v>
      </c>
      <c r="Y328" s="210"/>
      <c r="Z328" s="285" t="str">
        <f t="shared" si="3"/>
        <v>#REF!</v>
      </c>
      <c r="AA328" s="286" t="str">
        <f>IF($Z328&gt;=1,RANK($Z328,$Z325:$Z340),0)</f>
        <v>#REF!</v>
      </c>
      <c r="AB328" s="287" t="str">
        <f>IF(AA328&lt;=MaxS,INT(Z328),0)</f>
        <v>#REF!</v>
      </c>
      <c r="AC328" s="210"/>
      <c r="AD328" s="285" t="str">
        <f t="shared" si="4"/>
        <v>#REF!</v>
      </c>
      <c r="AE328" s="286" t="str">
        <f>IF($AD328&gt;=1,RANK($AD328,$AD325:$AD340),0)</f>
        <v>#REF!</v>
      </c>
      <c r="AF328" s="287" t="str">
        <f>IF(AE328&lt;=MaxS,INT(AD328),0)</f>
        <v>#REF!</v>
      </c>
      <c r="AG328" s="210"/>
      <c r="AH328" s="210"/>
      <c r="AI328" s="288" t="str">
        <f t="shared" si="5"/>
        <v>#REF!</v>
      </c>
      <c r="AJ328" s="289" t="str">
        <f t="shared" si="6"/>
        <v>#REF!</v>
      </c>
    </row>
    <row r="329" ht="15.0" customHeight="1">
      <c r="A329" s="272"/>
      <c r="B329" s="250">
        <f>IF(OR(ISNA(MATCH(C329&amp;"",AthleteNumbers,0)),ISBLANK(C329)),0,MATCH(C329&amp;"",AthleteNumbers,0))</f>
        <v>0</v>
      </c>
      <c r="C329" s="413"/>
      <c r="D329" s="273" t="str">
        <f t="array" ref="D329">IF($B329&gt;0,INDEX(DB,$B329,8),"")</f>
        <v/>
      </c>
      <c r="E329" s="274" t="str">
        <f t="array" ref="E329">IF($B329&gt;0,INDEX(DB,$B329,3),"")</f>
        <v/>
      </c>
      <c r="F329" s="275">
        <f t="array" ref="F329">IF($B329&gt;0,INDEX(DB,$B329,13),0)</f>
        <v>0</v>
      </c>
      <c r="G329" s="276">
        <f t="array" ref="G329">IF($B329&gt;0,INDEX(DB,$B329,17),0)</f>
        <v>0</v>
      </c>
      <c r="H329" s="277">
        <f t="array" ref="H329">IF($B329&gt;0,INDEX(DB,$B329,15),0)</f>
        <v>0</v>
      </c>
      <c r="I329" s="276">
        <f t="array" ref="I329">IF($B329&gt;0,INDEX(DB,$B329,19),0)</f>
        <v>0</v>
      </c>
      <c r="J329" s="277">
        <f t="array" ref="J329">IF($B329&gt;0,INDEX(DB,$B329,14),0)</f>
        <v>0</v>
      </c>
      <c r="K329" s="276">
        <f t="array" ref="K329">IF($B329&gt;0,INDEX(DB,$B329,18),0)</f>
        <v>0</v>
      </c>
      <c r="L329" s="275">
        <f t="array" ref="L329">IF($B329&gt;0,INDEX(DB,$B329,16),0)</f>
        <v>0</v>
      </c>
      <c r="M329" s="276">
        <f t="array" ref="M329">IF($B329&gt;0,INDEX(DB,$B329,20),0)</f>
        <v>0</v>
      </c>
      <c r="N329" s="278"/>
      <c r="O329" s="279">
        <f t="shared" si="1"/>
        <v>0</v>
      </c>
      <c r="P329" s="280"/>
      <c r="Q329" s="261" t="str">
        <f t="shared" si="2"/>
        <v>#REF!</v>
      </c>
      <c r="R329" s="290" t="str">
        <f>IF($AI329&gt;0,RANK($AI329,BoysPoints),0)</f>
        <v>#REF!</v>
      </c>
      <c r="S329" s="291" t="str">
        <f>IF($AJ329&gt;0,RANK($AJ329,GirlsPoints),0)</f>
        <v>#REF!</v>
      </c>
      <c r="T329" s="292">
        <f>IF($O329&gt;0,RANK(O329,AthletePoints),0)</f>
        <v>0</v>
      </c>
      <c r="U329" s="210"/>
      <c r="V329" s="330" t="str">
        <f>IF(O329&gt;=40,IF(X329="M",VLOOKUP(O329,UKABoysAwards,2),IF(X329="F",VLOOKUP(O329,UKAGirlsAwards,2),"")),"")</f>
        <v/>
      </c>
      <c r="W329" s="210"/>
      <c r="X329" s="266" t="str">
        <f t="array" ref="X329:X330">INDEX(DB,$B329,4)</f>
        <v>#REF!</v>
      </c>
      <c r="Y329" s="210"/>
      <c r="Z329" s="285" t="str">
        <f t="shared" si="3"/>
        <v>#REF!</v>
      </c>
      <c r="AA329" s="286" t="str">
        <f>IF($Z329&gt;=1,RANK($Z329,$Z325:$Z340),0)</f>
        <v>#REF!</v>
      </c>
      <c r="AB329" s="287" t="str">
        <f>IF(AA329&lt;=MaxS,INT(Z329),0)</f>
        <v>#REF!</v>
      </c>
      <c r="AC329" s="210"/>
      <c r="AD329" s="285" t="str">
        <f t="shared" si="4"/>
        <v>#REF!</v>
      </c>
      <c r="AE329" s="286" t="str">
        <f>IF($AD329&gt;=1,RANK($AD329,$AD325:$AD340),0)</f>
        <v>#REF!</v>
      </c>
      <c r="AF329" s="287" t="str">
        <f>IF(AE329&lt;=MaxS,INT(AD329),0)</f>
        <v>#REF!</v>
      </c>
      <c r="AG329" s="210"/>
      <c r="AH329" s="210"/>
      <c r="AI329" s="288" t="str">
        <f t="shared" si="5"/>
        <v>#REF!</v>
      </c>
      <c r="AJ329" s="289" t="str">
        <f t="shared" si="6"/>
        <v>#REF!</v>
      </c>
    </row>
    <row r="330" ht="15.0" customHeight="1">
      <c r="A330" s="272"/>
      <c r="B330" s="250">
        <f>IF(OR(ISNA(MATCH(C330&amp;"",AthleteNumbers,0)),ISBLANK(C330)),0,MATCH(C330&amp;"",AthleteNumbers,0))</f>
        <v>0</v>
      </c>
      <c r="C330" s="413"/>
      <c r="D330" s="273" t="str">
        <f t="array" ref="D330">IF($B330&gt;0,INDEX(DB,$B330,8),"")</f>
        <v/>
      </c>
      <c r="E330" s="274" t="str">
        <f t="array" ref="E330">IF($B330&gt;0,INDEX(DB,$B330,3),"")</f>
        <v/>
      </c>
      <c r="F330" s="275">
        <f t="array" ref="F330">IF($B330&gt;0,INDEX(DB,$B330,13),0)</f>
        <v>0</v>
      </c>
      <c r="G330" s="276">
        <f t="array" ref="G330">IF($B330&gt;0,INDEX(DB,$B330,17),0)</f>
        <v>0</v>
      </c>
      <c r="H330" s="277">
        <f t="array" ref="H330">IF($B330&gt;0,INDEX(DB,$B330,15),0)</f>
        <v>0</v>
      </c>
      <c r="I330" s="276">
        <f t="array" ref="I330">IF($B330&gt;0,INDEX(DB,$B330,19),0)</f>
        <v>0</v>
      </c>
      <c r="J330" s="277">
        <f t="array" ref="J330">IF($B330&gt;0,INDEX(DB,$B330,14),0)</f>
        <v>0</v>
      </c>
      <c r="K330" s="276">
        <f t="array" ref="K330">IF($B330&gt;0,INDEX(DB,$B330,18),0)</f>
        <v>0</v>
      </c>
      <c r="L330" s="275">
        <f t="array" ref="L330">IF($B330&gt;0,INDEX(DB,$B330,16),0)</f>
        <v>0</v>
      </c>
      <c r="M330" s="276">
        <f t="array" ref="M330">IF($B330&gt;0,INDEX(DB,$B330,20),0)</f>
        <v>0</v>
      </c>
      <c r="N330" s="278"/>
      <c r="O330" s="279">
        <f t="shared" si="1"/>
        <v>0</v>
      </c>
      <c r="P330" s="280"/>
      <c r="Q330" s="261" t="str">
        <f t="shared" si="2"/>
        <v>#REF!</v>
      </c>
      <c r="R330" s="281" t="str">
        <f>IF($AI330&gt;0,RANK($AI330,BoysPoints),0)</f>
        <v>#REF!</v>
      </c>
      <c r="S330" s="282" t="str">
        <f>IF($AJ330&gt;0,RANK($AJ330,GirlsPoints),0)</f>
        <v>#REF!</v>
      </c>
      <c r="T330" s="283">
        <f>IF($O330&gt;0,RANK(O330,AthletePoints),0)</f>
        <v>0</v>
      </c>
      <c r="U330" s="210"/>
      <c r="V330" s="415" t="str">
        <f>IF(O330&gt;=40,IF(X330="M",VLOOKUP(O330,UKABoysAwards,2),IF(X330="F",VLOOKUP(O330,UKAGirlsAwards,2),"")),"")</f>
        <v/>
      </c>
      <c r="W330" s="210"/>
      <c r="X330" s="266" t="str">
        <f t="array" ref="X330:X331">INDEX(DB,$B330,4)</f>
        <v>#REF!</v>
      </c>
      <c r="Y330" s="210"/>
      <c r="Z330" s="285" t="str">
        <f t="shared" si="3"/>
        <v>#REF!</v>
      </c>
      <c r="AA330" s="286" t="str">
        <f>IF($Z330&gt;=1,RANK($Z330,$Z325:$Z340),0)</f>
        <v>#REF!</v>
      </c>
      <c r="AB330" s="287" t="str">
        <f>IF(AA330&lt;=MaxS,INT(Z330),0)</f>
        <v>#REF!</v>
      </c>
      <c r="AC330" s="210"/>
      <c r="AD330" s="285" t="str">
        <f t="shared" si="4"/>
        <v>#REF!</v>
      </c>
      <c r="AE330" s="286" t="str">
        <f>IF($AD330&gt;=1,RANK($AD330,$AD325:$AD340),0)</f>
        <v>#REF!</v>
      </c>
      <c r="AF330" s="287" t="str">
        <f>IF(AE330&lt;=MaxS,INT(AD330),0)</f>
        <v>#REF!</v>
      </c>
      <c r="AG330" s="210"/>
      <c r="AH330" s="210"/>
      <c r="AI330" s="288" t="str">
        <f t="shared" si="5"/>
        <v>#REF!</v>
      </c>
      <c r="AJ330" s="289" t="str">
        <f t="shared" si="6"/>
        <v>#REF!</v>
      </c>
    </row>
    <row r="331" ht="15.0" customHeight="1">
      <c r="A331" s="272"/>
      <c r="B331" s="250">
        <f>IF(OR(ISNA(MATCH(C331&amp;"",AthleteNumbers,0)),ISBLANK(C331)),0,MATCH(C331&amp;"",AthleteNumbers,0))</f>
        <v>0</v>
      </c>
      <c r="C331" s="413"/>
      <c r="D331" s="273" t="str">
        <f t="array" ref="D331">IF($B331&gt;0,INDEX(DB,$B331,8),"")</f>
        <v/>
      </c>
      <c r="E331" s="274" t="str">
        <f t="array" ref="E331">IF($B331&gt;0,INDEX(DB,$B331,3),"")</f>
        <v/>
      </c>
      <c r="F331" s="275">
        <f t="array" ref="F331">IF($B331&gt;0,INDEX(DB,$B331,13),0)</f>
        <v>0</v>
      </c>
      <c r="G331" s="276">
        <f t="array" ref="G331">IF($B331&gt;0,INDEX(DB,$B331,17),0)</f>
        <v>0</v>
      </c>
      <c r="H331" s="277">
        <f t="array" ref="H331">IF($B331&gt;0,INDEX(DB,$B331,15),0)</f>
        <v>0</v>
      </c>
      <c r="I331" s="276">
        <f t="array" ref="I331">IF($B331&gt;0,INDEX(DB,$B331,19),0)</f>
        <v>0</v>
      </c>
      <c r="J331" s="277">
        <f t="array" ref="J331">IF($B331&gt;0,INDEX(DB,$B331,14),0)</f>
        <v>0</v>
      </c>
      <c r="K331" s="276">
        <f t="array" ref="K331">IF($B331&gt;0,INDEX(DB,$B331,18),0)</f>
        <v>0</v>
      </c>
      <c r="L331" s="275">
        <f t="array" ref="L331">IF($B331&gt;0,INDEX(DB,$B331,16),0)</f>
        <v>0</v>
      </c>
      <c r="M331" s="276">
        <f t="array" ref="M331">IF($B331&gt;0,INDEX(DB,$B331,20),0)</f>
        <v>0</v>
      </c>
      <c r="N331" s="278"/>
      <c r="O331" s="279">
        <f t="shared" si="1"/>
        <v>0</v>
      </c>
      <c r="P331" s="280"/>
      <c r="Q331" s="261" t="str">
        <f t="shared" si="2"/>
        <v>#REF!</v>
      </c>
      <c r="R331" s="290" t="str">
        <f>IF($AI331&gt;0,RANK($AI331,BoysPoints),0)</f>
        <v>#REF!</v>
      </c>
      <c r="S331" s="291" t="str">
        <f>IF($AJ331&gt;0,RANK($AJ331,GirlsPoints),0)</f>
        <v>#REF!</v>
      </c>
      <c r="T331" s="292">
        <f>IF($O331&gt;0,RANK(O331,AthletePoints),0)</f>
        <v>0</v>
      </c>
      <c r="U331" s="210"/>
      <c r="V331" s="330" t="str">
        <f>IF(O331&gt;=40,IF(X331="M",VLOOKUP(O331,UKABoysAwards,2),IF(X331="F",VLOOKUP(O331,UKAGirlsAwards,2),"")),"")</f>
        <v/>
      </c>
      <c r="W331" s="210"/>
      <c r="X331" s="266" t="str">
        <f t="array" ref="X331:X332">INDEX(DB,$B331,4)</f>
        <v>#REF!</v>
      </c>
      <c r="Y331" s="210"/>
      <c r="Z331" s="285" t="str">
        <f t="shared" si="3"/>
        <v>#REF!</v>
      </c>
      <c r="AA331" s="286" t="str">
        <f>IF($Z331&gt;=1,RANK($Z331,$Z325:$Z340),0)</f>
        <v>#REF!</v>
      </c>
      <c r="AB331" s="287" t="str">
        <f>IF(AA331&lt;=MaxS,INT(Z331),0)</f>
        <v>#REF!</v>
      </c>
      <c r="AC331" s="210"/>
      <c r="AD331" s="285" t="str">
        <f t="shared" si="4"/>
        <v>#REF!</v>
      </c>
      <c r="AE331" s="286" t="str">
        <f>IF($AD331&gt;=1,RANK($AD331,$AD325:$AD340),0)</f>
        <v>#REF!</v>
      </c>
      <c r="AF331" s="287" t="str">
        <f>IF(AE331&lt;=MaxS,INT(AD331),0)</f>
        <v>#REF!</v>
      </c>
      <c r="AG331" s="210"/>
      <c r="AH331" s="210"/>
      <c r="AI331" s="288" t="str">
        <f t="shared" si="5"/>
        <v>#REF!</v>
      </c>
      <c r="AJ331" s="289" t="str">
        <f t="shared" si="6"/>
        <v>#REF!</v>
      </c>
    </row>
    <row r="332" ht="15.0" customHeight="1">
      <c r="A332" s="272"/>
      <c r="B332" s="250">
        <f>IF(OR(ISNA(MATCH(C332&amp;"",AthleteNumbers,0)),ISBLANK(C332)),0,MATCH(C332&amp;"",AthleteNumbers,0))</f>
        <v>0</v>
      </c>
      <c r="C332" s="413"/>
      <c r="D332" s="273" t="str">
        <f t="array" ref="D332">IF($B332&gt;0,INDEX(DB,$B332,8),"")</f>
        <v/>
      </c>
      <c r="E332" s="274" t="str">
        <f t="array" ref="E332">IF($B332&gt;0,INDEX(DB,$B332,3),"")</f>
        <v/>
      </c>
      <c r="F332" s="275">
        <f t="array" ref="F332">IF($B332&gt;0,INDEX(DB,$B332,13),0)</f>
        <v>0</v>
      </c>
      <c r="G332" s="276">
        <f t="array" ref="G332">IF($B332&gt;0,INDEX(DB,$B332,17),0)</f>
        <v>0</v>
      </c>
      <c r="H332" s="277">
        <f t="array" ref="H332">IF($B332&gt;0,INDEX(DB,$B332,15),0)</f>
        <v>0</v>
      </c>
      <c r="I332" s="276">
        <f t="array" ref="I332">IF($B332&gt;0,INDEX(DB,$B332,19),0)</f>
        <v>0</v>
      </c>
      <c r="J332" s="277">
        <f t="array" ref="J332">IF($B332&gt;0,INDEX(DB,$B332,14),0)</f>
        <v>0</v>
      </c>
      <c r="K332" s="276">
        <f t="array" ref="K332">IF($B332&gt;0,INDEX(DB,$B332,18),0)</f>
        <v>0</v>
      </c>
      <c r="L332" s="275">
        <f t="array" ref="L332">IF($B332&gt;0,INDEX(DB,$B332,16),0)</f>
        <v>0</v>
      </c>
      <c r="M332" s="276">
        <f t="array" ref="M332">IF($B332&gt;0,INDEX(DB,$B332,20),0)</f>
        <v>0</v>
      </c>
      <c r="N332" s="278"/>
      <c r="O332" s="279">
        <f t="shared" si="1"/>
        <v>0</v>
      </c>
      <c r="P332" s="280"/>
      <c r="Q332" s="261" t="str">
        <f t="shared" si="2"/>
        <v>#REF!</v>
      </c>
      <c r="R332" s="281" t="str">
        <f>IF($AI332&gt;0,RANK($AI332,BoysPoints),0)</f>
        <v>#REF!</v>
      </c>
      <c r="S332" s="282" t="str">
        <f>IF($AJ332&gt;0,RANK($AJ332,GirlsPoints),0)</f>
        <v>#REF!</v>
      </c>
      <c r="T332" s="283">
        <f>IF($O332&gt;0,RANK(O332,AthletePoints),0)</f>
        <v>0</v>
      </c>
      <c r="U332" s="210"/>
      <c r="V332" s="415" t="str">
        <f>IF(O332&gt;=40,IF(X332="M",VLOOKUP(O332,UKABoysAwards,2),IF(X332="F",VLOOKUP(O332,UKAGirlsAwards,2),"")),"")</f>
        <v/>
      </c>
      <c r="W332" s="210"/>
      <c r="X332" s="266" t="str">
        <f t="array" ref="X332:X333">INDEX(DB,$B332,4)</f>
        <v>#REF!</v>
      </c>
      <c r="Y332" s="210"/>
      <c r="Z332" s="285" t="str">
        <f t="shared" si="3"/>
        <v>#REF!</v>
      </c>
      <c r="AA332" s="286" t="str">
        <f>IF($Z332&gt;=1,RANK($Z332,$Z325:$Z340),0)</f>
        <v>#REF!</v>
      </c>
      <c r="AB332" s="287" t="str">
        <f>IF(AA332&lt;=MaxS,INT(Z332),0)</f>
        <v>#REF!</v>
      </c>
      <c r="AC332" s="210"/>
      <c r="AD332" s="285" t="str">
        <f t="shared" si="4"/>
        <v>#REF!</v>
      </c>
      <c r="AE332" s="286" t="str">
        <f>IF($AD332&gt;=1,RANK($AD332,$AD325:$AD340),0)</f>
        <v>#REF!</v>
      </c>
      <c r="AF332" s="287" t="str">
        <f>IF(AE332&lt;=MaxS,INT(AD332),0)</f>
        <v>#REF!</v>
      </c>
      <c r="AG332" s="210"/>
      <c r="AH332" s="210"/>
      <c r="AI332" s="288" t="str">
        <f t="shared" si="5"/>
        <v>#REF!</v>
      </c>
      <c r="AJ332" s="289" t="str">
        <f t="shared" si="6"/>
        <v>#REF!</v>
      </c>
    </row>
    <row r="333" ht="15.0" customHeight="1">
      <c r="A333" s="272"/>
      <c r="B333" s="250">
        <f>IF(OR(ISNA(MATCH(C333&amp;"",AthleteNumbers,0)),ISBLANK(C333)),0,MATCH(C333&amp;"",AthleteNumbers,0))</f>
        <v>0</v>
      </c>
      <c r="C333" s="413"/>
      <c r="D333" s="273" t="str">
        <f t="array" ref="D333">IF($B333&gt;0,INDEX(DB,$B333,8),"")</f>
        <v/>
      </c>
      <c r="E333" s="274" t="str">
        <f t="array" ref="E333">IF($B333&gt;0,INDEX(DB,$B333,3),"")</f>
        <v/>
      </c>
      <c r="F333" s="275">
        <f t="array" ref="F333">IF($B333&gt;0,INDEX(DB,$B333,13),0)</f>
        <v>0</v>
      </c>
      <c r="G333" s="276">
        <f t="array" ref="G333">IF($B333&gt;0,INDEX(DB,$B333,17),0)</f>
        <v>0</v>
      </c>
      <c r="H333" s="277">
        <f t="array" ref="H333">IF($B333&gt;0,INDEX(DB,$B333,15),0)</f>
        <v>0</v>
      </c>
      <c r="I333" s="276">
        <f t="array" ref="I333">IF($B333&gt;0,INDEX(DB,$B333,19),0)</f>
        <v>0</v>
      </c>
      <c r="J333" s="277">
        <f t="array" ref="J333">IF($B333&gt;0,INDEX(DB,$B333,14),0)</f>
        <v>0</v>
      </c>
      <c r="K333" s="276">
        <f t="array" ref="K333">IF($B333&gt;0,INDEX(DB,$B333,18),0)</f>
        <v>0</v>
      </c>
      <c r="L333" s="275">
        <f t="array" ref="L333">IF($B333&gt;0,INDEX(DB,$B333,16),0)</f>
        <v>0</v>
      </c>
      <c r="M333" s="276">
        <f t="array" ref="M333">IF($B333&gt;0,INDEX(DB,$B333,20),0)</f>
        <v>0</v>
      </c>
      <c r="N333" s="278"/>
      <c r="O333" s="279">
        <f t="shared" si="1"/>
        <v>0</v>
      </c>
      <c r="P333" s="280"/>
      <c r="Q333" s="261" t="str">
        <f t="shared" si="2"/>
        <v>#REF!</v>
      </c>
      <c r="R333" s="290" t="str">
        <f>IF($AI333&gt;0,RANK($AI333,BoysPoints),0)</f>
        <v>#REF!</v>
      </c>
      <c r="S333" s="291" t="str">
        <f>IF($AJ333&gt;0,RANK($AJ333,GirlsPoints),0)</f>
        <v>#REF!</v>
      </c>
      <c r="T333" s="292">
        <f>IF($O333&gt;0,RANK(O333,AthletePoints),0)</f>
        <v>0</v>
      </c>
      <c r="U333" s="210"/>
      <c r="V333" s="330" t="str">
        <f>IF(O333&gt;=40,IF(X333="M",VLOOKUP(O333,UKABoysAwards,2),IF(X333="F",VLOOKUP(O333,UKAGirlsAwards,2),"")),"")</f>
        <v/>
      </c>
      <c r="W333" s="210"/>
      <c r="X333" s="266" t="str">
        <f t="array" ref="X333:X334">INDEX(DB,$B333,4)</f>
        <v>#REF!</v>
      </c>
      <c r="Y333" s="210"/>
      <c r="Z333" s="285" t="str">
        <f t="shared" si="3"/>
        <v>#REF!</v>
      </c>
      <c r="AA333" s="286" t="str">
        <f>IF($Z333&gt;=1,RANK($Z333,$Z325:$Z340),0)</f>
        <v>#REF!</v>
      </c>
      <c r="AB333" s="287" t="str">
        <f>IF(AA333&lt;=MaxS,INT(Z333),0)</f>
        <v>#REF!</v>
      </c>
      <c r="AC333" s="210"/>
      <c r="AD333" s="285" t="str">
        <f t="shared" si="4"/>
        <v>#REF!</v>
      </c>
      <c r="AE333" s="286" t="str">
        <f>IF($AD333&gt;=1,RANK($AD333,$AD325:$AD340),0)</f>
        <v>#REF!</v>
      </c>
      <c r="AF333" s="287" t="str">
        <f>IF(AE333&lt;=MaxS,INT(AD333),0)</f>
        <v>#REF!</v>
      </c>
      <c r="AG333" s="210"/>
      <c r="AH333" s="210"/>
      <c r="AI333" s="288" t="str">
        <f t="shared" si="5"/>
        <v>#REF!</v>
      </c>
      <c r="AJ333" s="289" t="str">
        <f t="shared" si="6"/>
        <v>#REF!</v>
      </c>
    </row>
    <row r="334" ht="15.0" customHeight="1">
      <c r="A334" s="272"/>
      <c r="B334" s="250">
        <f>IF(OR(ISNA(MATCH(C334&amp;"",AthleteNumbers,0)),ISBLANK(C334)),0,MATCH(C334&amp;"",AthleteNumbers,0))</f>
        <v>0</v>
      </c>
      <c r="C334" s="413"/>
      <c r="D334" s="273" t="str">
        <f t="array" ref="D334">IF($B334&gt;0,INDEX(DB,$B334,8),"")</f>
        <v/>
      </c>
      <c r="E334" s="274" t="str">
        <f t="array" ref="E334">IF($B334&gt;0,INDEX(DB,$B334,3),"")</f>
        <v/>
      </c>
      <c r="F334" s="275">
        <f t="array" ref="F334">IF($B334&gt;0,INDEX(DB,$B334,13),0)</f>
        <v>0</v>
      </c>
      <c r="G334" s="276">
        <f t="array" ref="G334">IF($B334&gt;0,INDEX(DB,$B334,17),0)</f>
        <v>0</v>
      </c>
      <c r="H334" s="277">
        <f t="array" ref="H334">IF($B334&gt;0,INDEX(DB,$B334,15),0)</f>
        <v>0</v>
      </c>
      <c r="I334" s="276">
        <f t="array" ref="I334">IF($B334&gt;0,INDEX(DB,$B334,19),0)</f>
        <v>0</v>
      </c>
      <c r="J334" s="277">
        <f t="array" ref="J334">IF($B334&gt;0,INDEX(DB,$B334,14),0)</f>
        <v>0</v>
      </c>
      <c r="K334" s="276">
        <f t="array" ref="K334">IF($B334&gt;0,INDEX(DB,$B334,18),0)</f>
        <v>0</v>
      </c>
      <c r="L334" s="275">
        <f t="array" ref="L334">IF($B334&gt;0,INDEX(DB,$B334,16),0)</f>
        <v>0</v>
      </c>
      <c r="M334" s="276">
        <f t="array" ref="M334">IF($B334&gt;0,INDEX(DB,$B334,20),0)</f>
        <v>0</v>
      </c>
      <c r="N334" s="278"/>
      <c r="O334" s="279">
        <f t="shared" si="1"/>
        <v>0</v>
      </c>
      <c r="P334" s="280"/>
      <c r="Q334" s="261" t="str">
        <f t="shared" si="2"/>
        <v>#REF!</v>
      </c>
      <c r="R334" s="281" t="str">
        <f>IF($AI334&gt;0,RANK($AI334,BoysPoints),0)</f>
        <v>#REF!</v>
      </c>
      <c r="S334" s="282" t="str">
        <f>IF($AJ334&gt;0,RANK($AJ334,GirlsPoints),0)</f>
        <v>#REF!</v>
      </c>
      <c r="T334" s="283">
        <f>IF($O334&gt;0,RANK(O334,AthletePoints),0)</f>
        <v>0</v>
      </c>
      <c r="U334" s="210"/>
      <c r="V334" s="415" t="str">
        <f>IF(O334&gt;=40,IF(X334="M",VLOOKUP(O334,UKABoysAwards,2),IF(X334="F",VLOOKUP(O334,UKAGirlsAwards,2),"")),"")</f>
        <v/>
      </c>
      <c r="W334" s="210"/>
      <c r="X334" s="266" t="str">
        <f t="array" ref="X334:X335">INDEX(DB,$B334,4)</f>
        <v>#REF!</v>
      </c>
      <c r="Y334" s="210"/>
      <c r="Z334" s="285" t="str">
        <f t="shared" si="3"/>
        <v>#REF!</v>
      </c>
      <c r="AA334" s="286" t="str">
        <f>IF($Z334&gt;=1,RANK($Z334,$Z325:$Z340),0)</f>
        <v>#REF!</v>
      </c>
      <c r="AB334" s="287" t="str">
        <f>IF(AA334&lt;=MaxS,INT(Z334),0)</f>
        <v>#REF!</v>
      </c>
      <c r="AC334" s="210"/>
      <c r="AD334" s="285" t="str">
        <f t="shared" si="4"/>
        <v>#REF!</v>
      </c>
      <c r="AE334" s="286" t="str">
        <f>IF($AD334&gt;=1,RANK($AD334,$AD325:$AD340),0)</f>
        <v>#REF!</v>
      </c>
      <c r="AF334" s="287" t="str">
        <f>IF(AE334&lt;=MaxS,INT(AD334),0)</f>
        <v>#REF!</v>
      </c>
      <c r="AG334" s="210"/>
      <c r="AH334" s="210"/>
      <c r="AI334" s="288" t="str">
        <f t="shared" si="5"/>
        <v>#REF!</v>
      </c>
      <c r="AJ334" s="289" t="str">
        <f t="shared" si="6"/>
        <v>#REF!</v>
      </c>
    </row>
    <row r="335" ht="15.0" customHeight="1">
      <c r="A335" s="272"/>
      <c r="B335" s="250">
        <f>IF(OR(ISNA(MATCH(C335&amp;"",AthleteNumbers,0)),ISBLANK(C335)),0,MATCH(C335&amp;"",AthleteNumbers,0))</f>
        <v>0</v>
      </c>
      <c r="C335" s="413"/>
      <c r="D335" s="273" t="str">
        <f t="array" ref="D335">IF($B335&gt;0,INDEX(DB,$B335,8),"")</f>
        <v/>
      </c>
      <c r="E335" s="274" t="str">
        <f t="array" ref="E335">IF($B335&gt;0,INDEX(DB,$B335,3),"")</f>
        <v/>
      </c>
      <c r="F335" s="275">
        <f t="array" ref="F335">IF($B335&gt;0,INDEX(DB,$B335,13),0)</f>
        <v>0</v>
      </c>
      <c r="G335" s="276">
        <f t="array" ref="G335">IF($B335&gt;0,INDEX(DB,$B335,17),0)</f>
        <v>0</v>
      </c>
      <c r="H335" s="277">
        <f t="array" ref="H335">IF($B335&gt;0,INDEX(DB,$B335,15),0)</f>
        <v>0</v>
      </c>
      <c r="I335" s="276">
        <f t="array" ref="I335">IF($B335&gt;0,INDEX(DB,$B335,19),0)</f>
        <v>0</v>
      </c>
      <c r="J335" s="277">
        <f t="array" ref="J335">IF($B335&gt;0,INDEX(DB,$B335,14),0)</f>
        <v>0</v>
      </c>
      <c r="K335" s="276">
        <f t="array" ref="K335">IF($B335&gt;0,INDEX(DB,$B335,18),0)</f>
        <v>0</v>
      </c>
      <c r="L335" s="275">
        <f t="array" ref="L335">IF($B335&gt;0,INDEX(DB,$B335,16),0)</f>
        <v>0</v>
      </c>
      <c r="M335" s="276">
        <f t="array" ref="M335">IF($B335&gt;0,INDEX(DB,$B335,20),0)</f>
        <v>0</v>
      </c>
      <c r="N335" s="278"/>
      <c r="O335" s="279">
        <f t="shared" si="1"/>
        <v>0</v>
      </c>
      <c r="P335" s="280"/>
      <c r="Q335" s="261" t="str">
        <f t="shared" si="2"/>
        <v>#REF!</v>
      </c>
      <c r="R335" s="290" t="str">
        <f>IF($AI335&gt;0,RANK($AI335,BoysPoints),0)</f>
        <v>#REF!</v>
      </c>
      <c r="S335" s="291" t="str">
        <f>IF($AJ335&gt;0,RANK($AJ335,GirlsPoints),0)</f>
        <v>#REF!</v>
      </c>
      <c r="T335" s="292">
        <f>IF($O335&gt;0,RANK(O335,AthletePoints),0)</f>
        <v>0</v>
      </c>
      <c r="U335" s="210"/>
      <c r="V335" s="330" t="str">
        <f>IF(O335&gt;=40,IF(X335="M",VLOOKUP(O335,UKABoysAwards,2),IF(X335="F",VLOOKUP(O335,UKAGirlsAwards,2),"")),"")</f>
        <v/>
      </c>
      <c r="W335" s="210"/>
      <c r="X335" s="266" t="str">
        <f t="array" ref="X335:X336">INDEX(DB,$B335,4)</f>
        <v>#REF!</v>
      </c>
      <c r="Y335" s="210"/>
      <c r="Z335" s="285" t="str">
        <f t="shared" si="3"/>
        <v>#REF!</v>
      </c>
      <c r="AA335" s="286" t="str">
        <f>IF($Z335&gt;=1,RANK($Z335,$Z325:$Z340),0)</f>
        <v>#REF!</v>
      </c>
      <c r="AB335" s="287" t="str">
        <f>IF(AA335&lt;=MaxS,INT(Z335),0)</f>
        <v>#REF!</v>
      </c>
      <c r="AC335" s="210"/>
      <c r="AD335" s="285" t="str">
        <f t="shared" si="4"/>
        <v>#REF!</v>
      </c>
      <c r="AE335" s="286" t="str">
        <f>IF($AD335&gt;=1,RANK($AD335,$AD325:$AD340),0)</f>
        <v>#REF!</v>
      </c>
      <c r="AF335" s="287" t="str">
        <f>IF(AE335&lt;=MaxS,INT(AD335),0)</f>
        <v>#REF!</v>
      </c>
      <c r="AG335" s="210"/>
      <c r="AH335" s="210"/>
      <c r="AI335" s="288" t="str">
        <f t="shared" si="5"/>
        <v>#REF!</v>
      </c>
      <c r="AJ335" s="289" t="str">
        <f t="shared" si="6"/>
        <v>#REF!</v>
      </c>
    </row>
    <row r="336" ht="15.0" customHeight="1">
      <c r="A336" s="272"/>
      <c r="B336" s="250">
        <f>IF(OR(ISNA(MATCH(C336&amp;"",AthleteNumbers,0)),ISBLANK(C336)),0,MATCH(C336&amp;"",AthleteNumbers,0))</f>
        <v>0</v>
      </c>
      <c r="C336" s="413"/>
      <c r="D336" s="273" t="str">
        <f t="array" ref="D336">IF($B336&gt;0,INDEX(DB,$B336,8),"")</f>
        <v/>
      </c>
      <c r="E336" s="274" t="str">
        <f t="array" ref="E336">IF($B336&gt;0,INDEX(DB,$B336,3),"")</f>
        <v/>
      </c>
      <c r="F336" s="275">
        <f t="array" ref="F336">IF($B336&gt;0,INDEX(DB,$B336,13),0)</f>
        <v>0</v>
      </c>
      <c r="G336" s="276">
        <f t="array" ref="G336">IF($B336&gt;0,INDEX(DB,$B336,17),0)</f>
        <v>0</v>
      </c>
      <c r="H336" s="277">
        <f t="array" ref="H336">IF($B336&gt;0,INDEX(DB,$B336,15),0)</f>
        <v>0</v>
      </c>
      <c r="I336" s="276">
        <f t="array" ref="I336">IF($B336&gt;0,INDEX(DB,$B336,19),0)</f>
        <v>0</v>
      </c>
      <c r="J336" s="277">
        <f t="array" ref="J336">IF($B336&gt;0,INDEX(DB,$B336,14),0)</f>
        <v>0</v>
      </c>
      <c r="K336" s="276">
        <f t="array" ref="K336">IF($B336&gt;0,INDEX(DB,$B336,18),0)</f>
        <v>0</v>
      </c>
      <c r="L336" s="275">
        <f t="array" ref="L336">IF($B336&gt;0,INDEX(DB,$B336,16),0)</f>
        <v>0</v>
      </c>
      <c r="M336" s="276">
        <f t="array" ref="M336">IF($B336&gt;0,INDEX(DB,$B336,20),0)</f>
        <v>0</v>
      </c>
      <c r="N336" s="278"/>
      <c r="O336" s="279">
        <f t="shared" si="1"/>
        <v>0</v>
      </c>
      <c r="P336" s="280"/>
      <c r="Q336" s="261" t="str">
        <f t="shared" si="2"/>
        <v>#REF!</v>
      </c>
      <c r="R336" s="281" t="str">
        <f>IF($AI336&gt;0,RANK($AI336,BoysPoints),0)</f>
        <v>#REF!</v>
      </c>
      <c r="S336" s="282" t="str">
        <f>IF($AJ336&gt;0,RANK($AJ336,GirlsPoints),0)</f>
        <v>#REF!</v>
      </c>
      <c r="T336" s="283">
        <f>IF($O336&gt;0,RANK(O336,AthletePoints),0)</f>
        <v>0</v>
      </c>
      <c r="U336" s="210"/>
      <c r="V336" s="415" t="str">
        <f>IF(O336&gt;=40,IF(X336="M",VLOOKUP(O336,UKABoysAwards,2),IF(X336="F",VLOOKUP(O336,UKAGirlsAwards,2),"")),"")</f>
        <v/>
      </c>
      <c r="W336" s="210"/>
      <c r="X336" s="266" t="str">
        <f t="array" ref="X336:X337">INDEX(DB,$B336,4)</f>
        <v>#REF!</v>
      </c>
      <c r="Y336" s="210"/>
      <c r="Z336" s="285" t="str">
        <f t="shared" si="3"/>
        <v>#REF!</v>
      </c>
      <c r="AA336" s="286" t="str">
        <f>IF($Z336&gt;=1,RANK($Z336,$Z325:$Z340),0)</f>
        <v>#REF!</v>
      </c>
      <c r="AB336" s="287" t="str">
        <f>IF(AA336&lt;=MaxS,INT(Z336),0)</f>
        <v>#REF!</v>
      </c>
      <c r="AC336" s="210"/>
      <c r="AD336" s="285" t="str">
        <f t="shared" si="4"/>
        <v>#REF!</v>
      </c>
      <c r="AE336" s="286" t="str">
        <f>IF($AD336&gt;=1,RANK($AD336,$AD325:$AD340),0)</f>
        <v>#REF!</v>
      </c>
      <c r="AF336" s="287" t="str">
        <f>IF(AE336&lt;=MaxS,INT(AD336),0)</f>
        <v>#REF!</v>
      </c>
      <c r="AG336" s="210"/>
      <c r="AH336" s="210"/>
      <c r="AI336" s="288" t="str">
        <f t="shared" si="5"/>
        <v>#REF!</v>
      </c>
      <c r="AJ336" s="289" t="str">
        <f t="shared" si="6"/>
        <v>#REF!</v>
      </c>
    </row>
    <row r="337" ht="15.0" customHeight="1">
      <c r="A337" s="272"/>
      <c r="B337" s="250">
        <f>IF(OR(ISNA(MATCH(C337&amp;"",AthleteNumbers,0)),ISBLANK(C337)),0,MATCH(C337&amp;"",AthleteNumbers,0))</f>
        <v>0</v>
      </c>
      <c r="C337" s="413"/>
      <c r="D337" s="273" t="str">
        <f t="array" ref="D337">IF($B337&gt;0,INDEX(DB,$B337,8),"")</f>
        <v/>
      </c>
      <c r="E337" s="274" t="str">
        <f t="array" ref="E337">IF($B337&gt;0,INDEX(DB,$B337,3),"")</f>
        <v/>
      </c>
      <c r="F337" s="275">
        <f t="array" ref="F337">IF($B337&gt;0,INDEX(DB,$B337,13),0)</f>
        <v>0</v>
      </c>
      <c r="G337" s="276">
        <f t="array" ref="G337">IF($B337&gt;0,INDEX(DB,$B337,17),0)</f>
        <v>0</v>
      </c>
      <c r="H337" s="277">
        <f t="array" ref="H337">IF($B337&gt;0,INDEX(DB,$B337,15),0)</f>
        <v>0</v>
      </c>
      <c r="I337" s="276">
        <f t="array" ref="I337">IF($B337&gt;0,INDEX(DB,$B337,19),0)</f>
        <v>0</v>
      </c>
      <c r="J337" s="277">
        <f t="array" ref="J337">IF($B337&gt;0,INDEX(DB,$B337,14),0)</f>
        <v>0</v>
      </c>
      <c r="K337" s="276">
        <f t="array" ref="K337">IF($B337&gt;0,INDEX(DB,$B337,18),0)</f>
        <v>0</v>
      </c>
      <c r="L337" s="275">
        <f t="array" ref="L337">IF($B337&gt;0,INDEX(DB,$B337,16),0)</f>
        <v>0</v>
      </c>
      <c r="M337" s="276">
        <f t="array" ref="M337">IF($B337&gt;0,INDEX(DB,$B337,20),0)</f>
        <v>0</v>
      </c>
      <c r="N337" s="278"/>
      <c r="O337" s="279">
        <f t="shared" si="1"/>
        <v>0</v>
      </c>
      <c r="P337" s="280"/>
      <c r="Q337" s="261" t="str">
        <f t="shared" si="2"/>
        <v>#REF!</v>
      </c>
      <c r="R337" s="290" t="str">
        <f>IF($AI337&gt;0,RANK($AI337,BoysPoints),0)</f>
        <v>#REF!</v>
      </c>
      <c r="S337" s="291" t="str">
        <f>IF($AJ337&gt;0,RANK($AJ337,GirlsPoints),0)</f>
        <v>#REF!</v>
      </c>
      <c r="T337" s="292">
        <f>IF($O337&gt;0,RANK(O337,AthletePoints),0)</f>
        <v>0</v>
      </c>
      <c r="U337" s="210"/>
      <c r="V337" s="330" t="str">
        <f>IF(O337&gt;=40,IF(X337="M",VLOOKUP(O337,UKABoysAwards,2),IF(X337="F",VLOOKUP(O337,UKAGirlsAwards,2),"")),"")</f>
        <v/>
      </c>
      <c r="W337" s="210"/>
      <c r="X337" s="266" t="str">
        <f t="array" ref="X337:X338">INDEX(DB,$B337,4)</f>
        <v>#REF!</v>
      </c>
      <c r="Y337" s="210"/>
      <c r="Z337" s="285" t="str">
        <f t="shared" si="3"/>
        <v>#REF!</v>
      </c>
      <c r="AA337" s="286" t="str">
        <f>IF($Z337&gt;=1,RANK($Z337,$Z325:$Z340),0)</f>
        <v>#REF!</v>
      </c>
      <c r="AB337" s="287" t="str">
        <f>IF(AA337&lt;=MaxS,INT(Z337),0)</f>
        <v>#REF!</v>
      </c>
      <c r="AC337" s="210"/>
      <c r="AD337" s="285" t="str">
        <f t="shared" si="4"/>
        <v>#REF!</v>
      </c>
      <c r="AE337" s="286" t="str">
        <f>IF($AD337&gt;=1,RANK($AD337,$AD325:$AD340),0)</f>
        <v>#REF!</v>
      </c>
      <c r="AF337" s="287" t="str">
        <f>IF(AE337&lt;=MaxS,INT(AD337),0)</f>
        <v>#REF!</v>
      </c>
      <c r="AG337" s="210"/>
      <c r="AH337" s="210"/>
      <c r="AI337" s="288" t="str">
        <f t="shared" si="5"/>
        <v>#REF!</v>
      </c>
      <c r="AJ337" s="289" t="str">
        <f t="shared" si="6"/>
        <v>#REF!</v>
      </c>
    </row>
    <row r="338" ht="15.0" customHeight="1">
      <c r="A338" s="272"/>
      <c r="B338" s="250">
        <f>IF(OR(ISNA(MATCH(C338&amp;"",AthleteNumbers,0)),ISBLANK(C338)),0,MATCH(C338&amp;"",AthleteNumbers,0))</f>
        <v>0</v>
      </c>
      <c r="C338" s="413"/>
      <c r="D338" s="273" t="str">
        <f t="array" ref="D338">IF($B338&gt;0,INDEX(DB,$B338,8),"")</f>
        <v/>
      </c>
      <c r="E338" s="274" t="str">
        <f t="array" ref="E338">IF($B338&gt;0,INDEX(DB,$B338,3),"")</f>
        <v/>
      </c>
      <c r="F338" s="275">
        <f t="array" ref="F338">IF($B338&gt;0,INDEX(DB,$B338,13),0)</f>
        <v>0</v>
      </c>
      <c r="G338" s="276">
        <f t="array" ref="G338">IF($B338&gt;0,INDEX(DB,$B338,17),0)</f>
        <v>0</v>
      </c>
      <c r="H338" s="277">
        <f t="array" ref="H338">IF($B338&gt;0,INDEX(DB,$B338,15),0)</f>
        <v>0</v>
      </c>
      <c r="I338" s="276">
        <f t="array" ref="I338">IF($B338&gt;0,INDEX(DB,$B338,19),0)</f>
        <v>0</v>
      </c>
      <c r="J338" s="277">
        <f t="array" ref="J338">IF($B338&gt;0,INDEX(DB,$B338,14),0)</f>
        <v>0</v>
      </c>
      <c r="K338" s="276">
        <f t="array" ref="K338">IF($B338&gt;0,INDEX(DB,$B338,18),0)</f>
        <v>0</v>
      </c>
      <c r="L338" s="275">
        <f t="array" ref="L338">IF($B338&gt;0,INDEX(DB,$B338,16),0)</f>
        <v>0</v>
      </c>
      <c r="M338" s="276">
        <f t="array" ref="M338">IF($B338&gt;0,INDEX(DB,$B338,20),0)</f>
        <v>0</v>
      </c>
      <c r="N338" s="278"/>
      <c r="O338" s="279">
        <f t="shared" si="1"/>
        <v>0</v>
      </c>
      <c r="P338" s="280"/>
      <c r="Q338" s="261" t="str">
        <f t="shared" si="2"/>
        <v>#REF!</v>
      </c>
      <c r="R338" s="281" t="str">
        <f>IF($AI338&gt;0,RANK($AI338,BoysPoints),0)</f>
        <v>#REF!</v>
      </c>
      <c r="S338" s="282" t="str">
        <f>IF($AJ338&gt;0,RANK($AJ338,GirlsPoints),0)</f>
        <v>#REF!</v>
      </c>
      <c r="T338" s="283">
        <f>IF($O338&gt;0,RANK(O338,AthletePoints),0)</f>
        <v>0</v>
      </c>
      <c r="U338" s="210"/>
      <c r="V338" s="415" t="str">
        <f>IF(O338&gt;=40,IF(X338="M",VLOOKUP(O338,UKABoysAwards,2),IF(X338="F",VLOOKUP(O338,UKAGirlsAwards,2),"")),"")</f>
        <v/>
      </c>
      <c r="W338" s="210"/>
      <c r="X338" s="266" t="str">
        <f t="array" ref="X338:X339">INDEX(DB,$B338,4)</f>
        <v>#REF!</v>
      </c>
      <c r="Y338" s="210"/>
      <c r="Z338" s="285" t="str">
        <f t="shared" si="3"/>
        <v>#REF!</v>
      </c>
      <c r="AA338" s="286" t="str">
        <f>IF($Z338&gt;=1,RANK($Z338,$Z325:$Z340),0)</f>
        <v>#REF!</v>
      </c>
      <c r="AB338" s="287" t="str">
        <f>IF(AA338&lt;=MaxS,INT(Z338),0)</f>
        <v>#REF!</v>
      </c>
      <c r="AC338" s="210"/>
      <c r="AD338" s="285" t="str">
        <f t="shared" si="4"/>
        <v>#REF!</v>
      </c>
      <c r="AE338" s="286" t="str">
        <f>IF($AD338&gt;=1,RANK($AD338,$AD325:$AD340),0)</f>
        <v>#REF!</v>
      </c>
      <c r="AF338" s="287" t="str">
        <f>IF(AE338&lt;=MaxS,INT(AD338),0)</f>
        <v>#REF!</v>
      </c>
      <c r="AG338" s="210"/>
      <c r="AH338" s="210"/>
      <c r="AI338" s="288" t="str">
        <f t="shared" si="5"/>
        <v>#REF!</v>
      </c>
      <c r="AJ338" s="289" t="str">
        <f t="shared" si="6"/>
        <v>#REF!</v>
      </c>
    </row>
    <row r="339" ht="15.0" customHeight="1">
      <c r="A339" s="272"/>
      <c r="B339" s="250">
        <f>IF(OR(ISNA(MATCH(C339&amp;"",AthleteNumbers,0)),ISBLANK(C339)),0,MATCH(C339&amp;"",AthleteNumbers,0))</f>
        <v>0</v>
      </c>
      <c r="C339" s="413"/>
      <c r="D339" s="273" t="str">
        <f t="array" ref="D339">IF($B339&gt;0,INDEX(DB,$B339,8),"")</f>
        <v/>
      </c>
      <c r="E339" s="274" t="str">
        <f t="array" ref="E339">IF($B339&gt;0,INDEX(DB,$B339,3),"")</f>
        <v/>
      </c>
      <c r="F339" s="275">
        <f t="array" ref="F339">IF($B339&gt;0,INDEX(DB,$B339,13),0)</f>
        <v>0</v>
      </c>
      <c r="G339" s="276">
        <f t="array" ref="G339">IF($B339&gt;0,INDEX(DB,$B339,17),0)</f>
        <v>0</v>
      </c>
      <c r="H339" s="277">
        <f t="array" ref="H339">IF($B339&gt;0,INDEX(DB,$B339,15),0)</f>
        <v>0</v>
      </c>
      <c r="I339" s="276">
        <f t="array" ref="I339">IF($B339&gt;0,INDEX(DB,$B339,19),0)</f>
        <v>0</v>
      </c>
      <c r="J339" s="277">
        <f t="array" ref="J339">IF($B339&gt;0,INDEX(DB,$B339,14),0)</f>
        <v>0</v>
      </c>
      <c r="K339" s="276">
        <f t="array" ref="K339">IF($B339&gt;0,INDEX(DB,$B339,18),0)</f>
        <v>0</v>
      </c>
      <c r="L339" s="275">
        <f t="array" ref="L339">IF($B339&gt;0,INDEX(DB,$B339,16),0)</f>
        <v>0</v>
      </c>
      <c r="M339" s="276">
        <f t="array" ref="M339">IF($B339&gt;0,INDEX(DB,$B339,20),0)</f>
        <v>0</v>
      </c>
      <c r="N339" s="278"/>
      <c r="O339" s="279">
        <f t="shared" si="1"/>
        <v>0</v>
      </c>
      <c r="P339" s="280"/>
      <c r="Q339" s="261" t="str">
        <f t="shared" si="2"/>
        <v>#REF!</v>
      </c>
      <c r="R339" s="290" t="str">
        <f>IF($AI339&gt;0,RANK($AI339,BoysPoints),0)</f>
        <v>#REF!</v>
      </c>
      <c r="S339" s="291" t="str">
        <f>IF($AJ339&gt;0,RANK($AJ339,GirlsPoints),0)</f>
        <v>#REF!</v>
      </c>
      <c r="T339" s="292">
        <f>IF($O339&gt;0,RANK(O339,AthletePoints),0)</f>
        <v>0</v>
      </c>
      <c r="U339" s="210"/>
      <c r="V339" s="330" t="str">
        <f>IF(O339&gt;=40,IF(X339="M",VLOOKUP(O339,UKABoysAwards,2),IF(X339="F",VLOOKUP(O339,UKAGirlsAwards,2),"")),"")</f>
        <v/>
      </c>
      <c r="W339" s="210"/>
      <c r="X339" s="266" t="str">
        <f t="array" ref="X339:X340">INDEX(DB,$B339,4)</f>
        <v>#REF!</v>
      </c>
      <c r="Y339" s="210"/>
      <c r="Z339" s="285" t="str">
        <f t="shared" si="3"/>
        <v>#REF!</v>
      </c>
      <c r="AA339" s="286" t="str">
        <f>IF($Z339&gt;=1,RANK($Z339,$Z325:$Z340),0)</f>
        <v>#REF!</v>
      </c>
      <c r="AB339" s="287" t="str">
        <f>IF(AA339&lt;=MaxS,INT(Z339),0)</f>
        <v>#REF!</v>
      </c>
      <c r="AC339" s="210"/>
      <c r="AD339" s="285" t="str">
        <f t="shared" si="4"/>
        <v>#REF!</v>
      </c>
      <c r="AE339" s="286" t="str">
        <f>IF($AD339&gt;=1,RANK($AD339,$AD325:$AD340),0)</f>
        <v>#REF!</v>
      </c>
      <c r="AF339" s="287" t="str">
        <f>IF(AE339&lt;=MaxS,INT(AD339),0)</f>
        <v>#REF!</v>
      </c>
      <c r="AG339" s="210"/>
      <c r="AH339" s="210"/>
      <c r="AI339" s="288" t="str">
        <f t="shared" si="5"/>
        <v>#REF!</v>
      </c>
      <c r="AJ339" s="289" t="str">
        <f t="shared" si="6"/>
        <v>#REF!</v>
      </c>
    </row>
    <row r="340" ht="15.0" customHeight="1">
      <c r="A340" s="305"/>
      <c r="B340" s="250">
        <f>IF(OR(ISNA(MATCH(C340&amp;"",AthleteNumbers,0)),ISBLANK(C340)),0,MATCH(C340&amp;"",AthleteNumbers,0))</f>
        <v>0</v>
      </c>
      <c r="C340" s="443"/>
      <c r="D340" s="306" t="str">
        <f t="array" ref="D340">IF($B340&gt;0,INDEX(DB,$B340,8),"")</f>
        <v/>
      </c>
      <c r="E340" s="307" t="str">
        <f t="array" ref="E340">IF($B340&gt;0,INDEX(DB,$B340,3),"")</f>
        <v/>
      </c>
      <c r="F340" s="308">
        <f t="array" ref="F340">IF($B340&gt;0,INDEX(DB,$B340,13),0)</f>
        <v>0</v>
      </c>
      <c r="G340" s="309">
        <f t="array" ref="G340">IF($B340&gt;0,INDEX(DB,$B340,17),0)</f>
        <v>0</v>
      </c>
      <c r="H340" s="310">
        <f t="array" ref="H340">IF($B340&gt;0,INDEX(DB,$B340,15),0)</f>
        <v>0</v>
      </c>
      <c r="I340" s="309">
        <f t="array" ref="I340">IF($B340&gt;0,INDEX(DB,$B340,19),0)</f>
        <v>0</v>
      </c>
      <c r="J340" s="310">
        <f t="array" ref="J340">IF($B340&gt;0,INDEX(DB,$B340,14),0)</f>
        <v>0</v>
      </c>
      <c r="K340" s="309">
        <f t="array" ref="K340">IF($B340&gt;0,INDEX(DB,$B340,18),0)</f>
        <v>0</v>
      </c>
      <c r="L340" s="308">
        <f t="array" ref="L340">IF($B340&gt;0,INDEX(DB,$B340,16),0)</f>
        <v>0</v>
      </c>
      <c r="M340" s="309">
        <f t="array" ref="M340">IF($B340&gt;0,INDEX(DB,$B340,20),0)</f>
        <v>0</v>
      </c>
      <c r="N340" s="25"/>
      <c r="O340" s="311">
        <f t="shared" si="1"/>
        <v>0</v>
      </c>
      <c r="P340" s="31"/>
      <c r="Q340" s="261" t="str">
        <f t="shared" si="2"/>
        <v>#REF!</v>
      </c>
      <c r="R340" s="312" t="str">
        <f>IF($AI340&gt;0,RANK($AI340,BoysPoints),0)</f>
        <v>#REF!</v>
      </c>
      <c r="S340" s="313" t="str">
        <f>IF($AJ340&gt;0,RANK($AJ340,GirlsPoints),0)</f>
        <v>#REF!</v>
      </c>
      <c r="T340" s="314">
        <f>IF($O340&gt;0,RANK(O340,AthletePoints),0)</f>
        <v>0</v>
      </c>
      <c r="U340" s="210"/>
      <c r="V340" s="444" t="str">
        <f>IF(O340&gt;=40,IF(X340="M",VLOOKUP(O340,UKABoysAwards,2),IF(X340="F",VLOOKUP(O340,UKAGirlsAwards,2),"")),"")</f>
        <v/>
      </c>
      <c r="W340" s="210"/>
      <c r="X340" s="266" t="str">
        <f t="array" ref="X340:X341">INDEX(DB,$B340,4)</f>
        <v>#REF!</v>
      </c>
      <c r="Y340" s="210"/>
      <c r="Z340" s="316" t="str">
        <f t="shared" si="3"/>
        <v>#REF!</v>
      </c>
      <c r="AA340" s="243" t="str">
        <f>IF($Z340&gt;=1,RANK($Z340,$Z325:$Z340),0)</f>
        <v>#REF!</v>
      </c>
      <c r="AB340" s="245" t="str">
        <f>IF(AA340&lt;=MaxS,INT(Z340),0)</f>
        <v>#REF!</v>
      </c>
      <c r="AC340" s="210" t="str">
        <f>SUM(AB325:AB340)</f>
        <v>#REF!</v>
      </c>
      <c r="AD340" s="316" t="str">
        <f t="shared" si="4"/>
        <v>#REF!</v>
      </c>
      <c r="AE340" s="243" t="str">
        <f>IF($AD340&gt;=1,RANK($AD340,$AD325:$AD340),0)</f>
        <v>#REF!</v>
      </c>
      <c r="AF340" s="245" t="str">
        <f>IF(AE340&lt;=MaxS,INT(AD340),0)</f>
        <v>#REF!</v>
      </c>
      <c r="AG340" s="210" t="str">
        <f>SUM(AF325:AF340)</f>
        <v>#REF!</v>
      </c>
      <c r="AH340" s="210"/>
      <c r="AI340" s="246" t="str">
        <f t="shared" si="5"/>
        <v>#REF!</v>
      </c>
      <c r="AJ340" s="247" t="str">
        <f t="shared" si="6"/>
        <v>#REF!</v>
      </c>
    </row>
    <row r="341" ht="15.0" customHeight="1">
      <c r="A341" s="248" t="str">
        <f>IF(LEN(E341),+E341,"")</f>
        <v/>
      </c>
      <c r="B341" s="250">
        <f>IF(OR(ISNA(MATCH(C341&amp;"",AthleteNumbers,0)),ISBLANK(C341)),0,MATCH(C341&amp;"",AthleteNumbers,0))</f>
        <v>0</v>
      </c>
      <c r="C341" s="251"/>
      <c r="D341" s="252" t="str">
        <f t="array" ref="D341">IF($B341&gt;0,INDEX(DB,$B341,8),"")</f>
        <v/>
      </c>
      <c r="E341" s="253" t="str">
        <f t="array" ref="E341">IF($B341&gt;0,INDEX(DB,$B341,3),"")</f>
        <v/>
      </c>
      <c r="F341" s="254">
        <f t="array" ref="F341">IF($B341&gt;0,INDEX(DB,$B341,13),0)</f>
        <v>0</v>
      </c>
      <c r="G341" s="255">
        <f t="array" ref="G341">IF($B341&gt;0,INDEX(DB,$B341,17),0)</f>
        <v>0</v>
      </c>
      <c r="H341" s="257">
        <f t="array" ref="H341">IF($B341&gt;0,INDEX(DB,$B341,15),0)</f>
        <v>0</v>
      </c>
      <c r="I341" s="255">
        <f t="array" ref="I341">IF($B341&gt;0,INDEX(DB,$B341,19),0)</f>
        <v>0</v>
      </c>
      <c r="J341" s="257">
        <f t="array" ref="J341">IF($B341&gt;0,INDEX(DB,$B341,14),0)</f>
        <v>0</v>
      </c>
      <c r="K341" s="255">
        <f t="array" ref="K341">IF($B341&gt;0,INDEX(DB,$B341,18),0)</f>
        <v>0</v>
      </c>
      <c r="L341" s="254">
        <f t="array" ref="L341">IF($B341&gt;0,INDEX(DB,$B341,16),0)</f>
        <v>0</v>
      </c>
      <c r="M341" s="255">
        <f t="array" ref="M341">IF($B341&gt;0,INDEX(DB,$B341,20),0)</f>
        <v>0</v>
      </c>
      <c r="N341" s="258" t="str">
        <f t="array" ref="N341:N357">INDEX(RelayPoints,A356)</f>
        <v>#REF!</v>
      </c>
      <c r="O341" s="259">
        <f t="shared" si="1"/>
        <v>0</v>
      </c>
      <c r="P341" s="260" t="str">
        <f>+AC356+AG356+N341</f>
        <v>#REF!</v>
      </c>
      <c r="Q341" s="261" t="str">
        <f t="shared" si="2"/>
        <v>#REF!</v>
      </c>
      <c r="R341" s="262" t="str">
        <f>IF($AI341&gt;0,RANK($AI341,BoysPoints),0)</f>
        <v>#REF!</v>
      </c>
      <c r="S341" s="263" t="str">
        <f>IF($AJ341&gt;0,RANK($AJ341,GirlsPoints),0)</f>
        <v>#REF!</v>
      </c>
      <c r="T341" s="264">
        <f>IF($O341&gt;0,RANK(O341,AthletePoints),0)</f>
        <v>0</v>
      </c>
      <c r="U341" s="210"/>
      <c r="V341" s="317" t="str">
        <f>IF(O341&gt;=40,IF(X341="M",VLOOKUP(O341,UKABoysAwards,2),IF(X341="F",VLOOKUP(O341,UKAGirlsAwards,2),"")),"")</f>
        <v/>
      </c>
      <c r="W341" s="210"/>
      <c r="X341" s="266" t="str">
        <f t="array" ref="X341:X342">INDEX(DB,$B341,4)</f>
        <v>#REF!</v>
      </c>
      <c r="Y341" s="210"/>
      <c r="Z341" s="267" t="str">
        <f t="shared" si="3"/>
        <v>#REF!</v>
      </c>
      <c r="AA341" s="268" t="str">
        <f>IF($Z341&gt;=1,RANK($Z341,$Z341:$Z356),0)</f>
        <v>#REF!</v>
      </c>
      <c r="AB341" s="269" t="str">
        <f>IF(AA341&lt;=MaxS,INT(Z341),0)</f>
        <v>#REF!</v>
      </c>
      <c r="AC341" s="210"/>
      <c r="AD341" s="267" t="str">
        <f t="shared" si="4"/>
        <v>#REF!</v>
      </c>
      <c r="AE341" s="268" t="str">
        <f>IF($AD341&gt;=1,RANK($AD341,$AD341:$AD356),0)</f>
        <v>#REF!</v>
      </c>
      <c r="AF341" s="269" t="str">
        <f>IF(AE341&lt;=MaxS,INT(AD341),0)</f>
        <v>#REF!</v>
      </c>
      <c r="AG341" s="210"/>
      <c r="AH341" s="210"/>
      <c r="AI341" s="288" t="str">
        <f t="shared" si="5"/>
        <v>#REF!</v>
      </c>
      <c r="AJ341" s="289" t="str">
        <f t="shared" si="6"/>
        <v>#REF!</v>
      </c>
    </row>
    <row r="342" ht="15.0" customHeight="1">
      <c r="A342" s="272"/>
      <c r="B342" s="250">
        <f>IF(OR(ISNA(MATCH(C342&amp;"",AthleteNumbers,0)),ISBLANK(C342)),0,MATCH(C342&amp;"",AthleteNumbers,0))</f>
        <v>0</v>
      </c>
      <c r="C342" s="413"/>
      <c r="D342" s="273" t="str">
        <f t="array" ref="D342">IF($B342&gt;0,INDEX(DB,$B342,8),"")</f>
        <v/>
      </c>
      <c r="E342" s="274" t="str">
        <f t="array" ref="E342">IF($B342&gt;0,INDEX(DB,$B342,3),"")</f>
        <v/>
      </c>
      <c r="F342" s="275">
        <f t="array" ref="F342">IF($B342&gt;0,INDEX(DB,$B342,13),0)</f>
        <v>0</v>
      </c>
      <c r="G342" s="276">
        <f t="array" ref="G342">IF($B342&gt;0,INDEX(DB,$B342,17),0)</f>
        <v>0</v>
      </c>
      <c r="H342" s="277">
        <f t="array" ref="H342">IF($B342&gt;0,INDEX(DB,$B342,15),0)</f>
        <v>0</v>
      </c>
      <c r="I342" s="276">
        <f t="array" ref="I342">IF($B342&gt;0,INDEX(DB,$B342,19),0)</f>
        <v>0</v>
      </c>
      <c r="J342" s="277">
        <f t="array" ref="J342">IF($B342&gt;0,INDEX(DB,$B342,14),0)</f>
        <v>0</v>
      </c>
      <c r="K342" s="276">
        <f t="array" ref="K342">IF($B342&gt;0,INDEX(DB,$B342,18),0)</f>
        <v>0</v>
      </c>
      <c r="L342" s="275">
        <f t="array" ref="L342">IF($B342&gt;0,INDEX(DB,$B342,16),0)</f>
        <v>0</v>
      </c>
      <c r="M342" s="276">
        <f t="array" ref="M342">IF($B342&gt;0,INDEX(DB,$B342,20),0)</f>
        <v>0</v>
      </c>
      <c r="N342" s="278"/>
      <c r="O342" s="279">
        <f t="shared" si="1"/>
        <v>0</v>
      </c>
      <c r="P342" s="280"/>
      <c r="Q342" s="261" t="str">
        <f t="shared" si="2"/>
        <v>#REF!</v>
      </c>
      <c r="R342" s="281" t="str">
        <f>IF($AI342&gt;0,RANK($AI342,BoysPoints),0)</f>
        <v>#REF!</v>
      </c>
      <c r="S342" s="282" t="str">
        <f>IF($AJ342&gt;0,RANK($AJ342,GirlsPoints),0)</f>
        <v>#REF!</v>
      </c>
      <c r="T342" s="283">
        <f>IF($O342&gt;0,RANK(O342,AthletePoints),0)</f>
        <v>0</v>
      </c>
      <c r="U342" s="210"/>
      <c r="V342" s="415" t="str">
        <f>IF(O342&gt;=40,IF(X342="M",VLOOKUP(O342,UKABoysAwards,2),IF(X342="F",VLOOKUP(O342,UKAGirlsAwards,2),"")),"")</f>
        <v/>
      </c>
      <c r="W342" s="210"/>
      <c r="X342" s="266" t="str">
        <f t="array" ref="X342:X343">INDEX(DB,$B342,4)</f>
        <v>#REF!</v>
      </c>
      <c r="Y342" s="210"/>
      <c r="Z342" s="285" t="str">
        <f t="shared" si="3"/>
        <v>#REF!</v>
      </c>
      <c r="AA342" s="286" t="str">
        <f>IF($Z342&gt;=1,RANK($Z342,$Z341:$Z356),0)</f>
        <v>#REF!</v>
      </c>
      <c r="AB342" s="287" t="str">
        <f>IF(AA342&lt;=MaxS,INT(Z342),0)</f>
        <v>#REF!</v>
      </c>
      <c r="AC342" s="210"/>
      <c r="AD342" s="285" t="str">
        <f t="shared" si="4"/>
        <v>#REF!</v>
      </c>
      <c r="AE342" s="286" t="str">
        <f>IF($AD342&gt;=1,RANK($AD342,$AD341:$AD356),0)</f>
        <v>#REF!</v>
      </c>
      <c r="AF342" s="287" t="str">
        <f>IF(AE342&lt;=MaxS,INT(AD342),0)</f>
        <v>#REF!</v>
      </c>
      <c r="AG342" s="210"/>
      <c r="AH342" s="210"/>
      <c r="AI342" s="288" t="str">
        <f t="shared" si="5"/>
        <v>#REF!</v>
      </c>
      <c r="AJ342" s="289" t="str">
        <f t="shared" si="6"/>
        <v>#REF!</v>
      </c>
    </row>
    <row r="343" ht="15.0" customHeight="1">
      <c r="A343" s="272"/>
      <c r="B343" s="250">
        <f>IF(OR(ISNA(MATCH(C343&amp;"",AthleteNumbers,0)),ISBLANK(C343)),0,MATCH(C343&amp;"",AthleteNumbers,0))</f>
        <v>0</v>
      </c>
      <c r="C343" s="413"/>
      <c r="D343" s="273" t="str">
        <f t="array" ref="D343">IF($B343&gt;0,INDEX(DB,$B343,8),"")</f>
        <v/>
      </c>
      <c r="E343" s="274" t="str">
        <f t="array" ref="E343">IF($B343&gt;0,INDEX(DB,$B343,3),"")</f>
        <v/>
      </c>
      <c r="F343" s="275">
        <f t="array" ref="F343">IF($B343&gt;0,INDEX(DB,$B343,13),0)</f>
        <v>0</v>
      </c>
      <c r="G343" s="276">
        <f t="array" ref="G343">IF($B343&gt;0,INDEX(DB,$B343,17),0)</f>
        <v>0</v>
      </c>
      <c r="H343" s="277">
        <f t="array" ref="H343">IF($B343&gt;0,INDEX(DB,$B343,15),0)</f>
        <v>0</v>
      </c>
      <c r="I343" s="276">
        <f t="array" ref="I343">IF($B343&gt;0,INDEX(DB,$B343,19),0)</f>
        <v>0</v>
      </c>
      <c r="J343" s="277">
        <f t="array" ref="J343">IF($B343&gt;0,INDEX(DB,$B343,14),0)</f>
        <v>0</v>
      </c>
      <c r="K343" s="276">
        <f t="array" ref="K343">IF($B343&gt;0,INDEX(DB,$B343,18),0)</f>
        <v>0</v>
      </c>
      <c r="L343" s="275">
        <f t="array" ref="L343">IF($B343&gt;0,INDEX(DB,$B343,16),0)</f>
        <v>0</v>
      </c>
      <c r="M343" s="276">
        <f t="array" ref="M343">IF($B343&gt;0,INDEX(DB,$B343,20),0)</f>
        <v>0</v>
      </c>
      <c r="N343" s="278"/>
      <c r="O343" s="279">
        <f t="shared" si="1"/>
        <v>0</v>
      </c>
      <c r="P343" s="280"/>
      <c r="Q343" s="261" t="str">
        <f t="shared" si="2"/>
        <v>#REF!</v>
      </c>
      <c r="R343" s="290" t="str">
        <f>IF($AI343&gt;0,RANK($AI343,BoysPoints),0)</f>
        <v>#REF!</v>
      </c>
      <c r="S343" s="291" t="str">
        <f>IF($AJ343&gt;0,RANK($AJ343,GirlsPoints),0)</f>
        <v>#REF!</v>
      </c>
      <c r="T343" s="292">
        <f>IF($O343&gt;0,RANK(O343,AthletePoints),0)</f>
        <v>0</v>
      </c>
      <c r="U343" s="210"/>
      <c r="V343" s="330" t="str">
        <f>IF(O343&gt;=40,IF(X343="M",VLOOKUP(O343,UKABoysAwards,2),IF(X343="F",VLOOKUP(O343,UKAGirlsAwards,2),"")),"")</f>
        <v/>
      </c>
      <c r="W343" s="210"/>
      <c r="X343" s="266" t="str">
        <f t="array" ref="X343:X344">INDEX(DB,$B343,4)</f>
        <v>#REF!</v>
      </c>
      <c r="Y343" s="210"/>
      <c r="Z343" s="285" t="str">
        <f t="shared" si="3"/>
        <v>#REF!</v>
      </c>
      <c r="AA343" s="286" t="str">
        <f>IF($Z343&gt;=1,RANK($Z343,$Z341:$Z356),0)</f>
        <v>#REF!</v>
      </c>
      <c r="AB343" s="287" t="str">
        <f>IF(AA343&lt;=MaxS,INT(Z343),0)</f>
        <v>#REF!</v>
      </c>
      <c r="AC343" s="210"/>
      <c r="AD343" s="285" t="str">
        <f t="shared" si="4"/>
        <v>#REF!</v>
      </c>
      <c r="AE343" s="286" t="str">
        <f>IF($AD343&gt;=1,RANK($AD343,$AD341:$AD356),0)</f>
        <v>#REF!</v>
      </c>
      <c r="AF343" s="287" t="str">
        <f>IF(AE343&lt;=MaxS,INT(AD343),0)</f>
        <v>#REF!</v>
      </c>
      <c r="AG343" s="210"/>
      <c r="AH343" s="210"/>
      <c r="AI343" s="288" t="str">
        <f t="shared" si="5"/>
        <v>#REF!</v>
      </c>
      <c r="AJ343" s="289" t="str">
        <f t="shared" si="6"/>
        <v>#REF!</v>
      </c>
    </row>
    <row r="344" ht="15.0" customHeight="1">
      <c r="A344" s="272"/>
      <c r="B344" s="250">
        <f>IF(OR(ISNA(MATCH(C344&amp;"",AthleteNumbers,0)),ISBLANK(C344)),0,MATCH(C344&amp;"",AthleteNumbers,0))</f>
        <v>0</v>
      </c>
      <c r="C344" s="413"/>
      <c r="D344" s="273" t="str">
        <f t="array" ref="D344">IF($B344&gt;0,INDEX(DB,$B344,8),"")</f>
        <v/>
      </c>
      <c r="E344" s="274" t="str">
        <f t="array" ref="E344">IF($B344&gt;0,INDEX(DB,$B344,3),"")</f>
        <v/>
      </c>
      <c r="F344" s="275">
        <f t="array" ref="F344">IF($B344&gt;0,INDEX(DB,$B344,13),0)</f>
        <v>0</v>
      </c>
      <c r="G344" s="276">
        <f t="array" ref="G344">IF($B344&gt;0,INDEX(DB,$B344,17),0)</f>
        <v>0</v>
      </c>
      <c r="H344" s="277">
        <f t="array" ref="H344">IF($B344&gt;0,INDEX(DB,$B344,15),0)</f>
        <v>0</v>
      </c>
      <c r="I344" s="276">
        <f t="array" ref="I344">IF($B344&gt;0,INDEX(DB,$B344,19),0)</f>
        <v>0</v>
      </c>
      <c r="J344" s="277">
        <f t="array" ref="J344">IF($B344&gt;0,INDEX(DB,$B344,14),0)</f>
        <v>0</v>
      </c>
      <c r="K344" s="276">
        <f t="array" ref="K344">IF($B344&gt;0,INDEX(DB,$B344,18),0)</f>
        <v>0</v>
      </c>
      <c r="L344" s="275">
        <f t="array" ref="L344">IF($B344&gt;0,INDEX(DB,$B344,16),0)</f>
        <v>0</v>
      </c>
      <c r="M344" s="276">
        <f t="array" ref="M344">IF($B344&gt;0,INDEX(DB,$B344,20),0)</f>
        <v>0</v>
      </c>
      <c r="N344" s="278"/>
      <c r="O344" s="279">
        <f t="shared" si="1"/>
        <v>0</v>
      </c>
      <c r="P344" s="280"/>
      <c r="Q344" s="261" t="str">
        <f t="shared" si="2"/>
        <v>#REF!</v>
      </c>
      <c r="R344" s="281" t="str">
        <f>IF($AI344&gt;0,RANK($AI344,BoysPoints),0)</f>
        <v>#REF!</v>
      </c>
      <c r="S344" s="282" t="str">
        <f>IF($AJ344&gt;0,RANK($AJ344,GirlsPoints),0)</f>
        <v>#REF!</v>
      </c>
      <c r="T344" s="283">
        <f>IF($O344&gt;0,RANK(O344,AthletePoints),0)</f>
        <v>0</v>
      </c>
      <c r="U344" s="210"/>
      <c r="V344" s="415" t="str">
        <f>IF(O344&gt;=40,IF(X344="M",VLOOKUP(O344,UKABoysAwards,2),IF(X344="F",VLOOKUP(O344,UKAGirlsAwards,2),"")),"")</f>
        <v/>
      </c>
      <c r="W344" s="210"/>
      <c r="X344" s="266" t="str">
        <f t="array" ref="X344:X345">INDEX(DB,$B344,4)</f>
        <v>#REF!</v>
      </c>
      <c r="Y344" s="210"/>
      <c r="Z344" s="285" t="str">
        <f t="shared" si="3"/>
        <v>#REF!</v>
      </c>
      <c r="AA344" s="286" t="str">
        <f>IF($Z344&gt;=1,RANK($Z344,$Z341:$Z356),0)</f>
        <v>#REF!</v>
      </c>
      <c r="AB344" s="287" t="str">
        <f>IF(AA344&lt;=MaxS,INT(Z344),0)</f>
        <v>#REF!</v>
      </c>
      <c r="AC344" s="210"/>
      <c r="AD344" s="285" t="str">
        <f t="shared" si="4"/>
        <v>#REF!</v>
      </c>
      <c r="AE344" s="286" t="str">
        <f>IF($AD344&gt;=1,RANK($AD344,$AD341:$AD356),0)</f>
        <v>#REF!</v>
      </c>
      <c r="AF344" s="287" t="str">
        <f>IF(AE344&lt;=MaxS,INT(AD344),0)</f>
        <v>#REF!</v>
      </c>
      <c r="AG344" s="210"/>
      <c r="AH344" s="210"/>
      <c r="AI344" s="288" t="str">
        <f t="shared" si="5"/>
        <v>#REF!</v>
      </c>
      <c r="AJ344" s="289" t="str">
        <f t="shared" si="6"/>
        <v>#REF!</v>
      </c>
    </row>
    <row r="345" ht="15.0" customHeight="1">
      <c r="A345" s="272"/>
      <c r="B345" s="250">
        <f>IF(OR(ISNA(MATCH(C345&amp;"",AthleteNumbers,0)),ISBLANK(C345)),0,MATCH(C345&amp;"",AthleteNumbers,0))</f>
        <v>0</v>
      </c>
      <c r="C345" s="413"/>
      <c r="D345" s="273" t="str">
        <f t="array" ref="D345">IF($B345&gt;0,INDEX(DB,$B345,8),"")</f>
        <v/>
      </c>
      <c r="E345" s="274" t="str">
        <f t="array" ref="E345">IF($B345&gt;0,INDEX(DB,$B345,3),"")</f>
        <v/>
      </c>
      <c r="F345" s="275">
        <f t="array" ref="F345">IF($B345&gt;0,INDEX(DB,$B345,13),0)</f>
        <v>0</v>
      </c>
      <c r="G345" s="276">
        <f t="array" ref="G345">IF($B345&gt;0,INDEX(DB,$B345,17),0)</f>
        <v>0</v>
      </c>
      <c r="H345" s="277">
        <f t="array" ref="H345">IF($B345&gt;0,INDEX(DB,$B345,15),0)</f>
        <v>0</v>
      </c>
      <c r="I345" s="276">
        <f t="array" ref="I345">IF($B345&gt;0,INDEX(DB,$B345,19),0)</f>
        <v>0</v>
      </c>
      <c r="J345" s="277">
        <f t="array" ref="J345">IF($B345&gt;0,INDEX(DB,$B345,14),0)</f>
        <v>0</v>
      </c>
      <c r="K345" s="276">
        <f t="array" ref="K345">IF($B345&gt;0,INDEX(DB,$B345,18),0)</f>
        <v>0</v>
      </c>
      <c r="L345" s="275">
        <f t="array" ref="L345">IF($B345&gt;0,INDEX(DB,$B345,16),0)</f>
        <v>0</v>
      </c>
      <c r="M345" s="276">
        <f t="array" ref="M345">IF($B345&gt;0,INDEX(DB,$B345,20),0)</f>
        <v>0</v>
      </c>
      <c r="N345" s="278"/>
      <c r="O345" s="279">
        <f t="shared" si="1"/>
        <v>0</v>
      </c>
      <c r="P345" s="280"/>
      <c r="Q345" s="261" t="str">
        <f t="shared" si="2"/>
        <v>#REF!</v>
      </c>
      <c r="R345" s="290" t="str">
        <f>IF($AI345&gt;0,RANK($AI345,BoysPoints),0)</f>
        <v>#REF!</v>
      </c>
      <c r="S345" s="291" t="str">
        <f>IF($AJ345&gt;0,RANK($AJ345,GirlsPoints),0)</f>
        <v>#REF!</v>
      </c>
      <c r="T345" s="292">
        <f>IF($O345&gt;0,RANK(O345,AthletePoints),0)</f>
        <v>0</v>
      </c>
      <c r="U345" s="210"/>
      <c r="V345" s="330" t="str">
        <f>IF(O345&gt;=40,IF(X345="M",VLOOKUP(O345,UKABoysAwards,2),IF(X345="F",VLOOKUP(O345,UKAGirlsAwards,2),"")),"")</f>
        <v/>
      </c>
      <c r="W345" s="210"/>
      <c r="X345" s="266" t="str">
        <f t="array" ref="X345:X346">INDEX(DB,$B345,4)</f>
        <v>#REF!</v>
      </c>
      <c r="Y345" s="210"/>
      <c r="Z345" s="285" t="str">
        <f t="shared" si="3"/>
        <v>#REF!</v>
      </c>
      <c r="AA345" s="286" t="str">
        <f>IF($Z345&gt;=1,RANK($Z345,$Z341:$Z356),0)</f>
        <v>#REF!</v>
      </c>
      <c r="AB345" s="287" t="str">
        <f>IF(AA345&lt;=MaxS,INT(Z345),0)</f>
        <v>#REF!</v>
      </c>
      <c r="AC345" s="210"/>
      <c r="AD345" s="285" t="str">
        <f t="shared" si="4"/>
        <v>#REF!</v>
      </c>
      <c r="AE345" s="286" t="str">
        <f>IF($AD345&gt;=1,RANK($AD345,$AD341:$AD356),0)</f>
        <v>#REF!</v>
      </c>
      <c r="AF345" s="287" t="str">
        <f>IF(AE345&lt;=MaxS,INT(AD345),0)</f>
        <v>#REF!</v>
      </c>
      <c r="AG345" s="210"/>
      <c r="AH345" s="210"/>
      <c r="AI345" s="288" t="str">
        <f t="shared" si="5"/>
        <v>#REF!</v>
      </c>
      <c r="AJ345" s="289" t="str">
        <f t="shared" si="6"/>
        <v>#REF!</v>
      </c>
    </row>
    <row r="346" ht="15.0" customHeight="1">
      <c r="A346" s="272"/>
      <c r="B346" s="250">
        <f>IF(OR(ISNA(MATCH(C346&amp;"",AthleteNumbers,0)),ISBLANK(C346)),0,MATCH(C346&amp;"",AthleteNumbers,0))</f>
        <v>0</v>
      </c>
      <c r="C346" s="413"/>
      <c r="D346" s="273" t="str">
        <f t="array" ref="D346">IF($B346&gt;0,INDEX(DB,$B346,8),"")</f>
        <v/>
      </c>
      <c r="E346" s="274" t="str">
        <f t="array" ref="E346">IF($B346&gt;0,INDEX(DB,$B346,3),"")</f>
        <v/>
      </c>
      <c r="F346" s="275">
        <f t="array" ref="F346">IF($B346&gt;0,INDEX(DB,$B346,13),0)</f>
        <v>0</v>
      </c>
      <c r="G346" s="276">
        <f t="array" ref="G346">IF($B346&gt;0,INDEX(DB,$B346,17),0)</f>
        <v>0</v>
      </c>
      <c r="H346" s="277">
        <f t="array" ref="H346">IF($B346&gt;0,INDEX(DB,$B346,15),0)</f>
        <v>0</v>
      </c>
      <c r="I346" s="276">
        <f t="array" ref="I346">IF($B346&gt;0,INDEX(DB,$B346,19),0)</f>
        <v>0</v>
      </c>
      <c r="J346" s="277">
        <f t="array" ref="J346">IF($B346&gt;0,INDEX(DB,$B346,14),0)</f>
        <v>0</v>
      </c>
      <c r="K346" s="276">
        <f t="array" ref="K346">IF($B346&gt;0,INDEX(DB,$B346,18),0)</f>
        <v>0</v>
      </c>
      <c r="L346" s="275">
        <f t="array" ref="L346">IF($B346&gt;0,INDEX(DB,$B346,16),0)</f>
        <v>0</v>
      </c>
      <c r="M346" s="276">
        <f t="array" ref="M346">IF($B346&gt;0,INDEX(DB,$B346,20),0)</f>
        <v>0</v>
      </c>
      <c r="N346" s="278"/>
      <c r="O346" s="279">
        <f t="shared" si="1"/>
        <v>0</v>
      </c>
      <c r="P346" s="280"/>
      <c r="Q346" s="261" t="str">
        <f t="shared" si="2"/>
        <v>#REF!</v>
      </c>
      <c r="R346" s="281" t="str">
        <f>IF($AI346&gt;0,RANK($AI346,BoysPoints),0)</f>
        <v>#REF!</v>
      </c>
      <c r="S346" s="282" t="str">
        <f>IF($AJ346&gt;0,RANK($AJ346,GirlsPoints),0)</f>
        <v>#REF!</v>
      </c>
      <c r="T346" s="283">
        <f>IF($O346&gt;0,RANK(O346,AthletePoints),0)</f>
        <v>0</v>
      </c>
      <c r="U346" s="210"/>
      <c r="V346" s="415" t="str">
        <f>IF(O346&gt;=40,IF(X346="M",VLOOKUP(O346,UKABoysAwards,2),IF(X346="F",VLOOKUP(O346,UKAGirlsAwards,2),"")),"")</f>
        <v/>
      </c>
      <c r="W346" s="210"/>
      <c r="X346" s="266" t="str">
        <f t="array" ref="X346:X347">INDEX(DB,$B346,4)</f>
        <v>#REF!</v>
      </c>
      <c r="Y346" s="210"/>
      <c r="Z346" s="285" t="str">
        <f t="shared" si="3"/>
        <v>#REF!</v>
      </c>
      <c r="AA346" s="286" t="str">
        <f>IF($Z346&gt;=1,RANK($Z346,$Z341:$Z356),0)</f>
        <v>#REF!</v>
      </c>
      <c r="AB346" s="287" t="str">
        <f>IF(AA346&lt;=MaxS,INT(Z346),0)</f>
        <v>#REF!</v>
      </c>
      <c r="AC346" s="210"/>
      <c r="AD346" s="285" t="str">
        <f t="shared" si="4"/>
        <v>#REF!</v>
      </c>
      <c r="AE346" s="286" t="str">
        <f>IF($AD346&gt;=1,RANK($AD346,$AD341:$AD356),0)</f>
        <v>#REF!</v>
      </c>
      <c r="AF346" s="287" t="str">
        <f>IF(AE346&lt;=MaxS,INT(AD346),0)</f>
        <v>#REF!</v>
      </c>
      <c r="AG346" s="210"/>
      <c r="AH346" s="210"/>
      <c r="AI346" s="288" t="str">
        <f t="shared" si="5"/>
        <v>#REF!</v>
      </c>
      <c r="AJ346" s="289" t="str">
        <f t="shared" si="6"/>
        <v>#REF!</v>
      </c>
    </row>
    <row r="347" ht="15.0" customHeight="1">
      <c r="A347" s="272"/>
      <c r="B347" s="250">
        <f>IF(OR(ISNA(MATCH(C347&amp;"",AthleteNumbers,0)),ISBLANK(C347)),0,MATCH(C347&amp;"",AthleteNumbers,0))</f>
        <v>0</v>
      </c>
      <c r="C347" s="413"/>
      <c r="D347" s="273" t="str">
        <f t="array" ref="D347">IF($B347&gt;0,INDEX(DB,$B347,8),"")</f>
        <v/>
      </c>
      <c r="E347" s="274" t="str">
        <f t="array" ref="E347">IF($B347&gt;0,INDEX(DB,$B347,3),"")</f>
        <v/>
      </c>
      <c r="F347" s="275">
        <f t="array" ref="F347">IF($B347&gt;0,INDEX(DB,$B347,13),0)</f>
        <v>0</v>
      </c>
      <c r="G347" s="276">
        <f t="array" ref="G347">IF($B347&gt;0,INDEX(DB,$B347,17),0)</f>
        <v>0</v>
      </c>
      <c r="H347" s="277">
        <f t="array" ref="H347">IF($B347&gt;0,INDEX(DB,$B347,15),0)</f>
        <v>0</v>
      </c>
      <c r="I347" s="276">
        <f t="array" ref="I347">IF($B347&gt;0,INDEX(DB,$B347,19),0)</f>
        <v>0</v>
      </c>
      <c r="J347" s="277">
        <f t="array" ref="J347">IF($B347&gt;0,INDEX(DB,$B347,14),0)</f>
        <v>0</v>
      </c>
      <c r="K347" s="276">
        <f t="array" ref="K347">IF($B347&gt;0,INDEX(DB,$B347,18),0)</f>
        <v>0</v>
      </c>
      <c r="L347" s="275">
        <f t="array" ref="L347">IF($B347&gt;0,INDEX(DB,$B347,16),0)</f>
        <v>0</v>
      </c>
      <c r="M347" s="276">
        <f t="array" ref="M347">IF($B347&gt;0,INDEX(DB,$B347,20),0)</f>
        <v>0</v>
      </c>
      <c r="N347" s="278"/>
      <c r="O347" s="279">
        <f t="shared" si="1"/>
        <v>0</v>
      </c>
      <c r="P347" s="280"/>
      <c r="Q347" s="261" t="str">
        <f t="shared" si="2"/>
        <v>#REF!</v>
      </c>
      <c r="R347" s="290" t="str">
        <f>IF($AI347&gt;0,RANK($AI347,BoysPoints),0)</f>
        <v>#REF!</v>
      </c>
      <c r="S347" s="291" t="str">
        <f>IF($AJ347&gt;0,RANK($AJ347,GirlsPoints),0)</f>
        <v>#REF!</v>
      </c>
      <c r="T347" s="292">
        <f>IF($O347&gt;0,RANK(O347,AthletePoints),0)</f>
        <v>0</v>
      </c>
      <c r="U347" s="210"/>
      <c r="V347" s="330" t="str">
        <f>IF(O347&gt;=40,IF(X347="M",VLOOKUP(O347,UKABoysAwards,2),IF(X347="F",VLOOKUP(O347,UKAGirlsAwards,2),"")),"")</f>
        <v/>
      </c>
      <c r="W347" s="210"/>
      <c r="X347" s="266" t="str">
        <f t="array" ref="X347:X348">INDEX(DB,$B347,4)</f>
        <v>#REF!</v>
      </c>
      <c r="Y347" s="210"/>
      <c r="Z347" s="285" t="str">
        <f t="shared" si="3"/>
        <v>#REF!</v>
      </c>
      <c r="AA347" s="286" t="str">
        <f>IF($Z347&gt;=1,RANK($Z347,$Z341:$Z356),0)</f>
        <v>#REF!</v>
      </c>
      <c r="AB347" s="287" t="str">
        <f>IF(AA347&lt;=MaxS,INT(Z347),0)</f>
        <v>#REF!</v>
      </c>
      <c r="AC347" s="210"/>
      <c r="AD347" s="285" t="str">
        <f t="shared" si="4"/>
        <v>#REF!</v>
      </c>
      <c r="AE347" s="286" t="str">
        <f>IF($AD347&gt;=1,RANK($AD347,$AD341:$AD356),0)</f>
        <v>#REF!</v>
      </c>
      <c r="AF347" s="287" t="str">
        <f>IF(AE347&lt;=MaxS,INT(AD347),0)</f>
        <v>#REF!</v>
      </c>
      <c r="AG347" s="210"/>
      <c r="AH347" s="210"/>
      <c r="AI347" s="288" t="str">
        <f t="shared" si="5"/>
        <v>#REF!</v>
      </c>
      <c r="AJ347" s="289" t="str">
        <f t="shared" si="6"/>
        <v>#REF!</v>
      </c>
    </row>
    <row r="348" ht="15.0" customHeight="1">
      <c r="A348" s="272"/>
      <c r="B348" s="250">
        <f>IF(OR(ISNA(MATCH(C348&amp;"",AthleteNumbers,0)),ISBLANK(C348)),0,MATCH(C348&amp;"",AthleteNumbers,0))</f>
        <v>0</v>
      </c>
      <c r="C348" s="413"/>
      <c r="D348" s="273" t="str">
        <f t="array" ref="D348">IF($B348&gt;0,INDEX(DB,$B348,8),"")</f>
        <v/>
      </c>
      <c r="E348" s="274" t="str">
        <f t="array" ref="E348">IF($B348&gt;0,INDEX(DB,$B348,3),"")</f>
        <v/>
      </c>
      <c r="F348" s="275">
        <f t="array" ref="F348">IF($B348&gt;0,INDEX(DB,$B348,13),0)</f>
        <v>0</v>
      </c>
      <c r="G348" s="276">
        <f t="array" ref="G348">IF($B348&gt;0,INDEX(DB,$B348,17),0)</f>
        <v>0</v>
      </c>
      <c r="H348" s="277">
        <f t="array" ref="H348">IF($B348&gt;0,INDEX(DB,$B348,15),0)</f>
        <v>0</v>
      </c>
      <c r="I348" s="276">
        <f t="array" ref="I348">IF($B348&gt;0,INDEX(DB,$B348,19),0)</f>
        <v>0</v>
      </c>
      <c r="J348" s="277">
        <f t="array" ref="J348">IF($B348&gt;0,INDEX(DB,$B348,14),0)</f>
        <v>0</v>
      </c>
      <c r="K348" s="276">
        <f t="array" ref="K348">IF($B348&gt;0,INDEX(DB,$B348,18),0)</f>
        <v>0</v>
      </c>
      <c r="L348" s="275">
        <f t="array" ref="L348">IF($B348&gt;0,INDEX(DB,$B348,16),0)</f>
        <v>0</v>
      </c>
      <c r="M348" s="276">
        <f t="array" ref="M348">IF($B348&gt;0,INDEX(DB,$B348,20),0)</f>
        <v>0</v>
      </c>
      <c r="N348" s="278"/>
      <c r="O348" s="279">
        <f t="shared" si="1"/>
        <v>0</v>
      </c>
      <c r="P348" s="280"/>
      <c r="Q348" s="261" t="str">
        <f t="shared" si="2"/>
        <v>#REF!</v>
      </c>
      <c r="R348" s="281" t="str">
        <f>IF($AI348&gt;0,RANK($AI348,BoysPoints),0)</f>
        <v>#REF!</v>
      </c>
      <c r="S348" s="282" t="str">
        <f>IF($AJ348&gt;0,RANK($AJ348,GirlsPoints),0)</f>
        <v>#REF!</v>
      </c>
      <c r="T348" s="283">
        <f>IF($O348&gt;0,RANK(O348,AthletePoints),0)</f>
        <v>0</v>
      </c>
      <c r="U348" s="210"/>
      <c r="V348" s="415" t="str">
        <f>IF(O348&gt;=40,IF(X348="M",VLOOKUP(O348,UKABoysAwards,2),IF(X348="F",VLOOKUP(O348,UKAGirlsAwards,2),"")),"")</f>
        <v/>
      </c>
      <c r="W348" s="210"/>
      <c r="X348" s="266" t="str">
        <f t="array" ref="X348:X349">INDEX(DB,$B348,4)</f>
        <v>#REF!</v>
      </c>
      <c r="Y348" s="210"/>
      <c r="Z348" s="285" t="str">
        <f t="shared" si="3"/>
        <v>#REF!</v>
      </c>
      <c r="AA348" s="286" t="str">
        <f>IF($Z348&gt;=1,RANK($Z348,$Z341:$Z356),0)</f>
        <v>#REF!</v>
      </c>
      <c r="AB348" s="287" t="str">
        <f>IF(AA348&lt;=MaxS,INT(Z348),0)</f>
        <v>#REF!</v>
      </c>
      <c r="AC348" s="210"/>
      <c r="AD348" s="285" t="str">
        <f t="shared" si="4"/>
        <v>#REF!</v>
      </c>
      <c r="AE348" s="286" t="str">
        <f>IF($AD348&gt;=1,RANK($AD348,$AD341:$AD356),0)</f>
        <v>#REF!</v>
      </c>
      <c r="AF348" s="287" t="str">
        <f>IF(AE348&lt;=MaxS,INT(AD348),0)</f>
        <v>#REF!</v>
      </c>
      <c r="AG348" s="210"/>
      <c r="AH348" s="210"/>
      <c r="AI348" s="288" t="str">
        <f t="shared" si="5"/>
        <v>#REF!</v>
      </c>
      <c r="AJ348" s="289" t="str">
        <f t="shared" si="6"/>
        <v>#REF!</v>
      </c>
    </row>
    <row r="349" ht="15.0" customHeight="1">
      <c r="A349" s="272"/>
      <c r="B349" s="250">
        <f>IF(OR(ISNA(MATCH(C349&amp;"",AthleteNumbers,0)),ISBLANK(C349)),0,MATCH(C349&amp;"",AthleteNumbers,0))</f>
        <v>0</v>
      </c>
      <c r="C349" s="413"/>
      <c r="D349" s="273" t="str">
        <f t="array" ref="D349">IF($B349&gt;0,INDEX(DB,$B349,8),"")</f>
        <v/>
      </c>
      <c r="E349" s="274" t="str">
        <f t="array" ref="E349">IF($B349&gt;0,INDEX(DB,$B349,3),"")</f>
        <v/>
      </c>
      <c r="F349" s="275">
        <f t="array" ref="F349">IF($B349&gt;0,INDEX(DB,$B349,13),0)</f>
        <v>0</v>
      </c>
      <c r="G349" s="276">
        <f t="array" ref="G349">IF($B349&gt;0,INDEX(DB,$B349,17),0)</f>
        <v>0</v>
      </c>
      <c r="H349" s="277">
        <f t="array" ref="H349">IF($B349&gt;0,INDEX(DB,$B349,15),0)</f>
        <v>0</v>
      </c>
      <c r="I349" s="276">
        <f t="array" ref="I349">IF($B349&gt;0,INDEX(DB,$B349,19),0)</f>
        <v>0</v>
      </c>
      <c r="J349" s="277">
        <f t="array" ref="J349">IF($B349&gt;0,INDEX(DB,$B349,14),0)</f>
        <v>0</v>
      </c>
      <c r="K349" s="276">
        <f t="array" ref="K349">IF($B349&gt;0,INDEX(DB,$B349,18),0)</f>
        <v>0</v>
      </c>
      <c r="L349" s="275">
        <f t="array" ref="L349">IF($B349&gt;0,INDEX(DB,$B349,16),0)</f>
        <v>0</v>
      </c>
      <c r="M349" s="276">
        <f t="array" ref="M349">IF($B349&gt;0,INDEX(DB,$B349,20),0)</f>
        <v>0</v>
      </c>
      <c r="N349" s="278"/>
      <c r="O349" s="279">
        <f t="shared" si="1"/>
        <v>0</v>
      </c>
      <c r="P349" s="280"/>
      <c r="Q349" s="261" t="str">
        <f t="shared" si="2"/>
        <v>#REF!</v>
      </c>
      <c r="R349" s="290" t="str">
        <f>IF($AI349&gt;0,RANK($AI349,BoysPoints),0)</f>
        <v>#REF!</v>
      </c>
      <c r="S349" s="291" t="str">
        <f>IF($AJ349&gt;0,RANK($AJ349,GirlsPoints),0)</f>
        <v>#REF!</v>
      </c>
      <c r="T349" s="292">
        <f>IF($O349&gt;0,RANK(O349,AthletePoints),0)</f>
        <v>0</v>
      </c>
      <c r="U349" s="210"/>
      <c r="V349" s="330" t="str">
        <f>IF(O349&gt;=40,IF(X349="M",VLOOKUP(O349,UKABoysAwards,2),IF(X349="F",VLOOKUP(O349,UKAGirlsAwards,2),"")),"")</f>
        <v/>
      </c>
      <c r="W349" s="210"/>
      <c r="X349" s="266" t="str">
        <f t="array" ref="X349:X350">INDEX(DB,$B349,4)</f>
        <v>#REF!</v>
      </c>
      <c r="Y349" s="210"/>
      <c r="Z349" s="285" t="str">
        <f t="shared" si="3"/>
        <v>#REF!</v>
      </c>
      <c r="AA349" s="286" t="str">
        <f>IF($Z349&gt;=1,RANK($Z349,$Z341:$Z356),0)</f>
        <v>#REF!</v>
      </c>
      <c r="AB349" s="287" t="str">
        <f>IF(AA349&lt;=MaxS,INT(Z349),0)</f>
        <v>#REF!</v>
      </c>
      <c r="AC349" s="210"/>
      <c r="AD349" s="285" t="str">
        <f t="shared" si="4"/>
        <v>#REF!</v>
      </c>
      <c r="AE349" s="286" t="str">
        <f>IF($AD349&gt;=1,RANK($AD349,$AD341:$AD356),0)</f>
        <v>#REF!</v>
      </c>
      <c r="AF349" s="287" t="str">
        <f>IF(AE349&lt;=MaxS,INT(AD349),0)</f>
        <v>#REF!</v>
      </c>
      <c r="AG349" s="210"/>
      <c r="AH349" s="210"/>
      <c r="AI349" s="288" t="str">
        <f t="shared" si="5"/>
        <v>#REF!</v>
      </c>
      <c r="AJ349" s="289" t="str">
        <f t="shared" si="6"/>
        <v>#REF!</v>
      </c>
    </row>
    <row r="350" ht="15.0" customHeight="1">
      <c r="A350" s="272"/>
      <c r="B350" s="250">
        <f>IF(OR(ISNA(MATCH(C350&amp;"",AthleteNumbers,0)),ISBLANK(C350)),0,MATCH(C350&amp;"",AthleteNumbers,0))</f>
        <v>0</v>
      </c>
      <c r="C350" s="413"/>
      <c r="D350" s="273" t="str">
        <f t="array" ref="D350">IF($B350&gt;0,INDEX(DB,$B350,8),"")</f>
        <v/>
      </c>
      <c r="E350" s="274" t="str">
        <f t="array" ref="E350">IF($B350&gt;0,INDEX(DB,$B350,3),"")</f>
        <v/>
      </c>
      <c r="F350" s="275">
        <f t="array" ref="F350">IF($B350&gt;0,INDEX(DB,$B350,13),0)</f>
        <v>0</v>
      </c>
      <c r="G350" s="276">
        <f t="array" ref="G350">IF($B350&gt;0,INDEX(DB,$B350,17),0)</f>
        <v>0</v>
      </c>
      <c r="H350" s="277">
        <f t="array" ref="H350">IF($B350&gt;0,INDEX(DB,$B350,15),0)</f>
        <v>0</v>
      </c>
      <c r="I350" s="276">
        <f t="array" ref="I350">IF($B350&gt;0,INDEX(DB,$B350,19),0)</f>
        <v>0</v>
      </c>
      <c r="J350" s="277">
        <f t="array" ref="J350">IF($B350&gt;0,INDEX(DB,$B350,14),0)</f>
        <v>0</v>
      </c>
      <c r="K350" s="276">
        <f t="array" ref="K350">IF($B350&gt;0,INDEX(DB,$B350,18),0)</f>
        <v>0</v>
      </c>
      <c r="L350" s="275">
        <f t="array" ref="L350">IF($B350&gt;0,INDEX(DB,$B350,16),0)</f>
        <v>0</v>
      </c>
      <c r="M350" s="276">
        <f t="array" ref="M350">IF($B350&gt;0,INDEX(DB,$B350,20),0)</f>
        <v>0</v>
      </c>
      <c r="N350" s="278"/>
      <c r="O350" s="279">
        <f t="shared" si="1"/>
        <v>0</v>
      </c>
      <c r="P350" s="280"/>
      <c r="Q350" s="261" t="str">
        <f t="shared" si="2"/>
        <v>#REF!</v>
      </c>
      <c r="R350" s="281" t="str">
        <f>IF($AI350&gt;0,RANK($AI350,BoysPoints),0)</f>
        <v>#REF!</v>
      </c>
      <c r="S350" s="282" t="str">
        <f>IF($AJ350&gt;0,RANK($AJ350,GirlsPoints),0)</f>
        <v>#REF!</v>
      </c>
      <c r="T350" s="283">
        <f>IF($O350&gt;0,RANK(O350,AthletePoints),0)</f>
        <v>0</v>
      </c>
      <c r="U350" s="210"/>
      <c r="V350" s="415" t="str">
        <f>IF(O350&gt;=40,IF(X350="M",VLOOKUP(O350,UKABoysAwards,2),IF(X350="F",VLOOKUP(O350,UKAGirlsAwards,2),"")),"")</f>
        <v/>
      </c>
      <c r="W350" s="210"/>
      <c r="X350" s="266" t="str">
        <f t="array" ref="X350:X351">INDEX(DB,$B350,4)</f>
        <v>#REF!</v>
      </c>
      <c r="Y350" s="210"/>
      <c r="Z350" s="285" t="str">
        <f t="shared" si="3"/>
        <v>#REF!</v>
      </c>
      <c r="AA350" s="286" t="str">
        <f>IF($Z350&gt;=1,RANK($Z350,$Z341:$Z356),0)</f>
        <v>#REF!</v>
      </c>
      <c r="AB350" s="287" t="str">
        <f>IF(AA350&lt;=MaxS,INT(Z350),0)</f>
        <v>#REF!</v>
      </c>
      <c r="AC350" s="210"/>
      <c r="AD350" s="285" t="str">
        <f t="shared" si="4"/>
        <v>#REF!</v>
      </c>
      <c r="AE350" s="286" t="str">
        <f>IF($AD350&gt;=1,RANK($AD350,$AD341:$AD356),0)</f>
        <v>#REF!</v>
      </c>
      <c r="AF350" s="287" t="str">
        <f>IF(AE350&lt;=MaxS,INT(AD350),0)</f>
        <v>#REF!</v>
      </c>
      <c r="AG350" s="210"/>
      <c r="AH350" s="210"/>
      <c r="AI350" s="288" t="str">
        <f t="shared" si="5"/>
        <v>#REF!</v>
      </c>
      <c r="AJ350" s="289" t="str">
        <f t="shared" si="6"/>
        <v>#REF!</v>
      </c>
    </row>
    <row r="351" ht="15.0" customHeight="1">
      <c r="A351" s="272"/>
      <c r="B351" s="250">
        <f>IF(OR(ISNA(MATCH(C351&amp;"",AthleteNumbers,0)),ISBLANK(C351)),0,MATCH(C351&amp;"",AthleteNumbers,0))</f>
        <v>0</v>
      </c>
      <c r="C351" s="413"/>
      <c r="D351" s="273" t="str">
        <f t="array" ref="D351">IF($B351&gt;0,INDEX(DB,$B351,8),"")</f>
        <v/>
      </c>
      <c r="E351" s="274" t="str">
        <f t="array" ref="E351">IF($B351&gt;0,INDEX(DB,$B351,3),"")</f>
        <v/>
      </c>
      <c r="F351" s="275">
        <f t="array" ref="F351">IF($B351&gt;0,INDEX(DB,$B351,13),0)</f>
        <v>0</v>
      </c>
      <c r="G351" s="276">
        <f t="array" ref="G351">IF($B351&gt;0,INDEX(DB,$B351,17),0)</f>
        <v>0</v>
      </c>
      <c r="H351" s="277">
        <f t="array" ref="H351">IF($B351&gt;0,INDEX(DB,$B351,15),0)</f>
        <v>0</v>
      </c>
      <c r="I351" s="276">
        <f t="array" ref="I351">IF($B351&gt;0,INDEX(DB,$B351,19),0)</f>
        <v>0</v>
      </c>
      <c r="J351" s="277">
        <f t="array" ref="J351">IF($B351&gt;0,INDEX(DB,$B351,14),0)</f>
        <v>0</v>
      </c>
      <c r="K351" s="276">
        <f t="array" ref="K351">IF($B351&gt;0,INDEX(DB,$B351,18),0)</f>
        <v>0</v>
      </c>
      <c r="L351" s="275">
        <f t="array" ref="L351">IF($B351&gt;0,INDEX(DB,$B351,16),0)</f>
        <v>0</v>
      </c>
      <c r="M351" s="276">
        <f t="array" ref="M351">IF($B351&gt;0,INDEX(DB,$B351,20),0)</f>
        <v>0</v>
      </c>
      <c r="N351" s="278"/>
      <c r="O351" s="279">
        <f t="shared" si="1"/>
        <v>0</v>
      </c>
      <c r="P351" s="280"/>
      <c r="Q351" s="261" t="str">
        <f t="shared" si="2"/>
        <v>#REF!</v>
      </c>
      <c r="R351" s="290" t="str">
        <f>IF($AI351&gt;0,RANK($AI351,BoysPoints),0)</f>
        <v>#REF!</v>
      </c>
      <c r="S351" s="291" t="str">
        <f>IF($AJ351&gt;0,RANK($AJ351,GirlsPoints),0)</f>
        <v>#REF!</v>
      </c>
      <c r="T351" s="292">
        <f>IF($O351&gt;0,RANK(O351,AthletePoints),0)</f>
        <v>0</v>
      </c>
      <c r="U351" s="210"/>
      <c r="V351" s="330" t="str">
        <f>IF(O351&gt;=40,IF(X351="M",VLOOKUP(O351,UKABoysAwards,2),IF(X351="F",VLOOKUP(O351,UKAGirlsAwards,2),"")),"")</f>
        <v/>
      </c>
      <c r="W351" s="210"/>
      <c r="X351" s="266" t="str">
        <f t="array" ref="X351:X352">INDEX(DB,$B351,4)</f>
        <v>#REF!</v>
      </c>
      <c r="Y351" s="210"/>
      <c r="Z351" s="285" t="str">
        <f t="shared" si="3"/>
        <v>#REF!</v>
      </c>
      <c r="AA351" s="286" t="str">
        <f>IF($Z351&gt;=1,RANK($Z351,$Z341:$Z356),0)</f>
        <v>#REF!</v>
      </c>
      <c r="AB351" s="287" t="str">
        <f>IF(AA351&lt;=MaxS,INT(Z351),0)</f>
        <v>#REF!</v>
      </c>
      <c r="AC351" s="210"/>
      <c r="AD351" s="285" t="str">
        <f t="shared" si="4"/>
        <v>#REF!</v>
      </c>
      <c r="AE351" s="286" t="str">
        <f>IF($AD351&gt;=1,RANK($AD351,$AD341:$AD356),0)</f>
        <v>#REF!</v>
      </c>
      <c r="AF351" s="287" t="str">
        <f>IF(AE351&lt;=MaxS,INT(AD351),0)</f>
        <v>#REF!</v>
      </c>
      <c r="AG351" s="210"/>
      <c r="AH351" s="210"/>
      <c r="AI351" s="288" t="str">
        <f t="shared" si="5"/>
        <v>#REF!</v>
      </c>
      <c r="AJ351" s="289" t="str">
        <f t="shared" si="6"/>
        <v>#REF!</v>
      </c>
    </row>
    <row r="352" ht="15.0" customHeight="1">
      <c r="A352" s="272"/>
      <c r="B352" s="250">
        <f>IF(OR(ISNA(MATCH(C352&amp;"",AthleteNumbers,0)),ISBLANK(C352)),0,MATCH(C352&amp;"",AthleteNumbers,0))</f>
        <v>0</v>
      </c>
      <c r="C352" s="413"/>
      <c r="D352" s="273" t="str">
        <f t="array" ref="D352">IF($B352&gt;0,INDEX(DB,$B352,8),"")</f>
        <v/>
      </c>
      <c r="E352" s="274" t="str">
        <f t="array" ref="E352">IF($B352&gt;0,INDEX(DB,$B352,3),"")</f>
        <v/>
      </c>
      <c r="F352" s="275">
        <f t="array" ref="F352">IF($B352&gt;0,INDEX(DB,$B352,13),0)</f>
        <v>0</v>
      </c>
      <c r="G352" s="276">
        <f t="array" ref="G352">IF($B352&gt;0,INDEX(DB,$B352,17),0)</f>
        <v>0</v>
      </c>
      <c r="H352" s="277">
        <f t="array" ref="H352">IF($B352&gt;0,INDEX(DB,$B352,15),0)</f>
        <v>0</v>
      </c>
      <c r="I352" s="276">
        <f t="array" ref="I352">IF($B352&gt;0,INDEX(DB,$B352,19),0)</f>
        <v>0</v>
      </c>
      <c r="J352" s="277">
        <f t="array" ref="J352">IF($B352&gt;0,INDEX(DB,$B352,14),0)</f>
        <v>0</v>
      </c>
      <c r="K352" s="276">
        <f t="array" ref="K352">IF($B352&gt;0,INDEX(DB,$B352,18),0)</f>
        <v>0</v>
      </c>
      <c r="L352" s="275">
        <f t="array" ref="L352">IF($B352&gt;0,INDEX(DB,$B352,16),0)</f>
        <v>0</v>
      </c>
      <c r="M352" s="276">
        <f t="array" ref="M352">IF($B352&gt;0,INDEX(DB,$B352,20),0)</f>
        <v>0</v>
      </c>
      <c r="N352" s="278"/>
      <c r="O352" s="279">
        <f t="shared" si="1"/>
        <v>0</v>
      </c>
      <c r="P352" s="280"/>
      <c r="Q352" s="261" t="str">
        <f t="shared" si="2"/>
        <v>#REF!</v>
      </c>
      <c r="R352" s="281" t="str">
        <f>IF($AI352&gt;0,RANK($AI352,BoysPoints),0)</f>
        <v>#REF!</v>
      </c>
      <c r="S352" s="282" t="str">
        <f>IF($AJ352&gt;0,RANK($AJ352,GirlsPoints),0)</f>
        <v>#REF!</v>
      </c>
      <c r="T352" s="283">
        <f>IF($O352&gt;0,RANK(O352,AthletePoints),0)</f>
        <v>0</v>
      </c>
      <c r="U352" s="210"/>
      <c r="V352" s="415" t="str">
        <f>IF(O352&gt;=40,IF(X352="M",VLOOKUP(O352,UKABoysAwards,2),IF(X352="F",VLOOKUP(O352,UKAGirlsAwards,2),"")),"")</f>
        <v/>
      </c>
      <c r="W352" s="210"/>
      <c r="X352" s="266" t="str">
        <f t="array" ref="X352:X353">INDEX(DB,$B352,4)</f>
        <v>#REF!</v>
      </c>
      <c r="Y352" s="210"/>
      <c r="Z352" s="285" t="str">
        <f t="shared" si="3"/>
        <v>#REF!</v>
      </c>
      <c r="AA352" s="286" t="str">
        <f>IF($Z352&gt;=1,RANK($Z352,$Z341:$Z356),0)</f>
        <v>#REF!</v>
      </c>
      <c r="AB352" s="287" t="str">
        <f>IF(AA352&lt;=MaxS,INT(Z352),0)</f>
        <v>#REF!</v>
      </c>
      <c r="AC352" s="210"/>
      <c r="AD352" s="285" t="str">
        <f t="shared" si="4"/>
        <v>#REF!</v>
      </c>
      <c r="AE352" s="286" t="str">
        <f>IF($AD352&gt;=1,RANK($AD352,$AD341:$AD356),0)</f>
        <v>#REF!</v>
      </c>
      <c r="AF352" s="287" t="str">
        <f>IF(AE352&lt;=MaxS,INT(AD352),0)</f>
        <v>#REF!</v>
      </c>
      <c r="AG352" s="210"/>
      <c r="AH352" s="210"/>
      <c r="AI352" s="288" t="str">
        <f t="shared" si="5"/>
        <v>#REF!</v>
      </c>
      <c r="AJ352" s="289" t="str">
        <f t="shared" si="6"/>
        <v>#REF!</v>
      </c>
    </row>
    <row r="353" ht="15.0" customHeight="1">
      <c r="A353" s="272"/>
      <c r="B353" s="250">
        <f>IF(OR(ISNA(MATCH(C353&amp;"",AthleteNumbers,0)),ISBLANK(C353)),0,MATCH(C353&amp;"",AthleteNumbers,0))</f>
        <v>0</v>
      </c>
      <c r="C353" s="413"/>
      <c r="D353" s="273" t="str">
        <f t="array" ref="D353">IF($B353&gt;0,INDEX(DB,$B353,8),"")</f>
        <v/>
      </c>
      <c r="E353" s="274" t="str">
        <f t="array" ref="E353">IF($B353&gt;0,INDEX(DB,$B353,3),"")</f>
        <v/>
      </c>
      <c r="F353" s="275">
        <f t="array" ref="F353">IF($B353&gt;0,INDEX(DB,$B353,13),0)</f>
        <v>0</v>
      </c>
      <c r="G353" s="276">
        <f t="array" ref="G353">IF($B353&gt;0,INDEX(DB,$B353,17),0)</f>
        <v>0</v>
      </c>
      <c r="H353" s="277">
        <f t="array" ref="H353">IF($B353&gt;0,INDEX(DB,$B353,15),0)</f>
        <v>0</v>
      </c>
      <c r="I353" s="276">
        <f t="array" ref="I353">IF($B353&gt;0,INDEX(DB,$B353,19),0)</f>
        <v>0</v>
      </c>
      <c r="J353" s="277">
        <f t="array" ref="J353">IF($B353&gt;0,INDEX(DB,$B353,14),0)</f>
        <v>0</v>
      </c>
      <c r="K353" s="276">
        <f t="array" ref="K353">IF($B353&gt;0,INDEX(DB,$B353,18),0)</f>
        <v>0</v>
      </c>
      <c r="L353" s="275">
        <f t="array" ref="L353">IF($B353&gt;0,INDEX(DB,$B353,16),0)</f>
        <v>0</v>
      </c>
      <c r="M353" s="276">
        <f t="array" ref="M353">IF($B353&gt;0,INDEX(DB,$B353,20),0)</f>
        <v>0</v>
      </c>
      <c r="N353" s="278"/>
      <c r="O353" s="279">
        <f t="shared" si="1"/>
        <v>0</v>
      </c>
      <c r="P353" s="280"/>
      <c r="Q353" s="261" t="str">
        <f t="shared" si="2"/>
        <v>#REF!</v>
      </c>
      <c r="R353" s="290" t="str">
        <f>IF($AI353&gt;0,RANK($AI353,BoysPoints),0)</f>
        <v>#REF!</v>
      </c>
      <c r="S353" s="291" t="str">
        <f>IF($AJ353&gt;0,RANK($AJ353,GirlsPoints),0)</f>
        <v>#REF!</v>
      </c>
      <c r="T353" s="292">
        <f>IF($O353&gt;0,RANK(O353,AthletePoints),0)</f>
        <v>0</v>
      </c>
      <c r="U353" s="210"/>
      <c r="V353" s="330" t="str">
        <f>IF(O353&gt;=40,IF(X353="M",VLOOKUP(O353,UKABoysAwards,2),IF(X353="F",VLOOKUP(O353,UKAGirlsAwards,2),"")),"")</f>
        <v/>
      </c>
      <c r="W353" s="210"/>
      <c r="X353" s="266" t="str">
        <f t="array" ref="X353:X354">INDEX(DB,$B353,4)</f>
        <v>#REF!</v>
      </c>
      <c r="Y353" s="210"/>
      <c r="Z353" s="285" t="str">
        <f t="shared" si="3"/>
        <v>#REF!</v>
      </c>
      <c r="AA353" s="286" t="str">
        <f>IF($Z353&gt;=1,RANK($Z353,$Z341:$Z356),0)</f>
        <v>#REF!</v>
      </c>
      <c r="AB353" s="287" t="str">
        <f>IF(AA353&lt;=MaxS,INT(Z353),0)</f>
        <v>#REF!</v>
      </c>
      <c r="AC353" s="210"/>
      <c r="AD353" s="285" t="str">
        <f t="shared" si="4"/>
        <v>#REF!</v>
      </c>
      <c r="AE353" s="286" t="str">
        <f>IF($AD353&gt;=1,RANK($AD353,$AD341:$AD356),0)</f>
        <v>#REF!</v>
      </c>
      <c r="AF353" s="287" t="str">
        <f>IF(AE353&lt;=MaxS,INT(AD353),0)</f>
        <v>#REF!</v>
      </c>
      <c r="AG353" s="210"/>
      <c r="AH353" s="210"/>
      <c r="AI353" s="288" t="str">
        <f t="shared" si="5"/>
        <v>#REF!</v>
      </c>
      <c r="AJ353" s="289" t="str">
        <f t="shared" si="6"/>
        <v>#REF!</v>
      </c>
    </row>
    <row r="354" ht="15.0" customHeight="1">
      <c r="A354" s="272"/>
      <c r="B354" s="250">
        <f>IF(OR(ISNA(MATCH(C354&amp;"",AthleteNumbers,0)),ISBLANK(C354)),0,MATCH(C354&amp;"",AthleteNumbers,0))</f>
        <v>0</v>
      </c>
      <c r="C354" s="413"/>
      <c r="D354" s="273" t="str">
        <f t="array" ref="D354">IF($B354&gt;0,INDEX(DB,$B354,8),"")</f>
        <v/>
      </c>
      <c r="E354" s="274" t="str">
        <f t="array" ref="E354">IF($B354&gt;0,INDEX(DB,$B354,3),"")</f>
        <v/>
      </c>
      <c r="F354" s="275">
        <f t="array" ref="F354">IF($B354&gt;0,INDEX(DB,$B354,13),0)</f>
        <v>0</v>
      </c>
      <c r="G354" s="276">
        <f t="array" ref="G354">IF($B354&gt;0,INDEX(DB,$B354,17),0)</f>
        <v>0</v>
      </c>
      <c r="H354" s="277">
        <f t="array" ref="H354">IF($B354&gt;0,INDEX(DB,$B354,15),0)</f>
        <v>0</v>
      </c>
      <c r="I354" s="276">
        <f t="array" ref="I354">IF($B354&gt;0,INDEX(DB,$B354,19),0)</f>
        <v>0</v>
      </c>
      <c r="J354" s="277">
        <f t="array" ref="J354">IF($B354&gt;0,INDEX(DB,$B354,14),0)</f>
        <v>0</v>
      </c>
      <c r="K354" s="276">
        <f t="array" ref="K354">IF($B354&gt;0,INDEX(DB,$B354,18),0)</f>
        <v>0</v>
      </c>
      <c r="L354" s="275">
        <f t="array" ref="L354">IF($B354&gt;0,INDEX(DB,$B354,16),0)</f>
        <v>0</v>
      </c>
      <c r="M354" s="276">
        <f t="array" ref="M354">IF($B354&gt;0,INDEX(DB,$B354,20),0)</f>
        <v>0</v>
      </c>
      <c r="N354" s="278"/>
      <c r="O354" s="279">
        <f t="shared" si="1"/>
        <v>0</v>
      </c>
      <c r="P354" s="280"/>
      <c r="Q354" s="261" t="str">
        <f t="shared" si="2"/>
        <v>#REF!</v>
      </c>
      <c r="R354" s="281" t="str">
        <f>IF($AI354&gt;0,RANK($AI354,BoysPoints),0)</f>
        <v>#REF!</v>
      </c>
      <c r="S354" s="282" t="str">
        <f>IF($AJ354&gt;0,RANK($AJ354,GirlsPoints),0)</f>
        <v>#REF!</v>
      </c>
      <c r="T354" s="283">
        <f>IF($O354&gt;0,RANK(O354,AthletePoints),0)</f>
        <v>0</v>
      </c>
      <c r="U354" s="210"/>
      <c r="V354" s="415" t="str">
        <f>IF(O354&gt;=40,IF(X354="M",VLOOKUP(O354,UKABoysAwards,2),IF(X354="F",VLOOKUP(O354,UKAGirlsAwards,2),"")),"")</f>
        <v/>
      </c>
      <c r="W354" s="210"/>
      <c r="X354" s="266" t="str">
        <f t="array" ref="X354:X355">INDEX(DB,$B354,4)</f>
        <v>#REF!</v>
      </c>
      <c r="Y354" s="210"/>
      <c r="Z354" s="285" t="str">
        <f t="shared" si="3"/>
        <v>#REF!</v>
      </c>
      <c r="AA354" s="286" t="str">
        <f>IF($Z354&gt;=1,RANK($Z354,$Z341:$Z356),0)</f>
        <v>#REF!</v>
      </c>
      <c r="AB354" s="287" t="str">
        <f>IF(AA354&lt;=MaxS,INT(Z354),0)</f>
        <v>#REF!</v>
      </c>
      <c r="AC354" s="210"/>
      <c r="AD354" s="285" t="str">
        <f t="shared" si="4"/>
        <v>#REF!</v>
      </c>
      <c r="AE354" s="286" t="str">
        <f>IF($AD354&gt;=1,RANK($AD354,$AD341:$AD356),0)</f>
        <v>#REF!</v>
      </c>
      <c r="AF354" s="287" t="str">
        <f>IF(AE354&lt;=MaxS,INT(AD354),0)</f>
        <v>#REF!</v>
      </c>
      <c r="AG354" s="210"/>
      <c r="AH354" s="210"/>
      <c r="AI354" s="288" t="str">
        <f t="shared" si="5"/>
        <v>#REF!</v>
      </c>
      <c r="AJ354" s="289" t="str">
        <f t="shared" si="6"/>
        <v>#REF!</v>
      </c>
    </row>
    <row r="355" ht="15.0" customHeight="1">
      <c r="A355" s="272"/>
      <c r="B355" s="250">
        <f>IF(OR(ISNA(MATCH(C355&amp;"",AthleteNumbers,0)),ISBLANK(C355)),0,MATCH(C355&amp;"",AthleteNumbers,0))</f>
        <v>0</v>
      </c>
      <c r="C355" s="413"/>
      <c r="D355" s="273" t="str">
        <f t="array" ref="D355">IF($B355&gt;0,INDEX(DB,$B355,8),"")</f>
        <v/>
      </c>
      <c r="E355" s="274" t="str">
        <f t="array" ref="E355">IF($B355&gt;0,INDEX(DB,$B355,3),"")</f>
        <v/>
      </c>
      <c r="F355" s="275">
        <f t="array" ref="F355">IF($B355&gt;0,INDEX(DB,$B355,13),0)</f>
        <v>0</v>
      </c>
      <c r="G355" s="276">
        <f t="array" ref="G355">IF($B355&gt;0,INDEX(DB,$B355,17),0)</f>
        <v>0</v>
      </c>
      <c r="H355" s="277">
        <f t="array" ref="H355">IF($B355&gt;0,INDEX(DB,$B355,15),0)</f>
        <v>0</v>
      </c>
      <c r="I355" s="276">
        <f t="array" ref="I355">IF($B355&gt;0,INDEX(DB,$B355,19),0)</f>
        <v>0</v>
      </c>
      <c r="J355" s="277">
        <f t="array" ref="J355">IF($B355&gt;0,INDEX(DB,$B355,14),0)</f>
        <v>0</v>
      </c>
      <c r="K355" s="276">
        <f t="array" ref="K355">IF($B355&gt;0,INDEX(DB,$B355,18),0)</f>
        <v>0</v>
      </c>
      <c r="L355" s="275">
        <f t="array" ref="L355">IF($B355&gt;0,INDEX(DB,$B355,16),0)</f>
        <v>0</v>
      </c>
      <c r="M355" s="276">
        <f t="array" ref="M355">IF($B355&gt;0,INDEX(DB,$B355,20),0)</f>
        <v>0</v>
      </c>
      <c r="N355" s="278"/>
      <c r="O355" s="279">
        <f t="shared" si="1"/>
        <v>0</v>
      </c>
      <c r="P355" s="280"/>
      <c r="Q355" s="261" t="str">
        <f t="shared" si="2"/>
        <v>#REF!</v>
      </c>
      <c r="R355" s="290" t="str">
        <f>IF($AI355&gt;0,RANK($AI355,BoysPoints),0)</f>
        <v>#REF!</v>
      </c>
      <c r="S355" s="291" t="str">
        <f>IF($AJ355&gt;0,RANK($AJ355,GirlsPoints),0)</f>
        <v>#REF!</v>
      </c>
      <c r="T355" s="292">
        <f>IF($O355&gt;0,RANK(O355,AthletePoints),0)</f>
        <v>0</v>
      </c>
      <c r="U355" s="210"/>
      <c r="V355" s="330" t="str">
        <f>IF(O355&gt;=40,IF(X355="M",VLOOKUP(O355,UKABoysAwards,2),IF(X355="F",VLOOKUP(O355,UKAGirlsAwards,2),"")),"")</f>
        <v/>
      </c>
      <c r="W355" s="210"/>
      <c r="X355" s="266" t="str">
        <f t="array" ref="X355:X356">INDEX(DB,$B355,4)</f>
        <v>#REF!</v>
      </c>
      <c r="Y355" s="210"/>
      <c r="Z355" s="285" t="str">
        <f t="shared" si="3"/>
        <v>#REF!</v>
      </c>
      <c r="AA355" s="286" t="str">
        <f>IF($Z355&gt;=1,RANK($Z355,$Z341:$Z356),0)</f>
        <v>#REF!</v>
      </c>
      <c r="AB355" s="287" t="str">
        <f>IF(AA355&lt;=MaxS,INT(Z355),0)</f>
        <v>#REF!</v>
      </c>
      <c r="AC355" s="210"/>
      <c r="AD355" s="285" t="str">
        <f t="shared" si="4"/>
        <v>#REF!</v>
      </c>
      <c r="AE355" s="286" t="str">
        <f>IF($AD355&gt;=1,RANK($AD355,$AD341:$AD356),0)</f>
        <v>#REF!</v>
      </c>
      <c r="AF355" s="287" t="str">
        <f>IF(AE355&lt;=MaxS,INT(AD355),0)</f>
        <v>#REF!</v>
      </c>
      <c r="AG355" s="210"/>
      <c r="AH355" s="210"/>
      <c r="AI355" s="288" t="str">
        <f t="shared" si="5"/>
        <v>#REF!</v>
      </c>
      <c r="AJ355" s="289" t="str">
        <f t="shared" si="6"/>
        <v>#REF!</v>
      </c>
    </row>
    <row r="356" ht="15.0" customHeight="1">
      <c r="A356" s="305"/>
      <c r="B356" s="250">
        <f>IF(OR(ISNA(MATCH(C356&amp;"",AthleteNumbers,0)),ISBLANK(C356)),0,MATCH(C356&amp;"",AthleteNumbers,0))</f>
        <v>0</v>
      </c>
      <c r="C356" s="443"/>
      <c r="D356" s="306" t="str">
        <f t="array" ref="D356">IF($B356&gt;0,INDEX(DB,$B356,8),"")</f>
        <v/>
      </c>
      <c r="E356" s="307" t="str">
        <f t="array" ref="E356">IF($B356&gt;0,INDEX(DB,$B356,3),"")</f>
        <v/>
      </c>
      <c r="F356" s="308">
        <f t="array" ref="F356">IF($B356&gt;0,INDEX(DB,$B356,13),0)</f>
        <v>0</v>
      </c>
      <c r="G356" s="309">
        <f t="array" ref="G356">IF($B356&gt;0,INDEX(DB,$B356,17),0)</f>
        <v>0</v>
      </c>
      <c r="H356" s="310">
        <f t="array" ref="H356">IF($B356&gt;0,INDEX(DB,$B356,15),0)</f>
        <v>0</v>
      </c>
      <c r="I356" s="309">
        <f t="array" ref="I356">IF($B356&gt;0,INDEX(DB,$B356,19),0)</f>
        <v>0</v>
      </c>
      <c r="J356" s="310">
        <f t="array" ref="J356">IF($B356&gt;0,INDEX(DB,$B356,14),0)</f>
        <v>0</v>
      </c>
      <c r="K356" s="309">
        <f t="array" ref="K356">IF($B356&gt;0,INDEX(DB,$B356,18),0)</f>
        <v>0</v>
      </c>
      <c r="L356" s="308">
        <f t="array" ref="L356">IF($B356&gt;0,INDEX(DB,$B356,16),0)</f>
        <v>0</v>
      </c>
      <c r="M356" s="309">
        <f t="array" ref="M356">IF($B356&gt;0,INDEX(DB,$B356,20),0)</f>
        <v>0</v>
      </c>
      <c r="N356" s="25"/>
      <c r="O356" s="311">
        <f t="shared" si="1"/>
        <v>0</v>
      </c>
      <c r="P356" s="31"/>
      <c r="Q356" s="261" t="str">
        <f t="shared" si="2"/>
        <v>#REF!</v>
      </c>
      <c r="R356" s="312" t="str">
        <f>IF($AI356&gt;0,RANK($AI356,BoysPoints),0)</f>
        <v>#REF!</v>
      </c>
      <c r="S356" s="313" t="str">
        <f>IF($AJ356&gt;0,RANK($AJ356,GirlsPoints),0)</f>
        <v>#REF!</v>
      </c>
      <c r="T356" s="314">
        <f>IF($O356&gt;0,RANK(O356,AthletePoints),0)</f>
        <v>0</v>
      </c>
      <c r="U356" s="210"/>
      <c r="V356" s="444" t="str">
        <f>IF(O356&gt;=40,IF(X356="M",VLOOKUP(O356,UKABoysAwards,2),IF(X356="F",VLOOKUP(O356,UKAGirlsAwards,2),"")),"")</f>
        <v/>
      </c>
      <c r="W356" s="210"/>
      <c r="X356" s="266" t="str">
        <f t="array" ref="X356:X357">INDEX(DB,$B356,4)</f>
        <v>#REF!</v>
      </c>
      <c r="Y356" s="210"/>
      <c r="Z356" s="316" t="str">
        <f t="shared" si="3"/>
        <v>#REF!</v>
      </c>
      <c r="AA356" s="243" t="str">
        <f>IF($Z356&gt;=1,RANK($Z356,$Z341:$Z356),0)</f>
        <v>#REF!</v>
      </c>
      <c r="AB356" s="245" t="str">
        <f>IF(AA356&lt;=MaxS,INT(Z356),0)</f>
        <v>#REF!</v>
      </c>
      <c r="AC356" s="210" t="str">
        <f>SUM(AB341:AB356)</f>
        <v>#REF!</v>
      </c>
      <c r="AD356" s="316" t="str">
        <f t="shared" si="4"/>
        <v>#REF!</v>
      </c>
      <c r="AE356" s="243" t="str">
        <f>IF($AD356&gt;=1,RANK($AD356,$AD341:$AD356),0)</f>
        <v>#REF!</v>
      </c>
      <c r="AF356" s="245" t="str">
        <f>IF(AE356&lt;=MaxS,INT(AD356),0)</f>
        <v>#REF!</v>
      </c>
      <c r="AG356" s="210" t="str">
        <f>SUM(AF341:AF356)</f>
        <v>#REF!</v>
      </c>
      <c r="AH356" s="210"/>
      <c r="AI356" s="246" t="str">
        <f t="shared" si="5"/>
        <v>#REF!</v>
      </c>
      <c r="AJ356" s="247" t="str">
        <f t="shared" si="6"/>
        <v>#REF!</v>
      </c>
    </row>
    <row r="357" ht="15.0" customHeight="1">
      <c r="A357" s="248"/>
      <c r="B357" s="250">
        <f>IF(OR(ISNA(MATCH(C357&amp;"",AthleteNumbers,0)),ISBLANK(C357)),0,MATCH(C357&amp;"",AthleteNumbers,0))</f>
        <v>0</v>
      </c>
      <c r="C357" s="251"/>
      <c r="D357" s="252" t="str">
        <f t="array" ref="D357">IF($B357&gt;0,INDEX(DB,$B357,8),"")</f>
        <v/>
      </c>
      <c r="E357" s="253" t="str">
        <f t="array" ref="E357">IF($B357&gt;0,INDEX(DB,$B357,3),"")</f>
        <v/>
      </c>
      <c r="F357" s="254">
        <f t="array" ref="F357">IF($B357&gt;0,INDEX(DB,$B357,13),0)</f>
        <v>0</v>
      </c>
      <c r="G357" s="255">
        <f t="array" ref="G357">IF($B357&gt;0,INDEX(DB,$B357,17),0)</f>
        <v>0</v>
      </c>
      <c r="H357" s="257">
        <f t="array" ref="H357">IF($B357&gt;0,INDEX(DB,$B357,15),0)</f>
        <v>0</v>
      </c>
      <c r="I357" s="255">
        <f t="array" ref="I357">IF($B357&gt;0,INDEX(DB,$B357,19),0)</f>
        <v>0</v>
      </c>
      <c r="J357" s="257">
        <f t="array" ref="J357">IF($B357&gt;0,INDEX(DB,$B357,14),0)</f>
        <v>0</v>
      </c>
      <c r="K357" s="255">
        <f t="array" ref="K357">IF($B357&gt;0,INDEX(DB,$B357,18),0)</f>
        <v>0</v>
      </c>
      <c r="L357" s="254">
        <f t="array" ref="L357">IF($B357&gt;0,INDEX(DB,$B357,16),0)</f>
        <v>0</v>
      </c>
      <c r="M357" s="255">
        <f t="array" ref="M357">IF($B357&gt;0,INDEX(DB,$B357,20),0)</f>
        <v>0</v>
      </c>
      <c r="N357" s="258" t="str">
        <f t="array" ref="N357:N373">INDEX(RelayPoints,A372)</f>
        <v>#REF!</v>
      </c>
      <c r="O357" s="259">
        <f t="shared" si="1"/>
        <v>0</v>
      </c>
      <c r="P357" s="260" t="str">
        <f>+AC372+AG372+N357</f>
        <v>#REF!</v>
      </c>
      <c r="Q357" s="261" t="str">
        <f t="shared" si="2"/>
        <v>#REF!</v>
      </c>
      <c r="R357" s="262" t="str">
        <f>IF($AI357&gt;0,RANK($AI357,BoysPoints),0)</f>
        <v>#REF!</v>
      </c>
      <c r="S357" s="263" t="str">
        <f>IF($AJ357&gt;0,RANK($AJ357,GirlsPoints),0)</f>
        <v>#REF!</v>
      </c>
      <c r="T357" s="264">
        <f>IF($O357&gt;0,RANK(O357,AthletePoints),0)</f>
        <v>0</v>
      </c>
      <c r="U357" s="210"/>
      <c r="V357" s="317" t="str">
        <f>IF(O357&gt;=40,IF(X357="M",VLOOKUP(O357,UKABoysAwards,2),IF(X357="F",VLOOKUP(O357,UKAGirlsAwards,2),"")),"")</f>
        <v/>
      </c>
      <c r="W357" s="210"/>
      <c r="X357" s="266" t="str">
        <f t="array" ref="X357:X358">INDEX(DB,$B357,4)</f>
        <v>#REF!</v>
      </c>
      <c r="Y357" s="210"/>
      <c r="Z357" s="267" t="str">
        <f t="shared" si="3"/>
        <v>#REF!</v>
      </c>
      <c r="AA357" s="268" t="str">
        <f>IF($Z357&gt;=1,RANK($Z357,$Z357:$Z372),0)</f>
        <v>#REF!</v>
      </c>
      <c r="AB357" s="269" t="str">
        <f>IF(AA357&lt;=MaxS,INT(Z357),0)</f>
        <v>#REF!</v>
      </c>
      <c r="AC357" s="210"/>
      <c r="AD357" s="267" t="str">
        <f t="shared" si="4"/>
        <v>#REF!</v>
      </c>
      <c r="AE357" s="268" t="str">
        <f>IF($AD357&gt;=1,RANK($AD357,$AD357:$AD372),0)</f>
        <v>#REF!</v>
      </c>
      <c r="AF357" s="269" t="str">
        <f>IF(AE357&lt;=MaxS,INT(AD357),0)</f>
        <v>#REF!</v>
      </c>
      <c r="AG357" s="210"/>
      <c r="AH357" s="210"/>
      <c r="AI357" s="288" t="str">
        <f t="shared" si="5"/>
        <v>#REF!</v>
      </c>
      <c r="AJ357" s="289" t="str">
        <f t="shared" si="6"/>
        <v>#REF!</v>
      </c>
    </row>
    <row r="358" ht="15.0" customHeight="1">
      <c r="A358" s="272"/>
      <c r="B358" s="250">
        <f>IF(OR(ISNA(MATCH(C358&amp;"",AthleteNumbers,0)),ISBLANK(C358)),0,MATCH(C358&amp;"",AthleteNumbers,0))</f>
        <v>0</v>
      </c>
      <c r="C358" s="413"/>
      <c r="D358" s="273" t="str">
        <f t="array" ref="D358">IF($B358&gt;0,INDEX(DB,$B358,8),"")</f>
        <v/>
      </c>
      <c r="E358" s="274" t="str">
        <f t="array" ref="E358">IF($B358&gt;0,INDEX(DB,$B358,3),"")</f>
        <v/>
      </c>
      <c r="F358" s="275">
        <f t="array" ref="F358">IF($B358&gt;0,INDEX(DB,$B358,13),0)</f>
        <v>0</v>
      </c>
      <c r="G358" s="276">
        <f t="array" ref="G358">IF($B358&gt;0,INDEX(DB,$B358,17),0)</f>
        <v>0</v>
      </c>
      <c r="H358" s="277">
        <f t="array" ref="H358">IF($B358&gt;0,INDEX(DB,$B358,15),0)</f>
        <v>0</v>
      </c>
      <c r="I358" s="276">
        <f t="array" ref="I358">IF($B358&gt;0,INDEX(DB,$B358,19),0)</f>
        <v>0</v>
      </c>
      <c r="J358" s="277">
        <f t="array" ref="J358">IF($B358&gt;0,INDEX(DB,$B358,14),0)</f>
        <v>0</v>
      </c>
      <c r="K358" s="276">
        <f t="array" ref="K358">IF($B358&gt;0,INDEX(DB,$B358,18),0)</f>
        <v>0</v>
      </c>
      <c r="L358" s="275">
        <f t="array" ref="L358">IF($B358&gt;0,INDEX(DB,$B358,16),0)</f>
        <v>0</v>
      </c>
      <c r="M358" s="276">
        <f t="array" ref="M358">IF($B358&gt;0,INDEX(DB,$B358,20),0)</f>
        <v>0</v>
      </c>
      <c r="N358" s="278"/>
      <c r="O358" s="279">
        <f t="shared" si="1"/>
        <v>0</v>
      </c>
      <c r="P358" s="280"/>
      <c r="Q358" s="261" t="str">
        <f t="shared" si="2"/>
        <v>#REF!</v>
      </c>
      <c r="R358" s="281" t="str">
        <f>IF($AI358&gt;0,RANK($AI358,BoysPoints),0)</f>
        <v>#REF!</v>
      </c>
      <c r="S358" s="282" t="str">
        <f>IF($AJ358&gt;0,RANK($AJ358,GirlsPoints),0)</f>
        <v>#REF!</v>
      </c>
      <c r="T358" s="283">
        <f>IF($O358&gt;0,RANK(O358,AthletePoints),0)</f>
        <v>0</v>
      </c>
      <c r="U358" s="210"/>
      <c r="V358" s="415" t="str">
        <f>IF(O358&gt;=40,IF(X358="M",VLOOKUP(O358,UKABoysAwards,2),IF(X358="F",VLOOKUP(O358,UKAGirlsAwards,2),"")),"")</f>
        <v/>
      </c>
      <c r="W358" s="210"/>
      <c r="X358" s="266" t="str">
        <f t="array" ref="X358:X359">INDEX(DB,$B358,4)</f>
        <v>#REF!</v>
      </c>
      <c r="Y358" s="210"/>
      <c r="Z358" s="285" t="str">
        <f t="shared" si="3"/>
        <v>#REF!</v>
      </c>
      <c r="AA358" s="286" t="str">
        <f>IF($Z358&gt;=1,RANK($Z358,$Z357:$Z372),0)</f>
        <v>#REF!</v>
      </c>
      <c r="AB358" s="287" t="str">
        <f>IF(AA358&lt;=MaxS,INT(Z358),0)</f>
        <v>#REF!</v>
      </c>
      <c r="AC358" s="210"/>
      <c r="AD358" s="285" t="str">
        <f t="shared" si="4"/>
        <v>#REF!</v>
      </c>
      <c r="AE358" s="286" t="str">
        <f>IF($AD358&gt;=1,RANK($AD358,$AD357:$AD372),0)</f>
        <v>#REF!</v>
      </c>
      <c r="AF358" s="287" t="str">
        <f>IF(AE358&lt;=MaxS,INT(AD358),0)</f>
        <v>#REF!</v>
      </c>
      <c r="AG358" s="210"/>
      <c r="AH358" s="210"/>
      <c r="AI358" s="288" t="str">
        <f t="shared" si="5"/>
        <v>#REF!</v>
      </c>
      <c r="AJ358" s="289" t="str">
        <f t="shared" si="6"/>
        <v>#REF!</v>
      </c>
    </row>
    <row r="359" ht="15.0" customHeight="1">
      <c r="A359" s="272"/>
      <c r="B359" s="250">
        <f>IF(OR(ISNA(MATCH(C359&amp;"",AthleteNumbers,0)),ISBLANK(C359)),0,MATCH(C359&amp;"",AthleteNumbers,0))</f>
        <v>0</v>
      </c>
      <c r="C359" s="413"/>
      <c r="D359" s="273" t="str">
        <f t="array" ref="D359">IF($B359&gt;0,INDEX(DB,$B359,8),"")</f>
        <v/>
      </c>
      <c r="E359" s="274" t="str">
        <f t="array" ref="E359">IF($B359&gt;0,INDEX(DB,$B359,3),"")</f>
        <v/>
      </c>
      <c r="F359" s="275">
        <f t="array" ref="F359">IF($B359&gt;0,INDEX(DB,$B359,13),0)</f>
        <v>0</v>
      </c>
      <c r="G359" s="276">
        <f t="array" ref="G359">IF($B359&gt;0,INDEX(DB,$B359,17),0)</f>
        <v>0</v>
      </c>
      <c r="H359" s="277">
        <f t="array" ref="H359">IF($B359&gt;0,INDEX(DB,$B359,15),0)</f>
        <v>0</v>
      </c>
      <c r="I359" s="276">
        <f t="array" ref="I359">IF($B359&gt;0,INDEX(DB,$B359,19),0)</f>
        <v>0</v>
      </c>
      <c r="J359" s="277">
        <f t="array" ref="J359">IF($B359&gt;0,INDEX(DB,$B359,14),0)</f>
        <v>0</v>
      </c>
      <c r="K359" s="276">
        <f t="array" ref="K359">IF($B359&gt;0,INDEX(DB,$B359,18),0)</f>
        <v>0</v>
      </c>
      <c r="L359" s="275">
        <f t="array" ref="L359">IF($B359&gt;0,INDEX(DB,$B359,16),0)</f>
        <v>0</v>
      </c>
      <c r="M359" s="276">
        <f t="array" ref="M359">IF($B359&gt;0,INDEX(DB,$B359,20),0)</f>
        <v>0</v>
      </c>
      <c r="N359" s="278"/>
      <c r="O359" s="279">
        <f t="shared" si="1"/>
        <v>0</v>
      </c>
      <c r="P359" s="280"/>
      <c r="Q359" s="261" t="str">
        <f t="shared" si="2"/>
        <v>#REF!</v>
      </c>
      <c r="R359" s="290" t="str">
        <f>IF($AI359&gt;0,RANK($AI359,BoysPoints),0)</f>
        <v>#REF!</v>
      </c>
      <c r="S359" s="291" t="str">
        <f>IF($AJ359&gt;0,RANK($AJ359,GirlsPoints),0)</f>
        <v>#REF!</v>
      </c>
      <c r="T359" s="292">
        <f>IF($O359&gt;0,RANK(O359,AthletePoints),0)</f>
        <v>0</v>
      </c>
      <c r="U359" s="210"/>
      <c r="V359" s="330" t="str">
        <f>IF(O359&gt;=40,IF(X359="M",VLOOKUP(O359,UKABoysAwards,2),IF(X359="F",VLOOKUP(O359,UKAGirlsAwards,2),"")),"")</f>
        <v/>
      </c>
      <c r="W359" s="210"/>
      <c r="X359" s="266" t="str">
        <f t="array" ref="X359:X360">INDEX(DB,$B359,4)</f>
        <v>#REF!</v>
      </c>
      <c r="Y359" s="210"/>
      <c r="Z359" s="285" t="str">
        <f t="shared" si="3"/>
        <v>#REF!</v>
      </c>
      <c r="AA359" s="286" t="str">
        <f>IF($Z359&gt;=1,RANK($Z359,$Z357:$Z372),0)</f>
        <v>#REF!</v>
      </c>
      <c r="AB359" s="287" t="str">
        <f>IF(AA359&lt;=MaxS,INT(Z359),0)</f>
        <v>#REF!</v>
      </c>
      <c r="AC359" s="210"/>
      <c r="AD359" s="285" t="str">
        <f t="shared" si="4"/>
        <v>#REF!</v>
      </c>
      <c r="AE359" s="286" t="str">
        <f>IF($AD359&gt;=1,RANK($AD359,$AD357:$AD372),0)</f>
        <v>#REF!</v>
      </c>
      <c r="AF359" s="287" t="str">
        <f>IF(AE359&lt;=MaxS,INT(AD359),0)</f>
        <v>#REF!</v>
      </c>
      <c r="AG359" s="210"/>
      <c r="AH359" s="210"/>
      <c r="AI359" s="288" t="str">
        <f t="shared" si="5"/>
        <v>#REF!</v>
      </c>
      <c r="AJ359" s="289" t="str">
        <f t="shared" si="6"/>
        <v>#REF!</v>
      </c>
    </row>
    <row r="360" ht="15.0" customHeight="1">
      <c r="A360" s="272"/>
      <c r="B360" s="250">
        <f>IF(OR(ISNA(MATCH(C360&amp;"",AthleteNumbers,0)),ISBLANK(C360)),0,MATCH(C360&amp;"",AthleteNumbers,0))</f>
        <v>0</v>
      </c>
      <c r="C360" s="413"/>
      <c r="D360" s="273" t="str">
        <f t="array" ref="D360">IF($B360&gt;0,INDEX(DB,$B360,8),"")</f>
        <v/>
      </c>
      <c r="E360" s="274" t="str">
        <f t="array" ref="E360">IF($B360&gt;0,INDEX(DB,$B360,3),"")</f>
        <v/>
      </c>
      <c r="F360" s="275">
        <f t="array" ref="F360">IF($B360&gt;0,INDEX(DB,$B360,13),0)</f>
        <v>0</v>
      </c>
      <c r="G360" s="276">
        <f t="array" ref="G360">IF($B360&gt;0,INDEX(DB,$B360,17),0)</f>
        <v>0</v>
      </c>
      <c r="H360" s="277">
        <f t="array" ref="H360">IF($B360&gt;0,INDEX(DB,$B360,15),0)</f>
        <v>0</v>
      </c>
      <c r="I360" s="276">
        <f t="array" ref="I360">IF($B360&gt;0,INDEX(DB,$B360,19),0)</f>
        <v>0</v>
      </c>
      <c r="J360" s="277">
        <f t="array" ref="J360">IF($B360&gt;0,INDEX(DB,$B360,14),0)</f>
        <v>0</v>
      </c>
      <c r="K360" s="276">
        <f t="array" ref="K360">IF($B360&gt;0,INDEX(DB,$B360,18),0)</f>
        <v>0</v>
      </c>
      <c r="L360" s="275">
        <f t="array" ref="L360">IF($B360&gt;0,INDEX(DB,$B360,16),0)</f>
        <v>0</v>
      </c>
      <c r="M360" s="276">
        <f t="array" ref="M360">IF($B360&gt;0,INDEX(DB,$B360,20),0)</f>
        <v>0</v>
      </c>
      <c r="N360" s="278"/>
      <c r="O360" s="279">
        <f t="shared" si="1"/>
        <v>0</v>
      </c>
      <c r="P360" s="280"/>
      <c r="Q360" s="261" t="str">
        <f t="shared" si="2"/>
        <v>#REF!</v>
      </c>
      <c r="R360" s="281" t="str">
        <f>IF($AI360&gt;0,RANK($AI360,BoysPoints),0)</f>
        <v>#REF!</v>
      </c>
      <c r="S360" s="282" t="str">
        <f>IF($AJ360&gt;0,RANK($AJ360,GirlsPoints),0)</f>
        <v>#REF!</v>
      </c>
      <c r="T360" s="283">
        <f>IF($O360&gt;0,RANK(O360,AthletePoints),0)</f>
        <v>0</v>
      </c>
      <c r="U360" s="210"/>
      <c r="V360" s="415" t="str">
        <f>IF(O360&gt;=40,IF(X360="M",VLOOKUP(O360,UKABoysAwards,2),IF(X360="F",VLOOKUP(O360,UKAGirlsAwards,2),"")),"")</f>
        <v/>
      </c>
      <c r="W360" s="210"/>
      <c r="X360" s="266" t="str">
        <f t="array" ref="X360:X361">INDEX(DB,$B360,4)</f>
        <v>#REF!</v>
      </c>
      <c r="Y360" s="210"/>
      <c r="Z360" s="285" t="str">
        <f t="shared" si="3"/>
        <v>#REF!</v>
      </c>
      <c r="AA360" s="286" t="str">
        <f>IF($Z360&gt;=1,RANK($Z360,$Z357:$Z372),0)</f>
        <v>#REF!</v>
      </c>
      <c r="AB360" s="287" t="str">
        <f>IF(AA360&lt;=MaxS,INT(Z360),0)</f>
        <v>#REF!</v>
      </c>
      <c r="AC360" s="210"/>
      <c r="AD360" s="285" t="str">
        <f t="shared" si="4"/>
        <v>#REF!</v>
      </c>
      <c r="AE360" s="286" t="str">
        <f>IF($AD360&gt;=1,RANK($AD360,$AD357:$AD372),0)</f>
        <v>#REF!</v>
      </c>
      <c r="AF360" s="287" t="str">
        <f>IF(AE360&lt;=MaxS,INT(AD360),0)</f>
        <v>#REF!</v>
      </c>
      <c r="AG360" s="210"/>
      <c r="AH360" s="210"/>
      <c r="AI360" s="288" t="str">
        <f t="shared" si="5"/>
        <v>#REF!</v>
      </c>
      <c r="AJ360" s="289" t="str">
        <f t="shared" si="6"/>
        <v>#REF!</v>
      </c>
    </row>
    <row r="361" ht="15.0" customHeight="1">
      <c r="A361" s="272"/>
      <c r="B361" s="250">
        <f>IF(OR(ISNA(MATCH(C361&amp;"",AthleteNumbers,0)),ISBLANK(C361)),0,MATCH(C361&amp;"",AthleteNumbers,0))</f>
        <v>0</v>
      </c>
      <c r="C361" s="413"/>
      <c r="D361" s="273" t="str">
        <f t="array" ref="D361">IF($B361&gt;0,INDEX(DB,$B361,8),"")</f>
        <v/>
      </c>
      <c r="E361" s="274" t="str">
        <f t="array" ref="E361">IF($B361&gt;0,INDEX(DB,$B361,3),"")</f>
        <v/>
      </c>
      <c r="F361" s="275">
        <f t="array" ref="F361">IF($B361&gt;0,INDEX(DB,$B361,13),0)</f>
        <v>0</v>
      </c>
      <c r="G361" s="276">
        <f t="array" ref="G361">IF($B361&gt;0,INDEX(DB,$B361,17),0)</f>
        <v>0</v>
      </c>
      <c r="H361" s="277">
        <f t="array" ref="H361">IF($B361&gt;0,INDEX(DB,$B361,15),0)</f>
        <v>0</v>
      </c>
      <c r="I361" s="276">
        <f t="array" ref="I361">IF($B361&gt;0,INDEX(DB,$B361,19),0)</f>
        <v>0</v>
      </c>
      <c r="J361" s="277">
        <f t="array" ref="J361">IF($B361&gt;0,INDEX(DB,$B361,14),0)</f>
        <v>0</v>
      </c>
      <c r="K361" s="276">
        <f t="array" ref="K361">IF($B361&gt;0,INDEX(DB,$B361,18),0)</f>
        <v>0</v>
      </c>
      <c r="L361" s="275">
        <f t="array" ref="L361">IF($B361&gt;0,INDEX(DB,$B361,16),0)</f>
        <v>0</v>
      </c>
      <c r="M361" s="276">
        <f t="array" ref="M361">IF($B361&gt;0,INDEX(DB,$B361,20),0)</f>
        <v>0</v>
      </c>
      <c r="N361" s="278"/>
      <c r="O361" s="279">
        <f t="shared" si="1"/>
        <v>0</v>
      </c>
      <c r="P361" s="280"/>
      <c r="Q361" s="261" t="str">
        <f t="shared" si="2"/>
        <v>#REF!</v>
      </c>
      <c r="R361" s="290" t="str">
        <f>IF($AI361&gt;0,RANK($AI361,BoysPoints),0)</f>
        <v>#REF!</v>
      </c>
      <c r="S361" s="291" t="str">
        <f>IF($AJ361&gt;0,RANK($AJ361,GirlsPoints),0)</f>
        <v>#REF!</v>
      </c>
      <c r="T361" s="292">
        <f>IF($O361&gt;0,RANK(O361,AthletePoints),0)</f>
        <v>0</v>
      </c>
      <c r="U361" s="210"/>
      <c r="V361" s="330" t="str">
        <f>IF(O361&gt;=40,IF(X361="M",VLOOKUP(O361,UKABoysAwards,2),IF(X361="F",VLOOKUP(O361,UKAGirlsAwards,2),"")),"")</f>
        <v/>
      </c>
      <c r="W361" s="210"/>
      <c r="X361" s="266" t="str">
        <f t="array" ref="X361:X362">INDEX(DB,$B361,4)</f>
        <v>#REF!</v>
      </c>
      <c r="Y361" s="210"/>
      <c r="Z361" s="285" t="str">
        <f t="shared" si="3"/>
        <v>#REF!</v>
      </c>
      <c r="AA361" s="286" t="str">
        <f>IF($Z361&gt;=1,RANK($Z361,$Z357:$Z372),0)</f>
        <v>#REF!</v>
      </c>
      <c r="AB361" s="287" t="str">
        <f>IF(AA361&lt;=MaxS,INT(Z361),0)</f>
        <v>#REF!</v>
      </c>
      <c r="AC361" s="210"/>
      <c r="AD361" s="285" t="str">
        <f t="shared" si="4"/>
        <v>#REF!</v>
      </c>
      <c r="AE361" s="286" t="str">
        <f>IF($AD361&gt;=1,RANK($AD361,$AD357:$AD372),0)</f>
        <v>#REF!</v>
      </c>
      <c r="AF361" s="287" t="str">
        <f>IF(AE361&lt;=MaxS,INT(AD361),0)</f>
        <v>#REF!</v>
      </c>
      <c r="AG361" s="210"/>
      <c r="AH361" s="210"/>
      <c r="AI361" s="288" t="str">
        <f t="shared" si="5"/>
        <v>#REF!</v>
      </c>
      <c r="AJ361" s="289" t="str">
        <f t="shared" si="6"/>
        <v>#REF!</v>
      </c>
    </row>
    <row r="362" ht="15.0" customHeight="1">
      <c r="A362" s="272"/>
      <c r="B362" s="250">
        <f>IF(OR(ISNA(MATCH(C362&amp;"",AthleteNumbers,0)),ISBLANK(C362)),0,MATCH(C362&amp;"",AthleteNumbers,0))</f>
        <v>0</v>
      </c>
      <c r="C362" s="413"/>
      <c r="D362" s="273" t="str">
        <f t="array" ref="D362">IF($B362&gt;0,INDEX(DB,$B362,8),"")</f>
        <v/>
      </c>
      <c r="E362" s="274" t="str">
        <f t="array" ref="E362">IF($B362&gt;0,INDEX(DB,$B362,3),"")</f>
        <v/>
      </c>
      <c r="F362" s="275">
        <f t="array" ref="F362">IF($B362&gt;0,INDEX(DB,$B362,13),0)</f>
        <v>0</v>
      </c>
      <c r="G362" s="276">
        <f t="array" ref="G362">IF($B362&gt;0,INDEX(DB,$B362,17),0)</f>
        <v>0</v>
      </c>
      <c r="H362" s="277">
        <f t="array" ref="H362">IF($B362&gt;0,INDEX(DB,$B362,15),0)</f>
        <v>0</v>
      </c>
      <c r="I362" s="276">
        <f t="array" ref="I362">IF($B362&gt;0,INDEX(DB,$B362,19),0)</f>
        <v>0</v>
      </c>
      <c r="J362" s="277">
        <f t="array" ref="J362">IF($B362&gt;0,INDEX(DB,$B362,14),0)</f>
        <v>0</v>
      </c>
      <c r="K362" s="276">
        <f t="array" ref="K362">IF($B362&gt;0,INDEX(DB,$B362,18),0)</f>
        <v>0</v>
      </c>
      <c r="L362" s="275">
        <f t="array" ref="L362">IF($B362&gt;0,INDEX(DB,$B362,16),0)</f>
        <v>0</v>
      </c>
      <c r="M362" s="276">
        <f t="array" ref="M362">IF($B362&gt;0,INDEX(DB,$B362,20),0)</f>
        <v>0</v>
      </c>
      <c r="N362" s="278"/>
      <c r="O362" s="279">
        <f t="shared" si="1"/>
        <v>0</v>
      </c>
      <c r="P362" s="280"/>
      <c r="Q362" s="261" t="str">
        <f t="shared" si="2"/>
        <v>#REF!</v>
      </c>
      <c r="R362" s="281" t="str">
        <f>IF($AI362&gt;0,RANK($AI362,BoysPoints),0)</f>
        <v>#REF!</v>
      </c>
      <c r="S362" s="282" t="str">
        <f>IF($AJ362&gt;0,RANK($AJ362,GirlsPoints),0)</f>
        <v>#REF!</v>
      </c>
      <c r="T362" s="283">
        <f>IF($O362&gt;0,RANK(O362,AthletePoints),0)</f>
        <v>0</v>
      </c>
      <c r="U362" s="210"/>
      <c r="V362" s="415" t="str">
        <f>IF(O362&gt;=40,IF(X362="M",VLOOKUP(O362,UKABoysAwards,2),IF(X362="F",VLOOKUP(O362,UKAGirlsAwards,2),"")),"")</f>
        <v/>
      </c>
      <c r="W362" s="210"/>
      <c r="X362" s="266" t="str">
        <f t="array" ref="X362:X363">INDEX(DB,$B362,4)</f>
        <v>#REF!</v>
      </c>
      <c r="Y362" s="210"/>
      <c r="Z362" s="285" t="str">
        <f t="shared" si="3"/>
        <v>#REF!</v>
      </c>
      <c r="AA362" s="286" t="str">
        <f>IF($Z362&gt;=1,RANK($Z362,$Z357:$Z372),0)</f>
        <v>#REF!</v>
      </c>
      <c r="AB362" s="287" t="str">
        <f>IF(AA362&lt;=MaxS,INT(Z362),0)</f>
        <v>#REF!</v>
      </c>
      <c r="AC362" s="210"/>
      <c r="AD362" s="285" t="str">
        <f t="shared" si="4"/>
        <v>#REF!</v>
      </c>
      <c r="AE362" s="286" t="str">
        <f>IF($AD362&gt;=1,RANK($AD362,$AD357:$AD372),0)</f>
        <v>#REF!</v>
      </c>
      <c r="AF362" s="287" t="str">
        <f>IF(AE362&lt;=MaxS,INT(AD362),0)</f>
        <v>#REF!</v>
      </c>
      <c r="AG362" s="210"/>
      <c r="AH362" s="210"/>
      <c r="AI362" s="288" t="str">
        <f t="shared" si="5"/>
        <v>#REF!</v>
      </c>
      <c r="AJ362" s="289" t="str">
        <f t="shared" si="6"/>
        <v>#REF!</v>
      </c>
    </row>
    <row r="363" ht="15.0" customHeight="1">
      <c r="A363" s="272"/>
      <c r="B363" s="250">
        <f>IF(OR(ISNA(MATCH(C363&amp;"",AthleteNumbers,0)),ISBLANK(C363)),0,MATCH(C363&amp;"",AthleteNumbers,0))</f>
        <v>0</v>
      </c>
      <c r="C363" s="413"/>
      <c r="D363" s="273" t="str">
        <f t="array" ref="D363">IF($B363&gt;0,INDEX(DB,$B363,8),"")</f>
        <v/>
      </c>
      <c r="E363" s="274" t="str">
        <f t="array" ref="E363">IF($B363&gt;0,INDEX(DB,$B363,3),"")</f>
        <v/>
      </c>
      <c r="F363" s="275">
        <f t="array" ref="F363">IF($B363&gt;0,INDEX(DB,$B363,13),0)</f>
        <v>0</v>
      </c>
      <c r="G363" s="276">
        <f t="array" ref="G363">IF($B363&gt;0,INDEX(DB,$B363,17),0)</f>
        <v>0</v>
      </c>
      <c r="H363" s="277">
        <f t="array" ref="H363">IF($B363&gt;0,INDEX(DB,$B363,15),0)</f>
        <v>0</v>
      </c>
      <c r="I363" s="276">
        <f t="array" ref="I363">IF($B363&gt;0,INDEX(DB,$B363,19),0)</f>
        <v>0</v>
      </c>
      <c r="J363" s="277">
        <f t="array" ref="J363">IF($B363&gt;0,INDEX(DB,$B363,14),0)</f>
        <v>0</v>
      </c>
      <c r="K363" s="276">
        <f t="array" ref="K363">IF($B363&gt;0,INDEX(DB,$B363,18),0)</f>
        <v>0</v>
      </c>
      <c r="L363" s="275">
        <f t="array" ref="L363">IF($B363&gt;0,INDEX(DB,$B363,16),0)</f>
        <v>0</v>
      </c>
      <c r="M363" s="276">
        <f t="array" ref="M363">IF($B363&gt;0,INDEX(DB,$B363,20),0)</f>
        <v>0</v>
      </c>
      <c r="N363" s="278"/>
      <c r="O363" s="279">
        <f t="shared" si="1"/>
        <v>0</v>
      </c>
      <c r="P363" s="280"/>
      <c r="Q363" s="261" t="str">
        <f t="shared" si="2"/>
        <v>#REF!</v>
      </c>
      <c r="R363" s="290" t="str">
        <f>IF($AI363&gt;0,RANK($AI363,BoysPoints),0)</f>
        <v>#REF!</v>
      </c>
      <c r="S363" s="291" t="str">
        <f>IF($AJ363&gt;0,RANK($AJ363,GirlsPoints),0)</f>
        <v>#REF!</v>
      </c>
      <c r="T363" s="292">
        <f>IF($O363&gt;0,RANK(O363,AthletePoints),0)</f>
        <v>0</v>
      </c>
      <c r="U363" s="210"/>
      <c r="V363" s="330" t="str">
        <f>IF(O363&gt;=40,IF(X363="M",VLOOKUP(O363,UKABoysAwards,2),IF(X363="F",VLOOKUP(O363,UKAGirlsAwards,2),"")),"")</f>
        <v/>
      </c>
      <c r="W363" s="210"/>
      <c r="X363" s="266" t="str">
        <f t="array" ref="X363:X364">INDEX(DB,$B363,4)</f>
        <v>#REF!</v>
      </c>
      <c r="Y363" s="210"/>
      <c r="Z363" s="285" t="str">
        <f t="shared" si="3"/>
        <v>#REF!</v>
      </c>
      <c r="AA363" s="286" t="str">
        <f>IF($Z363&gt;=1,RANK($Z363,$Z357:$Z372),0)</f>
        <v>#REF!</v>
      </c>
      <c r="AB363" s="287" t="str">
        <f>IF(AA363&lt;=MaxS,INT(Z363),0)</f>
        <v>#REF!</v>
      </c>
      <c r="AC363" s="210"/>
      <c r="AD363" s="285" t="str">
        <f t="shared" si="4"/>
        <v>#REF!</v>
      </c>
      <c r="AE363" s="286" t="str">
        <f>IF($AD363&gt;=1,RANK($AD363,$AD357:$AD372),0)</f>
        <v>#REF!</v>
      </c>
      <c r="AF363" s="287" t="str">
        <f>IF(AE363&lt;=MaxS,INT(AD363),0)</f>
        <v>#REF!</v>
      </c>
      <c r="AG363" s="210"/>
      <c r="AH363" s="210"/>
      <c r="AI363" s="288" t="str">
        <f t="shared" si="5"/>
        <v>#REF!</v>
      </c>
      <c r="AJ363" s="289" t="str">
        <f t="shared" si="6"/>
        <v>#REF!</v>
      </c>
    </row>
    <row r="364" ht="15.0" customHeight="1">
      <c r="A364" s="272"/>
      <c r="B364" s="250">
        <f>IF(OR(ISNA(MATCH(C364&amp;"",AthleteNumbers,0)),ISBLANK(C364)),0,MATCH(C364&amp;"",AthleteNumbers,0))</f>
        <v>0</v>
      </c>
      <c r="C364" s="413"/>
      <c r="D364" s="273" t="str">
        <f t="array" ref="D364">IF($B364&gt;0,INDEX(DB,$B364,8),"")</f>
        <v/>
      </c>
      <c r="E364" s="274" t="str">
        <f t="array" ref="E364">IF($B364&gt;0,INDEX(DB,$B364,3),"")</f>
        <v/>
      </c>
      <c r="F364" s="275">
        <f t="array" ref="F364">IF($B364&gt;0,INDEX(DB,$B364,13),0)</f>
        <v>0</v>
      </c>
      <c r="G364" s="276">
        <f t="array" ref="G364">IF($B364&gt;0,INDEX(DB,$B364,17),0)</f>
        <v>0</v>
      </c>
      <c r="H364" s="277">
        <f t="array" ref="H364">IF($B364&gt;0,INDEX(DB,$B364,15),0)</f>
        <v>0</v>
      </c>
      <c r="I364" s="276">
        <f t="array" ref="I364">IF($B364&gt;0,INDEX(DB,$B364,19),0)</f>
        <v>0</v>
      </c>
      <c r="J364" s="277">
        <f t="array" ref="J364">IF($B364&gt;0,INDEX(DB,$B364,14),0)</f>
        <v>0</v>
      </c>
      <c r="K364" s="276">
        <f t="array" ref="K364">IF($B364&gt;0,INDEX(DB,$B364,18),0)</f>
        <v>0</v>
      </c>
      <c r="L364" s="275">
        <f t="array" ref="L364">IF($B364&gt;0,INDEX(DB,$B364,16),0)</f>
        <v>0</v>
      </c>
      <c r="M364" s="276">
        <f t="array" ref="M364">IF($B364&gt;0,INDEX(DB,$B364,20),0)</f>
        <v>0</v>
      </c>
      <c r="N364" s="278"/>
      <c r="O364" s="279">
        <f t="shared" si="1"/>
        <v>0</v>
      </c>
      <c r="P364" s="280"/>
      <c r="Q364" s="261" t="str">
        <f t="shared" si="2"/>
        <v>#REF!</v>
      </c>
      <c r="R364" s="281" t="str">
        <f>IF($AI364&gt;0,RANK($AI364,BoysPoints),0)</f>
        <v>#REF!</v>
      </c>
      <c r="S364" s="282" t="str">
        <f>IF($AJ364&gt;0,RANK($AJ364,GirlsPoints),0)</f>
        <v>#REF!</v>
      </c>
      <c r="T364" s="283">
        <f>IF($O364&gt;0,RANK(O364,AthletePoints),0)</f>
        <v>0</v>
      </c>
      <c r="U364" s="210"/>
      <c r="V364" s="415" t="str">
        <f>IF(O364&gt;=40,IF(X364="M",VLOOKUP(O364,UKABoysAwards,2),IF(X364="F",VLOOKUP(O364,UKAGirlsAwards,2),"")),"")</f>
        <v/>
      </c>
      <c r="W364" s="210"/>
      <c r="X364" s="266" t="str">
        <f t="array" ref="X364:X365">INDEX(DB,$B364,4)</f>
        <v>#REF!</v>
      </c>
      <c r="Y364" s="210"/>
      <c r="Z364" s="285" t="str">
        <f t="shared" si="3"/>
        <v>#REF!</v>
      </c>
      <c r="AA364" s="286" t="str">
        <f>IF($Z364&gt;=1,RANK($Z364,$Z357:$Z372),0)</f>
        <v>#REF!</v>
      </c>
      <c r="AB364" s="287" t="str">
        <f>IF(AA364&lt;=MaxS,INT(Z364),0)</f>
        <v>#REF!</v>
      </c>
      <c r="AC364" s="210"/>
      <c r="AD364" s="285" t="str">
        <f t="shared" si="4"/>
        <v>#REF!</v>
      </c>
      <c r="AE364" s="286" t="str">
        <f>IF($AD364&gt;=1,RANK($AD364,$AD357:$AD372),0)</f>
        <v>#REF!</v>
      </c>
      <c r="AF364" s="287" t="str">
        <f>IF(AE364&lt;=MaxS,INT(AD364),0)</f>
        <v>#REF!</v>
      </c>
      <c r="AG364" s="210"/>
      <c r="AH364" s="210"/>
      <c r="AI364" s="288" t="str">
        <f t="shared" si="5"/>
        <v>#REF!</v>
      </c>
      <c r="AJ364" s="289" t="str">
        <f t="shared" si="6"/>
        <v>#REF!</v>
      </c>
    </row>
    <row r="365" ht="15.0" customHeight="1">
      <c r="A365" s="272"/>
      <c r="B365" s="250">
        <f>IF(OR(ISNA(MATCH(C365&amp;"",AthleteNumbers,0)),ISBLANK(C365)),0,MATCH(C365&amp;"",AthleteNumbers,0))</f>
        <v>0</v>
      </c>
      <c r="C365" s="413"/>
      <c r="D365" s="273" t="str">
        <f t="array" ref="D365">IF($B365&gt;0,INDEX(DB,$B365,8),"")</f>
        <v/>
      </c>
      <c r="E365" s="274" t="str">
        <f t="array" ref="E365">IF($B365&gt;0,INDEX(DB,$B365,3),"")</f>
        <v/>
      </c>
      <c r="F365" s="275">
        <f t="array" ref="F365">IF($B365&gt;0,INDEX(DB,$B365,13),0)</f>
        <v>0</v>
      </c>
      <c r="G365" s="276">
        <f t="array" ref="G365">IF($B365&gt;0,INDEX(DB,$B365,17),0)</f>
        <v>0</v>
      </c>
      <c r="H365" s="277">
        <f t="array" ref="H365">IF($B365&gt;0,INDEX(DB,$B365,15),0)</f>
        <v>0</v>
      </c>
      <c r="I365" s="276">
        <f t="array" ref="I365">IF($B365&gt;0,INDEX(DB,$B365,19),0)</f>
        <v>0</v>
      </c>
      <c r="J365" s="277">
        <f t="array" ref="J365">IF($B365&gt;0,INDEX(DB,$B365,14),0)</f>
        <v>0</v>
      </c>
      <c r="K365" s="276">
        <f t="array" ref="K365">IF($B365&gt;0,INDEX(DB,$B365,18),0)</f>
        <v>0</v>
      </c>
      <c r="L365" s="275">
        <f t="array" ref="L365">IF($B365&gt;0,INDEX(DB,$B365,16),0)</f>
        <v>0</v>
      </c>
      <c r="M365" s="276">
        <f t="array" ref="M365">IF($B365&gt;0,INDEX(DB,$B365,20),0)</f>
        <v>0</v>
      </c>
      <c r="N365" s="278"/>
      <c r="O365" s="279">
        <f t="shared" si="1"/>
        <v>0</v>
      </c>
      <c r="P365" s="280"/>
      <c r="Q365" s="261" t="str">
        <f t="shared" si="2"/>
        <v>#REF!</v>
      </c>
      <c r="R365" s="290" t="str">
        <f>IF($AI365&gt;0,RANK($AI365,BoysPoints),0)</f>
        <v>#REF!</v>
      </c>
      <c r="S365" s="291" t="str">
        <f>IF($AJ365&gt;0,RANK($AJ365,GirlsPoints),0)</f>
        <v>#REF!</v>
      </c>
      <c r="T365" s="292">
        <f>IF($O365&gt;0,RANK(O365,AthletePoints),0)</f>
        <v>0</v>
      </c>
      <c r="U365" s="210"/>
      <c r="V365" s="330" t="str">
        <f>IF(O365&gt;=40,IF(X365="M",VLOOKUP(O365,UKABoysAwards,2),IF(X365="F",VLOOKUP(O365,UKAGirlsAwards,2),"")),"")</f>
        <v/>
      </c>
      <c r="W365" s="210"/>
      <c r="X365" s="266" t="str">
        <f t="array" ref="X365:X366">INDEX(DB,$B365,4)</f>
        <v>#REF!</v>
      </c>
      <c r="Y365" s="210"/>
      <c r="Z365" s="285" t="str">
        <f t="shared" si="3"/>
        <v>#REF!</v>
      </c>
      <c r="AA365" s="286" t="str">
        <f>IF($Z365&gt;=1,RANK($Z365,$Z357:$Z372),0)</f>
        <v>#REF!</v>
      </c>
      <c r="AB365" s="287" t="str">
        <f>IF(AA365&lt;=MaxS,INT(Z365),0)</f>
        <v>#REF!</v>
      </c>
      <c r="AC365" s="210"/>
      <c r="AD365" s="285" t="str">
        <f t="shared" si="4"/>
        <v>#REF!</v>
      </c>
      <c r="AE365" s="286" t="str">
        <f>IF($AD365&gt;=1,RANK($AD365,$AD357:$AD372),0)</f>
        <v>#REF!</v>
      </c>
      <c r="AF365" s="287" t="str">
        <f>IF(AE365&lt;=MaxS,INT(AD365),0)</f>
        <v>#REF!</v>
      </c>
      <c r="AG365" s="210"/>
      <c r="AH365" s="210"/>
      <c r="AI365" s="288" t="str">
        <f t="shared" si="5"/>
        <v>#REF!</v>
      </c>
      <c r="AJ365" s="289" t="str">
        <f t="shared" si="6"/>
        <v>#REF!</v>
      </c>
    </row>
    <row r="366" ht="15.0" customHeight="1">
      <c r="A366" s="272"/>
      <c r="B366" s="250">
        <f>IF(OR(ISNA(MATCH(C366&amp;"",AthleteNumbers,0)),ISBLANK(C366)),0,MATCH(C366&amp;"",AthleteNumbers,0))</f>
        <v>0</v>
      </c>
      <c r="C366" s="413"/>
      <c r="D366" s="273" t="str">
        <f t="array" ref="D366">IF($B366&gt;0,INDEX(DB,$B366,8),"")</f>
        <v/>
      </c>
      <c r="E366" s="274" t="str">
        <f t="array" ref="E366">IF($B366&gt;0,INDEX(DB,$B366,3),"")</f>
        <v/>
      </c>
      <c r="F366" s="275">
        <f t="array" ref="F366">IF($B366&gt;0,INDEX(DB,$B366,13),0)</f>
        <v>0</v>
      </c>
      <c r="G366" s="276">
        <f t="array" ref="G366">IF($B366&gt;0,INDEX(DB,$B366,17),0)</f>
        <v>0</v>
      </c>
      <c r="H366" s="277">
        <f t="array" ref="H366">IF($B366&gt;0,INDEX(DB,$B366,15),0)</f>
        <v>0</v>
      </c>
      <c r="I366" s="276">
        <f t="array" ref="I366">IF($B366&gt;0,INDEX(DB,$B366,19),0)</f>
        <v>0</v>
      </c>
      <c r="J366" s="277">
        <f t="array" ref="J366">IF($B366&gt;0,INDEX(DB,$B366,14),0)</f>
        <v>0</v>
      </c>
      <c r="K366" s="276">
        <f t="array" ref="K366">IF($B366&gt;0,INDEX(DB,$B366,18),0)</f>
        <v>0</v>
      </c>
      <c r="L366" s="275">
        <f t="array" ref="L366">IF($B366&gt;0,INDEX(DB,$B366,16),0)</f>
        <v>0</v>
      </c>
      <c r="M366" s="276">
        <f t="array" ref="M366">IF($B366&gt;0,INDEX(DB,$B366,20),0)</f>
        <v>0</v>
      </c>
      <c r="N366" s="278"/>
      <c r="O366" s="279">
        <f t="shared" si="1"/>
        <v>0</v>
      </c>
      <c r="P366" s="280"/>
      <c r="Q366" s="261" t="str">
        <f t="shared" si="2"/>
        <v>#REF!</v>
      </c>
      <c r="R366" s="281" t="str">
        <f>IF($AI366&gt;0,RANK($AI366,BoysPoints),0)</f>
        <v>#REF!</v>
      </c>
      <c r="S366" s="282" t="str">
        <f>IF($AJ366&gt;0,RANK($AJ366,GirlsPoints),0)</f>
        <v>#REF!</v>
      </c>
      <c r="T366" s="283">
        <f>IF($O366&gt;0,RANK(O366,AthletePoints),0)</f>
        <v>0</v>
      </c>
      <c r="U366" s="210"/>
      <c r="V366" s="415" t="str">
        <f>IF(O366&gt;=40,IF(X366="M",VLOOKUP(O366,UKABoysAwards,2),IF(X366="F",VLOOKUP(O366,UKAGirlsAwards,2),"")),"")</f>
        <v/>
      </c>
      <c r="W366" s="210"/>
      <c r="X366" s="266" t="str">
        <f t="array" ref="X366:X367">INDEX(DB,$B366,4)</f>
        <v>#REF!</v>
      </c>
      <c r="Y366" s="210"/>
      <c r="Z366" s="285" t="str">
        <f t="shared" si="3"/>
        <v>#REF!</v>
      </c>
      <c r="AA366" s="286" t="str">
        <f>IF($Z366&gt;=1,RANK($Z366,$Z357:$Z372),0)</f>
        <v>#REF!</v>
      </c>
      <c r="AB366" s="287" t="str">
        <f>IF(AA366&lt;=MaxS,INT(Z366),0)</f>
        <v>#REF!</v>
      </c>
      <c r="AC366" s="210"/>
      <c r="AD366" s="285" t="str">
        <f t="shared" si="4"/>
        <v>#REF!</v>
      </c>
      <c r="AE366" s="286" t="str">
        <f>IF($AD366&gt;=1,RANK($AD366,$AD357:$AD372),0)</f>
        <v>#REF!</v>
      </c>
      <c r="AF366" s="287" t="str">
        <f>IF(AE366&lt;=MaxS,INT(AD366),0)</f>
        <v>#REF!</v>
      </c>
      <c r="AG366" s="210"/>
      <c r="AH366" s="210"/>
      <c r="AI366" s="288" t="str">
        <f t="shared" si="5"/>
        <v>#REF!</v>
      </c>
      <c r="AJ366" s="289" t="str">
        <f t="shared" si="6"/>
        <v>#REF!</v>
      </c>
    </row>
    <row r="367" ht="15.0" customHeight="1">
      <c r="A367" s="272"/>
      <c r="B367" s="250">
        <f>IF(OR(ISNA(MATCH(C367&amp;"",AthleteNumbers,0)),ISBLANK(C367)),0,MATCH(C367&amp;"",AthleteNumbers,0))</f>
        <v>0</v>
      </c>
      <c r="C367" s="413"/>
      <c r="D367" s="273" t="str">
        <f t="array" ref="D367">IF($B367&gt;0,INDEX(DB,$B367,8),"")</f>
        <v/>
      </c>
      <c r="E367" s="274" t="str">
        <f t="array" ref="E367">IF($B367&gt;0,INDEX(DB,$B367,3),"")</f>
        <v/>
      </c>
      <c r="F367" s="275">
        <f t="array" ref="F367">IF($B367&gt;0,INDEX(DB,$B367,13),0)</f>
        <v>0</v>
      </c>
      <c r="G367" s="276">
        <f t="array" ref="G367">IF($B367&gt;0,INDEX(DB,$B367,17),0)</f>
        <v>0</v>
      </c>
      <c r="H367" s="277">
        <f t="array" ref="H367">IF($B367&gt;0,INDEX(DB,$B367,15),0)</f>
        <v>0</v>
      </c>
      <c r="I367" s="276">
        <f t="array" ref="I367">IF($B367&gt;0,INDEX(DB,$B367,19),0)</f>
        <v>0</v>
      </c>
      <c r="J367" s="277">
        <f t="array" ref="J367">IF($B367&gt;0,INDEX(DB,$B367,14),0)</f>
        <v>0</v>
      </c>
      <c r="K367" s="276">
        <f t="array" ref="K367">IF($B367&gt;0,INDEX(DB,$B367,18),0)</f>
        <v>0</v>
      </c>
      <c r="L367" s="275">
        <f t="array" ref="L367">IF($B367&gt;0,INDEX(DB,$B367,16),0)</f>
        <v>0</v>
      </c>
      <c r="M367" s="276">
        <f t="array" ref="M367">IF($B367&gt;0,INDEX(DB,$B367,20),0)</f>
        <v>0</v>
      </c>
      <c r="N367" s="278"/>
      <c r="O367" s="279">
        <f t="shared" si="1"/>
        <v>0</v>
      </c>
      <c r="P367" s="280"/>
      <c r="Q367" s="261" t="str">
        <f t="shared" si="2"/>
        <v>#REF!</v>
      </c>
      <c r="R367" s="290" t="str">
        <f>IF($AI367&gt;0,RANK($AI367,BoysPoints),0)</f>
        <v>#REF!</v>
      </c>
      <c r="S367" s="291" t="str">
        <f>IF($AJ367&gt;0,RANK($AJ367,GirlsPoints),0)</f>
        <v>#REF!</v>
      </c>
      <c r="T367" s="292">
        <f>IF($O367&gt;0,RANK(O367,AthletePoints),0)</f>
        <v>0</v>
      </c>
      <c r="U367" s="210"/>
      <c r="V367" s="330" t="str">
        <f>IF(O367&gt;=40,IF(X367="M",VLOOKUP(O367,UKABoysAwards,2),IF(X367="F",VLOOKUP(O367,UKAGirlsAwards,2),"")),"")</f>
        <v/>
      </c>
      <c r="W367" s="210"/>
      <c r="X367" s="266" t="str">
        <f t="array" ref="X367:X368">INDEX(DB,$B367,4)</f>
        <v>#REF!</v>
      </c>
      <c r="Y367" s="210"/>
      <c r="Z367" s="285" t="str">
        <f t="shared" si="3"/>
        <v>#REF!</v>
      </c>
      <c r="AA367" s="286" t="str">
        <f>IF($Z367&gt;=1,RANK($Z367,$Z357:$Z372),0)</f>
        <v>#REF!</v>
      </c>
      <c r="AB367" s="287" t="str">
        <f>IF(AA367&lt;=MaxS,INT(Z367),0)</f>
        <v>#REF!</v>
      </c>
      <c r="AC367" s="210"/>
      <c r="AD367" s="285" t="str">
        <f t="shared" si="4"/>
        <v>#REF!</v>
      </c>
      <c r="AE367" s="286" t="str">
        <f>IF($AD367&gt;=1,RANK($AD367,$AD357:$AD372),0)</f>
        <v>#REF!</v>
      </c>
      <c r="AF367" s="287" t="str">
        <f>IF(AE367&lt;=MaxS,INT(AD367),0)</f>
        <v>#REF!</v>
      </c>
      <c r="AG367" s="210"/>
      <c r="AH367" s="210"/>
      <c r="AI367" s="288" t="str">
        <f t="shared" si="5"/>
        <v>#REF!</v>
      </c>
      <c r="AJ367" s="289" t="str">
        <f t="shared" si="6"/>
        <v>#REF!</v>
      </c>
    </row>
    <row r="368" ht="15.0" customHeight="1">
      <c r="A368" s="272"/>
      <c r="B368" s="250">
        <f>IF(OR(ISNA(MATCH(C368&amp;"",AthleteNumbers,0)),ISBLANK(C368)),0,MATCH(C368&amp;"",AthleteNumbers,0))</f>
        <v>0</v>
      </c>
      <c r="C368" s="413"/>
      <c r="D368" s="273" t="str">
        <f t="array" ref="D368">IF($B368&gt;0,INDEX(DB,$B368,8),"")</f>
        <v/>
      </c>
      <c r="E368" s="274" t="str">
        <f t="array" ref="E368">IF($B368&gt;0,INDEX(DB,$B368,3),"")</f>
        <v/>
      </c>
      <c r="F368" s="275">
        <f t="array" ref="F368">IF($B368&gt;0,INDEX(DB,$B368,13),0)</f>
        <v>0</v>
      </c>
      <c r="G368" s="276">
        <f t="array" ref="G368">IF($B368&gt;0,INDEX(DB,$B368,17),0)</f>
        <v>0</v>
      </c>
      <c r="H368" s="277">
        <f t="array" ref="H368">IF($B368&gt;0,INDEX(DB,$B368,15),0)</f>
        <v>0</v>
      </c>
      <c r="I368" s="276">
        <f t="array" ref="I368">IF($B368&gt;0,INDEX(DB,$B368,19),0)</f>
        <v>0</v>
      </c>
      <c r="J368" s="277">
        <f t="array" ref="J368">IF($B368&gt;0,INDEX(DB,$B368,14),0)</f>
        <v>0</v>
      </c>
      <c r="K368" s="276">
        <f t="array" ref="K368">IF($B368&gt;0,INDEX(DB,$B368,18),0)</f>
        <v>0</v>
      </c>
      <c r="L368" s="275">
        <f t="array" ref="L368">IF($B368&gt;0,INDEX(DB,$B368,16),0)</f>
        <v>0</v>
      </c>
      <c r="M368" s="276">
        <f t="array" ref="M368">IF($B368&gt;0,INDEX(DB,$B368,20),0)</f>
        <v>0</v>
      </c>
      <c r="N368" s="278"/>
      <c r="O368" s="279">
        <f t="shared" si="1"/>
        <v>0</v>
      </c>
      <c r="P368" s="280"/>
      <c r="Q368" s="261" t="str">
        <f t="shared" si="2"/>
        <v>#REF!</v>
      </c>
      <c r="R368" s="281" t="str">
        <f>IF($AI368&gt;0,RANK($AI368,BoysPoints),0)</f>
        <v>#REF!</v>
      </c>
      <c r="S368" s="282" t="str">
        <f>IF($AJ368&gt;0,RANK($AJ368,GirlsPoints),0)</f>
        <v>#REF!</v>
      </c>
      <c r="T368" s="283">
        <f>IF($O368&gt;0,RANK(O368,AthletePoints),0)</f>
        <v>0</v>
      </c>
      <c r="U368" s="210"/>
      <c r="V368" s="415" t="str">
        <f>IF(O368&gt;=40,IF(X368="M",VLOOKUP(O368,UKABoysAwards,2),IF(X368="F",VLOOKUP(O368,UKAGirlsAwards,2),"")),"")</f>
        <v/>
      </c>
      <c r="W368" s="210"/>
      <c r="X368" s="266" t="str">
        <f t="array" ref="X368:X369">INDEX(DB,$B368,4)</f>
        <v>#REF!</v>
      </c>
      <c r="Y368" s="210"/>
      <c r="Z368" s="285" t="str">
        <f t="shared" si="3"/>
        <v>#REF!</v>
      </c>
      <c r="AA368" s="286" t="str">
        <f>IF($Z368&gt;=1,RANK($Z368,$Z357:$Z372),0)</f>
        <v>#REF!</v>
      </c>
      <c r="AB368" s="287" t="str">
        <f>IF(AA368&lt;=MaxS,INT(Z368),0)</f>
        <v>#REF!</v>
      </c>
      <c r="AC368" s="210"/>
      <c r="AD368" s="285" t="str">
        <f t="shared" si="4"/>
        <v>#REF!</v>
      </c>
      <c r="AE368" s="286" t="str">
        <f>IF($AD368&gt;=1,RANK($AD368,$AD357:$AD372),0)</f>
        <v>#REF!</v>
      </c>
      <c r="AF368" s="287" t="str">
        <f>IF(AE368&lt;=MaxS,INT(AD368),0)</f>
        <v>#REF!</v>
      </c>
      <c r="AG368" s="210"/>
      <c r="AH368" s="210"/>
      <c r="AI368" s="288" t="str">
        <f t="shared" si="5"/>
        <v>#REF!</v>
      </c>
      <c r="AJ368" s="289" t="str">
        <f t="shared" si="6"/>
        <v>#REF!</v>
      </c>
    </row>
    <row r="369" ht="15.0" customHeight="1">
      <c r="A369" s="272"/>
      <c r="B369" s="250">
        <f>IF(OR(ISNA(MATCH(C369&amp;"",AthleteNumbers,0)),ISBLANK(C369)),0,MATCH(C369&amp;"",AthleteNumbers,0))</f>
        <v>0</v>
      </c>
      <c r="C369" s="413"/>
      <c r="D369" s="273" t="str">
        <f t="array" ref="D369">IF($B369&gt;0,INDEX(DB,$B369,8),"")</f>
        <v/>
      </c>
      <c r="E369" s="274" t="str">
        <f t="array" ref="E369">IF($B369&gt;0,INDEX(DB,$B369,3),"")</f>
        <v/>
      </c>
      <c r="F369" s="275">
        <f t="array" ref="F369">IF($B369&gt;0,INDEX(DB,$B369,13),0)</f>
        <v>0</v>
      </c>
      <c r="G369" s="276">
        <f t="array" ref="G369">IF($B369&gt;0,INDEX(DB,$B369,17),0)</f>
        <v>0</v>
      </c>
      <c r="H369" s="277">
        <f t="array" ref="H369">IF($B369&gt;0,INDEX(DB,$B369,15),0)</f>
        <v>0</v>
      </c>
      <c r="I369" s="276">
        <f t="array" ref="I369">IF($B369&gt;0,INDEX(DB,$B369,19),0)</f>
        <v>0</v>
      </c>
      <c r="J369" s="277">
        <f t="array" ref="J369">IF($B369&gt;0,INDEX(DB,$B369,14),0)</f>
        <v>0</v>
      </c>
      <c r="K369" s="276">
        <f t="array" ref="K369">IF($B369&gt;0,INDEX(DB,$B369,18),0)</f>
        <v>0</v>
      </c>
      <c r="L369" s="275">
        <f t="array" ref="L369">IF($B369&gt;0,INDEX(DB,$B369,16),0)</f>
        <v>0</v>
      </c>
      <c r="M369" s="276">
        <f t="array" ref="M369">IF($B369&gt;0,INDEX(DB,$B369,20),0)</f>
        <v>0</v>
      </c>
      <c r="N369" s="278"/>
      <c r="O369" s="279">
        <f t="shared" si="1"/>
        <v>0</v>
      </c>
      <c r="P369" s="280"/>
      <c r="Q369" s="261" t="str">
        <f t="shared" si="2"/>
        <v>#REF!</v>
      </c>
      <c r="R369" s="290" t="str">
        <f>IF($AI369&gt;0,RANK($AI369,BoysPoints),0)</f>
        <v>#REF!</v>
      </c>
      <c r="S369" s="291" t="str">
        <f>IF($AJ369&gt;0,RANK($AJ369,GirlsPoints),0)</f>
        <v>#REF!</v>
      </c>
      <c r="T369" s="292">
        <f>IF($O369&gt;0,RANK(O369,AthletePoints),0)</f>
        <v>0</v>
      </c>
      <c r="U369" s="210"/>
      <c r="V369" s="330" t="str">
        <f>IF(O369&gt;=40,IF(X369="M",VLOOKUP(O369,UKABoysAwards,2),IF(X369="F",VLOOKUP(O369,UKAGirlsAwards,2),"")),"")</f>
        <v/>
      </c>
      <c r="W369" s="210"/>
      <c r="X369" s="266" t="str">
        <f t="array" ref="X369:X370">INDEX(DB,$B369,4)</f>
        <v>#REF!</v>
      </c>
      <c r="Y369" s="210"/>
      <c r="Z369" s="285" t="str">
        <f t="shared" si="3"/>
        <v>#REF!</v>
      </c>
      <c r="AA369" s="286" t="str">
        <f>IF($Z369&gt;=1,RANK($Z369,$Z357:$Z372),0)</f>
        <v>#REF!</v>
      </c>
      <c r="AB369" s="287" t="str">
        <f>IF(AA369&lt;=MaxS,INT(Z369),0)</f>
        <v>#REF!</v>
      </c>
      <c r="AC369" s="210"/>
      <c r="AD369" s="285" t="str">
        <f t="shared" si="4"/>
        <v>#REF!</v>
      </c>
      <c r="AE369" s="286" t="str">
        <f>IF($AD369&gt;=1,RANK($AD369,$AD357:$AD372),0)</f>
        <v>#REF!</v>
      </c>
      <c r="AF369" s="287" t="str">
        <f>IF(AE369&lt;=MaxS,INT(AD369),0)</f>
        <v>#REF!</v>
      </c>
      <c r="AG369" s="210"/>
      <c r="AH369" s="210"/>
      <c r="AI369" s="288" t="str">
        <f t="shared" si="5"/>
        <v>#REF!</v>
      </c>
      <c r="AJ369" s="289" t="str">
        <f t="shared" si="6"/>
        <v>#REF!</v>
      </c>
    </row>
    <row r="370" ht="15.0" customHeight="1">
      <c r="A370" s="272"/>
      <c r="B370" s="250">
        <f>IF(OR(ISNA(MATCH(C370&amp;"",AthleteNumbers,0)),ISBLANK(C370)),0,MATCH(C370&amp;"",AthleteNumbers,0))</f>
        <v>0</v>
      </c>
      <c r="C370" s="413"/>
      <c r="D370" s="273" t="str">
        <f t="array" ref="D370">IF($B370&gt;0,INDEX(DB,$B370,8),"")</f>
        <v/>
      </c>
      <c r="E370" s="274" t="str">
        <f t="array" ref="E370">IF($B370&gt;0,INDEX(DB,$B370,3),"")</f>
        <v/>
      </c>
      <c r="F370" s="275">
        <f t="array" ref="F370">IF($B370&gt;0,INDEX(DB,$B370,13),0)</f>
        <v>0</v>
      </c>
      <c r="G370" s="276">
        <f t="array" ref="G370">IF($B370&gt;0,INDEX(DB,$B370,17),0)</f>
        <v>0</v>
      </c>
      <c r="H370" s="277">
        <f t="array" ref="H370">IF($B370&gt;0,INDEX(DB,$B370,15),0)</f>
        <v>0</v>
      </c>
      <c r="I370" s="276">
        <f t="array" ref="I370">IF($B370&gt;0,INDEX(DB,$B370,19),0)</f>
        <v>0</v>
      </c>
      <c r="J370" s="277">
        <f t="array" ref="J370">IF($B370&gt;0,INDEX(DB,$B370,14),0)</f>
        <v>0</v>
      </c>
      <c r="K370" s="276">
        <f t="array" ref="K370">IF($B370&gt;0,INDEX(DB,$B370,18),0)</f>
        <v>0</v>
      </c>
      <c r="L370" s="275">
        <f t="array" ref="L370">IF($B370&gt;0,INDEX(DB,$B370,16),0)</f>
        <v>0</v>
      </c>
      <c r="M370" s="276">
        <f t="array" ref="M370">IF($B370&gt;0,INDEX(DB,$B370,20),0)</f>
        <v>0</v>
      </c>
      <c r="N370" s="278"/>
      <c r="O370" s="279">
        <f t="shared" si="1"/>
        <v>0</v>
      </c>
      <c r="P370" s="280"/>
      <c r="Q370" s="261" t="str">
        <f t="shared" si="2"/>
        <v>#REF!</v>
      </c>
      <c r="R370" s="281" t="str">
        <f>IF($AI370&gt;0,RANK($AI370,BoysPoints),0)</f>
        <v>#REF!</v>
      </c>
      <c r="S370" s="282" t="str">
        <f>IF($AJ370&gt;0,RANK($AJ370,GirlsPoints),0)</f>
        <v>#REF!</v>
      </c>
      <c r="T370" s="283">
        <f>IF($O370&gt;0,RANK(O370,AthletePoints),0)</f>
        <v>0</v>
      </c>
      <c r="U370" s="210"/>
      <c r="V370" s="415" t="str">
        <f>IF(O370&gt;=40,IF(X370="M",VLOOKUP(O370,UKABoysAwards,2),IF(X370="F",VLOOKUP(O370,UKAGirlsAwards,2),"")),"")</f>
        <v/>
      </c>
      <c r="W370" s="210"/>
      <c r="X370" s="266" t="str">
        <f t="array" ref="X370:X371">INDEX(DB,$B370,4)</f>
        <v>#REF!</v>
      </c>
      <c r="Y370" s="210"/>
      <c r="Z370" s="285" t="str">
        <f t="shared" si="3"/>
        <v>#REF!</v>
      </c>
      <c r="AA370" s="286" t="str">
        <f>IF($Z370&gt;=1,RANK($Z370,$Z357:$Z372),0)</f>
        <v>#REF!</v>
      </c>
      <c r="AB370" s="287" t="str">
        <f>IF(AA370&lt;=MaxS,INT(Z370),0)</f>
        <v>#REF!</v>
      </c>
      <c r="AC370" s="210"/>
      <c r="AD370" s="285" t="str">
        <f t="shared" si="4"/>
        <v>#REF!</v>
      </c>
      <c r="AE370" s="286" t="str">
        <f>IF($AD370&gt;=1,RANK($AD370,$AD357:$AD372),0)</f>
        <v>#REF!</v>
      </c>
      <c r="AF370" s="287" t="str">
        <f>IF(AE370&lt;=MaxS,INT(AD370),0)</f>
        <v>#REF!</v>
      </c>
      <c r="AG370" s="210"/>
      <c r="AH370" s="210"/>
      <c r="AI370" s="288" t="str">
        <f t="shared" si="5"/>
        <v>#REF!</v>
      </c>
      <c r="AJ370" s="289" t="str">
        <f t="shared" si="6"/>
        <v>#REF!</v>
      </c>
    </row>
    <row r="371" ht="15.0" customHeight="1">
      <c r="A371" s="272"/>
      <c r="B371" s="250">
        <f>IF(OR(ISNA(MATCH(C371&amp;"",AthleteNumbers,0)),ISBLANK(C371)),0,MATCH(C371&amp;"",AthleteNumbers,0))</f>
        <v>0</v>
      </c>
      <c r="C371" s="413"/>
      <c r="D371" s="273" t="str">
        <f t="array" ref="D371">IF($B371&gt;0,INDEX(DB,$B371,8),"")</f>
        <v/>
      </c>
      <c r="E371" s="274" t="str">
        <f t="array" ref="E371">IF($B371&gt;0,INDEX(DB,$B371,3),"")</f>
        <v/>
      </c>
      <c r="F371" s="275">
        <f t="array" ref="F371">IF($B371&gt;0,INDEX(DB,$B371,13),0)</f>
        <v>0</v>
      </c>
      <c r="G371" s="276">
        <f t="array" ref="G371">IF($B371&gt;0,INDEX(DB,$B371,17),0)</f>
        <v>0</v>
      </c>
      <c r="H371" s="277">
        <f t="array" ref="H371">IF($B371&gt;0,INDEX(DB,$B371,15),0)</f>
        <v>0</v>
      </c>
      <c r="I371" s="276">
        <f t="array" ref="I371">IF($B371&gt;0,INDEX(DB,$B371,19),0)</f>
        <v>0</v>
      </c>
      <c r="J371" s="277">
        <f t="array" ref="J371">IF($B371&gt;0,INDEX(DB,$B371,14),0)</f>
        <v>0</v>
      </c>
      <c r="K371" s="276">
        <f t="array" ref="K371">IF($B371&gt;0,INDEX(DB,$B371,18),0)</f>
        <v>0</v>
      </c>
      <c r="L371" s="275">
        <f t="array" ref="L371">IF($B371&gt;0,INDEX(DB,$B371,16),0)</f>
        <v>0</v>
      </c>
      <c r="M371" s="276">
        <f t="array" ref="M371">IF($B371&gt;0,INDEX(DB,$B371,20),0)</f>
        <v>0</v>
      </c>
      <c r="N371" s="278"/>
      <c r="O371" s="279">
        <f t="shared" si="1"/>
        <v>0</v>
      </c>
      <c r="P371" s="280"/>
      <c r="Q371" s="261" t="str">
        <f t="shared" si="2"/>
        <v>#REF!</v>
      </c>
      <c r="R371" s="290" t="str">
        <f>IF($AI371&gt;0,RANK($AI371,BoysPoints),0)</f>
        <v>#REF!</v>
      </c>
      <c r="S371" s="291" t="str">
        <f>IF($AJ371&gt;0,RANK($AJ371,GirlsPoints),0)</f>
        <v>#REF!</v>
      </c>
      <c r="T371" s="292">
        <f>IF($O371&gt;0,RANK(O371,AthletePoints),0)</f>
        <v>0</v>
      </c>
      <c r="U371" s="210"/>
      <c r="V371" s="330" t="str">
        <f>IF(O371&gt;=40,IF(X371="M",VLOOKUP(O371,UKABoysAwards,2),IF(X371="F",VLOOKUP(O371,UKAGirlsAwards,2),"")),"")</f>
        <v/>
      </c>
      <c r="W371" s="210"/>
      <c r="X371" s="266" t="str">
        <f t="array" ref="X371:X372">INDEX(DB,$B371,4)</f>
        <v>#REF!</v>
      </c>
      <c r="Y371" s="210"/>
      <c r="Z371" s="285" t="str">
        <f t="shared" si="3"/>
        <v>#REF!</v>
      </c>
      <c r="AA371" s="286" t="str">
        <f>IF($Z371&gt;=1,RANK($Z371,$Z357:$Z372),0)</f>
        <v>#REF!</v>
      </c>
      <c r="AB371" s="287" t="str">
        <f>IF(AA371&lt;=MaxS,INT(Z371),0)</f>
        <v>#REF!</v>
      </c>
      <c r="AC371" s="210"/>
      <c r="AD371" s="285" t="str">
        <f t="shared" si="4"/>
        <v>#REF!</v>
      </c>
      <c r="AE371" s="286" t="str">
        <f>IF($AD371&gt;=1,RANK($AD371,$AD357:$AD372),0)</f>
        <v>#REF!</v>
      </c>
      <c r="AF371" s="287" t="str">
        <f>IF(AE371&lt;=MaxS,INT(AD371),0)</f>
        <v>#REF!</v>
      </c>
      <c r="AG371" s="210"/>
      <c r="AH371" s="210"/>
      <c r="AI371" s="288" t="str">
        <f t="shared" si="5"/>
        <v>#REF!</v>
      </c>
      <c r="AJ371" s="289" t="str">
        <f t="shared" si="6"/>
        <v>#REF!</v>
      </c>
    </row>
    <row r="372" ht="15.0" customHeight="1">
      <c r="A372" s="305"/>
      <c r="B372" s="250">
        <f>IF(OR(ISNA(MATCH(C372&amp;"",AthleteNumbers,0)),ISBLANK(C372)),0,MATCH(C372&amp;"",AthleteNumbers,0))</f>
        <v>0</v>
      </c>
      <c r="C372" s="443"/>
      <c r="D372" s="306" t="str">
        <f t="array" ref="D372">IF($B372&gt;0,INDEX(DB,$B372,8),"")</f>
        <v/>
      </c>
      <c r="E372" s="307" t="str">
        <f t="array" ref="E372">IF($B372&gt;0,INDEX(DB,$B372,3),"")</f>
        <v/>
      </c>
      <c r="F372" s="308">
        <f t="array" ref="F372">IF($B372&gt;0,INDEX(DB,$B372,13),0)</f>
        <v>0</v>
      </c>
      <c r="G372" s="309">
        <f t="array" ref="G372">IF($B372&gt;0,INDEX(DB,$B372,17),0)</f>
        <v>0</v>
      </c>
      <c r="H372" s="310">
        <f t="array" ref="H372">IF($B372&gt;0,INDEX(DB,$B372,15),0)</f>
        <v>0</v>
      </c>
      <c r="I372" s="309">
        <f t="array" ref="I372">IF($B372&gt;0,INDEX(DB,$B372,19),0)</f>
        <v>0</v>
      </c>
      <c r="J372" s="310">
        <f t="array" ref="J372">IF($B372&gt;0,INDEX(DB,$B372,14),0)</f>
        <v>0</v>
      </c>
      <c r="K372" s="309">
        <f t="array" ref="K372">IF($B372&gt;0,INDEX(DB,$B372,18),0)</f>
        <v>0</v>
      </c>
      <c r="L372" s="308">
        <f t="array" ref="L372">IF($B372&gt;0,INDEX(DB,$B372,16),0)</f>
        <v>0</v>
      </c>
      <c r="M372" s="309">
        <f t="array" ref="M372">IF($B372&gt;0,INDEX(DB,$B372,20),0)</f>
        <v>0</v>
      </c>
      <c r="N372" s="25"/>
      <c r="O372" s="311">
        <f t="shared" si="1"/>
        <v>0</v>
      </c>
      <c r="P372" s="31"/>
      <c r="Q372" s="261" t="str">
        <f t="shared" si="2"/>
        <v>#REF!</v>
      </c>
      <c r="R372" s="312" t="str">
        <f>IF($AI372&gt;0,RANK($AI372,BoysPoints),0)</f>
        <v>#REF!</v>
      </c>
      <c r="S372" s="313" t="str">
        <f>IF($AJ372&gt;0,RANK($AJ372,GirlsPoints),0)</f>
        <v>#REF!</v>
      </c>
      <c r="T372" s="314">
        <f>IF($O372&gt;0,RANK(O372,AthletePoints),0)</f>
        <v>0</v>
      </c>
      <c r="U372" s="210"/>
      <c r="V372" s="444" t="str">
        <f>IF(O372&gt;=40,IF(X372="M",VLOOKUP(O372,UKABoysAwards,2),IF(X372="F",VLOOKUP(O372,UKAGirlsAwards,2),"")),"")</f>
        <v/>
      </c>
      <c r="W372" s="210"/>
      <c r="X372" s="266" t="str">
        <f t="array" ref="X372:X373">INDEX(DB,$B372,4)</f>
        <v>#REF!</v>
      </c>
      <c r="Y372" s="210"/>
      <c r="Z372" s="316" t="str">
        <f t="shared" si="3"/>
        <v>#REF!</v>
      </c>
      <c r="AA372" s="243" t="str">
        <f>IF($Z372&gt;=1,RANK($Z372,$Z357:$Z372),0)</f>
        <v>#REF!</v>
      </c>
      <c r="AB372" s="245" t="str">
        <f>IF(AA372&lt;=MaxS,INT(Z372),0)</f>
        <v>#REF!</v>
      </c>
      <c r="AC372" s="210" t="str">
        <f>SUM(AB357:AB372)</f>
        <v>#REF!</v>
      </c>
      <c r="AD372" s="316" t="str">
        <f t="shared" si="4"/>
        <v>#REF!</v>
      </c>
      <c r="AE372" s="243" t="str">
        <f>IF($AD372&gt;=1,RANK($AD372,$AD357:$AD372),0)</f>
        <v>#REF!</v>
      </c>
      <c r="AF372" s="245" t="str">
        <f>IF(AE372&lt;=MaxS,INT(AD372),0)</f>
        <v>#REF!</v>
      </c>
      <c r="AG372" s="210" t="str">
        <f>SUM(AF357:AF372)</f>
        <v>#REF!</v>
      </c>
      <c r="AH372" s="210"/>
      <c r="AI372" s="246" t="str">
        <f t="shared" si="5"/>
        <v>#REF!</v>
      </c>
      <c r="AJ372" s="247" t="str">
        <f t="shared" si="6"/>
        <v>#REF!</v>
      </c>
    </row>
    <row r="373" ht="15.0" customHeight="1">
      <c r="A373" s="248"/>
      <c r="B373" s="250">
        <f>IF(OR(ISNA(MATCH(C373&amp;"",AthleteNumbers,0)),ISBLANK(C373)),0,MATCH(C373&amp;"",AthleteNumbers,0))</f>
        <v>0</v>
      </c>
      <c r="C373" s="251"/>
      <c r="D373" s="252" t="str">
        <f t="array" ref="D373">IF($B373&gt;0,INDEX(DB,$B373,8),"")</f>
        <v/>
      </c>
      <c r="E373" s="253" t="str">
        <f t="array" ref="E373">IF($B373&gt;0,INDEX(DB,$B373,3),"")</f>
        <v/>
      </c>
      <c r="F373" s="254">
        <f t="array" ref="F373">IF($B373&gt;0,INDEX(DB,$B373,13),0)</f>
        <v>0</v>
      </c>
      <c r="G373" s="255">
        <f t="array" ref="G373">IF($B373&gt;0,INDEX(DB,$B373,17),0)</f>
        <v>0</v>
      </c>
      <c r="H373" s="257">
        <f t="array" ref="H373">IF($B373&gt;0,INDEX(DB,$B373,15),0)</f>
        <v>0</v>
      </c>
      <c r="I373" s="255">
        <f t="array" ref="I373">IF($B373&gt;0,INDEX(DB,$B373,19),0)</f>
        <v>0</v>
      </c>
      <c r="J373" s="257">
        <f t="array" ref="J373">IF($B373&gt;0,INDEX(DB,$B373,14),0)</f>
        <v>0</v>
      </c>
      <c r="K373" s="255">
        <f t="array" ref="K373">IF($B373&gt;0,INDEX(DB,$B373,18),0)</f>
        <v>0</v>
      </c>
      <c r="L373" s="254">
        <f t="array" ref="L373">IF($B373&gt;0,INDEX(DB,$B373,16),0)</f>
        <v>0</v>
      </c>
      <c r="M373" s="255">
        <f t="array" ref="M373">IF($B373&gt;0,INDEX(DB,$B373,20),0)</f>
        <v>0</v>
      </c>
      <c r="N373" s="258" t="str">
        <f t="array" ref="N373:N389">INDEX(RelayPoints,A388)</f>
        <v>#REF!</v>
      </c>
      <c r="O373" s="259">
        <f t="shared" si="1"/>
        <v>0</v>
      </c>
      <c r="P373" s="260" t="str">
        <f>+AC388+AG388+N373</f>
        <v>#REF!</v>
      </c>
      <c r="Q373" s="261" t="str">
        <f t="shared" si="2"/>
        <v>#REF!</v>
      </c>
      <c r="R373" s="262" t="str">
        <f>IF($AI373&gt;0,RANK($AI373,BoysPoints),0)</f>
        <v>#REF!</v>
      </c>
      <c r="S373" s="263" t="str">
        <f>IF($AJ373&gt;0,RANK($AJ373,GirlsPoints),0)</f>
        <v>#REF!</v>
      </c>
      <c r="T373" s="264">
        <f>IF($O373&gt;0,RANK(O373,AthletePoints),0)</f>
        <v>0</v>
      </c>
      <c r="U373" s="210"/>
      <c r="V373" s="317" t="str">
        <f>IF(O373&gt;=40,IF(X373="M",VLOOKUP(O373,UKABoysAwards,2),IF(X373="F",VLOOKUP(O373,UKAGirlsAwards,2),"")),"")</f>
        <v/>
      </c>
      <c r="W373" s="210"/>
      <c r="X373" s="266" t="str">
        <f t="array" ref="X373:X374">INDEX(DB,$B373,4)</f>
        <v>#REF!</v>
      </c>
      <c r="Y373" s="210"/>
      <c r="Z373" s="267" t="str">
        <f t="shared" si="3"/>
        <v>#REF!</v>
      </c>
      <c r="AA373" s="268" t="str">
        <f>IF($Z373&gt;=1,RANK($Z373,$Z373:$Z388),0)</f>
        <v>#REF!</v>
      </c>
      <c r="AB373" s="269" t="str">
        <f>IF(AA373&lt;=MaxS,INT(Z373),0)</f>
        <v>#REF!</v>
      </c>
      <c r="AC373" s="210"/>
      <c r="AD373" s="267" t="str">
        <f t="shared" si="4"/>
        <v>#REF!</v>
      </c>
      <c r="AE373" s="268" t="str">
        <f>IF($AD373&gt;=1,RANK($AD373,$AD373:$AD388),0)</f>
        <v>#REF!</v>
      </c>
      <c r="AF373" s="269" t="str">
        <f>IF(AE373&lt;=MaxS,INT(AD373),0)</f>
        <v>#REF!</v>
      </c>
      <c r="AG373" s="210"/>
      <c r="AH373" s="210"/>
      <c r="AI373" s="288" t="str">
        <f t="shared" si="5"/>
        <v>#REF!</v>
      </c>
      <c r="AJ373" s="289" t="str">
        <f t="shared" si="6"/>
        <v>#REF!</v>
      </c>
    </row>
    <row r="374" ht="15.0" customHeight="1">
      <c r="A374" s="272"/>
      <c r="B374" s="250">
        <f>IF(OR(ISNA(MATCH(C374&amp;"",AthleteNumbers,0)),ISBLANK(C374)),0,MATCH(C374&amp;"",AthleteNumbers,0))</f>
        <v>0</v>
      </c>
      <c r="C374" s="413"/>
      <c r="D374" s="273" t="str">
        <f t="array" ref="D374">IF($B374&gt;0,INDEX(DB,$B374,8),"")</f>
        <v/>
      </c>
      <c r="E374" s="274" t="str">
        <f t="array" ref="E374">IF($B374&gt;0,INDEX(DB,$B374,3),"")</f>
        <v/>
      </c>
      <c r="F374" s="275">
        <f t="array" ref="F374">IF($B374&gt;0,INDEX(DB,$B374,13),0)</f>
        <v>0</v>
      </c>
      <c r="G374" s="276">
        <f t="array" ref="G374">IF($B374&gt;0,INDEX(DB,$B374,17),0)</f>
        <v>0</v>
      </c>
      <c r="H374" s="277">
        <f t="array" ref="H374">IF($B374&gt;0,INDEX(DB,$B374,15),0)</f>
        <v>0</v>
      </c>
      <c r="I374" s="276">
        <f t="array" ref="I374">IF($B374&gt;0,INDEX(DB,$B374,19),0)</f>
        <v>0</v>
      </c>
      <c r="J374" s="277">
        <f t="array" ref="J374">IF($B374&gt;0,INDEX(DB,$B374,14),0)</f>
        <v>0</v>
      </c>
      <c r="K374" s="276">
        <f t="array" ref="K374">IF($B374&gt;0,INDEX(DB,$B374,18),0)</f>
        <v>0</v>
      </c>
      <c r="L374" s="275">
        <f t="array" ref="L374">IF($B374&gt;0,INDEX(DB,$B374,16),0)</f>
        <v>0</v>
      </c>
      <c r="M374" s="276">
        <f t="array" ref="M374">IF($B374&gt;0,INDEX(DB,$B374,20),0)</f>
        <v>0</v>
      </c>
      <c r="N374" s="278"/>
      <c r="O374" s="279">
        <f t="shared" si="1"/>
        <v>0</v>
      </c>
      <c r="P374" s="280"/>
      <c r="Q374" s="261" t="str">
        <f t="shared" si="2"/>
        <v>#REF!</v>
      </c>
      <c r="R374" s="281" t="str">
        <f>IF($AI374&gt;0,RANK($AI374,BoysPoints),0)</f>
        <v>#REF!</v>
      </c>
      <c r="S374" s="282" t="str">
        <f>IF($AJ374&gt;0,RANK($AJ374,GirlsPoints),0)</f>
        <v>#REF!</v>
      </c>
      <c r="T374" s="283">
        <f>IF($O374&gt;0,RANK(O374,AthletePoints),0)</f>
        <v>0</v>
      </c>
      <c r="U374" s="210"/>
      <c r="V374" s="415" t="str">
        <f>IF(O374&gt;=40,IF(X374="M",VLOOKUP(O374,UKABoysAwards,2),IF(X374="F",VLOOKUP(O374,UKAGirlsAwards,2),"")),"")</f>
        <v/>
      </c>
      <c r="W374" s="210"/>
      <c r="X374" s="266" t="str">
        <f t="array" ref="X374:X375">INDEX(DB,$B374,4)</f>
        <v>#REF!</v>
      </c>
      <c r="Y374" s="210"/>
      <c r="Z374" s="285" t="str">
        <f t="shared" si="3"/>
        <v>#REF!</v>
      </c>
      <c r="AA374" s="286" t="str">
        <f>IF($Z374&gt;=1,RANK($Z374,$Z373:$Z388),0)</f>
        <v>#REF!</v>
      </c>
      <c r="AB374" s="287" t="str">
        <f>IF(AA374&lt;=MaxS,INT(Z374),0)</f>
        <v>#REF!</v>
      </c>
      <c r="AC374" s="210"/>
      <c r="AD374" s="285" t="str">
        <f t="shared" si="4"/>
        <v>#REF!</v>
      </c>
      <c r="AE374" s="286" t="str">
        <f>IF($AD374&gt;=1,RANK($AD374,$AD373:$AD388),0)</f>
        <v>#REF!</v>
      </c>
      <c r="AF374" s="287" t="str">
        <f>IF(AE374&lt;=MaxS,INT(AD374),0)</f>
        <v>#REF!</v>
      </c>
      <c r="AG374" s="210"/>
      <c r="AH374" s="210"/>
      <c r="AI374" s="288" t="str">
        <f t="shared" si="5"/>
        <v>#REF!</v>
      </c>
      <c r="AJ374" s="289" t="str">
        <f t="shared" si="6"/>
        <v>#REF!</v>
      </c>
    </row>
    <row r="375" ht="15.0" customHeight="1">
      <c r="A375" s="272"/>
      <c r="B375" s="250">
        <f>IF(OR(ISNA(MATCH(C375&amp;"",AthleteNumbers,0)),ISBLANK(C375)),0,MATCH(C375&amp;"",AthleteNumbers,0))</f>
        <v>0</v>
      </c>
      <c r="C375" s="413"/>
      <c r="D375" s="273" t="str">
        <f t="array" ref="D375">IF($B375&gt;0,INDEX(DB,$B375,8),"")</f>
        <v/>
      </c>
      <c r="E375" s="274" t="str">
        <f t="array" ref="E375">IF($B375&gt;0,INDEX(DB,$B375,3),"")</f>
        <v/>
      </c>
      <c r="F375" s="275">
        <f t="array" ref="F375">IF($B375&gt;0,INDEX(DB,$B375,13),0)</f>
        <v>0</v>
      </c>
      <c r="G375" s="276">
        <f t="array" ref="G375">IF($B375&gt;0,INDEX(DB,$B375,17),0)</f>
        <v>0</v>
      </c>
      <c r="H375" s="277">
        <f t="array" ref="H375">IF($B375&gt;0,INDEX(DB,$B375,15),0)</f>
        <v>0</v>
      </c>
      <c r="I375" s="276">
        <f t="array" ref="I375">IF($B375&gt;0,INDEX(DB,$B375,19),0)</f>
        <v>0</v>
      </c>
      <c r="J375" s="277">
        <f t="array" ref="J375">IF($B375&gt;0,INDEX(DB,$B375,14),0)</f>
        <v>0</v>
      </c>
      <c r="K375" s="276">
        <f t="array" ref="K375">IF($B375&gt;0,INDEX(DB,$B375,18),0)</f>
        <v>0</v>
      </c>
      <c r="L375" s="275">
        <f t="array" ref="L375">IF($B375&gt;0,INDEX(DB,$B375,16),0)</f>
        <v>0</v>
      </c>
      <c r="M375" s="276">
        <f t="array" ref="M375">IF($B375&gt;0,INDEX(DB,$B375,20),0)</f>
        <v>0</v>
      </c>
      <c r="N375" s="278"/>
      <c r="O375" s="279">
        <f t="shared" si="1"/>
        <v>0</v>
      </c>
      <c r="P375" s="280"/>
      <c r="Q375" s="261" t="str">
        <f t="shared" si="2"/>
        <v>#REF!</v>
      </c>
      <c r="R375" s="290" t="str">
        <f>IF($AI375&gt;0,RANK($AI375,BoysPoints),0)</f>
        <v>#REF!</v>
      </c>
      <c r="S375" s="291" t="str">
        <f>IF($AJ375&gt;0,RANK($AJ375,GirlsPoints),0)</f>
        <v>#REF!</v>
      </c>
      <c r="T375" s="292">
        <f>IF($O375&gt;0,RANK(O375,AthletePoints),0)</f>
        <v>0</v>
      </c>
      <c r="U375" s="210"/>
      <c r="V375" s="330" t="str">
        <f>IF(O375&gt;=40,IF(X375="M",VLOOKUP(O375,UKABoysAwards,2),IF(X375="F",VLOOKUP(O375,UKAGirlsAwards,2),"")),"")</f>
        <v/>
      </c>
      <c r="W375" s="210"/>
      <c r="X375" s="266" t="str">
        <f t="array" ref="X375:X376">INDEX(DB,$B375,4)</f>
        <v>#REF!</v>
      </c>
      <c r="Y375" s="210"/>
      <c r="Z375" s="285" t="str">
        <f t="shared" si="3"/>
        <v>#REF!</v>
      </c>
      <c r="AA375" s="286" t="str">
        <f>IF($Z375&gt;=1,RANK($Z375,$Z373:$Z388),0)</f>
        <v>#REF!</v>
      </c>
      <c r="AB375" s="287" t="str">
        <f>IF(AA375&lt;=MaxS,INT(Z375),0)</f>
        <v>#REF!</v>
      </c>
      <c r="AC375" s="210"/>
      <c r="AD375" s="285" t="str">
        <f t="shared" si="4"/>
        <v>#REF!</v>
      </c>
      <c r="AE375" s="286" t="str">
        <f>IF($AD375&gt;=1,RANK($AD375,$AD373:$AD388),0)</f>
        <v>#REF!</v>
      </c>
      <c r="AF375" s="287" t="str">
        <f>IF(AE375&lt;=MaxS,INT(AD375),0)</f>
        <v>#REF!</v>
      </c>
      <c r="AG375" s="210"/>
      <c r="AH375" s="210"/>
      <c r="AI375" s="288" t="str">
        <f t="shared" si="5"/>
        <v>#REF!</v>
      </c>
      <c r="AJ375" s="289" t="str">
        <f t="shared" si="6"/>
        <v>#REF!</v>
      </c>
    </row>
    <row r="376" ht="15.0" customHeight="1">
      <c r="A376" s="272"/>
      <c r="B376" s="250">
        <f>IF(OR(ISNA(MATCH(C376&amp;"",AthleteNumbers,0)),ISBLANK(C376)),0,MATCH(C376&amp;"",AthleteNumbers,0))</f>
        <v>0</v>
      </c>
      <c r="C376" s="413"/>
      <c r="D376" s="273" t="str">
        <f t="array" ref="D376">IF($B376&gt;0,INDEX(DB,$B376,8),"")</f>
        <v/>
      </c>
      <c r="E376" s="274" t="str">
        <f t="array" ref="E376">IF($B376&gt;0,INDEX(DB,$B376,3),"")</f>
        <v/>
      </c>
      <c r="F376" s="275">
        <f t="array" ref="F376">IF($B376&gt;0,INDEX(DB,$B376,13),0)</f>
        <v>0</v>
      </c>
      <c r="G376" s="276">
        <f t="array" ref="G376">IF($B376&gt;0,INDEX(DB,$B376,17),0)</f>
        <v>0</v>
      </c>
      <c r="H376" s="277">
        <f t="array" ref="H376">IF($B376&gt;0,INDEX(DB,$B376,15),0)</f>
        <v>0</v>
      </c>
      <c r="I376" s="276">
        <f t="array" ref="I376">IF($B376&gt;0,INDEX(DB,$B376,19),0)</f>
        <v>0</v>
      </c>
      <c r="J376" s="277">
        <f t="array" ref="J376">IF($B376&gt;0,INDEX(DB,$B376,14),0)</f>
        <v>0</v>
      </c>
      <c r="K376" s="276">
        <f t="array" ref="K376">IF($B376&gt;0,INDEX(DB,$B376,18),0)</f>
        <v>0</v>
      </c>
      <c r="L376" s="275">
        <f t="array" ref="L376">IF($B376&gt;0,INDEX(DB,$B376,16),0)</f>
        <v>0</v>
      </c>
      <c r="M376" s="276">
        <f t="array" ref="M376">IF($B376&gt;0,INDEX(DB,$B376,20),0)</f>
        <v>0</v>
      </c>
      <c r="N376" s="278"/>
      <c r="O376" s="279">
        <f t="shared" si="1"/>
        <v>0</v>
      </c>
      <c r="P376" s="280"/>
      <c r="Q376" s="261" t="str">
        <f t="shared" si="2"/>
        <v>#REF!</v>
      </c>
      <c r="R376" s="281" t="str">
        <f>IF($AI376&gt;0,RANK($AI376,BoysPoints),0)</f>
        <v>#REF!</v>
      </c>
      <c r="S376" s="282" t="str">
        <f>IF($AJ376&gt;0,RANK($AJ376,GirlsPoints),0)</f>
        <v>#REF!</v>
      </c>
      <c r="T376" s="283">
        <f>IF($O376&gt;0,RANK(O376,AthletePoints),0)</f>
        <v>0</v>
      </c>
      <c r="U376" s="210"/>
      <c r="V376" s="415" t="str">
        <f>IF(O376&gt;=40,IF(X376="M",VLOOKUP(O376,UKABoysAwards,2),IF(X376="F",VLOOKUP(O376,UKAGirlsAwards,2),"")),"")</f>
        <v/>
      </c>
      <c r="W376" s="210"/>
      <c r="X376" s="266" t="str">
        <f t="array" ref="X376:X377">INDEX(DB,$B376,4)</f>
        <v>#REF!</v>
      </c>
      <c r="Y376" s="210"/>
      <c r="Z376" s="285" t="str">
        <f t="shared" si="3"/>
        <v>#REF!</v>
      </c>
      <c r="AA376" s="286" t="str">
        <f>IF($Z376&gt;=1,RANK($Z376,$Z373:$Z388),0)</f>
        <v>#REF!</v>
      </c>
      <c r="AB376" s="287" t="str">
        <f>IF(AA376&lt;=MaxS,INT(Z376),0)</f>
        <v>#REF!</v>
      </c>
      <c r="AC376" s="210"/>
      <c r="AD376" s="285" t="str">
        <f t="shared" si="4"/>
        <v>#REF!</v>
      </c>
      <c r="AE376" s="286" t="str">
        <f>IF($AD376&gt;=1,RANK($AD376,$AD373:$AD388),0)</f>
        <v>#REF!</v>
      </c>
      <c r="AF376" s="287" t="str">
        <f>IF(AE376&lt;=MaxS,INT(AD376),0)</f>
        <v>#REF!</v>
      </c>
      <c r="AG376" s="210"/>
      <c r="AH376" s="210"/>
      <c r="AI376" s="288" t="str">
        <f t="shared" si="5"/>
        <v>#REF!</v>
      </c>
      <c r="AJ376" s="289" t="str">
        <f t="shared" si="6"/>
        <v>#REF!</v>
      </c>
    </row>
    <row r="377" ht="15.0" customHeight="1">
      <c r="A377" s="272"/>
      <c r="B377" s="250">
        <f>IF(OR(ISNA(MATCH(C377&amp;"",AthleteNumbers,0)),ISBLANK(C377)),0,MATCH(C377&amp;"",AthleteNumbers,0))</f>
        <v>0</v>
      </c>
      <c r="C377" s="413"/>
      <c r="D377" s="273" t="str">
        <f t="array" ref="D377">IF($B377&gt;0,INDEX(DB,$B377,8),"")</f>
        <v/>
      </c>
      <c r="E377" s="274" t="str">
        <f t="array" ref="E377">IF($B377&gt;0,INDEX(DB,$B377,3),"")</f>
        <v/>
      </c>
      <c r="F377" s="275">
        <f t="array" ref="F377">IF($B377&gt;0,INDEX(DB,$B377,13),0)</f>
        <v>0</v>
      </c>
      <c r="G377" s="276">
        <f t="array" ref="G377">IF($B377&gt;0,INDEX(DB,$B377,17),0)</f>
        <v>0</v>
      </c>
      <c r="H377" s="277">
        <f t="array" ref="H377">IF($B377&gt;0,INDEX(DB,$B377,15),0)</f>
        <v>0</v>
      </c>
      <c r="I377" s="276">
        <f t="array" ref="I377">IF($B377&gt;0,INDEX(DB,$B377,19),0)</f>
        <v>0</v>
      </c>
      <c r="J377" s="277">
        <f t="array" ref="J377">IF($B377&gt;0,INDEX(DB,$B377,14),0)</f>
        <v>0</v>
      </c>
      <c r="K377" s="276">
        <f t="array" ref="K377">IF($B377&gt;0,INDEX(DB,$B377,18),0)</f>
        <v>0</v>
      </c>
      <c r="L377" s="275">
        <f t="array" ref="L377">IF($B377&gt;0,INDEX(DB,$B377,16),0)</f>
        <v>0</v>
      </c>
      <c r="M377" s="276">
        <f t="array" ref="M377">IF($B377&gt;0,INDEX(DB,$B377,20),0)</f>
        <v>0</v>
      </c>
      <c r="N377" s="278"/>
      <c r="O377" s="279">
        <f t="shared" si="1"/>
        <v>0</v>
      </c>
      <c r="P377" s="280"/>
      <c r="Q377" s="261" t="str">
        <f t="shared" si="2"/>
        <v>#REF!</v>
      </c>
      <c r="R377" s="290" t="str">
        <f>IF($AI377&gt;0,RANK($AI377,BoysPoints),0)</f>
        <v>#REF!</v>
      </c>
      <c r="S377" s="291" t="str">
        <f>IF($AJ377&gt;0,RANK($AJ377,GirlsPoints),0)</f>
        <v>#REF!</v>
      </c>
      <c r="T377" s="292">
        <f>IF($O377&gt;0,RANK(O377,AthletePoints),0)</f>
        <v>0</v>
      </c>
      <c r="U377" s="210"/>
      <c r="V377" s="330" t="str">
        <f>IF(O377&gt;=40,IF(X377="M",VLOOKUP(O377,UKABoysAwards,2),IF(X377="F",VLOOKUP(O377,UKAGirlsAwards,2),"")),"")</f>
        <v/>
      </c>
      <c r="W377" s="210"/>
      <c r="X377" s="266" t="str">
        <f t="array" ref="X377:X378">INDEX(DB,$B377,4)</f>
        <v>#REF!</v>
      </c>
      <c r="Y377" s="210"/>
      <c r="Z377" s="285" t="str">
        <f t="shared" si="3"/>
        <v>#REF!</v>
      </c>
      <c r="AA377" s="286" t="str">
        <f>IF($Z377&gt;=1,RANK($Z377,$Z373:$Z388),0)</f>
        <v>#REF!</v>
      </c>
      <c r="AB377" s="287" t="str">
        <f>IF(AA377&lt;=MaxS,INT(Z377),0)</f>
        <v>#REF!</v>
      </c>
      <c r="AC377" s="210"/>
      <c r="AD377" s="285" t="str">
        <f t="shared" si="4"/>
        <v>#REF!</v>
      </c>
      <c r="AE377" s="286" t="str">
        <f>IF($AD377&gt;=1,RANK($AD377,$AD373:$AD388),0)</f>
        <v>#REF!</v>
      </c>
      <c r="AF377" s="287" t="str">
        <f>IF(AE377&lt;=MaxS,INT(AD377),0)</f>
        <v>#REF!</v>
      </c>
      <c r="AG377" s="210"/>
      <c r="AH377" s="210"/>
      <c r="AI377" s="288" t="str">
        <f t="shared" si="5"/>
        <v>#REF!</v>
      </c>
      <c r="AJ377" s="289" t="str">
        <f t="shared" si="6"/>
        <v>#REF!</v>
      </c>
    </row>
    <row r="378" ht="15.0" customHeight="1">
      <c r="A378" s="272"/>
      <c r="B378" s="250">
        <f>IF(OR(ISNA(MATCH(C378&amp;"",AthleteNumbers,0)),ISBLANK(C378)),0,MATCH(C378&amp;"",AthleteNumbers,0))</f>
        <v>0</v>
      </c>
      <c r="C378" s="413"/>
      <c r="D378" s="273" t="str">
        <f t="array" ref="D378">IF($B378&gt;0,INDEX(DB,$B378,8),"")</f>
        <v/>
      </c>
      <c r="E378" s="274" t="str">
        <f t="array" ref="E378">IF($B378&gt;0,INDEX(DB,$B378,3),"")</f>
        <v/>
      </c>
      <c r="F378" s="275">
        <f t="array" ref="F378">IF($B378&gt;0,INDEX(DB,$B378,13),0)</f>
        <v>0</v>
      </c>
      <c r="G378" s="276">
        <f t="array" ref="G378">IF($B378&gt;0,INDEX(DB,$B378,17),0)</f>
        <v>0</v>
      </c>
      <c r="H378" s="277">
        <f t="array" ref="H378">IF($B378&gt;0,INDEX(DB,$B378,15),0)</f>
        <v>0</v>
      </c>
      <c r="I378" s="276">
        <f t="array" ref="I378">IF($B378&gt;0,INDEX(DB,$B378,19),0)</f>
        <v>0</v>
      </c>
      <c r="J378" s="277">
        <f t="array" ref="J378">IF($B378&gt;0,INDEX(DB,$B378,14),0)</f>
        <v>0</v>
      </c>
      <c r="K378" s="276">
        <f t="array" ref="K378">IF($B378&gt;0,INDEX(DB,$B378,18),0)</f>
        <v>0</v>
      </c>
      <c r="L378" s="275">
        <f t="array" ref="L378">IF($B378&gt;0,INDEX(DB,$B378,16),0)</f>
        <v>0</v>
      </c>
      <c r="M378" s="276">
        <f t="array" ref="M378">IF($B378&gt;0,INDEX(DB,$B378,20),0)</f>
        <v>0</v>
      </c>
      <c r="N378" s="278"/>
      <c r="O378" s="279">
        <f t="shared" si="1"/>
        <v>0</v>
      </c>
      <c r="P378" s="280"/>
      <c r="Q378" s="261" t="str">
        <f t="shared" si="2"/>
        <v>#REF!</v>
      </c>
      <c r="R378" s="281" t="str">
        <f>IF($AI378&gt;0,RANK($AI378,BoysPoints),0)</f>
        <v>#REF!</v>
      </c>
      <c r="S378" s="282" t="str">
        <f>IF($AJ378&gt;0,RANK($AJ378,GirlsPoints),0)</f>
        <v>#REF!</v>
      </c>
      <c r="T378" s="283">
        <f>IF($O378&gt;0,RANK(O378,AthletePoints),0)</f>
        <v>0</v>
      </c>
      <c r="U378" s="210"/>
      <c r="V378" s="415" t="str">
        <f>IF(O378&gt;=40,IF(X378="M",VLOOKUP(O378,UKABoysAwards,2),IF(X378="F",VLOOKUP(O378,UKAGirlsAwards,2),"")),"")</f>
        <v/>
      </c>
      <c r="W378" s="210"/>
      <c r="X378" s="266" t="str">
        <f t="array" ref="X378:X379">INDEX(DB,$B378,4)</f>
        <v>#REF!</v>
      </c>
      <c r="Y378" s="210"/>
      <c r="Z378" s="285" t="str">
        <f t="shared" si="3"/>
        <v>#REF!</v>
      </c>
      <c r="AA378" s="286" t="str">
        <f>IF($Z378&gt;=1,RANK($Z378,$Z373:$Z388),0)</f>
        <v>#REF!</v>
      </c>
      <c r="AB378" s="287" t="str">
        <f>IF(AA378&lt;=MaxS,INT(Z378),0)</f>
        <v>#REF!</v>
      </c>
      <c r="AC378" s="210"/>
      <c r="AD378" s="285" t="str">
        <f t="shared" si="4"/>
        <v>#REF!</v>
      </c>
      <c r="AE378" s="286" t="str">
        <f>IF($AD378&gt;=1,RANK($AD378,$AD373:$AD388),0)</f>
        <v>#REF!</v>
      </c>
      <c r="AF378" s="287" t="str">
        <f>IF(AE378&lt;=MaxS,INT(AD378),0)</f>
        <v>#REF!</v>
      </c>
      <c r="AG378" s="210"/>
      <c r="AH378" s="210"/>
      <c r="AI378" s="288" t="str">
        <f t="shared" si="5"/>
        <v>#REF!</v>
      </c>
      <c r="AJ378" s="289" t="str">
        <f t="shared" si="6"/>
        <v>#REF!</v>
      </c>
    </row>
    <row r="379" ht="15.0" customHeight="1">
      <c r="A379" s="272"/>
      <c r="B379" s="250">
        <f>IF(OR(ISNA(MATCH(C379&amp;"",AthleteNumbers,0)),ISBLANK(C379)),0,MATCH(C379&amp;"",AthleteNumbers,0))</f>
        <v>0</v>
      </c>
      <c r="C379" s="413"/>
      <c r="D379" s="273" t="str">
        <f t="array" ref="D379">IF($B379&gt;0,INDEX(DB,$B379,8),"")</f>
        <v/>
      </c>
      <c r="E379" s="274" t="str">
        <f t="array" ref="E379">IF($B379&gt;0,INDEX(DB,$B379,3),"")</f>
        <v/>
      </c>
      <c r="F379" s="275">
        <f t="array" ref="F379">IF($B379&gt;0,INDEX(DB,$B379,13),0)</f>
        <v>0</v>
      </c>
      <c r="G379" s="276">
        <f t="array" ref="G379">IF($B379&gt;0,INDEX(DB,$B379,17),0)</f>
        <v>0</v>
      </c>
      <c r="H379" s="277">
        <f t="array" ref="H379">IF($B379&gt;0,INDEX(DB,$B379,15),0)</f>
        <v>0</v>
      </c>
      <c r="I379" s="276">
        <f t="array" ref="I379">IF($B379&gt;0,INDEX(DB,$B379,19),0)</f>
        <v>0</v>
      </c>
      <c r="J379" s="277">
        <f t="array" ref="J379">IF($B379&gt;0,INDEX(DB,$B379,14),0)</f>
        <v>0</v>
      </c>
      <c r="K379" s="276">
        <f t="array" ref="K379">IF($B379&gt;0,INDEX(DB,$B379,18),0)</f>
        <v>0</v>
      </c>
      <c r="L379" s="275">
        <f t="array" ref="L379">IF($B379&gt;0,INDEX(DB,$B379,16),0)</f>
        <v>0</v>
      </c>
      <c r="M379" s="276">
        <f t="array" ref="M379">IF($B379&gt;0,INDEX(DB,$B379,20),0)</f>
        <v>0</v>
      </c>
      <c r="N379" s="278"/>
      <c r="O379" s="279">
        <f t="shared" si="1"/>
        <v>0</v>
      </c>
      <c r="P379" s="280"/>
      <c r="Q379" s="261" t="str">
        <f t="shared" si="2"/>
        <v>#REF!</v>
      </c>
      <c r="R379" s="290" t="str">
        <f>IF($AI379&gt;0,RANK($AI379,BoysPoints),0)</f>
        <v>#REF!</v>
      </c>
      <c r="S379" s="291" t="str">
        <f>IF($AJ379&gt;0,RANK($AJ379,GirlsPoints),0)</f>
        <v>#REF!</v>
      </c>
      <c r="T379" s="292">
        <f>IF($O379&gt;0,RANK(O379,AthletePoints),0)</f>
        <v>0</v>
      </c>
      <c r="U379" s="210"/>
      <c r="V379" s="330" t="str">
        <f>IF(O379&gt;=40,IF(X379="M",VLOOKUP(O379,UKABoysAwards,2),IF(X379="F",VLOOKUP(O379,UKAGirlsAwards,2),"")),"")</f>
        <v/>
      </c>
      <c r="W379" s="210"/>
      <c r="X379" s="266" t="str">
        <f t="array" ref="X379:X380">INDEX(DB,$B379,4)</f>
        <v>#REF!</v>
      </c>
      <c r="Y379" s="210"/>
      <c r="Z379" s="285" t="str">
        <f t="shared" si="3"/>
        <v>#REF!</v>
      </c>
      <c r="AA379" s="286" t="str">
        <f>IF($Z379&gt;=1,RANK($Z379,$Z373:$Z388),0)</f>
        <v>#REF!</v>
      </c>
      <c r="AB379" s="287" t="str">
        <f>IF(AA379&lt;=MaxS,INT(Z379),0)</f>
        <v>#REF!</v>
      </c>
      <c r="AC379" s="210"/>
      <c r="AD379" s="285" t="str">
        <f t="shared" si="4"/>
        <v>#REF!</v>
      </c>
      <c r="AE379" s="286" t="str">
        <f>IF($AD379&gt;=1,RANK($AD379,$AD373:$AD388),0)</f>
        <v>#REF!</v>
      </c>
      <c r="AF379" s="287" t="str">
        <f>IF(AE379&lt;=MaxS,INT(AD379),0)</f>
        <v>#REF!</v>
      </c>
      <c r="AG379" s="210"/>
      <c r="AH379" s="210"/>
      <c r="AI379" s="288" t="str">
        <f t="shared" si="5"/>
        <v>#REF!</v>
      </c>
      <c r="AJ379" s="289" t="str">
        <f t="shared" si="6"/>
        <v>#REF!</v>
      </c>
    </row>
    <row r="380" ht="15.0" customHeight="1">
      <c r="A380" s="272"/>
      <c r="B380" s="250">
        <f>IF(OR(ISNA(MATCH(C380&amp;"",AthleteNumbers,0)),ISBLANK(C380)),0,MATCH(C380&amp;"",AthleteNumbers,0))</f>
        <v>0</v>
      </c>
      <c r="C380" s="413"/>
      <c r="D380" s="273" t="str">
        <f t="array" ref="D380">IF($B380&gt;0,INDEX(DB,$B380,8),"")</f>
        <v/>
      </c>
      <c r="E380" s="274" t="str">
        <f t="array" ref="E380">IF($B380&gt;0,INDEX(DB,$B380,3),"")</f>
        <v/>
      </c>
      <c r="F380" s="275">
        <f t="array" ref="F380">IF($B380&gt;0,INDEX(DB,$B380,13),0)</f>
        <v>0</v>
      </c>
      <c r="G380" s="276">
        <f t="array" ref="G380">IF($B380&gt;0,INDEX(DB,$B380,17),0)</f>
        <v>0</v>
      </c>
      <c r="H380" s="277">
        <f t="array" ref="H380">IF($B380&gt;0,INDEX(DB,$B380,15),0)</f>
        <v>0</v>
      </c>
      <c r="I380" s="276">
        <f t="array" ref="I380">IF($B380&gt;0,INDEX(DB,$B380,19),0)</f>
        <v>0</v>
      </c>
      <c r="J380" s="277">
        <f t="array" ref="J380">IF($B380&gt;0,INDEX(DB,$B380,14),0)</f>
        <v>0</v>
      </c>
      <c r="K380" s="276">
        <f t="array" ref="K380">IF($B380&gt;0,INDEX(DB,$B380,18),0)</f>
        <v>0</v>
      </c>
      <c r="L380" s="275">
        <f t="array" ref="L380">IF($B380&gt;0,INDEX(DB,$B380,16),0)</f>
        <v>0</v>
      </c>
      <c r="M380" s="276">
        <f t="array" ref="M380">IF($B380&gt;0,INDEX(DB,$B380,20),0)</f>
        <v>0</v>
      </c>
      <c r="N380" s="278"/>
      <c r="O380" s="279">
        <f t="shared" si="1"/>
        <v>0</v>
      </c>
      <c r="P380" s="280"/>
      <c r="Q380" s="261" t="str">
        <f t="shared" si="2"/>
        <v>#REF!</v>
      </c>
      <c r="R380" s="281" t="str">
        <f>IF($AI380&gt;0,RANK($AI380,BoysPoints),0)</f>
        <v>#REF!</v>
      </c>
      <c r="S380" s="282" t="str">
        <f>IF($AJ380&gt;0,RANK($AJ380,GirlsPoints),0)</f>
        <v>#REF!</v>
      </c>
      <c r="T380" s="283">
        <f>IF($O380&gt;0,RANK(O380,AthletePoints),0)</f>
        <v>0</v>
      </c>
      <c r="U380" s="210"/>
      <c r="V380" s="415" t="str">
        <f>IF(O380&gt;=40,IF(X380="M",VLOOKUP(O380,UKABoysAwards,2),IF(X380="F",VLOOKUP(O380,UKAGirlsAwards,2),"")),"")</f>
        <v/>
      </c>
      <c r="W380" s="210"/>
      <c r="X380" s="266" t="str">
        <f t="array" ref="X380:X381">INDEX(DB,$B380,4)</f>
        <v>#REF!</v>
      </c>
      <c r="Y380" s="210"/>
      <c r="Z380" s="285" t="str">
        <f t="shared" si="3"/>
        <v>#REF!</v>
      </c>
      <c r="AA380" s="286" t="str">
        <f>IF($Z380&gt;=1,RANK($Z380,$Z373:$Z388),0)</f>
        <v>#REF!</v>
      </c>
      <c r="AB380" s="287" t="str">
        <f>IF(AA380&lt;=MaxS,INT(Z380),0)</f>
        <v>#REF!</v>
      </c>
      <c r="AC380" s="210"/>
      <c r="AD380" s="285" t="str">
        <f t="shared" si="4"/>
        <v>#REF!</v>
      </c>
      <c r="AE380" s="286" t="str">
        <f>IF($AD380&gt;=1,RANK($AD380,$AD373:$AD388),0)</f>
        <v>#REF!</v>
      </c>
      <c r="AF380" s="287" t="str">
        <f>IF(AE380&lt;=MaxS,INT(AD380),0)</f>
        <v>#REF!</v>
      </c>
      <c r="AG380" s="210"/>
      <c r="AH380" s="210"/>
      <c r="AI380" s="288" t="str">
        <f t="shared" si="5"/>
        <v>#REF!</v>
      </c>
      <c r="AJ380" s="289" t="str">
        <f t="shared" si="6"/>
        <v>#REF!</v>
      </c>
    </row>
    <row r="381" ht="15.0" customHeight="1">
      <c r="A381" s="272"/>
      <c r="B381" s="250">
        <f>IF(OR(ISNA(MATCH(C381&amp;"",AthleteNumbers,0)),ISBLANK(C381)),0,MATCH(C381&amp;"",AthleteNumbers,0))</f>
        <v>0</v>
      </c>
      <c r="C381" s="413"/>
      <c r="D381" s="273" t="str">
        <f t="array" ref="D381">IF($B381&gt;0,INDEX(DB,$B381,8),"")</f>
        <v/>
      </c>
      <c r="E381" s="274" t="str">
        <f t="array" ref="E381">IF($B381&gt;0,INDEX(DB,$B381,3),"")</f>
        <v/>
      </c>
      <c r="F381" s="275">
        <f t="array" ref="F381">IF($B381&gt;0,INDEX(DB,$B381,13),0)</f>
        <v>0</v>
      </c>
      <c r="G381" s="276">
        <f t="array" ref="G381">IF($B381&gt;0,INDEX(DB,$B381,17),0)</f>
        <v>0</v>
      </c>
      <c r="H381" s="277">
        <f t="array" ref="H381">IF($B381&gt;0,INDEX(DB,$B381,15),0)</f>
        <v>0</v>
      </c>
      <c r="I381" s="276">
        <f t="array" ref="I381">IF($B381&gt;0,INDEX(DB,$B381,19),0)</f>
        <v>0</v>
      </c>
      <c r="J381" s="277">
        <f t="array" ref="J381">IF($B381&gt;0,INDEX(DB,$B381,14),0)</f>
        <v>0</v>
      </c>
      <c r="K381" s="276">
        <f t="array" ref="K381">IF($B381&gt;0,INDEX(DB,$B381,18),0)</f>
        <v>0</v>
      </c>
      <c r="L381" s="275">
        <f t="array" ref="L381">IF($B381&gt;0,INDEX(DB,$B381,16),0)</f>
        <v>0</v>
      </c>
      <c r="M381" s="276">
        <f t="array" ref="M381">IF($B381&gt;0,INDEX(DB,$B381,20),0)</f>
        <v>0</v>
      </c>
      <c r="N381" s="278"/>
      <c r="O381" s="279">
        <f t="shared" si="1"/>
        <v>0</v>
      </c>
      <c r="P381" s="280"/>
      <c r="Q381" s="261" t="str">
        <f t="shared" si="2"/>
        <v>#REF!</v>
      </c>
      <c r="R381" s="290" t="str">
        <f>IF($AI381&gt;0,RANK($AI381,BoysPoints),0)</f>
        <v>#REF!</v>
      </c>
      <c r="S381" s="291" t="str">
        <f>IF($AJ381&gt;0,RANK($AJ381,GirlsPoints),0)</f>
        <v>#REF!</v>
      </c>
      <c r="T381" s="292">
        <f>IF($O381&gt;0,RANK(O381,AthletePoints),0)</f>
        <v>0</v>
      </c>
      <c r="U381" s="210"/>
      <c r="V381" s="330" t="str">
        <f>IF(O381&gt;=40,IF(X381="M",VLOOKUP(O381,UKABoysAwards,2),IF(X381="F",VLOOKUP(O381,UKAGirlsAwards,2),"")),"")</f>
        <v/>
      </c>
      <c r="W381" s="210"/>
      <c r="X381" s="266" t="str">
        <f t="array" ref="X381:X382">INDEX(DB,$B381,4)</f>
        <v>#REF!</v>
      </c>
      <c r="Y381" s="210"/>
      <c r="Z381" s="285" t="str">
        <f t="shared" si="3"/>
        <v>#REF!</v>
      </c>
      <c r="AA381" s="286" t="str">
        <f>IF($Z381&gt;=1,RANK($Z381,$Z373:$Z388),0)</f>
        <v>#REF!</v>
      </c>
      <c r="AB381" s="287" t="str">
        <f>IF(AA381&lt;=MaxS,INT(Z381),0)</f>
        <v>#REF!</v>
      </c>
      <c r="AC381" s="210"/>
      <c r="AD381" s="285" t="str">
        <f t="shared" si="4"/>
        <v>#REF!</v>
      </c>
      <c r="AE381" s="286" t="str">
        <f>IF($AD381&gt;=1,RANK($AD381,$AD373:$AD388),0)</f>
        <v>#REF!</v>
      </c>
      <c r="AF381" s="287" t="str">
        <f>IF(AE381&lt;=MaxS,INT(AD381),0)</f>
        <v>#REF!</v>
      </c>
      <c r="AG381" s="210"/>
      <c r="AH381" s="210"/>
      <c r="AI381" s="288" t="str">
        <f t="shared" si="5"/>
        <v>#REF!</v>
      </c>
      <c r="AJ381" s="289" t="str">
        <f t="shared" si="6"/>
        <v>#REF!</v>
      </c>
    </row>
    <row r="382" ht="15.0" customHeight="1">
      <c r="A382" s="272"/>
      <c r="B382" s="250">
        <f>IF(OR(ISNA(MATCH(C382&amp;"",AthleteNumbers,0)),ISBLANK(C382)),0,MATCH(C382&amp;"",AthleteNumbers,0))</f>
        <v>0</v>
      </c>
      <c r="C382" s="413"/>
      <c r="D382" s="273" t="str">
        <f t="array" ref="D382">IF($B382&gt;0,INDEX(DB,$B382,8),"")</f>
        <v/>
      </c>
      <c r="E382" s="274" t="str">
        <f t="array" ref="E382">IF($B382&gt;0,INDEX(DB,$B382,3),"")</f>
        <v/>
      </c>
      <c r="F382" s="275">
        <f t="array" ref="F382">IF($B382&gt;0,INDEX(DB,$B382,13),0)</f>
        <v>0</v>
      </c>
      <c r="G382" s="276">
        <f t="array" ref="G382">IF($B382&gt;0,INDEX(DB,$B382,17),0)</f>
        <v>0</v>
      </c>
      <c r="H382" s="277">
        <f t="array" ref="H382">IF($B382&gt;0,INDEX(DB,$B382,15),0)</f>
        <v>0</v>
      </c>
      <c r="I382" s="276">
        <f t="array" ref="I382">IF($B382&gt;0,INDEX(DB,$B382,19),0)</f>
        <v>0</v>
      </c>
      <c r="J382" s="277">
        <f t="array" ref="J382">IF($B382&gt;0,INDEX(DB,$B382,14),0)</f>
        <v>0</v>
      </c>
      <c r="K382" s="276">
        <f t="array" ref="K382">IF($B382&gt;0,INDEX(DB,$B382,18),0)</f>
        <v>0</v>
      </c>
      <c r="L382" s="275">
        <f t="array" ref="L382">IF($B382&gt;0,INDEX(DB,$B382,16),0)</f>
        <v>0</v>
      </c>
      <c r="M382" s="276">
        <f t="array" ref="M382">IF($B382&gt;0,INDEX(DB,$B382,20),0)</f>
        <v>0</v>
      </c>
      <c r="N382" s="278"/>
      <c r="O382" s="279">
        <f t="shared" si="1"/>
        <v>0</v>
      </c>
      <c r="P382" s="280"/>
      <c r="Q382" s="261" t="str">
        <f t="shared" si="2"/>
        <v>#REF!</v>
      </c>
      <c r="R382" s="281" t="str">
        <f>IF($AI382&gt;0,RANK($AI382,BoysPoints),0)</f>
        <v>#REF!</v>
      </c>
      <c r="S382" s="282" t="str">
        <f>IF($AJ382&gt;0,RANK($AJ382,GirlsPoints),0)</f>
        <v>#REF!</v>
      </c>
      <c r="T382" s="283">
        <f>IF($O382&gt;0,RANK(O382,AthletePoints),0)</f>
        <v>0</v>
      </c>
      <c r="U382" s="210"/>
      <c r="V382" s="415" t="str">
        <f>IF(O382&gt;=40,IF(X382="M",VLOOKUP(O382,UKABoysAwards,2),IF(X382="F",VLOOKUP(O382,UKAGirlsAwards,2),"")),"")</f>
        <v/>
      </c>
      <c r="W382" s="210"/>
      <c r="X382" s="266" t="str">
        <f t="array" ref="X382:X383">INDEX(DB,$B382,4)</f>
        <v>#REF!</v>
      </c>
      <c r="Y382" s="210"/>
      <c r="Z382" s="285" t="str">
        <f t="shared" si="3"/>
        <v>#REF!</v>
      </c>
      <c r="AA382" s="286" t="str">
        <f>IF($Z382&gt;=1,RANK($Z382,$Z373:$Z388),0)</f>
        <v>#REF!</v>
      </c>
      <c r="AB382" s="287" t="str">
        <f>IF(AA382&lt;=MaxS,INT(Z382),0)</f>
        <v>#REF!</v>
      </c>
      <c r="AC382" s="210"/>
      <c r="AD382" s="285" t="str">
        <f t="shared" si="4"/>
        <v>#REF!</v>
      </c>
      <c r="AE382" s="286" t="str">
        <f>IF($AD382&gt;=1,RANK($AD382,$AD373:$AD388),0)</f>
        <v>#REF!</v>
      </c>
      <c r="AF382" s="287" t="str">
        <f>IF(AE382&lt;=MaxS,INT(AD382),0)</f>
        <v>#REF!</v>
      </c>
      <c r="AG382" s="210"/>
      <c r="AH382" s="210"/>
      <c r="AI382" s="288" t="str">
        <f t="shared" si="5"/>
        <v>#REF!</v>
      </c>
      <c r="AJ382" s="289" t="str">
        <f t="shared" si="6"/>
        <v>#REF!</v>
      </c>
    </row>
    <row r="383" ht="15.0" customHeight="1">
      <c r="A383" s="272"/>
      <c r="B383" s="250">
        <f>IF(OR(ISNA(MATCH(C383&amp;"",AthleteNumbers,0)),ISBLANK(C383)),0,MATCH(C383&amp;"",AthleteNumbers,0))</f>
        <v>0</v>
      </c>
      <c r="C383" s="413"/>
      <c r="D383" s="273" t="str">
        <f t="array" ref="D383">IF($B383&gt;0,INDEX(DB,$B383,8),"")</f>
        <v/>
      </c>
      <c r="E383" s="274" t="str">
        <f t="array" ref="E383">IF($B383&gt;0,INDEX(DB,$B383,3),"")</f>
        <v/>
      </c>
      <c r="F383" s="275">
        <f t="array" ref="F383">IF($B383&gt;0,INDEX(DB,$B383,13),0)</f>
        <v>0</v>
      </c>
      <c r="G383" s="276">
        <f t="array" ref="G383">IF($B383&gt;0,INDEX(DB,$B383,17),0)</f>
        <v>0</v>
      </c>
      <c r="H383" s="277">
        <f t="array" ref="H383">IF($B383&gt;0,INDEX(DB,$B383,15),0)</f>
        <v>0</v>
      </c>
      <c r="I383" s="276">
        <f t="array" ref="I383">IF($B383&gt;0,INDEX(DB,$B383,19),0)</f>
        <v>0</v>
      </c>
      <c r="J383" s="277">
        <f t="array" ref="J383">IF($B383&gt;0,INDEX(DB,$B383,14),0)</f>
        <v>0</v>
      </c>
      <c r="K383" s="276">
        <f t="array" ref="K383">IF($B383&gt;0,INDEX(DB,$B383,18),0)</f>
        <v>0</v>
      </c>
      <c r="L383" s="275">
        <f t="array" ref="L383">IF($B383&gt;0,INDEX(DB,$B383,16),0)</f>
        <v>0</v>
      </c>
      <c r="M383" s="276">
        <f t="array" ref="M383">IF($B383&gt;0,INDEX(DB,$B383,20),0)</f>
        <v>0</v>
      </c>
      <c r="N383" s="278"/>
      <c r="O383" s="279">
        <f t="shared" si="1"/>
        <v>0</v>
      </c>
      <c r="P383" s="280"/>
      <c r="Q383" s="261" t="str">
        <f t="shared" si="2"/>
        <v>#REF!</v>
      </c>
      <c r="R383" s="290" t="str">
        <f>IF($AI383&gt;0,RANK($AI383,BoysPoints),0)</f>
        <v>#REF!</v>
      </c>
      <c r="S383" s="291" t="str">
        <f>IF($AJ383&gt;0,RANK($AJ383,GirlsPoints),0)</f>
        <v>#REF!</v>
      </c>
      <c r="T383" s="292">
        <f>IF($O383&gt;0,RANK(O383,AthletePoints),0)</f>
        <v>0</v>
      </c>
      <c r="U383" s="210"/>
      <c r="V383" s="330" t="str">
        <f>IF(O383&gt;=40,IF(X383="M",VLOOKUP(O383,UKABoysAwards,2),IF(X383="F",VLOOKUP(O383,UKAGirlsAwards,2),"")),"")</f>
        <v/>
      </c>
      <c r="W383" s="210"/>
      <c r="X383" s="266" t="str">
        <f t="array" ref="X383:X384">INDEX(DB,$B383,4)</f>
        <v>#REF!</v>
      </c>
      <c r="Y383" s="210"/>
      <c r="Z383" s="285" t="str">
        <f t="shared" si="3"/>
        <v>#REF!</v>
      </c>
      <c r="AA383" s="286" t="str">
        <f>IF($Z383&gt;=1,RANK($Z383,$Z373:$Z388),0)</f>
        <v>#REF!</v>
      </c>
      <c r="AB383" s="287" t="str">
        <f>IF(AA383&lt;=MaxS,INT(Z383),0)</f>
        <v>#REF!</v>
      </c>
      <c r="AC383" s="210"/>
      <c r="AD383" s="285" t="str">
        <f t="shared" si="4"/>
        <v>#REF!</v>
      </c>
      <c r="AE383" s="286" t="str">
        <f>IF($AD383&gt;=1,RANK($AD383,$AD373:$AD388),0)</f>
        <v>#REF!</v>
      </c>
      <c r="AF383" s="287" t="str">
        <f>IF(AE383&lt;=MaxS,INT(AD383),0)</f>
        <v>#REF!</v>
      </c>
      <c r="AG383" s="210"/>
      <c r="AH383" s="210"/>
      <c r="AI383" s="288" t="str">
        <f t="shared" si="5"/>
        <v>#REF!</v>
      </c>
      <c r="AJ383" s="289" t="str">
        <f t="shared" si="6"/>
        <v>#REF!</v>
      </c>
    </row>
    <row r="384" ht="15.0" customHeight="1">
      <c r="A384" s="272"/>
      <c r="B384" s="250">
        <f>IF(OR(ISNA(MATCH(C384&amp;"",AthleteNumbers,0)),ISBLANK(C384)),0,MATCH(C384&amp;"",AthleteNumbers,0))</f>
        <v>0</v>
      </c>
      <c r="C384" s="413"/>
      <c r="D384" s="273" t="str">
        <f t="array" ref="D384">IF($B384&gt;0,INDEX(DB,$B384,8),"")</f>
        <v/>
      </c>
      <c r="E384" s="274" t="str">
        <f t="array" ref="E384">IF($B384&gt;0,INDEX(DB,$B384,3),"")</f>
        <v/>
      </c>
      <c r="F384" s="275">
        <f t="array" ref="F384">IF($B384&gt;0,INDEX(DB,$B384,13),0)</f>
        <v>0</v>
      </c>
      <c r="G384" s="276">
        <f t="array" ref="G384">IF($B384&gt;0,INDEX(DB,$B384,17),0)</f>
        <v>0</v>
      </c>
      <c r="H384" s="277">
        <f t="array" ref="H384">IF($B384&gt;0,INDEX(DB,$B384,15),0)</f>
        <v>0</v>
      </c>
      <c r="I384" s="276">
        <f t="array" ref="I384">IF($B384&gt;0,INDEX(DB,$B384,19),0)</f>
        <v>0</v>
      </c>
      <c r="J384" s="277">
        <f t="array" ref="J384">IF($B384&gt;0,INDEX(DB,$B384,14),0)</f>
        <v>0</v>
      </c>
      <c r="K384" s="276">
        <f t="array" ref="K384">IF($B384&gt;0,INDEX(DB,$B384,18),0)</f>
        <v>0</v>
      </c>
      <c r="L384" s="275">
        <f t="array" ref="L384">IF($B384&gt;0,INDEX(DB,$B384,16),0)</f>
        <v>0</v>
      </c>
      <c r="M384" s="276">
        <f t="array" ref="M384">IF($B384&gt;0,INDEX(DB,$B384,20),0)</f>
        <v>0</v>
      </c>
      <c r="N384" s="278"/>
      <c r="O384" s="279">
        <f t="shared" si="1"/>
        <v>0</v>
      </c>
      <c r="P384" s="280"/>
      <c r="Q384" s="261" t="str">
        <f t="shared" si="2"/>
        <v>#REF!</v>
      </c>
      <c r="R384" s="281" t="str">
        <f>IF($AI384&gt;0,RANK($AI384,BoysPoints),0)</f>
        <v>#REF!</v>
      </c>
      <c r="S384" s="282" t="str">
        <f>IF($AJ384&gt;0,RANK($AJ384,GirlsPoints),0)</f>
        <v>#REF!</v>
      </c>
      <c r="T384" s="283">
        <f>IF($O384&gt;0,RANK(O384,AthletePoints),0)</f>
        <v>0</v>
      </c>
      <c r="U384" s="210"/>
      <c r="V384" s="415" t="str">
        <f>IF(O384&gt;=40,IF(X384="M",VLOOKUP(O384,UKABoysAwards,2),IF(X384="F",VLOOKUP(O384,UKAGirlsAwards,2),"")),"")</f>
        <v/>
      </c>
      <c r="W384" s="210"/>
      <c r="X384" s="266" t="str">
        <f t="array" ref="X384:X385">INDEX(DB,$B384,4)</f>
        <v>#REF!</v>
      </c>
      <c r="Y384" s="210"/>
      <c r="Z384" s="285" t="str">
        <f t="shared" si="3"/>
        <v>#REF!</v>
      </c>
      <c r="AA384" s="286" t="str">
        <f>IF($Z384&gt;=1,RANK($Z384,$Z373:$Z388),0)</f>
        <v>#REF!</v>
      </c>
      <c r="AB384" s="287" t="str">
        <f>IF(AA384&lt;=MaxS,INT(Z384),0)</f>
        <v>#REF!</v>
      </c>
      <c r="AC384" s="210"/>
      <c r="AD384" s="285" t="str">
        <f t="shared" si="4"/>
        <v>#REF!</v>
      </c>
      <c r="AE384" s="286" t="str">
        <f>IF($AD384&gt;=1,RANK($AD384,$AD373:$AD388),0)</f>
        <v>#REF!</v>
      </c>
      <c r="AF384" s="287" t="str">
        <f>IF(AE384&lt;=MaxS,INT(AD384),0)</f>
        <v>#REF!</v>
      </c>
      <c r="AG384" s="210"/>
      <c r="AH384" s="210"/>
      <c r="AI384" s="288" t="str">
        <f t="shared" si="5"/>
        <v>#REF!</v>
      </c>
      <c r="AJ384" s="289" t="str">
        <f t="shared" si="6"/>
        <v>#REF!</v>
      </c>
    </row>
    <row r="385" ht="15.0" customHeight="1">
      <c r="A385" s="272"/>
      <c r="B385" s="250">
        <f>IF(OR(ISNA(MATCH(C385&amp;"",AthleteNumbers,0)),ISBLANK(C385)),0,MATCH(C385&amp;"",AthleteNumbers,0))</f>
        <v>0</v>
      </c>
      <c r="C385" s="413"/>
      <c r="D385" s="273" t="str">
        <f t="array" ref="D385">IF($B385&gt;0,INDEX(DB,$B385,8),"")</f>
        <v/>
      </c>
      <c r="E385" s="274" t="str">
        <f t="array" ref="E385">IF($B385&gt;0,INDEX(DB,$B385,3),"")</f>
        <v/>
      </c>
      <c r="F385" s="275">
        <f t="array" ref="F385">IF($B385&gt;0,INDEX(DB,$B385,13),0)</f>
        <v>0</v>
      </c>
      <c r="G385" s="276">
        <f t="array" ref="G385">IF($B385&gt;0,INDEX(DB,$B385,17),0)</f>
        <v>0</v>
      </c>
      <c r="H385" s="277">
        <f t="array" ref="H385">IF($B385&gt;0,INDEX(DB,$B385,15),0)</f>
        <v>0</v>
      </c>
      <c r="I385" s="276">
        <f t="array" ref="I385">IF($B385&gt;0,INDEX(DB,$B385,19),0)</f>
        <v>0</v>
      </c>
      <c r="J385" s="277">
        <f t="array" ref="J385">IF($B385&gt;0,INDEX(DB,$B385,14),0)</f>
        <v>0</v>
      </c>
      <c r="K385" s="276">
        <f t="array" ref="K385">IF($B385&gt;0,INDEX(DB,$B385,18),0)</f>
        <v>0</v>
      </c>
      <c r="L385" s="275">
        <f t="array" ref="L385">IF($B385&gt;0,INDEX(DB,$B385,16),0)</f>
        <v>0</v>
      </c>
      <c r="M385" s="276">
        <f t="array" ref="M385">IF($B385&gt;0,INDEX(DB,$B385,20),0)</f>
        <v>0</v>
      </c>
      <c r="N385" s="278"/>
      <c r="O385" s="279">
        <f t="shared" si="1"/>
        <v>0</v>
      </c>
      <c r="P385" s="280"/>
      <c r="Q385" s="261" t="str">
        <f t="shared" si="2"/>
        <v>#REF!</v>
      </c>
      <c r="R385" s="290" t="str">
        <f>IF($AI385&gt;0,RANK($AI385,BoysPoints),0)</f>
        <v>#REF!</v>
      </c>
      <c r="S385" s="291" t="str">
        <f>IF($AJ385&gt;0,RANK($AJ385,GirlsPoints),0)</f>
        <v>#REF!</v>
      </c>
      <c r="T385" s="292">
        <f>IF($O385&gt;0,RANK(O385,AthletePoints),0)</f>
        <v>0</v>
      </c>
      <c r="U385" s="210"/>
      <c r="V385" s="330" t="str">
        <f>IF(O385&gt;=40,IF(X385="M",VLOOKUP(O385,UKABoysAwards,2),IF(X385="F",VLOOKUP(O385,UKAGirlsAwards,2),"")),"")</f>
        <v/>
      </c>
      <c r="W385" s="210"/>
      <c r="X385" s="266" t="str">
        <f t="array" ref="X385:X386">INDEX(DB,$B385,4)</f>
        <v>#REF!</v>
      </c>
      <c r="Y385" s="210"/>
      <c r="Z385" s="285" t="str">
        <f t="shared" si="3"/>
        <v>#REF!</v>
      </c>
      <c r="AA385" s="286" t="str">
        <f>IF($Z385&gt;=1,RANK($Z385,$Z373:$Z388),0)</f>
        <v>#REF!</v>
      </c>
      <c r="AB385" s="287" t="str">
        <f>IF(AA385&lt;=MaxS,INT(Z385),0)</f>
        <v>#REF!</v>
      </c>
      <c r="AC385" s="210"/>
      <c r="AD385" s="285" t="str">
        <f t="shared" si="4"/>
        <v>#REF!</v>
      </c>
      <c r="AE385" s="286" t="str">
        <f>IF($AD385&gt;=1,RANK($AD385,$AD373:$AD388),0)</f>
        <v>#REF!</v>
      </c>
      <c r="AF385" s="287" t="str">
        <f>IF(AE385&lt;=MaxS,INT(AD385),0)</f>
        <v>#REF!</v>
      </c>
      <c r="AG385" s="210"/>
      <c r="AH385" s="210"/>
      <c r="AI385" s="288" t="str">
        <f t="shared" si="5"/>
        <v>#REF!</v>
      </c>
      <c r="AJ385" s="289" t="str">
        <f t="shared" si="6"/>
        <v>#REF!</v>
      </c>
    </row>
    <row r="386" ht="15.0" customHeight="1">
      <c r="A386" s="272"/>
      <c r="B386" s="250">
        <f>IF(OR(ISNA(MATCH(C386&amp;"",AthleteNumbers,0)),ISBLANK(C386)),0,MATCH(C386&amp;"",AthleteNumbers,0))</f>
        <v>0</v>
      </c>
      <c r="C386" s="413"/>
      <c r="D386" s="273" t="str">
        <f t="array" ref="D386">IF($B386&gt;0,INDEX(DB,$B386,8),"")</f>
        <v/>
      </c>
      <c r="E386" s="274" t="str">
        <f t="array" ref="E386">IF($B386&gt;0,INDEX(DB,$B386,3),"")</f>
        <v/>
      </c>
      <c r="F386" s="275">
        <f t="array" ref="F386">IF($B386&gt;0,INDEX(DB,$B386,13),0)</f>
        <v>0</v>
      </c>
      <c r="G386" s="276">
        <f t="array" ref="G386">IF($B386&gt;0,INDEX(DB,$B386,17),0)</f>
        <v>0</v>
      </c>
      <c r="H386" s="277">
        <f t="array" ref="H386">IF($B386&gt;0,INDEX(DB,$B386,15),0)</f>
        <v>0</v>
      </c>
      <c r="I386" s="276">
        <f t="array" ref="I386">IF($B386&gt;0,INDEX(DB,$B386,19),0)</f>
        <v>0</v>
      </c>
      <c r="J386" s="277">
        <f t="array" ref="J386">IF($B386&gt;0,INDEX(DB,$B386,14),0)</f>
        <v>0</v>
      </c>
      <c r="K386" s="276">
        <f t="array" ref="K386">IF($B386&gt;0,INDEX(DB,$B386,18),0)</f>
        <v>0</v>
      </c>
      <c r="L386" s="275">
        <f t="array" ref="L386">IF($B386&gt;0,INDEX(DB,$B386,16),0)</f>
        <v>0</v>
      </c>
      <c r="M386" s="276">
        <f t="array" ref="M386">IF($B386&gt;0,INDEX(DB,$B386,20),0)</f>
        <v>0</v>
      </c>
      <c r="N386" s="278"/>
      <c r="O386" s="279">
        <f t="shared" si="1"/>
        <v>0</v>
      </c>
      <c r="P386" s="280"/>
      <c r="Q386" s="261" t="str">
        <f t="shared" si="2"/>
        <v>#REF!</v>
      </c>
      <c r="R386" s="281" t="str">
        <f>IF($AI386&gt;0,RANK($AI386,BoysPoints),0)</f>
        <v>#REF!</v>
      </c>
      <c r="S386" s="282" t="str">
        <f>IF($AJ386&gt;0,RANK($AJ386,GirlsPoints),0)</f>
        <v>#REF!</v>
      </c>
      <c r="T386" s="283">
        <f>IF($O386&gt;0,RANK(O386,AthletePoints),0)</f>
        <v>0</v>
      </c>
      <c r="U386" s="210"/>
      <c r="V386" s="415" t="str">
        <f>IF(O386&gt;=40,IF(X386="M",VLOOKUP(O386,UKABoysAwards,2),IF(X386="F",VLOOKUP(O386,UKAGirlsAwards,2),"")),"")</f>
        <v/>
      </c>
      <c r="W386" s="210"/>
      <c r="X386" s="266" t="str">
        <f t="array" ref="X386:X387">INDEX(DB,$B386,4)</f>
        <v>#REF!</v>
      </c>
      <c r="Y386" s="210"/>
      <c r="Z386" s="285" t="str">
        <f t="shared" si="3"/>
        <v>#REF!</v>
      </c>
      <c r="AA386" s="286" t="str">
        <f>IF($Z386&gt;=1,RANK($Z386,$Z373:$Z388),0)</f>
        <v>#REF!</v>
      </c>
      <c r="AB386" s="287" t="str">
        <f>IF(AA386&lt;=MaxS,INT(Z386),0)</f>
        <v>#REF!</v>
      </c>
      <c r="AC386" s="210"/>
      <c r="AD386" s="285" t="str">
        <f t="shared" si="4"/>
        <v>#REF!</v>
      </c>
      <c r="AE386" s="286" t="str">
        <f>IF($AD386&gt;=1,RANK($AD386,$AD373:$AD388),0)</f>
        <v>#REF!</v>
      </c>
      <c r="AF386" s="287" t="str">
        <f>IF(AE386&lt;=MaxS,INT(AD386),0)</f>
        <v>#REF!</v>
      </c>
      <c r="AG386" s="210"/>
      <c r="AH386" s="210"/>
      <c r="AI386" s="288" t="str">
        <f t="shared" si="5"/>
        <v>#REF!</v>
      </c>
      <c r="AJ386" s="289" t="str">
        <f t="shared" si="6"/>
        <v>#REF!</v>
      </c>
    </row>
    <row r="387" ht="15.0" customHeight="1">
      <c r="A387" s="272"/>
      <c r="B387" s="250">
        <f>IF(OR(ISNA(MATCH(C387&amp;"",AthleteNumbers,0)),ISBLANK(C387)),0,MATCH(C387&amp;"",AthleteNumbers,0))</f>
        <v>0</v>
      </c>
      <c r="C387" s="413"/>
      <c r="D387" s="273" t="str">
        <f t="array" ref="D387">IF($B387&gt;0,INDEX(DB,$B387,8),"")</f>
        <v/>
      </c>
      <c r="E387" s="274" t="str">
        <f t="array" ref="E387">IF($B387&gt;0,INDEX(DB,$B387,3),"")</f>
        <v/>
      </c>
      <c r="F387" s="275">
        <f t="array" ref="F387">IF($B387&gt;0,INDEX(DB,$B387,13),0)</f>
        <v>0</v>
      </c>
      <c r="G387" s="276">
        <f t="array" ref="G387">IF($B387&gt;0,INDEX(DB,$B387,17),0)</f>
        <v>0</v>
      </c>
      <c r="H387" s="277">
        <f t="array" ref="H387">IF($B387&gt;0,INDEX(DB,$B387,15),0)</f>
        <v>0</v>
      </c>
      <c r="I387" s="276">
        <f t="array" ref="I387">IF($B387&gt;0,INDEX(DB,$B387,19),0)</f>
        <v>0</v>
      </c>
      <c r="J387" s="277">
        <f t="array" ref="J387">IF($B387&gt;0,INDEX(DB,$B387,14),0)</f>
        <v>0</v>
      </c>
      <c r="K387" s="276">
        <f t="array" ref="K387">IF($B387&gt;0,INDEX(DB,$B387,18),0)</f>
        <v>0</v>
      </c>
      <c r="L387" s="275">
        <f t="array" ref="L387">IF($B387&gt;0,INDEX(DB,$B387,16),0)</f>
        <v>0</v>
      </c>
      <c r="M387" s="276">
        <f t="array" ref="M387">IF($B387&gt;0,INDEX(DB,$B387,20),0)</f>
        <v>0</v>
      </c>
      <c r="N387" s="278"/>
      <c r="O387" s="279">
        <f t="shared" si="1"/>
        <v>0</v>
      </c>
      <c r="P387" s="280"/>
      <c r="Q387" s="261" t="str">
        <f t="shared" si="2"/>
        <v>#REF!</v>
      </c>
      <c r="R387" s="290" t="str">
        <f>IF($AI387&gt;0,RANK($AI387,BoysPoints),0)</f>
        <v>#REF!</v>
      </c>
      <c r="S387" s="291" t="str">
        <f>IF($AJ387&gt;0,RANK($AJ387,GirlsPoints),0)</f>
        <v>#REF!</v>
      </c>
      <c r="T387" s="292">
        <f>IF($O387&gt;0,RANK(O387,AthletePoints),0)</f>
        <v>0</v>
      </c>
      <c r="U387" s="210"/>
      <c r="V387" s="330" t="str">
        <f>IF(O387&gt;=40,IF(X387="M",VLOOKUP(O387,UKABoysAwards,2),IF(X387="F",VLOOKUP(O387,UKAGirlsAwards,2),"")),"")</f>
        <v/>
      </c>
      <c r="W387" s="210"/>
      <c r="X387" s="266" t="str">
        <f t="array" ref="X387:X388">INDEX(DB,$B387,4)</f>
        <v>#REF!</v>
      </c>
      <c r="Y387" s="210"/>
      <c r="Z387" s="285" t="str">
        <f t="shared" si="3"/>
        <v>#REF!</v>
      </c>
      <c r="AA387" s="286" t="str">
        <f>IF($Z387&gt;=1,RANK($Z387,$Z373:$Z388),0)</f>
        <v>#REF!</v>
      </c>
      <c r="AB387" s="287" t="str">
        <f>IF(AA387&lt;=MaxS,INT(Z387),0)</f>
        <v>#REF!</v>
      </c>
      <c r="AC387" s="210"/>
      <c r="AD387" s="285" t="str">
        <f t="shared" si="4"/>
        <v>#REF!</v>
      </c>
      <c r="AE387" s="286" t="str">
        <f>IF($AD387&gt;=1,RANK($AD387,$AD373:$AD388),0)</f>
        <v>#REF!</v>
      </c>
      <c r="AF387" s="287" t="str">
        <f>IF(AE387&lt;=MaxS,INT(AD387),0)</f>
        <v>#REF!</v>
      </c>
      <c r="AG387" s="210"/>
      <c r="AH387" s="210"/>
      <c r="AI387" s="288" t="str">
        <f t="shared" si="5"/>
        <v>#REF!</v>
      </c>
      <c r="AJ387" s="289" t="str">
        <f t="shared" si="6"/>
        <v>#REF!</v>
      </c>
    </row>
    <row r="388" ht="15.0" customHeight="1">
      <c r="A388" s="305"/>
      <c r="B388" s="250">
        <f>IF(OR(ISNA(MATCH(C388&amp;"",AthleteNumbers,0)),ISBLANK(C388)),0,MATCH(C388&amp;"",AthleteNumbers,0))</f>
        <v>0</v>
      </c>
      <c r="C388" s="443"/>
      <c r="D388" s="306" t="str">
        <f t="array" ref="D388">IF($B388&gt;0,INDEX(DB,$B388,8),"")</f>
        <v/>
      </c>
      <c r="E388" s="307" t="str">
        <f t="array" ref="E388">IF($B388&gt;0,INDEX(DB,$B388,3),"")</f>
        <v/>
      </c>
      <c r="F388" s="308">
        <f t="array" ref="F388">IF($B388&gt;0,INDEX(DB,$B388,13),0)</f>
        <v>0</v>
      </c>
      <c r="G388" s="309">
        <f t="array" ref="G388">IF($B388&gt;0,INDEX(DB,$B388,17),0)</f>
        <v>0</v>
      </c>
      <c r="H388" s="310">
        <f t="array" ref="H388">IF($B388&gt;0,INDEX(DB,$B388,15),0)</f>
        <v>0</v>
      </c>
      <c r="I388" s="309">
        <f t="array" ref="I388">IF($B388&gt;0,INDEX(DB,$B388,19),0)</f>
        <v>0</v>
      </c>
      <c r="J388" s="310">
        <f t="array" ref="J388">IF($B388&gt;0,INDEX(DB,$B388,14),0)</f>
        <v>0</v>
      </c>
      <c r="K388" s="309">
        <f t="array" ref="K388">IF($B388&gt;0,INDEX(DB,$B388,18),0)</f>
        <v>0</v>
      </c>
      <c r="L388" s="308">
        <f t="array" ref="L388">IF($B388&gt;0,INDEX(DB,$B388,16),0)</f>
        <v>0</v>
      </c>
      <c r="M388" s="309">
        <f t="array" ref="M388">IF($B388&gt;0,INDEX(DB,$B388,20),0)</f>
        <v>0</v>
      </c>
      <c r="N388" s="25"/>
      <c r="O388" s="311">
        <f t="shared" si="1"/>
        <v>0</v>
      </c>
      <c r="P388" s="31"/>
      <c r="Q388" s="261" t="str">
        <f t="shared" si="2"/>
        <v>#REF!</v>
      </c>
      <c r="R388" s="312" t="str">
        <f>IF($AI388&gt;0,RANK($AI388,BoysPoints),0)</f>
        <v>#REF!</v>
      </c>
      <c r="S388" s="313" t="str">
        <f>IF($AJ388&gt;0,RANK($AJ388,GirlsPoints),0)</f>
        <v>#REF!</v>
      </c>
      <c r="T388" s="314">
        <f>IF($O388&gt;0,RANK(O388,AthletePoints),0)</f>
        <v>0</v>
      </c>
      <c r="U388" s="210"/>
      <c r="V388" s="444" t="str">
        <f>IF(O388&gt;=40,IF(X388="M",VLOOKUP(O388,UKABoysAwards,2),IF(X388="F",VLOOKUP(O388,UKAGirlsAwards,2),"")),"")</f>
        <v/>
      </c>
      <c r="W388" s="210"/>
      <c r="X388" s="266" t="str">
        <f t="array" ref="X388:X389">INDEX(DB,$B388,4)</f>
        <v>#REF!</v>
      </c>
      <c r="Y388" s="210"/>
      <c r="Z388" s="316" t="str">
        <f t="shared" si="3"/>
        <v>#REF!</v>
      </c>
      <c r="AA388" s="243" t="str">
        <f>IF($Z388&gt;=1,RANK($Z388,$Z373:$Z388),0)</f>
        <v>#REF!</v>
      </c>
      <c r="AB388" s="245" t="str">
        <f>IF(AA388&lt;=MaxS,INT(Z388),0)</f>
        <v>#REF!</v>
      </c>
      <c r="AC388" s="210" t="str">
        <f>SUM(AB373:AB388)</f>
        <v>#REF!</v>
      </c>
      <c r="AD388" s="316" t="str">
        <f t="shared" si="4"/>
        <v>#REF!</v>
      </c>
      <c r="AE388" s="243" t="str">
        <f>IF($AD388&gt;=1,RANK($AD388,$AD373:$AD388),0)</f>
        <v>#REF!</v>
      </c>
      <c r="AF388" s="245" t="str">
        <f>IF(AE388&lt;=MaxS,INT(AD388),0)</f>
        <v>#REF!</v>
      </c>
      <c r="AG388" s="210" t="str">
        <f>SUM(AF373:AF388)</f>
        <v>#REF!</v>
      </c>
      <c r="AH388" s="210"/>
      <c r="AI388" s="246" t="str">
        <f t="shared" si="5"/>
        <v>#REF!</v>
      </c>
      <c r="AJ388" s="247" t="str">
        <f t="shared" si="6"/>
        <v>#REF!</v>
      </c>
    </row>
    <row r="389" ht="15.0" customHeight="1">
      <c r="A389" s="248"/>
      <c r="B389" s="250">
        <f>IF(OR(ISNA(MATCH(C389&amp;"",AthleteNumbers,0)),ISBLANK(C389)),0,MATCH(C389&amp;"",AthleteNumbers,0))</f>
        <v>0</v>
      </c>
      <c r="C389" s="251"/>
      <c r="D389" s="252" t="str">
        <f t="array" ref="D389">IF($B389&gt;0,INDEX(DB,$B389,8),"")</f>
        <v/>
      </c>
      <c r="E389" s="253" t="str">
        <f t="array" ref="E389">IF($B389&gt;0,INDEX(DB,$B389,3),"")</f>
        <v/>
      </c>
      <c r="F389" s="254">
        <f t="array" ref="F389">IF($B389&gt;0,INDEX(DB,$B389,13),0)</f>
        <v>0</v>
      </c>
      <c r="G389" s="255">
        <f t="array" ref="G389">IF($B389&gt;0,INDEX(DB,$B389,17),0)</f>
        <v>0</v>
      </c>
      <c r="H389" s="257">
        <f t="array" ref="H389">IF($B389&gt;0,INDEX(DB,$B389,15),0)</f>
        <v>0</v>
      </c>
      <c r="I389" s="255">
        <f t="array" ref="I389">IF($B389&gt;0,INDEX(DB,$B389,19),0)</f>
        <v>0</v>
      </c>
      <c r="J389" s="257">
        <f t="array" ref="J389">IF($B389&gt;0,INDEX(DB,$B389,14),0)</f>
        <v>0</v>
      </c>
      <c r="K389" s="255">
        <f t="array" ref="K389">IF($B389&gt;0,INDEX(DB,$B389,18),0)</f>
        <v>0</v>
      </c>
      <c r="L389" s="254">
        <f t="array" ref="L389">IF($B389&gt;0,INDEX(DB,$B389,16),0)</f>
        <v>0</v>
      </c>
      <c r="M389" s="255">
        <f t="array" ref="M389">IF($B389&gt;0,INDEX(DB,$B389,20),0)</f>
        <v>0</v>
      </c>
      <c r="N389" s="258" t="str">
        <f t="array" ref="N389:N405">INDEX(RelayPoints,A404)</f>
        <v>#REF!</v>
      </c>
      <c r="O389" s="259">
        <f t="shared" si="1"/>
        <v>0</v>
      </c>
      <c r="P389" s="260" t="str">
        <f>+AC404+AG404+N389</f>
        <v>#REF!</v>
      </c>
      <c r="Q389" s="261" t="str">
        <f t="shared" si="2"/>
        <v>#REF!</v>
      </c>
      <c r="R389" s="262" t="str">
        <f>IF($AI389&gt;0,RANK($AI389,BoysPoints),0)</f>
        <v>#REF!</v>
      </c>
      <c r="S389" s="263" t="str">
        <f>IF($AJ389&gt;0,RANK($AJ389,GirlsPoints),0)</f>
        <v>#REF!</v>
      </c>
      <c r="T389" s="264">
        <f>IF($O389&gt;0,RANK(O389,AthletePoints),0)</f>
        <v>0</v>
      </c>
      <c r="U389" s="210"/>
      <c r="V389" s="317" t="str">
        <f>IF(O389&gt;=40,IF(X389="M",VLOOKUP(O389,UKABoysAwards,2),IF(X389="F",VLOOKUP(O389,UKAGirlsAwards,2),"")),"")</f>
        <v/>
      </c>
      <c r="W389" s="210"/>
      <c r="X389" s="266" t="str">
        <f t="array" ref="X389:X390">INDEX(DB,$B389,4)</f>
        <v>#REF!</v>
      </c>
      <c r="Y389" s="210"/>
      <c r="Z389" s="267" t="str">
        <f t="shared" si="3"/>
        <v>#REF!</v>
      </c>
      <c r="AA389" s="268" t="str">
        <f>IF($Z389&gt;=1,RANK($Z389,$Z389:$Z404),0)</f>
        <v>#REF!</v>
      </c>
      <c r="AB389" s="269" t="str">
        <f>IF(AA389&lt;=MaxS,INT(Z389),0)</f>
        <v>#REF!</v>
      </c>
      <c r="AC389" s="210"/>
      <c r="AD389" s="267" t="str">
        <f t="shared" si="4"/>
        <v>#REF!</v>
      </c>
      <c r="AE389" s="268" t="str">
        <f>IF($AD389&gt;=1,RANK($AD389,$AD389:$AD404),0)</f>
        <v>#REF!</v>
      </c>
      <c r="AF389" s="269" t="str">
        <f>IF(AE389&lt;=MaxS,INT(AD389),0)</f>
        <v>#REF!</v>
      </c>
      <c r="AG389" s="210"/>
      <c r="AH389" s="210"/>
      <c r="AI389" s="288" t="str">
        <f t="shared" si="5"/>
        <v>#REF!</v>
      </c>
      <c r="AJ389" s="289" t="str">
        <f t="shared" si="6"/>
        <v>#REF!</v>
      </c>
    </row>
    <row r="390" ht="15.0" customHeight="1">
      <c r="A390" s="272"/>
      <c r="B390" s="250">
        <f>IF(OR(ISNA(MATCH(C390&amp;"",AthleteNumbers,0)),ISBLANK(C390)),0,MATCH(C390&amp;"",AthleteNumbers,0))</f>
        <v>0</v>
      </c>
      <c r="C390" s="413"/>
      <c r="D390" s="273" t="str">
        <f t="array" ref="D390">IF($B390&gt;0,INDEX(DB,$B390,8),"")</f>
        <v/>
      </c>
      <c r="E390" s="274" t="str">
        <f t="array" ref="E390">IF($B390&gt;0,INDEX(DB,$B390,3),"")</f>
        <v/>
      </c>
      <c r="F390" s="275">
        <f t="array" ref="F390">IF($B390&gt;0,INDEX(DB,$B390,13),0)</f>
        <v>0</v>
      </c>
      <c r="G390" s="276">
        <f t="array" ref="G390">IF($B390&gt;0,INDEX(DB,$B390,17),0)</f>
        <v>0</v>
      </c>
      <c r="H390" s="277">
        <f t="array" ref="H390">IF($B390&gt;0,INDEX(DB,$B390,15),0)</f>
        <v>0</v>
      </c>
      <c r="I390" s="276">
        <f t="array" ref="I390">IF($B390&gt;0,INDEX(DB,$B390,19),0)</f>
        <v>0</v>
      </c>
      <c r="J390" s="277">
        <f t="array" ref="J390">IF($B390&gt;0,INDEX(DB,$B390,14),0)</f>
        <v>0</v>
      </c>
      <c r="K390" s="276">
        <f t="array" ref="K390">IF($B390&gt;0,INDEX(DB,$B390,18),0)</f>
        <v>0</v>
      </c>
      <c r="L390" s="275">
        <f t="array" ref="L390">IF($B390&gt;0,INDEX(DB,$B390,16),0)</f>
        <v>0</v>
      </c>
      <c r="M390" s="276">
        <f t="array" ref="M390">IF($B390&gt;0,INDEX(DB,$B390,20),0)</f>
        <v>0</v>
      </c>
      <c r="N390" s="278"/>
      <c r="O390" s="279">
        <f t="shared" si="1"/>
        <v>0</v>
      </c>
      <c r="P390" s="280"/>
      <c r="Q390" s="261" t="str">
        <f t="shared" si="2"/>
        <v>#REF!</v>
      </c>
      <c r="R390" s="281" t="str">
        <f>IF($AI390&gt;0,RANK($AI390,BoysPoints),0)</f>
        <v>#REF!</v>
      </c>
      <c r="S390" s="282" t="str">
        <f>IF($AJ390&gt;0,RANK($AJ390,GirlsPoints),0)</f>
        <v>#REF!</v>
      </c>
      <c r="T390" s="283">
        <f>IF($O390&gt;0,RANK(O390,AthletePoints),0)</f>
        <v>0</v>
      </c>
      <c r="U390" s="210"/>
      <c r="V390" s="415" t="str">
        <f>IF(O390&gt;=40,IF(X390="M",VLOOKUP(O390,UKABoysAwards,2),IF(X390="F",VLOOKUP(O390,UKAGirlsAwards,2),"")),"")</f>
        <v/>
      </c>
      <c r="W390" s="210"/>
      <c r="X390" s="266" t="str">
        <f t="array" ref="X390:X391">INDEX(DB,$B390,4)</f>
        <v>#REF!</v>
      </c>
      <c r="Y390" s="210"/>
      <c r="Z390" s="285" t="str">
        <f t="shared" si="3"/>
        <v>#REF!</v>
      </c>
      <c r="AA390" s="286" t="str">
        <f>IF($Z390&gt;=1,RANK($Z390,$Z389:$Z404),0)</f>
        <v>#REF!</v>
      </c>
      <c r="AB390" s="287" t="str">
        <f>IF(AA390&lt;=MaxS,INT(Z390),0)</f>
        <v>#REF!</v>
      </c>
      <c r="AC390" s="210"/>
      <c r="AD390" s="285" t="str">
        <f t="shared" si="4"/>
        <v>#REF!</v>
      </c>
      <c r="AE390" s="286" t="str">
        <f>IF($AD390&gt;=1,RANK($AD390,$AD389:$AD404),0)</f>
        <v>#REF!</v>
      </c>
      <c r="AF390" s="287" t="str">
        <f>IF(AE390&lt;=MaxS,INT(AD390),0)</f>
        <v>#REF!</v>
      </c>
      <c r="AG390" s="210"/>
      <c r="AH390" s="210"/>
      <c r="AI390" s="288" t="str">
        <f t="shared" si="5"/>
        <v>#REF!</v>
      </c>
      <c r="AJ390" s="289" t="str">
        <f t="shared" si="6"/>
        <v>#REF!</v>
      </c>
    </row>
    <row r="391" ht="15.0" customHeight="1">
      <c r="A391" s="272"/>
      <c r="B391" s="250">
        <f>IF(OR(ISNA(MATCH(C391&amp;"",AthleteNumbers,0)),ISBLANK(C391)),0,MATCH(C391&amp;"",AthleteNumbers,0))</f>
        <v>0</v>
      </c>
      <c r="C391" s="413"/>
      <c r="D391" s="273" t="str">
        <f t="array" ref="D391">IF($B391&gt;0,INDEX(DB,$B391,8),"")</f>
        <v/>
      </c>
      <c r="E391" s="274" t="str">
        <f t="array" ref="E391">IF($B391&gt;0,INDEX(DB,$B391,3),"")</f>
        <v/>
      </c>
      <c r="F391" s="275">
        <f t="array" ref="F391">IF($B391&gt;0,INDEX(DB,$B391,13),0)</f>
        <v>0</v>
      </c>
      <c r="G391" s="276">
        <f t="array" ref="G391">IF($B391&gt;0,INDEX(DB,$B391,17),0)</f>
        <v>0</v>
      </c>
      <c r="H391" s="277">
        <f t="array" ref="H391">IF($B391&gt;0,INDEX(DB,$B391,15),0)</f>
        <v>0</v>
      </c>
      <c r="I391" s="276">
        <f t="array" ref="I391">IF($B391&gt;0,INDEX(DB,$B391,19),0)</f>
        <v>0</v>
      </c>
      <c r="J391" s="277">
        <f t="array" ref="J391">IF($B391&gt;0,INDEX(DB,$B391,14),0)</f>
        <v>0</v>
      </c>
      <c r="K391" s="276">
        <f t="array" ref="K391">IF($B391&gt;0,INDEX(DB,$B391,18),0)</f>
        <v>0</v>
      </c>
      <c r="L391" s="275">
        <f t="array" ref="L391">IF($B391&gt;0,INDEX(DB,$B391,16),0)</f>
        <v>0</v>
      </c>
      <c r="M391" s="276">
        <f t="array" ref="M391">IF($B391&gt;0,INDEX(DB,$B391,20),0)</f>
        <v>0</v>
      </c>
      <c r="N391" s="278"/>
      <c r="O391" s="279">
        <f t="shared" si="1"/>
        <v>0</v>
      </c>
      <c r="P391" s="280"/>
      <c r="Q391" s="261" t="str">
        <f t="shared" si="2"/>
        <v>#REF!</v>
      </c>
      <c r="R391" s="290" t="str">
        <f>IF($AI391&gt;0,RANK($AI391,BoysPoints),0)</f>
        <v>#REF!</v>
      </c>
      <c r="S391" s="291" t="str">
        <f>IF($AJ391&gt;0,RANK($AJ391,GirlsPoints),0)</f>
        <v>#REF!</v>
      </c>
      <c r="T391" s="292">
        <f>IF($O391&gt;0,RANK(O391,AthletePoints),0)</f>
        <v>0</v>
      </c>
      <c r="U391" s="210"/>
      <c r="V391" s="330" t="str">
        <f>IF(O391&gt;=40,IF(X391="M",VLOOKUP(O391,UKABoysAwards,2),IF(X391="F",VLOOKUP(O391,UKAGirlsAwards,2),"")),"")</f>
        <v/>
      </c>
      <c r="W391" s="210"/>
      <c r="X391" s="266" t="str">
        <f t="array" ref="X391:X392">INDEX(DB,$B391,4)</f>
        <v>#REF!</v>
      </c>
      <c r="Y391" s="210"/>
      <c r="Z391" s="285" t="str">
        <f t="shared" si="3"/>
        <v>#REF!</v>
      </c>
      <c r="AA391" s="286" t="str">
        <f>IF($Z391&gt;=1,RANK($Z391,$Z389:$Z404),0)</f>
        <v>#REF!</v>
      </c>
      <c r="AB391" s="287" t="str">
        <f>IF(AA391&lt;=MaxS,INT(Z391),0)</f>
        <v>#REF!</v>
      </c>
      <c r="AC391" s="210"/>
      <c r="AD391" s="285" t="str">
        <f t="shared" si="4"/>
        <v>#REF!</v>
      </c>
      <c r="AE391" s="286" t="str">
        <f>IF($AD391&gt;=1,RANK($AD391,$AD389:$AD404),0)</f>
        <v>#REF!</v>
      </c>
      <c r="AF391" s="287" t="str">
        <f>IF(AE391&lt;=MaxS,INT(AD391),0)</f>
        <v>#REF!</v>
      </c>
      <c r="AG391" s="210"/>
      <c r="AH391" s="210"/>
      <c r="AI391" s="288" t="str">
        <f t="shared" si="5"/>
        <v>#REF!</v>
      </c>
      <c r="AJ391" s="289" t="str">
        <f t="shared" si="6"/>
        <v>#REF!</v>
      </c>
    </row>
    <row r="392" ht="15.0" customHeight="1">
      <c r="A392" s="272"/>
      <c r="B392" s="250">
        <f>IF(OR(ISNA(MATCH(C392&amp;"",AthleteNumbers,0)),ISBLANK(C392)),0,MATCH(C392&amp;"",AthleteNumbers,0))</f>
        <v>0</v>
      </c>
      <c r="C392" s="413"/>
      <c r="D392" s="273" t="str">
        <f t="array" ref="D392">IF($B392&gt;0,INDEX(DB,$B392,8),"")</f>
        <v/>
      </c>
      <c r="E392" s="274" t="str">
        <f t="array" ref="E392">IF($B392&gt;0,INDEX(DB,$B392,3),"")</f>
        <v/>
      </c>
      <c r="F392" s="275">
        <f t="array" ref="F392">IF($B392&gt;0,INDEX(DB,$B392,13),0)</f>
        <v>0</v>
      </c>
      <c r="G392" s="276">
        <f t="array" ref="G392">IF($B392&gt;0,INDEX(DB,$B392,17),0)</f>
        <v>0</v>
      </c>
      <c r="H392" s="277">
        <f t="array" ref="H392">IF($B392&gt;0,INDEX(DB,$B392,15),0)</f>
        <v>0</v>
      </c>
      <c r="I392" s="276">
        <f t="array" ref="I392">IF($B392&gt;0,INDEX(DB,$B392,19),0)</f>
        <v>0</v>
      </c>
      <c r="J392" s="277">
        <f t="array" ref="J392">IF($B392&gt;0,INDEX(DB,$B392,14),0)</f>
        <v>0</v>
      </c>
      <c r="K392" s="276">
        <f t="array" ref="K392">IF($B392&gt;0,INDEX(DB,$B392,18),0)</f>
        <v>0</v>
      </c>
      <c r="L392" s="275">
        <f t="array" ref="L392">IF($B392&gt;0,INDEX(DB,$B392,16),0)</f>
        <v>0</v>
      </c>
      <c r="M392" s="276">
        <f t="array" ref="M392">IF($B392&gt;0,INDEX(DB,$B392,20),0)</f>
        <v>0</v>
      </c>
      <c r="N392" s="278"/>
      <c r="O392" s="279">
        <f t="shared" si="1"/>
        <v>0</v>
      </c>
      <c r="P392" s="280"/>
      <c r="Q392" s="261" t="str">
        <f t="shared" si="2"/>
        <v>#REF!</v>
      </c>
      <c r="R392" s="281" t="str">
        <f>IF($AI392&gt;0,RANK($AI392,BoysPoints),0)</f>
        <v>#REF!</v>
      </c>
      <c r="S392" s="282" t="str">
        <f>IF($AJ392&gt;0,RANK($AJ392,GirlsPoints),0)</f>
        <v>#REF!</v>
      </c>
      <c r="T392" s="283">
        <f>IF($O392&gt;0,RANK(O392,AthletePoints),0)</f>
        <v>0</v>
      </c>
      <c r="U392" s="210"/>
      <c r="V392" s="415" t="str">
        <f>IF(O392&gt;=40,IF(X392="M",VLOOKUP(O392,UKABoysAwards,2),IF(X392="F",VLOOKUP(O392,UKAGirlsAwards,2),"")),"")</f>
        <v/>
      </c>
      <c r="W392" s="210"/>
      <c r="X392" s="266" t="str">
        <f t="array" ref="X392:X393">INDEX(DB,$B392,4)</f>
        <v>#REF!</v>
      </c>
      <c r="Y392" s="210"/>
      <c r="Z392" s="285" t="str">
        <f t="shared" si="3"/>
        <v>#REF!</v>
      </c>
      <c r="AA392" s="286" t="str">
        <f>IF($Z392&gt;=1,RANK($Z392,$Z389:$Z404),0)</f>
        <v>#REF!</v>
      </c>
      <c r="AB392" s="287" t="str">
        <f>IF(AA392&lt;=MaxS,INT(Z392),0)</f>
        <v>#REF!</v>
      </c>
      <c r="AC392" s="210"/>
      <c r="AD392" s="285" t="str">
        <f t="shared" si="4"/>
        <v>#REF!</v>
      </c>
      <c r="AE392" s="286" t="str">
        <f>IF($AD392&gt;=1,RANK($AD392,$AD389:$AD404),0)</f>
        <v>#REF!</v>
      </c>
      <c r="AF392" s="287" t="str">
        <f>IF(AE392&lt;=MaxS,INT(AD392),0)</f>
        <v>#REF!</v>
      </c>
      <c r="AG392" s="210"/>
      <c r="AH392" s="210"/>
      <c r="AI392" s="288" t="str">
        <f t="shared" si="5"/>
        <v>#REF!</v>
      </c>
      <c r="AJ392" s="289" t="str">
        <f t="shared" si="6"/>
        <v>#REF!</v>
      </c>
    </row>
    <row r="393" ht="15.0" customHeight="1">
      <c r="A393" s="272"/>
      <c r="B393" s="250">
        <f>IF(OR(ISNA(MATCH(C393&amp;"",AthleteNumbers,0)),ISBLANK(C393)),0,MATCH(C393&amp;"",AthleteNumbers,0))</f>
        <v>0</v>
      </c>
      <c r="C393" s="413"/>
      <c r="D393" s="273" t="str">
        <f t="array" ref="D393">IF($B393&gt;0,INDEX(DB,$B393,8),"")</f>
        <v/>
      </c>
      <c r="E393" s="274" t="str">
        <f t="array" ref="E393">IF($B393&gt;0,INDEX(DB,$B393,3),"")</f>
        <v/>
      </c>
      <c r="F393" s="275">
        <f t="array" ref="F393">IF($B393&gt;0,INDEX(DB,$B393,13),0)</f>
        <v>0</v>
      </c>
      <c r="G393" s="276">
        <f t="array" ref="G393">IF($B393&gt;0,INDEX(DB,$B393,17),0)</f>
        <v>0</v>
      </c>
      <c r="H393" s="277">
        <f t="array" ref="H393">IF($B393&gt;0,INDEX(DB,$B393,15),0)</f>
        <v>0</v>
      </c>
      <c r="I393" s="276">
        <f t="array" ref="I393">IF($B393&gt;0,INDEX(DB,$B393,19),0)</f>
        <v>0</v>
      </c>
      <c r="J393" s="277">
        <f t="array" ref="J393">IF($B393&gt;0,INDEX(DB,$B393,14),0)</f>
        <v>0</v>
      </c>
      <c r="K393" s="276">
        <f t="array" ref="K393">IF($B393&gt;0,INDEX(DB,$B393,18),0)</f>
        <v>0</v>
      </c>
      <c r="L393" s="275">
        <f t="array" ref="L393">IF($B393&gt;0,INDEX(DB,$B393,16),0)</f>
        <v>0</v>
      </c>
      <c r="M393" s="276">
        <f t="array" ref="M393">IF($B393&gt;0,INDEX(DB,$B393,20),0)</f>
        <v>0</v>
      </c>
      <c r="N393" s="278"/>
      <c r="O393" s="279">
        <f t="shared" si="1"/>
        <v>0</v>
      </c>
      <c r="P393" s="280"/>
      <c r="Q393" s="261" t="str">
        <f t="shared" si="2"/>
        <v>#REF!</v>
      </c>
      <c r="R393" s="290" t="str">
        <f>IF($AI393&gt;0,RANK($AI393,BoysPoints),0)</f>
        <v>#REF!</v>
      </c>
      <c r="S393" s="291" t="str">
        <f>IF($AJ393&gt;0,RANK($AJ393,GirlsPoints),0)</f>
        <v>#REF!</v>
      </c>
      <c r="T393" s="292">
        <f>IF($O393&gt;0,RANK(O393,AthletePoints),0)</f>
        <v>0</v>
      </c>
      <c r="U393" s="210"/>
      <c r="V393" s="330" t="str">
        <f>IF(O393&gt;=40,IF(X393="M",VLOOKUP(O393,UKABoysAwards,2),IF(X393="F",VLOOKUP(O393,UKAGirlsAwards,2),"")),"")</f>
        <v/>
      </c>
      <c r="W393" s="210"/>
      <c r="X393" s="266" t="str">
        <f t="array" ref="X393:X394">INDEX(DB,$B393,4)</f>
        <v>#REF!</v>
      </c>
      <c r="Y393" s="210"/>
      <c r="Z393" s="285" t="str">
        <f t="shared" si="3"/>
        <v>#REF!</v>
      </c>
      <c r="AA393" s="286" t="str">
        <f>IF($Z393&gt;=1,RANK($Z393,$Z389:$Z404),0)</f>
        <v>#REF!</v>
      </c>
      <c r="AB393" s="287" t="str">
        <f>IF(AA393&lt;=MaxS,INT(Z393),0)</f>
        <v>#REF!</v>
      </c>
      <c r="AC393" s="210"/>
      <c r="AD393" s="285" t="str">
        <f t="shared" si="4"/>
        <v>#REF!</v>
      </c>
      <c r="AE393" s="286" t="str">
        <f>IF($AD393&gt;=1,RANK($AD393,$AD389:$AD404),0)</f>
        <v>#REF!</v>
      </c>
      <c r="AF393" s="287" t="str">
        <f>IF(AE393&lt;=MaxS,INT(AD393),0)</f>
        <v>#REF!</v>
      </c>
      <c r="AG393" s="210"/>
      <c r="AH393" s="210"/>
      <c r="AI393" s="288" t="str">
        <f t="shared" si="5"/>
        <v>#REF!</v>
      </c>
      <c r="AJ393" s="289" t="str">
        <f t="shared" si="6"/>
        <v>#REF!</v>
      </c>
    </row>
    <row r="394" ht="15.0" customHeight="1">
      <c r="A394" s="272"/>
      <c r="B394" s="250">
        <f>IF(OR(ISNA(MATCH(C394&amp;"",AthleteNumbers,0)),ISBLANK(C394)),0,MATCH(C394&amp;"",AthleteNumbers,0))</f>
        <v>0</v>
      </c>
      <c r="C394" s="413"/>
      <c r="D394" s="273" t="str">
        <f t="array" ref="D394">IF($B394&gt;0,INDEX(DB,$B394,8),"")</f>
        <v/>
      </c>
      <c r="E394" s="274" t="str">
        <f t="array" ref="E394">IF($B394&gt;0,INDEX(DB,$B394,3),"")</f>
        <v/>
      </c>
      <c r="F394" s="275">
        <f t="array" ref="F394">IF($B394&gt;0,INDEX(DB,$B394,13),0)</f>
        <v>0</v>
      </c>
      <c r="G394" s="276">
        <f t="array" ref="G394">IF($B394&gt;0,INDEX(DB,$B394,17),0)</f>
        <v>0</v>
      </c>
      <c r="H394" s="277">
        <f t="array" ref="H394">IF($B394&gt;0,INDEX(DB,$B394,15),0)</f>
        <v>0</v>
      </c>
      <c r="I394" s="276">
        <f t="array" ref="I394">IF($B394&gt;0,INDEX(DB,$B394,19),0)</f>
        <v>0</v>
      </c>
      <c r="J394" s="277">
        <f t="array" ref="J394">IF($B394&gt;0,INDEX(DB,$B394,14),0)</f>
        <v>0</v>
      </c>
      <c r="K394" s="276">
        <f t="array" ref="K394">IF($B394&gt;0,INDEX(DB,$B394,18),0)</f>
        <v>0</v>
      </c>
      <c r="L394" s="275">
        <f t="array" ref="L394">IF($B394&gt;0,INDEX(DB,$B394,16),0)</f>
        <v>0</v>
      </c>
      <c r="M394" s="276">
        <f t="array" ref="M394">IF($B394&gt;0,INDEX(DB,$B394,20),0)</f>
        <v>0</v>
      </c>
      <c r="N394" s="278"/>
      <c r="O394" s="279">
        <f t="shared" si="1"/>
        <v>0</v>
      </c>
      <c r="P394" s="280"/>
      <c r="Q394" s="261" t="str">
        <f t="shared" si="2"/>
        <v>#REF!</v>
      </c>
      <c r="R394" s="281" t="str">
        <f>IF($AI394&gt;0,RANK($AI394,BoysPoints),0)</f>
        <v>#REF!</v>
      </c>
      <c r="S394" s="282" t="str">
        <f>IF($AJ394&gt;0,RANK($AJ394,GirlsPoints),0)</f>
        <v>#REF!</v>
      </c>
      <c r="T394" s="283">
        <f>IF($O394&gt;0,RANK(O394,AthletePoints),0)</f>
        <v>0</v>
      </c>
      <c r="U394" s="210"/>
      <c r="V394" s="415" t="str">
        <f>IF(O394&gt;=40,IF(X394="M",VLOOKUP(O394,UKABoysAwards,2),IF(X394="F",VLOOKUP(O394,UKAGirlsAwards,2),"")),"")</f>
        <v/>
      </c>
      <c r="W394" s="210"/>
      <c r="X394" s="266" t="str">
        <f t="array" ref="X394:X395">INDEX(DB,$B394,4)</f>
        <v>#REF!</v>
      </c>
      <c r="Y394" s="210"/>
      <c r="Z394" s="285" t="str">
        <f t="shared" si="3"/>
        <v>#REF!</v>
      </c>
      <c r="AA394" s="286" t="str">
        <f>IF($Z394&gt;=1,RANK($Z394,$Z389:$Z404),0)</f>
        <v>#REF!</v>
      </c>
      <c r="AB394" s="287" t="str">
        <f>IF(AA394&lt;=MaxS,INT(Z394),0)</f>
        <v>#REF!</v>
      </c>
      <c r="AC394" s="210"/>
      <c r="AD394" s="285" t="str">
        <f t="shared" si="4"/>
        <v>#REF!</v>
      </c>
      <c r="AE394" s="286" t="str">
        <f>IF($AD394&gt;=1,RANK($AD394,$AD389:$AD404),0)</f>
        <v>#REF!</v>
      </c>
      <c r="AF394" s="287" t="str">
        <f>IF(AE394&lt;=MaxS,INT(AD394),0)</f>
        <v>#REF!</v>
      </c>
      <c r="AG394" s="210"/>
      <c r="AH394" s="210"/>
      <c r="AI394" s="288" t="str">
        <f t="shared" si="5"/>
        <v>#REF!</v>
      </c>
      <c r="AJ394" s="289" t="str">
        <f t="shared" si="6"/>
        <v>#REF!</v>
      </c>
    </row>
    <row r="395" ht="15.0" customHeight="1">
      <c r="A395" s="272"/>
      <c r="B395" s="250">
        <f>IF(OR(ISNA(MATCH(C395&amp;"",AthleteNumbers,0)),ISBLANK(C395)),0,MATCH(C395&amp;"",AthleteNumbers,0))</f>
        <v>0</v>
      </c>
      <c r="C395" s="413"/>
      <c r="D395" s="273" t="str">
        <f t="array" ref="D395">IF($B395&gt;0,INDEX(DB,$B395,8),"")</f>
        <v/>
      </c>
      <c r="E395" s="274" t="str">
        <f t="array" ref="E395">IF($B395&gt;0,INDEX(DB,$B395,3),"")</f>
        <v/>
      </c>
      <c r="F395" s="275">
        <f t="array" ref="F395">IF($B395&gt;0,INDEX(DB,$B395,13),0)</f>
        <v>0</v>
      </c>
      <c r="G395" s="276">
        <f t="array" ref="G395">IF($B395&gt;0,INDEX(DB,$B395,17),0)</f>
        <v>0</v>
      </c>
      <c r="H395" s="277">
        <f t="array" ref="H395">IF($B395&gt;0,INDEX(DB,$B395,15),0)</f>
        <v>0</v>
      </c>
      <c r="I395" s="276">
        <f t="array" ref="I395">IF($B395&gt;0,INDEX(DB,$B395,19),0)</f>
        <v>0</v>
      </c>
      <c r="J395" s="277">
        <f t="array" ref="J395">IF($B395&gt;0,INDEX(DB,$B395,14),0)</f>
        <v>0</v>
      </c>
      <c r="K395" s="276">
        <f t="array" ref="K395">IF($B395&gt;0,INDEX(DB,$B395,18),0)</f>
        <v>0</v>
      </c>
      <c r="L395" s="275">
        <f t="array" ref="L395">IF($B395&gt;0,INDEX(DB,$B395,16),0)</f>
        <v>0</v>
      </c>
      <c r="M395" s="276">
        <f t="array" ref="M395">IF($B395&gt;0,INDEX(DB,$B395,20),0)</f>
        <v>0</v>
      </c>
      <c r="N395" s="278"/>
      <c r="O395" s="279">
        <f t="shared" si="1"/>
        <v>0</v>
      </c>
      <c r="P395" s="280"/>
      <c r="Q395" s="261" t="str">
        <f t="shared" si="2"/>
        <v>#REF!</v>
      </c>
      <c r="R395" s="290" t="str">
        <f>IF($AI395&gt;0,RANK($AI395,BoysPoints),0)</f>
        <v>#REF!</v>
      </c>
      <c r="S395" s="291" t="str">
        <f>IF($AJ395&gt;0,RANK($AJ395,GirlsPoints),0)</f>
        <v>#REF!</v>
      </c>
      <c r="T395" s="292">
        <f>IF($O395&gt;0,RANK(O395,AthletePoints),0)</f>
        <v>0</v>
      </c>
      <c r="U395" s="210"/>
      <c r="V395" s="330" t="str">
        <f>IF(O395&gt;=40,IF(X395="M",VLOOKUP(O395,UKABoysAwards,2),IF(X395="F",VLOOKUP(O395,UKAGirlsAwards,2),"")),"")</f>
        <v/>
      </c>
      <c r="W395" s="210"/>
      <c r="X395" s="266" t="str">
        <f t="array" ref="X395:X396">INDEX(DB,$B395,4)</f>
        <v>#REF!</v>
      </c>
      <c r="Y395" s="210"/>
      <c r="Z395" s="285" t="str">
        <f t="shared" si="3"/>
        <v>#REF!</v>
      </c>
      <c r="AA395" s="286" t="str">
        <f>IF($Z395&gt;=1,RANK($Z395,$Z389:$Z404),0)</f>
        <v>#REF!</v>
      </c>
      <c r="AB395" s="287" t="str">
        <f>IF(AA395&lt;=MaxS,INT(Z395),0)</f>
        <v>#REF!</v>
      </c>
      <c r="AC395" s="210"/>
      <c r="AD395" s="285" t="str">
        <f t="shared" si="4"/>
        <v>#REF!</v>
      </c>
      <c r="AE395" s="286" t="str">
        <f>IF($AD395&gt;=1,RANK($AD395,$AD389:$AD404),0)</f>
        <v>#REF!</v>
      </c>
      <c r="AF395" s="287" t="str">
        <f>IF(AE395&lt;=MaxS,INT(AD395),0)</f>
        <v>#REF!</v>
      </c>
      <c r="AG395" s="210"/>
      <c r="AH395" s="210"/>
      <c r="AI395" s="288" t="str">
        <f t="shared" si="5"/>
        <v>#REF!</v>
      </c>
      <c r="AJ395" s="289" t="str">
        <f t="shared" si="6"/>
        <v>#REF!</v>
      </c>
    </row>
    <row r="396" ht="15.0" customHeight="1">
      <c r="A396" s="272"/>
      <c r="B396" s="250">
        <f>IF(OR(ISNA(MATCH(C396&amp;"",AthleteNumbers,0)),ISBLANK(C396)),0,MATCH(C396&amp;"",AthleteNumbers,0))</f>
        <v>0</v>
      </c>
      <c r="C396" s="413"/>
      <c r="D396" s="273" t="str">
        <f t="array" ref="D396">IF($B396&gt;0,INDEX(DB,$B396,8),"")</f>
        <v/>
      </c>
      <c r="E396" s="274" t="str">
        <f t="array" ref="E396">IF($B396&gt;0,INDEX(DB,$B396,3),"")</f>
        <v/>
      </c>
      <c r="F396" s="275">
        <f t="array" ref="F396">IF($B396&gt;0,INDEX(DB,$B396,13),0)</f>
        <v>0</v>
      </c>
      <c r="G396" s="276">
        <f t="array" ref="G396">IF($B396&gt;0,INDEX(DB,$B396,17),0)</f>
        <v>0</v>
      </c>
      <c r="H396" s="277">
        <f t="array" ref="H396">IF($B396&gt;0,INDEX(DB,$B396,15),0)</f>
        <v>0</v>
      </c>
      <c r="I396" s="276">
        <f t="array" ref="I396">IF($B396&gt;0,INDEX(DB,$B396,19),0)</f>
        <v>0</v>
      </c>
      <c r="J396" s="277">
        <f t="array" ref="J396">IF($B396&gt;0,INDEX(DB,$B396,14),0)</f>
        <v>0</v>
      </c>
      <c r="K396" s="276">
        <f t="array" ref="K396">IF($B396&gt;0,INDEX(DB,$B396,18),0)</f>
        <v>0</v>
      </c>
      <c r="L396" s="275">
        <f t="array" ref="L396">IF($B396&gt;0,INDEX(DB,$B396,16),0)</f>
        <v>0</v>
      </c>
      <c r="M396" s="276">
        <f t="array" ref="M396">IF($B396&gt;0,INDEX(DB,$B396,20),0)</f>
        <v>0</v>
      </c>
      <c r="N396" s="278"/>
      <c r="O396" s="279">
        <f t="shared" si="1"/>
        <v>0</v>
      </c>
      <c r="P396" s="280"/>
      <c r="Q396" s="261" t="str">
        <f t="shared" si="2"/>
        <v>#REF!</v>
      </c>
      <c r="R396" s="281" t="str">
        <f>IF($AI396&gt;0,RANK($AI396,BoysPoints),0)</f>
        <v>#REF!</v>
      </c>
      <c r="S396" s="282" t="str">
        <f>IF($AJ396&gt;0,RANK($AJ396,GirlsPoints),0)</f>
        <v>#REF!</v>
      </c>
      <c r="T396" s="283">
        <f>IF($O396&gt;0,RANK(O396,AthletePoints),0)</f>
        <v>0</v>
      </c>
      <c r="U396" s="210"/>
      <c r="V396" s="415" t="str">
        <f>IF(O396&gt;=40,IF(X396="M",VLOOKUP(O396,UKABoysAwards,2),IF(X396="F",VLOOKUP(O396,UKAGirlsAwards,2),"")),"")</f>
        <v/>
      </c>
      <c r="W396" s="210"/>
      <c r="X396" s="266" t="str">
        <f t="array" ref="X396:X397">INDEX(DB,$B396,4)</f>
        <v>#REF!</v>
      </c>
      <c r="Y396" s="210"/>
      <c r="Z396" s="285" t="str">
        <f t="shared" si="3"/>
        <v>#REF!</v>
      </c>
      <c r="AA396" s="286" t="str">
        <f>IF($Z396&gt;=1,RANK($Z396,$Z389:$Z404),0)</f>
        <v>#REF!</v>
      </c>
      <c r="AB396" s="287" t="str">
        <f>IF(AA396&lt;=MaxS,INT(Z396),0)</f>
        <v>#REF!</v>
      </c>
      <c r="AC396" s="210"/>
      <c r="AD396" s="285" t="str">
        <f t="shared" si="4"/>
        <v>#REF!</v>
      </c>
      <c r="AE396" s="286" t="str">
        <f>IF($AD396&gt;=1,RANK($AD396,$AD389:$AD404),0)</f>
        <v>#REF!</v>
      </c>
      <c r="AF396" s="287" t="str">
        <f>IF(AE396&lt;=MaxS,INT(AD396),0)</f>
        <v>#REF!</v>
      </c>
      <c r="AG396" s="210"/>
      <c r="AH396" s="210"/>
      <c r="AI396" s="288" t="str">
        <f t="shared" si="5"/>
        <v>#REF!</v>
      </c>
      <c r="AJ396" s="289" t="str">
        <f t="shared" si="6"/>
        <v>#REF!</v>
      </c>
    </row>
    <row r="397" ht="15.0" customHeight="1">
      <c r="A397" s="272"/>
      <c r="B397" s="250">
        <f>IF(OR(ISNA(MATCH(C397&amp;"",AthleteNumbers,0)),ISBLANK(C397)),0,MATCH(C397&amp;"",AthleteNumbers,0))</f>
        <v>0</v>
      </c>
      <c r="C397" s="413"/>
      <c r="D397" s="273" t="str">
        <f t="array" ref="D397">IF($B397&gt;0,INDEX(DB,$B397,8),"")</f>
        <v/>
      </c>
      <c r="E397" s="274" t="str">
        <f t="array" ref="E397">IF($B397&gt;0,INDEX(DB,$B397,3),"")</f>
        <v/>
      </c>
      <c r="F397" s="275">
        <f t="array" ref="F397">IF($B397&gt;0,INDEX(DB,$B397,13),0)</f>
        <v>0</v>
      </c>
      <c r="G397" s="276">
        <f t="array" ref="G397">IF($B397&gt;0,INDEX(DB,$B397,17),0)</f>
        <v>0</v>
      </c>
      <c r="H397" s="277">
        <f t="array" ref="H397">IF($B397&gt;0,INDEX(DB,$B397,15),0)</f>
        <v>0</v>
      </c>
      <c r="I397" s="276">
        <f t="array" ref="I397">IF($B397&gt;0,INDEX(DB,$B397,19),0)</f>
        <v>0</v>
      </c>
      <c r="J397" s="277">
        <f t="array" ref="J397">IF($B397&gt;0,INDEX(DB,$B397,14),0)</f>
        <v>0</v>
      </c>
      <c r="K397" s="276">
        <f t="array" ref="K397">IF($B397&gt;0,INDEX(DB,$B397,18),0)</f>
        <v>0</v>
      </c>
      <c r="L397" s="275">
        <f t="array" ref="L397">IF($B397&gt;0,INDEX(DB,$B397,16),0)</f>
        <v>0</v>
      </c>
      <c r="M397" s="276">
        <f t="array" ref="M397">IF($B397&gt;0,INDEX(DB,$B397,20),0)</f>
        <v>0</v>
      </c>
      <c r="N397" s="278"/>
      <c r="O397" s="279">
        <f t="shared" si="1"/>
        <v>0</v>
      </c>
      <c r="P397" s="280"/>
      <c r="Q397" s="261" t="str">
        <f t="shared" si="2"/>
        <v>#REF!</v>
      </c>
      <c r="R397" s="290" t="str">
        <f>IF($AI397&gt;0,RANK($AI397,BoysPoints),0)</f>
        <v>#REF!</v>
      </c>
      <c r="S397" s="291" t="str">
        <f>IF($AJ397&gt;0,RANK($AJ397,GirlsPoints),0)</f>
        <v>#REF!</v>
      </c>
      <c r="T397" s="292">
        <f>IF($O397&gt;0,RANK(O397,AthletePoints),0)</f>
        <v>0</v>
      </c>
      <c r="U397" s="210"/>
      <c r="V397" s="330" t="str">
        <f>IF(O397&gt;=40,IF(X397="M",VLOOKUP(O397,UKABoysAwards,2),IF(X397="F",VLOOKUP(O397,UKAGirlsAwards,2),"")),"")</f>
        <v/>
      </c>
      <c r="W397" s="210"/>
      <c r="X397" s="266" t="str">
        <f t="array" ref="X397:X398">INDEX(DB,$B397,4)</f>
        <v>#REF!</v>
      </c>
      <c r="Y397" s="210"/>
      <c r="Z397" s="285" t="str">
        <f t="shared" si="3"/>
        <v>#REF!</v>
      </c>
      <c r="AA397" s="286" t="str">
        <f>IF($Z397&gt;=1,RANK($Z397,$Z389:$Z404),0)</f>
        <v>#REF!</v>
      </c>
      <c r="AB397" s="287" t="str">
        <f>IF(AA397&lt;=MaxS,INT(Z397),0)</f>
        <v>#REF!</v>
      </c>
      <c r="AC397" s="210"/>
      <c r="AD397" s="285" t="str">
        <f t="shared" si="4"/>
        <v>#REF!</v>
      </c>
      <c r="AE397" s="286" t="str">
        <f>IF($AD397&gt;=1,RANK($AD397,$AD389:$AD404),0)</f>
        <v>#REF!</v>
      </c>
      <c r="AF397" s="287" t="str">
        <f>IF(AE397&lt;=MaxS,INT(AD397),0)</f>
        <v>#REF!</v>
      </c>
      <c r="AG397" s="210"/>
      <c r="AH397" s="210"/>
      <c r="AI397" s="288" t="str">
        <f t="shared" si="5"/>
        <v>#REF!</v>
      </c>
      <c r="AJ397" s="289" t="str">
        <f t="shared" si="6"/>
        <v>#REF!</v>
      </c>
    </row>
    <row r="398" ht="15.0" customHeight="1">
      <c r="A398" s="272"/>
      <c r="B398" s="250">
        <f>IF(OR(ISNA(MATCH(C398&amp;"",AthleteNumbers,0)),ISBLANK(C398)),0,MATCH(C398&amp;"",AthleteNumbers,0))</f>
        <v>0</v>
      </c>
      <c r="C398" s="413"/>
      <c r="D398" s="273" t="str">
        <f t="array" ref="D398">IF($B398&gt;0,INDEX(DB,$B398,8),"")</f>
        <v/>
      </c>
      <c r="E398" s="274" t="str">
        <f t="array" ref="E398">IF($B398&gt;0,INDEX(DB,$B398,3),"")</f>
        <v/>
      </c>
      <c r="F398" s="275">
        <f t="array" ref="F398">IF($B398&gt;0,INDEX(DB,$B398,13),0)</f>
        <v>0</v>
      </c>
      <c r="G398" s="276">
        <f t="array" ref="G398">IF($B398&gt;0,INDEX(DB,$B398,17),0)</f>
        <v>0</v>
      </c>
      <c r="H398" s="277">
        <f t="array" ref="H398">IF($B398&gt;0,INDEX(DB,$B398,15),0)</f>
        <v>0</v>
      </c>
      <c r="I398" s="276">
        <f t="array" ref="I398">IF($B398&gt;0,INDEX(DB,$B398,19),0)</f>
        <v>0</v>
      </c>
      <c r="J398" s="277">
        <f t="array" ref="J398">IF($B398&gt;0,INDEX(DB,$B398,14),0)</f>
        <v>0</v>
      </c>
      <c r="K398" s="276">
        <f t="array" ref="K398">IF($B398&gt;0,INDEX(DB,$B398,18),0)</f>
        <v>0</v>
      </c>
      <c r="L398" s="275">
        <f t="array" ref="L398">IF($B398&gt;0,INDEX(DB,$B398,16),0)</f>
        <v>0</v>
      </c>
      <c r="M398" s="276">
        <f t="array" ref="M398">IF($B398&gt;0,INDEX(DB,$B398,20),0)</f>
        <v>0</v>
      </c>
      <c r="N398" s="278"/>
      <c r="O398" s="279">
        <f t="shared" si="1"/>
        <v>0</v>
      </c>
      <c r="P398" s="280"/>
      <c r="Q398" s="261" t="str">
        <f t="shared" si="2"/>
        <v>#REF!</v>
      </c>
      <c r="R398" s="281" t="str">
        <f>IF($AI398&gt;0,RANK($AI398,BoysPoints),0)</f>
        <v>#REF!</v>
      </c>
      <c r="S398" s="282" t="str">
        <f>IF($AJ398&gt;0,RANK($AJ398,GirlsPoints),0)</f>
        <v>#REF!</v>
      </c>
      <c r="T398" s="283">
        <f>IF($O398&gt;0,RANK(O398,AthletePoints),0)</f>
        <v>0</v>
      </c>
      <c r="U398" s="210"/>
      <c r="V398" s="415" t="str">
        <f>IF(O398&gt;=40,IF(X398="M",VLOOKUP(O398,UKABoysAwards,2),IF(X398="F",VLOOKUP(O398,UKAGirlsAwards,2),"")),"")</f>
        <v/>
      </c>
      <c r="W398" s="210"/>
      <c r="X398" s="266" t="str">
        <f t="array" ref="X398:X399">INDEX(DB,$B398,4)</f>
        <v>#REF!</v>
      </c>
      <c r="Y398" s="210"/>
      <c r="Z398" s="285" t="str">
        <f t="shared" si="3"/>
        <v>#REF!</v>
      </c>
      <c r="AA398" s="286" t="str">
        <f>IF($Z398&gt;=1,RANK($Z398,$Z389:$Z404),0)</f>
        <v>#REF!</v>
      </c>
      <c r="AB398" s="287" t="str">
        <f>IF(AA398&lt;=MaxS,INT(Z398),0)</f>
        <v>#REF!</v>
      </c>
      <c r="AC398" s="210"/>
      <c r="AD398" s="285" t="str">
        <f t="shared" si="4"/>
        <v>#REF!</v>
      </c>
      <c r="AE398" s="286" t="str">
        <f>IF($AD398&gt;=1,RANK($AD398,$AD389:$AD404),0)</f>
        <v>#REF!</v>
      </c>
      <c r="AF398" s="287" t="str">
        <f>IF(AE398&lt;=MaxS,INT(AD398),0)</f>
        <v>#REF!</v>
      </c>
      <c r="AG398" s="210"/>
      <c r="AH398" s="210"/>
      <c r="AI398" s="288" t="str">
        <f t="shared" si="5"/>
        <v>#REF!</v>
      </c>
      <c r="AJ398" s="289" t="str">
        <f t="shared" si="6"/>
        <v>#REF!</v>
      </c>
    </row>
    <row r="399" ht="15.0" customHeight="1">
      <c r="A399" s="272"/>
      <c r="B399" s="250">
        <f>IF(OR(ISNA(MATCH(C399&amp;"",AthleteNumbers,0)),ISBLANK(C399)),0,MATCH(C399&amp;"",AthleteNumbers,0))</f>
        <v>0</v>
      </c>
      <c r="C399" s="413"/>
      <c r="D399" s="273" t="str">
        <f t="array" ref="D399">IF($B399&gt;0,INDEX(DB,$B399,8),"")</f>
        <v/>
      </c>
      <c r="E399" s="274" t="str">
        <f t="array" ref="E399">IF($B399&gt;0,INDEX(DB,$B399,3),"")</f>
        <v/>
      </c>
      <c r="F399" s="275">
        <f t="array" ref="F399">IF($B399&gt;0,INDEX(DB,$B399,13),0)</f>
        <v>0</v>
      </c>
      <c r="G399" s="276">
        <f t="array" ref="G399">IF($B399&gt;0,INDEX(DB,$B399,17),0)</f>
        <v>0</v>
      </c>
      <c r="H399" s="277">
        <f t="array" ref="H399">IF($B399&gt;0,INDEX(DB,$B399,15),0)</f>
        <v>0</v>
      </c>
      <c r="I399" s="276">
        <f t="array" ref="I399">IF($B399&gt;0,INDEX(DB,$B399,19),0)</f>
        <v>0</v>
      </c>
      <c r="J399" s="277">
        <f t="array" ref="J399">IF($B399&gt;0,INDEX(DB,$B399,14),0)</f>
        <v>0</v>
      </c>
      <c r="K399" s="276">
        <f t="array" ref="K399">IF($B399&gt;0,INDEX(DB,$B399,18),0)</f>
        <v>0</v>
      </c>
      <c r="L399" s="275">
        <f t="array" ref="L399">IF($B399&gt;0,INDEX(DB,$B399,16),0)</f>
        <v>0</v>
      </c>
      <c r="M399" s="276">
        <f t="array" ref="M399">IF($B399&gt;0,INDEX(DB,$B399,20),0)</f>
        <v>0</v>
      </c>
      <c r="N399" s="278"/>
      <c r="O399" s="279">
        <f t="shared" si="1"/>
        <v>0</v>
      </c>
      <c r="P399" s="280"/>
      <c r="Q399" s="261" t="str">
        <f t="shared" si="2"/>
        <v>#REF!</v>
      </c>
      <c r="R399" s="290" t="str">
        <f>IF($AI399&gt;0,RANK($AI399,BoysPoints),0)</f>
        <v>#REF!</v>
      </c>
      <c r="S399" s="291" t="str">
        <f>IF($AJ399&gt;0,RANK($AJ399,GirlsPoints),0)</f>
        <v>#REF!</v>
      </c>
      <c r="T399" s="292">
        <f>IF($O399&gt;0,RANK(O399,AthletePoints),0)</f>
        <v>0</v>
      </c>
      <c r="U399" s="210"/>
      <c r="V399" s="330" t="str">
        <f>IF(O399&gt;=40,IF(X399="M",VLOOKUP(O399,UKABoysAwards,2),IF(X399="F",VLOOKUP(O399,UKAGirlsAwards,2),"")),"")</f>
        <v/>
      </c>
      <c r="W399" s="210"/>
      <c r="X399" s="266" t="str">
        <f t="array" ref="X399:X400">INDEX(DB,$B399,4)</f>
        <v>#REF!</v>
      </c>
      <c r="Y399" s="210"/>
      <c r="Z399" s="285" t="str">
        <f t="shared" si="3"/>
        <v>#REF!</v>
      </c>
      <c r="AA399" s="286" t="str">
        <f>IF($Z399&gt;=1,RANK($Z399,$Z389:$Z404),0)</f>
        <v>#REF!</v>
      </c>
      <c r="AB399" s="287" t="str">
        <f>IF(AA399&lt;=MaxS,INT(Z399),0)</f>
        <v>#REF!</v>
      </c>
      <c r="AC399" s="210"/>
      <c r="AD399" s="285" t="str">
        <f t="shared" si="4"/>
        <v>#REF!</v>
      </c>
      <c r="AE399" s="286" t="str">
        <f>IF($AD399&gt;=1,RANK($AD399,$AD389:$AD404),0)</f>
        <v>#REF!</v>
      </c>
      <c r="AF399" s="287" t="str">
        <f>IF(AE399&lt;=MaxS,INT(AD399),0)</f>
        <v>#REF!</v>
      </c>
      <c r="AG399" s="210"/>
      <c r="AH399" s="210"/>
      <c r="AI399" s="288" t="str">
        <f t="shared" si="5"/>
        <v>#REF!</v>
      </c>
      <c r="AJ399" s="289" t="str">
        <f t="shared" si="6"/>
        <v>#REF!</v>
      </c>
    </row>
    <row r="400" ht="15.0" customHeight="1">
      <c r="A400" s="272"/>
      <c r="B400" s="250">
        <f>IF(OR(ISNA(MATCH(C400&amp;"",AthleteNumbers,0)),ISBLANK(C400)),0,MATCH(C400&amp;"",AthleteNumbers,0))</f>
        <v>0</v>
      </c>
      <c r="C400" s="413"/>
      <c r="D400" s="273" t="str">
        <f t="array" ref="D400">IF($B400&gt;0,INDEX(DB,$B400,8),"")</f>
        <v/>
      </c>
      <c r="E400" s="274" t="str">
        <f t="array" ref="E400">IF($B400&gt;0,INDEX(DB,$B400,3),"")</f>
        <v/>
      </c>
      <c r="F400" s="275">
        <f t="array" ref="F400">IF($B400&gt;0,INDEX(DB,$B400,13),0)</f>
        <v>0</v>
      </c>
      <c r="G400" s="276">
        <f t="array" ref="G400">IF($B400&gt;0,INDEX(DB,$B400,17),0)</f>
        <v>0</v>
      </c>
      <c r="H400" s="277">
        <f t="array" ref="H400">IF($B400&gt;0,INDEX(DB,$B400,15),0)</f>
        <v>0</v>
      </c>
      <c r="I400" s="276">
        <f t="array" ref="I400">IF($B400&gt;0,INDEX(DB,$B400,19),0)</f>
        <v>0</v>
      </c>
      <c r="J400" s="277">
        <f t="array" ref="J400">IF($B400&gt;0,INDEX(DB,$B400,14),0)</f>
        <v>0</v>
      </c>
      <c r="K400" s="276">
        <f t="array" ref="K400">IF($B400&gt;0,INDEX(DB,$B400,18),0)</f>
        <v>0</v>
      </c>
      <c r="L400" s="275">
        <f t="array" ref="L400">IF($B400&gt;0,INDEX(DB,$B400,16),0)</f>
        <v>0</v>
      </c>
      <c r="M400" s="276">
        <f t="array" ref="M400">IF($B400&gt;0,INDEX(DB,$B400,20),0)</f>
        <v>0</v>
      </c>
      <c r="N400" s="278"/>
      <c r="O400" s="279">
        <f t="shared" si="1"/>
        <v>0</v>
      </c>
      <c r="P400" s="280"/>
      <c r="Q400" s="261" t="str">
        <f t="shared" si="2"/>
        <v>#REF!</v>
      </c>
      <c r="R400" s="281" t="str">
        <f>IF($AI400&gt;0,RANK($AI400,BoysPoints),0)</f>
        <v>#REF!</v>
      </c>
      <c r="S400" s="282" t="str">
        <f>IF($AJ400&gt;0,RANK($AJ400,GirlsPoints),0)</f>
        <v>#REF!</v>
      </c>
      <c r="T400" s="283">
        <f>IF($O400&gt;0,RANK(O400,AthletePoints),0)</f>
        <v>0</v>
      </c>
      <c r="U400" s="210"/>
      <c r="V400" s="415" t="str">
        <f>IF(O400&gt;=40,IF(X400="M",VLOOKUP(O400,UKABoysAwards,2),IF(X400="F",VLOOKUP(O400,UKAGirlsAwards,2),"")),"")</f>
        <v/>
      </c>
      <c r="W400" s="210"/>
      <c r="X400" s="266" t="str">
        <f t="array" ref="X400:X401">INDEX(DB,$B400,4)</f>
        <v>#REF!</v>
      </c>
      <c r="Y400" s="210"/>
      <c r="Z400" s="285" t="str">
        <f t="shared" si="3"/>
        <v>#REF!</v>
      </c>
      <c r="AA400" s="286" t="str">
        <f>IF($Z400&gt;=1,RANK($Z400,$Z389:$Z404),0)</f>
        <v>#REF!</v>
      </c>
      <c r="AB400" s="287" t="str">
        <f>IF(AA400&lt;=MaxS,INT(Z400),0)</f>
        <v>#REF!</v>
      </c>
      <c r="AC400" s="210"/>
      <c r="AD400" s="285" t="str">
        <f t="shared" si="4"/>
        <v>#REF!</v>
      </c>
      <c r="AE400" s="286" t="str">
        <f>IF($AD400&gt;=1,RANK($AD400,$AD389:$AD404),0)</f>
        <v>#REF!</v>
      </c>
      <c r="AF400" s="287" t="str">
        <f>IF(AE400&lt;=MaxS,INT(AD400),0)</f>
        <v>#REF!</v>
      </c>
      <c r="AG400" s="210"/>
      <c r="AH400" s="210"/>
      <c r="AI400" s="288" t="str">
        <f t="shared" si="5"/>
        <v>#REF!</v>
      </c>
      <c r="AJ400" s="289" t="str">
        <f t="shared" si="6"/>
        <v>#REF!</v>
      </c>
    </row>
    <row r="401" ht="15.0" customHeight="1">
      <c r="A401" s="272"/>
      <c r="B401" s="250">
        <f>IF(OR(ISNA(MATCH(C401&amp;"",AthleteNumbers,0)),ISBLANK(C401)),0,MATCH(C401&amp;"",AthleteNumbers,0))</f>
        <v>0</v>
      </c>
      <c r="C401" s="413"/>
      <c r="D401" s="273" t="str">
        <f t="array" ref="D401">IF($B401&gt;0,INDEX(DB,$B401,8),"")</f>
        <v/>
      </c>
      <c r="E401" s="274" t="str">
        <f t="array" ref="E401">IF($B401&gt;0,INDEX(DB,$B401,3),"")</f>
        <v/>
      </c>
      <c r="F401" s="275">
        <f t="array" ref="F401">IF($B401&gt;0,INDEX(DB,$B401,13),0)</f>
        <v>0</v>
      </c>
      <c r="G401" s="276">
        <f t="array" ref="G401">IF($B401&gt;0,INDEX(DB,$B401,17),0)</f>
        <v>0</v>
      </c>
      <c r="H401" s="277">
        <f t="array" ref="H401">IF($B401&gt;0,INDEX(DB,$B401,15),0)</f>
        <v>0</v>
      </c>
      <c r="I401" s="276">
        <f t="array" ref="I401">IF($B401&gt;0,INDEX(DB,$B401,19),0)</f>
        <v>0</v>
      </c>
      <c r="J401" s="277">
        <f t="array" ref="J401">IF($B401&gt;0,INDEX(DB,$B401,14),0)</f>
        <v>0</v>
      </c>
      <c r="K401" s="276">
        <f t="array" ref="K401">IF($B401&gt;0,INDEX(DB,$B401,18),0)</f>
        <v>0</v>
      </c>
      <c r="L401" s="275">
        <f t="array" ref="L401">IF($B401&gt;0,INDEX(DB,$B401,16),0)</f>
        <v>0</v>
      </c>
      <c r="M401" s="276">
        <f t="array" ref="M401">IF($B401&gt;0,INDEX(DB,$B401,20),0)</f>
        <v>0</v>
      </c>
      <c r="N401" s="278"/>
      <c r="O401" s="279">
        <f t="shared" si="1"/>
        <v>0</v>
      </c>
      <c r="P401" s="280"/>
      <c r="Q401" s="261" t="str">
        <f t="shared" si="2"/>
        <v>#REF!</v>
      </c>
      <c r="R401" s="290" t="str">
        <f>IF($AI401&gt;0,RANK($AI401,BoysPoints),0)</f>
        <v>#REF!</v>
      </c>
      <c r="S401" s="291" t="str">
        <f>IF($AJ401&gt;0,RANK($AJ401,GirlsPoints),0)</f>
        <v>#REF!</v>
      </c>
      <c r="T401" s="292">
        <f>IF($O401&gt;0,RANK(O401,AthletePoints),0)</f>
        <v>0</v>
      </c>
      <c r="U401" s="210"/>
      <c r="V401" s="330" t="str">
        <f>IF(O401&gt;=40,IF(X401="M",VLOOKUP(O401,UKABoysAwards,2),IF(X401="F",VLOOKUP(O401,UKAGirlsAwards,2),"")),"")</f>
        <v/>
      </c>
      <c r="W401" s="210"/>
      <c r="X401" s="266" t="str">
        <f t="array" ref="X401:X402">INDEX(DB,$B401,4)</f>
        <v>#REF!</v>
      </c>
      <c r="Y401" s="210"/>
      <c r="Z401" s="285" t="str">
        <f t="shared" si="3"/>
        <v>#REF!</v>
      </c>
      <c r="AA401" s="286" t="str">
        <f>IF($Z401&gt;=1,RANK($Z401,$Z389:$Z404),0)</f>
        <v>#REF!</v>
      </c>
      <c r="AB401" s="287" t="str">
        <f>IF(AA401&lt;=MaxS,INT(Z401),0)</f>
        <v>#REF!</v>
      </c>
      <c r="AC401" s="210"/>
      <c r="AD401" s="285" t="str">
        <f t="shared" si="4"/>
        <v>#REF!</v>
      </c>
      <c r="AE401" s="286" t="str">
        <f>IF($AD401&gt;=1,RANK($AD401,$AD389:$AD404),0)</f>
        <v>#REF!</v>
      </c>
      <c r="AF401" s="287" t="str">
        <f>IF(AE401&lt;=MaxS,INT(AD401),0)</f>
        <v>#REF!</v>
      </c>
      <c r="AG401" s="210"/>
      <c r="AH401" s="210"/>
      <c r="AI401" s="288" t="str">
        <f t="shared" si="5"/>
        <v>#REF!</v>
      </c>
      <c r="AJ401" s="289" t="str">
        <f t="shared" si="6"/>
        <v>#REF!</v>
      </c>
    </row>
    <row r="402" ht="15.0" customHeight="1">
      <c r="A402" s="272"/>
      <c r="B402" s="250">
        <f>IF(OR(ISNA(MATCH(C402&amp;"",AthleteNumbers,0)),ISBLANK(C402)),0,MATCH(C402&amp;"",AthleteNumbers,0))</f>
        <v>0</v>
      </c>
      <c r="C402" s="413"/>
      <c r="D402" s="273" t="str">
        <f t="array" ref="D402">IF($B402&gt;0,INDEX(DB,$B402,8),"")</f>
        <v/>
      </c>
      <c r="E402" s="274" t="str">
        <f t="array" ref="E402">IF($B402&gt;0,INDEX(DB,$B402,3),"")</f>
        <v/>
      </c>
      <c r="F402" s="275">
        <f t="array" ref="F402">IF($B402&gt;0,INDEX(DB,$B402,13),0)</f>
        <v>0</v>
      </c>
      <c r="G402" s="276">
        <f t="array" ref="G402">IF($B402&gt;0,INDEX(DB,$B402,17),0)</f>
        <v>0</v>
      </c>
      <c r="H402" s="277">
        <f t="array" ref="H402">IF($B402&gt;0,INDEX(DB,$B402,15),0)</f>
        <v>0</v>
      </c>
      <c r="I402" s="276">
        <f t="array" ref="I402">IF($B402&gt;0,INDEX(DB,$B402,19),0)</f>
        <v>0</v>
      </c>
      <c r="J402" s="277">
        <f t="array" ref="J402">IF($B402&gt;0,INDEX(DB,$B402,14),0)</f>
        <v>0</v>
      </c>
      <c r="K402" s="276">
        <f t="array" ref="K402">IF($B402&gt;0,INDEX(DB,$B402,18),0)</f>
        <v>0</v>
      </c>
      <c r="L402" s="275">
        <f t="array" ref="L402">IF($B402&gt;0,INDEX(DB,$B402,16),0)</f>
        <v>0</v>
      </c>
      <c r="M402" s="276">
        <f t="array" ref="M402">IF($B402&gt;0,INDEX(DB,$B402,20),0)</f>
        <v>0</v>
      </c>
      <c r="N402" s="278"/>
      <c r="O402" s="279">
        <f t="shared" si="1"/>
        <v>0</v>
      </c>
      <c r="P402" s="280"/>
      <c r="Q402" s="261" t="str">
        <f t="shared" si="2"/>
        <v>#REF!</v>
      </c>
      <c r="R402" s="281" t="str">
        <f>IF($AI402&gt;0,RANK($AI402,BoysPoints),0)</f>
        <v>#REF!</v>
      </c>
      <c r="S402" s="282" t="str">
        <f>IF($AJ402&gt;0,RANK($AJ402,GirlsPoints),0)</f>
        <v>#REF!</v>
      </c>
      <c r="T402" s="283">
        <f>IF($O402&gt;0,RANK(O402,AthletePoints),0)</f>
        <v>0</v>
      </c>
      <c r="U402" s="210"/>
      <c r="V402" s="415" t="str">
        <f>IF(O402&gt;=40,IF(X402="M",VLOOKUP(O402,UKABoysAwards,2),IF(X402="F",VLOOKUP(O402,UKAGirlsAwards,2),"")),"")</f>
        <v/>
      </c>
      <c r="W402" s="210"/>
      <c r="X402" s="266" t="str">
        <f t="array" ref="X402:X403">INDEX(DB,$B402,4)</f>
        <v>#REF!</v>
      </c>
      <c r="Y402" s="210"/>
      <c r="Z402" s="285" t="str">
        <f t="shared" si="3"/>
        <v>#REF!</v>
      </c>
      <c r="AA402" s="286" t="str">
        <f>IF($Z402&gt;=1,RANK($Z402,$Z389:$Z404),0)</f>
        <v>#REF!</v>
      </c>
      <c r="AB402" s="287" t="str">
        <f>IF(AA402&lt;=MaxS,INT(Z402),0)</f>
        <v>#REF!</v>
      </c>
      <c r="AC402" s="210"/>
      <c r="AD402" s="285" t="str">
        <f t="shared" si="4"/>
        <v>#REF!</v>
      </c>
      <c r="AE402" s="286" t="str">
        <f>IF($AD402&gt;=1,RANK($AD402,$AD389:$AD404),0)</f>
        <v>#REF!</v>
      </c>
      <c r="AF402" s="287" t="str">
        <f>IF(AE402&lt;=MaxS,INT(AD402),0)</f>
        <v>#REF!</v>
      </c>
      <c r="AG402" s="210"/>
      <c r="AH402" s="210"/>
      <c r="AI402" s="288" t="str">
        <f t="shared" si="5"/>
        <v>#REF!</v>
      </c>
      <c r="AJ402" s="289" t="str">
        <f t="shared" si="6"/>
        <v>#REF!</v>
      </c>
    </row>
    <row r="403" ht="15.0" customHeight="1">
      <c r="A403" s="272"/>
      <c r="B403" s="250">
        <f>IF(OR(ISNA(MATCH(C403&amp;"",AthleteNumbers,0)),ISBLANK(C403)),0,MATCH(C403&amp;"",AthleteNumbers,0))</f>
        <v>0</v>
      </c>
      <c r="C403" s="413"/>
      <c r="D403" s="273" t="str">
        <f t="array" ref="D403">IF($B403&gt;0,INDEX(DB,$B403,8),"")</f>
        <v/>
      </c>
      <c r="E403" s="274" t="str">
        <f t="array" ref="E403">IF($B403&gt;0,INDEX(DB,$B403,3),"")</f>
        <v/>
      </c>
      <c r="F403" s="275">
        <f t="array" ref="F403">IF($B403&gt;0,INDEX(DB,$B403,13),0)</f>
        <v>0</v>
      </c>
      <c r="G403" s="276">
        <f t="array" ref="G403">IF($B403&gt;0,INDEX(DB,$B403,17),0)</f>
        <v>0</v>
      </c>
      <c r="H403" s="277">
        <f t="array" ref="H403">IF($B403&gt;0,INDEX(DB,$B403,15),0)</f>
        <v>0</v>
      </c>
      <c r="I403" s="276">
        <f t="array" ref="I403">IF($B403&gt;0,INDEX(DB,$B403,19),0)</f>
        <v>0</v>
      </c>
      <c r="J403" s="277">
        <f t="array" ref="J403">IF($B403&gt;0,INDEX(DB,$B403,14),0)</f>
        <v>0</v>
      </c>
      <c r="K403" s="276">
        <f t="array" ref="K403">IF($B403&gt;0,INDEX(DB,$B403,18),0)</f>
        <v>0</v>
      </c>
      <c r="L403" s="275">
        <f t="array" ref="L403">IF($B403&gt;0,INDEX(DB,$B403,16),0)</f>
        <v>0</v>
      </c>
      <c r="M403" s="276">
        <f t="array" ref="M403">IF($B403&gt;0,INDEX(DB,$B403,20),0)</f>
        <v>0</v>
      </c>
      <c r="N403" s="278"/>
      <c r="O403" s="279">
        <f t="shared" si="1"/>
        <v>0</v>
      </c>
      <c r="P403" s="280"/>
      <c r="Q403" s="261" t="str">
        <f t="shared" si="2"/>
        <v>#REF!</v>
      </c>
      <c r="R403" s="290" t="str">
        <f>IF($AI403&gt;0,RANK($AI403,BoysPoints),0)</f>
        <v>#REF!</v>
      </c>
      <c r="S403" s="291" t="str">
        <f>IF($AJ403&gt;0,RANK($AJ403,GirlsPoints),0)</f>
        <v>#REF!</v>
      </c>
      <c r="T403" s="292">
        <f>IF($O403&gt;0,RANK(O403,AthletePoints),0)</f>
        <v>0</v>
      </c>
      <c r="U403" s="210"/>
      <c r="V403" s="330" t="str">
        <f>IF(O403&gt;=40,IF(X403="M",VLOOKUP(O403,UKABoysAwards,2),IF(X403="F",VLOOKUP(O403,UKAGirlsAwards,2),"")),"")</f>
        <v/>
      </c>
      <c r="W403" s="210"/>
      <c r="X403" s="266" t="str">
        <f t="array" ref="X403:X404">INDEX(DB,$B403,4)</f>
        <v>#REF!</v>
      </c>
      <c r="Y403" s="210"/>
      <c r="Z403" s="285" t="str">
        <f t="shared" si="3"/>
        <v>#REF!</v>
      </c>
      <c r="AA403" s="286" t="str">
        <f>IF($Z403&gt;=1,RANK($Z403,$Z389:$Z404),0)</f>
        <v>#REF!</v>
      </c>
      <c r="AB403" s="287" t="str">
        <f>IF(AA403&lt;=MaxS,INT(Z403),0)</f>
        <v>#REF!</v>
      </c>
      <c r="AC403" s="210"/>
      <c r="AD403" s="285" t="str">
        <f t="shared" si="4"/>
        <v>#REF!</v>
      </c>
      <c r="AE403" s="286" t="str">
        <f>IF($AD403&gt;=1,RANK($AD403,$AD389:$AD404),0)</f>
        <v>#REF!</v>
      </c>
      <c r="AF403" s="287" t="str">
        <f>IF(AE403&lt;=MaxS,INT(AD403),0)</f>
        <v>#REF!</v>
      </c>
      <c r="AG403" s="210"/>
      <c r="AH403" s="210"/>
      <c r="AI403" s="288" t="str">
        <f t="shared" si="5"/>
        <v>#REF!</v>
      </c>
      <c r="AJ403" s="289" t="str">
        <f t="shared" si="6"/>
        <v>#REF!</v>
      </c>
    </row>
    <row r="404" ht="15.0" customHeight="1">
      <c r="A404" s="305"/>
      <c r="B404" s="250">
        <f>IF(OR(ISNA(MATCH(C404&amp;"",AthleteNumbers,0)),ISBLANK(C404)),0,MATCH(C404&amp;"",AthleteNumbers,0))</f>
        <v>0</v>
      </c>
      <c r="C404" s="443"/>
      <c r="D404" s="306" t="str">
        <f t="array" ref="D404">IF($B404&gt;0,INDEX(DB,$B404,8),"")</f>
        <v/>
      </c>
      <c r="E404" s="307" t="str">
        <f t="array" ref="E404">IF($B404&gt;0,INDEX(DB,$B404,3),"")</f>
        <v/>
      </c>
      <c r="F404" s="308">
        <f t="array" ref="F404">IF($B404&gt;0,INDEX(DB,$B404,13),0)</f>
        <v>0</v>
      </c>
      <c r="G404" s="309">
        <f t="array" ref="G404">IF($B404&gt;0,INDEX(DB,$B404,17),0)</f>
        <v>0</v>
      </c>
      <c r="H404" s="310">
        <f t="array" ref="H404">IF($B404&gt;0,INDEX(DB,$B404,15),0)</f>
        <v>0</v>
      </c>
      <c r="I404" s="309">
        <f t="array" ref="I404">IF($B404&gt;0,INDEX(DB,$B404,19),0)</f>
        <v>0</v>
      </c>
      <c r="J404" s="310">
        <f t="array" ref="J404">IF($B404&gt;0,INDEX(DB,$B404,14),0)</f>
        <v>0</v>
      </c>
      <c r="K404" s="309">
        <f t="array" ref="K404">IF($B404&gt;0,INDEX(DB,$B404,18),0)</f>
        <v>0</v>
      </c>
      <c r="L404" s="308">
        <f t="array" ref="L404">IF($B404&gt;0,INDEX(DB,$B404,16),0)</f>
        <v>0</v>
      </c>
      <c r="M404" s="309">
        <f t="array" ref="M404">IF($B404&gt;0,INDEX(DB,$B404,20),0)</f>
        <v>0</v>
      </c>
      <c r="N404" s="25"/>
      <c r="O404" s="311">
        <f t="shared" si="1"/>
        <v>0</v>
      </c>
      <c r="P404" s="31"/>
      <c r="Q404" s="261" t="str">
        <f t="shared" si="2"/>
        <v>#REF!</v>
      </c>
      <c r="R404" s="312" t="str">
        <f>IF($AI404&gt;0,RANK($AI404,BoysPoints),0)</f>
        <v>#REF!</v>
      </c>
      <c r="S404" s="313" t="str">
        <f>IF($AJ404&gt;0,RANK($AJ404,GirlsPoints),0)</f>
        <v>#REF!</v>
      </c>
      <c r="T404" s="314">
        <f>IF($O404&gt;0,RANK(O404,AthletePoints),0)</f>
        <v>0</v>
      </c>
      <c r="U404" s="210"/>
      <c r="V404" s="444" t="str">
        <f>IF(O404&gt;=40,IF(X404="M",VLOOKUP(O404,UKABoysAwards,2),IF(X404="F",VLOOKUP(O404,UKAGirlsAwards,2),"")),"")</f>
        <v/>
      </c>
      <c r="W404" s="210"/>
      <c r="X404" s="266" t="str">
        <f t="array" ref="X404:X405">INDEX(DB,$B404,4)</f>
        <v>#REF!</v>
      </c>
      <c r="Y404" s="210"/>
      <c r="Z404" s="316" t="str">
        <f t="shared" si="3"/>
        <v>#REF!</v>
      </c>
      <c r="AA404" s="243" t="str">
        <f>IF($Z404&gt;=1,RANK($Z404,$Z389:$Z404),0)</f>
        <v>#REF!</v>
      </c>
      <c r="AB404" s="245" t="str">
        <f>IF(AA404&lt;=MaxS,INT(Z404),0)</f>
        <v>#REF!</v>
      </c>
      <c r="AC404" s="210" t="str">
        <f>SUM(AB389:AB404)</f>
        <v>#REF!</v>
      </c>
      <c r="AD404" s="316" t="str">
        <f t="shared" si="4"/>
        <v>#REF!</v>
      </c>
      <c r="AE404" s="243" t="str">
        <f>IF($AD404&gt;=1,RANK($AD404,$AD389:$AD404),0)</f>
        <v>#REF!</v>
      </c>
      <c r="AF404" s="245" t="str">
        <f>IF(AE404&lt;=MaxS,INT(AD404),0)</f>
        <v>#REF!</v>
      </c>
      <c r="AG404" s="210" t="str">
        <f>SUM(AF389:AF404)</f>
        <v>#REF!</v>
      </c>
      <c r="AH404" s="210"/>
      <c r="AI404" s="246" t="str">
        <f t="shared" si="5"/>
        <v>#REF!</v>
      </c>
      <c r="AJ404" s="247" t="str">
        <f t="shared" si="6"/>
        <v>#REF!</v>
      </c>
    </row>
    <row r="405" ht="15.0" customHeight="1">
      <c r="A405" s="248"/>
      <c r="B405" s="250">
        <f>IF(OR(ISNA(MATCH(C405&amp;"",AthleteNumbers,0)),ISBLANK(C405)),0,MATCH(C405&amp;"",AthleteNumbers,0))</f>
        <v>0</v>
      </c>
      <c r="C405" s="251"/>
      <c r="D405" s="252" t="str">
        <f t="array" ref="D405">IF($B405&gt;0,INDEX(DB,$B405,8),"")</f>
        <v/>
      </c>
      <c r="E405" s="253" t="str">
        <f t="array" ref="E405">IF($B405&gt;0,INDEX(DB,$B405,3),"")</f>
        <v/>
      </c>
      <c r="F405" s="254">
        <f t="array" ref="F405">IF($B405&gt;0,INDEX(DB,$B405,13),0)</f>
        <v>0</v>
      </c>
      <c r="G405" s="255">
        <f t="array" ref="G405">IF($B405&gt;0,INDEX(DB,$B405,17),0)</f>
        <v>0</v>
      </c>
      <c r="H405" s="257">
        <f t="array" ref="H405">IF($B405&gt;0,INDEX(DB,$B405,15),0)</f>
        <v>0</v>
      </c>
      <c r="I405" s="255">
        <f t="array" ref="I405">IF($B405&gt;0,INDEX(DB,$B405,19),0)</f>
        <v>0</v>
      </c>
      <c r="J405" s="257">
        <f t="array" ref="J405">IF($B405&gt;0,INDEX(DB,$B405,14),0)</f>
        <v>0</v>
      </c>
      <c r="K405" s="255">
        <f t="array" ref="K405">IF($B405&gt;0,INDEX(DB,$B405,18),0)</f>
        <v>0</v>
      </c>
      <c r="L405" s="254">
        <f t="array" ref="L405">IF($B405&gt;0,INDEX(DB,$B405,16),0)</f>
        <v>0</v>
      </c>
      <c r="M405" s="255">
        <f t="array" ref="M405">IF($B405&gt;0,INDEX(DB,$B405,20),0)</f>
        <v>0</v>
      </c>
      <c r="N405" s="258" t="str">
        <f t="array" ref="N405:N421">INDEX(RelayPoints,A420)</f>
        <v>#REF!</v>
      </c>
      <c r="O405" s="259">
        <f t="shared" si="1"/>
        <v>0</v>
      </c>
      <c r="P405" s="260" t="str">
        <f>+AC420+AG420+N405</f>
        <v>#REF!</v>
      </c>
      <c r="Q405" s="261" t="str">
        <f t="shared" si="2"/>
        <v>#REF!</v>
      </c>
      <c r="R405" s="262" t="str">
        <f>IF($AI405&gt;0,RANK($AI405,BoysPoints),0)</f>
        <v>#REF!</v>
      </c>
      <c r="S405" s="263" t="str">
        <f>IF($AJ405&gt;0,RANK($AJ405,GirlsPoints),0)</f>
        <v>#REF!</v>
      </c>
      <c r="T405" s="264">
        <f>IF($O405&gt;0,RANK(O405,AthletePoints),0)</f>
        <v>0</v>
      </c>
      <c r="U405" s="210"/>
      <c r="V405" s="317" t="str">
        <f>IF(O405&gt;=40,IF(X405="M",VLOOKUP(O405,UKABoysAwards,2),IF(X405="F",VLOOKUP(O405,UKAGirlsAwards,2),"")),"")</f>
        <v/>
      </c>
      <c r="W405" s="210"/>
      <c r="X405" s="266" t="str">
        <f t="array" ref="X405:X406">INDEX(DB,$B405,4)</f>
        <v>#REF!</v>
      </c>
      <c r="Y405" s="210"/>
      <c r="Z405" s="267" t="str">
        <f t="shared" si="3"/>
        <v>#REF!</v>
      </c>
      <c r="AA405" s="268" t="str">
        <f>IF($Z405&gt;=1,RANK($Z405,$Z405:$Z420),0)</f>
        <v>#REF!</v>
      </c>
      <c r="AB405" s="269" t="str">
        <f>IF(AA405&lt;=MaxS,INT(Z405),0)</f>
        <v>#REF!</v>
      </c>
      <c r="AC405" s="210"/>
      <c r="AD405" s="267" t="str">
        <f t="shared" si="4"/>
        <v>#REF!</v>
      </c>
      <c r="AE405" s="268" t="str">
        <f>IF($AD405&gt;=1,RANK($AD405,$AD405:$AD420),0)</f>
        <v>#REF!</v>
      </c>
      <c r="AF405" s="269" t="str">
        <f>IF(AE405&lt;=MaxS,INT(AD405),0)</f>
        <v>#REF!</v>
      </c>
      <c r="AG405" s="210"/>
      <c r="AH405" s="210"/>
      <c r="AI405" s="288" t="str">
        <f t="shared" si="5"/>
        <v>#REF!</v>
      </c>
      <c r="AJ405" s="289" t="str">
        <f t="shared" si="6"/>
        <v>#REF!</v>
      </c>
    </row>
    <row r="406" ht="15.0" customHeight="1">
      <c r="A406" s="272"/>
      <c r="B406" s="250">
        <f>IF(OR(ISNA(MATCH(C406&amp;"",AthleteNumbers,0)),ISBLANK(C406)),0,MATCH(C406&amp;"",AthleteNumbers,0))</f>
        <v>0</v>
      </c>
      <c r="C406" s="413"/>
      <c r="D406" s="273" t="str">
        <f t="array" ref="D406">IF($B406&gt;0,INDEX(DB,$B406,8),"")</f>
        <v/>
      </c>
      <c r="E406" s="274" t="str">
        <f t="array" ref="E406">IF($B406&gt;0,INDEX(DB,$B406,3),"")</f>
        <v/>
      </c>
      <c r="F406" s="275">
        <f t="array" ref="F406">IF($B406&gt;0,INDEX(DB,$B406,13),0)</f>
        <v>0</v>
      </c>
      <c r="G406" s="276">
        <f t="array" ref="G406">IF($B406&gt;0,INDEX(DB,$B406,17),0)</f>
        <v>0</v>
      </c>
      <c r="H406" s="277">
        <f t="array" ref="H406">IF($B406&gt;0,INDEX(DB,$B406,15),0)</f>
        <v>0</v>
      </c>
      <c r="I406" s="276">
        <f t="array" ref="I406">IF($B406&gt;0,INDEX(DB,$B406,19),0)</f>
        <v>0</v>
      </c>
      <c r="J406" s="277">
        <f t="array" ref="J406">IF($B406&gt;0,INDEX(DB,$B406,14),0)</f>
        <v>0</v>
      </c>
      <c r="K406" s="276">
        <f t="array" ref="K406">IF($B406&gt;0,INDEX(DB,$B406,18),0)</f>
        <v>0</v>
      </c>
      <c r="L406" s="275">
        <f t="array" ref="L406">IF($B406&gt;0,INDEX(DB,$B406,16),0)</f>
        <v>0</v>
      </c>
      <c r="M406" s="276">
        <f t="array" ref="M406">IF($B406&gt;0,INDEX(DB,$B406,20),0)</f>
        <v>0</v>
      </c>
      <c r="N406" s="278"/>
      <c r="O406" s="279">
        <f t="shared" si="1"/>
        <v>0</v>
      </c>
      <c r="P406" s="280"/>
      <c r="Q406" s="261" t="str">
        <f t="shared" si="2"/>
        <v>#REF!</v>
      </c>
      <c r="R406" s="281" t="str">
        <f>IF($AI406&gt;0,RANK($AI406,BoysPoints),0)</f>
        <v>#REF!</v>
      </c>
      <c r="S406" s="282" t="str">
        <f>IF($AJ406&gt;0,RANK($AJ406,GirlsPoints),0)</f>
        <v>#REF!</v>
      </c>
      <c r="T406" s="283">
        <f>IF($O406&gt;0,RANK(O406,AthletePoints),0)</f>
        <v>0</v>
      </c>
      <c r="U406" s="210"/>
      <c r="V406" s="415" t="str">
        <f>IF(O406&gt;=40,IF(X406="M",VLOOKUP(O406,UKABoysAwards,2),IF(X406="F",VLOOKUP(O406,UKAGirlsAwards,2),"")),"")</f>
        <v/>
      </c>
      <c r="W406" s="210"/>
      <c r="X406" s="266" t="str">
        <f t="array" ref="X406:X407">INDEX(DB,$B406,4)</f>
        <v>#REF!</v>
      </c>
      <c r="Y406" s="210"/>
      <c r="Z406" s="285" t="str">
        <f t="shared" si="3"/>
        <v>#REF!</v>
      </c>
      <c r="AA406" s="286" t="str">
        <f>IF($Z406&gt;=1,RANK($Z406,$Z405:$Z420),0)</f>
        <v>#REF!</v>
      </c>
      <c r="AB406" s="287" t="str">
        <f>IF(AA406&lt;=MaxS,INT(Z406),0)</f>
        <v>#REF!</v>
      </c>
      <c r="AC406" s="210"/>
      <c r="AD406" s="285" t="str">
        <f t="shared" si="4"/>
        <v>#REF!</v>
      </c>
      <c r="AE406" s="286" t="str">
        <f>IF($AD406&gt;=1,RANK($AD406,$AD405:$AD420),0)</f>
        <v>#REF!</v>
      </c>
      <c r="AF406" s="287" t="str">
        <f>IF(AE406&lt;=MaxS,INT(AD406),0)</f>
        <v>#REF!</v>
      </c>
      <c r="AG406" s="210"/>
      <c r="AH406" s="210"/>
      <c r="AI406" s="288" t="str">
        <f t="shared" si="5"/>
        <v>#REF!</v>
      </c>
      <c r="AJ406" s="289" t="str">
        <f t="shared" si="6"/>
        <v>#REF!</v>
      </c>
    </row>
    <row r="407" ht="15.0" customHeight="1">
      <c r="A407" s="272"/>
      <c r="B407" s="250">
        <f>IF(OR(ISNA(MATCH(C407&amp;"",AthleteNumbers,0)),ISBLANK(C407)),0,MATCH(C407&amp;"",AthleteNumbers,0))</f>
        <v>0</v>
      </c>
      <c r="C407" s="413"/>
      <c r="D407" s="273" t="str">
        <f t="array" ref="D407">IF($B407&gt;0,INDEX(DB,$B407,8),"")</f>
        <v/>
      </c>
      <c r="E407" s="274" t="str">
        <f t="array" ref="E407">IF($B407&gt;0,INDEX(DB,$B407,3),"")</f>
        <v/>
      </c>
      <c r="F407" s="275">
        <f t="array" ref="F407">IF($B407&gt;0,INDEX(DB,$B407,13),0)</f>
        <v>0</v>
      </c>
      <c r="G407" s="276">
        <f t="array" ref="G407">IF($B407&gt;0,INDEX(DB,$B407,17),0)</f>
        <v>0</v>
      </c>
      <c r="H407" s="277">
        <f t="array" ref="H407">IF($B407&gt;0,INDEX(DB,$B407,15),0)</f>
        <v>0</v>
      </c>
      <c r="I407" s="276">
        <f t="array" ref="I407">IF($B407&gt;0,INDEX(DB,$B407,19),0)</f>
        <v>0</v>
      </c>
      <c r="J407" s="277">
        <f t="array" ref="J407">IF($B407&gt;0,INDEX(DB,$B407,14),0)</f>
        <v>0</v>
      </c>
      <c r="K407" s="276">
        <f t="array" ref="K407">IF($B407&gt;0,INDEX(DB,$B407,18),0)</f>
        <v>0</v>
      </c>
      <c r="L407" s="275">
        <f t="array" ref="L407">IF($B407&gt;0,INDEX(DB,$B407,16),0)</f>
        <v>0</v>
      </c>
      <c r="M407" s="276">
        <f t="array" ref="M407">IF($B407&gt;0,INDEX(DB,$B407,20),0)</f>
        <v>0</v>
      </c>
      <c r="N407" s="278"/>
      <c r="O407" s="279">
        <f t="shared" si="1"/>
        <v>0</v>
      </c>
      <c r="P407" s="280"/>
      <c r="Q407" s="261" t="str">
        <f t="shared" si="2"/>
        <v>#REF!</v>
      </c>
      <c r="R407" s="290" t="str">
        <f>IF($AI407&gt;0,RANK($AI407,BoysPoints),0)</f>
        <v>#REF!</v>
      </c>
      <c r="S407" s="291" t="str">
        <f>IF($AJ407&gt;0,RANK($AJ407,GirlsPoints),0)</f>
        <v>#REF!</v>
      </c>
      <c r="T407" s="292">
        <f>IF($O407&gt;0,RANK(O407,AthletePoints),0)</f>
        <v>0</v>
      </c>
      <c r="U407" s="210"/>
      <c r="V407" s="330" t="str">
        <f>IF(O407&gt;=40,IF(X407="M",VLOOKUP(O407,UKABoysAwards,2),IF(X407="F",VLOOKUP(O407,UKAGirlsAwards,2),"")),"")</f>
        <v/>
      </c>
      <c r="W407" s="210"/>
      <c r="X407" s="266" t="str">
        <f t="array" ref="X407:X408">INDEX(DB,$B407,4)</f>
        <v>#REF!</v>
      </c>
      <c r="Y407" s="210"/>
      <c r="Z407" s="285" t="str">
        <f t="shared" si="3"/>
        <v>#REF!</v>
      </c>
      <c r="AA407" s="286" t="str">
        <f>IF($Z407&gt;=1,RANK($Z407,$Z405:$Z420),0)</f>
        <v>#REF!</v>
      </c>
      <c r="AB407" s="287" t="str">
        <f>IF(AA407&lt;=MaxS,INT(Z407),0)</f>
        <v>#REF!</v>
      </c>
      <c r="AC407" s="210"/>
      <c r="AD407" s="285" t="str">
        <f t="shared" si="4"/>
        <v>#REF!</v>
      </c>
      <c r="AE407" s="286" t="str">
        <f>IF($AD407&gt;=1,RANK($AD407,$AD405:$AD420),0)</f>
        <v>#REF!</v>
      </c>
      <c r="AF407" s="287" t="str">
        <f>IF(AE407&lt;=MaxS,INT(AD407),0)</f>
        <v>#REF!</v>
      </c>
      <c r="AG407" s="210"/>
      <c r="AH407" s="210"/>
      <c r="AI407" s="288" t="str">
        <f t="shared" si="5"/>
        <v>#REF!</v>
      </c>
      <c r="AJ407" s="289" t="str">
        <f t="shared" si="6"/>
        <v>#REF!</v>
      </c>
    </row>
    <row r="408" ht="15.0" customHeight="1">
      <c r="A408" s="272"/>
      <c r="B408" s="250">
        <f>IF(OR(ISNA(MATCH(C408&amp;"",AthleteNumbers,0)),ISBLANK(C408)),0,MATCH(C408&amp;"",AthleteNumbers,0))</f>
        <v>0</v>
      </c>
      <c r="C408" s="413"/>
      <c r="D408" s="273" t="str">
        <f t="array" ref="D408">IF($B408&gt;0,INDEX(DB,$B408,8),"")</f>
        <v/>
      </c>
      <c r="E408" s="274" t="str">
        <f t="array" ref="E408">IF($B408&gt;0,INDEX(DB,$B408,3),"")</f>
        <v/>
      </c>
      <c r="F408" s="275">
        <f t="array" ref="F408">IF($B408&gt;0,INDEX(DB,$B408,13),0)</f>
        <v>0</v>
      </c>
      <c r="G408" s="276">
        <f t="array" ref="G408">IF($B408&gt;0,INDEX(DB,$B408,17),0)</f>
        <v>0</v>
      </c>
      <c r="H408" s="277">
        <f t="array" ref="H408">IF($B408&gt;0,INDEX(DB,$B408,15),0)</f>
        <v>0</v>
      </c>
      <c r="I408" s="276">
        <f t="array" ref="I408">IF($B408&gt;0,INDEX(DB,$B408,19),0)</f>
        <v>0</v>
      </c>
      <c r="J408" s="277">
        <f t="array" ref="J408">IF($B408&gt;0,INDEX(DB,$B408,14),0)</f>
        <v>0</v>
      </c>
      <c r="K408" s="276">
        <f t="array" ref="K408">IF($B408&gt;0,INDEX(DB,$B408,18),0)</f>
        <v>0</v>
      </c>
      <c r="L408" s="275">
        <f t="array" ref="L408">IF($B408&gt;0,INDEX(DB,$B408,16),0)</f>
        <v>0</v>
      </c>
      <c r="M408" s="276">
        <f t="array" ref="M408">IF($B408&gt;0,INDEX(DB,$B408,20),0)</f>
        <v>0</v>
      </c>
      <c r="N408" s="278"/>
      <c r="O408" s="279">
        <f t="shared" si="1"/>
        <v>0</v>
      </c>
      <c r="P408" s="280"/>
      <c r="Q408" s="261" t="str">
        <f t="shared" si="2"/>
        <v>#REF!</v>
      </c>
      <c r="R408" s="281" t="str">
        <f>IF($AI408&gt;0,RANK($AI408,BoysPoints),0)</f>
        <v>#REF!</v>
      </c>
      <c r="S408" s="282" t="str">
        <f>IF($AJ408&gt;0,RANK($AJ408,GirlsPoints),0)</f>
        <v>#REF!</v>
      </c>
      <c r="T408" s="283">
        <f>IF($O408&gt;0,RANK(O408,AthletePoints),0)</f>
        <v>0</v>
      </c>
      <c r="U408" s="210"/>
      <c r="V408" s="415" t="str">
        <f>IF(O408&gt;=40,IF(X408="M",VLOOKUP(O408,UKABoysAwards,2),IF(X408="F",VLOOKUP(O408,UKAGirlsAwards,2),"")),"")</f>
        <v/>
      </c>
      <c r="W408" s="210"/>
      <c r="X408" s="266" t="str">
        <f t="array" ref="X408:X409">INDEX(DB,$B408,4)</f>
        <v>#REF!</v>
      </c>
      <c r="Y408" s="210"/>
      <c r="Z408" s="285" t="str">
        <f t="shared" si="3"/>
        <v>#REF!</v>
      </c>
      <c r="AA408" s="286" t="str">
        <f>IF($Z408&gt;=1,RANK($Z408,$Z405:$Z420),0)</f>
        <v>#REF!</v>
      </c>
      <c r="AB408" s="287" t="str">
        <f>IF(AA408&lt;=MaxS,INT(Z408),0)</f>
        <v>#REF!</v>
      </c>
      <c r="AC408" s="210"/>
      <c r="AD408" s="285" t="str">
        <f t="shared" si="4"/>
        <v>#REF!</v>
      </c>
      <c r="AE408" s="286" t="str">
        <f>IF($AD408&gt;=1,RANK($AD408,$AD405:$AD420),0)</f>
        <v>#REF!</v>
      </c>
      <c r="AF408" s="287" t="str">
        <f>IF(AE408&lt;=MaxS,INT(AD408),0)</f>
        <v>#REF!</v>
      </c>
      <c r="AG408" s="210"/>
      <c r="AH408" s="210"/>
      <c r="AI408" s="288" t="str">
        <f t="shared" si="5"/>
        <v>#REF!</v>
      </c>
      <c r="AJ408" s="289" t="str">
        <f t="shared" si="6"/>
        <v>#REF!</v>
      </c>
    </row>
    <row r="409" ht="15.0" customHeight="1">
      <c r="A409" s="272"/>
      <c r="B409" s="250">
        <f>IF(OR(ISNA(MATCH(C409&amp;"",AthleteNumbers,0)),ISBLANK(C409)),0,MATCH(C409&amp;"",AthleteNumbers,0))</f>
        <v>0</v>
      </c>
      <c r="C409" s="413"/>
      <c r="D409" s="273" t="str">
        <f t="array" ref="D409">IF($B409&gt;0,INDEX(DB,$B409,8),"")</f>
        <v/>
      </c>
      <c r="E409" s="274" t="str">
        <f t="array" ref="E409">IF($B409&gt;0,INDEX(DB,$B409,3),"")</f>
        <v/>
      </c>
      <c r="F409" s="275">
        <f t="array" ref="F409">IF($B409&gt;0,INDEX(DB,$B409,13),0)</f>
        <v>0</v>
      </c>
      <c r="G409" s="276">
        <f t="array" ref="G409">IF($B409&gt;0,INDEX(DB,$B409,17),0)</f>
        <v>0</v>
      </c>
      <c r="H409" s="277">
        <f t="array" ref="H409">IF($B409&gt;0,INDEX(DB,$B409,15),0)</f>
        <v>0</v>
      </c>
      <c r="I409" s="276">
        <f t="array" ref="I409">IF($B409&gt;0,INDEX(DB,$B409,19),0)</f>
        <v>0</v>
      </c>
      <c r="J409" s="277">
        <f t="array" ref="J409">IF($B409&gt;0,INDEX(DB,$B409,14),0)</f>
        <v>0</v>
      </c>
      <c r="K409" s="276">
        <f t="array" ref="K409">IF($B409&gt;0,INDEX(DB,$B409,18),0)</f>
        <v>0</v>
      </c>
      <c r="L409" s="275">
        <f t="array" ref="L409">IF($B409&gt;0,INDEX(DB,$B409,16),0)</f>
        <v>0</v>
      </c>
      <c r="M409" s="276">
        <f t="array" ref="M409">IF($B409&gt;0,INDEX(DB,$B409,20),0)</f>
        <v>0</v>
      </c>
      <c r="N409" s="278"/>
      <c r="O409" s="279">
        <f t="shared" si="1"/>
        <v>0</v>
      </c>
      <c r="P409" s="280"/>
      <c r="Q409" s="261" t="str">
        <f t="shared" si="2"/>
        <v>#REF!</v>
      </c>
      <c r="R409" s="290" t="str">
        <f>IF($AI409&gt;0,RANK($AI409,BoysPoints),0)</f>
        <v>#REF!</v>
      </c>
      <c r="S409" s="291" t="str">
        <f>IF($AJ409&gt;0,RANK($AJ409,GirlsPoints),0)</f>
        <v>#REF!</v>
      </c>
      <c r="T409" s="292">
        <f>IF($O409&gt;0,RANK(O409,AthletePoints),0)</f>
        <v>0</v>
      </c>
      <c r="U409" s="210"/>
      <c r="V409" s="330" t="str">
        <f>IF(O409&gt;=40,IF(X409="M",VLOOKUP(O409,UKABoysAwards,2),IF(X409="F",VLOOKUP(O409,UKAGirlsAwards,2),"")),"")</f>
        <v/>
      </c>
      <c r="W409" s="210"/>
      <c r="X409" s="266" t="str">
        <f t="array" ref="X409:X410">INDEX(DB,$B409,4)</f>
        <v>#REF!</v>
      </c>
      <c r="Y409" s="210"/>
      <c r="Z409" s="285" t="str">
        <f t="shared" si="3"/>
        <v>#REF!</v>
      </c>
      <c r="AA409" s="286" t="str">
        <f>IF($Z409&gt;=1,RANK($Z409,$Z405:$Z420),0)</f>
        <v>#REF!</v>
      </c>
      <c r="AB409" s="287" t="str">
        <f>IF(AA409&lt;=MaxS,INT(Z409),0)</f>
        <v>#REF!</v>
      </c>
      <c r="AC409" s="210"/>
      <c r="AD409" s="285" t="str">
        <f t="shared" si="4"/>
        <v>#REF!</v>
      </c>
      <c r="AE409" s="286" t="str">
        <f>IF($AD409&gt;=1,RANK($AD409,$AD405:$AD420),0)</f>
        <v>#REF!</v>
      </c>
      <c r="AF409" s="287" t="str">
        <f>IF(AE409&lt;=MaxS,INT(AD409),0)</f>
        <v>#REF!</v>
      </c>
      <c r="AG409" s="210"/>
      <c r="AH409" s="210"/>
      <c r="AI409" s="288" t="str">
        <f t="shared" si="5"/>
        <v>#REF!</v>
      </c>
      <c r="AJ409" s="289" t="str">
        <f t="shared" si="6"/>
        <v>#REF!</v>
      </c>
    </row>
    <row r="410" ht="15.0" customHeight="1">
      <c r="A410" s="272"/>
      <c r="B410" s="250">
        <f>IF(OR(ISNA(MATCH(C410&amp;"",AthleteNumbers,0)),ISBLANK(C410)),0,MATCH(C410&amp;"",AthleteNumbers,0))</f>
        <v>0</v>
      </c>
      <c r="C410" s="413"/>
      <c r="D410" s="273" t="str">
        <f t="array" ref="D410">IF($B410&gt;0,INDEX(DB,$B410,8),"")</f>
        <v/>
      </c>
      <c r="E410" s="274" t="str">
        <f t="array" ref="E410">IF($B410&gt;0,INDEX(DB,$B410,3),"")</f>
        <v/>
      </c>
      <c r="F410" s="275">
        <f t="array" ref="F410">IF($B410&gt;0,INDEX(DB,$B410,13),0)</f>
        <v>0</v>
      </c>
      <c r="G410" s="276">
        <f t="array" ref="G410">IF($B410&gt;0,INDEX(DB,$B410,17),0)</f>
        <v>0</v>
      </c>
      <c r="H410" s="277">
        <f t="array" ref="H410">IF($B410&gt;0,INDEX(DB,$B410,15),0)</f>
        <v>0</v>
      </c>
      <c r="I410" s="276">
        <f t="array" ref="I410">IF($B410&gt;0,INDEX(DB,$B410,19),0)</f>
        <v>0</v>
      </c>
      <c r="J410" s="277">
        <f t="array" ref="J410">IF($B410&gt;0,INDEX(DB,$B410,14),0)</f>
        <v>0</v>
      </c>
      <c r="K410" s="276">
        <f t="array" ref="K410">IF($B410&gt;0,INDEX(DB,$B410,18),0)</f>
        <v>0</v>
      </c>
      <c r="L410" s="275">
        <f t="array" ref="L410">IF($B410&gt;0,INDEX(DB,$B410,16),0)</f>
        <v>0</v>
      </c>
      <c r="M410" s="276">
        <f t="array" ref="M410">IF($B410&gt;0,INDEX(DB,$B410,20),0)</f>
        <v>0</v>
      </c>
      <c r="N410" s="278"/>
      <c r="O410" s="279">
        <f t="shared" si="1"/>
        <v>0</v>
      </c>
      <c r="P410" s="280"/>
      <c r="Q410" s="261" t="str">
        <f t="shared" si="2"/>
        <v>#REF!</v>
      </c>
      <c r="R410" s="281" t="str">
        <f>IF($AI410&gt;0,RANK($AI410,BoysPoints),0)</f>
        <v>#REF!</v>
      </c>
      <c r="S410" s="282" t="str">
        <f>IF($AJ410&gt;0,RANK($AJ410,GirlsPoints),0)</f>
        <v>#REF!</v>
      </c>
      <c r="T410" s="283">
        <f>IF($O410&gt;0,RANK(O410,AthletePoints),0)</f>
        <v>0</v>
      </c>
      <c r="U410" s="210"/>
      <c r="V410" s="415" t="str">
        <f>IF(O410&gt;=40,IF(X410="M",VLOOKUP(O410,UKABoysAwards,2),IF(X410="F",VLOOKUP(O410,UKAGirlsAwards,2),"")),"")</f>
        <v/>
      </c>
      <c r="W410" s="210"/>
      <c r="X410" s="266" t="str">
        <f t="array" ref="X410:X411">INDEX(DB,$B410,4)</f>
        <v>#REF!</v>
      </c>
      <c r="Y410" s="210"/>
      <c r="Z410" s="285" t="str">
        <f t="shared" si="3"/>
        <v>#REF!</v>
      </c>
      <c r="AA410" s="286" t="str">
        <f>IF($Z410&gt;=1,RANK($Z410,$Z405:$Z420),0)</f>
        <v>#REF!</v>
      </c>
      <c r="AB410" s="287" t="str">
        <f>IF(AA410&lt;=MaxS,INT(Z410),0)</f>
        <v>#REF!</v>
      </c>
      <c r="AC410" s="210"/>
      <c r="AD410" s="285" t="str">
        <f t="shared" si="4"/>
        <v>#REF!</v>
      </c>
      <c r="AE410" s="286" t="str">
        <f>IF($AD410&gt;=1,RANK($AD410,$AD405:$AD420),0)</f>
        <v>#REF!</v>
      </c>
      <c r="AF410" s="287" t="str">
        <f>IF(AE410&lt;=MaxS,INT(AD410),0)</f>
        <v>#REF!</v>
      </c>
      <c r="AG410" s="210"/>
      <c r="AH410" s="210"/>
      <c r="AI410" s="288" t="str">
        <f t="shared" si="5"/>
        <v>#REF!</v>
      </c>
      <c r="AJ410" s="289" t="str">
        <f t="shared" si="6"/>
        <v>#REF!</v>
      </c>
    </row>
    <row r="411" ht="15.0" customHeight="1">
      <c r="A411" s="272"/>
      <c r="B411" s="250">
        <f>IF(OR(ISNA(MATCH(C411&amp;"",AthleteNumbers,0)),ISBLANK(C411)),0,MATCH(C411&amp;"",AthleteNumbers,0))</f>
        <v>0</v>
      </c>
      <c r="C411" s="413"/>
      <c r="D411" s="273" t="str">
        <f t="array" ref="D411">IF($B411&gt;0,INDEX(DB,$B411,8),"")</f>
        <v/>
      </c>
      <c r="E411" s="274" t="str">
        <f t="array" ref="E411">IF($B411&gt;0,INDEX(DB,$B411,3),"")</f>
        <v/>
      </c>
      <c r="F411" s="275">
        <f t="array" ref="F411">IF($B411&gt;0,INDEX(DB,$B411,13),0)</f>
        <v>0</v>
      </c>
      <c r="G411" s="276">
        <f t="array" ref="G411">IF($B411&gt;0,INDEX(DB,$B411,17),0)</f>
        <v>0</v>
      </c>
      <c r="H411" s="277">
        <f t="array" ref="H411">IF($B411&gt;0,INDEX(DB,$B411,15),0)</f>
        <v>0</v>
      </c>
      <c r="I411" s="276">
        <f t="array" ref="I411">IF($B411&gt;0,INDEX(DB,$B411,19),0)</f>
        <v>0</v>
      </c>
      <c r="J411" s="277">
        <f t="array" ref="J411">IF($B411&gt;0,INDEX(DB,$B411,14),0)</f>
        <v>0</v>
      </c>
      <c r="K411" s="276">
        <f t="array" ref="K411">IF($B411&gt;0,INDEX(DB,$B411,18),0)</f>
        <v>0</v>
      </c>
      <c r="L411" s="275">
        <f t="array" ref="L411">IF($B411&gt;0,INDEX(DB,$B411,16),0)</f>
        <v>0</v>
      </c>
      <c r="M411" s="276">
        <f t="array" ref="M411">IF($B411&gt;0,INDEX(DB,$B411,20),0)</f>
        <v>0</v>
      </c>
      <c r="N411" s="278"/>
      <c r="O411" s="279">
        <f t="shared" si="1"/>
        <v>0</v>
      </c>
      <c r="P411" s="280"/>
      <c r="Q411" s="261" t="str">
        <f t="shared" si="2"/>
        <v>#REF!</v>
      </c>
      <c r="R411" s="290" t="str">
        <f>IF($AI411&gt;0,RANK($AI411,BoysPoints),0)</f>
        <v>#REF!</v>
      </c>
      <c r="S411" s="291" t="str">
        <f>IF($AJ411&gt;0,RANK($AJ411,GirlsPoints),0)</f>
        <v>#REF!</v>
      </c>
      <c r="T411" s="292">
        <f>IF($O411&gt;0,RANK(O411,AthletePoints),0)</f>
        <v>0</v>
      </c>
      <c r="U411" s="210"/>
      <c r="V411" s="330" t="str">
        <f>IF(O411&gt;=40,IF(X411="M",VLOOKUP(O411,UKABoysAwards,2),IF(X411="F",VLOOKUP(O411,UKAGirlsAwards,2),"")),"")</f>
        <v/>
      </c>
      <c r="W411" s="210"/>
      <c r="X411" s="266" t="str">
        <f t="array" ref="X411:X412">INDEX(DB,$B411,4)</f>
        <v>#REF!</v>
      </c>
      <c r="Y411" s="210"/>
      <c r="Z411" s="285" t="str">
        <f t="shared" si="3"/>
        <v>#REF!</v>
      </c>
      <c r="AA411" s="286" t="str">
        <f>IF($Z411&gt;=1,RANK($Z411,$Z405:$Z420),0)</f>
        <v>#REF!</v>
      </c>
      <c r="AB411" s="287" t="str">
        <f>IF(AA411&lt;=MaxS,INT(Z411),0)</f>
        <v>#REF!</v>
      </c>
      <c r="AC411" s="210"/>
      <c r="AD411" s="285" t="str">
        <f t="shared" si="4"/>
        <v>#REF!</v>
      </c>
      <c r="AE411" s="286" t="str">
        <f>IF($AD411&gt;=1,RANK($AD411,$AD405:$AD420),0)</f>
        <v>#REF!</v>
      </c>
      <c r="AF411" s="287" t="str">
        <f>IF(AE411&lt;=MaxS,INT(AD411),0)</f>
        <v>#REF!</v>
      </c>
      <c r="AG411" s="210"/>
      <c r="AH411" s="210"/>
      <c r="AI411" s="288" t="str">
        <f t="shared" si="5"/>
        <v>#REF!</v>
      </c>
      <c r="AJ411" s="289" t="str">
        <f t="shared" si="6"/>
        <v>#REF!</v>
      </c>
    </row>
    <row r="412" ht="15.0" customHeight="1">
      <c r="A412" s="272"/>
      <c r="B412" s="250">
        <f>IF(OR(ISNA(MATCH(C412&amp;"",AthleteNumbers,0)),ISBLANK(C412)),0,MATCH(C412&amp;"",AthleteNumbers,0))</f>
        <v>0</v>
      </c>
      <c r="C412" s="413"/>
      <c r="D412" s="273" t="str">
        <f t="array" ref="D412">IF($B412&gt;0,INDEX(DB,$B412,8),"")</f>
        <v/>
      </c>
      <c r="E412" s="274" t="str">
        <f t="array" ref="E412">IF($B412&gt;0,INDEX(DB,$B412,3),"")</f>
        <v/>
      </c>
      <c r="F412" s="275">
        <f t="array" ref="F412">IF($B412&gt;0,INDEX(DB,$B412,13),0)</f>
        <v>0</v>
      </c>
      <c r="G412" s="276">
        <f t="array" ref="G412">IF($B412&gt;0,INDEX(DB,$B412,17),0)</f>
        <v>0</v>
      </c>
      <c r="H412" s="277">
        <f t="array" ref="H412">IF($B412&gt;0,INDEX(DB,$B412,15),0)</f>
        <v>0</v>
      </c>
      <c r="I412" s="276">
        <f t="array" ref="I412">IF($B412&gt;0,INDEX(DB,$B412,19),0)</f>
        <v>0</v>
      </c>
      <c r="J412" s="277">
        <f t="array" ref="J412">IF($B412&gt;0,INDEX(DB,$B412,14),0)</f>
        <v>0</v>
      </c>
      <c r="K412" s="276">
        <f t="array" ref="K412">IF($B412&gt;0,INDEX(DB,$B412,18),0)</f>
        <v>0</v>
      </c>
      <c r="L412" s="275">
        <f t="array" ref="L412">IF($B412&gt;0,INDEX(DB,$B412,16),0)</f>
        <v>0</v>
      </c>
      <c r="M412" s="276">
        <f t="array" ref="M412">IF($B412&gt;0,INDEX(DB,$B412,20),0)</f>
        <v>0</v>
      </c>
      <c r="N412" s="278"/>
      <c r="O412" s="279">
        <f t="shared" si="1"/>
        <v>0</v>
      </c>
      <c r="P412" s="280"/>
      <c r="Q412" s="261" t="str">
        <f t="shared" si="2"/>
        <v>#REF!</v>
      </c>
      <c r="R412" s="281" t="str">
        <f>IF($AI412&gt;0,RANK($AI412,BoysPoints),0)</f>
        <v>#REF!</v>
      </c>
      <c r="S412" s="282" t="str">
        <f>IF($AJ412&gt;0,RANK($AJ412,GirlsPoints),0)</f>
        <v>#REF!</v>
      </c>
      <c r="T412" s="283">
        <f>IF($O412&gt;0,RANK(O412,AthletePoints),0)</f>
        <v>0</v>
      </c>
      <c r="U412" s="210"/>
      <c r="V412" s="415" t="str">
        <f>IF(O412&gt;=40,IF(X412="M",VLOOKUP(O412,UKABoysAwards,2),IF(X412="F",VLOOKUP(O412,UKAGirlsAwards,2),"")),"")</f>
        <v/>
      </c>
      <c r="W412" s="210"/>
      <c r="X412" s="266" t="str">
        <f t="array" ref="X412:X413">INDEX(DB,$B412,4)</f>
        <v>#REF!</v>
      </c>
      <c r="Y412" s="210"/>
      <c r="Z412" s="285" t="str">
        <f t="shared" si="3"/>
        <v>#REF!</v>
      </c>
      <c r="AA412" s="286" t="str">
        <f>IF($Z412&gt;=1,RANK($Z412,$Z405:$Z420),0)</f>
        <v>#REF!</v>
      </c>
      <c r="AB412" s="287" t="str">
        <f>IF(AA412&lt;=MaxS,INT(Z412),0)</f>
        <v>#REF!</v>
      </c>
      <c r="AC412" s="210"/>
      <c r="AD412" s="285" t="str">
        <f t="shared" si="4"/>
        <v>#REF!</v>
      </c>
      <c r="AE412" s="286" t="str">
        <f>IF($AD412&gt;=1,RANK($AD412,$AD405:$AD420),0)</f>
        <v>#REF!</v>
      </c>
      <c r="AF412" s="287" t="str">
        <f>IF(AE412&lt;=MaxS,INT(AD412),0)</f>
        <v>#REF!</v>
      </c>
      <c r="AG412" s="210"/>
      <c r="AH412" s="210"/>
      <c r="AI412" s="288" t="str">
        <f t="shared" si="5"/>
        <v>#REF!</v>
      </c>
      <c r="AJ412" s="289" t="str">
        <f t="shared" si="6"/>
        <v>#REF!</v>
      </c>
    </row>
    <row r="413" ht="15.0" customHeight="1">
      <c r="A413" s="272"/>
      <c r="B413" s="250">
        <f>IF(OR(ISNA(MATCH(C413&amp;"",AthleteNumbers,0)),ISBLANK(C413)),0,MATCH(C413&amp;"",AthleteNumbers,0))</f>
        <v>0</v>
      </c>
      <c r="C413" s="413"/>
      <c r="D413" s="273" t="str">
        <f t="array" ref="D413">IF($B413&gt;0,INDEX(DB,$B413,8),"")</f>
        <v/>
      </c>
      <c r="E413" s="274" t="str">
        <f t="array" ref="E413">IF($B413&gt;0,INDEX(DB,$B413,3),"")</f>
        <v/>
      </c>
      <c r="F413" s="275">
        <f t="array" ref="F413">IF($B413&gt;0,INDEX(DB,$B413,13),0)</f>
        <v>0</v>
      </c>
      <c r="G413" s="276">
        <f t="array" ref="G413">IF($B413&gt;0,INDEX(DB,$B413,17),0)</f>
        <v>0</v>
      </c>
      <c r="H413" s="277">
        <f t="array" ref="H413">IF($B413&gt;0,INDEX(DB,$B413,15),0)</f>
        <v>0</v>
      </c>
      <c r="I413" s="276">
        <f t="array" ref="I413">IF($B413&gt;0,INDEX(DB,$B413,19),0)</f>
        <v>0</v>
      </c>
      <c r="J413" s="277">
        <f t="array" ref="J413">IF($B413&gt;0,INDEX(DB,$B413,14),0)</f>
        <v>0</v>
      </c>
      <c r="K413" s="276">
        <f t="array" ref="K413">IF($B413&gt;0,INDEX(DB,$B413,18),0)</f>
        <v>0</v>
      </c>
      <c r="L413" s="275">
        <f t="array" ref="L413">IF($B413&gt;0,INDEX(DB,$B413,16),0)</f>
        <v>0</v>
      </c>
      <c r="M413" s="276">
        <f t="array" ref="M413">IF($B413&gt;0,INDEX(DB,$B413,20),0)</f>
        <v>0</v>
      </c>
      <c r="N413" s="278"/>
      <c r="O413" s="279">
        <f t="shared" si="1"/>
        <v>0</v>
      </c>
      <c r="P413" s="280"/>
      <c r="Q413" s="261" t="str">
        <f t="shared" si="2"/>
        <v>#REF!</v>
      </c>
      <c r="R413" s="290" t="str">
        <f>IF($AI413&gt;0,RANK($AI413,BoysPoints),0)</f>
        <v>#REF!</v>
      </c>
      <c r="S413" s="291" t="str">
        <f>IF($AJ413&gt;0,RANK($AJ413,GirlsPoints),0)</f>
        <v>#REF!</v>
      </c>
      <c r="T413" s="292">
        <f>IF($O413&gt;0,RANK(O413,AthletePoints),0)</f>
        <v>0</v>
      </c>
      <c r="U413" s="210"/>
      <c r="V413" s="330" t="str">
        <f>IF(O413&gt;=40,IF(X413="M",VLOOKUP(O413,UKABoysAwards,2),IF(X413="F",VLOOKUP(O413,UKAGirlsAwards,2),"")),"")</f>
        <v/>
      </c>
      <c r="W413" s="210"/>
      <c r="X413" s="266" t="str">
        <f t="array" ref="X413:X414">INDEX(DB,$B413,4)</f>
        <v>#REF!</v>
      </c>
      <c r="Y413" s="210"/>
      <c r="Z413" s="285" t="str">
        <f t="shared" si="3"/>
        <v>#REF!</v>
      </c>
      <c r="AA413" s="286" t="str">
        <f>IF($Z413&gt;=1,RANK($Z413,$Z405:$Z420),0)</f>
        <v>#REF!</v>
      </c>
      <c r="AB413" s="287" t="str">
        <f>IF(AA413&lt;=MaxS,INT(Z413),0)</f>
        <v>#REF!</v>
      </c>
      <c r="AC413" s="210"/>
      <c r="AD413" s="285" t="str">
        <f t="shared" si="4"/>
        <v>#REF!</v>
      </c>
      <c r="AE413" s="286" t="str">
        <f>IF($AD413&gt;=1,RANK($AD413,$AD405:$AD420),0)</f>
        <v>#REF!</v>
      </c>
      <c r="AF413" s="287" t="str">
        <f>IF(AE413&lt;=MaxS,INT(AD413),0)</f>
        <v>#REF!</v>
      </c>
      <c r="AG413" s="210"/>
      <c r="AH413" s="210"/>
      <c r="AI413" s="288" t="str">
        <f t="shared" si="5"/>
        <v>#REF!</v>
      </c>
      <c r="AJ413" s="289" t="str">
        <f t="shared" si="6"/>
        <v>#REF!</v>
      </c>
    </row>
    <row r="414" ht="15.0" customHeight="1">
      <c r="A414" s="272"/>
      <c r="B414" s="250">
        <f>IF(OR(ISNA(MATCH(C414&amp;"",AthleteNumbers,0)),ISBLANK(C414)),0,MATCH(C414&amp;"",AthleteNumbers,0))</f>
        <v>0</v>
      </c>
      <c r="C414" s="413"/>
      <c r="D414" s="273" t="str">
        <f t="array" ref="D414">IF($B414&gt;0,INDEX(DB,$B414,8),"")</f>
        <v/>
      </c>
      <c r="E414" s="274" t="str">
        <f t="array" ref="E414">IF($B414&gt;0,INDEX(DB,$B414,3),"")</f>
        <v/>
      </c>
      <c r="F414" s="275">
        <f t="array" ref="F414">IF($B414&gt;0,INDEX(DB,$B414,13),0)</f>
        <v>0</v>
      </c>
      <c r="G414" s="276">
        <f t="array" ref="G414">IF($B414&gt;0,INDEX(DB,$B414,17),0)</f>
        <v>0</v>
      </c>
      <c r="H414" s="277">
        <f t="array" ref="H414">IF($B414&gt;0,INDEX(DB,$B414,15),0)</f>
        <v>0</v>
      </c>
      <c r="I414" s="276">
        <f t="array" ref="I414">IF($B414&gt;0,INDEX(DB,$B414,19),0)</f>
        <v>0</v>
      </c>
      <c r="J414" s="277">
        <f t="array" ref="J414">IF($B414&gt;0,INDEX(DB,$B414,14),0)</f>
        <v>0</v>
      </c>
      <c r="K414" s="276">
        <f t="array" ref="K414">IF($B414&gt;0,INDEX(DB,$B414,18),0)</f>
        <v>0</v>
      </c>
      <c r="L414" s="275">
        <f t="array" ref="L414">IF($B414&gt;0,INDEX(DB,$B414,16),0)</f>
        <v>0</v>
      </c>
      <c r="M414" s="276">
        <f t="array" ref="M414">IF($B414&gt;0,INDEX(DB,$B414,20),0)</f>
        <v>0</v>
      </c>
      <c r="N414" s="278"/>
      <c r="O414" s="279">
        <f t="shared" si="1"/>
        <v>0</v>
      </c>
      <c r="P414" s="280"/>
      <c r="Q414" s="261" t="str">
        <f t="shared" si="2"/>
        <v>#REF!</v>
      </c>
      <c r="R414" s="281" t="str">
        <f>IF($AI414&gt;0,RANK($AI414,BoysPoints),0)</f>
        <v>#REF!</v>
      </c>
      <c r="S414" s="282" t="str">
        <f>IF($AJ414&gt;0,RANK($AJ414,GirlsPoints),0)</f>
        <v>#REF!</v>
      </c>
      <c r="T414" s="283">
        <f>IF($O414&gt;0,RANK(O414,AthletePoints),0)</f>
        <v>0</v>
      </c>
      <c r="U414" s="210"/>
      <c r="V414" s="415" t="str">
        <f>IF(O414&gt;=40,IF(X414="M",VLOOKUP(O414,UKABoysAwards,2),IF(X414="F",VLOOKUP(O414,UKAGirlsAwards,2),"")),"")</f>
        <v/>
      </c>
      <c r="W414" s="210"/>
      <c r="X414" s="266" t="str">
        <f t="array" ref="X414:X415">INDEX(DB,$B414,4)</f>
        <v>#REF!</v>
      </c>
      <c r="Y414" s="210"/>
      <c r="Z414" s="285" t="str">
        <f t="shared" si="3"/>
        <v>#REF!</v>
      </c>
      <c r="AA414" s="286" t="str">
        <f>IF($Z414&gt;=1,RANK($Z414,$Z405:$Z420),0)</f>
        <v>#REF!</v>
      </c>
      <c r="AB414" s="287" t="str">
        <f>IF(AA414&lt;=MaxS,INT(Z414),0)</f>
        <v>#REF!</v>
      </c>
      <c r="AC414" s="210"/>
      <c r="AD414" s="285" t="str">
        <f t="shared" si="4"/>
        <v>#REF!</v>
      </c>
      <c r="AE414" s="286" t="str">
        <f>IF($AD414&gt;=1,RANK($AD414,$AD405:$AD420),0)</f>
        <v>#REF!</v>
      </c>
      <c r="AF414" s="287" t="str">
        <f>IF(AE414&lt;=MaxS,INT(AD414),0)</f>
        <v>#REF!</v>
      </c>
      <c r="AG414" s="210"/>
      <c r="AH414" s="210"/>
      <c r="AI414" s="288" t="str">
        <f t="shared" si="5"/>
        <v>#REF!</v>
      </c>
      <c r="AJ414" s="289" t="str">
        <f t="shared" si="6"/>
        <v>#REF!</v>
      </c>
    </row>
    <row r="415" ht="15.0" customHeight="1">
      <c r="A415" s="272"/>
      <c r="B415" s="250">
        <f>IF(OR(ISNA(MATCH(C415&amp;"",AthleteNumbers,0)),ISBLANK(C415)),0,MATCH(C415&amp;"",AthleteNumbers,0))</f>
        <v>0</v>
      </c>
      <c r="C415" s="413"/>
      <c r="D415" s="273" t="str">
        <f t="array" ref="D415">IF($B415&gt;0,INDEX(DB,$B415,8),"")</f>
        <v/>
      </c>
      <c r="E415" s="274" t="str">
        <f t="array" ref="E415">IF($B415&gt;0,INDEX(DB,$B415,3),"")</f>
        <v/>
      </c>
      <c r="F415" s="275">
        <f t="array" ref="F415">IF($B415&gt;0,INDEX(DB,$B415,13),0)</f>
        <v>0</v>
      </c>
      <c r="G415" s="276">
        <f t="array" ref="G415">IF($B415&gt;0,INDEX(DB,$B415,17),0)</f>
        <v>0</v>
      </c>
      <c r="H415" s="277">
        <f t="array" ref="H415">IF($B415&gt;0,INDEX(DB,$B415,15),0)</f>
        <v>0</v>
      </c>
      <c r="I415" s="276">
        <f t="array" ref="I415">IF($B415&gt;0,INDEX(DB,$B415,19),0)</f>
        <v>0</v>
      </c>
      <c r="J415" s="277">
        <f t="array" ref="J415">IF($B415&gt;0,INDEX(DB,$B415,14),0)</f>
        <v>0</v>
      </c>
      <c r="K415" s="276">
        <f t="array" ref="K415">IF($B415&gt;0,INDEX(DB,$B415,18),0)</f>
        <v>0</v>
      </c>
      <c r="L415" s="275">
        <f t="array" ref="L415">IF($B415&gt;0,INDEX(DB,$B415,16),0)</f>
        <v>0</v>
      </c>
      <c r="M415" s="276">
        <f t="array" ref="M415">IF($B415&gt;0,INDEX(DB,$B415,20),0)</f>
        <v>0</v>
      </c>
      <c r="N415" s="278"/>
      <c r="O415" s="279">
        <f t="shared" si="1"/>
        <v>0</v>
      </c>
      <c r="P415" s="280"/>
      <c r="Q415" s="261" t="str">
        <f t="shared" si="2"/>
        <v>#REF!</v>
      </c>
      <c r="R415" s="290" t="str">
        <f>IF($AI415&gt;0,RANK($AI415,BoysPoints),0)</f>
        <v>#REF!</v>
      </c>
      <c r="S415" s="291" t="str">
        <f>IF($AJ415&gt;0,RANK($AJ415,GirlsPoints),0)</f>
        <v>#REF!</v>
      </c>
      <c r="T415" s="292">
        <f>IF($O415&gt;0,RANK(O415,AthletePoints),0)</f>
        <v>0</v>
      </c>
      <c r="U415" s="210"/>
      <c r="V415" s="330" t="str">
        <f>IF(O415&gt;=40,IF(X415="M",VLOOKUP(O415,UKABoysAwards,2),IF(X415="F",VLOOKUP(O415,UKAGirlsAwards,2),"")),"")</f>
        <v/>
      </c>
      <c r="W415" s="210"/>
      <c r="X415" s="266" t="str">
        <f t="array" ref="X415:X416">INDEX(DB,$B415,4)</f>
        <v>#REF!</v>
      </c>
      <c r="Y415" s="210"/>
      <c r="Z415" s="285" t="str">
        <f t="shared" si="3"/>
        <v>#REF!</v>
      </c>
      <c r="AA415" s="286" t="str">
        <f>IF($Z415&gt;=1,RANK($Z415,$Z405:$Z420),0)</f>
        <v>#REF!</v>
      </c>
      <c r="AB415" s="287" t="str">
        <f>IF(AA415&lt;=MaxS,INT(Z415),0)</f>
        <v>#REF!</v>
      </c>
      <c r="AC415" s="210"/>
      <c r="AD415" s="285" t="str">
        <f t="shared" si="4"/>
        <v>#REF!</v>
      </c>
      <c r="AE415" s="286" t="str">
        <f>IF($AD415&gt;=1,RANK($AD415,$AD405:$AD420),0)</f>
        <v>#REF!</v>
      </c>
      <c r="AF415" s="287" t="str">
        <f>IF(AE415&lt;=MaxS,INT(AD415),0)</f>
        <v>#REF!</v>
      </c>
      <c r="AG415" s="210"/>
      <c r="AH415" s="210"/>
      <c r="AI415" s="288" t="str">
        <f t="shared" si="5"/>
        <v>#REF!</v>
      </c>
      <c r="AJ415" s="289" t="str">
        <f t="shared" si="6"/>
        <v>#REF!</v>
      </c>
    </row>
    <row r="416" ht="15.0" customHeight="1">
      <c r="A416" s="272"/>
      <c r="B416" s="250">
        <f>IF(OR(ISNA(MATCH(C416&amp;"",AthleteNumbers,0)),ISBLANK(C416)),0,MATCH(C416&amp;"",AthleteNumbers,0))</f>
        <v>0</v>
      </c>
      <c r="C416" s="413"/>
      <c r="D416" s="273" t="str">
        <f t="array" ref="D416">IF($B416&gt;0,INDEX(DB,$B416,8),"")</f>
        <v/>
      </c>
      <c r="E416" s="274" t="str">
        <f t="array" ref="E416">IF($B416&gt;0,INDEX(DB,$B416,3),"")</f>
        <v/>
      </c>
      <c r="F416" s="275">
        <f t="array" ref="F416">IF($B416&gt;0,INDEX(DB,$B416,13),0)</f>
        <v>0</v>
      </c>
      <c r="G416" s="276">
        <f t="array" ref="G416">IF($B416&gt;0,INDEX(DB,$B416,17),0)</f>
        <v>0</v>
      </c>
      <c r="H416" s="277">
        <f t="array" ref="H416">IF($B416&gt;0,INDEX(DB,$B416,15),0)</f>
        <v>0</v>
      </c>
      <c r="I416" s="276">
        <f t="array" ref="I416">IF($B416&gt;0,INDEX(DB,$B416,19),0)</f>
        <v>0</v>
      </c>
      <c r="J416" s="277">
        <f t="array" ref="J416">IF($B416&gt;0,INDEX(DB,$B416,14),0)</f>
        <v>0</v>
      </c>
      <c r="K416" s="276">
        <f t="array" ref="K416">IF($B416&gt;0,INDEX(DB,$B416,18),0)</f>
        <v>0</v>
      </c>
      <c r="L416" s="275">
        <f t="array" ref="L416">IF($B416&gt;0,INDEX(DB,$B416,16),0)</f>
        <v>0</v>
      </c>
      <c r="M416" s="276">
        <f t="array" ref="M416">IF($B416&gt;0,INDEX(DB,$B416,20),0)</f>
        <v>0</v>
      </c>
      <c r="N416" s="278"/>
      <c r="O416" s="279">
        <f t="shared" si="1"/>
        <v>0</v>
      </c>
      <c r="P416" s="280"/>
      <c r="Q416" s="261" t="str">
        <f t="shared" si="2"/>
        <v>#REF!</v>
      </c>
      <c r="R416" s="281" t="str">
        <f>IF($AI416&gt;0,RANK($AI416,BoysPoints),0)</f>
        <v>#REF!</v>
      </c>
      <c r="S416" s="282" t="str">
        <f>IF($AJ416&gt;0,RANK($AJ416,GirlsPoints),0)</f>
        <v>#REF!</v>
      </c>
      <c r="T416" s="283">
        <f>IF($O416&gt;0,RANK(O416,AthletePoints),0)</f>
        <v>0</v>
      </c>
      <c r="U416" s="210"/>
      <c r="V416" s="415" t="str">
        <f>IF(O416&gt;=40,IF(X416="M",VLOOKUP(O416,UKABoysAwards,2),IF(X416="F",VLOOKUP(O416,UKAGirlsAwards,2),"")),"")</f>
        <v/>
      </c>
      <c r="W416" s="210"/>
      <c r="X416" s="266" t="str">
        <f t="array" ref="X416:X417">INDEX(DB,$B416,4)</f>
        <v>#REF!</v>
      </c>
      <c r="Y416" s="210"/>
      <c r="Z416" s="285" t="str">
        <f t="shared" si="3"/>
        <v>#REF!</v>
      </c>
      <c r="AA416" s="286" t="str">
        <f>IF($Z416&gt;=1,RANK($Z416,$Z405:$Z420),0)</f>
        <v>#REF!</v>
      </c>
      <c r="AB416" s="287" t="str">
        <f>IF(AA416&lt;=MaxS,INT(Z416),0)</f>
        <v>#REF!</v>
      </c>
      <c r="AC416" s="210"/>
      <c r="AD416" s="285" t="str">
        <f t="shared" si="4"/>
        <v>#REF!</v>
      </c>
      <c r="AE416" s="286" t="str">
        <f>IF($AD416&gt;=1,RANK($AD416,$AD405:$AD420),0)</f>
        <v>#REF!</v>
      </c>
      <c r="AF416" s="287" t="str">
        <f>IF(AE416&lt;=MaxS,INT(AD416),0)</f>
        <v>#REF!</v>
      </c>
      <c r="AG416" s="210"/>
      <c r="AH416" s="210"/>
      <c r="AI416" s="288" t="str">
        <f t="shared" si="5"/>
        <v>#REF!</v>
      </c>
      <c r="AJ416" s="289" t="str">
        <f t="shared" si="6"/>
        <v>#REF!</v>
      </c>
    </row>
    <row r="417" ht="15.0" customHeight="1">
      <c r="A417" s="272"/>
      <c r="B417" s="250">
        <f>IF(OR(ISNA(MATCH(C417&amp;"",AthleteNumbers,0)),ISBLANK(C417)),0,MATCH(C417&amp;"",AthleteNumbers,0))</f>
        <v>0</v>
      </c>
      <c r="C417" s="413"/>
      <c r="D417" s="273" t="str">
        <f t="array" ref="D417">IF($B417&gt;0,INDEX(DB,$B417,8),"")</f>
        <v/>
      </c>
      <c r="E417" s="274" t="str">
        <f t="array" ref="E417">IF($B417&gt;0,INDEX(DB,$B417,3),"")</f>
        <v/>
      </c>
      <c r="F417" s="275">
        <f t="array" ref="F417">IF($B417&gt;0,INDEX(DB,$B417,13),0)</f>
        <v>0</v>
      </c>
      <c r="G417" s="276">
        <f t="array" ref="G417">IF($B417&gt;0,INDEX(DB,$B417,17),0)</f>
        <v>0</v>
      </c>
      <c r="H417" s="277">
        <f t="array" ref="H417">IF($B417&gt;0,INDEX(DB,$B417,15),0)</f>
        <v>0</v>
      </c>
      <c r="I417" s="276">
        <f t="array" ref="I417">IF($B417&gt;0,INDEX(DB,$B417,19),0)</f>
        <v>0</v>
      </c>
      <c r="J417" s="277">
        <f t="array" ref="J417">IF($B417&gt;0,INDEX(DB,$B417,14),0)</f>
        <v>0</v>
      </c>
      <c r="K417" s="276">
        <f t="array" ref="K417">IF($B417&gt;0,INDEX(DB,$B417,18),0)</f>
        <v>0</v>
      </c>
      <c r="L417" s="275">
        <f t="array" ref="L417">IF($B417&gt;0,INDEX(DB,$B417,16),0)</f>
        <v>0</v>
      </c>
      <c r="M417" s="276">
        <f t="array" ref="M417">IF($B417&gt;0,INDEX(DB,$B417,20),0)</f>
        <v>0</v>
      </c>
      <c r="N417" s="278"/>
      <c r="O417" s="279">
        <f t="shared" si="1"/>
        <v>0</v>
      </c>
      <c r="P417" s="280"/>
      <c r="Q417" s="261" t="str">
        <f t="shared" si="2"/>
        <v>#REF!</v>
      </c>
      <c r="R417" s="290" t="str">
        <f>IF($AI417&gt;0,RANK($AI417,BoysPoints),0)</f>
        <v>#REF!</v>
      </c>
      <c r="S417" s="291" t="str">
        <f>IF($AJ417&gt;0,RANK($AJ417,GirlsPoints),0)</f>
        <v>#REF!</v>
      </c>
      <c r="T417" s="292">
        <f>IF($O417&gt;0,RANK(O417,AthletePoints),0)</f>
        <v>0</v>
      </c>
      <c r="U417" s="210"/>
      <c r="V417" s="330" t="str">
        <f>IF(O417&gt;=40,IF(X417="M",VLOOKUP(O417,UKABoysAwards,2),IF(X417="F",VLOOKUP(O417,UKAGirlsAwards,2),"")),"")</f>
        <v/>
      </c>
      <c r="W417" s="210"/>
      <c r="X417" s="266" t="str">
        <f t="array" ref="X417:X418">INDEX(DB,$B417,4)</f>
        <v>#REF!</v>
      </c>
      <c r="Y417" s="210"/>
      <c r="Z417" s="285" t="str">
        <f t="shared" si="3"/>
        <v>#REF!</v>
      </c>
      <c r="AA417" s="286" t="str">
        <f>IF($Z417&gt;=1,RANK($Z417,$Z405:$Z420),0)</f>
        <v>#REF!</v>
      </c>
      <c r="AB417" s="287" t="str">
        <f>IF(AA417&lt;=MaxS,INT(Z417),0)</f>
        <v>#REF!</v>
      </c>
      <c r="AC417" s="210"/>
      <c r="AD417" s="285" t="str">
        <f t="shared" si="4"/>
        <v>#REF!</v>
      </c>
      <c r="AE417" s="286" t="str">
        <f>IF($AD417&gt;=1,RANK($AD417,$AD405:$AD420),0)</f>
        <v>#REF!</v>
      </c>
      <c r="AF417" s="287" t="str">
        <f>IF(AE417&lt;=MaxS,INT(AD417),0)</f>
        <v>#REF!</v>
      </c>
      <c r="AG417" s="210"/>
      <c r="AH417" s="210"/>
      <c r="AI417" s="288" t="str">
        <f t="shared" si="5"/>
        <v>#REF!</v>
      </c>
      <c r="AJ417" s="289" t="str">
        <f t="shared" si="6"/>
        <v>#REF!</v>
      </c>
    </row>
    <row r="418" ht="15.0" customHeight="1">
      <c r="A418" s="272"/>
      <c r="B418" s="250">
        <f>IF(OR(ISNA(MATCH(C418&amp;"",AthleteNumbers,0)),ISBLANK(C418)),0,MATCH(C418&amp;"",AthleteNumbers,0))</f>
        <v>0</v>
      </c>
      <c r="C418" s="413"/>
      <c r="D418" s="273" t="str">
        <f t="array" ref="D418">IF($B418&gt;0,INDEX(DB,$B418,8),"")</f>
        <v/>
      </c>
      <c r="E418" s="274" t="str">
        <f t="array" ref="E418">IF($B418&gt;0,INDEX(DB,$B418,3),"")</f>
        <v/>
      </c>
      <c r="F418" s="275">
        <f t="array" ref="F418">IF($B418&gt;0,INDEX(DB,$B418,13),0)</f>
        <v>0</v>
      </c>
      <c r="G418" s="276">
        <f t="array" ref="G418">IF($B418&gt;0,INDEX(DB,$B418,17),0)</f>
        <v>0</v>
      </c>
      <c r="H418" s="277">
        <f t="array" ref="H418">IF($B418&gt;0,INDEX(DB,$B418,15),0)</f>
        <v>0</v>
      </c>
      <c r="I418" s="276">
        <f t="array" ref="I418">IF($B418&gt;0,INDEX(DB,$B418,19),0)</f>
        <v>0</v>
      </c>
      <c r="J418" s="277">
        <f t="array" ref="J418">IF($B418&gt;0,INDEX(DB,$B418,14),0)</f>
        <v>0</v>
      </c>
      <c r="K418" s="276">
        <f t="array" ref="K418">IF($B418&gt;0,INDEX(DB,$B418,18),0)</f>
        <v>0</v>
      </c>
      <c r="L418" s="275">
        <f t="array" ref="L418">IF($B418&gt;0,INDEX(DB,$B418,16),0)</f>
        <v>0</v>
      </c>
      <c r="M418" s="276">
        <f t="array" ref="M418">IF($B418&gt;0,INDEX(DB,$B418,20),0)</f>
        <v>0</v>
      </c>
      <c r="N418" s="278"/>
      <c r="O418" s="279">
        <f t="shared" si="1"/>
        <v>0</v>
      </c>
      <c r="P418" s="280"/>
      <c r="Q418" s="261" t="str">
        <f t="shared" si="2"/>
        <v>#REF!</v>
      </c>
      <c r="R418" s="281" t="str">
        <f>IF($AI418&gt;0,RANK($AI418,BoysPoints),0)</f>
        <v>#REF!</v>
      </c>
      <c r="S418" s="282" t="str">
        <f>IF($AJ418&gt;0,RANK($AJ418,GirlsPoints),0)</f>
        <v>#REF!</v>
      </c>
      <c r="T418" s="283">
        <f>IF($O418&gt;0,RANK(O418,AthletePoints),0)</f>
        <v>0</v>
      </c>
      <c r="U418" s="210"/>
      <c r="V418" s="415" t="str">
        <f>IF(O418&gt;=40,IF(X418="M",VLOOKUP(O418,UKABoysAwards,2),IF(X418="F",VLOOKUP(O418,UKAGirlsAwards,2),"")),"")</f>
        <v/>
      </c>
      <c r="W418" s="210"/>
      <c r="X418" s="266" t="str">
        <f t="array" ref="X418:X419">INDEX(DB,$B418,4)</f>
        <v>#REF!</v>
      </c>
      <c r="Y418" s="210"/>
      <c r="Z418" s="285" t="str">
        <f t="shared" si="3"/>
        <v>#REF!</v>
      </c>
      <c r="AA418" s="286" t="str">
        <f>IF($Z418&gt;=1,RANK($Z418,$Z405:$Z420),0)</f>
        <v>#REF!</v>
      </c>
      <c r="AB418" s="287" t="str">
        <f>IF(AA418&lt;=MaxS,INT(Z418),0)</f>
        <v>#REF!</v>
      </c>
      <c r="AC418" s="210"/>
      <c r="AD418" s="285" t="str">
        <f t="shared" si="4"/>
        <v>#REF!</v>
      </c>
      <c r="AE418" s="286" t="str">
        <f>IF($AD418&gt;=1,RANK($AD418,$AD405:$AD420),0)</f>
        <v>#REF!</v>
      </c>
      <c r="AF418" s="287" t="str">
        <f>IF(AE418&lt;=MaxS,INT(AD418),0)</f>
        <v>#REF!</v>
      </c>
      <c r="AG418" s="210"/>
      <c r="AH418" s="210"/>
      <c r="AI418" s="288" t="str">
        <f t="shared" si="5"/>
        <v>#REF!</v>
      </c>
      <c r="AJ418" s="289" t="str">
        <f t="shared" si="6"/>
        <v>#REF!</v>
      </c>
    </row>
    <row r="419" ht="15.0" customHeight="1">
      <c r="A419" s="272"/>
      <c r="B419" s="250">
        <f>IF(OR(ISNA(MATCH(C419&amp;"",AthleteNumbers,0)),ISBLANK(C419)),0,MATCH(C419&amp;"",AthleteNumbers,0))</f>
        <v>0</v>
      </c>
      <c r="C419" s="413"/>
      <c r="D419" s="273" t="str">
        <f t="array" ref="D419">IF($B419&gt;0,INDEX(DB,$B419,8),"")</f>
        <v/>
      </c>
      <c r="E419" s="274" t="str">
        <f t="array" ref="E419">IF($B419&gt;0,INDEX(DB,$B419,3),"")</f>
        <v/>
      </c>
      <c r="F419" s="275">
        <f t="array" ref="F419">IF($B419&gt;0,INDEX(DB,$B419,13),0)</f>
        <v>0</v>
      </c>
      <c r="G419" s="276">
        <f t="array" ref="G419">IF($B419&gt;0,INDEX(DB,$B419,17),0)</f>
        <v>0</v>
      </c>
      <c r="H419" s="277">
        <f t="array" ref="H419">IF($B419&gt;0,INDEX(DB,$B419,15),0)</f>
        <v>0</v>
      </c>
      <c r="I419" s="276">
        <f t="array" ref="I419">IF($B419&gt;0,INDEX(DB,$B419,19),0)</f>
        <v>0</v>
      </c>
      <c r="J419" s="277">
        <f t="array" ref="J419">IF($B419&gt;0,INDEX(DB,$B419,14),0)</f>
        <v>0</v>
      </c>
      <c r="K419" s="276">
        <f t="array" ref="K419">IF($B419&gt;0,INDEX(DB,$B419,18),0)</f>
        <v>0</v>
      </c>
      <c r="L419" s="275">
        <f t="array" ref="L419">IF($B419&gt;0,INDEX(DB,$B419,16),0)</f>
        <v>0</v>
      </c>
      <c r="M419" s="276">
        <f t="array" ref="M419">IF($B419&gt;0,INDEX(DB,$B419,20),0)</f>
        <v>0</v>
      </c>
      <c r="N419" s="278"/>
      <c r="O419" s="279">
        <f t="shared" si="1"/>
        <v>0</v>
      </c>
      <c r="P419" s="280"/>
      <c r="Q419" s="261" t="str">
        <f t="shared" si="2"/>
        <v>#REF!</v>
      </c>
      <c r="R419" s="290" t="str">
        <f>IF($AI419&gt;0,RANK($AI419,BoysPoints),0)</f>
        <v>#REF!</v>
      </c>
      <c r="S419" s="291" t="str">
        <f>IF($AJ419&gt;0,RANK($AJ419,GirlsPoints),0)</f>
        <v>#REF!</v>
      </c>
      <c r="T419" s="292">
        <f>IF($O419&gt;0,RANK(O419,AthletePoints),0)</f>
        <v>0</v>
      </c>
      <c r="U419" s="210"/>
      <c r="V419" s="330" t="str">
        <f>IF(O419&gt;=40,IF(X419="M",VLOOKUP(O419,UKABoysAwards,2),IF(X419="F",VLOOKUP(O419,UKAGirlsAwards,2),"")),"")</f>
        <v/>
      </c>
      <c r="W419" s="210"/>
      <c r="X419" s="266" t="str">
        <f t="array" ref="X419:X420">INDEX(DB,$B419,4)</f>
        <v>#REF!</v>
      </c>
      <c r="Y419" s="210"/>
      <c r="Z419" s="285" t="str">
        <f t="shared" si="3"/>
        <v>#REF!</v>
      </c>
      <c r="AA419" s="286" t="str">
        <f>IF($Z419&gt;=1,RANK($Z419,$Z405:$Z420),0)</f>
        <v>#REF!</v>
      </c>
      <c r="AB419" s="287" t="str">
        <f>IF(AA419&lt;=MaxS,INT(Z419),0)</f>
        <v>#REF!</v>
      </c>
      <c r="AC419" s="210"/>
      <c r="AD419" s="285" t="str">
        <f t="shared" si="4"/>
        <v>#REF!</v>
      </c>
      <c r="AE419" s="286" t="str">
        <f>IF($AD419&gt;=1,RANK($AD419,$AD405:$AD420),0)</f>
        <v>#REF!</v>
      </c>
      <c r="AF419" s="287" t="str">
        <f>IF(AE419&lt;=MaxS,INT(AD419),0)</f>
        <v>#REF!</v>
      </c>
      <c r="AG419" s="210"/>
      <c r="AH419" s="210"/>
      <c r="AI419" s="288" t="str">
        <f t="shared" si="5"/>
        <v>#REF!</v>
      </c>
      <c r="AJ419" s="289" t="str">
        <f t="shared" si="6"/>
        <v>#REF!</v>
      </c>
    </row>
    <row r="420" ht="15.0" customHeight="1">
      <c r="A420" s="305"/>
      <c r="B420" s="250">
        <f>IF(OR(ISNA(MATCH(C420&amp;"",AthleteNumbers,0)),ISBLANK(C420)),0,MATCH(C420&amp;"",AthleteNumbers,0))</f>
        <v>0</v>
      </c>
      <c r="C420" s="443"/>
      <c r="D420" s="306" t="str">
        <f t="array" ref="D420">IF($B420&gt;0,INDEX(DB,$B420,8),"")</f>
        <v/>
      </c>
      <c r="E420" s="307" t="str">
        <f t="array" ref="E420">IF($B420&gt;0,INDEX(DB,$B420,3),"")</f>
        <v/>
      </c>
      <c r="F420" s="308">
        <f t="array" ref="F420">IF($B420&gt;0,INDEX(DB,$B420,13),0)</f>
        <v>0</v>
      </c>
      <c r="G420" s="309">
        <f t="array" ref="G420">IF($B420&gt;0,INDEX(DB,$B420,17),0)</f>
        <v>0</v>
      </c>
      <c r="H420" s="310">
        <f t="array" ref="H420">IF($B420&gt;0,INDEX(DB,$B420,15),0)</f>
        <v>0</v>
      </c>
      <c r="I420" s="309">
        <f t="array" ref="I420">IF($B420&gt;0,INDEX(DB,$B420,19),0)</f>
        <v>0</v>
      </c>
      <c r="J420" s="310">
        <f t="array" ref="J420">IF($B420&gt;0,INDEX(DB,$B420,14),0)</f>
        <v>0</v>
      </c>
      <c r="K420" s="309">
        <f t="array" ref="K420">IF($B420&gt;0,INDEX(DB,$B420,18),0)</f>
        <v>0</v>
      </c>
      <c r="L420" s="308">
        <f t="array" ref="L420">IF($B420&gt;0,INDEX(DB,$B420,16),0)</f>
        <v>0</v>
      </c>
      <c r="M420" s="309">
        <f t="array" ref="M420">IF($B420&gt;0,INDEX(DB,$B420,20),0)</f>
        <v>0</v>
      </c>
      <c r="N420" s="25"/>
      <c r="O420" s="311">
        <f t="shared" si="1"/>
        <v>0</v>
      </c>
      <c r="P420" s="31"/>
      <c r="Q420" s="261" t="str">
        <f t="shared" si="2"/>
        <v>#REF!</v>
      </c>
      <c r="R420" s="312" t="str">
        <f>IF($AI420&gt;0,RANK($AI420,BoysPoints),0)</f>
        <v>#REF!</v>
      </c>
      <c r="S420" s="313" t="str">
        <f>IF($AJ420&gt;0,RANK($AJ420,GirlsPoints),0)</f>
        <v>#REF!</v>
      </c>
      <c r="T420" s="314">
        <f>IF($O420&gt;0,RANK(O420,AthletePoints),0)</f>
        <v>0</v>
      </c>
      <c r="U420" s="210"/>
      <c r="V420" s="444" t="str">
        <f>IF(O420&gt;=40,IF(X420="M",VLOOKUP(O420,UKABoysAwards,2),IF(X420="F",VLOOKUP(O420,UKAGirlsAwards,2),"")),"")</f>
        <v/>
      </c>
      <c r="W420" s="210"/>
      <c r="X420" s="266" t="str">
        <f t="array" ref="X420:X421">INDEX(DB,$B420,4)</f>
        <v>#REF!</v>
      </c>
      <c r="Y420" s="210"/>
      <c r="Z420" s="316" t="str">
        <f t="shared" si="3"/>
        <v>#REF!</v>
      </c>
      <c r="AA420" s="243" t="str">
        <f>IF($Z420&gt;=1,RANK($Z420,$Z405:$Z420),0)</f>
        <v>#REF!</v>
      </c>
      <c r="AB420" s="245" t="str">
        <f>IF(AA420&lt;=MaxS,INT(Z420),0)</f>
        <v>#REF!</v>
      </c>
      <c r="AC420" s="210" t="str">
        <f>SUM(AB405:AB420)</f>
        <v>#REF!</v>
      </c>
      <c r="AD420" s="316" t="str">
        <f t="shared" si="4"/>
        <v>#REF!</v>
      </c>
      <c r="AE420" s="243" t="str">
        <f>IF($AD420&gt;=1,RANK($AD420,$AD405:$AD420),0)</f>
        <v>#REF!</v>
      </c>
      <c r="AF420" s="245" t="str">
        <f>IF(AE420&lt;=MaxS,INT(AD420),0)</f>
        <v>#REF!</v>
      </c>
      <c r="AG420" s="210" t="str">
        <f>SUM(AF405:AF420)</f>
        <v>#REF!</v>
      </c>
      <c r="AH420" s="210"/>
      <c r="AI420" s="246" t="str">
        <f t="shared" si="5"/>
        <v>#REF!</v>
      </c>
      <c r="AJ420" s="247" t="str">
        <f t="shared" si="6"/>
        <v>#REF!</v>
      </c>
    </row>
    <row r="421" ht="15.0" customHeight="1">
      <c r="A421" s="248"/>
      <c r="B421" s="250">
        <f>IF(OR(ISNA(MATCH(C421&amp;"",AthleteNumbers,0)),ISBLANK(C421)),0,MATCH(C421&amp;"",AthleteNumbers,0))</f>
        <v>0</v>
      </c>
      <c r="C421" s="251"/>
      <c r="D421" s="252" t="str">
        <f t="array" ref="D421">IF($B421&gt;0,INDEX(DB,$B421,8),"")</f>
        <v/>
      </c>
      <c r="E421" s="253" t="str">
        <f t="array" ref="E421">IF($B421&gt;0,INDEX(DB,$B421,3),"")</f>
        <v/>
      </c>
      <c r="F421" s="254">
        <f t="array" ref="F421">IF($B421&gt;0,INDEX(DB,$B421,13),0)</f>
        <v>0</v>
      </c>
      <c r="G421" s="255">
        <f t="array" ref="G421">IF($B421&gt;0,INDEX(DB,$B421,17),0)</f>
        <v>0</v>
      </c>
      <c r="H421" s="257">
        <f t="array" ref="H421">IF($B421&gt;0,INDEX(DB,$B421,15),0)</f>
        <v>0</v>
      </c>
      <c r="I421" s="255">
        <f t="array" ref="I421">IF($B421&gt;0,INDEX(DB,$B421,19),0)</f>
        <v>0</v>
      </c>
      <c r="J421" s="257">
        <f t="array" ref="J421">IF($B421&gt;0,INDEX(DB,$B421,14),0)</f>
        <v>0</v>
      </c>
      <c r="K421" s="255">
        <f t="array" ref="K421">IF($B421&gt;0,INDEX(DB,$B421,18),0)</f>
        <v>0</v>
      </c>
      <c r="L421" s="254">
        <f t="array" ref="L421">IF($B421&gt;0,INDEX(DB,$B421,16),0)</f>
        <v>0</v>
      </c>
      <c r="M421" s="255">
        <f t="array" ref="M421">IF($B421&gt;0,INDEX(DB,$B421,20),0)</f>
        <v>0</v>
      </c>
      <c r="N421" s="258" t="str">
        <f t="array" ref="N421:N437">INDEX(RelayPoints,A436)</f>
        <v>#REF!</v>
      </c>
      <c r="O421" s="259">
        <f t="shared" si="1"/>
        <v>0</v>
      </c>
      <c r="P421" s="260" t="str">
        <f>+AC436+AG436+N421</f>
        <v>#REF!</v>
      </c>
      <c r="Q421" s="261" t="str">
        <f t="shared" si="2"/>
        <v>#REF!</v>
      </c>
      <c r="R421" s="262" t="str">
        <f>IF($AI421&gt;0,RANK($AI421,BoysPoints),0)</f>
        <v>#REF!</v>
      </c>
      <c r="S421" s="263" t="str">
        <f>IF($AJ421&gt;0,RANK($AJ421,GirlsPoints),0)</f>
        <v>#REF!</v>
      </c>
      <c r="T421" s="264">
        <f>IF($O421&gt;0,RANK(O421,AthletePoints),0)</f>
        <v>0</v>
      </c>
      <c r="U421" s="210"/>
      <c r="V421" s="317" t="str">
        <f>IF(O421&gt;=40,IF(X421="M",VLOOKUP(O421,UKABoysAwards,2),IF(X421="F",VLOOKUP(O421,UKAGirlsAwards,2),"")),"")</f>
        <v/>
      </c>
      <c r="W421" s="210"/>
      <c r="X421" s="266" t="str">
        <f t="array" ref="X421:X422">INDEX(DB,$B421,4)</f>
        <v>#REF!</v>
      </c>
      <c r="Y421" s="210"/>
      <c r="Z421" s="267" t="str">
        <f t="shared" si="3"/>
        <v>#REF!</v>
      </c>
      <c r="AA421" s="268" t="str">
        <f>IF($Z421&gt;=1,RANK($Z421,$Z421:$Z436),0)</f>
        <v>#REF!</v>
      </c>
      <c r="AB421" s="269" t="str">
        <f>IF(AA421&lt;=MaxS,INT(Z421),0)</f>
        <v>#REF!</v>
      </c>
      <c r="AC421" s="210"/>
      <c r="AD421" s="267" t="str">
        <f t="shared" si="4"/>
        <v>#REF!</v>
      </c>
      <c r="AE421" s="268" t="str">
        <f>IF($AD421&gt;=1,RANK($AD421,$AD421:$AD436),0)</f>
        <v>#REF!</v>
      </c>
      <c r="AF421" s="269" t="str">
        <f>IF(AE421&lt;=MaxS,INT(AD421),0)</f>
        <v>#REF!</v>
      </c>
      <c r="AG421" s="210"/>
      <c r="AH421" s="210"/>
      <c r="AI421" s="288" t="str">
        <f t="shared" si="5"/>
        <v>#REF!</v>
      </c>
      <c r="AJ421" s="289" t="str">
        <f t="shared" si="6"/>
        <v>#REF!</v>
      </c>
    </row>
    <row r="422" ht="15.0" customHeight="1">
      <c r="A422" s="272"/>
      <c r="B422" s="250">
        <f>IF(OR(ISNA(MATCH(C422&amp;"",AthleteNumbers,0)),ISBLANK(C422)),0,MATCH(C422&amp;"",AthleteNumbers,0))</f>
        <v>0</v>
      </c>
      <c r="C422" s="413"/>
      <c r="D422" s="273" t="str">
        <f t="array" ref="D422">IF($B422&gt;0,INDEX(DB,$B422,8),"")</f>
        <v/>
      </c>
      <c r="E422" s="274" t="str">
        <f t="array" ref="E422">IF($B422&gt;0,INDEX(DB,$B422,3),"")</f>
        <v/>
      </c>
      <c r="F422" s="275">
        <f t="array" ref="F422">IF($B422&gt;0,INDEX(DB,$B422,13),0)</f>
        <v>0</v>
      </c>
      <c r="G422" s="276">
        <f t="array" ref="G422">IF($B422&gt;0,INDEX(DB,$B422,17),0)</f>
        <v>0</v>
      </c>
      <c r="H422" s="277">
        <f t="array" ref="H422">IF($B422&gt;0,INDEX(DB,$B422,15),0)</f>
        <v>0</v>
      </c>
      <c r="I422" s="276">
        <f t="array" ref="I422">IF($B422&gt;0,INDEX(DB,$B422,19),0)</f>
        <v>0</v>
      </c>
      <c r="J422" s="277">
        <f t="array" ref="J422">IF($B422&gt;0,INDEX(DB,$B422,14),0)</f>
        <v>0</v>
      </c>
      <c r="K422" s="276">
        <f t="array" ref="K422">IF($B422&gt;0,INDEX(DB,$B422,18),0)</f>
        <v>0</v>
      </c>
      <c r="L422" s="275">
        <f t="array" ref="L422">IF($B422&gt;0,INDEX(DB,$B422,16),0)</f>
        <v>0</v>
      </c>
      <c r="M422" s="276">
        <f t="array" ref="M422">IF($B422&gt;0,INDEX(DB,$B422,20),0)</f>
        <v>0</v>
      </c>
      <c r="N422" s="278"/>
      <c r="O422" s="279">
        <f t="shared" si="1"/>
        <v>0</v>
      </c>
      <c r="P422" s="280"/>
      <c r="Q422" s="261" t="str">
        <f t="shared" si="2"/>
        <v>#REF!</v>
      </c>
      <c r="R422" s="281" t="str">
        <f>IF($AI422&gt;0,RANK($AI422,BoysPoints),0)</f>
        <v>#REF!</v>
      </c>
      <c r="S422" s="282" t="str">
        <f>IF($AJ422&gt;0,RANK($AJ422,GirlsPoints),0)</f>
        <v>#REF!</v>
      </c>
      <c r="T422" s="283">
        <f>IF($O422&gt;0,RANK(O422,AthletePoints),0)</f>
        <v>0</v>
      </c>
      <c r="U422" s="210"/>
      <c r="V422" s="415" t="str">
        <f>IF(O422&gt;=40,IF(X422="M",VLOOKUP(O422,UKABoysAwards,2),IF(X422="F",VLOOKUP(O422,UKAGirlsAwards,2),"")),"")</f>
        <v/>
      </c>
      <c r="W422" s="210"/>
      <c r="X422" s="266" t="str">
        <f t="array" ref="X422:X423">INDEX(DB,$B422,4)</f>
        <v>#REF!</v>
      </c>
      <c r="Y422" s="210"/>
      <c r="Z422" s="285" t="str">
        <f t="shared" si="3"/>
        <v>#REF!</v>
      </c>
      <c r="AA422" s="286" t="str">
        <f>IF($Z422&gt;=1,RANK($Z422,$Z421:$Z436),0)</f>
        <v>#REF!</v>
      </c>
      <c r="AB422" s="287" t="str">
        <f>IF(AA422&lt;=MaxS,INT(Z422),0)</f>
        <v>#REF!</v>
      </c>
      <c r="AC422" s="210"/>
      <c r="AD422" s="285" t="str">
        <f t="shared" si="4"/>
        <v>#REF!</v>
      </c>
      <c r="AE422" s="286" t="str">
        <f>IF($AD422&gt;=1,RANK($AD422,$AD421:$AD436),0)</f>
        <v>#REF!</v>
      </c>
      <c r="AF422" s="287" t="str">
        <f>IF(AE422&lt;=MaxS,INT(AD422),0)</f>
        <v>#REF!</v>
      </c>
      <c r="AG422" s="210"/>
      <c r="AH422" s="210"/>
      <c r="AI422" s="288" t="str">
        <f t="shared" si="5"/>
        <v>#REF!</v>
      </c>
      <c r="AJ422" s="289" t="str">
        <f t="shared" si="6"/>
        <v>#REF!</v>
      </c>
    </row>
    <row r="423" ht="15.0" customHeight="1">
      <c r="A423" s="272"/>
      <c r="B423" s="250">
        <f>IF(OR(ISNA(MATCH(C423&amp;"",AthleteNumbers,0)),ISBLANK(C423)),0,MATCH(C423&amp;"",AthleteNumbers,0))</f>
        <v>0</v>
      </c>
      <c r="C423" s="413"/>
      <c r="D423" s="273" t="str">
        <f t="array" ref="D423">IF($B423&gt;0,INDEX(DB,$B423,8),"")</f>
        <v/>
      </c>
      <c r="E423" s="274" t="str">
        <f t="array" ref="E423">IF($B423&gt;0,INDEX(DB,$B423,3),"")</f>
        <v/>
      </c>
      <c r="F423" s="275">
        <f t="array" ref="F423">IF($B423&gt;0,INDEX(DB,$B423,13),0)</f>
        <v>0</v>
      </c>
      <c r="G423" s="276">
        <f t="array" ref="G423">IF($B423&gt;0,INDEX(DB,$B423,17),0)</f>
        <v>0</v>
      </c>
      <c r="H423" s="277">
        <f t="array" ref="H423">IF($B423&gt;0,INDEX(DB,$B423,15),0)</f>
        <v>0</v>
      </c>
      <c r="I423" s="276">
        <f t="array" ref="I423">IF($B423&gt;0,INDEX(DB,$B423,19),0)</f>
        <v>0</v>
      </c>
      <c r="J423" s="277">
        <f t="array" ref="J423">IF($B423&gt;0,INDEX(DB,$B423,14),0)</f>
        <v>0</v>
      </c>
      <c r="K423" s="276">
        <f t="array" ref="K423">IF($B423&gt;0,INDEX(DB,$B423,18),0)</f>
        <v>0</v>
      </c>
      <c r="L423" s="275">
        <f t="array" ref="L423">IF($B423&gt;0,INDEX(DB,$B423,16),0)</f>
        <v>0</v>
      </c>
      <c r="M423" s="276">
        <f t="array" ref="M423">IF($B423&gt;0,INDEX(DB,$B423,20),0)</f>
        <v>0</v>
      </c>
      <c r="N423" s="278"/>
      <c r="O423" s="279">
        <f t="shared" si="1"/>
        <v>0</v>
      </c>
      <c r="P423" s="280"/>
      <c r="Q423" s="261" t="str">
        <f t="shared" si="2"/>
        <v>#REF!</v>
      </c>
      <c r="R423" s="290" t="str">
        <f>IF($AI423&gt;0,RANK($AI423,BoysPoints),0)</f>
        <v>#REF!</v>
      </c>
      <c r="S423" s="291" t="str">
        <f>IF($AJ423&gt;0,RANK($AJ423,GirlsPoints),0)</f>
        <v>#REF!</v>
      </c>
      <c r="T423" s="292">
        <f>IF($O423&gt;0,RANK(O423,AthletePoints),0)</f>
        <v>0</v>
      </c>
      <c r="U423" s="210"/>
      <c r="V423" s="330" t="str">
        <f>IF(O423&gt;=40,IF(X423="M",VLOOKUP(O423,UKABoysAwards,2),IF(X423="F",VLOOKUP(O423,UKAGirlsAwards,2),"")),"")</f>
        <v/>
      </c>
      <c r="W423" s="210"/>
      <c r="X423" s="266" t="str">
        <f t="array" ref="X423:X424">INDEX(DB,$B423,4)</f>
        <v>#REF!</v>
      </c>
      <c r="Y423" s="210"/>
      <c r="Z423" s="285" t="str">
        <f t="shared" si="3"/>
        <v>#REF!</v>
      </c>
      <c r="AA423" s="286" t="str">
        <f>IF($Z423&gt;=1,RANK($Z423,$Z421:$Z436),0)</f>
        <v>#REF!</v>
      </c>
      <c r="AB423" s="287" t="str">
        <f>IF(AA423&lt;=MaxS,INT(Z423),0)</f>
        <v>#REF!</v>
      </c>
      <c r="AC423" s="210"/>
      <c r="AD423" s="285" t="str">
        <f t="shared" si="4"/>
        <v>#REF!</v>
      </c>
      <c r="AE423" s="286" t="str">
        <f>IF($AD423&gt;=1,RANK($AD423,$AD421:$AD436),0)</f>
        <v>#REF!</v>
      </c>
      <c r="AF423" s="287" t="str">
        <f>IF(AE423&lt;=MaxS,INT(AD423),0)</f>
        <v>#REF!</v>
      </c>
      <c r="AG423" s="210"/>
      <c r="AH423" s="210"/>
      <c r="AI423" s="288" t="str">
        <f t="shared" si="5"/>
        <v>#REF!</v>
      </c>
      <c r="AJ423" s="289" t="str">
        <f t="shared" si="6"/>
        <v>#REF!</v>
      </c>
    </row>
    <row r="424" ht="15.0" customHeight="1">
      <c r="A424" s="272"/>
      <c r="B424" s="250">
        <f>IF(OR(ISNA(MATCH(C424&amp;"",AthleteNumbers,0)),ISBLANK(C424)),0,MATCH(C424&amp;"",AthleteNumbers,0))</f>
        <v>0</v>
      </c>
      <c r="C424" s="413"/>
      <c r="D424" s="273" t="str">
        <f t="array" ref="D424">IF($B424&gt;0,INDEX(DB,$B424,8),"")</f>
        <v/>
      </c>
      <c r="E424" s="274" t="str">
        <f t="array" ref="E424">IF($B424&gt;0,INDEX(DB,$B424,3),"")</f>
        <v/>
      </c>
      <c r="F424" s="275">
        <f t="array" ref="F424">IF($B424&gt;0,INDEX(DB,$B424,13),0)</f>
        <v>0</v>
      </c>
      <c r="G424" s="276">
        <f t="array" ref="G424">IF($B424&gt;0,INDEX(DB,$B424,17),0)</f>
        <v>0</v>
      </c>
      <c r="H424" s="277">
        <f t="array" ref="H424">IF($B424&gt;0,INDEX(DB,$B424,15),0)</f>
        <v>0</v>
      </c>
      <c r="I424" s="276">
        <f t="array" ref="I424">IF($B424&gt;0,INDEX(DB,$B424,19),0)</f>
        <v>0</v>
      </c>
      <c r="J424" s="277">
        <f t="array" ref="J424">IF($B424&gt;0,INDEX(DB,$B424,14),0)</f>
        <v>0</v>
      </c>
      <c r="K424" s="276">
        <f t="array" ref="K424">IF($B424&gt;0,INDEX(DB,$B424,18),0)</f>
        <v>0</v>
      </c>
      <c r="L424" s="275">
        <f t="array" ref="L424">IF($B424&gt;0,INDEX(DB,$B424,16),0)</f>
        <v>0</v>
      </c>
      <c r="M424" s="276">
        <f t="array" ref="M424">IF($B424&gt;0,INDEX(DB,$B424,20),0)</f>
        <v>0</v>
      </c>
      <c r="N424" s="278"/>
      <c r="O424" s="279">
        <f t="shared" si="1"/>
        <v>0</v>
      </c>
      <c r="P424" s="280"/>
      <c r="Q424" s="261" t="str">
        <f t="shared" si="2"/>
        <v>#REF!</v>
      </c>
      <c r="R424" s="281" t="str">
        <f>IF($AI424&gt;0,RANK($AI424,BoysPoints),0)</f>
        <v>#REF!</v>
      </c>
      <c r="S424" s="282" t="str">
        <f>IF($AJ424&gt;0,RANK($AJ424,GirlsPoints),0)</f>
        <v>#REF!</v>
      </c>
      <c r="T424" s="283">
        <f>IF($O424&gt;0,RANK(O424,AthletePoints),0)</f>
        <v>0</v>
      </c>
      <c r="U424" s="210"/>
      <c r="V424" s="415" t="str">
        <f>IF(O424&gt;=40,IF(X424="M",VLOOKUP(O424,UKABoysAwards,2),IF(X424="F",VLOOKUP(O424,UKAGirlsAwards,2),"")),"")</f>
        <v/>
      </c>
      <c r="W424" s="210"/>
      <c r="X424" s="266" t="str">
        <f t="array" ref="X424:X425">INDEX(DB,$B424,4)</f>
        <v>#REF!</v>
      </c>
      <c r="Y424" s="210"/>
      <c r="Z424" s="285" t="str">
        <f t="shared" si="3"/>
        <v>#REF!</v>
      </c>
      <c r="AA424" s="286" t="str">
        <f>IF($Z424&gt;=1,RANK($Z424,$Z421:$Z436),0)</f>
        <v>#REF!</v>
      </c>
      <c r="AB424" s="287" t="str">
        <f>IF(AA424&lt;=MaxS,INT(Z424),0)</f>
        <v>#REF!</v>
      </c>
      <c r="AC424" s="210"/>
      <c r="AD424" s="285" t="str">
        <f t="shared" si="4"/>
        <v>#REF!</v>
      </c>
      <c r="AE424" s="286" t="str">
        <f>IF($AD424&gt;=1,RANK($AD424,$AD421:$AD436),0)</f>
        <v>#REF!</v>
      </c>
      <c r="AF424" s="287" t="str">
        <f>IF(AE424&lt;=MaxS,INT(AD424),0)</f>
        <v>#REF!</v>
      </c>
      <c r="AG424" s="210"/>
      <c r="AH424" s="210"/>
      <c r="AI424" s="288" t="str">
        <f t="shared" si="5"/>
        <v>#REF!</v>
      </c>
      <c r="AJ424" s="289" t="str">
        <f t="shared" si="6"/>
        <v>#REF!</v>
      </c>
    </row>
    <row r="425" ht="15.0" customHeight="1">
      <c r="A425" s="272"/>
      <c r="B425" s="250">
        <f>IF(OR(ISNA(MATCH(C425&amp;"",AthleteNumbers,0)),ISBLANK(C425)),0,MATCH(C425&amp;"",AthleteNumbers,0))</f>
        <v>0</v>
      </c>
      <c r="C425" s="413"/>
      <c r="D425" s="273" t="str">
        <f t="array" ref="D425">IF($B425&gt;0,INDEX(DB,$B425,8),"")</f>
        <v/>
      </c>
      <c r="E425" s="274" t="str">
        <f t="array" ref="E425">IF($B425&gt;0,INDEX(DB,$B425,3),"")</f>
        <v/>
      </c>
      <c r="F425" s="275">
        <f t="array" ref="F425">IF($B425&gt;0,INDEX(DB,$B425,13),0)</f>
        <v>0</v>
      </c>
      <c r="G425" s="276">
        <f t="array" ref="G425">IF($B425&gt;0,INDEX(DB,$B425,17),0)</f>
        <v>0</v>
      </c>
      <c r="H425" s="277">
        <f t="array" ref="H425">IF($B425&gt;0,INDEX(DB,$B425,15),0)</f>
        <v>0</v>
      </c>
      <c r="I425" s="276">
        <f t="array" ref="I425">IF($B425&gt;0,INDEX(DB,$B425,19),0)</f>
        <v>0</v>
      </c>
      <c r="J425" s="277">
        <f t="array" ref="J425">IF($B425&gt;0,INDEX(DB,$B425,14),0)</f>
        <v>0</v>
      </c>
      <c r="K425" s="276">
        <f t="array" ref="K425">IF($B425&gt;0,INDEX(DB,$B425,18),0)</f>
        <v>0</v>
      </c>
      <c r="L425" s="275">
        <f t="array" ref="L425">IF($B425&gt;0,INDEX(DB,$B425,16),0)</f>
        <v>0</v>
      </c>
      <c r="M425" s="276">
        <f t="array" ref="M425">IF($B425&gt;0,INDEX(DB,$B425,20),0)</f>
        <v>0</v>
      </c>
      <c r="N425" s="278"/>
      <c r="O425" s="279">
        <f t="shared" si="1"/>
        <v>0</v>
      </c>
      <c r="P425" s="280"/>
      <c r="Q425" s="261" t="str">
        <f t="shared" si="2"/>
        <v>#REF!</v>
      </c>
      <c r="R425" s="290" t="str">
        <f>IF($AI425&gt;0,RANK($AI425,BoysPoints),0)</f>
        <v>#REF!</v>
      </c>
      <c r="S425" s="291" t="str">
        <f>IF($AJ425&gt;0,RANK($AJ425,GirlsPoints),0)</f>
        <v>#REF!</v>
      </c>
      <c r="T425" s="292">
        <f>IF($O425&gt;0,RANK(O425,AthletePoints),0)</f>
        <v>0</v>
      </c>
      <c r="U425" s="210"/>
      <c r="V425" s="330" t="str">
        <f>IF(O425&gt;=40,IF(X425="M",VLOOKUP(O425,UKABoysAwards,2),IF(X425="F",VLOOKUP(O425,UKAGirlsAwards,2),"")),"")</f>
        <v/>
      </c>
      <c r="W425" s="210"/>
      <c r="X425" s="266" t="str">
        <f t="array" ref="X425:X426">INDEX(DB,$B425,4)</f>
        <v>#REF!</v>
      </c>
      <c r="Y425" s="210"/>
      <c r="Z425" s="285" t="str">
        <f t="shared" si="3"/>
        <v>#REF!</v>
      </c>
      <c r="AA425" s="286" t="str">
        <f>IF($Z425&gt;=1,RANK($Z425,$Z421:$Z436),0)</f>
        <v>#REF!</v>
      </c>
      <c r="AB425" s="287" t="str">
        <f>IF(AA425&lt;=MaxS,INT(Z425),0)</f>
        <v>#REF!</v>
      </c>
      <c r="AC425" s="210"/>
      <c r="AD425" s="285" t="str">
        <f t="shared" si="4"/>
        <v>#REF!</v>
      </c>
      <c r="AE425" s="286" t="str">
        <f>IF($AD425&gt;=1,RANK($AD425,$AD421:$AD436),0)</f>
        <v>#REF!</v>
      </c>
      <c r="AF425" s="287" t="str">
        <f>IF(AE425&lt;=MaxS,INT(AD425),0)</f>
        <v>#REF!</v>
      </c>
      <c r="AG425" s="210"/>
      <c r="AH425" s="210"/>
      <c r="AI425" s="288" t="str">
        <f t="shared" si="5"/>
        <v>#REF!</v>
      </c>
      <c r="AJ425" s="289" t="str">
        <f t="shared" si="6"/>
        <v>#REF!</v>
      </c>
    </row>
    <row r="426" ht="15.0" customHeight="1">
      <c r="A426" s="272"/>
      <c r="B426" s="250">
        <f>IF(OR(ISNA(MATCH(C426&amp;"",AthleteNumbers,0)),ISBLANK(C426)),0,MATCH(C426&amp;"",AthleteNumbers,0))</f>
        <v>0</v>
      </c>
      <c r="C426" s="413"/>
      <c r="D426" s="273" t="str">
        <f t="array" ref="D426">IF($B426&gt;0,INDEX(DB,$B426,8),"")</f>
        <v/>
      </c>
      <c r="E426" s="274" t="str">
        <f t="array" ref="E426">IF($B426&gt;0,INDEX(DB,$B426,3),"")</f>
        <v/>
      </c>
      <c r="F426" s="275">
        <f t="array" ref="F426">IF($B426&gt;0,INDEX(DB,$B426,13),0)</f>
        <v>0</v>
      </c>
      <c r="G426" s="276">
        <f t="array" ref="G426">IF($B426&gt;0,INDEX(DB,$B426,17),0)</f>
        <v>0</v>
      </c>
      <c r="H426" s="277">
        <f t="array" ref="H426">IF($B426&gt;0,INDEX(DB,$B426,15),0)</f>
        <v>0</v>
      </c>
      <c r="I426" s="276">
        <f t="array" ref="I426">IF($B426&gt;0,INDEX(DB,$B426,19),0)</f>
        <v>0</v>
      </c>
      <c r="J426" s="277">
        <f t="array" ref="J426">IF($B426&gt;0,INDEX(DB,$B426,14),0)</f>
        <v>0</v>
      </c>
      <c r="K426" s="276">
        <f t="array" ref="K426">IF($B426&gt;0,INDEX(DB,$B426,18),0)</f>
        <v>0</v>
      </c>
      <c r="L426" s="275">
        <f t="array" ref="L426">IF($B426&gt;0,INDEX(DB,$B426,16),0)</f>
        <v>0</v>
      </c>
      <c r="M426" s="276">
        <f t="array" ref="M426">IF($B426&gt;0,INDEX(DB,$B426,20),0)</f>
        <v>0</v>
      </c>
      <c r="N426" s="278"/>
      <c r="O426" s="279">
        <f t="shared" si="1"/>
        <v>0</v>
      </c>
      <c r="P426" s="280"/>
      <c r="Q426" s="261" t="str">
        <f t="shared" si="2"/>
        <v>#REF!</v>
      </c>
      <c r="R426" s="281" t="str">
        <f>IF($AI426&gt;0,RANK($AI426,BoysPoints),0)</f>
        <v>#REF!</v>
      </c>
      <c r="S426" s="282" t="str">
        <f>IF($AJ426&gt;0,RANK($AJ426,GirlsPoints),0)</f>
        <v>#REF!</v>
      </c>
      <c r="T426" s="283">
        <f>IF($O426&gt;0,RANK(O426,AthletePoints),0)</f>
        <v>0</v>
      </c>
      <c r="U426" s="210"/>
      <c r="V426" s="415" t="str">
        <f>IF(O426&gt;=40,IF(X426="M",VLOOKUP(O426,UKABoysAwards,2),IF(X426="F",VLOOKUP(O426,UKAGirlsAwards,2),"")),"")</f>
        <v/>
      </c>
      <c r="W426" s="210"/>
      <c r="X426" s="266" t="str">
        <f t="array" ref="X426:X427">INDEX(DB,$B426,4)</f>
        <v>#REF!</v>
      </c>
      <c r="Y426" s="210"/>
      <c r="Z426" s="285" t="str">
        <f t="shared" si="3"/>
        <v>#REF!</v>
      </c>
      <c r="AA426" s="286" t="str">
        <f>IF($Z426&gt;=1,RANK($Z426,$Z421:$Z436),0)</f>
        <v>#REF!</v>
      </c>
      <c r="AB426" s="287" t="str">
        <f>IF(AA426&lt;=MaxS,INT(Z426),0)</f>
        <v>#REF!</v>
      </c>
      <c r="AC426" s="210"/>
      <c r="AD426" s="285" t="str">
        <f t="shared" si="4"/>
        <v>#REF!</v>
      </c>
      <c r="AE426" s="286" t="str">
        <f>IF($AD426&gt;=1,RANK($AD426,$AD421:$AD436),0)</f>
        <v>#REF!</v>
      </c>
      <c r="AF426" s="287" t="str">
        <f>IF(AE426&lt;=MaxS,INT(AD426),0)</f>
        <v>#REF!</v>
      </c>
      <c r="AG426" s="210"/>
      <c r="AH426" s="210"/>
      <c r="AI426" s="288" t="str">
        <f t="shared" si="5"/>
        <v>#REF!</v>
      </c>
      <c r="AJ426" s="289" t="str">
        <f t="shared" si="6"/>
        <v>#REF!</v>
      </c>
    </row>
    <row r="427" ht="15.0" customHeight="1">
      <c r="A427" s="272"/>
      <c r="B427" s="250">
        <f>IF(OR(ISNA(MATCH(C427&amp;"",AthleteNumbers,0)),ISBLANK(C427)),0,MATCH(C427&amp;"",AthleteNumbers,0))</f>
        <v>0</v>
      </c>
      <c r="C427" s="413"/>
      <c r="D427" s="273" t="str">
        <f t="array" ref="D427">IF($B427&gt;0,INDEX(DB,$B427,8),"")</f>
        <v/>
      </c>
      <c r="E427" s="274" t="str">
        <f t="array" ref="E427">IF($B427&gt;0,INDEX(DB,$B427,3),"")</f>
        <v/>
      </c>
      <c r="F427" s="275">
        <f t="array" ref="F427">IF($B427&gt;0,INDEX(DB,$B427,13),0)</f>
        <v>0</v>
      </c>
      <c r="G427" s="276">
        <f t="array" ref="G427">IF($B427&gt;0,INDEX(DB,$B427,17),0)</f>
        <v>0</v>
      </c>
      <c r="H427" s="277">
        <f t="array" ref="H427">IF($B427&gt;0,INDEX(DB,$B427,15),0)</f>
        <v>0</v>
      </c>
      <c r="I427" s="276">
        <f t="array" ref="I427">IF($B427&gt;0,INDEX(DB,$B427,19),0)</f>
        <v>0</v>
      </c>
      <c r="J427" s="277">
        <f t="array" ref="J427">IF($B427&gt;0,INDEX(DB,$B427,14),0)</f>
        <v>0</v>
      </c>
      <c r="K427" s="276">
        <f t="array" ref="K427">IF($B427&gt;0,INDEX(DB,$B427,18),0)</f>
        <v>0</v>
      </c>
      <c r="L427" s="275">
        <f t="array" ref="L427">IF($B427&gt;0,INDEX(DB,$B427,16),0)</f>
        <v>0</v>
      </c>
      <c r="M427" s="276">
        <f t="array" ref="M427">IF($B427&gt;0,INDEX(DB,$B427,20),0)</f>
        <v>0</v>
      </c>
      <c r="N427" s="278"/>
      <c r="O427" s="279">
        <f t="shared" si="1"/>
        <v>0</v>
      </c>
      <c r="P427" s="280"/>
      <c r="Q427" s="261" t="str">
        <f t="shared" si="2"/>
        <v>#REF!</v>
      </c>
      <c r="R427" s="290" t="str">
        <f>IF($AI427&gt;0,RANK($AI427,BoysPoints),0)</f>
        <v>#REF!</v>
      </c>
      <c r="S427" s="291" t="str">
        <f>IF($AJ427&gt;0,RANK($AJ427,GirlsPoints),0)</f>
        <v>#REF!</v>
      </c>
      <c r="T427" s="292">
        <f>IF($O427&gt;0,RANK(O427,AthletePoints),0)</f>
        <v>0</v>
      </c>
      <c r="U427" s="210"/>
      <c r="V427" s="330" t="str">
        <f>IF(O427&gt;=40,IF(X427="M",VLOOKUP(O427,UKABoysAwards,2),IF(X427="F",VLOOKUP(O427,UKAGirlsAwards,2),"")),"")</f>
        <v/>
      </c>
      <c r="W427" s="210"/>
      <c r="X427" s="266" t="str">
        <f t="array" ref="X427:X428">INDEX(DB,$B427,4)</f>
        <v>#REF!</v>
      </c>
      <c r="Y427" s="210"/>
      <c r="Z427" s="285" t="str">
        <f t="shared" si="3"/>
        <v>#REF!</v>
      </c>
      <c r="AA427" s="286" t="str">
        <f>IF($Z427&gt;=1,RANK($Z427,$Z421:$Z436),0)</f>
        <v>#REF!</v>
      </c>
      <c r="AB427" s="287" t="str">
        <f>IF(AA427&lt;=MaxS,INT(Z427),0)</f>
        <v>#REF!</v>
      </c>
      <c r="AC427" s="210"/>
      <c r="AD427" s="285" t="str">
        <f t="shared" si="4"/>
        <v>#REF!</v>
      </c>
      <c r="AE427" s="286" t="str">
        <f>IF($AD427&gt;=1,RANK($AD427,$AD421:$AD436),0)</f>
        <v>#REF!</v>
      </c>
      <c r="AF427" s="287" t="str">
        <f>IF(AE427&lt;=MaxS,INT(AD427),0)</f>
        <v>#REF!</v>
      </c>
      <c r="AG427" s="210"/>
      <c r="AH427" s="210"/>
      <c r="AI427" s="288" t="str">
        <f t="shared" si="5"/>
        <v>#REF!</v>
      </c>
      <c r="AJ427" s="289" t="str">
        <f t="shared" si="6"/>
        <v>#REF!</v>
      </c>
    </row>
    <row r="428" ht="15.0" customHeight="1">
      <c r="A428" s="272"/>
      <c r="B428" s="250">
        <f>IF(OR(ISNA(MATCH(C428&amp;"",AthleteNumbers,0)),ISBLANK(C428)),0,MATCH(C428&amp;"",AthleteNumbers,0))</f>
        <v>0</v>
      </c>
      <c r="C428" s="413"/>
      <c r="D428" s="273" t="str">
        <f t="array" ref="D428">IF($B428&gt;0,INDEX(DB,$B428,8),"")</f>
        <v/>
      </c>
      <c r="E428" s="274" t="str">
        <f t="array" ref="E428">IF($B428&gt;0,INDEX(DB,$B428,3),"")</f>
        <v/>
      </c>
      <c r="F428" s="275">
        <f t="array" ref="F428">IF($B428&gt;0,INDEX(DB,$B428,13),0)</f>
        <v>0</v>
      </c>
      <c r="G428" s="276">
        <f t="array" ref="G428">IF($B428&gt;0,INDEX(DB,$B428,17),0)</f>
        <v>0</v>
      </c>
      <c r="H428" s="277">
        <f t="array" ref="H428">IF($B428&gt;0,INDEX(DB,$B428,15),0)</f>
        <v>0</v>
      </c>
      <c r="I428" s="276">
        <f t="array" ref="I428">IF($B428&gt;0,INDEX(DB,$B428,19),0)</f>
        <v>0</v>
      </c>
      <c r="J428" s="277">
        <f t="array" ref="J428">IF($B428&gt;0,INDEX(DB,$B428,14),0)</f>
        <v>0</v>
      </c>
      <c r="K428" s="276">
        <f t="array" ref="K428">IF($B428&gt;0,INDEX(DB,$B428,18),0)</f>
        <v>0</v>
      </c>
      <c r="L428" s="275">
        <f t="array" ref="L428">IF($B428&gt;0,INDEX(DB,$B428,16),0)</f>
        <v>0</v>
      </c>
      <c r="M428" s="276">
        <f t="array" ref="M428">IF($B428&gt;0,INDEX(DB,$B428,20),0)</f>
        <v>0</v>
      </c>
      <c r="N428" s="278"/>
      <c r="O428" s="279">
        <f t="shared" si="1"/>
        <v>0</v>
      </c>
      <c r="P428" s="280"/>
      <c r="Q428" s="261" t="str">
        <f t="shared" si="2"/>
        <v>#REF!</v>
      </c>
      <c r="R428" s="281" t="str">
        <f>IF($AI428&gt;0,RANK($AI428,BoysPoints),0)</f>
        <v>#REF!</v>
      </c>
      <c r="S428" s="282" t="str">
        <f>IF($AJ428&gt;0,RANK($AJ428,GirlsPoints),0)</f>
        <v>#REF!</v>
      </c>
      <c r="T428" s="283">
        <f>IF($O428&gt;0,RANK(O428,AthletePoints),0)</f>
        <v>0</v>
      </c>
      <c r="U428" s="210"/>
      <c r="V428" s="415" t="str">
        <f>IF(O428&gt;=40,IF(X428="M",VLOOKUP(O428,UKABoysAwards,2),IF(X428="F",VLOOKUP(O428,UKAGirlsAwards,2),"")),"")</f>
        <v/>
      </c>
      <c r="W428" s="210"/>
      <c r="X428" s="266" t="str">
        <f t="array" ref="X428:X429">INDEX(DB,$B428,4)</f>
        <v>#REF!</v>
      </c>
      <c r="Y428" s="210"/>
      <c r="Z428" s="285" t="str">
        <f t="shared" si="3"/>
        <v>#REF!</v>
      </c>
      <c r="AA428" s="286" t="str">
        <f>IF($Z428&gt;=1,RANK($Z428,$Z421:$Z436),0)</f>
        <v>#REF!</v>
      </c>
      <c r="AB428" s="287" t="str">
        <f>IF(AA428&lt;=MaxS,INT(Z428),0)</f>
        <v>#REF!</v>
      </c>
      <c r="AC428" s="210"/>
      <c r="AD428" s="285" t="str">
        <f t="shared" si="4"/>
        <v>#REF!</v>
      </c>
      <c r="AE428" s="286" t="str">
        <f>IF($AD428&gt;=1,RANK($AD428,$AD421:$AD436),0)</f>
        <v>#REF!</v>
      </c>
      <c r="AF428" s="287" t="str">
        <f>IF(AE428&lt;=MaxS,INT(AD428),0)</f>
        <v>#REF!</v>
      </c>
      <c r="AG428" s="210"/>
      <c r="AH428" s="210"/>
      <c r="AI428" s="288" t="str">
        <f t="shared" si="5"/>
        <v>#REF!</v>
      </c>
      <c r="AJ428" s="289" t="str">
        <f t="shared" si="6"/>
        <v>#REF!</v>
      </c>
    </row>
    <row r="429" ht="15.0" customHeight="1">
      <c r="A429" s="272"/>
      <c r="B429" s="250">
        <f>IF(OR(ISNA(MATCH(C429&amp;"",AthleteNumbers,0)),ISBLANK(C429)),0,MATCH(C429&amp;"",AthleteNumbers,0))</f>
        <v>0</v>
      </c>
      <c r="C429" s="413"/>
      <c r="D429" s="273" t="str">
        <f t="array" ref="D429">IF($B429&gt;0,INDEX(DB,$B429,8),"")</f>
        <v/>
      </c>
      <c r="E429" s="274" t="str">
        <f t="array" ref="E429">IF($B429&gt;0,INDEX(DB,$B429,3),"")</f>
        <v/>
      </c>
      <c r="F429" s="275">
        <f t="array" ref="F429">IF($B429&gt;0,INDEX(DB,$B429,13),0)</f>
        <v>0</v>
      </c>
      <c r="G429" s="276">
        <f t="array" ref="G429">IF($B429&gt;0,INDEX(DB,$B429,17),0)</f>
        <v>0</v>
      </c>
      <c r="H429" s="277">
        <f t="array" ref="H429">IF($B429&gt;0,INDEX(DB,$B429,15),0)</f>
        <v>0</v>
      </c>
      <c r="I429" s="276">
        <f t="array" ref="I429">IF($B429&gt;0,INDEX(DB,$B429,19),0)</f>
        <v>0</v>
      </c>
      <c r="J429" s="277">
        <f t="array" ref="J429">IF($B429&gt;0,INDEX(DB,$B429,14),0)</f>
        <v>0</v>
      </c>
      <c r="K429" s="276">
        <f t="array" ref="K429">IF($B429&gt;0,INDEX(DB,$B429,18),0)</f>
        <v>0</v>
      </c>
      <c r="L429" s="275">
        <f t="array" ref="L429">IF($B429&gt;0,INDEX(DB,$B429,16),0)</f>
        <v>0</v>
      </c>
      <c r="M429" s="276">
        <f t="array" ref="M429">IF($B429&gt;0,INDEX(DB,$B429,20),0)</f>
        <v>0</v>
      </c>
      <c r="N429" s="278"/>
      <c r="O429" s="279">
        <f t="shared" si="1"/>
        <v>0</v>
      </c>
      <c r="P429" s="280"/>
      <c r="Q429" s="261" t="str">
        <f t="shared" si="2"/>
        <v>#REF!</v>
      </c>
      <c r="R429" s="290" t="str">
        <f>IF($AI429&gt;0,RANK($AI429,BoysPoints),0)</f>
        <v>#REF!</v>
      </c>
      <c r="S429" s="291" t="str">
        <f>IF($AJ429&gt;0,RANK($AJ429,GirlsPoints),0)</f>
        <v>#REF!</v>
      </c>
      <c r="T429" s="292">
        <f>IF($O429&gt;0,RANK(O429,AthletePoints),0)</f>
        <v>0</v>
      </c>
      <c r="U429" s="210"/>
      <c r="V429" s="330" t="str">
        <f>IF(O429&gt;=40,IF(X429="M",VLOOKUP(O429,UKABoysAwards,2),IF(X429="F",VLOOKUP(O429,UKAGirlsAwards,2),"")),"")</f>
        <v/>
      </c>
      <c r="W429" s="210"/>
      <c r="X429" s="266" t="str">
        <f t="array" ref="X429:X430">INDEX(DB,$B429,4)</f>
        <v>#REF!</v>
      </c>
      <c r="Y429" s="210"/>
      <c r="Z429" s="285" t="str">
        <f t="shared" si="3"/>
        <v>#REF!</v>
      </c>
      <c r="AA429" s="286" t="str">
        <f>IF($Z429&gt;=1,RANK($Z429,$Z421:$Z436),0)</f>
        <v>#REF!</v>
      </c>
      <c r="AB429" s="287" t="str">
        <f>IF(AA429&lt;=MaxS,INT(Z429),0)</f>
        <v>#REF!</v>
      </c>
      <c r="AC429" s="210"/>
      <c r="AD429" s="285" t="str">
        <f t="shared" si="4"/>
        <v>#REF!</v>
      </c>
      <c r="AE429" s="286" t="str">
        <f>IF($AD429&gt;=1,RANK($AD429,$AD421:$AD436),0)</f>
        <v>#REF!</v>
      </c>
      <c r="AF429" s="287" t="str">
        <f>IF(AE429&lt;=MaxS,INT(AD429),0)</f>
        <v>#REF!</v>
      </c>
      <c r="AG429" s="210"/>
      <c r="AH429" s="210"/>
      <c r="AI429" s="288" t="str">
        <f t="shared" si="5"/>
        <v>#REF!</v>
      </c>
      <c r="AJ429" s="289" t="str">
        <f t="shared" si="6"/>
        <v>#REF!</v>
      </c>
    </row>
    <row r="430" ht="15.0" customHeight="1">
      <c r="A430" s="272"/>
      <c r="B430" s="250">
        <f>IF(OR(ISNA(MATCH(C430&amp;"",AthleteNumbers,0)),ISBLANK(C430)),0,MATCH(C430&amp;"",AthleteNumbers,0))</f>
        <v>0</v>
      </c>
      <c r="C430" s="413"/>
      <c r="D430" s="273" t="str">
        <f t="array" ref="D430">IF($B430&gt;0,INDEX(DB,$B430,8),"")</f>
        <v/>
      </c>
      <c r="E430" s="274" t="str">
        <f t="array" ref="E430">IF($B430&gt;0,INDEX(DB,$B430,3),"")</f>
        <v/>
      </c>
      <c r="F430" s="275">
        <f t="array" ref="F430">IF($B430&gt;0,INDEX(DB,$B430,13),0)</f>
        <v>0</v>
      </c>
      <c r="G430" s="276">
        <f t="array" ref="G430">IF($B430&gt;0,INDEX(DB,$B430,17),0)</f>
        <v>0</v>
      </c>
      <c r="H430" s="277">
        <f t="array" ref="H430">IF($B430&gt;0,INDEX(DB,$B430,15),0)</f>
        <v>0</v>
      </c>
      <c r="I430" s="276">
        <f t="array" ref="I430">IF($B430&gt;0,INDEX(DB,$B430,19),0)</f>
        <v>0</v>
      </c>
      <c r="J430" s="277">
        <f t="array" ref="J430">IF($B430&gt;0,INDEX(DB,$B430,14),0)</f>
        <v>0</v>
      </c>
      <c r="K430" s="276">
        <f t="array" ref="K430">IF($B430&gt;0,INDEX(DB,$B430,18),0)</f>
        <v>0</v>
      </c>
      <c r="L430" s="275">
        <f t="array" ref="L430">IF($B430&gt;0,INDEX(DB,$B430,16),0)</f>
        <v>0</v>
      </c>
      <c r="M430" s="276">
        <f t="array" ref="M430">IF($B430&gt;0,INDEX(DB,$B430,20),0)</f>
        <v>0</v>
      </c>
      <c r="N430" s="278"/>
      <c r="O430" s="279">
        <f t="shared" si="1"/>
        <v>0</v>
      </c>
      <c r="P430" s="280"/>
      <c r="Q430" s="261" t="str">
        <f t="shared" si="2"/>
        <v>#REF!</v>
      </c>
      <c r="R430" s="281" t="str">
        <f>IF($AI430&gt;0,RANK($AI430,BoysPoints),0)</f>
        <v>#REF!</v>
      </c>
      <c r="S430" s="282" t="str">
        <f>IF($AJ430&gt;0,RANK($AJ430,GirlsPoints),0)</f>
        <v>#REF!</v>
      </c>
      <c r="T430" s="283">
        <f>IF($O430&gt;0,RANK(O430,AthletePoints),0)</f>
        <v>0</v>
      </c>
      <c r="U430" s="210"/>
      <c r="V430" s="415" t="str">
        <f>IF(O430&gt;=40,IF(X430="M",VLOOKUP(O430,UKABoysAwards,2),IF(X430="F",VLOOKUP(O430,UKAGirlsAwards,2),"")),"")</f>
        <v/>
      </c>
      <c r="W430" s="210"/>
      <c r="X430" s="266" t="str">
        <f t="array" ref="X430:X431">INDEX(DB,$B430,4)</f>
        <v>#REF!</v>
      </c>
      <c r="Y430" s="210"/>
      <c r="Z430" s="285" t="str">
        <f t="shared" si="3"/>
        <v>#REF!</v>
      </c>
      <c r="AA430" s="286" t="str">
        <f>IF($Z430&gt;=1,RANK($Z430,$Z421:$Z436),0)</f>
        <v>#REF!</v>
      </c>
      <c r="AB430" s="287" t="str">
        <f>IF(AA430&lt;=MaxS,INT(Z430),0)</f>
        <v>#REF!</v>
      </c>
      <c r="AC430" s="210"/>
      <c r="AD430" s="285" t="str">
        <f t="shared" si="4"/>
        <v>#REF!</v>
      </c>
      <c r="AE430" s="286" t="str">
        <f>IF($AD430&gt;=1,RANK($AD430,$AD421:$AD436),0)</f>
        <v>#REF!</v>
      </c>
      <c r="AF430" s="287" t="str">
        <f>IF(AE430&lt;=MaxS,INT(AD430),0)</f>
        <v>#REF!</v>
      </c>
      <c r="AG430" s="210"/>
      <c r="AH430" s="210"/>
      <c r="AI430" s="288" t="str">
        <f t="shared" si="5"/>
        <v>#REF!</v>
      </c>
      <c r="AJ430" s="289" t="str">
        <f t="shared" si="6"/>
        <v>#REF!</v>
      </c>
    </row>
    <row r="431" ht="15.0" customHeight="1">
      <c r="A431" s="272"/>
      <c r="B431" s="250">
        <f>IF(OR(ISNA(MATCH(C431&amp;"",AthleteNumbers,0)),ISBLANK(C431)),0,MATCH(C431&amp;"",AthleteNumbers,0))</f>
        <v>0</v>
      </c>
      <c r="C431" s="413"/>
      <c r="D431" s="273" t="str">
        <f t="array" ref="D431">IF($B431&gt;0,INDEX(DB,$B431,8),"")</f>
        <v/>
      </c>
      <c r="E431" s="274" t="str">
        <f t="array" ref="E431">IF($B431&gt;0,INDEX(DB,$B431,3),"")</f>
        <v/>
      </c>
      <c r="F431" s="275">
        <f t="array" ref="F431">IF($B431&gt;0,INDEX(DB,$B431,13),0)</f>
        <v>0</v>
      </c>
      <c r="G431" s="276">
        <f t="array" ref="G431">IF($B431&gt;0,INDEX(DB,$B431,17),0)</f>
        <v>0</v>
      </c>
      <c r="H431" s="277">
        <f t="array" ref="H431">IF($B431&gt;0,INDEX(DB,$B431,15),0)</f>
        <v>0</v>
      </c>
      <c r="I431" s="276">
        <f t="array" ref="I431">IF($B431&gt;0,INDEX(DB,$B431,19),0)</f>
        <v>0</v>
      </c>
      <c r="J431" s="277">
        <f t="array" ref="J431">IF($B431&gt;0,INDEX(DB,$B431,14),0)</f>
        <v>0</v>
      </c>
      <c r="K431" s="276">
        <f t="array" ref="K431">IF($B431&gt;0,INDEX(DB,$B431,18),0)</f>
        <v>0</v>
      </c>
      <c r="L431" s="275">
        <f t="array" ref="L431">IF($B431&gt;0,INDEX(DB,$B431,16),0)</f>
        <v>0</v>
      </c>
      <c r="M431" s="276">
        <f t="array" ref="M431">IF($B431&gt;0,INDEX(DB,$B431,20),0)</f>
        <v>0</v>
      </c>
      <c r="N431" s="278"/>
      <c r="O431" s="279">
        <f t="shared" si="1"/>
        <v>0</v>
      </c>
      <c r="P431" s="280"/>
      <c r="Q431" s="261" t="str">
        <f t="shared" si="2"/>
        <v>#REF!</v>
      </c>
      <c r="R431" s="290" t="str">
        <f>IF($AI431&gt;0,RANK($AI431,BoysPoints),0)</f>
        <v>#REF!</v>
      </c>
      <c r="S431" s="291" t="str">
        <f>IF($AJ431&gt;0,RANK($AJ431,GirlsPoints),0)</f>
        <v>#REF!</v>
      </c>
      <c r="T431" s="292">
        <f>IF($O431&gt;0,RANK(O431,AthletePoints),0)</f>
        <v>0</v>
      </c>
      <c r="U431" s="210"/>
      <c r="V431" s="330" t="str">
        <f>IF(O431&gt;=40,IF(X431="M",VLOOKUP(O431,UKABoysAwards,2),IF(X431="F",VLOOKUP(O431,UKAGirlsAwards,2),"")),"")</f>
        <v/>
      </c>
      <c r="W431" s="210"/>
      <c r="X431" s="266" t="str">
        <f t="array" ref="X431:X432">INDEX(DB,$B431,4)</f>
        <v>#REF!</v>
      </c>
      <c r="Y431" s="210"/>
      <c r="Z431" s="285" t="str">
        <f t="shared" si="3"/>
        <v>#REF!</v>
      </c>
      <c r="AA431" s="286" t="str">
        <f>IF($Z431&gt;=1,RANK($Z431,$Z421:$Z436),0)</f>
        <v>#REF!</v>
      </c>
      <c r="AB431" s="287" t="str">
        <f>IF(AA431&lt;=MaxS,INT(Z431),0)</f>
        <v>#REF!</v>
      </c>
      <c r="AC431" s="210"/>
      <c r="AD431" s="285" t="str">
        <f t="shared" si="4"/>
        <v>#REF!</v>
      </c>
      <c r="AE431" s="286" t="str">
        <f>IF($AD431&gt;=1,RANK($AD431,$AD421:$AD436),0)</f>
        <v>#REF!</v>
      </c>
      <c r="AF431" s="287" t="str">
        <f>IF(AE431&lt;=MaxS,INT(AD431),0)</f>
        <v>#REF!</v>
      </c>
      <c r="AG431" s="210"/>
      <c r="AH431" s="210"/>
      <c r="AI431" s="288" t="str">
        <f t="shared" si="5"/>
        <v>#REF!</v>
      </c>
      <c r="AJ431" s="289" t="str">
        <f t="shared" si="6"/>
        <v>#REF!</v>
      </c>
    </row>
    <row r="432" ht="15.0" customHeight="1">
      <c r="A432" s="272"/>
      <c r="B432" s="250">
        <f>IF(OR(ISNA(MATCH(C432&amp;"",AthleteNumbers,0)),ISBLANK(C432)),0,MATCH(C432&amp;"",AthleteNumbers,0))</f>
        <v>0</v>
      </c>
      <c r="C432" s="413"/>
      <c r="D432" s="273" t="str">
        <f t="array" ref="D432">IF($B432&gt;0,INDEX(DB,$B432,8),"")</f>
        <v/>
      </c>
      <c r="E432" s="274" t="str">
        <f t="array" ref="E432">IF($B432&gt;0,INDEX(DB,$B432,3),"")</f>
        <v/>
      </c>
      <c r="F432" s="275">
        <f t="array" ref="F432">IF($B432&gt;0,INDEX(DB,$B432,13),0)</f>
        <v>0</v>
      </c>
      <c r="G432" s="276">
        <f t="array" ref="G432">IF($B432&gt;0,INDEX(DB,$B432,17),0)</f>
        <v>0</v>
      </c>
      <c r="H432" s="277">
        <f t="array" ref="H432">IF($B432&gt;0,INDEX(DB,$B432,15),0)</f>
        <v>0</v>
      </c>
      <c r="I432" s="276">
        <f t="array" ref="I432">IF($B432&gt;0,INDEX(DB,$B432,19),0)</f>
        <v>0</v>
      </c>
      <c r="J432" s="277">
        <f t="array" ref="J432">IF($B432&gt;0,INDEX(DB,$B432,14),0)</f>
        <v>0</v>
      </c>
      <c r="K432" s="276">
        <f t="array" ref="K432">IF($B432&gt;0,INDEX(DB,$B432,18),0)</f>
        <v>0</v>
      </c>
      <c r="L432" s="275">
        <f t="array" ref="L432">IF($B432&gt;0,INDEX(DB,$B432,16),0)</f>
        <v>0</v>
      </c>
      <c r="M432" s="276">
        <f t="array" ref="M432">IF($B432&gt;0,INDEX(DB,$B432,20),0)</f>
        <v>0</v>
      </c>
      <c r="N432" s="278"/>
      <c r="O432" s="279">
        <f t="shared" si="1"/>
        <v>0</v>
      </c>
      <c r="P432" s="280"/>
      <c r="Q432" s="261" t="str">
        <f t="shared" si="2"/>
        <v>#REF!</v>
      </c>
      <c r="R432" s="281" t="str">
        <f>IF($AI432&gt;0,RANK($AI432,BoysPoints),0)</f>
        <v>#REF!</v>
      </c>
      <c r="S432" s="282" t="str">
        <f>IF($AJ432&gt;0,RANK($AJ432,GirlsPoints),0)</f>
        <v>#REF!</v>
      </c>
      <c r="T432" s="283">
        <f>IF($O432&gt;0,RANK(O432,AthletePoints),0)</f>
        <v>0</v>
      </c>
      <c r="U432" s="210"/>
      <c r="V432" s="415" t="str">
        <f>IF(O432&gt;=40,IF(X432="M",VLOOKUP(O432,UKABoysAwards,2),IF(X432="F",VLOOKUP(O432,UKAGirlsAwards,2),"")),"")</f>
        <v/>
      </c>
      <c r="W432" s="210"/>
      <c r="X432" s="266" t="str">
        <f t="array" ref="X432:X433">INDEX(DB,$B432,4)</f>
        <v>#REF!</v>
      </c>
      <c r="Y432" s="210"/>
      <c r="Z432" s="285" t="str">
        <f t="shared" si="3"/>
        <v>#REF!</v>
      </c>
      <c r="AA432" s="286" t="str">
        <f>IF($Z432&gt;=1,RANK($Z432,$Z421:$Z436),0)</f>
        <v>#REF!</v>
      </c>
      <c r="AB432" s="287" t="str">
        <f>IF(AA432&lt;=MaxS,INT(Z432),0)</f>
        <v>#REF!</v>
      </c>
      <c r="AC432" s="210"/>
      <c r="AD432" s="285" t="str">
        <f t="shared" si="4"/>
        <v>#REF!</v>
      </c>
      <c r="AE432" s="286" t="str">
        <f>IF($AD432&gt;=1,RANK($AD432,$AD421:$AD436),0)</f>
        <v>#REF!</v>
      </c>
      <c r="AF432" s="287" t="str">
        <f>IF(AE432&lt;=MaxS,INT(AD432),0)</f>
        <v>#REF!</v>
      </c>
      <c r="AG432" s="210"/>
      <c r="AH432" s="210"/>
      <c r="AI432" s="288" t="str">
        <f t="shared" si="5"/>
        <v>#REF!</v>
      </c>
      <c r="AJ432" s="289" t="str">
        <f t="shared" si="6"/>
        <v>#REF!</v>
      </c>
    </row>
    <row r="433" ht="15.0" customHeight="1">
      <c r="A433" s="272"/>
      <c r="B433" s="250">
        <f>IF(OR(ISNA(MATCH(C433&amp;"",AthleteNumbers,0)),ISBLANK(C433)),0,MATCH(C433&amp;"",AthleteNumbers,0))</f>
        <v>0</v>
      </c>
      <c r="C433" s="413"/>
      <c r="D433" s="273" t="str">
        <f t="array" ref="D433">IF($B433&gt;0,INDEX(DB,$B433,8),"")</f>
        <v/>
      </c>
      <c r="E433" s="274" t="str">
        <f t="array" ref="E433">IF($B433&gt;0,INDEX(DB,$B433,3),"")</f>
        <v/>
      </c>
      <c r="F433" s="275">
        <f t="array" ref="F433">IF($B433&gt;0,INDEX(DB,$B433,13),0)</f>
        <v>0</v>
      </c>
      <c r="G433" s="276">
        <f t="array" ref="G433">IF($B433&gt;0,INDEX(DB,$B433,17),0)</f>
        <v>0</v>
      </c>
      <c r="H433" s="277">
        <f t="array" ref="H433">IF($B433&gt;0,INDEX(DB,$B433,15),0)</f>
        <v>0</v>
      </c>
      <c r="I433" s="276">
        <f t="array" ref="I433">IF($B433&gt;0,INDEX(DB,$B433,19),0)</f>
        <v>0</v>
      </c>
      <c r="J433" s="277">
        <f t="array" ref="J433">IF($B433&gt;0,INDEX(DB,$B433,14),0)</f>
        <v>0</v>
      </c>
      <c r="K433" s="276">
        <f t="array" ref="K433">IF($B433&gt;0,INDEX(DB,$B433,18),0)</f>
        <v>0</v>
      </c>
      <c r="L433" s="275">
        <f t="array" ref="L433">IF($B433&gt;0,INDEX(DB,$B433,16),0)</f>
        <v>0</v>
      </c>
      <c r="M433" s="276">
        <f t="array" ref="M433">IF($B433&gt;0,INDEX(DB,$B433,20),0)</f>
        <v>0</v>
      </c>
      <c r="N433" s="278"/>
      <c r="O433" s="279">
        <f t="shared" si="1"/>
        <v>0</v>
      </c>
      <c r="P433" s="280"/>
      <c r="Q433" s="261" t="str">
        <f t="shared" si="2"/>
        <v>#REF!</v>
      </c>
      <c r="R433" s="290" t="str">
        <f>IF($AI433&gt;0,RANK($AI433,BoysPoints),0)</f>
        <v>#REF!</v>
      </c>
      <c r="S433" s="291" t="str">
        <f>IF($AJ433&gt;0,RANK($AJ433,GirlsPoints),0)</f>
        <v>#REF!</v>
      </c>
      <c r="T433" s="292">
        <f>IF($O433&gt;0,RANK(O433,AthletePoints),0)</f>
        <v>0</v>
      </c>
      <c r="U433" s="210"/>
      <c r="V433" s="330" t="str">
        <f>IF(O433&gt;=40,IF(X433="M",VLOOKUP(O433,UKABoysAwards,2),IF(X433="F",VLOOKUP(O433,UKAGirlsAwards,2),"")),"")</f>
        <v/>
      </c>
      <c r="W433" s="210"/>
      <c r="X433" s="266" t="str">
        <f t="array" ref="X433:X434">INDEX(DB,$B433,4)</f>
        <v>#REF!</v>
      </c>
      <c r="Y433" s="210"/>
      <c r="Z433" s="285" t="str">
        <f t="shared" si="3"/>
        <v>#REF!</v>
      </c>
      <c r="AA433" s="286" t="str">
        <f>IF($Z433&gt;=1,RANK($Z433,$Z421:$Z436),0)</f>
        <v>#REF!</v>
      </c>
      <c r="AB433" s="287" t="str">
        <f>IF(AA433&lt;=MaxS,INT(Z433),0)</f>
        <v>#REF!</v>
      </c>
      <c r="AC433" s="210"/>
      <c r="AD433" s="285" t="str">
        <f t="shared" si="4"/>
        <v>#REF!</v>
      </c>
      <c r="AE433" s="286" t="str">
        <f>IF($AD433&gt;=1,RANK($AD433,$AD421:$AD436),0)</f>
        <v>#REF!</v>
      </c>
      <c r="AF433" s="287" t="str">
        <f>IF(AE433&lt;=MaxS,INT(AD433),0)</f>
        <v>#REF!</v>
      </c>
      <c r="AG433" s="210"/>
      <c r="AH433" s="210"/>
      <c r="AI433" s="288" t="str">
        <f t="shared" si="5"/>
        <v>#REF!</v>
      </c>
      <c r="AJ433" s="289" t="str">
        <f t="shared" si="6"/>
        <v>#REF!</v>
      </c>
    </row>
    <row r="434" ht="15.0" customHeight="1">
      <c r="A434" s="272"/>
      <c r="B434" s="250">
        <f>IF(OR(ISNA(MATCH(C434&amp;"",AthleteNumbers,0)),ISBLANK(C434)),0,MATCH(C434&amp;"",AthleteNumbers,0))</f>
        <v>0</v>
      </c>
      <c r="C434" s="413"/>
      <c r="D434" s="273" t="str">
        <f t="array" ref="D434">IF($B434&gt;0,INDEX(DB,$B434,8),"")</f>
        <v/>
      </c>
      <c r="E434" s="274" t="str">
        <f t="array" ref="E434">IF($B434&gt;0,INDEX(DB,$B434,3),"")</f>
        <v/>
      </c>
      <c r="F434" s="275">
        <f t="array" ref="F434">IF($B434&gt;0,INDEX(DB,$B434,13),0)</f>
        <v>0</v>
      </c>
      <c r="G434" s="276">
        <f t="array" ref="G434">IF($B434&gt;0,INDEX(DB,$B434,17),0)</f>
        <v>0</v>
      </c>
      <c r="H434" s="277">
        <f t="array" ref="H434">IF($B434&gt;0,INDEX(DB,$B434,15),0)</f>
        <v>0</v>
      </c>
      <c r="I434" s="276">
        <f t="array" ref="I434">IF($B434&gt;0,INDEX(DB,$B434,19),0)</f>
        <v>0</v>
      </c>
      <c r="J434" s="277">
        <f t="array" ref="J434">IF($B434&gt;0,INDEX(DB,$B434,14),0)</f>
        <v>0</v>
      </c>
      <c r="K434" s="276">
        <f t="array" ref="K434">IF($B434&gt;0,INDEX(DB,$B434,18),0)</f>
        <v>0</v>
      </c>
      <c r="L434" s="275">
        <f t="array" ref="L434">IF($B434&gt;0,INDEX(DB,$B434,16),0)</f>
        <v>0</v>
      </c>
      <c r="M434" s="276">
        <f t="array" ref="M434">IF($B434&gt;0,INDEX(DB,$B434,20),0)</f>
        <v>0</v>
      </c>
      <c r="N434" s="278"/>
      <c r="O434" s="279">
        <f t="shared" si="1"/>
        <v>0</v>
      </c>
      <c r="P434" s="280"/>
      <c r="Q434" s="261" t="str">
        <f t="shared" si="2"/>
        <v>#REF!</v>
      </c>
      <c r="R434" s="281" t="str">
        <f>IF($AI434&gt;0,RANK($AI434,BoysPoints),0)</f>
        <v>#REF!</v>
      </c>
      <c r="S434" s="282" t="str">
        <f>IF($AJ434&gt;0,RANK($AJ434,GirlsPoints),0)</f>
        <v>#REF!</v>
      </c>
      <c r="T434" s="283">
        <f>IF($O434&gt;0,RANK(O434,AthletePoints),0)</f>
        <v>0</v>
      </c>
      <c r="U434" s="210"/>
      <c r="V434" s="415" t="str">
        <f>IF(O434&gt;=40,IF(X434="M",VLOOKUP(O434,UKABoysAwards,2),IF(X434="F",VLOOKUP(O434,UKAGirlsAwards,2),"")),"")</f>
        <v/>
      </c>
      <c r="W434" s="210"/>
      <c r="X434" s="266" t="str">
        <f t="array" ref="X434:X435">INDEX(DB,$B434,4)</f>
        <v>#REF!</v>
      </c>
      <c r="Y434" s="210"/>
      <c r="Z434" s="285" t="str">
        <f t="shared" si="3"/>
        <v>#REF!</v>
      </c>
      <c r="AA434" s="286" t="str">
        <f>IF($Z434&gt;=1,RANK($Z434,$Z421:$Z436),0)</f>
        <v>#REF!</v>
      </c>
      <c r="AB434" s="287" t="str">
        <f>IF(AA434&lt;=MaxS,INT(Z434),0)</f>
        <v>#REF!</v>
      </c>
      <c r="AC434" s="210"/>
      <c r="AD434" s="285" t="str">
        <f t="shared" si="4"/>
        <v>#REF!</v>
      </c>
      <c r="AE434" s="286" t="str">
        <f>IF($AD434&gt;=1,RANK($AD434,$AD421:$AD436),0)</f>
        <v>#REF!</v>
      </c>
      <c r="AF434" s="287" t="str">
        <f>IF(AE434&lt;=MaxS,INT(AD434),0)</f>
        <v>#REF!</v>
      </c>
      <c r="AG434" s="210"/>
      <c r="AH434" s="210"/>
      <c r="AI434" s="288" t="str">
        <f t="shared" si="5"/>
        <v>#REF!</v>
      </c>
      <c r="AJ434" s="289" t="str">
        <f t="shared" si="6"/>
        <v>#REF!</v>
      </c>
    </row>
    <row r="435" ht="15.0" customHeight="1">
      <c r="A435" s="272"/>
      <c r="B435" s="250">
        <f>IF(OR(ISNA(MATCH(C435&amp;"",AthleteNumbers,0)),ISBLANK(C435)),0,MATCH(C435&amp;"",AthleteNumbers,0))</f>
        <v>0</v>
      </c>
      <c r="C435" s="413"/>
      <c r="D435" s="273" t="str">
        <f t="array" ref="D435">IF($B435&gt;0,INDEX(DB,$B435,8),"")</f>
        <v/>
      </c>
      <c r="E435" s="274" t="str">
        <f t="array" ref="E435">IF($B435&gt;0,INDEX(DB,$B435,3),"")</f>
        <v/>
      </c>
      <c r="F435" s="275">
        <f t="array" ref="F435">IF($B435&gt;0,INDEX(DB,$B435,13),0)</f>
        <v>0</v>
      </c>
      <c r="G435" s="276">
        <f t="array" ref="G435">IF($B435&gt;0,INDEX(DB,$B435,17),0)</f>
        <v>0</v>
      </c>
      <c r="H435" s="277">
        <f t="array" ref="H435">IF($B435&gt;0,INDEX(DB,$B435,15),0)</f>
        <v>0</v>
      </c>
      <c r="I435" s="276">
        <f t="array" ref="I435">IF($B435&gt;0,INDEX(DB,$B435,19),0)</f>
        <v>0</v>
      </c>
      <c r="J435" s="277">
        <f t="array" ref="J435">IF($B435&gt;0,INDEX(DB,$B435,14),0)</f>
        <v>0</v>
      </c>
      <c r="K435" s="276">
        <f t="array" ref="K435">IF($B435&gt;0,INDEX(DB,$B435,18),0)</f>
        <v>0</v>
      </c>
      <c r="L435" s="275">
        <f t="array" ref="L435">IF($B435&gt;0,INDEX(DB,$B435,16),0)</f>
        <v>0</v>
      </c>
      <c r="M435" s="276">
        <f t="array" ref="M435">IF($B435&gt;0,INDEX(DB,$B435,20),0)</f>
        <v>0</v>
      </c>
      <c r="N435" s="278"/>
      <c r="O435" s="279">
        <f t="shared" si="1"/>
        <v>0</v>
      </c>
      <c r="P435" s="280"/>
      <c r="Q435" s="261" t="str">
        <f t="shared" si="2"/>
        <v>#REF!</v>
      </c>
      <c r="R435" s="290" t="str">
        <f>IF($AI435&gt;0,RANK($AI435,BoysPoints),0)</f>
        <v>#REF!</v>
      </c>
      <c r="S435" s="291" t="str">
        <f>IF($AJ435&gt;0,RANK($AJ435,GirlsPoints),0)</f>
        <v>#REF!</v>
      </c>
      <c r="T435" s="292">
        <f>IF($O435&gt;0,RANK(O435,AthletePoints),0)</f>
        <v>0</v>
      </c>
      <c r="U435" s="210"/>
      <c r="V435" s="330" t="str">
        <f>IF(O435&gt;=40,IF(X435="M",VLOOKUP(O435,UKABoysAwards,2),IF(X435="F",VLOOKUP(O435,UKAGirlsAwards,2),"")),"")</f>
        <v/>
      </c>
      <c r="W435" s="210"/>
      <c r="X435" s="266" t="str">
        <f t="array" ref="X435:X436">INDEX(DB,$B435,4)</f>
        <v>#REF!</v>
      </c>
      <c r="Y435" s="210"/>
      <c r="Z435" s="285" t="str">
        <f t="shared" si="3"/>
        <v>#REF!</v>
      </c>
      <c r="AA435" s="286" t="str">
        <f>IF($Z435&gt;=1,RANK($Z435,$Z421:$Z436),0)</f>
        <v>#REF!</v>
      </c>
      <c r="AB435" s="287" t="str">
        <f>IF(AA435&lt;=MaxS,INT(Z435),0)</f>
        <v>#REF!</v>
      </c>
      <c r="AC435" s="210"/>
      <c r="AD435" s="285" t="str">
        <f t="shared" si="4"/>
        <v>#REF!</v>
      </c>
      <c r="AE435" s="286" t="str">
        <f>IF($AD435&gt;=1,RANK($AD435,$AD421:$AD436),0)</f>
        <v>#REF!</v>
      </c>
      <c r="AF435" s="287" t="str">
        <f>IF(AE435&lt;=MaxS,INT(AD435),0)</f>
        <v>#REF!</v>
      </c>
      <c r="AG435" s="210"/>
      <c r="AH435" s="210"/>
      <c r="AI435" s="288" t="str">
        <f t="shared" si="5"/>
        <v>#REF!</v>
      </c>
      <c r="AJ435" s="289" t="str">
        <f t="shared" si="6"/>
        <v>#REF!</v>
      </c>
    </row>
    <row r="436" ht="15.0" customHeight="1">
      <c r="A436" s="305"/>
      <c r="B436" s="250">
        <f>IF(OR(ISNA(MATCH(C436&amp;"",AthleteNumbers,0)),ISBLANK(C436)),0,MATCH(C436&amp;"",AthleteNumbers,0))</f>
        <v>0</v>
      </c>
      <c r="C436" s="443"/>
      <c r="D436" s="306" t="str">
        <f t="array" ref="D436">IF($B436&gt;0,INDEX(DB,$B436,8),"")</f>
        <v/>
      </c>
      <c r="E436" s="307" t="str">
        <f t="array" ref="E436">IF($B436&gt;0,INDEX(DB,$B436,3),"")</f>
        <v/>
      </c>
      <c r="F436" s="308">
        <f t="array" ref="F436">IF($B436&gt;0,INDEX(DB,$B436,13),0)</f>
        <v>0</v>
      </c>
      <c r="G436" s="309">
        <f t="array" ref="G436">IF($B436&gt;0,INDEX(DB,$B436,17),0)</f>
        <v>0</v>
      </c>
      <c r="H436" s="310">
        <f t="array" ref="H436">IF($B436&gt;0,INDEX(DB,$B436,15),0)</f>
        <v>0</v>
      </c>
      <c r="I436" s="309">
        <f t="array" ref="I436">IF($B436&gt;0,INDEX(DB,$B436,19),0)</f>
        <v>0</v>
      </c>
      <c r="J436" s="310">
        <f t="array" ref="J436">IF($B436&gt;0,INDEX(DB,$B436,14),0)</f>
        <v>0</v>
      </c>
      <c r="K436" s="309">
        <f t="array" ref="K436">IF($B436&gt;0,INDEX(DB,$B436,18),0)</f>
        <v>0</v>
      </c>
      <c r="L436" s="308">
        <f t="array" ref="L436">IF($B436&gt;0,INDEX(DB,$B436,16),0)</f>
        <v>0</v>
      </c>
      <c r="M436" s="309">
        <f t="array" ref="M436">IF($B436&gt;0,INDEX(DB,$B436,20),0)</f>
        <v>0</v>
      </c>
      <c r="N436" s="25"/>
      <c r="O436" s="311">
        <f t="shared" si="1"/>
        <v>0</v>
      </c>
      <c r="P436" s="31"/>
      <c r="Q436" s="261" t="str">
        <f t="shared" si="2"/>
        <v>#REF!</v>
      </c>
      <c r="R436" s="312" t="str">
        <f>IF($AI436&gt;0,RANK($AI436,BoysPoints),0)</f>
        <v>#REF!</v>
      </c>
      <c r="S436" s="313" t="str">
        <f>IF($AJ436&gt;0,RANK($AJ436,GirlsPoints),0)</f>
        <v>#REF!</v>
      </c>
      <c r="T436" s="314">
        <f>IF($O436&gt;0,RANK(O436,AthletePoints),0)</f>
        <v>0</v>
      </c>
      <c r="U436" s="210"/>
      <c r="V436" s="444" t="str">
        <f>IF(O436&gt;=40,IF(X436="M",VLOOKUP(O436,UKABoysAwards,2),IF(X436="F",VLOOKUP(O436,UKAGirlsAwards,2),"")),"")</f>
        <v/>
      </c>
      <c r="W436" s="210"/>
      <c r="X436" s="266" t="str">
        <f t="array" ref="X436:X437">INDEX(DB,$B436,4)</f>
        <v>#REF!</v>
      </c>
      <c r="Y436" s="210"/>
      <c r="Z436" s="316" t="str">
        <f t="shared" si="3"/>
        <v>#REF!</v>
      </c>
      <c r="AA436" s="243" t="str">
        <f>IF($Z436&gt;=1,RANK($Z436,$Z421:$Z436),0)</f>
        <v>#REF!</v>
      </c>
      <c r="AB436" s="245" t="str">
        <f>IF(AA436&lt;=MaxS,INT(Z436),0)</f>
        <v>#REF!</v>
      </c>
      <c r="AC436" s="210" t="str">
        <f>SUM(AB421:AB436)</f>
        <v>#REF!</v>
      </c>
      <c r="AD436" s="316" t="str">
        <f t="shared" si="4"/>
        <v>#REF!</v>
      </c>
      <c r="AE436" s="243" t="str">
        <f>IF($AD436&gt;=1,RANK($AD436,$AD421:$AD436),0)</f>
        <v>#REF!</v>
      </c>
      <c r="AF436" s="245" t="str">
        <f>IF(AE436&lt;=MaxS,INT(AD436),0)</f>
        <v>#REF!</v>
      </c>
      <c r="AG436" s="210" t="str">
        <f>SUM(AF421:AF436)</f>
        <v>#REF!</v>
      </c>
      <c r="AH436" s="210"/>
      <c r="AI436" s="246" t="str">
        <f t="shared" si="5"/>
        <v>#REF!</v>
      </c>
      <c r="AJ436" s="247" t="str">
        <f t="shared" si="6"/>
        <v>#REF!</v>
      </c>
    </row>
    <row r="437" ht="15.0" customHeight="1">
      <c r="A437" s="248"/>
      <c r="B437" s="250">
        <f>IF(OR(ISNA(MATCH(C437&amp;"",AthleteNumbers,0)),ISBLANK(C437)),0,MATCH(C437&amp;"",AthleteNumbers,0))</f>
        <v>0</v>
      </c>
      <c r="C437" s="251"/>
      <c r="D437" s="252" t="str">
        <f t="array" ref="D437">IF($B437&gt;0,INDEX(DB,$B437,8),"")</f>
        <v/>
      </c>
      <c r="E437" s="253" t="str">
        <f t="array" ref="E437">IF($B437&gt;0,INDEX(DB,$B437,3),"")</f>
        <v/>
      </c>
      <c r="F437" s="254">
        <f t="array" ref="F437">IF($B437&gt;0,INDEX(DB,$B437,13),0)</f>
        <v>0</v>
      </c>
      <c r="G437" s="255">
        <f t="array" ref="G437">IF($B437&gt;0,INDEX(DB,$B437,17),0)</f>
        <v>0</v>
      </c>
      <c r="H437" s="257">
        <f t="array" ref="H437">IF($B437&gt;0,INDEX(DB,$B437,15),0)</f>
        <v>0</v>
      </c>
      <c r="I437" s="255">
        <f t="array" ref="I437">IF($B437&gt;0,INDEX(DB,$B437,19),0)</f>
        <v>0</v>
      </c>
      <c r="J437" s="257">
        <f t="array" ref="J437">IF($B437&gt;0,INDEX(DB,$B437,14),0)</f>
        <v>0</v>
      </c>
      <c r="K437" s="255">
        <f t="array" ref="K437">IF($B437&gt;0,INDEX(DB,$B437,18),0)</f>
        <v>0</v>
      </c>
      <c r="L437" s="254">
        <f t="array" ref="L437">IF($B437&gt;0,INDEX(DB,$B437,16),0)</f>
        <v>0</v>
      </c>
      <c r="M437" s="255">
        <f t="array" ref="M437">IF($B437&gt;0,INDEX(DB,$B437,20),0)</f>
        <v>0</v>
      </c>
      <c r="N437" s="258" t="str">
        <f t="array" ref="N437:N453">INDEX(RelayPoints,A452)</f>
        <v>#REF!</v>
      </c>
      <c r="O437" s="259">
        <f t="shared" si="1"/>
        <v>0</v>
      </c>
      <c r="P437" s="260" t="str">
        <f>+AC452+AG452+N437</f>
        <v>#REF!</v>
      </c>
      <c r="Q437" s="261" t="str">
        <f t="shared" si="2"/>
        <v>#REF!</v>
      </c>
      <c r="R437" s="262" t="str">
        <f>IF($AI437&gt;0,RANK($AI437,BoysPoints),0)</f>
        <v>#REF!</v>
      </c>
      <c r="S437" s="263" t="str">
        <f>IF($AJ437&gt;0,RANK($AJ437,GirlsPoints),0)</f>
        <v>#REF!</v>
      </c>
      <c r="T437" s="264">
        <f>IF($O437&gt;0,RANK(O437,AthletePoints),0)</f>
        <v>0</v>
      </c>
      <c r="U437" s="210"/>
      <c r="V437" s="317" t="str">
        <f>IF(O437&gt;=40,IF(X437="M",VLOOKUP(O437,UKABoysAwards,2),IF(X437="F",VLOOKUP(O437,UKAGirlsAwards,2),"")),"")</f>
        <v/>
      </c>
      <c r="W437" s="210"/>
      <c r="X437" s="266" t="str">
        <f t="array" ref="X437:X438">INDEX(DB,$B437,4)</f>
        <v>#REF!</v>
      </c>
      <c r="Y437" s="210"/>
      <c r="Z437" s="267" t="str">
        <f t="shared" si="3"/>
        <v>#REF!</v>
      </c>
      <c r="AA437" s="268" t="str">
        <f>IF($Z437&gt;=1,RANK($Z437,$Z437:$Z452),0)</f>
        <v>#REF!</v>
      </c>
      <c r="AB437" s="269" t="str">
        <f>IF(AA437&lt;=MaxS,INT(Z437),0)</f>
        <v>#REF!</v>
      </c>
      <c r="AC437" s="210"/>
      <c r="AD437" s="267" t="str">
        <f t="shared" si="4"/>
        <v>#REF!</v>
      </c>
      <c r="AE437" s="268" t="str">
        <f>IF($AD437&gt;=1,RANK($AD437,$AD437:$AD452),0)</f>
        <v>#REF!</v>
      </c>
      <c r="AF437" s="269" t="str">
        <f>IF(AE437&lt;=MaxS,INT(AD437),0)</f>
        <v>#REF!</v>
      </c>
      <c r="AG437" s="210"/>
      <c r="AH437" s="210"/>
      <c r="AI437" s="288" t="str">
        <f t="shared" si="5"/>
        <v>#REF!</v>
      </c>
      <c r="AJ437" s="289" t="str">
        <f t="shared" si="6"/>
        <v>#REF!</v>
      </c>
    </row>
    <row r="438" ht="15.0" customHeight="1">
      <c r="A438" s="272"/>
      <c r="B438" s="250">
        <f>IF(OR(ISNA(MATCH(C438&amp;"",AthleteNumbers,0)),ISBLANK(C438)),0,MATCH(C438&amp;"",AthleteNumbers,0))</f>
        <v>0</v>
      </c>
      <c r="C438" s="413"/>
      <c r="D438" s="273" t="str">
        <f t="array" ref="D438">IF($B438&gt;0,INDEX(DB,$B438,8),"")</f>
        <v/>
      </c>
      <c r="E438" s="274" t="str">
        <f t="array" ref="E438">IF($B438&gt;0,INDEX(DB,$B438,3),"")</f>
        <v/>
      </c>
      <c r="F438" s="275">
        <f t="array" ref="F438">IF($B438&gt;0,INDEX(DB,$B438,13),0)</f>
        <v>0</v>
      </c>
      <c r="G438" s="276">
        <f t="array" ref="G438">IF($B438&gt;0,INDEX(DB,$B438,17),0)</f>
        <v>0</v>
      </c>
      <c r="H438" s="277">
        <f t="array" ref="H438">IF($B438&gt;0,INDEX(DB,$B438,15),0)</f>
        <v>0</v>
      </c>
      <c r="I438" s="276">
        <f t="array" ref="I438">IF($B438&gt;0,INDEX(DB,$B438,19),0)</f>
        <v>0</v>
      </c>
      <c r="J438" s="277">
        <f t="array" ref="J438">IF($B438&gt;0,INDEX(DB,$B438,14),0)</f>
        <v>0</v>
      </c>
      <c r="K438" s="276">
        <f t="array" ref="K438">IF($B438&gt;0,INDEX(DB,$B438,18),0)</f>
        <v>0</v>
      </c>
      <c r="L438" s="275">
        <f t="array" ref="L438">IF($B438&gt;0,INDEX(DB,$B438,16),0)</f>
        <v>0</v>
      </c>
      <c r="M438" s="276">
        <f t="array" ref="M438">IF($B438&gt;0,INDEX(DB,$B438,20),0)</f>
        <v>0</v>
      </c>
      <c r="N438" s="278"/>
      <c r="O438" s="279">
        <f t="shared" si="1"/>
        <v>0</v>
      </c>
      <c r="P438" s="280"/>
      <c r="Q438" s="261" t="str">
        <f t="shared" si="2"/>
        <v>#REF!</v>
      </c>
      <c r="R438" s="281" t="str">
        <f>IF($AI438&gt;0,RANK($AI438,BoysPoints),0)</f>
        <v>#REF!</v>
      </c>
      <c r="S438" s="282" t="str">
        <f>IF($AJ438&gt;0,RANK($AJ438,GirlsPoints),0)</f>
        <v>#REF!</v>
      </c>
      <c r="T438" s="283">
        <f>IF($O438&gt;0,RANK(O438,AthletePoints),0)</f>
        <v>0</v>
      </c>
      <c r="U438" s="210"/>
      <c r="V438" s="415" t="str">
        <f>IF(O438&gt;=40,IF(X438="M",VLOOKUP(O438,UKABoysAwards,2),IF(X438="F",VLOOKUP(O438,UKAGirlsAwards,2),"")),"")</f>
        <v/>
      </c>
      <c r="W438" s="210"/>
      <c r="X438" s="266" t="str">
        <f t="array" ref="X438:X439">INDEX(DB,$B438,4)</f>
        <v>#REF!</v>
      </c>
      <c r="Y438" s="210"/>
      <c r="Z438" s="285" t="str">
        <f t="shared" si="3"/>
        <v>#REF!</v>
      </c>
      <c r="AA438" s="286" t="str">
        <f>IF($Z438&gt;=1,RANK($Z438,$Z437:$Z452),0)</f>
        <v>#REF!</v>
      </c>
      <c r="AB438" s="287" t="str">
        <f>IF(AA438&lt;=MaxS,INT(Z438),0)</f>
        <v>#REF!</v>
      </c>
      <c r="AC438" s="210"/>
      <c r="AD438" s="285" t="str">
        <f t="shared" si="4"/>
        <v>#REF!</v>
      </c>
      <c r="AE438" s="286" t="str">
        <f>IF($AD438&gt;=1,RANK($AD438,$AD437:$AD452),0)</f>
        <v>#REF!</v>
      </c>
      <c r="AF438" s="287" t="str">
        <f>IF(AE438&lt;=MaxS,INT(AD438),0)</f>
        <v>#REF!</v>
      </c>
      <c r="AG438" s="210"/>
      <c r="AH438" s="210"/>
      <c r="AI438" s="288" t="str">
        <f t="shared" si="5"/>
        <v>#REF!</v>
      </c>
      <c r="AJ438" s="289" t="str">
        <f t="shared" si="6"/>
        <v>#REF!</v>
      </c>
    </row>
    <row r="439" ht="15.0" customHeight="1">
      <c r="A439" s="272"/>
      <c r="B439" s="250">
        <f>IF(OR(ISNA(MATCH(C439&amp;"",AthleteNumbers,0)),ISBLANK(C439)),0,MATCH(C439&amp;"",AthleteNumbers,0))</f>
        <v>0</v>
      </c>
      <c r="C439" s="413"/>
      <c r="D439" s="273" t="str">
        <f t="array" ref="D439">IF($B439&gt;0,INDEX(DB,$B439,8),"")</f>
        <v/>
      </c>
      <c r="E439" s="274" t="str">
        <f t="array" ref="E439">IF($B439&gt;0,INDEX(DB,$B439,3),"")</f>
        <v/>
      </c>
      <c r="F439" s="275">
        <f t="array" ref="F439">IF($B439&gt;0,INDEX(DB,$B439,13),0)</f>
        <v>0</v>
      </c>
      <c r="G439" s="276">
        <f t="array" ref="G439">IF($B439&gt;0,INDEX(DB,$B439,17),0)</f>
        <v>0</v>
      </c>
      <c r="H439" s="277">
        <f t="array" ref="H439">IF($B439&gt;0,INDEX(DB,$B439,15),0)</f>
        <v>0</v>
      </c>
      <c r="I439" s="276">
        <f t="array" ref="I439">IF($B439&gt;0,INDEX(DB,$B439,19),0)</f>
        <v>0</v>
      </c>
      <c r="J439" s="277">
        <f t="array" ref="J439">IF($B439&gt;0,INDEX(DB,$B439,14),0)</f>
        <v>0</v>
      </c>
      <c r="K439" s="276">
        <f t="array" ref="K439">IF($B439&gt;0,INDEX(DB,$B439,18),0)</f>
        <v>0</v>
      </c>
      <c r="L439" s="275">
        <f t="array" ref="L439">IF($B439&gt;0,INDEX(DB,$B439,16),0)</f>
        <v>0</v>
      </c>
      <c r="M439" s="276">
        <f t="array" ref="M439">IF($B439&gt;0,INDEX(DB,$B439,20),0)</f>
        <v>0</v>
      </c>
      <c r="N439" s="278"/>
      <c r="O439" s="279">
        <f t="shared" si="1"/>
        <v>0</v>
      </c>
      <c r="P439" s="280"/>
      <c r="Q439" s="261" t="str">
        <f t="shared" si="2"/>
        <v>#REF!</v>
      </c>
      <c r="R439" s="290" t="str">
        <f>IF($AI439&gt;0,RANK($AI439,BoysPoints),0)</f>
        <v>#REF!</v>
      </c>
      <c r="S439" s="291" t="str">
        <f>IF($AJ439&gt;0,RANK($AJ439,GirlsPoints),0)</f>
        <v>#REF!</v>
      </c>
      <c r="T439" s="292">
        <f>IF($O439&gt;0,RANK(O439,AthletePoints),0)</f>
        <v>0</v>
      </c>
      <c r="U439" s="210"/>
      <c r="V439" s="330" t="str">
        <f>IF(O439&gt;=40,IF(X439="M",VLOOKUP(O439,UKABoysAwards,2),IF(X439="F",VLOOKUP(O439,UKAGirlsAwards,2),"")),"")</f>
        <v/>
      </c>
      <c r="W439" s="210"/>
      <c r="X439" s="266" t="str">
        <f t="array" ref="X439:X440">INDEX(DB,$B439,4)</f>
        <v>#REF!</v>
      </c>
      <c r="Y439" s="210"/>
      <c r="Z439" s="285" t="str">
        <f t="shared" si="3"/>
        <v>#REF!</v>
      </c>
      <c r="AA439" s="286" t="str">
        <f>IF($Z439&gt;=1,RANK($Z439,$Z437:$Z452),0)</f>
        <v>#REF!</v>
      </c>
      <c r="AB439" s="287" t="str">
        <f>IF(AA439&lt;=MaxS,INT(Z439),0)</f>
        <v>#REF!</v>
      </c>
      <c r="AC439" s="210"/>
      <c r="AD439" s="285" t="str">
        <f t="shared" si="4"/>
        <v>#REF!</v>
      </c>
      <c r="AE439" s="286" t="str">
        <f>IF($AD439&gt;=1,RANK($AD439,$AD437:$AD452),0)</f>
        <v>#REF!</v>
      </c>
      <c r="AF439" s="287" t="str">
        <f>IF(AE439&lt;=MaxS,INT(AD439),0)</f>
        <v>#REF!</v>
      </c>
      <c r="AG439" s="210"/>
      <c r="AH439" s="210"/>
      <c r="AI439" s="288" t="str">
        <f t="shared" si="5"/>
        <v>#REF!</v>
      </c>
      <c r="AJ439" s="289" t="str">
        <f t="shared" si="6"/>
        <v>#REF!</v>
      </c>
    </row>
    <row r="440" ht="15.0" customHeight="1">
      <c r="A440" s="272"/>
      <c r="B440" s="250">
        <f>IF(OR(ISNA(MATCH(C440&amp;"",AthleteNumbers,0)),ISBLANK(C440)),0,MATCH(C440&amp;"",AthleteNumbers,0))</f>
        <v>0</v>
      </c>
      <c r="C440" s="413"/>
      <c r="D440" s="273" t="str">
        <f t="array" ref="D440">IF($B440&gt;0,INDEX(DB,$B440,8),"")</f>
        <v/>
      </c>
      <c r="E440" s="274" t="str">
        <f t="array" ref="E440">IF($B440&gt;0,INDEX(DB,$B440,3),"")</f>
        <v/>
      </c>
      <c r="F440" s="275">
        <f t="array" ref="F440">IF($B440&gt;0,INDEX(DB,$B440,13),0)</f>
        <v>0</v>
      </c>
      <c r="G440" s="276">
        <f t="array" ref="G440">IF($B440&gt;0,INDEX(DB,$B440,17),0)</f>
        <v>0</v>
      </c>
      <c r="H440" s="277">
        <f t="array" ref="H440">IF($B440&gt;0,INDEX(DB,$B440,15),0)</f>
        <v>0</v>
      </c>
      <c r="I440" s="276">
        <f t="array" ref="I440">IF($B440&gt;0,INDEX(DB,$B440,19),0)</f>
        <v>0</v>
      </c>
      <c r="J440" s="277">
        <f t="array" ref="J440">IF($B440&gt;0,INDEX(DB,$B440,14),0)</f>
        <v>0</v>
      </c>
      <c r="K440" s="276">
        <f t="array" ref="K440">IF($B440&gt;0,INDEX(DB,$B440,18),0)</f>
        <v>0</v>
      </c>
      <c r="L440" s="275">
        <f t="array" ref="L440">IF($B440&gt;0,INDEX(DB,$B440,16),0)</f>
        <v>0</v>
      </c>
      <c r="M440" s="276">
        <f t="array" ref="M440">IF($B440&gt;0,INDEX(DB,$B440,20),0)</f>
        <v>0</v>
      </c>
      <c r="N440" s="278"/>
      <c r="O440" s="279">
        <f t="shared" si="1"/>
        <v>0</v>
      </c>
      <c r="P440" s="280"/>
      <c r="Q440" s="261" t="str">
        <f t="shared" si="2"/>
        <v>#REF!</v>
      </c>
      <c r="R440" s="281" t="str">
        <f>IF($AI440&gt;0,RANK($AI440,BoysPoints),0)</f>
        <v>#REF!</v>
      </c>
      <c r="S440" s="282" t="str">
        <f>IF($AJ440&gt;0,RANK($AJ440,GirlsPoints),0)</f>
        <v>#REF!</v>
      </c>
      <c r="T440" s="283">
        <f>IF($O440&gt;0,RANK(O440,AthletePoints),0)</f>
        <v>0</v>
      </c>
      <c r="U440" s="210"/>
      <c r="V440" s="415" t="str">
        <f>IF(O440&gt;=40,IF(X440="M",VLOOKUP(O440,UKABoysAwards,2),IF(X440="F",VLOOKUP(O440,UKAGirlsAwards,2),"")),"")</f>
        <v/>
      </c>
      <c r="W440" s="210"/>
      <c r="X440" s="266" t="str">
        <f t="array" ref="X440:X441">INDEX(DB,$B440,4)</f>
        <v>#REF!</v>
      </c>
      <c r="Y440" s="210"/>
      <c r="Z440" s="285" t="str">
        <f t="shared" si="3"/>
        <v>#REF!</v>
      </c>
      <c r="AA440" s="286" t="str">
        <f>IF($Z440&gt;=1,RANK($Z440,$Z437:$Z452),0)</f>
        <v>#REF!</v>
      </c>
      <c r="AB440" s="287" t="str">
        <f>IF(AA440&lt;=MaxS,INT(Z440),0)</f>
        <v>#REF!</v>
      </c>
      <c r="AC440" s="210"/>
      <c r="AD440" s="285" t="str">
        <f t="shared" si="4"/>
        <v>#REF!</v>
      </c>
      <c r="AE440" s="286" t="str">
        <f>IF($AD440&gt;=1,RANK($AD440,$AD437:$AD452),0)</f>
        <v>#REF!</v>
      </c>
      <c r="AF440" s="287" t="str">
        <f>IF(AE440&lt;=MaxS,INT(AD440),0)</f>
        <v>#REF!</v>
      </c>
      <c r="AG440" s="210"/>
      <c r="AH440" s="210"/>
      <c r="AI440" s="288" t="str">
        <f t="shared" si="5"/>
        <v>#REF!</v>
      </c>
      <c r="AJ440" s="289" t="str">
        <f t="shared" si="6"/>
        <v>#REF!</v>
      </c>
    </row>
    <row r="441" ht="15.0" customHeight="1">
      <c r="A441" s="272"/>
      <c r="B441" s="250">
        <f>IF(OR(ISNA(MATCH(C441&amp;"",AthleteNumbers,0)),ISBLANK(C441)),0,MATCH(C441&amp;"",AthleteNumbers,0))</f>
        <v>0</v>
      </c>
      <c r="C441" s="413"/>
      <c r="D441" s="273" t="str">
        <f t="array" ref="D441">IF($B441&gt;0,INDEX(DB,$B441,8),"")</f>
        <v/>
      </c>
      <c r="E441" s="274" t="str">
        <f t="array" ref="E441">IF($B441&gt;0,INDEX(DB,$B441,3),"")</f>
        <v/>
      </c>
      <c r="F441" s="275">
        <f t="array" ref="F441">IF($B441&gt;0,INDEX(DB,$B441,13),0)</f>
        <v>0</v>
      </c>
      <c r="G441" s="276">
        <f t="array" ref="G441">IF($B441&gt;0,INDEX(DB,$B441,17),0)</f>
        <v>0</v>
      </c>
      <c r="H441" s="277">
        <f t="array" ref="H441">IF($B441&gt;0,INDEX(DB,$B441,15),0)</f>
        <v>0</v>
      </c>
      <c r="I441" s="276">
        <f t="array" ref="I441">IF($B441&gt;0,INDEX(DB,$B441,19),0)</f>
        <v>0</v>
      </c>
      <c r="J441" s="277">
        <f t="array" ref="J441">IF($B441&gt;0,INDEX(DB,$B441,14),0)</f>
        <v>0</v>
      </c>
      <c r="K441" s="276">
        <f t="array" ref="K441">IF($B441&gt;0,INDEX(DB,$B441,18),0)</f>
        <v>0</v>
      </c>
      <c r="L441" s="275">
        <f t="array" ref="L441">IF($B441&gt;0,INDEX(DB,$B441,16),0)</f>
        <v>0</v>
      </c>
      <c r="M441" s="276">
        <f t="array" ref="M441">IF($B441&gt;0,INDEX(DB,$B441,20),0)</f>
        <v>0</v>
      </c>
      <c r="N441" s="278"/>
      <c r="O441" s="279">
        <f t="shared" si="1"/>
        <v>0</v>
      </c>
      <c r="P441" s="280"/>
      <c r="Q441" s="261" t="str">
        <f t="shared" si="2"/>
        <v>#REF!</v>
      </c>
      <c r="R441" s="290" t="str">
        <f>IF($AI441&gt;0,RANK($AI441,BoysPoints),0)</f>
        <v>#REF!</v>
      </c>
      <c r="S441" s="291" t="str">
        <f>IF($AJ441&gt;0,RANK($AJ441,GirlsPoints),0)</f>
        <v>#REF!</v>
      </c>
      <c r="T441" s="292">
        <f>IF($O441&gt;0,RANK(O441,AthletePoints),0)</f>
        <v>0</v>
      </c>
      <c r="U441" s="210"/>
      <c r="V441" s="330" t="str">
        <f>IF(O441&gt;=40,IF(X441="M",VLOOKUP(O441,UKABoysAwards,2),IF(X441="F",VLOOKUP(O441,UKAGirlsAwards,2),"")),"")</f>
        <v/>
      </c>
      <c r="W441" s="210"/>
      <c r="X441" s="266" t="str">
        <f t="array" ref="X441:X442">INDEX(DB,$B441,4)</f>
        <v>#REF!</v>
      </c>
      <c r="Y441" s="210"/>
      <c r="Z441" s="285" t="str">
        <f t="shared" si="3"/>
        <v>#REF!</v>
      </c>
      <c r="AA441" s="286" t="str">
        <f>IF($Z441&gt;=1,RANK($Z441,$Z437:$Z452),0)</f>
        <v>#REF!</v>
      </c>
      <c r="AB441" s="287" t="str">
        <f>IF(AA441&lt;=MaxS,INT(Z441),0)</f>
        <v>#REF!</v>
      </c>
      <c r="AC441" s="210"/>
      <c r="AD441" s="285" t="str">
        <f t="shared" si="4"/>
        <v>#REF!</v>
      </c>
      <c r="AE441" s="286" t="str">
        <f>IF($AD441&gt;=1,RANK($AD441,$AD437:$AD452),0)</f>
        <v>#REF!</v>
      </c>
      <c r="AF441" s="287" t="str">
        <f>IF(AE441&lt;=MaxS,INT(AD441),0)</f>
        <v>#REF!</v>
      </c>
      <c r="AG441" s="210"/>
      <c r="AH441" s="210"/>
      <c r="AI441" s="288" t="str">
        <f t="shared" si="5"/>
        <v>#REF!</v>
      </c>
      <c r="AJ441" s="289" t="str">
        <f t="shared" si="6"/>
        <v>#REF!</v>
      </c>
    </row>
    <row r="442" ht="15.0" customHeight="1">
      <c r="A442" s="272"/>
      <c r="B442" s="250">
        <f>IF(OR(ISNA(MATCH(C442&amp;"",AthleteNumbers,0)),ISBLANK(C442)),0,MATCH(C442&amp;"",AthleteNumbers,0))</f>
        <v>0</v>
      </c>
      <c r="C442" s="413"/>
      <c r="D442" s="273" t="str">
        <f t="array" ref="D442">IF($B442&gt;0,INDEX(DB,$B442,8),"")</f>
        <v/>
      </c>
      <c r="E442" s="274" t="str">
        <f t="array" ref="E442">IF($B442&gt;0,INDEX(DB,$B442,3),"")</f>
        <v/>
      </c>
      <c r="F442" s="275">
        <f t="array" ref="F442">IF($B442&gt;0,INDEX(DB,$B442,13),0)</f>
        <v>0</v>
      </c>
      <c r="G442" s="276">
        <f t="array" ref="G442">IF($B442&gt;0,INDEX(DB,$B442,17),0)</f>
        <v>0</v>
      </c>
      <c r="H442" s="277">
        <f t="array" ref="H442">IF($B442&gt;0,INDEX(DB,$B442,15),0)</f>
        <v>0</v>
      </c>
      <c r="I442" s="276">
        <f t="array" ref="I442">IF($B442&gt;0,INDEX(DB,$B442,19),0)</f>
        <v>0</v>
      </c>
      <c r="J442" s="277">
        <f t="array" ref="J442">IF($B442&gt;0,INDEX(DB,$B442,14),0)</f>
        <v>0</v>
      </c>
      <c r="K442" s="276">
        <f t="array" ref="K442">IF($B442&gt;0,INDEX(DB,$B442,18),0)</f>
        <v>0</v>
      </c>
      <c r="L442" s="275">
        <f t="array" ref="L442">IF($B442&gt;0,INDEX(DB,$B442,16),0)</f>
        <v>0</v>
      </c>
      <c r="M442" s="276">
        <f t="array" ref="M442">IF($B442&gt;0,INDEX(DB,$B442,20),0)</f>
        <v>0</v>
      </c>
      <c r="N442" s="278"/>
      <c r="O442" s="279">
        <f t="shared" si="1"/>
        <v>0</v>
      </c>
      <c r="P442" s="280"/>
      <c r="Q442" s="261" t="str">
        <f t="shared" si="2"/>
        <v>#REF!</v>
      </c>
      <c r="R442" s="281" t="str">
        <f>IF($AI442&gt;0,RANK($AI442,BoysPoints),0)</f>
        <v>#REF!</v>
      </c>
      <c r="S442" s="282" t="str">
        <f>IF($AJ442&gt;0,RANK($AJ442,GirlsPoints),0)</f>
        <v>#REF!</v>
      </c>
      <c r="T442" s="283">
        <f>IF($O442&gt;0,RANK(O442,AthletePoints),0)</f>
        <v>0</v>
      </c>
      <c r="U442" s="210"/>
      <c r="V442" s="415" t="str">
        <f>IF(O442&gt;=40,IF(X442="M",VLOOKUP(O442,UKABoysAwards,2),IF(X442="F",VLOOKUP(O442,UKAGirlsAwards,2),"")),"")</f>
        <v/>
      </c>
      <c r="W442" s="210"/>
      <c r="X442" s="266" t="str">
        <f t="array" ref="X442:X443">INDEX(DB,$B442,4)</f>
        <v>#REF!</v>
      </c>
      <c r="Y442" s="210"/>
      <c r="Z442" s="285" t="str">
        <f t="shared" si="3"/>
        <v>#REF!</v>
      </c>
      <c r="AA442" s="286" t="str">
        <f>IF($Z442&gt;=1,RANK($Z442,$Z437:$Z452),0)</f>
        <v>#REF!</v>
      </c>
      <c r="AB442" s="287" t="str">
        <f>IF(AA442&lt;=MaxS,INT(Z442),0)</f>
        <v>#REF!</v>
      </c>
      <c r="AC442" s="210"/>
      <c r="AD442" s="285" t="str">
        <f t="shared" si="4"/>
        <v>#REF!</v>
      </c>
      <c r="AE442" s="286" t="str">
        <f>IF($AD442&gt;=1,RANK($AD442,$AD437:$AD452),0)</f>
        <v>#REF!</v>
      </c>
      <c r="AF442" s="287" t="str">
        <f>IF(AE442&lt;=MaxS,INT(AD442),0)</f>
        <v>#REF!</v>
      </c>
      <c r="AG442" s="210"/>
      <c r="AH442" s="210"/>
      <c r="AI442" s="288" t="str">
        <f t="shared" si="5"/>
        <v>#REF!</v>
      </c>
      <c r="AJ442" s="289" t="str">
        <f t="shared" si="6"/>
        <v>#REF!</v>
      </c>
    </row>
    <row r="443" ht="15.0" customHeight="1">
      <c r="A443" s="272"/>
      <c r="B443" s="250">
        <f>IF(OR(ISNA(MATCH(C443&amp;"",AthleteNumbers,0)),ISBLANK(C443)),0,MATCH(C443&amp;"",AthleteNumbers,0))</f>
        <v>0</v>
      </c>
      <c r="C443" s="413"/>
      <c r="D443" s="273" t="str">
        <f t="array" ref="D443">IF($B443&gt;0,INDEX(DB,$B443,8),"")</f>
        <v/>
      </c>
      <c r="E443" s="274" t="str">
        <f t="array" ref="E443">IF($B443&gt;0,INDEX(DB,$B443,3),"")</f>
        <v/>
      </c>
      <c r="F443" s="275">
        <f t="array" ref="F443">IF($B443&gt;0,INDEX(DB,$B443,13),0)</f>
        <v>0</v>
      </c>
      <c r="G443" s="276">
        <f t="array" ref="G443">IF($B443&gt;0,INDEX(DB,$B443,17),0)</f>
        <v>0</v>
      </c>
      <c r="H443" s="277">
        <f t="array" ref="H443">IF($B443&gt;0,INDEX(DB,$B443,15),0)</f>
        <v>0</v>
      </c>
      <c r="I443" s="276">
        <f t="array" ref="I443">IF($B443&gt;0,INDEX(DB,$B443,19),0)</f>
        <v>0</v>
      </c>
      <c r="J443" s="277">
        <f t="array" ref="J443">IF($B443&gt;0,INDEX(DB,$B443,14),0)</f>
        <v>0</v>
      </c>
      <c r="K443" s="276">
        <f t="array" ref="K443">IF($B443&gt;0,INDEX(DB,$B443,18),0)</f>
        <v>0</v>
      </c>
      <c r="L443" s="275">
        <f t="array" ref="L443">IF($B443&gt;0,INDEX(DB,$B443,16),0)</f>
        <v>0</v>
      </c>
      <c r="M443" s="276">
        <f t="array" ref="M443">IF($B443&gt;0,INDEX(DB,$B443,20),0)</f>
        <v>0</v>
      </c>
      <c r="N443" s="278"/>
      <c r="O443" s="279">
        <f t="shared" si="1"/>
        <v>0</v>
      </c>
      <c r="P443" s="280"/>
      <c r="Q443" s="261" t="str">
        <f t="shared" si="2"/>
        <v>#REF!</v>
      </c>
      <c r="R443" s="290" t="str">
        <f>IF($AI443&gt;0,RANK($AI443,BoysPoints),0)</f>
        <v>#REF!</v>
      </c>
      <c r="S443" s="291" t="str">
        <f>IF($AJ443&gt;0,RANK($AJ443,GirlsPoints),0)</f>
        <v>#REF!</v>
      </c>
      <c r="T443" s="292">
        <f>IF($O443&gt;0,RANK(O443,AthletePoints),0)</f>
        <v>0</v>
      </c>
      <c r="U443" s="210"/>
      <c r="V443" s="330" t="str">
        <f>IF(O443&gt;=40,IF(X443="M",VLOOKUP(O443,UKABoysAwards,2),IF(X443="F",VLOOKUP(O443,UKAGirlsAwards,2),"")),"")</f>
        <v/>
      </c>
      <c r="W443" s="210"/>
      <c r="X443" s="266" t="str">
        <f t="array" ref="X443:X444">INDEX(DB,$B443,4)</f>
        <v>#REF!</v>
      </c>
      <c r="Y443" s="210"/>
      <c r="Z443" s="285" t="str">
        <f t="shared" si="3"/>
        <v>#REF!</v>
      </c>
      <c r="AA443" s="286" t="str">
        <f>IF($Z443&gt;=1,RANK($Z443,$Z437:$Z452),0)</f>
        <v>#REF!</v>
      </c>
      <c r="AB443" s="287" t="str">
        <f>IF(AA443&lt;=MaxS,INT(Z443),0)</f>
        <v>#REF!</v>
      </c>
      <c r="AC443" s="210"/>
      <c r="AD443" s="285" t="str">
        <f t="shared" si="4"/>
        <v>#REF!</v>
      </c>
      <c r="AE443" s="286" t="str">
        <f>IF($AD443&gt;=1,RANK($AD443,$AD437:$AD452),0)</f>
        <v>#REF!</v>
      </c>
      <c r="AF443" s="287" t="str">
        <f>IF(AE443&lt;=MaxS,INT(AD443),0)</f>
        <v>#REF!</v>
      </c>
      <c r="AG443" s="210"/>
      <c r="AH443" s="210"/>
      <c r="AI443" s="288" t="str">
        <f t="shared" si="5"/>
        <v>#REF!</v>
      </c>
      <c r="AJ443" s="289" t="str">
        <f t="shared" si="6"/>
        <v>#REF!</v>
      </c>
    </row>
    <row r="444" ht="15.0" customHeight="1">
      <c r="A444" s="272"/>
      <c r="B444" s="250">
        <f>IF(OR(ISNA(MATCH(C444&amp;"",AthleteNumbers,0)),ISBLANK(C444)),0,MATCH(C444&amp;"",AthleteNumbers,0))</f>
        <v>0</v>
      </c>
      <c r="C444" s="413"/>
      <c r="D444" s="273" t="str">
        <f t="array" ref="D444">IF($B444&gt;0,INDEX(DB,$B444,8),"")</f>
        <v/>
      </c>
      <c r="E444" s="274" t="str">
        <f t="array" ref="E444">IF($B444&gt;0,INDEX(DB,$B444,3),"")</f>
        <v/>
      </c>
      <c r="F444" s="275">
        <f t="array" ref="F444">IF($B444&gt;0,INDEX(DB,$B444,13),0)</f>
        <v>0</v>
      </c>
      <c r="G444" s="276">
        <f t="array" ref="G444">IF($B444&gt;0,INDEX(DB,$B444,17),0)</f>
        <v>0</v>
      </c>
      <c r="H444" s="277">
        <f t="array" ref="H444">IF($B444&gt;0,INDEX(DB,$B444,15),0)</f>
        <v>0</v>
      </c>
      <c r="I444" s="276">
        <f t="array" ref="I444">IF($B444&gt;0,INDEX(DB,$B444,19),0)</f>
        <v>0</v>
      </c>
      <c r="J444" s="277">
        <f t="array" ref="J444">IF($B444&gt;0,INDEX(DB,$B444,14),0)</f>
        <v>0</v>
      </c>
      <c r="K444" s="276">
        <f t="array" ref="K444">IF($B444&gt;0,INDEX(DB,$B444,18),0)</f>
        <v>0</v>
      </c>
      <c r="L444" s="275">
        <f t="array" ref="L444">IF($B444&gt;0,INDEX(DB,$B444,16),0)</f>
        <v>0</v>
      </c>
      <c r="M444" s="276">
        <f t="array" ref="M444">IF($B444&gt;0,INDEX(DB,$B444,20),0)</f>
        <v>0</v>
      </c>
      <c r="N444" s="278"/>
      <c r="O444" s="279">
        <f t="shared" si="1"/>
        <v>0</v>
      </c>
      <c r="P444" s="280"/>
      <c r="Q444" s="261" t="str">
        <f t="shared" si="2"/>
        <v>#REF!</v>
      </c>
      <c r="R444" s="281" t="str">
        <f>IF($AI444&gt;0,RANK($AI444,BoysPoints),0)</f>
        <v>#REF!</v>
      </c>
      <c r="S444" s="282" t="str">
        <f>IF($AJ444&gt;0,RANK($AJ444,GirlsPoints),0)</f>
        <v>#REF!</v>
      </c>
      <c r="T444" s="283">
        <f>IF($O444&gt;0,RANK(O444,AthletePoints),0)</f>
        <v>0</v>
      </c>
      <c r="U444" s="210"/>
      <c r="V444" s="415" t="str">
        <f>IF(O444&gt;=40,IF(X444="M",VLOOKUP(O444,UKABoysAwards,2),IF(X444="F",VLOOKUP(O444,UKAGirlsAwards,2),"")),"")</f>
        <v/>
      </c>
      <c r="W444" s="210"/>
      <c r="X444" s="266" t="str">
        <f t="array" ref="X444:X445">INDEX(DB,$B444,4)</f>
        <v>#REF!</v>
      </c>
      <c r="Y444" s="210"/>
      <c r="Z444" s="285" t="str">
        <f t="shared" si="3"/>
        <v>#REF!</v>
      </c>
      <c r="AA444" s="286" t="str">
        <f>IF($Z444&gt;=1,RANK($Z444,$Z437:$Z452),0)</f>
        <v>#REF!</v>
      </c>
      <c r="AB444" s="287" t="str">
        <f>IF(AA444&lt;=MaxS,INT(Z444),0)</f>
        <v>#REF!</v>
      </c>
      <c r="AC444" s="210"/>
      <c r="AD444" s="285" t="str">
        <f t="shared" si="4"/>
        <v>#REF!</v>
      </c>
      <c r="AE444" s="286" t="str">
        <f>IF($AD444&gt;=1,RANK($AD444,$AD437:$AD452),0)</f>
        <v>#REF!</v>
      </c>
      <c r="AF444" s="287" t="str">
        <f>IF(AE444&lt;=MaxS,INT(AD444),0)</f>
        <v>#REF!</v>
      </c>
      <c r="AG444" s="210"/>
      <c r="AH444" s="210"/>
      <c r="AI444" s="288" t="str">
        <f t="shared" si="5"/>
        <v>#REF!</v>
      </c>
      <c r="AJ444" s="289" t="str">
        <f t="shared" si="6"/>
        <v>#REF!</v>
      </c>
    </row>
    <row r="445" ht="15.0" customHeight="1">
      <c r="A445" s="272"/>
      <c r="B445" s="250">
        <f>IF(OR(ISNA(MATCH(C445&amp;"",AthleteNumbers,0)),ISBLANK(C445)),0,MATCH(C445&amp;"",AthleteNumbers,0))</f>
        <v>0</v>
      </c>
      <c r="C445" s="413"/>
      <c r="D445" s="273" t="str">
        <f t="array" ref="D445">IF($B445&gt;0,INDEX(DB,$B445,8),"")</f>
        <v/>
      </c>
      <c r="E445" s="274" t="str">
        <f t="array" ref="E445">IF($B445&gt;0,INDEX(DB,$B445,3),"")</f>
        <v/>
      </c>
      <c r="F445" s="275">
        <f t="array" ref="F445">IF($B445&gt;0,INDEX(DB,$B445,13),0)</f>
        <v>0</v>
      </c>
      <c r="G445" s="276">
        <f t="array" ref="G445">IF($B445&gt;0,INDEX(DB,$B445,17),0)</f>
        <v>0</v>
      </c>
      <c r="H445" s="277">
        <f t="array" ref="H445">IF($B445&gt;0,INDEX(DB,$B445,15),0)</f>
        <v>0</v>
      </c>
      <c r="I445" s="276">
        <f t="array" ref="I445">IF($B445&gt;0,INDEX(DB,$B445,19),0)</f>
        <v>0</v>
      </c>
      <c r="J445" s="277">
        <f t="array" ref="J445">IF($B445&gt;0,INDEX(DB,$B445,14),0)</f>
        <v>0</v>
      </c>
      <c r="K445" s="276">
        <f t="array" ref="K445">IF($B445&gt;0,INDEX(DB,$B445,18),0)</f>
        <v>0</v>
      </c>
      <c r="L445" s="275">
        <f t="array" ref="L445">IF($B445&gt;0,INDEX(DB,$B445,16),0)</f>
        <v>0</v>
      </c>
      <c r="M445" s="276">
        <f t="array" ref="M445">IF($B445&gt;0,INDEX(DB,$B445,20),0)</f>
        <v>0</v>
      </c>
      <c r="N445" s="278"/>
      <c r="O445" s="279">
        <f t="shared" si="1"/>
        <v>0</v>
      </c>
      <c r="P445" s="280"/>
      <c r="Q445" s="261" t="str">
        <f t="shared" si="2"/>
        <v>#REF!</v>
      </c>
      <c r="R445" s="290" t="str">
        <f>IF($AI445&gt;0,RANK($AI445,BoysPoints),0)</f>
        <v>#REF!</v>
      </c>
      <c r="S445" s="291" t="str">
        <f>IF($AJ445&gt;0,RANK($AJ445,GirlsPoints),0)</f>
        <v>#REF!</v>
      </c>
      <c r="T445" s="292">
        <f>IF($O445&gt;0,RANK(O445,AthletePoints),0)</f>
        <v>0</v>
      </c>
      <c r="U445" s="210"/>
      <c r="V445" s="330" t="str">
        <f>IF(O445&gt;=40,IF(X445="M",VLOOKUP(O445,UKABoysAwards,2),IF(X445="F",VLOOKUP(O445,UKAGirlsAwards,2),"")),"")</f>
        <v/>
      </c>
      <c r="W445" s="210"/>
      <c r="X445" s="266" t="str">
        <f t="array" ref="X445:X446">INDEX(DB,$B445,4)</f>
        <v>#REF!</v>
      </c>
      <c r="Y445" s="210"/>
      <c r="Z445" s="285" t="str">
        <f t="shared" si="3"/>
        <v>#REF!</v>
      </c>
      <c r="AA445" s="286" t="str">
        <f>IF($Z445&gt;=1,RANK($Z445,$Z437:$Z452),0)</f>
        <v>#REF!</v>
      </c>
      <c r="AB445" s="287" t="str">
        <f>IF(AA445&lt;=MaxS,INT(Z445),0)</f>
        <v>#REF!</v>
      </c>
      <c r="AC445" s="210"/>
      <c r="AD445" s="285" t="str">
        <f t="shared" si="4"/>
        <v>#REF!</v>
      </c>
      <c r="AE445" s="286" t="str">
        <f>IF($AD445&gt;=1,RANK($AD445,$AD437:$AD452),0)</f>
        <v>#REF!</v>
      </c>
      <c r="AF445" s="287" t="str">
        <f>IF(AE445&lt;=MaxS,INT(AD445),0)</f>
        <v>#REF!</v>
      </c>
      <c r="AG445" s="210"/>
      <c r="AH445" s="210"/>
      <c r="AI445" s="288" t="str">
        <f t="shared" si="5"/>
        <v>#REF!</v>
      </c>
      <c r="AJ445" s="289" t="str">
        <f t="shared" si="6"/>
        <v>#REF!</v>
      </c>
    </row>
    <row r="446" ht="15.0" customHeight="1">
      <c r="A446" s="272"/>
      <c r="B446" s="250">
        <f>IF(OR(ISNA(MATCH(C446&amp;"",AthleteNumbers,0)),ISBLANK(C446)),0,MATCH(C446&amp;"",AthleteNumbers,0))</f>
        <v>0</v>
      </c>
      <c r="C446" s="413"/>
      <c r="D446" s="273" t="str">
        <f t="array" ref="D446">IF($B446&gt;0,INDEX(DB,$B446,8),"")</f>
        <v/>
      </c>
      <c r="E446" s="274" t="str">
        <f t="array" ref="E446">IF($B446&gt;0,INDEX(DB,$B446,3),"")</f>
        <v/>
      </c>
      <c r="F446" s="275">
        <f t="array" ref="F446">IF($B446&gt;0,INDEX(DB,$B446,13),0)</f>
        <v>0</v>
      </c>
      <c r="G446" s="276">
        <f t="array" ref="G446">IF($B446&gt;0,INDEX(DB,$B446,17),0)</f>
        <v>0</v>
      </c>
      <c r="H446" s="277">
        <f t="array" ref="H446">IF($B446&gt;0,INDEX(DB,$B446,15),0)</f>
        <v>0</v>
      </c>
      <c r="I446" s="276">
        <f t="array" ref="I446">IF($B446&gt;0,INDEX(DB,$B446,19),0)</f>
        <v>0</v>
      </c>
      <c r="J446" s="277">
        <f t="array" ref="J446">IF($B446&gt;0,INDEX(DB,$B446,14),0)</f>
        <v>0</v>
      </c>
      <c r="K446" s="276">
        <f t="array" ref="K446">IF($B446&gt;0,INDEX(DB,$B446,18),0)</f>
        <v>0</v>
      </c>
      <c r="L446" s="275">
        <f t="array" ref="L446">IF($B446&gt;0,INDEX(DB,$B446,16),0)</f>
        <v>0</v>
      </c>
      <c r="M446" s="276">
        <f t="array" ref="M446">IF($B446&gt;0,INDEX(DB,$B446,20),0)</f>
        <v>0</v>
      </c>
      <c r="N446" s="278"/>
      <c r="O446" s="279">
        <f t="shared" si="1"/>
        <v>0</v>
      </c>
      <c r="P446" s="280"/>
      <c r="Q446" s="261" t="str">
        <f t="shared" si="2"/>
        <v>#REF!</v>
      </c>
      <c r="R446" s="281" t="str">
        <f>IF($AI446&gt;0,RANK($AI446,BoysPoints),0)</f>
        <v>#REF!</v>
      </c>
      <c r="S446" s="282" t="str">
        <f>IF($AJ446&gt;0,RANK($AJ446,GirlsPoints),0)</f>
        <v>#REF!</v>
      </c>
      <c r="T446" s="283">
        <f>IF($O446&gt;0,RANK(O446,AthletePoints),0)</f>
        <v>0</v>
      </c>
      <c r="U446" s="210"/>
      <c r="V446" s="415" t="str">
        <f>IF(O446&gt;=40,IF(X446="M",VLOOKUP(O446,UKABoysAwards,2),IF(X446="F",VLOOKUP(O446,UKAGirlsAwards,2),"")),"")</f>
        <v/>
      </c>
      <c r="W446" s="210"/>
      <c r="X446" s="266" t="str">
        <f t="array" ref="X446:X447">INDEX(DB,$B446,4)</f>
        <v>#REF!</v>
      </c>
      <c r="Y446" s="210"/>
      <c r="Z446" s="285" t="str">
        <f t="shared" si="3"/>
        <v>#REF!</v>
      </c>
      <c r="AA446" s="286" t="str">
        <f>IF($Z446&gt;=1,RANK($Z446,$Z437:$Z452),0)</f>
        <v>#REF!</v>
      </c>
      <c r="AB446" s="287" t="str">
        <f>IF(AA446&lt;=MaxS,INT(Z446),0)</f>
        <v>#REF!</v>
      </c>
      <c r="AC446" s="210"/>
      <c r="AD446" s="285" t="str">
        <f t="shared" si="4"/>
        <v>#REF!</v>
      </c>
      <c r="AE446" s="286" t="str">
        <f>IF($AD446&gt;=1,RANK($AD446,$AD437:$AD452),0)</f>
        <v>#REF!</v>
      </c>
      <c r="AF446" s="287" t="str">
        <f>IF(AE446&lt;=MaxS,INT(AD446),0)</f>
        <v>#REF!</v>
      </c>
      <c r="AG446" s="210"/>
      <c r="AH446" s="210"/>
      <c r="AI446" s="288" t="str">
        <f t="shared" si="5"/>
        <v>#REF!</v>
      </c>
      <c r="AJ446" s="289" t="str">
        <f t="shared" si="6"/>
        <v>#REF!</v>
      </c>
    </row>
    <row r="447" ht="15.0" customHeight="1">
      <c r="A447" s="272"/>
      <c r="B447" s="250">
        <f>IF(OR(ISNA(MATCH(C447&amp;"",AthleteNumbers,0)),ISBLANK(C447)),0,MATCH(C447&amp;"",AthleteNumbers,0))</f>
        <v>0</v>
      </c>
      <c r="C447" s="413"/>
      <c r="D447" s="273" t="str">
        <f t="array" ref="D447">IF($B447&gt;0,INDEX(DB,$B447,8),"")</f>
        <v/>
      </c>
      <c r="E447" s="274" t="str">
        <f t="array" ref="E447">IF($B447&gt;0,INDEX(DB,$B447,3),"")</f>
        <v/>
      </c>
      <c r="F447" s="275">
        <f t="array" ref="F447">IF($B447&gt;0,INDEX(DB,$B447,13),0)</f>
        <v>0</v>
      </c>
      <c r="G447" s="276">
        <f t="array" ref="G447">IF($B447&gt;0,INDEX(DB,$B447,17),0)</f>
        <v>0</v>
      </c>
      <c r="H447" s="277">
        <f t="array" ref="H447">IF($B447&gt;0,INDEX(DB,$B447,15),0)</f>
        <v>0</v>
      </c>
      <c r="I447" s="276">
        <f t="array" ref="I447">IF($B447&gt;0,INDEX(DB,$B447,19),0)</f>
        <v>0</v>
      </c>
      <c r="J447" s="277">
        <f t="array" ref="J447">IF($B447&gt;0,INDEX(DB,$B447,14),0)</f>
        <v>0</v>
      </c>
      <c r="K447" s="276">
        <f t="array" ref="K447">IF($B447&gt;0,INDEX(DB,$B447,18),0)</f>
        <v>0</v>
      </c>
      <c r="L447" s="275">
        <f t="array" ref="L447">IF($B447&gt;0,INDEX(DB,$B447,16),0)</f>
        <v>0</v>
      </c>
      <c r="M447" s="276">
        <f t="array" ref="M447">IF($B447&gt;0,INDEX(DB,$B447,20),0)</f>
        <v>0</v>
      </c>
      <c r="N447" s="278"/>
      <c r="O447" s="279">
        <f t="shared" si="1"/>
        <v>0</v>
      </c>
      <c r="P447" s="280"/>
      <c r="Q447" s="261" t="str">
        <f t="shared" si="2"/>
        <v>#REF!</v>
      </c>
      <c r="R447" s="290" t="str">
        <f>IF($AI447&gt;0,RANK($AI447,BoysPoints),0)</f>
        <v>#REF!</v>
      </c>
      <c r="S447" s="291" t="str">
        <f>IF($AJ447&gt;0,RANK($AJ447,GirlsPoints),0)</f>
        <v>#REF!</v>
      </c>
      <c r="T447" s="292">
        <f>IF($O447&gt;0,RANK(O447,AthletePoints),0)</f>
        <v>0</v>
      </c>
      <c r="U447" s="210"/>
      <c r="V447" s="330" t="str">
        <f>IF(O447&gt;=40,IF(X447="M",VLOOKUP(O447,UKABoysAwards,2),IF(X447="F",VLOOKUP(O447,UKAGirlsAwards,2),"")),"")</f>
        <v/>
      </c>
      <c r="W447" s="210"/>
      <c r="X447" s="266" t="str">
        <f t="array" ref="X447:X448">INDEX(DB,$B447,4)</f>
        <v>#REF!</v>
      </c>
      <c r="Y447" s="210"/>
      <c r="Z447" s="285" t="str">
        <f t="shared" si="3"/>
        <v>#REF!</v>
      </c>
      <c r="AA447" s="286" t="str">
        <f>IF($Z447&gt;=1,RANK($Z447,$Z437:$Z452),0)</f>
        <v>#REF!</v>
      </c>
      <c r="AB447" s="287" t="str">
        <f>IF(AA447&lt;=MaxS,INT(Z447),0)</f>
        <v>#REF!</v>
      </c>
      <c r="AC447" s="210"/>
      <c r="AD447" s="285" t="str">
        <f t="shared" si="4"/>
        <v>#REF!</v>
      </c>
      <c r="AE447" s="286" t="str">
        <f>IF($AD447&gt;=1,RANK($AD447,$AD437:$AD452),0)</f>
        <v>#REF!</v>
      </c>
      <c r="AF447" s="287" t="str">
        <f>IF(AE447&lt;=MaxS,INT(AD447),0)</f>
        <v>#REF!</v>
      </c>
      <c r="AG447" s="210"/>
      <c r="AH447" s="210"/>
      <c r="AI447" s="288" t="str">
        <f t="shared" si="5"/>
        <v>#REF!</v>
      </c>
      <c r="AJ447" s="289" t="str">
        <f t="shared" si="6"/>
        <v>#REF!</v>
      </c>
    </row>
    <row r="448" ht="15.0" customHeight="1">
      <c r="A448" s="272"/>
      <c r="B448" s="250">
        <f>IF(OR(ISNA(MATCH(C448&amp;"",AthleteNumbers,0)),ISBLANK(C448)),0,MATCH(C448&amp;"",AthleteNumbers,0))</f>
        <v>0</v>
      </c>
      <c r="C448" s="413"/>
      <c r="D448" s="273" t="str">
        <f t="array" ref="D448">IF($B448&gt;0,INDEX(DB,$B448,8),"")</f>
        <v/>
      </c>
      <c r="E448" s="274" t="str">
        <f t="array" ref="E448">IF($B448&gt;0,INDEX(DB,$B448,3),"")</f>
        <v/>
      </c>
      <c r="F448" s="275">
        <f t="array" ref="F448">IF($B448&gt;0,INDEX(DB,$B448,13),0)</f>
        <v>0</v>
      </c>
      <c r="G448" s="276">
        <f t="array" ref="G448">IF($B448&gt;0,INDEX(DB,$B448,17),0)</f>
        <v>0</v>
      </c>
      <c r="H448" s="277">
        <f t="array" ref="H448">IF($B448&gt;0,INDEX(DB,$B448,15),0)</f>
        <v>0</v>
      </c>
      <c r="I448" s="276">
        <f t="array" ref="I448">IF($B448&gt;0,INDEX(DB,$B448,19),0)</f>
        <v>0</v>
      </c>
      <c r="J448" s="277">
        <f t="array" ref="J448">IF($B448&gt;0,INDEX(DB,$B448,14),0)</f>
        <v>0</v>
      </c>
      <c r="K448" s="276">
        <f t="array" ref="K448">IF($B448&gt;0,INDEX(DB,$B448,18),0)</f>
        <v>0</v>
      </c>
      <c r="L448" s="275">
        <f t="array" ref="L448">IF($B448&gt;0,INDEX(DB,$B448,16),0)</f>
        <v>0</v>
      </c>
      <c r="M448" s="276">
        <f t="array" ref="M448">IF($B448&gt;0,INDEX(DB,$B448,20),0)</f>
        <v>0</v>
      </c>
      <c r="N448" s="278"/>
      <c r="O448" s="279">
        <f t="shared" si="1"/>
        <v>0</v>
      </c>
      <c r="P448" s="280"/>
      <c r="Q448" s="261" t="str">
        <f t="shared" si="2"/>
        <v>#REF!</v>
      </c>
      <c r="R448" s="281" t="str">
        <f>IF($AI448&gt;0,RANK($AI448,BoysPoints),0)</f>
        <v>#REF!</v>
      </c>
      <c r="S448" s="282" t="str">
        <f>IF($AJ448&gt;0,RANK($AJ448,GirlsPoints),0)</f>
        <v>#REF!</v>
      </c>
      <c r="T448" s="283">
        <f>IF($O448&gt;0,RANK(O448,AthletePoints),0)</f>
        <v>0</v>
      </c>
      <c r="U448" s="210"/>
      <c r="V448" s="415" t="str">
        <f>IF(O448&gt;=40,IF(X448="M",VLOOKUP(O448,UKABoysAwards,2),IF(X448="F",VLOOKUP(O448,UKAGirlsAwards,2),"")),"")</f>
        <v/>
      </c>
      <c r="W448" s="210"/>
      <c r="X448" s="266" t="str">
        <f t="array" ref="X448:X449">INDEX(DB,$B448,4)</f>
        <v>#REF!</v>
      </c>
      <c r="Y448" s="210"/>
      <c r="Z448" s="285" t="str">
        <f t="shared" si="3"/>
        <v>#REF!</v>
      </c>
      <c r="AA448" s="286" t="str">
        <f>IF($Z448&gt;=1,RANK($Z448,$Z437:$Z452),0)</f>
        <v>#REF!</v>
      </c>
      <c r="AB448" s="287" t="str">
        <f>IF(AA448&lt;=MaxS,INT(Z448),0)</f>
        <v>#REF!</v>
      </c>
      <c r="AC448" s="210"/>
      <c r="AD448" s="285" t="str">
        <f t="shared" si="4"/>
        <v>#REF!</v>
      </c>
      <c r="AE448" s="286" t="str">
        <f>IF($AD448&gt;=1,RANK($AD448,$AD437:$AD452),0)</f>
        <v>#REF!</v>
      </c>
      <c r="AF448" s="287" t="str">
        <f>IF(AE448&lt;=MaxS,INT(AD448),0)</f>
        <v>#REF!</v>
      </c>
      <c r="AG448" s="210"/>
      <c r="AH448" s="210"/>
      <c r="AI448" s="288" t="str">
        <f t="shared" si="5"/>
        <v>#REF!</v>
      </c>
      <c r="AJ448" s="289" t="str">
        <f t="shared" si="6"/>
        <v>#REF!</v>
      </c>
    </row>
    <row r="449" ht="15.0" customHeight="1">
      <c r="A449" s="272"/>
      <c r="B449" s="250">
        <f>IF(OR(ISNA(MATCH(C449&amp;"",AthleteNumbers,0)),ISBLANK(C449)),0,MATCH(C449&amp;"",AthleteNumbers,0))</f>
        <v>0</v>
      </c>
      <c r="C449" s="413"/>
      <c r="D449" s="273" t="str">
        <f t="array" ref="D449">IF($B449&gt;0,INDEX(DB,$B449,8),"")</f>
        <v/>
      </c>
      <c r="E449" s="274" t="str">
        <f t="array" ref="E449">IF($B449&gt;0,INDEX(DB,$B449,3),"")</f>
        <v/>
      </c>
      <c r="F449" s="275">
        <f t="array" ref="F449">IF($B449&gt;0,INDEX(DB,$B449,13),0)</f>
        <v>0</v>
      </c>
      <c r="G449" s="276">
        <f t="array" ref="G449">IF($B449&gt;0,INDEX(DB,$B449,17),0)</f>
        <v>0</v>
      </c>
      <c r="H449" s="277">
        <f t="array" ref="H449">IF($B449&gt;0,INDEX(DB,$B449,15),0)</f>
        <v>0</v>
      </c>
      <c r="I449" s="276">
        <f t="array" ref="I449">IF($B449&gt;0,INDEX(DB,$B449,19),0)</f>
        <v>0</v>
      </c>
      <c r="J449" s="277">
        <f t="array" ref="J449">IF($B449&gt;0,INDEX(DB,$B449,14),0)</f>
        <v>0</v>
      </c>
      <c r="K449" s="276">
        <f t="array" ref="K449">IF($B449&gt;0,INDEX(DB,$B449,18),0)</f>
        <v>0</v>
      </c>
      <c r="L449" s="275">
        <f t="array" ref="L449">IF($B449&gt;0,INDEX(DB,$B449,16),0)</f>
        <v>0</v>
      </c>
      <c r="M449" s="276">
        <f t="array" ref="M449">IF($B449&gt;0,INDEX(DB,$B449,20),0)</f>
        <v>0</v>
      </c>
      <c r="N449" s="278"/>
      <c r="O449" s="279">
        <f t="shared" si="1"/>
        <v>0</v>
      </c>
      <c r="P449" s="280"/>
      <c r="Q449" s="261" t="str">
        <f t="shared" si="2"/>
        <v>#REF!</v>
      </c>
      <c r="R449" s="290" t="str">
        <f>IF($AI449&gt;0,RANK($AI449,BoysPoints),0)</f>
        <v>#REF!</v>
      </c>
      <c r="S449" s="291" t="str">
        <f>IF($AJ449&gt;0,RANK($AJ449,GirlsPoints),0)</f>
        <v>#REF!</v>
      </c>
      <c r="T449" s="292">
        <f>IF($O449&gt;0,RANK(O449,AthletePoints),0)</f>
        <v>0</v>
      </c>
      <c r="U449" s="210"/>
      <c r="V449" s="330" t="str">
        <f>IF(O449&gt;=40,IF(X449="M",VLOOKUP(O449,UKABoysAwards,2),IF(X449="F",VLOOKUP(O449,UKAGirlsAwards,2),"")),"")</f>
        <v/>
      </c>
      <c r="W449" s="210"/>
      <c r="X449" s="266" t="str">
        <f t="array" ref="X449:X450">INDEX(DB,$B449,4)</f>
        <v>#REF!</v>
      </c>
      <c r="Y449" s="210"/>
      <c r="Z449" s="285" t="str">
        <f t="shared" si="3"/>
        <v>#REF!</v>
      </c>
      <c r="AA449" s="286" t="str">
        <f>IF($Z449&gt;=1,RANK($Z449,$Z437:$Z452),0)</f>
        <v>#REF!</v>
      </c>
      <c r="AB449" s="287" t="str">
        <f>IF(AA449&lt;=MaxS,INT(Z449),0)</f>
        <v>#REF!</v>
      </c>
      <c r="AC449" s="210"/>
      <c r="AD449" s="285" t="str">
        <f t="shared" si="4"/>
        <v>#REF!</v>
      </c>
      <c r="AE449" s="286" t="str">
        <f>IF($AD449&gt;=1,RANK($AD449,$AD437:$AD452),0)</f>
        <v>#REF!</v>
      </c>
      <c r="AF449" s="287" t="str">
        <f>IF(AE449&lt;=MaxS,INT(AD449),0)</f>
        <v>#REF!</v>
      </c>
      <c r="AG449" s="210"/>
      <c r="AH449" s="210"/>
      <c r="AI449" s="288" t="str">
        <f t="shared" si="5"/>
        <v>#REF!</v>
      </c>
      <c r="AJ449" s="289" t="str">
        <f t="shared" si="6"/>
        <v>#REF!</v>
      </c>
    </row>
    <row r="450" ht="15.0" customHeight="1">
      <c r="A450" s="272"/>
      <c r="B450" s="250">
        <f>IF(OR(ISNA(MATCH(C450&amp;"",AthleteNumbers,0)),ISBLANK(C450)),0,MATCH(C450&amp;"",AthleteNumbers,0))</f>
        <v>0</v>
      </c>
      <c r="C450" s="413"/>
      <c r="D450" s="273" t="str">
        <f t="array" ref="D450">IF($B450&gt;0,INDEX(DB,$B450,8),"")</f>
        <v/>
      </c>
      <c r="E450" s="274" t="str">
        <f t="array" ref="E450">IF($B450&gt;0,INDEX(DB,$B450,3),"")</f>
        <v/>
      </c>
      <c r="F450" s="275">
        <f t="array" ref="F450">IF($B450&gt;0,INDEX(DB,$B450,13),0)</f>
        <v>0</v>
      </c>
      <c r="G450" s="276">
        <f t="array" ref="G450">IF($B450&gt;0,INDEX(DB,$B450,17),0)</f>
        <v>0</v>
      </c>
      <c r="H450" s="277">
        <f t="array" ref="H450">IF($B450&gt;0,INDEX(DB,$B450,15),0)</f>
        <v>0</v>
      </c>
      <c r="I450" s="276">
        <f t="array" ref="I450">IF($B450&gt;0,INDEX(DB,$B450,19),0)</f>
        <v>0</v>
      </c>
      <c r="J450" s="277">
        <f t="array" ref="J450">IF($B450&gt;0,INDEX(DB,$B450,14),0)</f>
        <v>0</v>
      </c>
      <c r="K450" s="276">
        <f t="array" ref="K450">IF($B450&gt;0,INDEX(DB,$B450,18),0)</f>
        <v>0</v>
      </c>
      <c r="L450" s="275">
        <f t="array" ref="L450">IF($B450&gt;0,INDEX(DB,$B450,16),0)</f>
        <v>0</v>
      </c>
      <c r="M450" s="276">
        <f t="array" ref="M450">IF($B450&gt;0,INDEX(DB,$B450,20),0)</f>
        <v>0</v>
      </c>
      <c r="N450" s="278"/>
      <c r="O450" s="279">
        <f t="shared" si="1"/>
        <v>0</v>
      </c>
      <c r="P450" s="280"/>
      <c r="Q450" s="261" t="str">
        <f t="shared" si="2"/>
        <v>#REF!</v>
      </c>
      <c r="R450" s="281" t="str">
        <f>IF($AI450&gt;0,RANK($AI450,BoysPoints),0)</f>
        <v>#REF!</v>
      </c>
      <c r="S450" s="282" t="str">
        <f>IF($AJ450&gt;0,RANK($AJ450,GirlsPoints),0)</f>
        <v>#REF!</v>
      </c>
      <c r="T450" s="283">
        <f>IF($O450&gt;0,RANK(O450,AthletePoints),0)</f>
        <v>0</v>
      </c>
      <c r="U450" s="210"/>
      <c r="V450" s="415" t="str">
        <f>IF(O450&gt;=40,IF(X450="M",VLOOKUP(O450,UKABoysAwards,2),IF(X450="F",VLOOKUP(O450,UKAGirlsAwards,2),"")),"")</f>
        <v/>
      </c>
      <c r="W450" s="210"/>
      <c r="X450" s="266" t="str">
        <f t="array" ref="X450:X451">INDEX(DB,$B450,4)</f>
        <v>#REF!</v>
      </c>
      <c r="Y450" s="210"/>
      <c r="Z450" s="285" t="str">
        <f t="shared" si="3"/>
        <v>#REF!</v>
      </c>
      <c r="AA450" s="286" t="str">
        <f>IF($Z450&gt;=1,RANK($Z450,$Z437:$Z452),0)</f>
        <v>#REF!</v>
      </c>
      <c r="AB450" s="287" t="str">
        <f>IF(AA450&lt;=MaxS,INT(Z450),0)</f>
        <v>#REF!</v>
      </c>
      <c r="AC450" s="210"/>
      <c r="AD450" s="285" t="str">
        <f t="shared" si="4"/>
        <v>#REF!</v>
      </c>
      <c r="AE450" s="286" t="str">
        <f>IF($AD450&gt;=1,RANK($AD450,$AD437:$AD452),0)</f>
        <v>#REF!</v>
      </c>
      <c r="AF450" s="287" t="str">
        <f>IF(AE450&lt;=MaxS,INT(AD450),0)</f>
        <v>#REF!</v>
      </c>
      <c r="AG450" s="210"/>
      <c r="AH450" s="210"/>
      <c r="AI450" s="288" t="str">
        <f t="shared" si="5"/>
        <v>#REF!</v>
      </c>
      <c r="AJ450" s="289" t="str">
        <f t="shared" si="6"/>
        <v>#REF!</v>
      </c>
    </row>
    <row r="451" ht="15.0" customHeight="1">
      <c r="A451" s="272"/>
      <c r="B451" s="250">
        <f>IF(OR(ISNA(MATCH(C451&amp;"",AthleteNumbers,0)),ISBLANK(C451)),0,MATCH(C451&amp;"",AthleteNumbers,0))</f>
        <v>0</v>
      </c>
      <c r="C451" s="413"/>
      <c r="D451" s="273" t="str">
        <f t="array" ref="D451">IF($B451&gt;0,INDEX(DB,$B451,8),"")</f>
        <v/>
      </c>
      <c r="E451" s="274" t="str">
        <f t="array" ref="E451">IF($B451&gt;0,INDEX(DB,$B451,3),"")</f>
        <v/>
      </c>
      <c r="F451" s="275">
        <f t="array" ref="F451">IF($B451&gt;0,INDEX(DB,$B451,13),0)</f>
        <v>0</v>
      </c>
      <c r="G451" s="276">
        <f t="array" ref="G451">IF($B451&gt;0,INDEX(DB,$B451,17),0)</f>
        <v>0</v>
      </c>
      <c r="H451" s="277">
        <f t="array" ref="H451">IF($B451&gt;0,INDEX(DB,$B451,15),0)</f>
        <v>0</v>
      </c>
      <c r="I451" s="276">
        <f t="array" ref="I451">IF($B451&gt;0,INDEX(DB,$B451,19),0)</f>
        <v>0</v>
      </c>
      <c r="J451" s="277">
        <f t="array" ref="J451">IF($B451&gt;0,INDEX(DB,$B451,14),0)</f>
        <v>0</v>
      </c>
      <c r="K451" s="276">
        <f t="array" ref="K451">IF($B451&gt;0,INDEX(DB,$B451,18),0)</f>
        <v>0</v>
      </c>
      <c r="L451" s="275">
        <f t="array" ref="L451">IF($B451&gt;0,INDEX(DB,$B451,16),0)</f>
        <v>0</v>
      </c>
      <c r="M451" s="276">
        <f t="array" ref="M451">IF($B451&gt;0,INDEX(DB,$B451,20),0)</f>
        <v>0</v>
      </c>
      <c r="N451" s="278"/>
      <c r="O451" s="279">
        <f t="shared" si="1"/>
        <v>0</v>
      </c>
      <c r="P451" s="280"/>
      <c r="Q451" s="261" t="str">
        <f t="shared" si="2"/>
        <v>#REF!</v>
      </c>
      <c r="R451" s="290" t="str">
        <f>IF($AI451&gt;0,RANK($AI451,BoysPoints),0)</f>
        <v>#REF!</v>
      </c>
      <c r="S451" s="291" t="str">
        <f>IF($AJ451&gt;0,RANK($AJ451,GirlsPoints),0)</f>
        <v>#REF!</v>
      </c>
      <c r="T451" s="292">
        <f>IF($O451&gt;0,RANK(O451,AthletePoints),0)</f>
        <v>0</v>
      </c>
      <c r="U451" s="210"/>
      <c r="V451" s="330" t="str">
        <f>IF(O451&gt;=40,IF(X451="M",VLOOKUP(O451,UKABoysAwards,2),IF(X451="F",VLOOKUP(O451,UKAGirlsAwards,2),"")),"")</f>
        <v/>
      </c>
      <c r="W451" s="210"/>
      <c r="X451" s="266" t="str">
        <f t="array" ref="X451:X452">INDEX(DB,$B451,4)</f>
        <v>#REF!</v>
      </c>
      <c r="Y451" s="210"/>
      <c r="Z451" s="285" t="str">
        <f t="shared" si="3"/>
        <v>#REF!</v>
      </c>
      <c r="AA451" s="286" t="str">
        <f>IF($Z451&gt;=1,RANK($Z451,$Z437:$Z452),0)</f>
        <v>#REF!</v>
      </c>
      <c r="AB451" s="287" t="str">
        <f>IF(AA451&lt;=MaxS,INT(Z451),0)</f>
        <v>#REF!</v>
      </c>
      <c r="AC451" s="210"/>
      <c r="AD451" s="285" t="str">
        <f t="shared" si="4"/>
        <v>#REF!</v>
      </c>
      <c r="AE451" s="286" t="str">
        <f>IF($AD451&gt;=1,RANK($AD451,$AD437:$AD452),0)</f>
        <v>#REF!</v>
      </c>
      <c r="AF451" s="287" t="str">
        <f>IF(AE451&lt;=MaxS,INT(AD451),0)</f>
        <v>#REF!</v>
      </c>
      <c r="AG451" s="210"/>
      <c r="AH451" s="210"/>
      <c r="AI451" s="288" t="str">
        <f t="shared" si="5"/>
        <v>#REF!</v>
      </c>
      <c r="AJ451" s="289" t="str">
        <f t="shared" si="6"/>
        <v>#REF!</v>
      </c>
    </row>
    <row r="452" ht="15.0" customHeight="1">
      <c r="A452" s="305"/>
      <c r="B452" s="250">
        <f>IF(OR(ISNA(MATCH(C452&amp;"",AthleteNumbers,0)),ISBLANK(C452)),0,MATCH(C452&amp;"",AthleteNumbers,0))</f>
        <v>0</v>
      </c>
      <c r="C452" s="443"/>
      <c r="D452" s="306" t="str">
        <f t="array" ref="D452">IF($B452&gt;0,INDEX(DB,$B452,8),"")</f>
        <v/>
      </c>
      <c r="E452" s="307" t="str">
        <f t="array" ref="E452">IF($B452&gt;0,INDEX(DB,$B452,3),"")</f>
        <v/>
      </c>
      <c r="F452" s="308">
        <f t="array" ref="F452">IF($B452&gt;0,INDEX(DB,$B452,13),0)</f>
        <v>0</v>
      </c>
      <c r="G452" s="309">
        <f t="array" ref="G452">IF($B452&gt;0,INDEX(DB,$B452,17),0)</f>
        <v>0</v>
      </c>
      <c r="H452" s="310">
        <f t="array" ref="H452">IF($B452&gt;0,INDEX(DB,$B452,15),0)</f>
        <v>0</v>
      </c>
      <c r="I452" s="309">
        <f t="array" ref="I452">IF($B452&gt;0,INDEX(DB,$B452,19),0)</f>
        <v>0</v>
      </c>
      <c r="J452" s="310">
        <f t="array" ref="J452">IF($B452&gt;0,INDEX(DB,$B452,14),0)</f>
        <v>0</v>
      </c>
      <c r="K452" s="309">
        <f t="array" ref="K452">IF($B452&gt;0,INDEX(DB,$B452,18),0)</f>
        <v>0</v>
      </c>
      <c r="L452" s="308">
        <f t="array" ref="L452">IF($B452&gt;0,INDEX(DB,$B452,16),0)</f>
        <v>0</v>
      </c>
      <c r="M452" s="309">
        <f t="array" ref="M452">IF($B452&gt;0,INDEX(DB,$B452,20),0)</f>
        <v>0</v>
      </c>
      <c r="N452" s="25"/>
      <c r="O452" s="311">
        <f t="shared" si="1"/>
        <v>0</v>
      </c>
      <c r="P452" s="31"/>
      <c r="Q452" s="261" t="str">
        <f t="shared" si="2"/>
        <v>#REF!</v>
      </c>
      <c r="R452" s="312" t="str">
        <f>IF($AI452&gt;0,RANK($AI452,BoysPoints),0)</f>
        <v>#REF!</v>
      </c>
      <c r="S452" s="313" t="str">
        <f>IF($AJ452&gt;0,RANK($AJ452,GirlsPoints),0)</f>
        <v>#REF!</v>
      </c>
      <c r="T452" s="314">
        <f>IF($O452&gt;0,RANK(O452,AthletePoints),0)</f>
        <v>0</v>
      </c>
      <c r="U452" s="210"/>
      <c r="V452" s="444" t="str">
        <f>IF(O452&gt;=40,IF(X452="M",VLOOKUP(O452,UKABoysAwards,2),IF(X452="F",VLOOKUP(O452,UKAGirlsAwards,2),"")),"")</f>
        <v/>
      </c>
      <c r="W452" s="210"/>
      <c r="X452" s="266" t="str">
        <f t="array" ref="X452:X453">INDEX(DB,$B452,4)</f>
        <v>#REF!</v>
      </c>
      <c r="Y452" s="210"/>
      <c r="Z452" s="316" t="str">
        <f t="shared" si="3"/>
        <v>#REF!</v>
      </c>
      <c r="AA452" s="243" t="str">
        <f>IF($Z452&gt;=1,RANK($Z452,$Z437:$Z452),0)</f>
        <v>#REF!</v>
      </c>
      <c r="AB452" s="245" t="str">
        <f>IF(AA452&lt;=MaxS,INT(Z452),0)</f>
        <v>#REF!</v>
      </c>
      <c r="AC452" s="210" t="str">
        <f>SUM(AB437:AB452)</f>
        <v>#REF!</v>
      </c>
      <c r="AD452" s="316" t="str">
        <f t="shared" si="4"/>
        <v>#REF!</v>
      </c>
      <c r="AE452" s="243" t="str">
        <f>IF($AD452&gt;=1,RANK($AD452,$AD437:$AD452),0)</f>
        <v>#REF!</v>
      </c>
      <c r="AF452" s="245" t="str">
        <f>IF(AE452&lt;=MaxS,INT(AD452),0)</f>
        <v>#REF!</v>
      </c>
      <c r="AG452" s="210" t="str">
        <f>SUM(AF437:AF452)</f>
        <v>#REF!</v>
      </c>
      <c r="AH452" s="210"/>
      <c r="AI452" s="246" t="str">
        <f t="shared" si="5"/>
        <v>#REF!</v>
      </c>
      <c r="AJ452" s="247" t="str">
        <f t="shared" si="6"/>
        <v>#REF!</v>
      </c>
    </row>
    <row r="453" ht="15.0" customHeight="1">
      <c r="A453" s="248"/>
      <c r="B453" s="250">
        <f>IF(OR(ISNA(MATCH(C453&amp;"",AthleteNumbers,0)),ISBLANK(C453)),0,MATCH(C453&amp;"",AthleteNumbers,0))</f>
        <v>0</v>
      </c>
      <c r="C453" s="251"/>
      <c r="D453" s="252" t="str">
        <f t="array" ref="D453">IF($B453&gt;0,INDEX(DB,$B453,8),"")</f>
        <v/>
      </c>
      <c r="E453" s="253" t="str">
        <f t="array" ref="E453">IF($B453&gt;0,INDEX(DB,$B453,3),"")</f>
        <v/>
      </c>
      <c r="F453" s="254">
        <f t="array" ref="F453">IF($B453&gt;0,INDEX(DB,$B453,13),0)</f>
        <v>0</v>
      </c>
      <c r="G453" s="255">
        <f t="array" ref="G453">IF($B453&gt;0,INDEX(DB,$B453,17),0)</f>
        <v>0</v>
      </c>
      <c r="H453" s="257">
        <f t="array" ref="H453">IF($B453&gt;0,INDEX(DB,$B453,15),0)</f>
        <v>0</v>
      </c>
      <c r="I453" s="255">
        <f t="array" ref="I453">IF($B453&gt;0,INDEX(DB,$B453,19),0)</f>
        <v>0</v>
      </c>
      <c r="J453" s="257">
        <f t="array" ref="J453">IF($B453&gt;0,INDEX(DB,$B453,14),0)</f>
        <v>0</v>
      </c>
      <c r="K453" s="255">
        <f t="array" ref="K453">IF($B453&gt;0,INDEX(DB,$B453,18),0)</f>
        <v>0</v>
      </c>
      <c r="L453" s="254">
        <f t="array" ref="L453">IF($B453&gt;0,INDEX(DB,$B453,16),0)</f>
        <v>0</v>
      </c>
      <c r="M453" s="255">
        <f t="array" ref="M453">IF($B453&gt;0,INDEX(DB,$B453,20),0)</f>
        <v>0</v>
      </c>
      <c r="N453" s="258" t="str">
        <f t="array" ref="N453:N469">INDEX(RelayPoints,A468)</f>
        <v>#REF!</v>
      </c>
      <c r="O453" s="259">
        <f t="shared" si="1"/>
        <v>0</v>
      </c>
      <c r="P453" s="260" t="str">
        <f>+AC468+AG468+N453</f>
        <v>#REF!</v>
      </c>
      <c r="Q453" s="261" t="str">
        <f t="shared" si="2"/>
        <v>#REF!</v>
      </c>
      <c r="R453" s="262" t="str">
        <f>IF($AI453&gt;0,RANK($AI453,BoysPoints),0)</f>
        <v>#REF!</v>
      </c>
      <c r="S453" s="263" t="str">
        <f>IF($AJ453&gt;0,RANK($AJ453,GirlsPoints),0)</f>
        <v>#REF!</v>
      </c>
      <c r="T453" s="264">
        <f>IF($O453&gt;0,RANK(O453,AthletePoints),0)</f>
        <v>0</v>
      </c>
      <c r="U453" s="210"/>
      <c r="V453" s="317" t="str">
        <f>IF(O453&gt;=40,IF(X453="M",VLOOKUP(O453,UKABoysAwards,2),IF(X453="F",VLOOKUP(O453,UKAGirlsAwards,2),"")),"")</f>
        <v/>
      </c>
      <c r="W453" s="210"/>
      <c r="X453" s="266" t="str">
        <f t="array" ref="X453:X454">INDEX(DB,$B453,4)</f>
        <v>#REF!</v>
      </c>
      <c r="Y453" s="210"/>
      <c r="Z453" s="267" t="str">
        <f t="shared" si="3"/>
        <v>#REF!</v>
      </c>
      <c r="AA453" s="268" t="str">
        <f>IF($Z453&gt;=1,RANK($Z453,$Z453:$Z468),0)</f>
        <v>#REF!</v>
      </c>
      <c r="AB453" s="269" t="str">
        <f>IF(AA453&lt;=MaxS,INT(Z453),0)</f>
        <v>#REF!</v>
      </c>
      <c r="AC453" s="210"/>
      <c r="AD453" s="267" t="str">
        <f t="shared" si="4"/>
        <v>#REF!</v>
      </c>
      <c r="AE453" s="268" t="str">
        <f>IF($AD453&gt;=1,RANK($AD453,$AD453:$AD468),0)</f>
        <v>#REF!</v>
      </c>
      <c r="AF453" s="269" t="str">
        <f>IF(AE453&lt;=MaxS,INT(AD453),0)</f>
        <v>#REF!</v>
      </c>
      <c r="AG453" s="210"/>
      <c r="AH453" s="210"/>
      <c r="AI453" s="288" t="str">
        <f t="shared" si="5"/>
        <v>#REF!</v>
      </c>
      <c r="AJ453" s="289" t="str">
        <f t="shared" si="6"/>
        <v>#REF!</v>
      </c>
    </row>
    <row r="454" ht="15.0" customHeight="1">
      <c r="A454" s="272"/>
      <c r="B454" s="250">
        <f>IF(OR(ISNA(MATCH(C454&amp;"",AthleteNumbers,0)),ISBLANK(C454)),0,MATCH(C454&amp;"",AthleteNumbers,0))</f>
        <v>0</v>
      </c>
      <c r="C454" s="413"/>
      <c r="D454" s="273" t="str">
        <f t="array" ref="D454">IF($B454&gt;0,INDEX(DB,$B454,8),"")</f>
        <v/>
      </c>
      <c r="E454" s="274" t="str">
        <f t="array" ref="E454">IF($B454&gt;0,INDEX(DB,$B454,3),"")</f>
        <v/>
      </c>
      <c r="F454" s="275">
        <f t="array" ref="F454">IF($B454&gt;0,INDEX(DB,$B454,13),0)</f>
        <v>0</v>
      </c>
      <c r="G454" s="276">
        <f t="array" ref="G454">IF($B454&gt;0,INDEX(DB,$B454,17),0)</f>
        <v>0</v>
      </c>
      <c r="H454" s="277">
        <f t="array" ref="H454">IF($B454&gt;0,INDEX(DB,$B454,15),0)</f>
        <v>0</v>
      </c>
      <c r="I454" s="276">
        <f t="array" ref="I454">IF($B454&gt;0,INDEX(DB,$B454,19),0)</f>
        <v>0</v>
      </c>
      <c r="J454" s="277">
        <f t="array" ref="J454">IF($B454&gt;0,INDEX(DB,$B454,14),0)</f>
        <v>0</v>
      </c>
      <c r="K454" s="276">
        <f t="array" ref="K454">IF($B454&gt;0,INDEX(DB,$B454,18),0)</f>
        <v>0</v>
      </c>
      <c r="L454" s="275">
        <f t="array" ref="L454">IF($B454&gt;0,INDEX(DB,$B454,16),0)</f>
        <v>0</v>
      </c>
      <c r="M454" s="276">
        <f t="array" ref="M454">IF($B454&gt;0,INDEX(DB,$B454,20),0)</f>
        <v>0</v>
      </c>
      <c r="N454" s="278"/>
      <c r="O454" s="279">
        <f t="shared" si="1"/>
        <v>0</v>
      </c>
      <c r="P454" s="280"/>
      <c r="Q454" s="261" t="str">
        <f t="shared" si="2"/>
        <v>#REF!</v>
      </c>
      <c r="R454" s="281" t="str">
        <f>IF($AI454&gt;0,RANK($AI454,BoysPoints),0)</f>
        <v>#REF!</v>
      </c>
      <c r="S454" s="282" t="str">
        <f>IF($AJ454&gt;0,RANK($AJ454,GirlsPoints),0)</f>
        <v>#REF!</v>
      </c>
      <c r="T454" s="283">
        <f>IF($O454&gt;0,RANK(O454,AthletePoints),0)</f>
        <v>0</v>
      </c>
      <c r="U454" s="210"/>
      <c r="V454" s="415" t="str">
        <f>IF(O454&gt;=40,IF(X454="M",VLOOKUP(O454,UKABoysAwards,2),IF(X454="F",VLOOKUP(O454,UKAGirlsAwards,2),"")),"")</f>
        <v/>
      </c>
      <c r="W454" s="210"/>
      <c r="X454" s="266" t="str">
        <f t="array" ref="X454:X455">INDEX(DB,$B454,4)</f>
        <v>#REF!</v>
      </c>
      <c r="Y454" s="210"/>
      <c r="Z454" s="285" t="str">
        <f t="shared" si="3"/>
        <v>#REF!</v>
      </c>
      <c r="AA454" s="286" t="str">
        <f>IF($Z454&gt;=1,RANK($Z454,$Z453:$Z468),0)</f>
        <v>#REF!</v>
      </c>
      <c r="AB454" s="287" t="str">
        <f>IF(AA454&lt;=MaxS,INT(Z454),0)</f>
        <v>#REF!</v>
      </c>
      <c r="AC454" s="210"/>
      <c r="AD454" s="285" t="str">
        <f t="shared" si="4"/>
        <v>#REF!</v>
      </c>
      <c r="AE454" s="286" t="str">
        <f>IF($AD454&gt;=1,RANK($AD454,$AD453:$AD468),0)</f>
        <v>#REF!</v>
      </c>
      <c r="AF454" s="287" t="str">
        <f>IF(AE454&lt;=MaxS,INT(AD454),0)</f>
        <v>#REF!</v>
      </c>
      <c r="AG454" s="210"/>
      <c r="AH454" s="210"/>
      <c r="AI454" s="288" t="str">
        <f t="shared" si="5"/>
        <v>#REF!</v>
      </c>
      <c r="AJ454" s="289" t="str">
        <f t="shared" si="6"/>
        <v>#REF!</v>
      </c>
    </row>
    <row r="455" ht="15.0" customHeight="1">
      <c r="A455" s="272"/>
      <c r="B455" s="250">
        <f>IF(OR(ISNA(MATCH(C455&amp;"",AthleteNumbers,0)),ISBLANK(C455)),0,MATCH(C455&amp;"",AthleteNumbers,0))</f>
        <v>0</v>
      </c>
      <c r="C455" s="413"/>
      <c r="D455" s="273" t="str">
        <f t="array" ref="D455">IF($B455&gt;0,INDEX(DB,$B455,8),"")</f>
        <v/>
      </c>
      <c r="E455" s="274" t="str">
        <f t="array" ref="E455">IF($B455&gt;0,INDEX(DB,$B455,3),"")</f>
        <v/>
      </c>
      <c r="F455" s="275">
        <f t="array" ref="F455">IF($B455&gt;0,INDEX(DB,$B455,13),0)</f>
        <v>0</v>
      </c>
      <c r="G455" s="276">
        <f t="array" ref="G455">IF($B455&gt;0,INDEX(DB,$B455,17),0)</f>
        <v>0</v>
      </c>
      <c r="H455" s="277">
        <f t="array" ref="H455">IF($B455&gt;0,INDEX(DB,$B455,15),0)</f>
        <v>0</v>
      </c>
      <c r="I455" s="276">
        <f t="array" ref="I455">IF($B455&gt;0,INDEX(DB,$B455,19),0)</f>
        <v>0</v>
      </c>
      <c r="J455" s="277">
        <f t="array" ref="J455">IF($B455&gt;0,INDEX(DB,$B455,14),0)</f>
        <v>0</v>
      </c>
      <c r="K455" s="276">
        <f t="array" ref="K455">IF($B455&gt;0,INDEX(DB,$B455,18),0)</f>
        <v>0</v>
      </c>
      <c r="L455" s="275">
        <f t="array" ref="L455">IF($B455&gt;0,INDEX(DB,$B455,16),0)</f>
        <v>0</v>
      </c>
      <c r="M455" s="276">
        <f t="array" ref="M455">IF($B455&gt;0,INDEX(DB,$B455,20),0)</f>
        <v>0</v>
      </c>
      <c r="N455" s="278"/>
      <c r="O455" s="279">
        <f t="shared" si="1"/>
        <v>0</v>
      </c>
      <c r="P455" s="280"/>
      <c r="Q455" s="261" t="str">
        <f t="shared" si="2"/>
        <v>#REF!</v>
      </c>
      <c r="R455" s="290" t="str">
        <f>IF($AI455&gt;0,RANK($AI455,BoysPoints),0)</f>
        <v>#REF!</v>
      </c>
      <c r="S455" s="291" t="str">
        <f>IF($AJ455&gt;0,RANK($AJ455,GirlsPoints),0)</f>
        <v>#REF!</v>
      </c>
      <c r="T455" s="292">
        <f>IF($O455&gt;0,RANK(O455,AthletePoints),0)</f>
        <v>0</v>
      </c>
      <c r="U455" s="210"/>
      <c r="V455" s="330" t="str">
        <f>IF(O455&gt;=40,IF(X455="M",VLOOKUP(O455,UKABoysAwards,2),IF(X455="F",VLOOKUP(O455,UKAGirlsAwards,2),"")),"")</f>
        <v/>
      </c>
      <c r="W455" s="210"/>
      <c r="X455" s="266" t="str">
        <f t="array" ref="X455:X456">INDEX(DB,$B455,4)</f>
        <v>#REF!</v>
      </c>
      <c r="Y455" s="210"/>
      <c r="Z455" s="285" t="str">
        <f t="shared" si="3"/>
        <v>#REF!</v>
      </c>
      <c r="AA455" s="286" t="str">
        <f>IF($Z455&gt;=1,RANK($Z455,$Z453:$Z468),0)</f>
        <v>#REF!</v>
      </c>
      <c r="AB455" s="287" t="str">
        <f>IF(AA455&lt;=MaxS,INT(Z455),0)</f>
        <v>#REF!</v>
      </c>
      <c r="AC455" s="210"/>
      <c r="AD455" s="285" t="str">
        <f t="shared" si="4"/>
        <v>#REF!</v>
      </c>
      <c r="AE455" s="286" t="str">
        <f>IF($AD455&gt;=1,RANK($AD455,$AD453:$AD468),0)</f>
        <v>#REF!</v>
      </c>
      <c r="AF455" s="287" t="str">
        <f>IF(AE455&lt;=MaxS,INT(AD455),0)</f>
        <v>#REF!</v>
      </c>
      <c r="AG455" s="210"/>
      <c r="AH455" s="210"/>
      <c r="AI455" s="288" t="str">
        <f t="shared" si="5"/>
        <v>#REF!</v>
      </c>
      <c r="AJ455" s="289" t="str">
        <f t="shared" si="6"/>
        <v>#REF!</v>
      </c>
    </row>
    <row r="456" ht="15.0" customHeight="1">
      <c r="A456" s="272"/>
      <c r="B456" s="250">
        <f>IF(OR(ISNA(MATCH(C456&amp;"",AthleteNumbers,0)),ISBLANK(C456)),0,MATCH(C456&amp;"",AthleteNumbers,0))</f>
        <v>0</v>
      </c>
      <c r="C456" s="413"/>
      <c r="D456" s="273" t="str">
        <f t="array" ref="D456">IF($B456&gt;0,INDEX(DB,$B456,8),"")</f>
        <v/>
      </c>
      <c r="E456" s="274" t="str">
        <f t="array" ref="E456">IF($B456&gt;0,INDEX(DB,$B456,3),"")</f>
        <v/>
      </c>
      <c r="F456" s="275">
        <f t="array" ref="F456">IF($B456&gt;0,INDEX(DB,$B456,13),0)</f>
        <v>0</v>
      </c>
      <c r="G456" s="276">
        <f t="array" ref="G456">IF($B456&gt;0,INDEX(DB,$B456,17),0)</f>
        <v>0</v>
      </c>
      <c r="H456" s="277">
        <f t="array" ref="H456">IF($B456&gt;0,INDEX(DB,$B456,15),0)</f>
        <v>0</v>
      </c>
      <c r="I456" s="276">
        <f t="array" ref="I456">IF($B456&gt;0,INDEX(DB,$B456,19),0)</f>
        <v>0</v>
      </c>
      <c r="J456" s="277">
        <f t="array" ref="J456">IF($B456&gt;0,INDEX(DB,$B456,14),0)</f>
        <v>0</v>
      </c>
      <c r="K456" s="276">
        <f t="array" ref="K456">IF($B456&gt;0,INDEX(DB,$B456,18),0)</f>
        <v>0</v>
      </c>
      <c r="L456" s="275">
        <f t="array" ref="L456">IF($B456&gt;0,INDEX(DB,$B456,16),0)</f>
        <v>0</v>
      </c>
      <c r="M456" s="276">
        <f t="array" ref="M456">IF($B456&gt;0,INDEX(DB,$B456,20),0)</f>
        <v>0</v>
      </c>
      <c r="N456" s="278"/>
      <c r="O456" s="279">
        <f t="shared" si="1"/>
        <v>0</v>
      </c>
      <c r="P456" s="280"/>
      <c r="Q456" s="261" t="str">
        <f t="shared" si="2"/>
        <v>#REF!</v>
      </c>
      <c r="R456" s="281" t="str">
        <f>IF($AI456&gt;0,RANK($AI456,BoysPoints),0)</f>
        <v>#REF!</v>
      </c>
      <c r="S456" s="282" t="str">
        <f>IF($AJ456&gt;0,RANK($AJ456,GirlsPoints),0)</f>
        <v>#REF!</v>
      </c>
      <c r="T456" s="283">
        <f>IF($O456&gt;0,RANK(O456,AthletePoints),0)</f>
        <v>0</v>
      </c>
      <c r="U456" s="210"/>
      <c r="V456" s="415" t="str">
        <f>IF(O456&gt;=40,IF(X456="M",VLOOKUP(O456,UKABoysAwards,2),IF(X456="F",VLOOKUP(O456,UKAGirlsAwards,2),"")),"")</f>
        <v/>
      </c>
      <c r="W456" s="210"/>
      <c r="X456" s="266" t="str">
        <f t="array" ref="X456:X457">INDEX(DB,$B456,4)</f>
        <v>#REF!</v>
      </c>
      <c r="Y456" s="210"/>
      <c r="Z456" s="285" t="str">
        <f t="shared" si="3"/>
        <v>#REF!</v>
      </c>
      <c r="AA456" s="286" t="str">
        <f>IF($Z456&gt;=1,RANK($Z456,$Z453:$Z468),0)</f>
        <v>#REF!</v>
      </c>
      <c r="AB456" s="287" t="str">
        <f>IF(AA456&lt;=MaxS,INT(Z456),0)</f>
        <v>#REF!</v>
      </c>
      <c r="AC456" s="210"/>
      <c r="AD456" s="285" t="str">
        <f t="shared" si="4"/>
        <v>#REF!</v>
      </c>
      <c r="AE456" s="286" t="str">
        <f>IF($AD456&gt;=1,RANK($AD456,$AD453:$AD468),0)</f>
        <v>#REF!</v>
      </c>
      <c r="AF456" s="287" t="str">
        <f>IF(AE456&lt;=MaxS,INT(AD456),0)</f>
        <v>#REF!</v>
      </c>
      <c r="AG456" s="210"/>
      <c r="AH456" s="210"/>
      <c r="AI456" s="288" t="str">
        <f t="shared" si="5"/>
        <v>#REF!</v>
      </c>
      <c r="AJ456" s="289" t="str">
        <f t="shared" si="6"/>
        <v>#REF!</v>
      </c>
    </row>
    <row r="457" ht="15.0" customHeight="1">
      <c r="A457" s="272"/>
      <c r="B457" s="250">
        <f>IF(OR(ISNA(MATCH(C457&amp;"",AthleteNumbers,0)),ISBLANK(C457)),0,MATCH(C457&amp;"",AthleteNumbers,0))</f>
        <v>0</v>
      </c>
      <c r="C457" s="413"/>
      <c r="D457" s="273" t="str">
        <f t="array" ref="D457">IF($B457&gt;0,INDEX(DB,$B457,8),"")</f>
        <v/>
      </c>
      <c r="E457" s="274" t="str">
        <f t="array" ref="E457">IF($B457&gt;0,INDEX(DB,$B457,3),"")</f>
        <v/>
      </c>
      <c r="F457" s="275">
        <f t="array" ref="F457">IF($B457&gt;0,INDEX(DB,$B457,13),0)</f>
        <v>0</v>
      </c>
      <c r="G457" s="276">
        <f t="array" ref="G457">IF($B457&gt;0,INDEX(DB,$B457,17),0)</f>
        <v>0</v>
      </c>
      <c r="H457" s="277">
        <f t="array" ref="H457">IF($B457&gt;0,INDEX(DB,$B457,15),0)</f>
        <v>0</v>
      </c>
      <c r="I457" s="276">
        <f t="array" ref="I457">IF($B457&gt;0,INDEX(DB,$B457,19),0)</f>
        <v>0</v>
      </c>
      <c r="J457" s="277">
        <f t="array" ref="J457">IF($B457&gt;0,INDEX(DB,$B457,14),0)</f>
        <v>0</v>
      </c>
      <c r="K457" s="276">
        <f t="array" ref="K457">IF($B457&gt;0,INDEX(DB,$B457,18),0)</f>
        <v>0</v>
      </c>
      <c r="L457" s="275">
        <f t="array" ref="L457">IF($B457&gt;0,INDEX(DB,$B457,16),0)</f>
        <v>0</v>
      </c>
      <c r="M457" s="276">
        <f t="array" ref="M457">IF($B457&gt;0,INDEX(DB,$B457,20),0)</f>
        <v>0</v>
      </c>
      <c r="N457" s="278"/>
      <c r="O457" s="279">
        <f t="shared" si="1"/>
        <v>0</v>
      </c>
      <c r="P457" s="280"/>
      <c r="Q457" s="261" t="str">
        <f t="shared" si="2"/>
        <v>#REF!</v>
      </c>
      <c r="R457" s="290" t="str">
        <f>IF($AI457&gt;0,RANK($AI457,BoysPoints),0)</f>
        <v>#REF!</v>
      </c>
      <c r="S457" s="291" t="str">
        <f>IF($AJ457&gt;0,RANK($AJ457,GirlsPoints),0)</f>
        <v>#REF!</v>
      </c>
      <c r="T457" s="292">
        <f>IF($O457&gt;0,RANK(O457,AthletePoints),0)</f>
        <v>0</v>
      </c>
      <c r="U457" s="210"/>
      <c r="V457" s="330" t="str">
        <f>IF(O457&gt;=40,IF(X457="M",VLOOKUP(O457,UKABoysAwards,2),IF(X457="F",VLOOKUP(O457,UKAGirlsAwards,2),"")),"")</f>
        <v/>
      </c>
      <c r="W457" s="210"/>
      <c r="X457" s="266" t="str">
        <f t="array" ref="X457:X458">INDEX(DB,$B457,4)</f>
        <v>#REF!</v>
      </c>
      <c r="Y457" s="210"/>
      <c r="Z457" s="285" t="str">
        <f t="shared" si="3"/>
        <v>#REF!</v>
      </c>
      <c r="AA457" s="286" t="str">
        <f>IF($Z457&gt;=1,RANK($Z457,$Z453:$Z468),0)</f>
        <v>#REF!</v>
      </c>
      <c r="AB457" s="287" t="str">
        <f>IF(AA457&lt;=MaxS,INT(Z457),0)</f>
        <v>#REF!</v>
      </c>
      <c r="AC457" s="210"/>
      <c r="AD457" s="285" t="str">
        <f t="shared" si="4"/>
        <v>#REF!</v>
      </c>
      <c r="AE457" s="286" t="str">
        <f>IF($AD457&gt;=1,RANK($AD457,$AD453:$AD468),0)</f>
        <v>#REF!</v>
      </c>
      <c r="AF457" s="287" t="str">
        <f>IF(AE457&lt;=MaxS,INT(AD457),0)</f>
        <v>#REF!</v>
      </c>
      <c r="AG457" s="210"/>
      <c r="AH457" s="210"/>
      <c r="AI457" s="288" t="str">
        <f t="shared" si="5"/>
        <v>#REF!</v>
      </c>
      <c r="AJ457" s="289" t="str">
        <f t="shared" si="6"/>
        <v>#REF!</v>
      </c>
    </row>
    <row r="458" ht="15.0" customHeight="1">
      <c r="A458" s="272"/>
      <c r="B458" s="250">
        <f>IF(OR(ISNA(MATCH(C458&amp;"",AthleteNumbers,0)),ISBLANK(C458)),0,MATCH(C458&amp;"",AthleteNumbers,0))</f>
        <v>0</v>
      </c>
      <c r="C458" s="413"/>
      <c r="D458" s="273" t="str">
        <f t="array" ref="D458">IF($B458&gt;0,INDEX(DB,$B458,8),"")</f>
        <v/>
      </c>
      <c r="E458" s="274" t="str">
        <f t="array" ref="E458">IF($B458&gt;0,INDEX(DB,$B458,3),"")</f>
        <v/>
      </c>
      <c r="F458" s="275">
        <f t="array" ref="F458">IF($B458&gt;0,INDEX(DB,$B458,13),0)</f>
        <v>0</v>
      </c>
      <c r="G458" s="276">
        <f t="array" ref="G458">IF($B458&gt;0,INDEX(DB,$B458,17),0)</f>
        <v>0</v>
      </c>
      <c r="H458" s="277">
        <f t="array" ref="H458">IF($B458&gt;0,INDEX(DB,$B458,15),0)</f>
        <v>0</v>
      </c>
      <c r="I458" s="276">
        <f t="array" ref="I458">IF($B458&gt;0,INDEX(DB,$B458,19),0)</f>
        <v>0</v>
      </c>
      <c r="J458" s="277">
        <f t="array" ref="J458">IF($B458&gt;0,INDEX(DB,$B458,14),0)</f>
        <v>0</v>
      </c>
      <c r="K458" s="276">
        <f t="array" ref="K458">IF($B458&gt;0,INDEX(DB,$B458,18),0)</f>
        <v>0</v>
      </c>
      <c r="L458" s="275">
        <f t="array" ref="L458">IF($B458&gt;0,INDEX(DB,$B458,16),0)</f>
        <v>0</v>
      </c>
      <c r="M458" s="276">
        <f t="array" ref="M458">IF($B458&gt;0,INDEX(DB,$B458,20),0)</f>
        <v>0</v>
      </c>
      <c r="N458" s="278"/>
      <c r="O458" s="279">
        <f t="shared" si="1"/>
        <v>0</v>
      </c>
      <c r="P458" s="280"/>
      <c r="Q458" s="261" t="str">
        <f t="shared" si="2"/>
        <v>#REF!</v>
      </c>
      <c r="R458" s="281" t="str">
        <f>IF($AI458&gt;0,RANK($AI458,BoysPoints),0)</f>
        <v>#REF!</v>
      </c>
      <c r="S458" s="282" t="str">
        <f>IF($AJ458&gt;0,RANK($AJ458,GirlsPoints),0)</f>
        <v>#REF!</v>
      </c>
      <c r="T458" s="283">
        <f>IF($O458&gt;0,RANK(O458,AthletePoints),0)</f>
        <v>0</v>
      </c>
      <c r="U458" s="210"/>
      <c r="V458" s="415" t="str">
        <f>IF(O458&gt;=40,IF(X458="M",VLOOKUP(O458,UKABoysAwards,2),IF(X458="F",VLOOKUP(O458,UKAGirlsAwards,2),"")),"")</f>
        <v/>
      </c>
      <c r="W458" s="210"/>
      <c r="X458" s="266" t="str">
        <f t="array" ref="X458:X459">INDEX(DB,$B458,4)</f>
        <v>#REF!</v>
      </c>
      <c r="Y458" s="210"/>
      <c r="Z458" s="285" t="str">
        <f t="shared" si="3"/>
        <v>#REF!</v>
      </c>
      <c r="AA458" s="286" t="str">
        <f>IF($Z458&gt;=1,RANK($Z458,$Z453:$Z468),0)</f>
        <v>#REF!</v>
      </c>
      <c r="AB458" s="287" t="str">
        <f>IF(AA458&lt;=MaxS,INT(Z458),0)</f>
        <v>#REF!</v>
      </c>
      <c r="AC458" s="210"/>
      <c r="AD458" s="285" t="str">
        <f t="shared" si="4"/>
        <v>#REF!</v>
      </c>
      <c r="AE458" s="286" t="str">
        <f>IF($AD458&gt;=1,RANK($AD458,$AD453:$AD468),0)</f>
        <v>#REF!</v>
      </c>
      <c r="AF458" s="287" t="str">
        <f>IF(AE458&lt;=MaxS,INT(AD458),0)</f>
        <v>#REF!</v>
      </c>
      <c r="AG458" s="210"/>
      <c r="AH458" s="210"/>
      <c r="AI458" s="288" t="str">
        <f t="shared" si="5"/>
        <v>#REF!</v>
      </c>
      <c r="AJ458" s="289" t="str">
        <f t="shared" si="6"/>
        <v>#REF!</v>
      </c>
    </row>
    <row r="459" ht="15.0" customHeight="1">
      <c r="A459" s="272"/>
      <c r="B459" s="250">
        <f>IF(OR(ISNA(MATCH(C459&amp;"",AthleteNumbers,0)),ISBLANK(C459)),0,MATCH(C459&amp;"",AthleteNumbers,0))</f>
        <v>0</v>
      </c>
      <c r="C459" s="413"/>
      <c r="D459" s="273" t="str">
        <f t="array" ref="D459">IF($B459&gt;0,INDEX(DB,$B459,8),"")</f>
        <v/>
      </c>
      <c r="E459" s="274" t="str">
        <f t="array" ref="E459">IF($B459&gt;0,INDEX(DB,$B459,3),"")</f>
        <v/>
      </c>
      <c r="F459" s="275">
        <f t="array" ref="F459">IF($B459&gt;0,INDEX(DB,$B459,13),0)</f>
        <v>0</v>
      </c>
      <c r="G459" s="276">
        <f t="array" ref="G459">IF($B459&gt;0,INDEX(DB,$B459,17),0)</f>
        <v>0</v>
      </c>
      <c r="H459" s="277">
        <f t="array" ref="H459">IF($B459&gt;0,INDEX(DB,$B459,15),0)</f>
        <v>0</v>
      </c>
      <c r="I459" s="276">
        <f t="array" ref="I459">IF($B459&gt;0,INDEX(DB,$B459,19),0)</f>
        <v>0</v>
      </c>
      <c r="J459" s="277">
        <f t="array" ref="J459">IF($B459&gt;0,INDEX(DB,$B459,14),0)</f>
        <v>0</v>
      </c>
      <c r="K459" s="276">
        <f t="array" ref="K459">IF($B459&gt;0,INDEX(DB,$B459,18),0)</f>
        <v>0</v>
      </c>
      <c r="L459" s="275">
        <f t="array" ref="L459">IF($B459&gt;0,INDEX(DB,$B459,16),0)</f>
        <v>0</v>
      </c>
      <c r="M459" s="276">
        <f t="array" ref="M459">IF($B459&gt;0,INDEX(DB,$B459,20),0)</f>
        <v>0</v>
      </c>
      <c r="N459" s="278"/>
      <c r="O459" s="279">
        <f t="shared" si="1"/>
        <v>0</v>
      </c>
      <c r="P459" s="280"/>
      <c r="Q459" s="261" t="str">
        <f t="shared" si="2"/>
        <v>#REF!</v>
      </c>
      <c r="R459" s="290" t="str">
        <f>IF($AI459&gt;0,RANK($AI459,BoysPoints),0)</f>
        <v>#REF!</v>
      </c>
      <c r="S459" s="291" t="str">
        <f>IF($AJ459&gt;0,RANK($AJ459,GirlsPoints),0)</f>
        <v>#REF!</v>
      </c>
      <c r="T459" s="292">
        <f>IF($O459&gt;0,RANK(O459,AthletePoints),0)</f>
        <v>0</v>
      </c>
      <c r="U459" s="210"/>
      <c r="V459" s="330" t="str">
        <f>IF(O459&gt;=40,IF(X459="M",VLOOKUP(O459,UKABoysAwards,2),IF(X459="F",VLOOKUP(O459,UKAGirlsAwards,2),"")),"")</f>
        <v/>
      </c>
      <c r="W459" s="210"/>
      <c r="X459" s="266" t="str">
        <f t="array" ref="X459:X460">INDEX(DB,$B459,4)</f>
        <v>#REF!</v>
      </c>
      <c r="Y459" s="210"/>
      <c r="Z459" s="285" t="str">
        <f t="shared" si="3"/>
        <v>#REF!</v>
      </c>
      <c r="AA459" s="286" t="str">
        <f>IF($Z459&gt;=1,RANK($Z459,$Z453:$Z468),0)</f>
        <v>#REF!</v>
      </c>
      <c r="AB459" s="287" t="str">
        <f>IF(AA459&lt;=MaxS,INT(Z459),0)</f>
        <v>#REF!</v>
      </c>
      <c r="AC459" s="210"/>
      <c r="AD459" s="285" t="str">
        <f t="shared" si="4"/>
        <v>#REF!</v>
      </c>
      <c r="AE459" s="286" t="str">
        <f>IF($AD459&gt;=1,RANK($AD459,$AD453:$AD468),0)</f>
        <v>#REF!</v>
      </c>
      <c r="AF459" s="287" t="str">
        <f>IF(AE459&lt;=MaxS,INT(AD459),0)</f>
        <v>#REF!</v>
      </c>
      <c r="AG459" s="210"/>
      <c r="AH459" s="210"/>
      <c r="AI459" s="288" t="str">
        <f t="shared" si="5"/>
        <v>#REF!</v>
      </c>
      <c r="AJ459" s="289" t="str">
        <f t="shared" si="6"/>
        <v>#REF!</v>
      </c>
    </row>
    <row r="460" ht="15.0" customHeight="1">
      <c r="A460" s="272"/>
      <c r="B460" s="250">
        <f>IF(OR(ISNA(MATCH(C460&amp;"",AthleteNumbers,0)),ISBLANK(C460)),0,MATCH(C460&amp;"",AthleteNumbers,0))</f>
        <v>0</v>
      </c>
      <c r="C460" s="413"/>
      <c r="D460" s="273" t="str">
        <f t="array" ref="D460">IF($B460&gt;0,INDEX(DB,$B460,8),"")</f>
        <v/>
      </c>
      <c r="E460" s="274" t="str">
        <f t="array" ref="E460">IF($B460&gt;0,INDEX(DB,$B460,3),"")</f>
        <v/>
      </c>
      <c r="F460" s="275">
        <f t="array" ref="F460">IF($B460&gt;0,INDEX(DB,$B460,13),0)</f>
        <v>0</v>
      </c>
      <c r="G460" s="276">
        <f t="array" ref="G460">IF($B460&gt;0,INDEX(DB,$B460,17),0)</f>
        <v>0</v>
      </c>
      <c r="H460" s="277">
        <f t="array" ref="H460">IF($B460&gt;0,INDEX(DB,$B460,15),0)</f>
        <v>0</v>
      </c>
      <c r="I460" s="276">
        <f t="array" ref="I460">IF($B460&gt;0,INDEX(DB,$B460,19),0)</f>
        <v>0</v>
      </c>
      <c r="J460" s="277">
        <f t="array" ref="J460">IF($B460&gt;0,INDEX(DB,$B460,14),0)</f>
        <v>0</v>
      </c>
      <c r="K460" s="276">
        <f t="array" ref="K460">IF($B460&gt;0,INDEX(DB,$B460,18),0)</f>
        <v>0</v>
      </c>
      <c r="L460" s="275">
        <f t="array" ref="L460">IF($B460&gt;0,INDEX(DB,$B460,16),0)</f>
        <v>0</v>
      </c>
      <c r="M460" s="276">
        <f t="array" ref="M460">IF($B460&gt;0,INDEX(DB,$B460,20),0)</f>
        <v>0</v>
      </c>
      <c r="N460" s="278"/>
      <c r="O460" s="279">
        <f t="shared" si="1"/>
        <v>0</v>
      </c>
      <c r="P460" s="280"/>
      <c r="Q460" s="261" t="str">
        <f t="shared" si="2"/>
        <v>#REF!</v>
      </c>
      <c r="R460" s="281" t="str">
        <f>IF($AI460&gt;0,RANK($AI460,BoysPoints),0)</f>
        <v>#REF!</v>
      </c>
      <c r="S460" s="282" t="str">
        <f>IF($AJ460&gt;0,RANK($AJ460,GirlsPoints),0)</f>
        <v>#REF!</v>
      </c>
      <c r="T460" s="283">
        <f>IF($O460&gt;0,RANK(O460,AthletePoints),0)</f>
        <v>0</v>
      </c>
      <c r="U460" s="210"/>
      <c r="V460" s="415" t="str">
        <f>IF(O460&gt;=40,IF(X460="M",VLOOKUP(O460,UKABoysAwards,2),IF(X460="F",VLOOKUP(O460,UKAGirlsAwards,2),"")),"")</f>
        <v/>
      </c>
      <c r="W460" s="210"/>
      <c r="X460" s="266" t="str">
        <f t="array" ref="X460:X461">INDEX(DB,$B460,4)</f>
        <v>#REF!</v>
      </c>
      <c r="Y460" s="210"/>
      <c r="Z460" s="285" t="str">
        <f t="shared" si="3"/>
        <v>#REF!</v>
      </c>
      <c r="AA460" s="286" t="str">
        <f>IF($Z460&gt;=1,RANK($Z460,$Z453:$Z468),0)</f>
        <v>#REF!</v>
      </c>
      <c r="AB460" s="287" t="str">
        <f>IF(AA460&lt;=MaxS,INT(Z460),0)</f>
        <v>#REF!</v>
      </c>
      <c r="AC460" s="210"/>
      <c r="AD460" s="285" t="str">
        <f t="shared" si="4"/>
        <v>#REF!</v>
      </c>
      <c r="AE460" s="286" t="str">
        <f>IF($AD460&gt;=1,RANK($AD460,$AD453:$AD468),0)</f>
        <v>#REF!</v>
      </c>
      <c r="AF460" s="287" t="str">
        <f>IF(AE460&lt;=MaxS,INT(AD460),0)</f>
        <v>#REF!</v>
      </c>
      <c r="AG460" s="210"/>
      <c r="AH460" s="210"/>
      <c r="AI460" s="288" t="str">
        <f t="shared" si="5"/>
        <v>#REF!</v>
      </c>
      <c r="AJ460" s="289" t="str">
        <f t="shared" si="6"/>
        <v>#REF!</v>
      </c>
    </row>
    <row r="461" ht="15.0" customHeight="1">
      <c r="A461" s="272"/>
      <c r="B461" s="250">
        <f>IF(OR(ISNA(MATCH(C461&amp;"",AthleteNumbers,0)),ISBLANK(C461)),0,MATCH(C461&amp;"",AthleteNumbers,0))</f>
        <v>0</v>
      </c>
      <c r="C461" s="413"/>
      <c r="D461" s="273" t="str">
        <f t="array" ref="D461">IF($B461&gt;0,INDEX(DB,$B461,8),"")</f>
        <v/>
      </c>
      <c r="E461" s="274" t="str">
        <f t="array" ref="E461">IF($B461&gt;0,INDEX(DB,$B461,3),"")</f>
        <v/>
      </c>
      <c r="F461" s="275">
        <f t="array" ref="F461">IF($B461&gt;0,INDEX(DB,$B461,13),0)</f>
        <v>0</v>
      </c>
      <c r="G461" s="276">
        <f t="array" ref="G461">IF($B461&gt;0,INDEX(DB,$B461,17),0)</f>
        <v>0</v>
      </c>
      <c r="H461" s="277">
        <f t="array" ref="H461">IF($B461&gt;0,INDEX(DB,$B461,15),0)</f>
        <v>0</v>
      </c>
      <c r="I461" s="276">
        <f t="array" ref="I461">IF($B461&gt;0,INDEX(DB,$B461,19),0)</f>
        <v>0</v>
      </c>
      <c r="J461" s="277">
        <f t="array" ref="J461">IF($B461&gt;0,INDEX(DB,$B461,14),0)</f>
        <v>0</v>
      </c>
      <c r="K461" s="276">
        <f t="array" ref="K461">IF($B461&gt;0,INDEX(DB,$B461,18),0)</f>
        <v>0</v>
      </c>
      <c r="L461" s="275">
        <f t="array" ref="L461">IF($B461&gt;0,INDEX(DB,$B461,16),0)</f>
        <v>0</v>
      </c>
      <c r="M461" s="276">
        <f t="array" ref="M461">IF($B461&gt;0,INDEX(DB,$B461,20),0)</f>
        <v>0</v>
      </c>
      <c r="N461" s="278"/>
      <c r="O461" s="279">
        <f t="shared" si="1"/>
        <v>0</v>
      </c>
      <c r="P461" s="280"/>
      <c r="Q461" s="261" t="str">
        <f t="shared" si="2"/>
        <v>#REF!</v>
      </c>
      <c r="R461" s="290" t="str">
        <f>IF($AI461&gt;0,RANK($AI461,BoysPoints),0)</f>
        <v>#REF!</v>
      </c>
      <c r="S461" s="291" t="str">
        <f>IF($AJ461&gt;0,RANK($AJ461,GirlsPoints),0)</f>
        <v>#REF!</v>
      </c>
      <c r="T461" s="292">
        <f>IF($O461&gt;0,RANK(O461,AthletePoints),0)</f>
        <v>0</v>
      </c>
      <c r="U461" s="210"/>
      <c r="V461" s="330" t="str">
        <f>IF(O461&gt;=40,IF(X461="M",VLOOKUP(O461,UKABoysAwards,2),IF(X461="F",VLOOKUP(O461,UKAGirlsAwards,2),"")),"")</f>
        <v/>
      </c>
      <c r="W461" s="210"/>
      <c r="X461" s="266" t="str">
        <f t="array" ref="X461:X462">INDEX(DB,$B461,4)</f>
        <v>#REF!</v>
      </c>
      <c r="Y461" s="210"/>
      <c r="Z461" s="285" t="str">
        <f t="shared" si="3"/>
        <v>#REF!</v>
      </c>
      <c r="AA461" s="286" t="str">
        <f>IF($Z461&gt;=1,RANK($Z461,$Z453:$Z468),0)</f>
        <v>#REF!</v>
      </c>
      <c r="AB461" s="287" t="str">
        <f>IF(AA461&lt;=MaxS,INT(Z461),0)</f>
        <v>#REF!</v>
      </c>
      <c r="AC461" s="210"/>
      <c r="AD461" s="285" t="str">
        <f t="shared" si="4"/>
        <v>#REF!</v>
      </c>
      <c r="AE461" s="286" t="str">
        <f>IF($AD461&gt;=1,RANK($AD461,$AD453:$AD468),0)</f>
        <v>#REF!</v>
      </c>
      <c r="AF461" s="287" t="str">
        <f>IF(AE461&lt;=MaxS,INT(AD461),0)</f>
        <v>#REF!</v>
      </c>
      <c r="AG461" s="210"/>
      <c r="AH461" s="210"/>
      <c r="AI461" s="288" t="str">
        <f t="shared" si="5"/>
        <v>#REF!</v>
      </c>
      <c r="AJ461" s="289" t="str">
        <f t="shared" si="6"/>
        <v>#REF!</v>
      </c>
    </row>
    <row r="462" ht="15.0" customHeight="1">
      <c r="A462" s="272"/>
      <c r="B462" s="250">
        <f>IF(OR(ISNA(MATCH(C462&amp;"",AthleteNumbers,0)),ISBLANK(C462)),0,MATCH(C462&amp;"",AthleteNumbers,0))</f>
        <v>0</v>
      </c>
      <c r="C462" s="413"/>
      <c r="D462" s="273" t="str">
        <f t="array" ref="D462">IF($B462&gt;0,INDEX(DB,$B462,8),"")</f>
        <v/>
      </c>
      <c r="E462" s="274" t="str">
        <f t="array" ref="E462">IF($B462&gt;0,INDEX(DB,$B462,3),"")</f>
        <v/>
      </c>
      <c r="F462" s="275">
        <f t="array" ref="F462">IF($B462&gt;0,INDEX(DB,$B462,13),0)</f>
        <v>0</v>
      </c>
      <c r="G462" s="276">
        <f t="array" ref="G462">IF($B462&gt;0,INDEX(DB,$B462,17),0)</f>
        <v>0</v>
      </c>
      <c r="H462" s="277">
        <f t="array" ref="H462">IF($B462&gt;0,INDEX(DB,$B462,15),0)</f>
        <v>0</v>
      </c>
      <c r="I462" s="276">
        <f t="array" ref="I462">IF($B462&gt;0,INDEX(DB,$B462,19),0)</f>
        <v>0</v>
      </c>
      <c r="J462" s="277">
        <f t="array" ref="J462">IF($B462&gt;0,INDEX(DB,$B462,14),0)</f>
        <v>0</v>
      </c>
      <c r="K462" s="276">
        <f t="array" ref="K462">IF($B462&gt;0,INDEX(DB,$B462,18),0)</f>
        <v>0</v>
      </c>
      <c r="L462" s="275">
        <f t="array" ref="L462">IF($B462&gt;0,INDEX(DB,$B462,16),0)</f>
        <v>0</v>
      </c>
      <c r="M462" s="276">
        <f t="array" ref="M462">IF($B462&gt;0,INDEX(DB,$B462,20),0)</f>
        <v>0</v>
      </c>
      <c r="N462" s="278"/>
      <c r="O462" s="279">
        <f t="shared" si="1"/>
        <v>0</v>
      </c>
      <c r="P462" s="280"/>
      <c r="Q462" s="261" t="str">
        <f t="shared" si="2"/>
        <v>#REF!</v>
      </c>
      <c r="R462" s="281" t="str">
        <f>IF($AI462&gt;0,RANK($AI462,BoysPoints),0)</f>
        <v>#REF!</v>
      </c>
      <c r="S462" s="282" t="str">
        <f>IF($AJ462&gt;0,RANK($AJ462,GirlsPoints),0)</f>
        <v>#REF!</v>
      </c>
      <c r="T462" s="283">
        <f>IF($O462&gt;0,RANK(O462,AthletePoints),0)</f>
        <v>0</v>
      </c>
      <c r="U462" s="210"/>
      <c r="V462" s="415" t="str">
        <f>IF(O462&gt;=40,IF(X462="M",VLOOKUP(O462,UKABoysAwards,2),IF(X462="F",VLOOKUP(O462,UKAGirlsAwards,2),"")),"")</f>
        <v/>
      </c>
      <c r="W462" s="210"/>
      <c r="X462" s="266" t="str">
        <f t="array" ref="X462:X463">INDEX(DB,$B462,4)</f>
        <v>#REF!</v>
      </c>
      <c r="Y462" s="210"/>
      <c r="Z462" s="285" t="str">
        <f t="shared" si="3"/>
        <v>#REF!</v>
      </c>
      <c r="AA462" s="286" t="str">
        <f>IF($Z462&gt;=1,RANK($Z462,$Z453:$Z468),0)</f>
        <v>#REF!</v>
      </c>
      <c r="AB462" s="287" t="str">
        <f>IF(AA462&lt;=MaxS,INT(Z462),0)</f>
        <v>#REF!</v>
      </c>
      <c r="AC462" s="210"/>
      <c r="AD462" s="285" t="str">
        <f t="shared" si="4"/>
        <v>#REF!</v>
      </c>
      <c r="AE462" s="286" t="str">
        <f>IF($AD462&gt;=1,RANK($AD462,$AD453:$AD468),0)</f>
        <v>#REF!</v>
      </c>
      <c r="AF462" s="287" t="str">
        <f>IF(AE462&lt;=MaxS,INT(AD462),0)</f>
        <v>#REF!</v>
      </c>
      <c r="AG462" s="210"/>
      <c r="AH462" s="210"/>
      <c r="AI462" s="288" t="str">
        <f t="shared" si="5"/>
        <v>#REF!</v>
      </c>
      <c r="AJ462" s="289" t="str">
        <f t="shared" si="6"/>
        <v>#REF!</v>
      </c>
    </row>
    <row r="463" ht="15.0" customHeight="1">
      <c r="A463" s="272"/>
      <c r="B463" s="250">
        <f>IF(OR(ISNA(MATCH(C463&amp;"",AthleteNumbers,0)),ISBLANK(C463)),0,MATCH(C463&amp;"",AthleteNumbers,0))</f>
        <v>0</v>
      </c>
      <c r="C463" s="413"/>
      <c r="D463" s="273" t="str">
        <f t="array" ref="D463">IF($B463&gt;0,INDEX(DB,$B463,8),"")</f>
        <v/>
      </c>
      <c r="E463" s="274" t="str">
        <f t="array" ref="E463">IF($B463&gt;0,INDEX(DB,$B463,3),"")</f>
        <v/>
      </c>
      <c r="F463" s="275">
        <f t="array" ref="F463">IF($B463&gt;0,INDEX(DB,$B463,13),0)</f>
        <v>0</v>
      </c>
      <c r="G463" s="276">
        <f t="array" ref="G463">IF($B463&gt;0,INDEX(DB,$B463,17),0)</f>
        <v>0</v>
      </c>
      <c r="H463" s="277">
        <f t="array" ref="H463">IF($B463&gt;0,INDEX(DB,$B463,15),0)</f>
        <v>0</v>
      </c>
      <c r="I463" s="276">
        <f t="array" ref="I463">IF($B463&gt;0,INDEX(DB,$B463,19),0)</f>
        <v>0</v>
      </c>
      <c r="J463" s="277">
        <f t="array" ref="J463">IF($B463&gt;0,INDEX(DB,$B463,14),0)</f>
        <v>0</v>
      </c>
      <c r="K463" s="276">
        <f t="array" ref="K463">IF($B463&gt;0,INDEX(DB,$B463,18),0)</f>
        <v>0</v>
      </c>
      <c r="L463" s="275">
        <f t="array" ref="L463">IF($B463&gt;0,INDEX(DB,$B463,16),0)</f>
        <v>0</v>
      </c>
      <c r="M463" s="276">
        <f t="array" ref="M463">IF($B463&gt;0,INDEX(DB,$B463,20),0)</f>
        <v>0</v>
      </c>
      <c r="N463" s="278"/>
      <c r="O463" s="279">
        <f t="shared" si="1"/>
        <v>0</v>
      </c>
      <c r="P463" s="280"/>
      <c r="Q463" s="261" t="str">
        <f t="shared" si="2"/>
        <v>#REF!</v>
      </c>
      <c r="R463" s="290" t="str">
        <f>IF($AI463&gt;0,RANK($AI463,BoysPoints),0)</f>
        <v>#REF!</v>
      </c>
      <c r="S463" s="291" t="str">
        <f>IF($AJ463&gt;0,RANK($AJ463,GirlsPoints),0)</f>
        <v>#REF!</v>
      </c>
      <c r="T463" s="292">
        <f>IF($O463&gt;0,RANK(O463,AthletePoints),0)</f>
        <v>0</v>
      </c>
      <c r="U463" s="210"/>
      <c r="V463" s="330" t="str">
        <f>IF(O463&gt;=40,IF(X463="M",VLOOKUP(O463,UKABoysAwards,2),IF(X463="F",VLOOKUP(O463,UKAGirlsAwards,2),"")),"")</f>
        <v/>
      </c>
      <c r="W463" s="210"/>
      <c r="X463" s="266" t="str">
        <f t="array" ref="X463:X464">INDEX(DB,$B463,4)</f>
        <v>#REF!</v>
      </c>
      <c r="Y463" s="210"/>
      <c r="Z463" s="285" t="str">
        <f t="shared" si="3"/>
        <v>#REF!</v>
      </c>
      <c r="AA463" s="286" t="str">
        <f>IF($Z463&gt;=1,RANK($Z463,$Z453:$Z468),0)</f>
        <v>#REF!</v>
      </c>
      <c r="AB463" s="287" t="str">
        <f>IF(AA463&lt;=MaxS,INT(Z463),0)</f>
        <v>#REF!</v>
      </c>
      <c r="AC463" s="210"/>
      <c r="AD463" s="285" t="str">
        <f t="shared" si="4"/>
        <v>#REF!</v>
      </c>
      <c r="AE463" s="286" t="str">
        <f>IF($AD463&gt;=1,RANK($AD463,$AD453:$AD468),0)</f>
        <v>#REF!</v>
      </c>
      <c r="AF463" s="287" t="str">
        <f>IF(AE463&lt;=MaxS,INT(AD463),0)</f>
        <v>#REF!</v>
      </c>
      <c r="AG463" s="210"/>
      <c r="AH463" s="210"/>
      <c r="AI463" s="288" t="str">
        <f t="shared" si="5"/>
        <v>#REF!</v>
      </c>
      <c r="AJ463" s="289" t="str">
        <f t="shared" si="6"/>
        <v>#REF!</v>
      </c>
    </row>
    <row r="464" ht="15.0" customHeight="1">
      <c r="A464" s="272"/>
      <c r="B464" s="250">
        <f>IF(OR(ISNA(MATCH(C464&amp;"",AthleteNumbers,0)),ISBLANK(C464)),0,MATCH(C464&amp;"",AthleteNumbers,0))</f>
        <v>0</v>
      </c>
      <c r="C464" s="413"/>
      <c r="D464" s="273" t="str">
        <f t="array" ref="D464">IF($B464&gt;0,INDEX(DB,$B464,8),"")</f>
        <v/>
      </c>
      <c r="E464" s="274" t="str">
        <f t="array" ref="E464">IF($B464&gt;0,INDEX(DB,$B464,3),"")</f>
        <v/>
      </c>
      <c r="F464" s="275">
        <f t="array" ref="F464">IF($B464&gt;0,INDEX(DB,$B464,13),0)</f>
        <v>0</v>
      </c>
      <c r="G464" s="276">
        <f t="array" ref="G464">IF($B464&gt;0,INDEX(DB,$B464,17),0)</f>
        <v>0</v>
      </c>
      <c r="H464" s="277">
        <f t="array" ref="H464">IF($B464&gt;0,INDEX(DB,$B464,15),0)</f>
        <v>0</v>
      </c>
      <c r="I464" s="276">
        <f t="array" ref="I464">IF($B464&gt;0,INDEX(DB,$B464,19),0)</f>
        <v>0</v>
      </c>
      <c r="J464" s="277">
        <f t="array" ref="J464">IF($B464&gt;0,INDEX(DB,$B464,14),0)</f>
        <v>0</v>
      </c>
      <c r="K464" s="276">
        <f t="array" ref="K464">IF($B464&gt;0,INDEX(DB,$B464,18),0)</f>
        <v>0</v>
      </c>
      <c r="L464" s="275">
        <f t="array" ref="L464">IF($B464&gt;0,INDEX(DB,$B464,16),0)</f>
        <v>0</v>
      </c>
      <c r="M464" s="276">
        <f t="array" ref="M464">IF($B464&gt;0,INDEX(DB,$B464,20),0)</f>
        <v>0</v>
      </c>
      <c r="N464" s="278"/>
      <c r="O464" s="279">
        <f t="shared" si="1"/>
        <v>0</v>
      </c>
      <c r="P464" s="280"/>
      <c r="Q464" s="261" t="str">
        <f t="shared" si="2"/>
        <v>#REF!</v>
      </c>
      <c r="R464" s="281" t="str">
        <f>IF($AI464&gt;0,RANK($AI464,BoysPoints),0)</f>
        <v>#REF!</v>
      </c>
      <c r="S464" s="282" t="str">
        <f>IF($AJ464&gt;0,RANK($AJ464,GirlsPoints),0)</f>
        <v>#REF!</v>
      </c>
      <c r="T464" s="283">
        <f>IF($O464&gt;0,RANK(O464,AthletePoints),0)</f>
        <v>0</v>
      </c>
      <c r="U464" s="210"/>
      <c r="V464" s="415" t="str">
        <f>IF(O464&gt;=40,IF(X464="M",VLOOKUP(O464,UKABoysAwards,2),IF(X464="F",VLOOKUP(O464,UKAGirlsAwards,2),"")),"")</f>
        <v/>
      </c>
      <c r="W464" s="210"/>
      <c r="X464" s="266" t="str">
        <f t="array" ref="X464:X465">INDEX(DB,$B464,4)</f>
        <v>#REF!</v>
      </c>
      <c r="Y464" s="210"/>
      <c r="Z464" s="285" t="str">
        <f t="shared" si="3"/>
        <v>#REF!</v>
      </c>
      <c r="AA464" s="286" t="str">
        <f>IF($Z464&gt;=1,RANK($Z464,$Z453:$Z468),0)</f>
        <v>#REF!</v>
      </c>
      <c r="AB464" s="287" t="str">
        <f>IF(AA464&lt;=MaxS,INT(Z464),0)</f>
        <v>#REF!</v>
      </c>
      <c r="AC464" s="210"/>
      <c r="AD464" s="285" t="str">
        <f t="shared" si="4"/>
        <v>#REF!</v>
      </c>
      <c r="AE464" s="286" t="str">
        <f>IF($AD464&gt;=1,RANK($AD464,$AD453:$AD468),0)</f>
        <v>#REF!</v>
      </c>
      <c r="AF464" s="287" t="str">
        <f>IF(AE464&lt;=MaxS,INT(AD464),0)</f>
        <v>#REF!</v>
      </c>
      <c r="AG464" s="210"/>
      <c r="AH464" s="210"/>
      <c r="AI464" s="288" t="str">
        <f t="shared" si="5"/>
        <v>#REF!</v>
      </c>
      <c r="AJ464" s="289" t="str">
        <f t="shared" si="6"/>
        <v>#REF!</v>
      </c>
    </row>
    <row r="465" ht="15.0" customHeight="1">
      <c r="A465" s="272"/>
      <c r="B465" s="250">
        <f>IF(OR(ISNA(MATCH(C465&amp;"",AthleteNumbers,0)),ISBLANK(C465)),0,MATCH(C465&amp;"",AthleteNumbers,0))</f>
        <v>0</v>
      </c>
      <c r="C465" s="413"/>
      <c r="D465" s="273" t="str">
        <f t="array" ref="D465">IF($B465&gt;0,INDEX(DB,$B465,8),"")</f>
        <v/>
      </c>
      <c r="E465" s="274" t="str">
        <f t="array" ref="E465">IF($B465&gt;0,INDEX(DB,$B465,3),"")</f>
        <v/>
      </c>
      <c r="F465" s="275">
        <f t="array" ref="F465">IF($B465&gt;0,INDEX(DB,$B465,13),0)</f>
        <v>0</v>
      </c>
      <c r="G465" s="276">
        <f t="array" ref="G465">IF($B465&gt;0,INDEX(DB,$B465,17),0)</f>
        <v>0</v>
      </c>
      <c r="H465" s="277">
        <f t="array" ref="H465">IF($B465&gt;0,INDEX(DB,$B465,15),0)</f>
        <v>0</v>
      </c>
      <c r="I465" s="276">
        <f t="array" ref="I465">IF($B465&gt;0,INDEX(DB,$B465,19),0)</f>
        <v>0</v>
      </c>
      <c r="J465" s="277">
        <f t="array" ref="J465">IF($B465&gt;0,INDEX(DB,$B465,14),0)</f>
        <v>0</v>
      </c>
      <c r="K465" s="276">
        <f t="array" ref="K465">IF($B465&gt;0,INDEX(DB,$B465,18),0)</f>
        <v>0</v>
      </c>
      <c r="L465" s="275">
        <f t="array" ref="L465">IF($B465&gt;0,INDEX(DB,$B465,16),0)</f>
        <v>0</v>
      </c>
      <c r="M465" s="276">
        <f t="array" ref="M465">IF($B465&gt;0,INDEX(DB,$B465,20),0)</f>
        <v>0</v>
      </c>
      <c r="N465" s="278"/>
      <c r="O465" s="279">
        <f t="shared" si="1"/>
        <v>0</v>
      </c>
      <c r="P465" s="280"/>
      <c r="Q465" s="261" t="str">
        <f t="shared" si="2"/>
        <v>#REF!</v>
      </c>
      <c r="R465" s="290" t="str">
        <f>IF($AI465&gt;0,RANK($AI465,BoysPoints),0)</f>
        <v>#REF!</v>
      </c>
      <c r="S465" s="291" t="str">
        <f>IF($AJ465&gt;0,RANK($AJ465,GirlsPoints),0)</f>
        <v>#REF!</v>
      </c>
      <c r="T465" s="292">
        <f>IF($O465&gt;0,RANK(O465,AthletePoints),0)</f>
        <v>0</v>
      </c>
      <c r="U465" s="210"/>
      <c r="V465" s="330" t="str">
        <f>IF(O465&gt;=40,IF(X465="M",VLOOKUP(O465,UKABoysAwards,2),IF(X465="F",VLOOKUP(O465,UKAGirlsAwards,2),"")),"")</f>
        <v/>
      </c>
      <c r="W465" s="210"/>
      <c r="X465" s="266" t="str">
        <f t="array" ref="X465:X466">INDEX(DB,$B465,4)</f>
        <v>#REF!</v>
      </c>
      <c r="Y465" s="210"/>
      <c r="Z465" s="285" t="str">
        <f t="shared" si="3"/>
        <v>#REF!</v>
      </c>
      <c r="AA465" s="286" t="str">
        <f>IF($Z465&gt;=1,RANK($Z465,$Z453:$Z468),0)</f>
        <v>#REF!</v>
      </c>
      <c r="AB465" s="287" t="str">
        <f>IF(AA465&lt;=MaxS,INT(Z465),0)</f>
        <v>#REF!</v>
      </c>
      <c r="AC465" s="210"/>
      <c r="AD465" s="285" t="str">
        <f t="shared" si="4"/>
        <v>#REF!</v>
      </c>
      <c r="AE465" s="286" t="str">
        <f>IF($AD465&gt;=1,RANK($AD465,$AD453:$AD468),0)</f>
        <v>#REF!</v>
      </c>
      <c r="AF465" s="287" t="str">
        <f>IF(AE465&lt;=MaxS,INT(AD465),0)</f>
        <v>#REF!</v>
      </c>
      <c r="AG465" s="210"/>
      <c r="AH465" s="210"/>
      <c r="AI465" s="288" t="str">
        <f t="shared" si="5"/>
        <v>#REF!</v>
      </c>
      <c r="AJ465" s="289" t="str">
        <f t="shared" si="6"/>
        <v>#REF!</v>
      </c>
    </row>
    <row r="466" ht="15.0" customHeight="1">
      <c r="A466" s="272"/>
      <c r="B466" s="250">
        <f>IF(OR(ISNA(MATCH(C466&amp;"",AthleteNumbers,0)),ISBLANK(C466)),0,MATCH(C466&amp;"",AthleteNumbers,0))</f>
        <v>0</v>
      </c>
      <c r="C466" s="413"/>
      <c r="D466" s="273" t="str">
        <f t="array" ref="D466">IF($B466&gt;0,INDEX(DB,$B466,8),"")</f>
        <v/>
      </c>
      <c r="E466" s="274" t="str">
        <f t="array" ref="E466">IF($B466&gt;0,INDEX(DB,$B466,3),"")</f>
        <v/>
      </c>
      <c r="F466" s="275">
        <f t="array" ref="F466">IF($B466&gt;0,INDEX(DB,$B466,13),0)</f>
        <v>0</v>
      </c>
      <c r="G466" s="276">
        <f t="array" ref="G466">IF($B466&gt;0,INDEX(DB,$B466,17),0)</f>
        <v>0</v>
      </c>
      <c r="H466" s="277">
        <f t="array" ref="H466">IF($B466&gt;0,INDEX(DB,$B466,15),0)</f>
        <v>0</v>
      </c>
      <c r="I466" s="276">
        <f t="array" ref="I466">IF($B466&gt;0,INDEX(DB,$B466,19),0)</f>
        <v>0</v>
      </c>
      <c r="J466" s="277">
        <f t="array" ref="J466">IF($B466&gt;0,INDEX(DB,$B466,14),0)</f>
        <v>0</v>
      </c>
      <c r="K466" s="276">
        <f t="array" ref="K466">IF($B466&gt;0,INDEX(DB,$B466,18),0)</f>
        <v>0</v>
      </c>
      <c r="L466" s="275">
        <f t="array" ref="L466">IF($B466&gt;0,INDEX(DB,$B466,16),0)</f>
        <v>0</v>
      </c>
      <c r="M466" s="276">
        <f t="array" ref="M466">IF($B466&gt;0,INDEX(DB,$B466,20),0)</f>
        <v>0</v>
      </c>
      <c r="N466" s="278"/>
      <c r="O466" s="279">
        <f t="shared" si="1"/>
        <v>0</v>
      </c>
      <c r="P466" s="280"/>
      <c r="Q466" s="261" t="str">
        <f t="shared" si="2"/>
        <v>#REF!</v>
      </c>
      <c r="R466" s="281" t="str">
        <f>IF($AI466&gt;0,RANK($AI466,BoysPoints),0)</f>
        <v>#REF!</v>
      </c>
      <c r="S466" s="282" t="str">
        <f>IF($AJ466&gt;0,RANK($AJ466,GirlsPoints),0)</f>
        <v>#REF!</v>
      </c>
      <c r="T466" s="283">
        <f>IF($O466&gt;0,RANK(O466,AthletePoints),0)</f>
        <v>0</v>
      </c>
      <c r="U466" s="210"/>
      <c r="V466" s="415" t="str">
        <f>IF(O466&gt;=40,IF(X466="M",VLOOKUP(O466,UKABoysAwards,2),IF(X466="F",VLOOKUP(O466,UKAGirlsAwards,2),"")),"")</f>
        <v/>
      </c>
      <c r="W466" s="210"/>
      <c r="X466" s="266" t="str">
        <f t="array" ref="X466:X467">INDEX(DB,$B466,4)</f>
        <v>#REF!</v>
      </c>
      <c r="Y466" s="210"/>
      <c r="Z466" s="285" t="str">
        <f t="shared" si="3"/>
        <v>#REF!</v>
      </c>
      <c r="AA466" s="286" t="str">
        <f>IF($Z466&gt;=1,RANK($Z466,$Z453:$Z468),0)</f>
        <v>#REF!</v>
      </c>
      <c r="AB466" s="287" t="str">
        <f>IF(AA466&lt;=MaxS,INT(Z466),0)</f>
        <v>#REF!</v>
      </c>
      <c r="AC466" s="210"/>
      <c r="AD466" s="285" t="str">
        <f t="shared" si="4"/>
        <v>#REF!</v>
      </c>
      <c r="AE466" s="286" t="str">
        <f>IF($AD466&gt;=1,RANK($AD466,$AD453:$AD468),0)</f>
        <v>#REF!</v>
      </c>
      <c r="AF466" s="287" t="str">
        <f>IF(AE466&lt;=MaxS,INT(AD466),0)</f>
        <v>#REF!</v>
      </c>
      <c r="AG466" s="210"/>
      <c r="AH466" s="210"/>
      <c r="AI466" s="288" t="str">
        <f t="shared" si="5"/>
        <v>#REF!</v>
      </c>
      <c r="AJ466" s="289" t="str">
        <f t="shared" si="6"/>
        <v>#REF!</v>
      </c>
    </row>
    <row r="467" ht="15.0" customHeight="1">
      <c r="A467" s="272"/>
      <c r="B467" s="250">
        <f>IF(OR(ISNA(MATCH(C467&amp;"",AthleteNumbers,0)),ISBLANK(C467)),0,MATCH(C467&amp;"",AthleteNumbers,0))</f>
        <v>0</v>
      </c>
      <c r="C467" s="413"/>
      <c r="D467" s="273" t="str">
        <f t="array" ref="D467">IF($B467&gt;0,INDEX(DB,$B467,8),"")</f>
        <v/>
      </c>
      <c r="E467" s="274" t="str">
        <f t="array" ref="E467">IF($B467&gt;0,INDEX(DB,$B467,3),"")</f>
        <v/>
      </c>
      <c r="F467" s="275">
        <f t="array" ref="F467">IF($B467&gt;0,INDEX(DB,$B467,13),0)</f>
        <v>0</v>
      </c>
      <c r="G467" s="276">
        <f t="array" ref="G467">IF($B467&gt;0,INDEX(DB,$B467,17),0)</f>
        <v>0</v>
      </c>
      <c r="H467" s="277">
        <f t="array" ref="H467">IF($B467&gt;0,INDEX(DB,$B467,15),0)</f>
        <v>0</v>
      </c>
      <c r="I467" s="276">
        <f t="array" ref="I467">IF($B467&gt;0,INDEX(DB,$B467,19),0)</f>
        <v>0</v>
      </c>
      <c r="J467" s="277">
        <f t="array" ref="J467">IF($B467&gt;0,INDEX(DB,$B467,14),0)</f>
        <v>0</v>
      </c>
      <c r="K467" s="276">
        <f t="array" ref="K467">IF($B467&gt;0,INDEX(DB,$B467,18),0)</f>
        <v>0</v>
      </c>
      <c r="L467" s="275">
        <f t="array" ref="L467">IF($B467&gt;0,INDEX(DB,$B467,16),0)</f>
        <v>0</v>
      </c>
      <c r="M467" s="276">
        <f t="array" ref="M467">IF($B467&gt;0,INDEX(DB,$B467,20),0)</f>
        <v>0</v>
      </c>
      <c r="N467" s="278"/>
      <c r="O467" s="279">
        <f t="shared" si="1"/>
        <v>0</v>
      </c>
      <c r="P467" s="280"/>
      <c r="Q467" s="261" t="str">
        <f t="shared" si="2"/>
        <v>#REF!</v>
      </c>
      <c r="R467" s="290" t="str">
        <f>IF($AI467&gt;0,RANK($AI467,BoysPoints),0)</f>
        <v>#REF!</v>
      </c>
      <c r="S467" s="291" t="str">
        <f>IF($AJ467&gt;0,RANK($AJ467,GirlsPoints),0)</f>
        <v>#REF!</v>
      </c>
      <c r="T467" s="292">
        <f>IF($O467&gt;0,RANK(O467,AthletePoints),0)</f>
        <v>0</v>
      </c>
      <c r="U467" s="210"/>
      <c r="V467" s="330" t="str">
        <f>IF(O467&gt;=40,IF(X467="M",VLOOKUP(O467,UKABoysAwards,2),IF(X467="F",VLOOKUP(O467,UKAGirlsAwards,2),"")),"")</f>
        <v/>
      </c>
      <c r="W467" s="210"/>
      <c r="X467" s="266" t="str">
        <f t="array" ref="X467:X468">INDEX(DB,$B467,4)</f>
        <v>#REF!</v>
      </c>
      <c r="Y467" s="210"/>
      <c r="Z467" s="285" t="str">
        <f t="shared" si="3"/>
        <v>#REF!</v>
      </c>
      <c r="AA467" s="286" t="str">
        <f>IF($Z467&gt;=1,RANK($Z467,$Z453:$Z468),0)</f>
        <v>#REF!</v>
      </c>
      <c r="AB467" s="287" t="str">
        <f>IF(AA467&lt;=MaxS,INT(Z467),0)</f>
        <v>#REF!</v>
      </c>
      <c r="AC467" s="210"/>
      <c r="AD467" s="285" t="str">
        <f t="shared" si="4"/>
        <v>#REF!</v>
      </c>
      <c r="AE467" s="286" t="str">
        <f>IF($AD467&gt;=1,RANK($AD467,$AD453:$AD468),0)</f>
        <v>#REF!</v>
      </c>
      <c r="AF467" s="287" t="str">
        <f>IF(AE467&lt;=MaxS,INT(AD467),0)</f>
        <v>#REF!</v>
      </c>
      <c r="AG467" s="210"/>
      <c r="AH467" s="210"/>
      <c r="AI467" s="288" t="str">
        <f t="shared" si="5"/>
        <v>#REF!</v>
      </c>
      <c r="AJ467" s="289" t="str">
        <f t="shared" si="6"/>
        <v>#REF!</v>
      </c>
    </row>
    <row r="468" ht="15.0" customHeight="1">
      <c r="A468" s="305"/>
      <c r="B468" s="250">
        <f>IF(OR(ISNA(MATCH(C468&amp;"",AthleteNumbers,0)),ISBLANK(C468)),0,MATCH(C468&amp;"",AthleteNumbers,0))</f>
        <v>0</v>
      </c>
      <c r="C468" s="443"/>
      <c r="D468" s="306" t="str">
        <f t="array" ref="D468">IF($B468&gt;0,INDEX(DB,$B468,8),"")</f>
        <v/>
      </c>
      <c r="E468" s="307" t="str">
        <f t="array" ref="E468">IF($B468&gt;0,INDEX(DB,$B468,3),"")</f>
        <v/>
      </c>
      <c r="F468" s="308">
        <f t="array" ref="F468">IF($B468&gt;0,INDEX(DB,$B468,13),0)</f>
        <v>0</v>
      </c>
      <c r="G468" s="309">
        <f t="array" ref="G468">IF($B468&gt;0,INDEX(DB,$B468,17),0)</f>
        <v>0</v>
      </c>
      <c r="H468" s="310">
        <f t="array" ref="H468">IF($B468&gt;0,INDEX(DB,$B468,15),0)</f>
        <v>0</v>
      </c>
      <c r="I468" s="309">
        <f t="array" ref="I468">IF($B468&gt;0,INDEX(DB,$B468,19),0)</f>
        <v>0</v>
      </c>
      <c r="J468" s="310">
        <f t="array" ref="J468">IF($B468&gt;0,INDEX(DB,$B468,14),0)</f>
        <v>0</v>
      </c>
      <c r="K468" s="309">
        <f t="array" ref="K468">IF($B468&gt;0,INDEX(DB,$B468,18),0)</f>
        <v>0</v>
      </c>
      <c r="L468" s="308">
        <f t="array" ref="L468">IF($B468&gt;0,INDEX(DB,$B468,16),0)</f>
        <v>0</v>
      </c>
      <c r="M468" s="309">
        <f t="array" ref="M468">IF($B468&gt;0,INDEX(DB,$B468,20),0)</f>
        <v>0</v>
      </c>
      <c r="N468" s="25"/>
      <c r="O468" s="311">
        <f t="shared" si="1"/>
        <v>0</v>
      </c>
      <c r="P468" s="31"/>
      <c r="Q468" s="261" t="str">
        <f t="shared" si="2"/>
        <v>#REF!</v>
      </c>
      <c r="R468" s="312" t="str">
        <f>IF($AI468&gt;0,RANK($AI468,BoysPoints),0)</f>
        <v>#REF!</v>
      </c>
      <c r="S468" s="313" t="str">
        <f>IF($AJ468&gt;0,RANK($AJ468,GirlsPoints),0)</f>
        <v>#REF!</v>
      </c>
      <c r="T468" s="314">
        <f>IF($O468&gt;0,RANK(O468,AthletePoints),0)</f>
        <v>0</v>
      </c>
      <c r="U468" s="210"/>
      <c r="V468" s="444" t="str">
        <f>IF(O468&gt;=40,IF(X468="M",VLOOKUP(O468,UKABoysAwards,2),IF(X468="F",VLOOKUP(O468,UKAGirlsAwards,2),"")),"")</f>
        <v/>
      </c>
      <c r="W468" s="210"/>
      <c r="X468" s="266" t="str">
        <f t="array" ref="X468:X469">INDEX(DB,$B468,4)</f>
        <v>#REF!</v>
      </c>
      <c r="Y468" s="210"/>
      <c r="Z468" s="316" t="str">
        <f t="shared" si="3"/>
        <v>#REF!</v>
      </c>
      <c r="AA468" s="243" t="str">
        <f>IF($Z468&gt;=1,RANK($Z468,$Z453:$Z468),0)</f>
        <v>#REF!</v>
      </c>
      <c r="AB468" s="245" t="str">
        <f>IF(AA468&lt;=MaxS,INT(Z468),0)</f>
        <v>#REF!</v>
      </c>
      <c r="AC468" s="210" t="str">
        <f>SUM(AB453:AB468)</f>
        <v>#REF!</v>
      </c>
      <c r="AD468" s="316" t="str">
        <f t="shared" si="4"/>
        <v>#REF!</v>
      </c>
      <c r="AE468" s="243" t="str">
        <f>IF($AD468&gt;=1,RANK($AD468,$AD453:$AD468),0)</f>
        <v>#REF!</v>
      </c>
      <c r="AF468" s="245" t="str">
        <f>IF(AE468&lt;=MaxS,INT(AD468),0)</f>
        <v>#REF!</v>
      </c>
      <c r="AG468" s="210" t="str">
        <f>SUM(AF453:AF468)</f>
        <v>#REF!</v>
      </c>
      <c r="AH468" s="210"/>
      <c r="AI468" s="246" t="str">
        <f t="shared" si="5"/>
        <v>#REF!</v>
      </c>
      <c r="AJ468" s="247" t="str">
        <f t="shared" si="6"/>
        <v>#REF!</v>
      </c>
    </row>
    <row r="469" ht="15.0" customHeight="1">
      <c r="A469" s="248"/>
      <c r="B469" s="250">
        <f>IF(OR(ISNA(MATCH(C469&amp;"",AthleteNumbers,0)),ISBLANK(C469)),0,MATCH(C469&amp;"",AthleteNumbers,0))</f>
        <v>0</v>
      </c>
      <c r="C469" s="251"/>
      <c r="D469" s="252" t="str">
        <f t="array" ref="D469">IF($B469&gt;0,INDEX(DB,$B469,8),"")</f>
        <v/>
      </c>
      <c r="E469" s="253" t="str">
        <f t="array" ref="E469">IF($B469&gt;0,INDEX(DB,$B469,3),"")</f>
        <v/>
      </c>
      <c r="F469" s="254">
        <f t="array" ref="F469">IF($B469&gt;0,INDEX(DB,$B469,13),0)</f>
        <v>0</v>
      </c>
      <c r="G469" s="255">
        <f t="array" ref="G469">IF($B469&gt;0,INDEX(DB,$B469,17),0)</f>
        <v>0</v>
      </c>
      <c r="H469" s="257">
        <f t="array" ref="H469">IF($B469&gt;0,INDEX(DB,$B469,15),0)</f>
        <v>0</v>
      </c>
      <c r="I469" s="255">
        <f t="array" ref="I469">IF($B469&gt;0,INDEX(DB,$B469,19),0)</f>
        <v>0</v>
      </c>
      <c r="J469" s="257">
        <f t="array" ref="J469">IF($B469&gt;0,INDEX(DB,$B469,14),0)</f>
        <v>0</v>
      </c>
      <c r="K469" s="255">
        <f t="array" ref="K469">IF($B469&gt;0,INDEX(DB,$B469,18),0)</f>
        <v>0</v>
      </c>
      <c r="L469" s="254">
        <f t="array" ref="L469">IF($B469&gt;0,INDEX(DB,$B469,16),0)</f>
        <v>0</v>
      </c>
      <c r="M469" s="255">
        <f t="array" ref="M469">IF($B469&gt;0,INDEX(DB,$B469,20),0)</f>
        <v>0</v>
      </c>
      <c r="N469" s="258" t="str">
        <f t="array" ref="N469:N485">INDEX(RelayPoints,A484)</f>
        <v>#REF!</v>
      </c>
      <c r="O469" s="259">
        <f t="shared" si="1"/>
        <v>0</v>
      </c>
      <c r="P469" s="260" t="str">
        <f>+AC484+AG484+N469</f>
        <v>#REF!</v>
      </c>
      <c r="Q469" s="261" t="str">
        <f t="shared" si="2"/>
        <v>#REF!</v>
      </c>
      <c r="R469" s="262" t="str">
        <f>IF($AI469&gt;0,RANK($AI469,BoysPoints),0)</f>
        <v>#REF!</v>
      </c>
      <c r="S469" s="263" t="str">
        <f>IF($AJ469&gt;0,RANK($AJ469,GirlsPoints),0)</f>
        <v>#REF!</v>
      </c>
      <c r="T469" s="264">
        <f>IF($O469&gt;0,RANK(O469,AthletePoints),0)</f>
        <v>0</v>
      </c>
      <c r="U469" s="210"/>
      <c r="V469" s="317" t="str">
        <f>IF(O469&gt;=40,IF(X469="M",VLOOKUP(O469,UKABoysAwards,2),IF(X469="F",VLOOKUP(O469,UKAGirlsAwards,2),"")),"")</f>
        <v/>
      </c>
      <c r="W469" s="210"/>
      <c r="X469" s="266" t="str">
        <f t="array" ref="X469:X470">INDEX(DB,$B469,4)</f>
        <v>#REF!</v>
      </c>
      <c r="Y469" s="210"/>
      <c r="Z469" s="267" t="str">
        <f t="shared" si="3"/>
        <v>#REF!</v>
      </c>
      <c r="AA469" s="268" t="str">
        <f>IF($Z469&gt;=1,RANK($Z469,$Z469:$Z484),0)</f>
        <v>#REF!</v>
      </c>
      <c r="AB469" s="269" t="str">
        <f>IF(AA469&lt;=MaxS,INT(Z469),0)</f>
        <v>#REF!</v>
      </c>
      <c r="AC469" s="210"/>
      <c r="AD469" s="267" t="str">
        <f t="shared" si="4"/>
        <v>#REF!</v>
      </c>
      <c r="AE469" s="268" t="str">
        <f>IF($AD469&gt;=1,RANK($AD469,$AD469:$AD484),0)</f>
        <v>#REF!</v>
      </c>
      <c r="AF469" s="269" t="str">
        <f>IF(AE469&lt;=MaxS,INT(AD469),0)</f>
        <v>#REF!</v>
      </c>
      <c r="AG469" s="210"/>
      <c r="AH469" s="210"/>
      <c r="AI469" s="288" t="str">
        <f t="shared" si="5"/>
        <v>#REF!</v>
      </c>
      <c r="AJ469" s="289" t="str">
        <f t="shared" si="6"/>
        <v>#REF!</v>
      </c>
    </row>
    <row r="470" ht="15.0" customHeight="1">
      <c r="A470" s="272"/>
      <c r="B470" s="250">
        <f>IF(OR(ISNA(MATCH(C470&amp;"",AthleteNumbers,0)),ISBLANK(C470)),0,MATCH(C470&amp;"",AthleteNumbers,0))</f>
        <v>0</v>
      </c>
      <c r="C470" s="413"/>
      <c r="D470" s="273" t="str">
        <f t="array" ref="D470">IF($B470&gt;0,INDEX(DB,$B470,8),"")</f>
        <v/>
      </c>
      <c r="E470" s="274" t="str">
        <f t="array" ref="E470">IF($B470&gt;0,INDEX(DB,$B470,3),"")</f>
        <v/>
      </c>
      <c r="F470" s="275">
        <f t="array" ref="F470">IF($B470&gt;0,INDEX(DB,$B470,13),0)</f>
        <v>0</v>
      </c>
      <c r="G470" s="276">
        <f t="array" ref="G470">IF($B470&gt;0,INDEX(DB,$B470,17),0)</f>
        <v>0</v>
      </c>
      <c r="H470" s="277">
        <f t="array" ref="H470">IF($B470&gt;0,INDEX(DB,$B470,15),0)</f>
        <v>0</v>
      </c>
      <c r="I470" s="276">
        <f t="array" ref="I470">IF($B470&gt;0,INDEX(DB,$B470,19),0)</f>
        <v>0</v>
      </c>
      <c r="J470" s="277">
        <f t="array" ref="J470">IF($B470&gt;0,INDEX(DB,$B470,14),0)</f>
        <v>0</v>
      </c>
      <c r="K470" s="276">
        <f t="array" ref="K470">IF($B470&gt;0,INDEX(DB,$B470,18),0)</f>
        <v>0</v>
      </c>
      <c r="L470" s="275">
        <f t="array" ref="L470">IF($B470&gt;0,INDEX(DB,$B470,16),0)</f>
        <v>0</v>
      </c>
      <c r="M470" s="276">
        <f t="array" ref="M470">IF($B470&gt;0,INDEX(DB,$B470,20),0)</f>
        <v>0</v>
      </c>
      <c r="N470" s="278"/>
      <c r="O470" s="279">
        <f t="shared" si="1"/>
        <v>0</v>
      </c>
      <c r="P470" s="280"/>
      <c r="Q470" s="261" t="str">
        <f t="shared" si="2"/>
        <v>#REF!</v>
      </c>
      <c r="R470" s="281" t="str">
        <f>IF($AI470&gt;0,RANK($AI470,BoysPoints),0)</f>
        <v>#REF!</v>
      </c>
      <c r="S470" s="282" t="str">
        <f>IF($AJ470&gt;0,RANK($AJ470,GirlsPoints),0)</f>
        <v>#REF!</v>
      </c>
      <c r="T470" s="283">
        <f>IF($O470&gt;0,RANK(O470,AthletePoints),0)</f>
        <v>0</v>
      </c>
      <c r="U470" s="210"/>
      <c r="V470" s="415" t="str">
        <f>IF(O470&gt;=40,IF(X470="M",VLOOKUP(O470,UKABoysAwards,2),IF(X470="F",VLOOKUP(O470,UKAGirlsAwards,2),"")),"")</f>
        <v/>
      </c>
      <c r="W470" s="210"/>
      <c r="X470" s="266" t="str">
        <f t="array" ref="X470:X471">INDEX(DB,$B470,4)</f>
        <v>#REF!</v>
      </c>
      <c r="Y470" s="210"/>
      <c r="Z470" s="285" t="str">
        <f t="shared" si="3"/>
        <v>#REF!</v>
      </c>
      <c r="AA470" s="286" t="str">
        <f>IF($Z470&gt;=1,RANK($Z470,$Z469:$Z484),0)</f>
        <v>#REF!</v>
      </c>
      <c r="AB470" s="287" t="str">
        <f>IF(AA470&lt;=MaxS,INT(Z470),0)</f>
        <v>#REF!</v>
      </c>
      <c r="AC470" s="210"/>
      <c r="AD470" s="285" t="str">
        <f t="shared" si="4"/>
        <v>#REF!</v>
      </c>
      <c r="AE470" s="286" t="str">
        <f>IF($AD470&gt;=1,RANK($AD470,$AD469:$AD484),0)</f>
        <v>#REF!</v>
      </c>
      <c r="AF470" s="287" t="str">
        <f>IF(AE470&lt;=MaxS,INT(AD470),0)</f>
        <v>#REF!</v>
      </c>
      <c r="AG470" s="210"/>
      <c r="AH470" s="210"/>
      <c r="AI470" s="288" t="str">
        <f t="shared" si="5"/>
        <v>#REF!</v>
      </c>
      <c r="AJ470" s="289" t="str">
        <f t="shared" si="6"/>
        <v>#REF!</v>
      </c>
    </row>
    <row r="471" ht="15.0" customHeight="1">
      <c r="A471" s="272"/>
      <c r="B471" s="250">
        <f>IF(OR(ISNA(MATCH(C471&amp;"",AthleteNumbers,0)),ISBLANK(C471)),0,MATCH(C471&amp;"",AthleteNumbers,0))</f>
        <v>0</v>
      </c>
      <c r="C471" s="413"/>
      <c r="D471" s="273" t="str">
        <f t="array" ref="D471">IF($B471&gt;0,INDEX(DB,$B471,8),"")</f>
        <v/>
      </c>
      <c r="E471" s="274" t="str">
        <f t="array" ref="E471">IF($B471&gt;0,INDEX(DB,$B471,3),"")</f>
        <v/>
      </c>
      <c r="F471" s="275">
        <f t="array" ref="F471">IF($B471&gt;0,INDEX(DB,$B471,13),0)</f>
        <v>0</v>
      </c>
      <c r="G471" s="276">
        <f t="array" ref="G471">IF($B471&gt;0,INDEX(DB,$B471,17),0)</f>
        <v>0</v>
      </c>
      <c r="H471" s="277">
        <f t="array" ref="H471">IF($B471&gt;0,INDEX(DB,$B471,15),0)</f>
        <v>0</v>
      </c>
      <c r="I471" s="276">
        <f t="array" ref="I471">IF($B471&gt;0,INDEX(DB,$B471,19),0)</f>
        <v>0</v>
      </c>
      <c r="J471" s="277">
        <f t="array" ref="J471">IF($B471&gt;0,INDEX(DB,$B471,14),0)</f>
        <v>0</v>
      </c>
      <c r="K471" s="276">
        <f t="array" ref="K471">IF($B471&gt;0,INDEX(DB,$B471,18),0)</f>
        <v>0</v>
      </c>
      <c r="L471" s="275">
        <f t="array" ref="L471">IF($B471&gt;0,INDEX(DB,$B471,16),0)</f>
        <v>0</v>
      </c>
      <c r="M471" s="276">
        <f t="array" ref="M471">IF($B471&gt;0,INDEX(DB,$B471,20),0)</f>
        <v>0</v>
      </c>
      <c r="N471" s="278"/>
      <c r="O471" s="279">
        <f t="shared" si="1"/>
        <v>0</v>
      </c>
      <c r="P471" s="280"/>
      <c r="Q471" s="261" t="str">
        <f t="shared" si="2"/>
        <v>#REF!</v>
      </c>
      <c r="R471" s="290" t="str">
        <f>IF($AI471&gt;0,RANK($AI471,BoysPoints),0)</f>
        <v>#REF!</v>
      </c>
      <c r="S471" s="291" t="str">
        <f>IF($AJ471&gt;0,RANK($AJ471,GirlsPoints),0)</f>
        <v>#REF!</v>
      </c>
      <c r="T471" s="292">
        <f>IF($O471&gt;0,RANK(O471,AthletePoints),0)</f>
        <v>0</v>
      </c>
      <c r="U471" s="210"/>
      <c r="V471" s="330" t="str">
        <f>IF(O471&gt;=40,IF(X471="M",VLOOKUP(O471,UKABoysAwards,2),IF(X471="F",VLOOKUP(O471,UKAGirlsAwards,2),"")),"")</f>
        <v/>
      </c>
      <c r="W471" s="210"/>
      <c r="X471" s="266" t="str">
        <f t="array" ref="X471:X472">INDEX(DB,$B471,4)</f>
        <v>#REF!</v>
      </c>
      <c r="Y471" s="210"/>
      <c r="Z471" s="285" t="str">
        <f t="shared" si="3"/>
        <v>#REF!</v>
      </c>
      <c r="AA471" s="286" t="str">
        <f>IF($Z471&gt;=1,RANK($Z471,$Z469:$Z484),0)</f>
        <v>#REF!</v>
      </c>
      <c r="AB471" s="287" t="str">
        <f>IF(AA471&lt;=MaxS,INT(Z471),0)</f>
        <v>#REF!</v>
      </c>
      <c r="AC471" s="210"/>
      <c r="AD471" s="285" t="str">
        <f t="shared" si="4"/>
        <v>#REF!</v>
      </c>
      <c r="AE471" s="286" t="str">
        <f>IF($AD471&gt;=1,RANK($AD471,$AD469:$AD484),0)</f>
        <v>#REF!</v>
      </c>
      <c r="AF471" s="287" t="str">
        <f>IF(AE471&lt;=MaxS,INT(AD471),0)</f>
        <v>#REF!</v>
      </c>
      <c r="AG471" s="210"/>
      <c r="AH471" s="210"/>
      <c r="AI471" s="288" t="str">
        <f t="shared" si="5"/>
        <v>#REF!</v>
      </c>
      <c r="AJ471" s="289" t="str">
        <f t="shared" si="6"/>
        <v>#REF!</v>
      </c>
    </row>
    <row r="472" ht="15.0" customHeight="1">
      <c r="A472" s="272"/>
      <c r="B472" s="250">
        <f>IF(OR(ISNA(MATCH(C472&amp;"",AthleteNumbers,0)),ISBLANK(C472)),0,MATCH(C472&amp;"",AthleteNumbers,0))</f>
        <v>0</v>
      </c>
      <c r="C472" s="413"/>
      <c r="D472" s="273" t="str">
        <f t="array" ref="D472">IF($B472&gt;0,INDEX(DB,$B472,8),"")</f>
        <v/>
      </c>
      <c r="E472" s="274" t="str">
        <f t="array" ref="E472">IF($B472&gt;0,INDEX(DB,$B472,3),"")</f>
        <v/>
      </c>
      <c r="F472" s="275">
        <f t="array" ref="F472">IF($B472&gt;0,INDEX(DB,$B472,13),0)</f>
        <v>0</v>
      </c>
      <c r="G472" s="276">
        <f t="array" ref="G472">IF($B472&gt;0,INDEX(DB,$B472,17),0)</f>
        <v>0</v>
      </c>
      <c r="H472" s="277">
        <f t="array" ref="H472">IF($B472&gt;0,INDEX(DB,$B472,15),0)</f>
        <v>0</v>
      </c>
      <c r="I472" s="276">
        <f t="array" ref="I472">IF($B472&gt;0,INDEX(DB,$B472,19),0)</f>
        <v>0</v>
      </c>
      <c r="J472" s="277">
        <f t="array" ref="J472">IF($B472&gt;0,INDEX(DB,$B472,14),0)</f>
        <v>0</v>
      </c>
      <c r="K472" s="276">
        <f t="array" ref="K472">IF($B472&gt;0,INDEX(DB,$B472,18),0)</f>
        <v>0</v>
      </c>
      <c r="L472" s="275">
        <f t="array" ref="L472">IF($B472&gt;0,INDEX(DB,$B472,16),0)</f>
        <v>0</v>
      </c>
      <c r="M472" s="276">
        <f t="array" ref="M472">IF($B472&gt;0,INDEX(DB,$B472,20),0)</f>
        <v>0</v>
      </c>
      <c r="N472" s="278"/>
      <c r="O472" s="279">
        <f t="shared" si="1"/>
        <v>0</v>
      </c>
      <c r="P472" s="280"/>
      <c r="Q472" s="261" t="str">
        <f t="shared" si="2"/>
        <v>#REF!</v>
      </c>
      <c r="R472" s="281" t="str">
        <f>IF($AI472&gt;0,RANK($AI472,BoysPoints),0)</f>
        <v>#REF!</v>
      </c>
      <c r="S472" s="282" t="str">
        <f>IF($AJ472&gt;0,RANK($AJ472,GirlsPoints),0)</f>
        <v>#REF!</v>
      </c>
      <c r="T472" s="283">
        <f>IF($O472&gt;0,RANK(O472,AthletePoints),0)</f>
        <v>0</v>
      </c>
      <c r="U472" s="210"/>
      <c r="V472" s="415" t="str">
        <f>IF(O472&gt;=40,IF(X472="M",VLOOKUP(O472,UKABoysAwards,2),IF(X472="F",VLOOKUP(O472,UKAGirlsAwards,2),"")),"")</f>
        <v/>
      </c>
      <c r="W472" s="210"/>
      <c r="X472" s="266" t="str">
        <f t="array" ref="X472:X473">INDEX(DB,$B472,4)</f>
        <v>#REF!</v>
      </c>
      <c r="Y472" s="210"/>
      <c r="Z472" s="285" t="str">
        <f t="shared" si="3"/>
        <v>#REF!</v>
      </c>
      <c r="AA472" s="286" t="str">
        <f>IF($Z472&gt;=1,RANK($Z472,$Z469:$Z484),0)</f>
        <v>#REF!</v>
      </c>
      <c r="AB472" s="287" t="str">
        <f>IF(AA472&lt;=MaxS,INT(Z472),0)</f>
        <v>#REF!</v>
      </c>
      <c r="AC472" s="210"/>
      <c r="AD472" s="285" t="str">
        <f t="shared" si="4"/>
        <v>#REF!</v>
      </c>
      <c r="AE472" s="286" t="str">
        <f>IF($AD472&gt;=1,RANK($AD472,$AD469:$AD484),0)</f>
        <v>#REF!</v>
      </c>
      <c r="AF472" s="287" t="str">
        <f>IF(AE472&lt;=MaxS,INT(AD472),0)</f>
        <v>#REF!</v>
      </c>
      <c r="AG472" s="210"/>
      <c r="AH472" s="210"/>
      <c r="AI472" s="288" t="str">
        <f t="shared" si="5"/>
        <v>#REF!</v>
      </c>
      <c r="AJ472" s="289" t="str">
        <f t="shared" si="6"/>
        <v>#REF!</v>
      </c>
    </row>
    <row r="473" ht="15.0" customHeight="1">
      <c r="A473" s="272"/>
      <c r="B473" s="250">
        <f>IF(OR(ISNA(MATCH(C473&amp;"",AthleteNumbers,0)),ISBLANK(C473)),0,MATCH(C473&amp;"",AthleteNumbers,0))</f>
        <v>0</v>
      </c>
      <c r="C473" s="413"/>
      <c r="D473" s="273" t="str">
        <f t="array" ref="D473">IF($B473&gt;0,INDEX(DB,$B473,8),"")</f>
        <v/>
      </c>
      <c r="E473" s="274" t="str">
        <f t="array" ref="E473">IF($B473&gt;0,INDEX(DB,$B473,3),"")</f>
        <v/>
      </c>
      <c r="F473" s="275">
        <f t="array" ref="F473">IF($B473&gt;0,INDEX(DB,$B473,13),0)</f>
        <v>0</v>
      </c>
      <c r="G473" s="276">
        <f t="array" ref="G473">IF($B473&gt;0,INDEX(DB,$B473,17),0)</f>
        <v>0</v>
      </c>
      <c r="H473" s="277">
        <f t="array" ref="H473">IF($B473&gt;0,INDEX(DB,$B473,15),0)</f>
        <v>0</v>
      </c>
      <c r="I473" s="276">
        <f t="array" ref="I473">IF($B473&gt;0,INDEX(DB,$B473,19),0)</f>
        <v>0</v>
      </c>
      <c r="J473" s="277">
        <f t="array" ref="J473">IF($B473&gt;0,INDEX(DB,$B473,14),0)</f>
        <v>0</v>
      </c>
      <c r="K473" s="276">
        <f t="array" ref="K473">IF($B473&gt;0,INDEX(DB,$B473,18),0)</f>
        <v>0</v>
      </c>
      <c r="L473" s="275">
        <f t="array" ref="L473">IF($B473&gt;0,INDEX(DB,$B473,16),0)</f>
        <v>0</v>
      </c>
      <c r="M473" s="276">
        <f t="array" ref="M473">IF($B473&gt;0,INDEX(DB,$B473,20),0)</f>
        <v>0</v>
      </c>
      <c r="N473" s="278"/>
      <c r="O473" s="279">
        <f t="shared" si="1"/>
        <v>0</v>
      </c>
      <c r="P473" s="280"/>
      <c r="Q473" s="261" t="str">
        <f t="shared" si="2"/>
        <v>#REF!</v>
      </c>
      <c r="R473" s="290" t="str">
        <f>IF($AI473&gt;0,RANK($AI473,BoysPoints),0)</f>
        <v>#REF!</v>
      </c>
      <c r="S473" s="291" t="str">
        <f>IF($AJ473&gt;0,RANK($AJ473,GirlsPoints),0)</f>
        <v>#REF!</v>
      </c>
      <c r="T473" s="292">
        <f>IF($O473&gt;0,RANK(O473,AthletePoints),0)</f>
        <v>0</v>
      </c>
      <c r="U473" s="210"/>
      <c r="V473" s="330" t="str">
        <f>IF(O473&gt;=40,IF(X473="M",VLOOKUP(O473,UKABoysAwards,2),IF(X473="F",VLOOKUP(O473,UKAGirlsAwards,2),"")),"")</f>
        <v/>
      </c>
      <c r="W473" s="210"/>
      <c r="X473" s="266" t="str">
        <f t="array" ref="X473:X474">INDEX(DB,$B473,4)</f>
        <v>#REF!</v>
      </c>
      <c r="Y473" s="210"/>
      <c r="Z473" s="285" t="str">
        <f t="shared" si="3"/>
        <v>#REF!</v>
      </c>
      <c r="AA473" s="286" t="str">
        <f>IF($Z473&gt;=1,RANK($Z473,$Z469:$Z484),0)</f>
        <v>#REF!</v>
      </c>
      <c r="AB473" s="287" t="str">
        <f>IF(AA473&lt;=MaxS,INT(Z473),0)</f>
        <v>#REF!</v>
      </c>
      <c r="AC473" s="210"/>
      <c r="AD473" s="285" t="str">
        <f t="shared" si="4"/>
        <v>#REF!</v>
      </c>
      <c r="AE473" s="286" t="str">
        <f>IF($AD473&gt;=1,RANK($AD473,$AD469:$AD484),0)</f>
        <v>#REF!</v>
      </c>
      <c r="AF473" s="287" t="str">
        <f>IF(AE473&lt;=MaxS,INT(AD473),0)</f>
        <v>#REF!</v>
      </c>
      <c r="AG473" s="210"/>
      <c r="AH473" s="210"/>
      <c r="AI473" s="288" t="str">
        <f t="shared" si="5"/>
        <v>#REF!</v>
      </c>
      <c r="AJ473" s="289" t="str">
        <f t="shared" si="6"/>
        <v>#REF!</v>
      </c>
    </row>
    <row r="474" ht="15.0" customHeight="1">
      <c r="A474" s="272"/>
      <c r="B474" s="250">
        <f>IF(OR(ISNA(MATCH(C474&amp;"",AthleteNumbers,0)),ISBLANK(C474)),0,MATCH(C474&amp;"",AthleteNumbers,0))</f>
        <v>0</v>
      </c>
      <c r="C474" s="413"/>
      <c r="D474" s="273" t="str">
        <f t="array" ref="D474">IF($B474&gt;0,INDEX(DB,$B474,8),"")</f>
        <v/>
      </c>
      <c r="E474" s="274" t="str">
        <f t="array" ref="E474">IF($B474&gt;0,INDEX(DB,$B474,3),"")</f>
        <v/>
      </c>
      <c r="F474" s="275">
        <f t="array" ref="F474">IF($B474&gt;0,INDEX(DB,$B474,13),0)</f>
        <v>0</v>
      </c>
      <c r="G474" s="276">
        <f t="array" ref="G474">IF($B474&gt;0,INDEX(DB,$B474,17),0)</f>
        <v>0</v>
      </c>
      <c r="H474" s="277">
        <f t="array" ref="H474">IF($B474&gt;0,INDEX(DB,$B474,15),0)</f>
        <v>0</v>
      </c>
      <c r="I474" s="276">
        <f t="array" ref="I474">IF($B474&gt;0,INDEX(DB,$B474,19),0)</f>
        <v>0</v>
      </c>
      <c r="J474" s="277">
        <f t="array" ref="J474">IF($B474&gt;0,INDEX(DB,$B474,14),0)</f>
        <v>0</v>
      </c>
      <c r="K474" s="276">
        <f t="array" ref="K474">IF($B474&gt;0,INDEX(DB,$B474,18),0)</f>
        <v>0</v>
      </c>
      <c r="L474" s="275">
        <f t="array" ref="L474">IF($B474&gt;0,INDEX(DB,$B474,16),0)</f>
        <v>0</v>
      </c>
      <c r="M474" s="276">
        <f t="array" ref="M474">IF($B474&gt;0,INDEX(DB,$B474,20),0)</f>
        <v>0</v>
      </c>
      <c r="N474" s="278"/>
      <c r="O474" s="279">
        <f t="shared" si="1"/>
        <v>0</v>
      </c>
      <c r="P474" s="280"/>
      <c r="Q474" s="261" t="str">
        <f t="shared" si="2"/>
        <v>#REF!</v>
      </c>
      <c r="R474" s="281" t="str">
        <f>IF($AI474&gt;0,RANK($AI474,BoysPoints),0)</f>
        <v>#REF!</v>
      </c>
      <c r="S474" s="282" t="str">
        <f>IF($AJ474&gt;0,RANK($AJ474,GirlsPoints),0)</f>
        <v>#REF!</v>
      </c>
      <c r="T474" s="283">
        <f>IF($O474&gt;0,RANK(O474,AthletePoints),0)</f>
        <v>0</v>
      </c>
      <c r="U474" s="210"/>
      <c r="V474" s="415" t="str">
        <f>IF(O474&gt;=40,IF(X474="M",VLOOKUP(O474,UKABoysAwards,2),IF(X474="F",VLOOKUP(O474,UKAGirlsAwards,2),"")),"")</f>
        <v/>
      </c>
      <c r="W474" s="210"/>
      <c r="X474" s="266" t="str">
        <f t="array" ref="X474:X475">INDEX(DB,$B474,4)</f>
        <v>#REF!</v>
      </c>
      <c r="Y474" s="210"/>
      <c r="Z474" s="285" t="str">
        <f t="shared" si="3"/>
        <v>#REF!</v>
      </c>
      <c r="AA474" s="286" t="str">
        <f>IF($Z474&gt;=1,RANK($Z474,$Z469:$Z484),0)</f>
        <v>#REF!</v>
      </c>
      <c r="AB474" s="287" t="str">
        <f>IF(AA474&lt;=MaxS,INT(Z474),0)</f>
        <v>#REF!</v>
      </c>
      <c r="AC474" s="210"/>
      <c r="AD474" s="285" t="str">
        <f t="shared" si="4"/>
        <v>#REF!</v>
      </c>
      <c r="AE474" s="286" t="str">
        <f>IF($AD474&gt;=1,RANK($AD474,$AD469:$AD484),0)</f>
        <v>#REF!</v>
      </c>
      <c r="AF474" s="287" t="str">
        <f>IF(AE474&lt;=MaxS,INT(AD474),0)</f>
        <v>#REF!</v>
      </c>
      <c r="AG474" s="210"/>
      <c r="AH474" s="210"/>
      <c r="AI474" s="288" t="str">
        <f t="shared" si="5"/>
        <v>#REF!</v>
      </c>
      <c r="AJ474" s="289" t="str">
        <f t="shared" si="6"/>
        <v>#REF!</v>
      </c>
    </row>
    <row r="475" ht="15.0" customHeight="1">
      <c r="A475" s="272"/>
      <c r="B475" s="250">
        <f>IF(OR(ISNA(MATCH(C475&amp;"",AthleteNumbers,0)),ISBLANK(C475)),0,MATCH(C475&amp;"",AthleteNumbers,0))</f>
        <v>0</v>
      </c>
      <c r="C475" s="413"/>
      <c r="D475" s="273" t="str">
        <f t="array" ref="D475">IF($B475&gt;0,INDEX(DB,$B475,8),"")</f>
        <v/>
      </c>
      <c r="E475" s="274" t="str">
        <f t="array" ref="E475">IF($B475&gt;0,INDEX(DB,$B475,3),"")</f>
        <v/>
      </c>
      <c r="F475" s="275">
        <f t="array" ref="F475">IF($B475&gt;0,INDEX(DB,$B475,13),0)</f>
        <v>0</v>
      </c>
      <c r="G475" s="276">
        <f t="array" ref="G475">IF($B475&gt;0,INDEX(DB,$B475,17),0)</f>
        <v>0</v>
      </c>
      <c r="H475" s="277">
        <f t="array" ref="H475">IF($B475&gt;0,INDEX(DB,$B475,15),0)</f>
        <v>0</v>
      </c>
      <c r="I475" s="276">
        <f t="array" ref="I475">IF($B475&gt;0,INDEX(DB,$B475,19),0)</f>
        <v>0</v>
      </c>
      <c r="J475" s="277">
        <f t="array" ref="J475">IF($B475&gt;0,INDEX(DB,$B475,14),0)</f>
        <v>0</v>
      </c>
      <c r="K475" s="276">
        <f t="array" ref="K475">IF($B475&gt;0,INDEX(DB,$B475,18),0)</f>
        <v>0</v>
      </c>
      <c r="L475" s="275">
        <f t="array" ref="L475">IF($B475&gt;0,INDEX(DB,$B475,16),0)</f>
        <v>0</v>
      </c>
      <c r="M475" s="276">
        <f t="array" ref="M475">IF($B475&gt;0,INDEX(DB,$B475,20),0)</f>
        <v>0</v>
      </c>
      <c r="N475" s="278"/>
      <c r="O475" s="279">
        <f t="shared" si="1"/>
        <v>0</v>
      </c>
      <c r="P475" s="280"/>
      <c r="Q475" s="261" t="str">
        <f t="shared" si="2"/>
        <v>#REF!</v>
      </c>
      <c r="R475" s="290" t="str">
        <f>IF($AI475&gt;0,RANK($AI475,BoysPoints),0)</f>
        <v>#REF!</v>
      </c>
      <c r="S475" s="291" t="str">
        <f>IF($AJ475&gt;0,RANK($AJ475,GirlsPoints),0)</f>
        <v>#REF!</v>
      </c>
      <c r="T475" s="292">
        <f>IF($O475&gt;0,RANK(O475,AthletePoints),0)</f>
        <v>0</v>
      </c>
      <c r="U475" s="210"/>
      <c r="V475" s="330" t="str">
        <f>IF(O475&gt;=40,IF(X475="M",VLOOKUP(O475,UKABoysAwards,2),IF(X475="F",VLOOKUP(O475,UKAGirlsAwards,2),"")),"")</f>
        <v/>
      </c>
      <c r="W475" s="210"/>
      <c r="X475" s="266" t="str">
        <f t="array" ref="X475:X476">INDEX(DB,$B475,4)</f>
        <v>#REF!</v>
      </c>
      <c r="Y475" s="210"/>
      <c r="Z475" s="285" t="str">
        <f t="shared" si="3"/>
        <v>#REF!</v>
      </c>
      <c r="AA475" s="286" t="str">
        <f>IF($Z475&gt;=1,RANK($Z475,$Z469:$Z484),0)</f>
        <v>#REF!</v>
      </c>
      <c r="AB475" s="287" t="str">
        <f>IF(AA475&lt;=MaxS,INT(Z475),0)</f>
        <v>#REF!</v>
      </c>
      <c r="AC475" s="210"/>
      <c r="AD475" s="285" t="str">
        <f t="shared" si="4"/>
        <v>#REF!</v>
      </c>
      <c r="AE475" s="286" t="str">
        <f>IF($AD475&gt;=1,RANK($AD475,$AD469:$AD484),0)</f>
        <v>#REF!</v>
      </c>
      <c r="AF475" s="287" t="str">
        <f>IF(AE475&lt;=MaxS,INT(AD475),0)</f>
        <v>#REF!</v>
      </c>
      <c r="AG475" s="210"/>
      <c r="AH475" s="210"/>
      <c r="AI475" s="288" t="str">
        <f t="shared" si="5"/>
        <v>#REF!</v>
      </c>
      <c r="AJ475" s="289" t="str">
        <f t="shared" si="6"/>
        <v>#REF!</v>
      </c>
    </row>
    <row r="476" ht="15.0" customHeight="1">
      <c r="A476" s="272"/>
      <c r="B476" s="250">
        <f>IF(OR(ISNA(MATCH(C476&amp;"",AthleteNumbers,0)),ISBLANK(C476)),0,MATCH(C476&amp;"",AthleteNumbers,0))</f>
        <v>0</v>
      </c>
      <c r="C476" s="413"/>
      <c r="D476" s="273" t="str">
        <f t="array" ref="D476">IF($B476&gt;0,INDEX(DB,$B476,8),"")</f>
        <v/>
      </c>
      <c r="E476" s="274" t="str">
        <f t="array" ref="E476">IF($B476&gt;0,INDEX(DB,$B476,3),"")</f>
        <v/>
      </c>
      <c r="F476" s="275">
        <f t="array" ref="F476">IF($B476&gt;0,INDEX(DB,$B476,13),0)</f>
        <v>0</v>
      </c>
      <c r="G476" s="276">
        <f t="array" ref="G476">IF($B476&gt;0,INDEX(DB,$B476,17),0)</f>
        <v>0</v>
      </c>
      <c r="H476" s="277">
        <f t="array" ref="H476">IF($B476&gt;0,INDEX(DB,$B476,15),0)</f>
        <v>0</v>
      </c>
      <c r="I476" s="276">
        <f t="array" ref="I476">IF($B476&gt;0,INDEX(DB,$B476,19),0)</f>
        <v>0</v>
      </c>
      <c r="J476" s="277">
        <f t="array" ref="J476">IF($B476&gt;0,INDEX(DB,$B476,14),0)</f>
        <v>0</v>
      </c>
      <c r="K476" s="276">
        <f t="array" ref="K476">IF($B476&gt;0,INDEX(DB,$B476,18),0)</f>
        <v>0</v>
      </c>
      <c r="L476" s="275">
        <f t="array" ref="L476">IF($B476&gt;0,INDEX(DB,$B476,16),0)</f>
        <v>0</v>
      </c>
      <c r="M476" s="276">
        <f t="array" ref="M476">IF($B476&gt;0,INDEX(DB,$B476,20),0)</f>
        <v>0</v>
      </c>
      <c r="N476" s="278"/>
      <c r="O476" s="279">
        <f t="shared" si="1"/>
        <v>0</v>
      </c>
      <c r="P476" s="280"/>
      <c r="Q476" s="261" t="str">
        <f t="shared" si="2"/>
        <v>#REF!</v>
      </c>
      <c r="R476" s="281" t="str">
        <f>IF($AI476&gt;0,RANK($AI476,BoysPoints),0)</f>
        <v>#REF!</v>
      </c>
      <c r="S476" s="282" t="str">
        <f>IF($AJ476&gt;0,RANK($AJ476,GirlsPoints),0)</f>
        <v>#REF!</v>
      </c>
      <c r="T476" s="283">
        <f>IF($O476&gt;0,RANK(O476,AthletePoints),0)</f>
        <v>0</v>
      </c>
      <c r="U476" s="210"/>
      <c r="V476" s="415" t="str">
        <f>IF(O476&gt;=40,IF(X476="M",VLOOKUP(O476,UKABoysAwards,2),IF(X476="F",VLOOKUP(O476,UKAGirlsAwards,2),"")),"")</f>
        <v/>
      </c>
      <c r="W476" s="210"/>
      <c r="X476" s="266" t="str">
        <f t="array" ref="X476:X477">INDEX(DB,$B476,4)</f>
        <v>#REF!</v>
      </c>
      <c r="Y476" s="210"/>
      <c r="Z476" s="285" t="str">
        <f t="shared" si="3"/>
        <v>#REF!</v>
      </c>
      <c r="AA476" s="286" t="str">
        <f>IF($Z476&gt;=1,RANK($Z476,$Z469:$Z484),0)</f>
        <v>#REF!</v>
      </c>
      <c r="AB476" s="287" t="str">
        <f>IF(AA476&lt;=MaxS,INT(Z476),0)</f>
        <v>#REF!</v>
      </c>
      <c r="AC476" s="210"/>
      <c r="AD476" s="285" t="str">
        <f t="shared" si="4"/>
        <v>#REF!</v>
      </c>
      <c r="AE476" s="286" t="str">
        <f>IF($AD476&gt;=1,RANK($AD476,$AD469:$AD484),0)</f>
        <v>#REF!</v>
      </c>
      <c r="AF476" s="287" t="str">
        <f>IF(AE476&lt;=MaxS,INT(AD476),0)</f>
        <v>#REF!</v>
      </c>
      <c r="AG476" s="210"/>
      <c r="AH476" s="210"/>
      <c r="AI476" s="288" t="str">
        <f t="shared" si="5"/>
        <v>#REF!</v>
      </c>
      <c r="AJ476" s="289" t="str">
        <f t="shared" si="6"/>
        <v>#REF!</v>
      </c>
    </row>
    <row r="477" ht="15.0" customHeight="1">
      <c r="A477" s="272"/>
      <c r="B477" s="250">
        <f>IF(OR(ISNA(MATCH(C477&amp;"",AthleteNumbers,0)),ISBLANK(C477)),0,MATCH(C477&amp;"",AthleteNumbers,0))</f>
        <v>0</v>
      </c>
      <c r="C477" s="413"/>
      <c r="D477" s="273" t="str">
        <f t="array" ref="D477">IF($B477&gt;0,INDEX(DB,$B477,8),"")</f>
        <v/>
      </c>
      <c r="E477" s="274" t="str">
        <f t="array" ref="E477">IF($B477&gt;0,INDEX(DB,$B477,3),"")</f>
        <v/>
      </c>
      <c r="F477" s="275">
        <f t="array" ref="F477">IF($B477&gt;0,INDEX(DB,$B477,13),0)</f>
        <v>0</v>
      </c>
      <c r="G477" s="276">
        <f t="array" ref="G477">IF($B477&gt;0,INDEX(DB,$B477,17),0)</f>
        <v>0</v>
      </c>
      <c r="H477" s="277">
        <f t="array" ref="H477">IF($B477&gt;0,INDEX(DB,$B477,15),0)</f>
        <v>0</v>
      </c>
      <c r="I477" s="276">
        <f t="array" ref="I477">IF($B477&gt;0,INDEX(DB,$B477,19),0)</f>
        <v>0</v>
      </c>
      <c r="J477" s="277">
        <f t="array" ref="J477">IF($B477&gt;0,INDEX(DB,$B477,14),0)</f>
        <v>0</v>
      </c>
      <c r="K477" s="276">
        <f t="array" ref="K477">IF($B477&gt;0,INDEX(DB,$B477,18),0)</f>
        <v>0</v>
      </c>
      <c r="L477" s="275">
        <f t="array" ref="L477">IF($B477&gt;0,INDEX(DB,$B477,16),0)</f>
        <v>0</v>
      </c>
      <c r="M477" s="276">
        <f t="array" ref="M477">IF($B477&gt;0,INDEX(DB,$B477,20),0)</f>
        <v>0</v>
      </c>
      <c r="N477" s="278"/>
      <c r="O477" s="279">
        <f t="shared" si="1"/>
        <v>0</v>
      </c>
      <c r="P477" s="280"/>
      <c r="Q477" s="261" t="str">
        <f t="shared" si="2"/>
        <v>#REF!</v>
      </c>
      <c r="R477" s="290" t="str">
        <f>IF($AI477&gt;0,RANK($AI477,BoysPoints),0)</f>
        <v>#REF!</v>
      </c>
      <c r="S477" s="291" t="str">
        <f>IF($AJ477&gt;0,RANK($AJ477,GirlsPoints),0)</f>
        <v>#REF!</v>
      </c>
      <c r="T477" s="292">
        <f>IF($O477&gt;0,RANK(O477,AthletePoints),0)</f>
        <v>0</v>
      </c>
      <c r="U477" s="210"/>
      <c r="V477" s="330" t="str">
        <f>IF(O477&gt;=40,IF(X477="M",VLOOKUP(O477,UKABoysAwards,2),IF(X477="F",VLOOKUP(O477,UKAGirlsAwards,2),"")),"")</f>
        <v/>
      </c>
      <c r="W477" s="210"/>
      <c r="X477" s="266" t="str">
        <f t="array" ref="X477:X478">INDEX(DB,$B477,4)</f>
        <v>#REF!</v>
      </c>
      <c r="Y477" s="210"/>
      <c r="Z477" s="285" t="str">
        <f t="shared" si="3"/>
        <v>#REF!</v>
      </c>
      <c r="AA477" s="286" t="str">
        <f>IF($Z477&gt;=1,RANK($Z477,$Z469:$Z484),0)</f>
        <v>#REF!</v>
      </c>
      <c r="AB477" s="287" t="str">
        <f>IF(AA477&lt;=MaxS,INT(Z477),0)</f>
        <v>#REF!</v>
      </c>
      <c r="AC477" s="210"/>
      <c r="AD477" s="285" t="str">
        <f t="shared" si="4"/>
        <v>#REF!</v>
      </c>
      <c r="AE477" s="286" t="str">
        <f>IF($AD477&gt;=1,RANK($AD477,$AD469:$AD484),0)</f>
        <v>#REF!</v>
      </c>
      <c r="AF477" s="287" t="str">
        <f>IF(AE477&lt;=MaxS,INT(AD477),0)</f>
        <v>#REF!</v>
      </c>
      <c r="AG477" s="210"/>
      <c r="AH477" s="210"/>
      <c r="AI477" s="288" t="str">
        <f t="shared" si="5"/>
        <v>#REF!</v>
      </c>
      <c r="AJ477" s="289" t="str">
        <f t="shared" si="6"/>
        <v>#REF!</v>
      </c>
    </row>
    <row r="478" ht="15.0" customHeight="1">
      <c r="A478" s="272"/>
      <c r="B478" s="250">
        <f>IF(OR(ISNA(MATCH(C478&amp;"",AthleteNumbers,0)),ISBLANK(C478)),0,MATCH(C478&amp;"",AthleteNumbers,0))</f>
        <v>0</v>
      </c>
      <c r="C478" s="413"/>
      <c r="D478" s="273" t="str">
        <f t="array" ref="D478">IF($B478&gt;0,INDEX(DB,$B478,8),"")</f>
        <v/>
      </c>
      <c r="E478" s="274" t="str">
        <f t="array" ref="E478">IF($B478&gt;0,INDEX(DB,$B478,3),"")</f>
        <v/>
      </c>
      <c r="F478" s="275">
        <f t="array" ref="F478">IF($B478&gt;0,INDEX(DB,$B478,13),0)</f>
        <v>0</v>
      </c>
      <c r="G478" s="276">
        <f t="array" ref="G478">IF($B478&gt;0,INDEX(DB,$B478,17),0)</f>
        <v>0</v>
      </c>
      <c r="H478" s="277">
        <f t="array" ref="H478">IF($B478&gt;0,INDEX(DB,$B478,15),0)</f>
        <v>0</v>
      </c>
      <c r="I478" s="276">
        <f t="array" ref="I478">IF($B478&gt;0,INDEX(DB,$B478,19),0)</f>
        <v>0</v>
      </c>
      <c r="J478" s="277">
        <f t="array" ref="J478">IF($B478&gt;0,INDEX(DB,$B478,14),0)</f>
        <v>0</v>
      </c>
      <c r="K478" s="276">
        <f t="array" ref="K478">IF($B478&gt;0,INDEX(DB,$B478,18),0)</f>
        <v>0</v>
      </c>
      <c r="L478" s="275">
        <f t="array" ref="L478">IF($B478&gt;0,INDEX(DB,$B478,16),0)</f>
        <v>0</v>
      </c>
      <c r="M478" s="276">
        <f t="array" ref="M478">IF($B478&gt;0,INDEX(DB,$B478,20),0)</f>
        <v>0</v>
      </c>
      <c r="N478" s="278"/>
      <c r="O478" s="279">
        <f t="shared" si="1"/>
        <v>0</v>
      </c>
      <c r="P478" s="280"/>
      <c r="Q478" s="261" t="str">
        <f t="shared" si="2"/>
        <v>#REF!</v>
      </c>
      <c r="R478" s="281" t="str">
        <f>IF($AI478&gt;0,RANK($AI478,BoysPoints),0)</f>
        <v>#REF!</v>
      </c>
      <c r="S478" s="282" t="str">
        <f>IF($AJ478&gt;0,RANK($AJ478,GirlsPoints),0)</f>
        <v>#REF!</v>
      </c>
      <c r="T478" s="283">
        <f>IF($O478&gt;0,RANK(O478,AthletePoints),0)</f>
        <v>0</v>
      </c>
      <c r="U478" s="210"/>
      <c r="V478" s="415" t="str">
        <f>IF(O478&gt;=40,IF(X478="M",VLOOKUP(O478,UKABoysAwards,2),IF(X478="F",VLOOKUP(O478,UKAGirlsAwards,2),"")),"")</f>
        <v/>
      </c>
      <c r="W478" s="210"/>
      <c r="X478" s="266" t="str">
        <f t="array" ref="X478:X479">INDEX(DB,$B478,4)</f>
        <v>#REF!</v>
      </c>
      <c r="Y478" s="210"/>
      <c r="Z478" s="285" t="str">
        <f t="shared" si="3"/>
        <v>#REF!</v>
      </c>
      <c r="AA478" s="286" t="str">
        <f>IF($Z478&gt;=1,RANK($Z478,$Z469:$Z484),0)</f>
        <v>#REF!</v>
      </c>
      <c r="AB478" s="287" t="str">
        <f>IF(AA478&lt;=MaxS,INT(Z478),0)</f>
        <v>#REF!</v>
      </c>
      <c r="AC478" s="210"/>
      <c r="AD478" s="285" t="str">
        <f t="shared" si="4"/>
        <v>#REF!</v>
      </c>
      <c r="AE478" s="286" t="str">
        <f>IF($AD478&gt;=1,RANK($AD478,$AD469:$AD484),0)</f>
        <v>#REF!</v>
      </c>
      <c r="AF478" s="287" t="str">
        <f>IF(AE478&lt;=MaxS,INT(AD478),0)</f>
        <v>#REF!</v>
      </c>
      <c r="AG478" s="210"/>
      <c r="AH478" s="210"/>
      <c r="AI478" s="288" t="str">
        <f t="shared" si="5"/>
        <v>#REF!</v>
      </c>
      <c r="AJ478" s="289" t="str">
        <f t="shared" si="6"/>
        <v>#REF!</v>
      </c>
    </row>
    <row r="479" ht="15.0" customHeight="1">
      <c r="A479" s="272"/>
      <c r="B479" s="250">
        <f>IF(OR(ISNA(MATCH(C479&amp;"",AthleteNumbers,0)),ISBLANK(C479)),0,MATCH(C479&amp;"",AthleteNumbers,0))</f>
        <v>0</v>
      </c>
      <c r="C479" s="413"/>
      <c r="D479" s="273" t="str">
        <f t="array" ref="D479">IF($B479&gt;0,INDEX(DB,$B479,8),"")</f>
        <v/>
      </c>
      <c r="E479" s="274" t="str">
        <f t="array" ref="E479">IF($B479&gt;0,INDEX(DB,$B479,3),"")</f>
        <v/>
      </c>
      <c r="F479" s="275">
        <f t="array" ref="F479">IF($B479&gt;0,INDEX(DB,$B479,13),0)</f>
        <v>0</v>
      </c>
      <c r="G479" s="276">
        <f t="array" ref="G479">IF($B479&gt;0,INDEX(DB,$B479,17),0)</f>
        <v>0</v>
      </c>
      <c r="H479" s="277">
        <f t="array" ref="H479">IF($B479&gt;0,INDEX(DB,$B479,15),0)</f>
        <v>0</v>
      </c>
      <c r="I479" s="276">
        <f t="array" ref="I479">IF($B479&gt;0,INDEX(DB,$B479,19),0)</f>
        <v>0</v>
      </c>
      <c r="J479" s="277">
        <f t="array" ref="J479">IF($B479&gt;0,INDEX(DB,$B479,14),0)</f>
        <v>0</v>
      </c>
      <c r="K479" s="276">
        <f t="array" ref="K479">IF($B479&gt;0,INDEX(DB,$B479,18),0)</f>
        <v>0</v>
      </c>
      <c r="L479" s="275">
        <f t="array" ref="L479">IF($B479&gt;0,INDEX(DB,$B479,16),0)</f>
        <v>0</v>
      </c>
      <c r="M479" s="276">
        <f t="array" ref="M479">IF($B479&gt;0,INDEX(DB,$B479,20),0)</f>
        <v>0</v>
      </c>
      <c r="N479" s="278"/>
      <c r="O479" s="279">
        <f t="shared" si="1"/>
        <v>0</v>
      </c>
      <c r="P479" s="280"/>
      <c r="Q479" s="261" t="str">
        <f t="shared" si="2"/>
        <v>#REF!</v>
      </c>
      <c r="R479" s="290" t="str">
        <f>IF($AI479&gt;0,RANK($AI479,BoysPoints),0)</f>
        <v>#REF!</v>
      </c>
      <c r="S479" s="291" t="str">
        <f>IF($AJ479&gt;0,RANK($AJ479,GirlsPoints),0)</f>
        <v>#REF!</v>
      </c>
      <c r="T479" s="292">
        <f>IF($O479&gt;0,RANK(O479,AthletePoints),0)</f>
        <v>0</v>
      </c>
      <c r="U479" s="210"/>
      <c r="V479" s="330" t="str">
        <f>IF(O479&gt;=40,IF(X479="M",VLOOKUP(O479,UKABoysAwards,2),IF(X479="F",VLOOKUP(O479,UKAGirlsAwards,2),"")),"")</f>
        <v/>
      </c>
      <c r="W479" s="210"/>
      <c r="X479" s="266" t="str">
        <f t="array" ref="X479:X480">INDEX(DB,$B479,4)</f>
        <v>#REF!</v>
      </c>
      <c r="Y479" s="210"/>
      <c r="Z479" s="285" t="str">
        <f t="shared" si="3"/>
        <v>#REF!</v>
      </c>
      <c r="AA479" s="286" t="str">
        <f>IF($Z479&gt;=1,RANK($Z479,$Z469:$Z484),0)</f>
        <v>#REF!</v>
      </c>
      <c r="AB479" s="287" t="str">
        <f>IF(AA479&lt;=MaxS,INT(Z479),0)</f>
        <v>#REF!</v>
      </c>
      <c r="AC479" s="210"/>
      <c r="AD479" s="285" t="str">
        <f t="shared" si="4"/>
        <v>#REF!</v>
      </c>
      <c r="AE479" s="286" t="str">
        <f>IF($AD479&gt;=1,RANK($AD479,$AD469:$AD484),0)</f>
        <v>#REF!</v>
      </c>
      <c r="AF479" s="287" t="str">
        <f>IF(AE479&lt;=MaxS,INT(AD479),0)</f>
        <v>#REF!</v>
      </c>
      <c r="AG479" s="210"/>
      <c r="AH479" s="210"/>
      <c r="AI479" s="288" t="str">
        <f t="shared" si="5"/>
        <v>#REF!</v>
      </c>
      <c r="AJ479" s="289" t="str">
        <f t="shared" si="6"/>
        <v>#REF!</v>
      </c>
    </row>
    <row r="480" ht="15.0" customHeight="1">
      <c r="A480" s="272"/>
      <c r="B480" s="250">
        <f>IF(OR(ISNA(MATCH(C480&amp;"",AthleteNumbers,0)),ISBLANK(C480)),0,MATCH(C480&amp;"",AthleteNumbers,0))</f>
        <v>0</v>
      </c>
      <c r="C480" s="413"/>
      <c r="D480" s="273" t="str">
        <f t="array" ref="D480">IF($B480&gt;0,INDEX(DB,$B480,8),"")</f>
        <v/>
      </c>
      <c r="E480" s="274" t="str">
        <f t="array" ref="E480">IF($B480&gt;0,INDEX(DB,$B480,3),"")</f>
        <v/>
      </c>
      <c r="F480" s="275">
        <f t="array" ref="F480">IF($B480&gt;0,INDEX(DB,$B480,13),0)</f>
        <v>0</v>
      </c>
      <c r="G480" s="276">
        <f t="array" ref="G480">IF($B480&gt;0,INDEX(DB,$B480,17),0)</f>
        <v>0</v>
      </c>
      <c r="H480" s="277">
        <f t="array" ref="H480">IF($B480&gt;0,INDEX(DB,$B480,15),0)</f>
        <v>0</v>
      </c>
      <c r="I480" s="276">
        <f t="array" ref="I480">IF($B480&gt;0,INDEX(DB,$B480,19),0)</f>
        <v>0</v>
      </c>
      <c r="J480" s="277">
        <f t="array" ref="J480">IF($B480&gt;0,INDEX(DB,$B480,14),0)</f>
        <v>0</v>
      </c>
      <c r="K480" s="276">
        <f t="array" ref="K480">IF($B480&gt;0,INDEX(DB,$B480,18),0)</f>
        <v>0</v>
      </c>
      <c r="L480" s="275">
        <f t="array" ref="L480">IF($B480&gt;0,INDEX(DB,$B480,16),0)</f>
        <v>0</v>
      </c>
      <c r="M480" s="276">
        <f t="array" ref="M480">IF($B480&gt;0,INDEX(DB,$B480,20),0)</f>
        <v>0</v>
      </c>
      <c r="N480" s="278"/>
      <c r="O480" s="279">
        <f t="shared" si="1"/>
        <v>0</v>
      </c>
      <c r="P480" s="280"/>
      <c r="Q480" s="261" t="str">
        <f t="shared" si="2"/>
        <v>#REF!</v>
      </c>
      <c r="R480" s="281" t="str">
        <f>IF($AI480&gt;0,RANK($AI480,BoysPoints),0)</f>
        <v>#REF!</v>
      </c>
      <c r="S480" s="282" t="str">
        <f>IF($AJ480&gt;0,RANK($AJ480,GirlsPoints),0)</f>
        <v>#REF!</v>
      </c>
      <c r="T480" s="283">
        <f>IF($O480&gt;0,RANK(O480,AthletePoints),0)</f>
        <v>0</v>
      </c>
      <c r="U480" s="210"/>
      <c r="V480" s="415" t="str">
        <f>IF(O480&gt;=40,IF(X480="M",VLOOKUP(O480,UKABoysAwards,2),IF(X480="F",VLOOKUP(O480,UKAGirlsAwards,2),"")),"")</f>
        <v/>
      </c>
      <c r="W480" s="210"/>
      <c r="X480" s="266" t="str">
        <f t="array" ref="X480:X481">INDEX(DB,$B480,4)</f>
        <v>#REF!</v>
      </c>
      <c r="Y480" s="210"/>
      <c r="Z480" s="285" t="str">
        <f t="shared" si="3"/>
        <v>#REF!</v>
      </c>
      <c r="AA480" s="286" t="str">
        <f>IF($Z480&gt;=1,RANK($Z480,$Z469:$Z484),0)</f>
        <v>#REF!</v>
      </c>
      <c r="AB480" s="287" t="str">
        <f>IF(AA480&lt;=MaxS,INT(Z480),0)</f>
        <v>#REF!</v>
      </c>
      <c r="AC480" s="210"/>
      <c r="AD480" s="285" t="str">
        <f t="shared" si="4"/>
        <v>#REF!</v>
      </c>
      <c r="AE480" s="286" t="str">
        <f>IF($AD480&gt;=1,RANK($AD480,$AD469:$AD484),0)</f>
        <v>#REF!</v>
      </c>
      <c r="AF480" s="287" t="str">
        <f>IF(AE480&lt;=MaxS,INT(AD480),0)</f>
        <v>#REF!</v>
      </c>
      <c r="AG480" s="210"/>
      <c r="AH480" s="210"/>
      <c r="AI480" s="288" t="str">
        <f t="shared" si="5"/>
        <v>#REF!</v>
      </c>
      <c r="AJ480" s="289" t="str">
        <f t="shared" si="6"/>
        <v>#REF!</v>
      </c>
    </row>
    <row r="481" ht="15.0" customHeight="1">
      <c r="A481" s="272"/>
      <c r="B481" s="250">
        <f>IF(OR(ISNA(MATCH(C481&amp;"",AthleteNumbers,0)),ISBLANK(C481)),0,MATCH(C481&amp;"",AthleteNumbers,0))</f>
        <v>0</v>
      </c>
      <c r="C481" s="413"/>
      <c r="D481" s="273" t="str">
        <f t="array" ref="D481">IF($B481&gt;0,INDEX(DB,$B481,8),"")</f>
        <v/>
      </c>
      <c r="E481" s="274" t="str">
        <f t="array" ref="E481">IF($B481&gt;0,INDEX(DB,$B481,3),"")</f>
        <v/>
      </c>
      <c r="F481" s="275">
        <f t="array" ref="F481">IF($B481&gt;0,INDEX(DB,$B481,13),0)</f>
        <v>0</v>
      </c>
      <c r="G481" s="276">
        <f t="array" ref="G481">IF($B481&gt;0,INDEX(DB,$B481,17),0)</f>
        <v>0</v>
      </c>
      <c r="H481" s="277">
        <f t="array" ref="H481">IF($B481&gt;0,INDEX(DB,$B481,15),0)</f>
        <v>0</v>
      </c>
      <c r="I481" s="276">
        <f t="array" ref="I481">IF($B481&gt;0,INDEX(DB,$B481,19),0)</f>
        <v>0</v>
      </c>
      <c r="J481" s="277">
        <f t="array" ref="J481">IF($B481&gt;0,INDEX(DB,$B481,14),0)</f>
        <v>0</v>
      </c>
      <c r="K481" s="276">
        <f t="array" ref="K481">IF($B481&gt;0,INDEX(DB,$B481,18),0)</f>
        <v>0</v>
      </c>
      <c r="L481" s="275">
        <f t="array" ref="L481">IF($B481&gt;0,INDEX(DB,$B481,16),0)</f>
        <v>0</v>
      </c>
      <c r="M481" s="276">
        <f t="array" ref="M481">IF($B481&gt;0,INDEX(DB,$B481,20),0)</f>
        <v>0</v>
      </c>
      <c r="N481" s="278"/>
      <c r="O481" s="279">
        <f t="shared" si="1"/>
        <v>0</v>
      </c>
      <c r="P481" s="280"/>
      <c r="Q481" s="261" t="str">
        <f t="shared" si="2"/>
        <v>#REF!</v>
      </c>
      <c r="R481" s="290" t="str">
        <f>IF($AI481&gt;0,RANK($AI481,BoysPoints),0)</f>
        <v>#REF!</v>
      </c>
      <c r="S481" s="291" t="str">
        <f>IF($AJ481&gt;0,RANK($AJ481,GirlsPoints),0)</f>
        <v>#REF!</v>
      </c>
      <c r="T481" s="292">
        <f>IF($O481&gt;0,RANK(O481,AthletePoints),0)</f>
        <v>0</v>
      </c>
      <c r="U481" s="210"/>
      <c r="V481" s="330" t="str">
        <f>IF(O481&gt;=40,IF(X481="M",VLOOKUP(O481,UKABoysAwards,2),IF(X481="F",VLOOKUP(O481,UKAGirlsAwards,2),"")),"")</f>
        <v/>
      </c>
      <c r="W481" s="210"/>
      <c r="X481" s="266" t="str">
        <f t="array" ref="X481:X482">INDEX(DB,$B481,4)</f>
        <v>#REF!</v>
      </c>
      <c r="Y481" s="210"/>
      <c r="Z481" s="285" t="str">
        <f t="shared" si="3"/>
        <v>#REF!</v>
      </c>
      <c r="AA481" s="286" t="str">
        <f>IF($Z481&gt;=1,RANK($Z481,$Z469:$Z484),0)</f>
        <v>#REF!</v>
      </c>
      <c r="AB481" s="287" t="str">
        <f>IF(AA481&lt;=MaxS,INT(Z481),0)</f>
        <v>#REF!</v>
      </c>
      <c r="AC481" s="210"/>
      <c r="AD481" s="285" t="str">
        <f t="shared" si="4"/>
        <v>#REF!</v>
      </c>
      <c r="AE481" s="286" t="str">
        <f>IF($AD481&gt;=1,RANK($AD481,$AD469:$AD484),0)</f>
        <v>#REF!</v>
      </c>
      <c r="AF481" s="287" t="str">
        <f>IF(AE481&lt;=MaxS,INT(AD481),0)</f>
        <v>#REF!</v>
      </c>
      <c r="AG481" s="210"/>
      <c r="AH481" s="210"/>
      <c r="AI481" s="288" t="str">
        <f t="shared" si="5"/>
        <v>#REF!</v>
      </c>
      <c r="AJ481" s="289" t="str">
        <f t="shared" si="6"/>
        <v>#REF!</v>
      </c>
    </row>
    <row r="482" ht="15.0" customHeight="1">
      <c r="A482" s="272"/>
      <c r="B482" s="250">
        <f>IF(OR(ISNA(MATCH(C482&amp;"",AthleteNumbers,0)),ISBLANK(C482)),0,MATCH(C482&amp;"",AthleteNumbers,0))</f>
        <v>0</v>
      </c>
      <c r="C482" s="413"/>
      <c r="D482" s="273" t="str">
        <f t="array" ref="D482">IF($B482&gt;0,INDEX(DB,$B482,8),"")</f>
        <v/>
      </c>
      <c r="E482" s="274" t="str">
        <f t="array" ref="E482">IF($B482&gt;0,INDEX(DB,$B482,3),"")</f>
        <v/>
      </c>
      <c r="F482" s="275">
        <f t="array" ref="F482">IF($B482&gt;0,INDEX(DB,$B482,13),0)</f>
        <v>0</v>
      </c>
      <c r="G482" s="276">
        <f t="array" ref="G482">IF($B482&gt;0,INDEX(DB,$B482,17),0)</f>
        <v>0</v>
      </c>
      <c r="H482" s="277">
        <f t="array" ref="H482">IF($B482&gt;0,INDEX(DB,$B482,15),0)</f>
        <v>0</v>
      </c>
      <c r="I482" s="276">
        <f t="array" ref="I482">IF($B482&gt;0,INDEX(DB,$B482,19),0)</f>
        <v>0</v>
      </c>
      <c r="J482" s="277">
        <f t="array" ref="J482">IF($B482&gt;0,INDEX(DB,$B482,14),0)</f>
        <v>0</v>
      </c>
      <c r="K482" s="276">
        <f t="array" ref="K482">IF($B482&gt;0,INDEX(DB,$B482,18),0)</f>
        <v>0</v>
      </c>
      <c r="L482" s="275">
        <f t="array" ref="L482">IF($B482&gt;0,INDEX(DB,$B482,16),0)</f>
        <v>0</v>
      </c>
      <c r="M482" s="276">
        <f t="array" ref="M482">IF($B482&gt;0,INDEX(DB,$B482,20),0)</f>
        <v>0</v>
      </c>
      <c r="N482" s="278"/>
      <c r="O482" s="279">
        <f t="shared" si="1"/>
        <v>0</v>
      </c>
      <c r="P482" s="280"/>
      <c r="Q482" s="261" t="str">
        <f t="shared" si="2"/>
        <v>#REF!</v>
      </c>
      <c r="R482" s="281" t="str">
        <f>IF($AI482&gt;0,RANK($AI482,BoysPoints),0)</f>
        <v>#REF!</v>
      </c>
      <c r="S482" s="282" t="str">
        <f>IF($AJ482&gt;0,RANK($AJ482,GirlsPoints),0)</f>
        <v>#REF!</v>
      </c>
      <c r="T482" s="283">
        <f>IF($O482&gt;0,RANK(O482,AthletePoints),0)</f>
        <v>0</v>
      </c>
      <c r="U482" s="210"/>
      <c r="V482" s="415" t="str">
        <f>IF(O482&gt;=40,IF(X482="M",VLOOKUP(O482,UKABoysAwards,2),IF(X482="F",VLOOKUP(O482,UKAGirlsAwards,2),"")),"")</f>
        <v/>
      </c>
      <c r="W482" s="210"/>
      <c r="X482" s="266" t="str">
        <f t="array" ref="X482:X483">INDEX(DB,$B482,4)</f>
        <v>#REF!</v>
      </c>
      <c r="Y482" s="210"/>
      <c r="Z482" s="285" t="str">
        <f t="shared" si="3"/>
        <v>#REF!</v>
      </c>
      <c r="AA482" s="286" t="str">
        <f>IF($Z482&gt;=1,RANK($Z482,$Z469:$Z484),0)</f>
        <v>#REF!</v>
      </c>
      <c r="AB482" s="287" t="str">
        <f>IF(AA482&lt;=MaxS,INT(Z482),0)</f>
        <v>#REF!</v>
      </c>
      <c r="AC482" s="210"/>
      <c r="AD482" s="285" t="str">
        <f t="shared" si="4"/>
        <v>#REF!</v>
      </c>
      <c r="AE482" s="286" t="str">
        <f>IF($AD482&gt;=1,RANK($AD482,$AD469:$AD484),0)</f>
        <v>#REF!</v>
      </c>
      <c r="AF482" s="287" t="str">
        <f>IF(AE482&lt;=MaxS,INT(AD482),0)</f>
        <v>#REF!</v>
      </c>
      <c r="AG482" s="210"/>
      <c r="AH482" s="210"/>
      <c r="AI482" s="288" t="str">
        <f t="shared" si="5"/>
        <v>#REF!</v>
      </c>
      <c r="AJ482" s="289" t="str">
        <f t="shared" si="6"/>
        <v>#REF!</v>
      </c>
    </row>
    <row r="483" ht="15.0" customHeight="1">
      <c r="A483" s="272"/>
      <c r="B483" s="250">
        <f>IF(OR(ISNA(MATCH(C483&amp;"",AthleteNumbers,0)),ISBLANK(C483)),0,MATCH(C483&amp;"",AthleteNumbers,0))</f>
        <v>0</v>
      </c>
      <c r="C483" s="413"/>
      <c r="D483" s="273" t="str">
        <f t="array" ref="D483">IF($B483&gt;0,INDEX(DB,$B483,8),"")</f>
        <v/>
      </c>
      <c r="E483" s="274" t="str">
        <f t="array" ref="E483">IF($B483&gt;0,INDEX(DB,$B483,3),"")</f>
        <v/>
      </c>
      <c r="F483" s="275">
        <f t="array" ref="F483">IF($B483&gt;0,INDEX(DB,$B483,13),0)</f>
        <v>0</v>
      </c>
      <c r="G483" s="276">
        <f t="array" ref="G483">IF($B483&gt;0,INDEX(DB,$B483,17),0)</f>
        <v>0</v>
      </c>
      <c r="H483" s="277">
        <f t="array" ref="H483">IF($B483&gt;0,INDEX(DB,$B483,15),0)</f>
        <v>0</v>
      </c>
      <c r="I483" s="276">
        <f t="array" ref="I483">IF($B483&gt;0,INDEX(DB,$B483,19),0)</f>
        <v>0</v>
      </c>
      <c r="J483" s="277">
        <f t="array" ref="J483">IF($B483&gt;0,INDEX(DB,$B483,14),0)</f>
        <v>0</v>
      </c>
      <c r="K483" s="276">
        <f t="array" ref="K483">IF($B483&gt;0,INDEX(DB,$B483,18),0)</f>
        <v>0</v>
      </c>
      <c r="L483" s="275">
        <f t="array" ref="L483">IF($B483&gt;0,INDEX(DB,$B483,16),0)</f>
        <v>0</v>
      </c>
      <c r="M483" s="276">
        <f t="array" ref="M483">IF($B483&gt;0,INDEX(DB,$B483,20),0)</f>
        <v>0</v>
      </c>
      <c r="N483" s="278"/>
      <c r="O483" s="279">
        <f t="shared" si="1"/>
        <v>0</v>
      </c>
      <c r="P483" s="280"/>
      <c r="Q483" s="261" t="str">
        <f t="shared" si="2"/>
        <v>#REF!</v>
      </c>
      <c r="R483" s="290" t="str">
        <f>IF($AI483&gt;0,RANK($AI483,BoysPoints),0)</f>
        <v>#REF!</v>
      </c>
      <c r="S483" s="291" t="str">
        <f>IF($AJ483&gt;0,RANK($AJ483,GirlsPoints),0)</f>
        <v>#REF!</v>
      </c>
      <c r="T483" s="292">
        <f>IF($O483&gt;0,RANK(O483,AthletePoints),0)</f>
        <v>0</v>
      </c>
      <c r="U483" s="210"/>
      <c r="V483" s="330" t="str">
        <f>IF(O483&gt;=40,IF(X483="M",VLOOKUP(O483,UKABoysAwards,2),IF(X483="F",VLOOKUP(O483,UKAGirlsAwards,2),"")),"")</f>
        <v/>
      </c>
      <c r="W483" s="210"/>
      <c r="X483" s="266" t="str">
        <f t="array" ref="X483:X484">INDEX(DB,$B483,4)</f>
        <v>#REF!</v>
      </c>
      <c r="Y483" s="210"/>
      <c r="Z483" s="285" t="str">
        <f t="shared" si="3"/>
        <v>#REF!</v>
      </c>
      <c r="AA483" s="286" t="str">
        <f>IF($Z483&gt;=1,RANK($Z483,$Z469:$Z484),0)</f>
        <v>#REF!</v>
      </c>
      <c r="AB483" s="287" t="str">
        <f>IF(AA483&lt;=MaxS,INT(Z483),0)</f>
        <v>#REF!</v>
      </c>
      <c r="AC483" s="210"/>
      <c r="AD483" s="285" t="str">
        <f t="shared" si="4"/>
        <v>#REF!</v>
      </c>
      <c r="AE483" s="286" t="str">
        <f>IF($AD483&gt;=1,RANK($AD483,$AD469:$AD484),0)</f>
        <v>#REF!</v>
      </c>
      <c r="AF483" s="287" t="str">
        <f>IF(AE483&lt;=MaxS,INT(AD483),0)</f>
        <v>#REF!</v>
      </c>
      <c r="AG483" s="210"/>
      <c r="AH483" s="210"/>
      <c r="AI483" s="288" t="str">
        <f t="shared" si="5"/>
        <v>#REF!</v>
      </c>
      <c r="AJ483" s="289" t="str">
        <f t="shared" si="6"/>
        <v>#REF!</v>
      </c>
    </row>
    <row r="484" ht="15.0" customHeight="1">
      <c r="A484" s="305"/>
      <c r="B484" s="250">
        <f>IF(OR(ISNA(MATCH(C484&amp;"",AthleteNumbers,0)),ISBLANK(C484)),0,MATCH(C484&amp;"",AthleteNumbers,0))</f>
        <v>0</v>
      </c>
      <c r="C484" s="443"/>
      <c r="D484" s="306" t="str">
        <f t="array" ref="D484">IF($B484&gt;0,INDEX(DB,$B484,8),"")</f>
        <v/>
      </c>
      <c r="E484" s="307" t="str">
        <f t="array" ref="E484">IF($B484&gt;0,INDEX(DB,$B484,3),"")</f>
        <v/>
      </c>
      <c r="F484" s="308">
        <f t="array" ref="F484">IF($B484&gt;0,INDEX(DB,$B484,13),0)</f>
        <v>0</v>
      </c>
      <c r="G484" s="309">
        <f t="array" ref="G484">IF($B484&gt;0,INDEX(DB,$B484,17),0)</f>
        <v>0</v>
      </c>
      <c r="H484" s="310">
        <f t="array" ref="H484">IF($B484&gt;0,INDEX(DB,$B484,15),0)</f>
        <v>0</v>
      </c>
      <c r="I484" s="309">
        <f t="array" ref="I484">IF($B484&gt;0,INDEX(DB,$B484,19),0)</f>
        <v>0</v>
      </c>
      <c r="J484" s="310">
        <f t="array" ref="J484">IF($B484&gt;0,INDEX(DB,$B484,14),0)</f>
        <v>0</v>
      </c>
      <c r="K484" s="309">
        <f t="array" ref="K484">IF($B484&gt;0,INDEX(DB,$B484,18),0)</f>
        <v>0</v>
      </c>
      <c r="L484" s="308">
        <f t="array" ref="L484">IF($B484&gt;0,INDEX(DB,$B484,16),0)</f>
        <v>0</v>
      </c>
      <c r="M484" s="309">
        <f t="array" ref="M484">IF($B484&gt;0,INDEX(DB,$B484,20),0)</f>
        <v>0</v>
      </c>
      <c r="N484" s="25"/>
      <c r="O484" s="311">
        <f t="shared" si="1"/>
        <v>0</v>
      </c>
      <c r="P484" s="31"/>
      <c r="Q484" s="261" t="str">
        <f t="shared" si="2"/>
        <v>#REF!</v>
      </c>
      <c r="R484" s="312" t="str">
        <f>IF($AI484&gt;0,RANK($AI484,BoysPoints),0)</f>
        <v>#REF!</v>
      </c>
      <c r="S484" s="313" t="str">
        <f>IF($AJ484&gt;0,RANK($AJ484,GirlsPoints),0)</f>
        <v>#REF!</v>
      </c>
      <c r="T484" s="314">
        <f>IF($O484&gt;0,RANK(O484,AthletePoints),0)</f>
        <v>0</v>
      </c>
      <c r="U484" s="210"/>
      <c r="V484" s="444" t="str">
        <f>IF(O484&gt;=40,IF(X484="M",VLOOKUP(O484,UKABoysAwards,2),IF(X484="F",VLOOKUP(O484,UKAGirlsAwards,2),"")),"")</f>
        <v/>
      </c>
      <c r="W484" s="210"/>
      <c r="X484" s="266" t="str">
        <f t="array" ref="X484:X485">INDEX(DB,$B484,4)</f>
        <v>#REF!</v>
      </c>
      <c r="Y484" s="210"/>
      <c r="Z484" s="316" t="str">
        <f t="shared" si="3"/>
        <v>#REF!</v>
      </c>
      <c r="AA484" s="243" t="str">
        <f>IF($Z484&gt;=1,RANK($Z484,$Z469:$Z484),0)</f>
        <v>#REF!</v>
      </c>
      <c r="AB484" s="245" t="str">
        <f>IF(AA484&lt;=MaxS,INT(Z484),0)</f>
        <v>#REF!</v>
      </c>
      <c r="AC484" s="210" t="str">
        <f>SUM(AB469:AB484)</f>
        <v>#REF!</v>
      </c>
      <c r="AD484" s="316" t="str">
        <f t="shared" si="4"/>
        <v>#REF!</v>
      </c>
      <c r="AE484" s="243" t="str">
        <f>IF($AD484&gt;=1,RANK($AD484,$AD469:$AD484),0)</f>
        <v>#REF!</v>
      </c>
      <c r="AF484" s="245" t="str">
        <f>IF(AE484&lt;=MaxS,INT(AD484),0)</f>
        <v>#REF!</v>
      </c>
      <c r="AG484" s="210" t="str">
        <f>SUM(AF469:AF484)</f>
        <v>#REF!</v>
      </c>
      <c r="AH484" s="210"/>
      <c r="AI484" s="246" t="str">
        <f t="shared" si="5"/>
        <v>#REF!</v>
      </c>
      <c r="AJ484" s="247" t="str">
        <f t="shared" si="6"/>
        <v>#REF!</v>
      </c>
    </row>
    <row r="485" ht="15.0" customHeight="1">
      <c r="A485" s="248"/>
      <c r="B485" s="250">
        <f>IF(OR(ISNA(MATCH(C485&amp;"",AthleteNumbers,0)),ISBLANK(C485)),0,MATCH(C485&amp;"",AthleteNumbers,0))</f>
        <v>0</v>
      </c>
      <c r="C485" s="251"/>
      <c r="D485" s="252" t="str">
        <f t="array" ref="D485">IF($B485&gt;0,INDEX(DB,$B485,8),"")</f>
        <v/>
      </c>
      <c r="E485" s="253" t="str">
        <f t="array" ref="E485">IF($B485&gt;0,INDEX(DB,$B485,3),"")</f>
        <v/>
      </c>
      <c r="F485" s="254">
        <f t="array" ref="F485">IF($B485&gt;0,INDEX(DB,$B485,13),0)</f>
        <v>0</v>
      </c>
      <c r="G485" s="255">
        <f t="array" ref="G485">IF($B485&gt;0,INDEX(DB,$B485,17),0)</f>
        <v>0</v>
      </c>
      <c r="H485" s="257">
        <f t="array" ref="H485">IF($B485&gt;0,INDEX(DB,$B485,15),0)</f>
        <v>0</v>
      </c>
      <c r="I485" s="255">
        <f t="array" ref="I485">IF($B485&gt;0,INDEX(DB,$B485,19),0)</f>
        <v>0</v>
      </c>
      <c r="J485" s="257">
        <f t="array" ref="J485">IF($B485&gt;0,INDEX(DB,$B485,14),0)</f>
        <v>0</v>
      </c>
      <c r="K485" s="255">
        <f t="array" ref="K485">IF($B485&gt;0,INDEX(DB,$B485,18),0)</f>
        <v>0</v>
      </c>
      <c r="L485" s="254">
        <f t="array" ref="L485">IF($B485&gt;0,INDEX(DB,$B485,16),0)</f>
        <v>0</v>
      </c>
      <c r="M485" s="255">
        <f t="array" ref="M485">IF($B485&gt;0,INDEX(DB,$B485,20),0)</f>
        <v>0</v>
      </c>
      <c r="N485" s="258" t="str">
        <f t="array" ref="N485:N501">INDEX(RelayPoints,A500)</f>
        <v>#REF!</v>
      </c>
      <c r="O485" s="259">
        <f t="shared" si="1"/>
        <v>0</v>
      </c>
      <c r="P485" s="260" t="str">
        <f>+AC500+AG500+N485</f>
        <v>#REF!</v>
      </c>
      <c r="Q485" s="261" t="str">
        <f t="shared" si="2"/>
        <v>#REF!</v>
      </c>
      <c r="R485" s="262" t="str">
        <f>IF($AI485&gt;0,RANK($AI485,BoysPoints),0)</f>
        <v>#REF!</v>
      </c>
      <c r="S485" s="263" t="str">
        <f>IF($AJ485&gt;0,RANK($AJ485,GirlsPoints),0)</f>
        <v>#REF!</v>
      </c>
      <c r="T485" s="264">
        <f>IF($O485&gt;0,RANK(O485,AthletePoints),0)</f>
        <v>0</v>
      </c>
      <c r="U485" s="210"/>
      <c r="V485" s="317" t="str">
        <f>IF(O485&gt;=40,IF(X485="M",VLOOKUP(O485,UKABoysAwards,2),IF(X485="F",VLOOKUP(O485,UKAGirlsAwards,2),"")),"")</f>
        <v/>
      </c>
      <c r="W485" s="210"/>
      <c r="X485" s="266" t="str">
        <f t="array" ref="X485:X486">INDEX(DB,$B485,4)</f>
        <v>#REF!</v>
      </c>
      <c r="Y485" s="210"/>
      <c r="Z485" s="267" t="str">
        <f t="shared" si="3"/>
        <v>#REF!</v>
      </c>
      <c r="AA485" s="268" t="str">
        <f>IF($Z485&gt;=1,RANK($Z485,$Z485:$Z500),0)</f>
        <v>#REF!</v>
      </c>
      <c r="AB485" s="269" t="str">
        <f>IF(AA485&lt;=MaxS,INT(Z485),0)</f>
        <v>#REF!</v>
      </c>
      <c r="AC485" s="210"/>
      <c r="AD485" s="267" t="str">
        <f t="shared" si="4"/>
        <v>#REF!</v>
      </c>
      <c r="AE485" s="268" t="str">
        <f>IF($AD485&gt;=1,RANK($AD485,$AD485:$AD500),0)</f>
        <v>#REF!</v>
      </c>
      <c r="AF485" s="269" t="str">
        <f>IF(AE485&lt;=MaxS,INT(AD485),0)</f>
        <v>#REF!</v>
      </c>
      <c r="AG485" s="210"/>
      <c r="AH485" s="210"/>
      <c r="AI485" s="288" t="str">
        <f t="shared" si="5"/>
        <v>#REF!</v>
      </c>
      <c r="AJ485" s="289" t="str">
        <f t="shared" si="6"/>
        <v>#REF!</v>
      </c>
    </row>
    <row r="486" ht="15.0" customHeight="1">
      <c r="A486" s="272"/>
      <c r="B486" s="250">
        <f>IF(OR(ISNA(MATCH(C486&amp;"",AthleteNumbers,0)),ISBLANK(C486)),0,MATCH(C486&amp;"",AthleteNumbers,0))</f>
        <v>0</v>
      </c>
      <c r="C486" s="413"/>
      <c r="D486" s="273" t="str">
        <f t="array" ref="D486">IF($B486&gt;0,INDEX(DB,$B486,8),"")</f>
        <v/>
      </c>
      <c r="E486" s="274" t="str">
        <f t="array" ref="E486">IF($B486&gt;0,INDEX(DB,$B486,3),"")</f>
        <v/>
      </c>
      <c r="F486" s="275">
        <f t="array" ref="F486">IF($B486&gt;0,INDEX(DB,$B486,13),0)</f>
        <v>0</v>
      </c>
      <c r="G486" s="276">
        <f t="array" ref="G486">IF($B486&gt;0,INDEX(DB,$B486,17),0)</f>
        <v>0</v>
      </c>
      <c r="H486" s="277">
        <f t="array" ref="H486">IF($B486&gt;0,INDEX(DB,$B486,15),0)</f>
        <v>0</v>
      </c>
      <c r="I486" s="276">
        <f t="array" ref="I486">IF($B486&gt;0,INDEX(DB,$B486,19),0)</f>
        <v>0</v>
      </c>
      <c r="J486" s="277">
        <f t="array" ref="J486">IF($B486&gt;0,INDEX(DB,$B486,14),0)</f>
        <v>0</v>
      </c>
      <c r="K486" s="276">
        <f t="array" ref="K486">IF($B486&gt;0,INDEX(DB,$B486,18),0)</f>
        <v>0</v>
      </c>
      <c r="L486" s="275">
        <f t="array" ref="L486">IF($B486&gt;0,INDEX(DB,$B486,16),0)</f>
        <v>0</v>
      </c>
      <c r="M486" s="276">
        <f t="array" ref="M486">IF($B486&gt;0,INDEX(DB,$B486,20),0)</f>
        <v>0</v>
      </c>
      <c r="N486" s="278"/>
      <c r="O486" s="279">
        <f t="shared" si="1"/>
        <v>0</v>
      </c>
      <c r="P486" s="280"/>
      <c r="Q486" s="261" t="str">
        <f t="shared" si="2"/>
        <v>#REF!</v>
      </c>
      <c r="R486" s="281" t="str">
        <f>IF($AI486&gt;0,RANK($AI486,BoysPoints),0)</f>
        <v>#REF!</v>
      </c>
      <c r="S486" s="282" t="str">
        <f>IF($AJ486&gt;0,RANK($AJ486,GirlsPoints),0)</f>
        <v>#REF!</v>
      </c>
      <c r="T486" s="283">
        <f>IF($O486&gt;0,RANK(O486,AthletePoints),0)</f>
        <v>0</v>
      </c>
      <c r="U486" s="210"/>
      <c r="V486" s="415" t="str">
        <f>IF(O486&gt;=40,IF(X486="M",VLOOKUP(O486,UKABoysAwards,2),IF(X486="F",VLOOKUP(O486,UKAGirlsAwards,2),"")),"")</f>
        <v/>
      </c>
      <c r="W486" s="210"/>
      <c r="X486" s="266" t="str">
        <f t="array" ref="X486:X487">INDEX(DB,$B486,4)</f>
        <v>#REF!</v>
      </c>
      <c r="Y486" s="210"/>
      <c r="Z486" s="285" t="str">
        <f t="shared" si="3"/>
        <v>#REF!</v>
      </c>
      <c r="AA486" s="286" t="str">
        <f>IF($Z486&gt;=1,RANK($Z486,$Z485:$Z500),0)</f>
        <v>#REF!</v>
      </c>
      <c r="AB486" s="287" t="str">
        <f>IF(AA486&lt;=MaxS,INT(Z486),0)</f>
        <v>#REF!</v>
      </c>
      <c r="AC486" s="210"/>
      <c r="AD486" s="285" t="str">
        <f t="shared" si="4"/>
        <v>#REF!</v>
      </c>
      <c r="AE486" s="286" t="str">
        <f>IF($AD486&gt;=1,RANK($AD486,$AD485:$AD500),0)</f>
        <v>#REF!</v>
      </c>
      <c r="AF486" s="287" t="str">
        <f>IF(AE486&lt;=MaxS,INT(AD486),0)</f>
        <v>#REF!</v>
      </c>
      <c r="AG486" s="210"/>
      <c r="AH486" s="210"/>
      <c r="AI486" s="288" t="str">
        <f t="shared" si="5"/>
        <v>#REF!</v>
      </c>
      <c r="AJ486" s="289" t="str">
        <f t="shared" si="6"/>
        <v>#REF!</v>
      </c>
    </row>
    <row r="487" ht="15.0" customHeight="1">
      <c r="A487" s="272"/>
      <c r="B487" s="250">
        <f>IF(OR(ISNA(MATCH(C487&amp;"",AthleteNumbers,0)),ISBLANK(C487)),0,MATCH(C487&amp;"",AthleteNumbers,0))</f>
        <v>0</v>
      </c>
      <c r="C487" s="413"/>
      <c r="D487" s="273" t="str">
        <f t="array" ref="D487">IF($B487&gt;0,INDEX(DB,$B487,8),"")</f>
        <v/>
      </c>
      <c r="E487" s="274" t="str">
        <f t="array" ref="E487">IF($B487&gt;0,INDEX(DB,$B487,3),"")</f>
        <v/>
      </c>
      <c r="F487" s="275">
        <f t="array" ref="F487">IF($B487&gt;0,INDEX(DB,$B487,13),0)</f>
        <v>0</v>
      </c>
      <c r="G487" s="276">
        <f t="array" ref="G487">IF($B487&gt;0,INDEX(DB,$B487,17),0)</f>
        <v>0</v>
      </c>
      <c r="H487" s="277">
        <f t="array" ref="H487">IF($B487&gt;0,INDEX(DB,$B487,15),0)</f>
        <v>0</v>
      </c>
      <c r="I487" s="276">
        <f t="array" ref="I487">IF($B487&gt;0,INDEX(DB,$B487,19),0)</f>
        <v>0</v>
      </c>
      <c r="J487" s="277">
        <f t="array" ref="J487">IF($B487&gt;0,INDEX(DB,$B487,14),0)</f>
        <v>0</v>
      </c>
      <c r="K487" s="276">
        <f t="array" ref="K487">IF($B487&gt;0,INDEX(DB,$B487,18),0)</f>
        <v>0</v>
      </c>
      <c r="L487" s="275">
        <f t="array" ref="L487">IF($B487&gt;0,INDEX(DB,$B487,16),0)</f>
        <v>0</v>
      </c>
      <c r="M487" s="276">
        <f t="array" ref="M487">IF($B487&gt;0,INDEX(DB,$B487,20),0)</f>
        <v>0</v>
      </c>
      <c r="N487" s="278"/>
      <c r="O487" s="279">
        <f t="shared" si="1"/>
        <v>0</v>
      </c>
      <c r="P487" s="280"/>
      <c r="Q487" s="261" t="str">
        <f t="shared" si="2"/>
        <v>#REF!</v>
      </c>
      <c r="R487" s="290" t="str">
        <f>IF($AI487&gt;0,RANK($AI487,BoysPoints),0)</f>
        <v>#REF!</v>
      </c>
      <c r="S487" s="291" t="str">
        <f>IF($AJ487&gt;0,RANK($AJ487,GirlsPoints),0)</f>
        <v>#REF!</v>
      </c>
      <c r="T487" s="292">
        <f>IF($O487&gt;0,RANK(O487,AthletePoints),0)</f>
        <v>0</v>
      </c>
      <c r="U487" s="210"/>
      <c r="V487" s="330" t="str">
        <f>IF(O487&gt;=40,IF(X487="M",VLOOKUP(O487,UKABoysAwards,2),IF(X487="F",VLOOKUP(O487,UKAGirlsAwards,2),"")),"")</f>
        <v/>
      </c>
      <c r="W487" s="210"/>
      <c r="X487" s="266" t="str">
        <f t="array" ref="X487:X488">INDEX(DB,$B487,4)</f>
        <v>#REF!</v>
      </c>
      <c r="Y487" s="210"/>
      <c r="Z487" s="285" t="str">
        <f t="shared" si="3"/>
        <v>#REF!</v>
      </c>
      <c r="AA487" s="286" t="str">
        <f>IF($Z487&gt;=1,RANK($Z487,$Z485:$Z500),0)</f>
        <v>#REF!</v>
      </c>
      <c r="AB487" s="287" t="str">
        <f>IF(AA487&lt;=MaxS,INT(Z487),0)</f>
        <v>#REF!</v>
      </c>
      <c r="AC487" s="210"/>
      <c r="AD487" s="285" t="str">
        <f t="shared" si="4"/>
        <v>#REF!</v>
      </c>
      <c r="AE487" s="286" t="str">
        <f>IF($AD487&gt;=1,RANK($AD487,$AD485:$AD500),0)</f>
        <v>#REF!</v>
      </c>
      <c r="AF487" s="287" t="str">
        <f>IF(AE487&lt;=MaxS,INT(AD487),0)</f>
        <v>#REF!</v>
      </c>
      <c r="AG487" s="210"/>
      <c r="AH487" s="210"/>
      <c r="AI487" s="288" t="str">
        <f t="shared" si="5"/>
        <v>#REF!</v>
      </c>
      <c r="AJ487" s="289" t="str">
        <f t="shared" si="6"/>
        <v>#REF!</v>
      </c>
    </row>
    <row r="488" ht="15.0" customHeight="1">
      <c r="A488" s="272"/>
      <c r="B488" s="250">
        <f>IF(OR(ISNA(MATCH(C488&amp;"",AthleteNumbers,0)),ISBLANK(C488)),0,MATCH(C488&amp;"",AthleteNumbers,0))</f>
        <v>0</v>
      </c>
      <c r="C488" s="413"/>
      <c r="D488" s="273" t="str">
        <f t="array" ref="D488">IF($B488&gt;0,INDEX(DB,$B488,8),"")</f>
        <v/>
      </c>
      <c r="E488" s="274" t="str">
        <f t="array" ref="E488">IF($B488&gt;0,INDEX(DB,$B488,3),"")</f>
        <v/>
      </c>
      <c r="F488" s="275">
        <f t="array" ref="F488">IF($B488&gt;0,INDEX(DB,$B488,13),0)</f>
        <v>0</v>
      </c>
      <c r="G488" s="276">
        <f t="array" ref="G488">IF($B488&gt;0,INDEX(DB,$B488,17),0)</f>
        <v>0</v>
      </c>
      <c r="H488" s="277">
        <f t="array" ref="H488">IF($B488&gt;0,INDEX(DB,$B488,15),0)</f>
        <v>0</v>
      </c>
      <c r="I488" s="276">
        <f t="array" ref="I488">IF($B488&gt;0,INDEX(DB,$B488,19),0)</f>
        <v>0</v>
      </c>
      <c r="J488" s="277">
        <f t="array" ref="J488">IF($B488&gt;0,INDEX(DB,$B488,14),0)</f>
        <v>0</v>
      </c>
      <c r="K488" s="276">
        <f t="array" ref="K488">IF($B488&gt;0,INDEX(DB,$B488,18),0)</f>
        <v>0</v>
      </c>
      <c r="L488" s="275">
        <f t="array" ref="L488">IF($B488&gt;0,INDEX(DB,$B488,16),0)</f>
        <v>0</v>
      </c>
      <c r="M488" s="276">
        <f t="array" ref="M488">IF($B488&gt;0,INDEX(DB,$B488,20),0)</f>
        <v>0</v>
      </c>
      <c r="N488" s="278"/>
      <c r="O488" s="279">
        <f t="shared" si="1"/>
        <v>0</v>
      </c>
      <c r="P488" s="280"/>
      <c r="Q488" s="261" t="str">
        <f t="shared" si="2"/>
        <v>#REF!</v>
      </c>
      <c r="R488" s="281" t="str">
        <f>IF($AI488&gt;0,RANK($AI488,BoysPoints),0)</f>
        <v>#REF!</v>
      </c>
      <c r="S488" s="282" t="str">
        <f>IF($AJ488&gt;0,RANK($AJ488,GirlsPoints),0)</f>
        <v>#REF!</v>
      </c>
      <c r="T488" s="283">
        <f>IF($O488&gt;0,RANK(O488,AthletePoints),0)</f>
        <v>0</v>
      </c>
      <c r="U488" s="210"/>
      <c r="V488" s="415" t="str">
        <f>IF(O488&gt;=40,IF(X488="M",VLOOKUP(O488,UKABoysAwards,2),IF(X488="F",VLOOKUP(O488,UKAGirlsAwards,2),"")),"")</f>
        <v/>
      </c>
      <c r="W488" s="210"/>
      <c r="X488" s="266" t="str">
        <f t="array" ref="X488:X489">INDEX(DB,$B488,4)</f>
        <v>#REF!</v>
      </c>
      <c r="Y488" s="210"/>
      <c r="Z488" s="285" t="str">
        <f t="shared" si="3"/>
        <v>#REF!</v>
      </c>
      <c r="AA488" s="286" t="str">
        <f>IF($Z488&gt;=1,RANK($Z488,$Z485:$Z500),0)</f>
        <v>#REF!</v>
      </c>
      <c r="AB488" s="287" t="str">
        <f>IF(AA488&lt;=MaxS,INT(Z488),0)</f>
        <v>#REF!</v>
      </c>
      <c r="AC488" s="210"/>
      <c r="AD488" s="285" t="str">
        <f t="shared" si="4"/>
        <v>#REF!</v>
      </c>
      <c r="AE488" s="286" t="str">
        <f>IF($AD488&gt;=1,RANK($AD488,$AD485:$AD500),0)</f>
        <v>#REF!</v>
      </c>
      <c r="AF488" s="287" t="str">
        <f>IF(AE488&lt;=MaxS,INT(AD488),0)</f>
        <v>#REF!</v>
      </c>
      <c r="AG488" s="210"/>
      <c r="AH488" s="210"/>
      <c r="AI488" s="288" t="str">
        <f t="shared" si="5"/>
        <v>#REF!</v>
      </c>
      <c r="AJ488" s="289" t="str">
        <f t="shared" si="6"/>
        <v>#REF!</v>
      </c>
    </row>
    <row r="489" ht="15.0" customHeight="1">
      <c r="A489" s="272"/>
      <c r="B489" s="250">
        <f>IF(OR(ISNA(MATCH(C489&amp;"",AthleteNumbers,0)),ISBLANK(C489)),0,MATCH(C489&amp;"",AthleteNumbers,0))</f>
        <v>0</v>
      </c>
      <c r="C489" s="413"/>
      <c r="D489" s="273" t="str">
        <f t="array" ref="D489">IF($B489&gt;0,INDEX(DB,$B489,8),"")</f>
        <v/>
      </c>
      <c r="E489" s="274" t="str">
        <f t="array" ref="E489">IF($B489&gt;0,INDEX(DB,$B489,3),"")</f>
        <v/>
      </c>
      <c r="F489" s="275">
        <f t="array" ref="F489">IF($B489&gt;0,INDEX(DB,$B489,13),0)</f>
        <v>0</v>
      </c>
      <c r="G489" s="276">
        <f t="array" ref="G489">IF($B489&gt;0,INDEX(DB,$B489,17),0)</f>
        <v>0</v>
      </c>
      <c r="H489" s="277">
        <f t="array" ref="H489">IF($B489&gt;0,INDEX(DB,$B489,15),0)</f>
        <v>0</v>
      </c>
      <c r="I489" s="276">
        <f t="array" ref="I489">IF($B489&gt;0,INDEX(DB,$B489,19),0)</f>
        <v>0</v>
      </c>
      <c r="J489" s="277">
        <f t="array" ref="J489">IF($B489&gt;0,INDEX(DB,$B489,14),0)</f>
        <v>0</v>
      </c>
      <c r="K489" s="276">
        <f t="array" ref="K489">IF($B489&gt;0,INDEX(DB,$B489,18),0)</f>
        <v>0</v>
      </c>
      <c r="L489" s="275">
        <f t="array" ref="L489">IF($B489&gt;0,INDEX(DB,$B489,16),0)</f>
        <v>0</v>
      </c>
      <c r="M489" s="276">
        <f t="array" ref="M489">IF($B489&gt;0,INDEX(DB,$B489,20),0)</f>
        <v>0</v>
      </c>
      <c r="N489" s="278"/>
      <c r="O489" s="279">
        <f t="shared" si="1"/>
        <v>0</v>
      </c>
      <c r="P489" s="280"/>
      <c r="Q489" s="261" t="str">
        <f t="shared" si="2"/>
        <v>#REF!</v>
      </c>
      <c r="R489" s="290" t="str">
        <f>IF($AI489&gt;0,RANK($AI489,BoysPoints),0)</f>
        <v>#REF!</v>
      </c>
      <c r="S489" s="291" t="str">
        <f>IF($AJ489&gt;0,RANK($AJ489,GirlsPoints),0)</f>
        <v>#REF!</v>
      </c>
      <c r="T489" s="292">
        <f>IF($O489&gt;0,RANK(O489,AthletePoints),0)</f>
        <v>0</v>
      </c>
      <c r="U489" s="210"/>
      <c r="V489" s="330" t="str">
        <f>IF(O489&gt;=40,IF(X489="M",VLOOKUP(O489,UKABoysAwards,2),IF(X489="F",VLOOKUP(O489,UKAGirlsAwards,2),"")),"")</f>
        <v/>
      </c>
      <c r="W489" s="210"/>
      <c r="X489" s="266" t="str">
        <f t="array" ref="X489:X490">INDEX(DB,$B489,4)</f>
        <v>#REF!</v>
      </c>
      <c r="Y489" s="210"/>
      <c r="Z489" s="285" t="str">
        <f t="shared" si="3"/>
        <v>#REF!</v>
      </c>
      <c r="AA489" s="286" t="str">
        <f>IF($Z489&gt;=1,RANK($Z489,$Z485:$Z500),0)</f>
        <v>#REF!</v>
      </c>
      <c r="AB489" s="287" t="str">
        <f>IF(AA489&lt;=MaxS,INT(Z489),0)</f>
        <v>#REF!</v>
      </c>
      <c r="AC489" s="210"/>
      <c r="AD489" s="285" t="str">
        <f t="shared" si="4"/>
        <v>#REF!</v>
      </c>
      <c r="AE489" s="286" t="str">
        <f>IF($AD489&gt;=1,RANK($AD489,$AD485:$AD500),0)</f>
        <v>#REF!</v>
      </c>
      <c r="AF489" s="287" t="str">
        <f>IF(AE489&lt;=MaxS,INT(AD489),0)</f>
        <v>#REF!</v>
      </c>
      <c r="AG489" s="210"/>
      <c r="AH489" s="210"/>
      <c r="AI489" s="288" t="str">
        <f t="shared" si="5"/>
        <v>#REF!</v>
      </c>
      <c r="AJ489" s="289" t="str">
        <f t="shared" si="6"/>
        <v>#REF!</v>
      </c>
    </row>
    <row r="490" ht="15.0" customHeight="1">
      <c r="A490" s="272"/>
      <c r="B490" s="250">
        <f>IF(OR(ISNA(MATCH(C490&amp;"",AthleteNumbers,0)),ISBLANK(C490)),0,MATCH(C490&amp;"",AthleteNumbers,0))</f>
        <v>0</v>
      </c>
      <c r="C490" s="413"/>
      <c r="D490" s="273" t="str">
        <f t="array" ref="D490">IF($B490&gt;0,INDEX(DB,$B490,8),"")</f>
        <v/>
      </c>
      <c r="E490" s="274" t="str">
        <f t="array" ref="E490">IF($B490&gt;0,INDEX(DB,$B490,3),"")</f>
        <v/>
      </c>
      <c r="F490" s="275">
        <f t="array" ref="F490">IF($B490&gt;0,INDEX(DB,$B490,13),0)</f>
        <v>0</v>
      </c>
      <c r="G490" s="276">
        <f t="array" ref="G490">IF($B490&gt;0,INDEX(DB,$B490,17),0)</f>
        <v>0</v>
      </c>
      <c r="H490" s="277">
        <f t="array" ref="H490">IF($B490&gt;0,INDEX(DB,$B490,15),0)</f>
        <v>0</v>
      </c>
      <c r="I490" s="276">
        <f t="array" ref="I490">IF($B490&gt;0,INDEX(DB,$B490,19),0)</f>
        <v>0</v>
      </c>
      <c r="J490" s="277">
        <f t="array" ref="J490">IF($B490&gt;0,INDEX(DB,$B490,14),0)</f>
        <v>0</v>
      </c>
      <c r="K490" s="276">
        <f t="array" ref="K490">IF($B490&gt;0,INDEX(DB,$B490,18),0)</f>
        <v>0</v>
      </c>
      <c r="L490" s="275">
        <f t="array" ref="L490">IF($B490&gt;0,INDEX(DB,$B490,16),0)</f>
        <v>0</v>
      </c>
      <c r="M490" s="276">
        <f t="array" ref="M490">IF($B490&gt;0,INDEX(DB,$B490,20),0)</f>
        <v>0</v>
      </c>
      <c r="N490" s="278"/>
      <c r="O490" s="279">
        <f t="shared" si="1"/>
        <v>0</v>
      </c>
      <c r="P490" s="280"/>
      <c r="Q490" s="261" t="str">
        <f t="shared" si="2"/>
        <v>#REF!</v>
      </c>
      <c r="R490" s="281" t="str">
        <f>IF($AI490&gt;0,RANK($AI490,BoysPoints),0)</f>
        <v>#REF!</v>
      </c>
      <c r="S490" s="282" t="str">
        <f>IF($AJ490&gt;0,RANK($AJ490,GirlsPoints),0)</f>
        <v>#REF!</v>
      </c>
      <c r="T490" s="283">
        <f>IF($O490&gt;0,RANK(O490,AthletePoints),0)</f>
        <v>0</v>
      </c>
      <c r="U490" s="210"/>
      <c r="V490" s="415" t="str">
        <f>IF(O490&gt;=40,IF(X490="M",VLOOKUP(O490,UKABoysAwards,2),IF(X490="F",VLOOKUP(O490,UKAGirlsAwards,2),"")),"")</f>
        <v/>
      </c>
      <c r="W490" s="210"/>
      <c r="X490" s="266" t="str">
        <f t="array" ref="X490:X491">INDEX(DB,$B490,4)</f>
        <v>#REF!</v>
      </c>
      <c r="Y490" s="210"/>
      <c r="Z490" s="285" t="str">
        <f t="shared" si="3"/>
        <v>#REF!</v>
      </c>
      <c r="AA490" s="286" t="str">
        <f>IF($Z490&gt;=1,RANK($Z490,$Z485:$Z500),0)</f>
        <v>#REF!</v>
      </c>
      <c r="AB490" s="287" t="str">
        <f>IF(AA490&lt;=MaxS,INT(Z490),0)</f>
        <v>#REF!</v>
      </c>
      <c r="AC490" s="210"/>
      <c r="AD490" s="285" t="str">
        <f t="shared" si="4"/>
        <v>#REF!</v>
      </c>
      <c r="AE490" s="286" t="str">
        <f>IF($AD490&gt;=1,RANK($AD490,$AD485:$AD500),0)</f>
        <v>#REF!</v>
      </c>
      <c r="AF490" s="287" t="str">
        <f>IF(AE490&lt;=MaxS,INT(AD490),0)</f>
        <v>#REF!</v>
      </c>
      <c r="AG490" s="210"/>
      <c r="AH490" s="210"/>
      <c r="AI490" s="288" t="str">
        <f t="shared" si="5"/>
        <v>#REF!</v>
      </c>
      <c r="AJ490" s="289" t="str">
        <f t="shared" si="6"/>
        <v>#REF!</v>
      </c>
    </row>
    <row r="491" ht="15.0" customHeight="1">
      <c r="A491" s="272"/>
      <c r="B491" s="250">
        <f>IF(OR(ISNA(MATCH(C491&amp;"",AthleteNumbers,0)),ISBLANK(C491)),0,MATCH(C491&amp;"",AthleteNumbers,0))</f>
        <v>0</v>
      </c>
      <c r="C491" s="413"/>
      <c r="D491" s="273" t="str">
        <f t="array" ref="D491">IF($B491&gt;0,INDEX(DB,$B491,8),"")</f>
        <v/>
      </c>
      <c r="E491" s="274" t="str">
        <f t="array" ref="E491">IF($B491&gt;0,INDEX(DB,$B491,3),"")</f>
        <v/>
      </c>
      <c r="F491" s="275">
        <f t="array" ref="F491">IF($B491&gt;0,INDEX(DB,$B491,13),0)</f>
        <v>0</v>
      </c>
      <c r="G491" s="276">
        <f t="array" ref="G491">IF($B491&gt;0,INDEX(DB,$B491,17),0)</f>
        <v>0</v>
      </c>
      <c r="H491" s="277">
        <f t="array" ref="H491">IF($B491&gt;0,INDEX(DB,$B491,15),0)</f>
        <v>0</v>
      </c>
      <c r="I491" s="276">
        <f t="array" ref="I491">IF($B491&gt;0,INDEX(DB,$B491,19),0)</f>
        <v>0</v>
      </c>
      <c r="J491" s="277">
        <f t="array" ref="J491">IF($B491&gt;0,INDEX(DB,$B491,14),0)</f>
        <v>0</v>
      </c>
      <c r="K491" s="276">
        <f t="array" ref="K491">IF($B491&gt;0,INDEX(DB,$B491,18),0)</f>
        <v>0</v>
      </c>
      <c r="L491" s="275">
        <f t="array" ref="L491">IF($B491&gt;0,INDEX(DB,$B491,16),0)</f>
        <v>0</v>
      </c>
      <c r="M491" s="276">
        <f t="array" ref="M491">IF($B491&gt;0,INDEX(DB,$B491,20),0)</f>
        <v>0</v>
      </c>
      <c r="N491" s="278"/>
      <c r="O491" s="279">
        <f t="shared" si="1"/>
        <v>0</v>
      </c>
      <c r="P491" s="280"/>
      <c r="Q491" s="261" t="str">
        <f t="shared" si="2"/>
        <v>#REF!</v>
      </c>
      <c r="R491" s="290" t="str">
        <f>IF($AI491&gt;0,RANK($AI491,BoysPoints),0)</f>
        <v>#REF!</v>
      </c>
      <c r="S491" s="291" t="str">
        <f>IF($AJ491&gt;0,RANK($AJ491,GirlsPoints),0)</f>
        <v>#REF!</v>
      </c>
      <c r="T491" s="292">
        <f>IF($O491&gt;0,RANK(O491,AthletePoints),0)</f>
        <v>0</v>
      </c>
      <c r="U491" s="210"/>
      <c r="V491" s="330" t="str">
        <f>IF(O491&gt;=40,IF(X491="M",VLOOKUP(O491,UKABoysAwards,2),IF(X491="F",VLOOKUP(O491,UKAGirlsAwards,2),"")),"")</f>
        <v/>
      </c>
      <c r="W491" s="210"/>
      <c r="X491" s="266" t="str">
        <f t="array" ref="X491:X492">INDEX(DB,$B491,4)</f>
        <v>#REF!</v>
      </c>
      <c r="Y491" s="210"/>
      <c r="Z491" s="285" t="str">
        <f t="shared" si="3"/>
        <v>#REF!</v>
      </c>
      <c r="AA491" s="286" t="str">
        <f>IF($Z491&gt;=1,RANK($Z491,$Z485:$Z500),0)</f>
        <v>#REF!</v>
      </c>
      <c r="AB491" s="287" t="str">
        <f>IF(AA491&lt;=MaxS,INT(Z491),0)</f>
        <v>#REF!</v>
      </c>
      <c r="AC491" s="210"/>
      <c r="AD491" s="285" t="str">
        <f t="shared" si="4"/>
        <v>#REF!</v>
      </c>
      <c r="AE491" s="286" t="str">
        <f>IF($AD491&gt;=1,RANK($AD491,$AD485:$AD500),0)</f>
        <v>#REF!</v>
      </c>
      <c r="AF491" s="287" t="str">
        <f>IF(AE491&lt;=MaxS,INT(AD491),0)</f>
        <v>#REF!</v>
      </c>
      <c r="AG491" s="210"/>
      <c r="AH491" s="210"/>
      <c r="AI491" s="288" t="str">
        <f t="shared" si="5"/>
        <v>#REF!</v>
      </c>
      <c r="AJ491" s="289" t="str">
        <f t="shared" si="6"/>
        <v>#REF!</v>
      </c>
    </row>
    <row r="492" ht="15.0" customHeight="1">
      <c r="A492" s="272"/>
      <c r="B492" s="250">
        <f>IF(OR(ISNA(MATCH(C492&amp;"",AthleteNumbers,0)),ISBLANK(C492)),0,MATCH(C492&amp;"",AthleteNumbers,0))</f>
        <v>0</v>
      </c>
      <c r="C492" s="413"/>
      <c r="D492" s="273" t="str">
        <f t="array" ref="D492">IF($B492&gt;0,INDEX(DB,$B492,8),"")</f>
        <v/>
      </c>
      <c r="E492" s="274" t="str">
        <f t="array" ref="E492">IF($B492&gt;0,INDEX(DB,$B492,3),"")</f>
        <v/>
      </c>
      <c r="F492" s="275">
        <f t="array" ref="F492">IF($B492&gt;0,INDEX(DB,$B492,13),0)</f>
        <v>0</v>
      </c>
      <c r="G492" s="276">
        <f t="array" ref="G492">IF($B492&gt;0,INDEX(DB,$B492,17),0)</f>
        <v>0</v>
      </c>
      <c r="H492" s="277">
        <f t="array" ref="H492">IF($B492&gt;0,INDEX(DB,$B492,15),0)</f>
        <v>0</v>
      </c>
      <c r="I492" s="276">
        <f t="array" ref="I492">IF($B492&gt;0,INDEX(DB,$B492,19),0)</f>
        <v>0</v>
      </c>
      <c r="J492" s="277">
        <f t="array" ref="J492">IF($B492&gt;0,INDEX(DB,$B492,14),0)</f>
        <v>0</v>
      </c>
      <c r="K492" s="276">
        <f t="array" ref="K492">IF($B492&gt;0,INDEX(DB,$B492,18),0)</f>
        <v>0</v>
      </c>
      <c r="L492" s="275">
        <f t="array" ref="L492">IF($B492&gt;0,INDEX(DB,$B492,16),0)</f>
        <v>0</v>
      </c>
      <c r="M492" s="276">
        <f t="array" ref="M492">IF($B492&gt;0,INDEX(DB,$B492,20),0)</f>
        <v>0</v>
      </c>
      <c r="N492" s="278"/>
      <c r="O492" s="279">
        <f t="shared" si="1"/>
        <v>0</v>
      </c>
      <c r="P492" s="280"/>
      <c r="Q492" s="261" t="str">
        <f t="shared" si="2"/>
        <v>#REF!</v>
      </c>
      <c r="R492" s="281" t="str">
        <f>IF($AI492&gt;0,RANK($AI492,BoysPoints),0)</f>
        <v>#REF!</v>
      </c>
      <c r="S492" s="282" t="str">
        <f>IF($AJ492&gt;0,RANK($AJ492,GirlsPoints),0)</f>
        <v>#REF!</v>
      </c>
      <c r="T492" s="283">
        <f>IF($O492&gt;0,RANK(O492,AthletePoints),0)</f>
        <v>0</v>
      </c>
      <c r="U492" s="210"/>
      <c r="V492" s="415" t="str">
        <f>IF(O492&gt;=40,IF(X492="M",VLOOKUP(O492,UKABoysAwards,2),IF(X492="F",VLOOKUP(O492,UKAGirlsAwards,2),"")),"")</f>
        <v/>
      </c>
      <c r="W492" s="210"/>
      <c r="X492" s="266" t="str">
        <f t="array" ref="X492:X493">INDEX(DB,$B492,4)</f>
        <v>#REF!</v>
      </c>
      <c r="Y492" s="210"/>
      <c r="Z492" s="285" t="str">
        <f t="shared" si="3"/>
        <v>#REF!</v>
      </c>
      <c r="AA492" s="286" t="str">
        <f>IF($Z492&gt;=1,RANK($Z492,$Z485:$Z500),0)</f>
        <v>#REF!</v>
      </c>
      <c r="AB492" s="287" t="str">
        <f>IF(AA492&lt;=MaxS,INT(Z492),0)</f>
        <v>#REF!</v>
      </c>
      <c r="AC492" s="210"/>
      <c r="AD492" s="285" t="str">
        <f t="shared" si="4"/>
        <v>#REF!</v>
      </c>
      <c r="AE492" s="286" t="str">
        <f>IF($AD492&gt;=1,RANK($AD492,$AD485:$AD500),0)</f>
        <v>#REF!</v>
      </c>
      <c r="AF492" s="287" t="str">
        <f>IF(AE492&lt;=MaxS,INT(AD492),0)</f>
        <v>#REF!</v>
      </c>
      <c r="AG492" s="210"/>
      <c r="AH492" s="210"/>
      <c r="AI492" s="288" t="str">
        <f t="shared" si="5"/>
        <v>#REF!</v>
      </c>
      <c r="AJ492" s="289" t="str">
        <f t="shared" si="6"/>
        <v>#REF!</v>
      </c>
    </row>
    <row r="493" ht="15.0" customHeight="1">
      <c r="A493" s="272"/>
      <c r="B493" s="250">
        <f>IF(OR(ISNA(MATCH(C493&amp;"",AthleteNumbers,0)),ISBLANK(C493)),0,MATCH(C493&amp;"",AthleteNumbers,0))</f>
        <v>0</v>
      </c>
      <c r="C493" s="413"/>
      <c r="D493" s="273" t="str">
        <f t="array" ref="D493">IF($B493&gt;0,INDEX(DB,$B493,8),"")</f>
        <v/>
      </c>
      <c r="E493" s="274" t="str">
        <f t="array" ref="E493">IF($B493&gt;0,INDEX(DB,$B493,3),"")</f>
        <v/>
      </c>
      <c r="F493" s="275">
        <f t="array" ref="F493">IF($B493&gt;0,INDEX(DB,$B493,13),0)</f>
        <v>0</v>
      </c>
      <c r="G493" s="276">
        <f t="array" ref="G493">IF($B493&gt;0,INDEX(DB,$B493,17),0)</f>
        <v>0</v>
      </c>
      <c r="H493" s="277">
        <f t="array" ref="H493">IF($B493&gt;0,INDEX(DB,$B493,15),0)</f>
        <v>0</v>
      </c>
      <c r="I493" s="276">
        <f t="array" ref="I493">IF($B493&gt;0,INDEX(DB,$B493,19),0)</f>
        <v>0</v>
      </c>
      <c r="J493" s="277">
        <f t="array" ref="J493">IF($B493&gt;0,INDEX(DB,$B493,14),0)</f>
        <v>0</v>
      </c>
      <c r="K493" s="276">
        <f t="array" ref="K493">IF($B493&gt;0,INDEX(DB,$B493,18),0)</f>
        <v>0</v>
      </c>
      <c r="L493" s="275">
        <f t="array" ref="L493">IF($B493&gt;0,INDEX(DB,$B493,16),0)</f>
        <v>0</v>
      </c>
      <c r="M493" s="276">
        <f t="array" ref="M493">IF($B493&gt;0,INDEX(DB,$B493,20),0)</f>
        <v>0</v>
      </c>
      <c r="N493" s="278"/>
      <c r="O493" s="279">
        <f t="shared" si="1"/>
        <v>0</v>
      </c>
      <c r="P493" s="280"/>
      <c r="Q493" s="261" t="str">
        <f t="shared" si="2"/>
        <v>#REF!</v>
      </c>
      <c r="R493" s="290" t="str">
        <f>IF($AI493&gt;0,RANK($AI493,BoysPoints),0)</f>
        <v>#REF!</v>
      </c>
      <c r="S493" s="291" t="str">
        <f>IF($AJ493&gt;0,RANK($AJ493,GirlsPoints),0)</f>
        <v>#REF!</v>
      </c>
      <c r="T493" s="292">
        <f>IF($O493&gt;0,RANK(O493,AthletePoints),0)</f>
        <v>0</v>
      </c>
      <c r="U493" s="210"/>
      <c r="V493" s="330" t="str">
        <f>IF(O493&gt;=40,IF(X493="M",VLOOKUP(O493,UKABoysAwards,2),IF(X493="F",VLOOKUP(O493,UKAGirlsAwards,2),"")),"")</f>
        <v/>
      </c>
      <c r="W493" s="210"/>
      <c r="X493" s="266" t="str">
        <f t="array" ref="X493:X494">INDEX(DB,$B493,4)</f>
        <v>#REF!</v>
      </c>
      <c r="Y493" s="210"/>
      <c r="Z493" s="285" t="str">
        <f t="shared" si="3"/>
        <v>#REF!</v>
      </c>
      <c r="AA493" s="286" t="str">
        <f>IF($Z493&gt;=1,RANK($Z493,$Z485:$Z500),0)</f>
        <v>#REF!</v>
      </c>
      <c r="AB493" s="287" t="str">
        <f>IF(AA493&lt;=MaxS,INT(Z493),0)</f>
        <v>#REF!</v>
      </c>
      <c r="AC493" s="210"/>
      <c r="AD493" s="285" t="str">
        <f t="shared" si="4"/>
        <v>#REF!</v>
      </c>
      <c r="AE493" s="286" t="str">
        <f>IF($AD493&gt;=1,RANK($AD493,$AD485:$AD500),0)</f>
        <v>#REF!</v>
      </c>
      <c r="AF493" s="287" t="str">
        <f>IF(AE493&lt;=MaxS,INT(AD493),0)</f>
        <v>#REF!</v>
      </c>
      <c r="AG493" s="210"/>
      <c r="AH493" s="210"/>
      <c r="AI493" s="288" t="str">
        <f t="shared" si="5"/>
        <v>#REF!</v>
      </c>
      <c r="AJ493" s="289" t="str">
        <f t="shared" si="6"/>
        <v>#REF!</v>
      </c>
    </row>
    <row r="494" ht="15.0" customHeight="1">
      <c r="A494" s="272"/>
      <c r="B494" s="250">
        <f>IF(OR(ISNA(MATCH(C494&amp;"",AthleteNumbers,0)),ISBLANK(C494)),0,MATCH(C494&amp;"",AthleteNumbers,0))</f>
        <v>0</v>
      </c>
      <c r="C494" s="413"/>
      <c r="D494" s="273" t="str">
        <f t="array" ref="D494">IF($B494&gt;0,INDEX(DB,$B494,8),"")</f>
        <v/>
      </c>
      <c r="E494" s="274" t="str">
        <f t="array" ref="E494">IF($B494&gt;0,INDEX(DB,$B494,3),"")</f>
        <v/>
      </c>
      <c r="F494" s="275">
        <f t="array" ref="F494">IF($B494&gt;0,INDEX(DB,$B494,13),0)</f>
        <v>0</v>
      </c>
      <c r="G494" s="276">
        <f t="array" ref="G494">IF($B494&gt;0,INDEX(DB,$B494,17),0)</f>
        <v>0</v>
      </c>
      <c r="H494" s="277">
        <f t="array" ref="H494">IF($B494&gt;0,INDEX(DB,$B494,15),0)</f>
        <v>0</v>
      </c>
      <c r="I494" s="276">
        <f t="array" ref="I494">IF($B494&gt;0,INDEX(DB,$B494,19),0)</f>
        <v>0</v>
      </c>
      <c r="J494" s="277">
        <f t="array" ref="J494">IF($B494&gt;0,INDEX(DB,$B494,14),0)</f>
        <v>0</v>
      </c>
      <c r="K494" s="276">
        <f t="array" ref="K494">IF($B494&gt;0,INDEX(DB,$B494,18),0)</f>
        <v>0</v>
      </c>
      <c r="L494" s="275">
        <f t="array" ref="L494">IF($B494&gt;0,INDEX(DB,$B494,16),0)</f>
        <v>0</v>
      </c>
      <c r="M494" s="276">
        <f t="array" ref="M494">IF($B494&gt;0,INDEX(DB,$B494,20),0)</f>
        <v>0</v>
      </c>
      <c r="N494" s="278"/>
      <c r="O494" s="279">
        <f t="shared" si="1"/>
        <v>0</v>
      </c>
      <c r="P494" s="280"/>
      <c r="Q494" s="261" t="str">
        <f t="shared" si="2"/>
        <v>#REF!</v>
      </c>
      <c r="R494" s="281" t="str">
        <f>IF($AI494&gt;0,RANK($AI494,BoysPoints),0)</f>
        <v>#REF!</v>
      </c>
      <c r="S494" s="282" t="str">
        <f>IF($AJ494&gt;0,RANK($AJ494,GirlsPoints),0)</f>
        <v>#REF!</v>
      </c>
      <c r="T494" s="283">
        <f>IF($O494&gt;0,RANK(O494,AthletePoints),0)</f>
        <v>0</v>
      </c>
      <c r="U494" s="210"/>
      <c r="V494" s="415" t="str">
        <f>IF(O494&gt;=40,IF(X494="M",VLOOKUP(O494,UKABoysAwards,2),IF(X494="F",VLOOKUP(O494,UKAGirlsAwards,2),"")),"")</f>
        <v/>
      </c>
      <c r="W494" s="210"/>
      <c r="X494" s="266" t="str">
        <f t="array" ref="X494:X495">INDEX(DB,$B494,4)</f>
        <v>#REF!</v>
      </c>
      <c r="Y494" s="210"/>
      <c r="Z494" s="285" t="str">
        <f t="shared" si="3"/>
        <v>#REF!</v>
      </c>
      <c r="AA494" s="286" t="str">
        <f>IF($Z494&gt;=1,RANK($Z494,$Z485:$Z500),0)</f>
        <v>#REF!</v>
      </c>
      <c r="AB494" s="287" t="str">
        <f>IF(AA494&lt;=MaxS,INT(Z494),0)</f>
        <v>#REF!</v>
      </c>
      <c r="AC494" s="210"/>
      <c r="AD494" s="285" t="str">
        <f t="shared" si="4"/>
        <v>#REF!</v>
      </c>
      <c r="AE494" s="286" t="str">
        <f>IF($AD494&gt;=1,RANK($AD494,$AD485:$AD500),0)</f>
        <v>#REF!</v>
      </c>
      <c r="AF494" s="287" t="str">
        <f>IF(AE494&lt;=MaxS,INT(AD494),0)</f>
        <v>#REF!</v>
      </c>
      <c r="AG494" s="210"/>
      <c r="AH494" s="210"/>
      <c r="AI494" s="288" t="str">
        <f t="shared" si="5"/>
        <v>#REF!</v>
      </c>
      <c r="AJ494" s="289" t="str">
        <f t="shared" si="6"/>
        <v>#REF!</v>
      </c>
    </row>
    <row r="495" ht="15.0" customHeight="1">
      <c r="A495" s="272"/>
      <c r="B495" s="250">
        <f>IF(OR(ISNA(MATCH(C495&amp;"",AthleteNumbers,0)),ISBLANK(C495)),0,MATCH(C495&amp;"",AthleteNumbers,0))</f>
        <v>0</v>
      </c>
      <c r="C495" s="413"/>
      <c r="D495" s="273" t="str">
        <f t="array" ref="D495">IF($B495&gt;0,INDEX(DB,$B495,8),"")</f>
        <v/>
      </c>
      <c r="E495" s="274" t="str">
        <f t="array" ref="E495">IF($B495&gt;0,INDEX(DB,$B495,3),"")</f>
        <v/>
      </c>
      <c r="F495" s="275">
        <f t="array" ref="F495">IF($B495&gt;0,INDEX(DB,$B495,13),0)</f>
        <v>0</v>
      </c>
      <c r="G495" s="276">
        <f t="array" ref="G495">IF($B495&gt;0,INDEX(DB,$B495,17),0)</f>
        <v>0</v>
      </c>
      <c r="H495" s="277">
        <f t="array" ref="H495">IF($B495&gt;0,INDEX(DB,$B495,15),0)</f>
        <v>0</v>
      </c>
      <c r="I495" s="276">
        <f t="array" ref="I495">IF($B495&gt;0,INDEX(DB,$B495,19),0)</f>
        <v>0</v>
      </c>
      <c r="J495" s="277">
        <f t="array" ref="J495">IF($B495&gt;0,INDEX(DB,$B495,14),0)</f>
        <v>0</v>
      </c>
      <c r="K495" s="276">
        <f t="array" ref="K495">IF($B495&gt;0,INDEX(DB,$B495,18),0)</f>
        <v>0</v>
      </c>
      <c r="L495" s="275">
        <f t="array" ref="L495">IF($B495&gt;0,INDEX(DB,$B495,16),0)</f>
        <v>0</v>
      </c>
      <c r="M495" s="276">
        <f t="array" ref="M495">IF($B495&gt;0,INDEX(DB,$B495,20),0)</f>
        <v>0</v>
      </c>
      <c r="N495" s="278"/>
      <c r="O495" s="279">
        <f t="shared" si="1"/>
        <v>0</v>
      </c>
      <c r="P495" s="280"/>
      <c r="Q495" s="261" t="str">
        <f t="shared" si="2"/>
        <v>#REF!</v>
      </c>
      <c r="R495" s="290" t="str">
        <f>IF($AI495&gt;0,RANK($AI495,BoysPoints),0)</f>
        <v>#REF!</v>
      </c>
      <c r="S495" s="291" t="str">
        <f>IF($AJ495&gt;0,RANK($AJ495,GirlsPoints),0)</f>
        <v>#REF!</v>
      </c>
      <c r="T495" s="292">
        <f>IF($O495&gt;0,RANK(O495,AthletePoints),0)</f>
        <v>0</v>
      </c>
      <c r="U495" s="210"/>
      <c r="V495" s="330" t="str">
        <f>IF(O495&gt;=40,IF(X495="M",VLOOKUP(O495,UKABoysAwards,2),IF(X495="F",VLOOKUP(O495,UKAGirlsAwards,2),"")),"")</f>
        <v/>
      </c>
      <c r="W495" s="210"/>
      <c r="X495" s="266" t="str">
        <f t="array" ref="X495:X496">INDEX(DB,$B495,4)</f>
        <v>#REF!</v>
      </c>
      <c r="Y495" s="210"/>
      <c r="Z495" s="285" t="str">
        <f t="shared" si="3"/>
        <v>#REF!</v>
      </c>
      <c r="AA495" s="286" t="str">
        <f>IF($Z495&gt;=1,RANK($Z495,$Z485:$Z500),0)</f>
        <v>#REF!</v>
      </c>
      <c r="AB495" s="287" t="str">
        <f>IF(AA495&lt;=MaxS,INT(Z495),0)</f>
        <v>#REF!</v>
      </c>
      <c r="AC495" s="210"/>
      <c r="AD495" s="285" t="str">
        <f t="shared" si="4"/>
        <v>#REF!</v>
      </c>
      <c r="AE495" s="286" t="str">
        <f>IF($AD495&gt;=1,RANK($AD495,$AD485:$AD500),0)</f>
        <v>#REF!</v>
      </c>
      <c r="AF495" s="287" t="str">
        <f>IF(AE495&lt;=MaxS,INT(AD495),0)</f>
        <v>#REF!</v>
      </c>
      <c r="AG495" s="210"/>
      <c r="AH495" s="210"/>
      <c r="AI495" s="288" t="str">
        <f t="shared" si="5"/>
        <v>#REF!</v>
      </c>
      <c r="AJ495" s="289" t="str">
        <f t="shared" si="6"/>
        <v>#REF!</v>
      </c>
    </row>
    <row r="496" ht="15.0" customHeight="1">
      <c r="A496" s="272"/>
      <c r="B496" s="250">
        <f>IF(OR(ISNA(MATCH(C496&amp;"",AthleteNumbers,0)),ISBLANK(C496)),0,MATCH(C496&amp;"",AthleteNumbers,0))</f>
        <v>0</v>
      </c>
      <c r="C496" s="413"/>
      <c r="D496" s="273" t="str">
        <f t="array" ref="D496">IF($B496&gt;0,INDEX(DB,$B496,8),"")</f>
        <v/>
      </c>
      <c r="E496" s="274" t="str">
        <f t="array" ref="E496">IF($B496&gt;0,INDEX(DB,$B496,3),"")</f>
        <v/>
      </c>
      <c r="F496" s="275">
        <f t="array" ref="F496">IF($B496&gt;0,INDEX(DB,$B496,13),0)</f>
        <v>0</v>
      </c>
      <c r="G496" s="276">
        <f t="array" ref="G496">IF($B496&gt;0,INDEX(DB,$B496,17),0)</f>
        <v>0</v>
      </c>
      <c r="H496" s="277">
        <f t="array" ref="H496">IF($B496&gt;0,INDEX(DB,$B496,15),0)</f>
        <v>0</v>
      </c>
      <c r="I496" s="276">
        <f t="array" ref="I496">IF($B496&gt;0,INDEX(DB,$B496,19),0)</f>
        <v>0</v>
      </c>
      <c r="J496" s="277">
        <f t="array" ref="J496">IF($B496&gt;0,INDEX(DB,$B496,14),0)</f>
        <v>0</v>
      </c>
      <c r="K496" s="276">
        <f t="array" ref="K496">IF($B496&gt;0,INDEX(DB,$B496,18),0)</f>
        <v>0</v>
      </c>
      <c r="L496" s="275">
        <f t="array" ref="L496">IF($B496&gt;0,INDEX(DB,$B496,16),0)</f>
        <v>0</v>
      </c>
      <c r="M496" s="276">
        <f t="array" ref="M496">IF($B496&gt;0,INDEX(DB,$B496,20),0)</f>
        <v>0</v>
      </c>
      <c r="N496" s="278"/>
      <c r="O496" s="279">
        <f t="shared" si="1"/>
        <v>0</v>
      </c>
      <c r="P496" s="280"/>
      <c r="Q496" s="261" t="str">
        <f t="shared" si="2"/>
        <v>#REF!</v>
      </c>
      <c r="R496" s="281" t="str">
        <f>IF($AI496&gt;0,RANK($AI496,BoysPoints),0)</f>
        <v>#REF!</v>
      </c>
      <c r="S496" s="282" t="str">
        <f>IF($AJ496&gt;0,RANK($AJ496,GirlsPoints),0)</f>
        <v>#REF!</v>
      </c>
      <c r="T496" s="283">
        <f>IF($O496&gt;0,RANK(O496,AthletePoints),0)</f>
        <v>0</v>
      </c>
      <c r="U496" s="210"/>
      <c r="V496" s="415" t="str">
        <f>IF(O496&gt;=40,IF(X496="M",VLOOKUP(O496,UKABoysAwards,2),IF(X496="F",VLOOKUP(O496,UKAGirlsAwards,2),"")),"")</f>
        <v/>
      </c>
      <c r="W496" s="210"/>
      <c r="X496" s="266" t="str">
        <f t="array" ref="X496:X497">INDEX(DB,$B496,4)</f>
        <v>#REF!</v>
      </c>
      <c r="Y496" s="210"/>
      <c r="Z496" s="285" t="str">
        <f t="shared" si="3"/>
        <v>#REF!</v>
      </c>
      <c r="AA496" s="286" t="str">
        <f>IF($Z496&gt;=1,RANK($Z496,$Z485:$Z500),0)</f>
        <v>#REF!</v>
      </c>
      <c r="AB496" s="287" t="str">
        <f>IF(AA496&lt;=MaxS,INT(Z496),0)</f>
        <v>#REF!</v>
      </c>
      <c r="AC496" s="210"/>
      <c r="AD496" s="285" t="str">
        <f t="shared" si="4"/>
        <v>#REF!</v>
      </c>
      <c r="AE496" s="286" t="str">
        <f>IF($AD496&gt;=1,RANK($AD496,$AD485:$AD500),0)</f>
        <v>#REF!</v>
      </c>
      <c r="AF496" s="287" t="str">
        <f>IF(AE496&lt;=MaxS,INT(AD496),0)</f>
        <v>#REF!</v>
      </c>
      <c r="AG496" s="210"/>
      <c r="AH496" s="210"/>
      <c r="AI496" s="288" t="str">
        <f t="shared" si="5"/>
        <v>#REF!</v>
      </c>
      <c r="AJ496" s="289" t="str">
        <f t="shared" si="6"/>
        <v>#REF!</v>
      </c>
    </row>
    <row r="497" ht="15.0" customHeight="1">
      <c r="A497" s="272"/>
      <c r="B497" s="250">
        <f>IF(OR(ISNA(MATCH(C497&amp;"",AthleteNumbers,0)),ISBLANK(C497)),0,MATCH(C497&amp;"",AthleteNumbers,0))</f>
        <v>0</v>
      </c>
      <c r="C497" s="413"/>
      <c r="D497" s="273" t="str">
        <f t="array" ref="D497">IF($B497&gt;0,INDEX(DB,$B497,8),"")</f>
        <v/>
      </c>
      <c r="E497" s="274" t="str">
        <f t="array" ref="E497">IF($B497&gt;0,INDEX(DB,$B497,3),"")</f>
        <v/>
      </c>
      <c r="F497" s="275">
        <f t="array" ref="F497">IF($B497&gt;0,INDEX(DB,$B497,13),0)</f>
        <v>0</v>
      </c>
      <c r="G497" s="276">
        <f t="array" ref="G497">IF($B497&gt;0,INDEX(DB,$B497,17),0)</f>
        <v>0</v>
      </c>
      <c r="H497" s="277">
        <f t="array" ref="H497">IF($B497&gt;0,INDEX(DB,$B497,15),0)</f>
        <v>0</v>
      </c>
      <c r="I497" s="276">
        <f t="array" ref="I497">IF($B497&gt;0,INDEX(DB,$B497,19),0)</f>
        <v>0</v>
      </c>
      <c r="J497" s="277">
        <f t="array" ref="J497">IF($B497&gt;0,INDEX(DB,$B497,14),0)</f>
        <v>0</v>
      </c>
      <c r="K497" s="276">
        <f t="array" ref="K497">IF($B497&gt;0,INDEX(DB,$B497,18),0)</f>
        <v>0</v>
      </c>
      <c r="L497" s="275">
        <f t="array" ref="L497">IF($B497&gt;0,INDEX(DB,$B497,16),0)</f>
        <v>0</v>
      </c>
      <c r="M497" s="276">
        <f t="array" ref="M497">IF($B497&gt;0,INDEX(DB,$B497,20),0)</f>
        <v>0</v>
      </c>
      <c r="N497" s="278"/>
      <c r="O497" s="279">
        <f t="shared" si="1"/>
        <v>0</v>
      </c>
      <c r="P497" s="280"/>
      <c r="Q497" s="261" t="str">
        <f t="shared" si="2"/>
        <v>#REF!</v>
      </c>
      <c r="R497" s="290" t="str">
        <f>IF($AI497&gt;0,RANK($AI497,BoysPoints),0)</f>
        <v>#REF!</v>
      </c>
      <c r="S497" s="291" t="str">
        <f>IF($AJ497&gt;0,RANK($AJ497,GirlsPoints),0)</f>
        <v>#REF!</v>
      </c>
      <c r="T497" s="292">
        <f>IF($O497&gt;0,RANK(O497,AthletePoints),0)</f>
        <v>0</v>
      </c>
      <c r="U497" s="210"/>
      <c r="V497" s="330" t="str">
        <f>IF(O497&gt;=40,IF(X497="M",VLOOKUP(O497,UKABoysAwards,2),IF(X497="F",VLOOKUP(O497,UKAGirlsAwards,2),"")),"")</f>
        <v/>
      </c>
      <c r="W497" s="210"/>
      <c r="X497" s="266" t="str">
        <f t="array" ref="X497:X498">INDEX(DB,$B497,4)</f>
        <v>#REF!</v>
      </c>
      <c r="Y497" s="210"/>
      <c r="Z497" s="285" t="str">
        <f t="shared" si="3"/>
        <v>#REF!</v>
      </c>
      <c r="AA497" s="286" t="str">
        <f>IF($Z497&gt;=1,RANK($Z497,$Z485:$Z500),0)</f>
        <v>#REF!</v>
      </c>
      <c r="AB497" s="287" t="str">
        <f>IF(AA497&lt;=MaxS,INT(Z497),0)</f>
        <v>#REF!</v>
      </c>
      <c r="AC497" s="210"/>
      <c r="AD497" s="285" t="str">
        <f t="shared" si="4"/>
        <v>#REF!</v>
      </c>
      <c r="AE497" s="286" t="str">
        <f>IF($AD497&gt;=1,RANK($AD497,$AD485:$AD500),0)</f>
        <v>#REF!</v>
      </c>
      <c r="AF497" s="287" t="str">
        <f>IF(AE497&lt;=MaxS,INT(AD497),0)</f>
        <v>#REF!</v>
      </c>
      <c r="AG497" s="210"/>
      <c r="AH497" s="210"/>
      <c r="AI497" s="288" t="str">
        <f t="shared" si="5"/>
        <v>#REF!</v>
      </c>
      <c r="AJ497" s="289" t="str">
        <f t="shared" si="6"/>
        <v>#REF!</v>
      </c>
    </row>
    <row r="498" ht="15.0" customHeight="1">
      <c r="A498" s="272"/>
      <c r="B498" s="250">
        <f>IF(OR(ISNA(MATCH(C498&amp;"",AthleteNumbers,0)),ISBLANK(C498)),0,MATCH(C498&amp;"",AthleteNumbers,0))</f>
        <v>0</v>
      </c>
      <c r="C498" s="413"/>
      <c r="D498" s="273" t="str">
        <f t="array" ref="D498">IF($B498&gt;0,INDEX(DB,$B498,8),"")</f>
        <v/>
      </c>
      <c r="E498" s="274" t="str">
        <f t="array" ref="E498">IF($B498&gt;0,INDEX(DB,$B498,3),"")</f>
        <v/>
      </c>
      <c r="F498" s="275">
        <f t="array" ref="F498">IF($B498&gt;0,INDEX(DB,$B498,13),0)</f>
        <v>0</v>
      </c>
      <c r="G498" s="276">
        <f t="array" ref="G498">IF($B498&gt;0,INDEX(DB,$B498,17),0)</f>
        <v>0</v>
      </c>
      <c r="H498" s="277">
        <f t="array" ref="H498">IF($B498&gt;0,INDEX(DB,$B498,15),0)</f>
        <v>0</v>
      </c>
      <c r="I498" s="276">
        <f t="array" ref="I498">IF($B498&gt;0,INDEX(DB,$B498,19),0)</f>
        <v>0</v>
      </c>
      <c r="J498" s="277">
        <f t="array" ref="J498">IF($B498&gt;0,INDEX(DB,$B498,14),0)</f>
        <v>0</v>
      </c>
      <c r="K498" s="276">
        <f t="array" ref="K498">IF($B498&gt;0,INDEX(DB,$B498,18),0)</f>
        <v>0</v>
      </c>
      <c r="L498" s="275">
        <f t="array" ref="L498">IF($B498&gt;0,INDEX(DB,$B498,16),0)</f>
        <v>0</v>
      </c>
      <c r="M498" s="276">
        <f t="array" ref="M498">IF($B498&gt;0,INDEX(DB,$B498,20),0)</f>
        <v>0</v>
      </c>
      <c r="N498" s="278"/>
      <c r="O498" s="279">
        <f t="shared" si="1"/>
        <v>0</v>
      </c>
      <c r="P498" s="280"/>
      <c r="Q498" s="261" t="str">
        <f t="shared" si="2"/>
        <v>#REF!</v>
      </c>
      <c r="R498" s="281" t="str">
        <f>IF($AI498&gt;0,RANK($AI498,BoysPoints),0)</f>
        <v>#REF!</v>
      </c>
      <c r="S498" s="282" t="str">
        <f>IF($AJ498&gt;0,RANK($AJ498,GirlsPoints),0)</f>
        <v>#REF!</v>
      </c>
      <c r="T498" s="283">
        <f>IF($O498&gt;0,RANK(O498,AthletePoints),0)</f>
        <v>0</v>
      </c>
      <c r="U498" s="210"/>
      <c r="V498" s="415" t="str">
        <f>IF(O498&gt;=40,IF(X498="M",VLOOKUP(O498,UKABoysAwards,2),IF(X498="F",VLOOKUP(O498,UKAGirlsAwards,2),"")),"")</f>
        <v/>
      </c>
      <c r="W498" s="210"/>
      <c r="X498" s="266" t="str">
        <f t="array" ref="X498:X499">INDEX(DB,$B498,4)</f>
        <v>#REF!</v>
      </c>
      <c r="Y498" s="210"/>
      <c r="Z498" s="285" t="str">
        <f t="shared" si="3"/>
        <v>#REF!</v>
      </c>
      <c r="AA498" s="286" t="str">
        <f>IF($Z498&gt;=1,RANK($Z498,$Z485:$Z500),0)</f>
        <v>#REF!</v>
      </c>
      <c r="AB498" s="287" t="str">
        <f>IF(AA498&lt;=MaxS,INT(Z498),0)</f>
        <v>#REF!</v>
      </c>
      <c r="AC498" s="210"/>
      <c r="AD498" s="285" t="str">
        <f t="shared" si="4"/>
        <v>#REF!</v>
      </c>
      <c r="AE498" s="286" t="str">
        <f>IF($AD498&gt;=1,RANK($AD498,$AD485:$AD500),0)</f>
        <v>#REF!</v>
      </c>
      <c r="AF498" s="287" t="str">
        <f>IF(AE498&lt;=MaxS,INT(AD498),0)</f>
        <v>#REF!</v>
      </c>
      <c r="AG498" s="210"/>
      <c r="AH498" s="210"/>
      <c r="AI498" s="288" t="str">
        <f t="shared" si="5"/>
        <v>#REF!</v>
      </c>
      <c r="AJ498" s="289" t="str">
        <f t="shared" si="6"/>
        <v>#REF!</v>
      </c>
    </row>
    <row r="499" ht="15.0" customHeight="1">
      <c r="A499" s="272"/>
      <c r="B499" s="250">
        <f>IF(OR(ISNA(MATCH(C499&amp;"",AthleteNumbers,0)),ISBLANK(C499)),0,MATCH(C499&amp;"",AthleteNumbers,0))</f>
        <v>0</v>
      </c>
      <c r="C499" s="413"/>
      <c r="D499" s="273" t="str">
        <f t="array" ref="D499">IF($B499&gt;0,INDEX(DB,$B499,8),"")</f>
        <v/>
      </c>
      <c r="E499" s="274" t="str">
        <f t="array" ref="E499">IF($B499&gt;0,INDEX(DB,$B499,3),"")</f>
        <v/>
      </c>
      <c r="F499" s="275">
        <f t="array" ref="F499">IF($B499&gt;0,INDEX(DB,$B499,13),0)</f>
        <v>0</v>
      </c>
      <c r="G499" s="276">
        <f t="array" ref="G499">IF($B499&gt;0,INDEX(DB,$B499,17),0)</f>
        <v>0</v>
      </c>
      <c r="H499" s="277">
        <f t="array" ref="H499">IF($B499&gt;0,INDEX(DB,$B499,15),0)</f>
        <v>0</v>
      </c>
      <c r="I499" s="276">
        <f t="array" ref="I499">IF($B499&gt;0,INDEX(DB,$B499,19),0)</f>
        <v>0</v>
      </c>
      <c r="J499" s="277">
        <f t="array" ref="J499">IF($B499&gt;0,INDEX(DB,$B499,14),0)</f>
        <v>0</v>
      </c>
      <c r="K499" s="276">
        <f t="array" ref="K499">IF($B499&gt;0,INDEX(DB,$B499,18),0)</f>
        <v>0</v>
      </c>
      <c r="L499" s="275">
        <f t="array" ref="L499">IF($B499&gt;0,INDEX(DB,$B499,16),0)</f>
        <v>0</v>
      </c>
      <c r="M499" s="276">
        <f t="array" ref="M499">IF($B499&gt;0,INDEX(DB,$B499,20),0)</f>
        <v>0</v>
      </c>
      <c r="N499" s="278"/>
      <c r="O499" s="279">
        <f t="shared" si="1"/>
        <v>0</v>
      </c>
      <c r="P499" s="280"/>
      <c r="Q499" s="261" t="str">
        <f t="shared" si="2"/>
        <v>#REF!</v>
      </c>
      <c r="R499" s="290" t="str">
        <f>IF($AI499&gt;0,RANK($AI499,BoysPoints),0)</f>
        <v>#REF!</v>
      </c>
      <c r="S499" s="291" t="str">
        <f>IF($AJ499&gt;0,RANK($AJ499,GirlsPoints),0)</f>
        <v>#REF!</v>
      </c>
      <c r="T499" s="292">
        <f>IF($O499&gt;0,RANK(O499,AthletePoints),0)</f>
        <v>0</v>
      </c>
      <c r="U499" s="210"/>
      <c r="V499" s="330" t="str">
        <f>IF(O499&gt;=40,IF(X499="M",VLOOKUP(O499,UKABoysAwards,2),IF(X499="F",VLOOKUP(O499,UKAGirlsAwards,2),"")),"")</f>
        <v/>
      </c>
      <c r="W499" s="210"/>
      <c r="X499" s="266" t="str">
        <f t="array" ref="X499:X500">INDEX(DB,$B499,4)</f>
        <v>#REF!</v>
      </c>
      <c r="Y499" s="210"/>
      <c r="Z499" s="285" t="str">
        <f t="shared" si="3"/>
        <v>#REF!</v>
      </c>
      <c r="AA499" s="286" t="str">
        <f>IF($Z499&gt;=1,RANK($Z499,$Z485:$Z500),0)</f>
        <v>#REF!</v>
      </c>
      <c r="AB499" s="287" t="str">
        <f>IF(AA499&lt;=MaxS,INT(Z499),0)</f>
        <v>#REF!</v>
      </c>
      <c r="AC499" s="210"/>
      <c r="AD499" s="285" t="str">
        <f t="shared" si="4"/>
        <v>#REF!</v>
      </c>
      <c r="AE499" s="286" t="str">
        <f>IF($AD499&gt;=1,RANK($AD499,$AD485:$AD500),0)</f>
        <v>#REF!</v>
      </c>
      <c r="AF499" s="287" t="str">
        <f>IF(AE499&lt;=MaxS,INT(AD499),0)</f>
        <v>#REF!</v>
      </c>
      <c r="AG499" s="210"/>
      <c r="AH499" s="210"/>
      <c r="AI499" s="288" t="str">
        <f t="shared" si="5"/>
        <v>#REF!</v>
      </c>
      <c r="AJ499" s="289" t="str">
        <f t="shared" si="6"/>
        <v>#REF!</v>
      </c>
    </row>
    <row r="500" ht="15.0" customHeight="1">
      <c r="A500" s="305"/>
      <c r="B500" s="250">
        <f>IF(OR(ISNA(MATCH(C500&amp;"",AthleteNumbers,0)),ISBLANK(C500)),0,MATCH(C500&amp;"",AthleteNumbers,0))</f>
        <v>0</v>
      </c>
      <c r="C500" s="443"/>
      <c r="D500" s="306" t="str">
        <f t="array" ref="D500">IF($B500&gt;0,INDEX(DB,$B500,8),"")</f>
        <v/>
      </c>
      <c r="E500" s="307" t="str">
        <f t="array" ref="E500">IF($B500&gt;0,INDEX(DB,$B500,3),"")</f>
        <v/>
      </c>
      <c r="F500" s="308">
        <f t="array" ref="F500">IF($B500&gt;0,INDEX(DB,$B500,13),0)</f>
        <v>0</v>
      </c>
      <c r="G500" s="309">
        <f t="array" ref="G500">IF($B500&gt;0,INDEX(DB,$B500,17),0)</f>
        <v>0</v>
      </c>
      <c r="H500" s="310">
        <f t="array" ref="H500">IF($B500&gt;0,INDEX(DB,$B500,15),0)</f>
        <v>0</v>
      </c>
      <c r="I500" s="309">
        <f t="array" ref="I500">IF($B500&gt;0,INDEX(DB,$B500,19),0)</f>
        <v>0</v>
      </c>
      <c r="J500" s="310">
        <f t="array" ref="J500">IF($B500&gt;0,INDEX(DB,$B500,14),0)</f>
        <v>0</v>
      </c>
      <c r="K500" s="309">
        <f t="array" ref="K500">IF($B500&gt;0,INDEX(DB,$B500,18),0)</f>
        <v>0</v>
      </c>
      <c r="L500" s="308">
        <f t="array" ref="L500">IF($B500&gt;0,INDEX(DB,$B500,16),0)</f>
        <v>0</v>
      </c>
      <c r="M500" s="309">
        <f t="array" ref="M500">IF($B500&gt;0,INDEX(DB,$B500,20),0)</f>
        <v>0</v>
      </c>
      <c r="N500" s="25"/>
      <c r="O500" s="311">
        <f t="shared" si="1"/>
        <v>0</v>
      </c>
      <c r="P500" s="31"/>
      <c r="Q500" s="261" t="str">
        <f t="shared" si="2"/>
        <v>#REF!</v>
      </c>
      <c r="R500" s="312" t="str">
        <f>IF($AI500&gt;0,RANK($AI500,BoysPoints),0)</f>
        <v>#REF!</v>
      </c>
      <c r="S500" s="313" t="str">
        <f>IF($AJ500&gt;0,RANK($AJ500,GirlsPoints),0)</f>
        <v>#REF!</v>
      </c>
      <c r="T500" s="314">
        <f>IF($O500&gt;0,RANK(O500,AthletePoints),0)</f>
        <v>0</v>
      </c>
      <c r="U500" s="210"/>
      <c r="V500" s="444" t="str">
        <f>IF(O500&gt;=40,IF(X500="M",VLOOKUP(O500,UKABoysAwards,2),IF(X500="F",VLOOKUP(O500,UKAGirlsAwards,2),"")),"")</f>
        <v/>
      </c>
      <c r="W500" s="210"/>
      <c r="X500" s="266" t="str">
        <f t="array" ref="X500:X501">INDEX(DB,$B500,4)</f>
        <v>#REF!</v>
      </c>
      <c r="Y500" s="210"/>
      <c r="Z500" s="316" t="str">
        <f t="shared" si="3"/>
        <v>#REF!</v>
      </c>
      <c r="AA500" s="243" t="str">
        <f>IF($Z500&gt;=1,RANK($Z500,$Z485:$Z500),0)</f>
        <v>#REF!</v>
      </c>
      <c r="AB500" s="245" t="str">
        <f>IF(AA500&lt;=MaxS,INT(Z500),0)</f>
        <v>#REF!</v>
      </c>
      <c r="AC500" s="210" t="str">
        <f>SUM(AB485:AB500)</f>
        <v>#REF!</v>
      </c>
      <c r="AD500" s="316" t="str">
        <f t="shared" si="4"/>
        <v>#REF!</v>
      </c>
      <c r="AE500" s="243" t="str">
        <f>IF($AD500&gt;=1,RANK($AD500,$AD485:$AD500),0)</f>
        <v>#REF!</v>
      </c>
      <c r="AF500" s="245" t="str">
        <f>IF(AE500&lt;=MaxS,INT(AD500),0)</f>
        <v>#REF!</v>
      </c>
      <c r="AG500" s="210" t="str">
        <f>SUM(AF485:AF500)</f>
        <v>#REF!</v>
      </c>
      <c r="AH500" s="210"/>
      <c r="AI500" s="246" t="str">
        <f t="shared" si="5"/>
        <v>#REF!</v>
      </c>
      <c r="AJ500" s="247" t="str">
        <f t="shared" si="6"/>
        <v>#REF!</v>
      </c>
    </row>
    <row r="501" ht="15.0" customHeight="1">
      <c r="A501" s="248"/>
      <c r="B501" s="250">
        <f>IF(OR(ISNA(MATCH(C501&amp;"",AthleteNumbers,0)),ISBLANK(C501)),0,MATCH(C501&amp;"",AthleteNumbers,0))</f>
        <v>0</v>
      </c>
      <c r="C501" s="251"/>
      <c r="D501" s="252" t="str">
        <f t="array" ref="D501">IF($B501&gt;0,INDEX(DB,$B501,8),"")</f>
        <v/>
      </c>
      <c r="E501" s="253" t="str">
        <f t="array" ref="E501">IF($B501&gt;0,INDEX(DB,$B501,3),"")</f>
        <v/>
      </c>
      <c r="F501" s="254">
        <f t="array" ref="F501">IF($B501&gt;0,INDEX(DB,$B501,13),0)</f>
        <v>0</v>
      </c>
      <c r="G501" s="255">
        <f t="array" ref="G501">IF($B501&gt;0,INDEX(DB,$B501,17),0)</f>
        <v>0</v>
      </c>
      <c r="H501" s="257">
        <f t="array" ref="H501">IF($B501&gt;0,INDEX(DB,$B501,15),0)</f>
        <v>0</v>
      </c>
      <c r="I501" s="255">
        <f t="array" ref="I501">IF($B501&gt;0,INDEX(DB,$B501,19),0)</f>
        <v>0</v>
      </c>
      <c r="J501" s="257">
        <f t="array" ref="J501">IF($B501&gt;0,INDEX(DB,$B501,14),0)</f>
        <v>0</v>
      </c>
      <c r="K501" s="255">
        <f t="array" ref="K501">IF($B501&gt;0,INDEX(DB,$B501,18),0)</f>
        <v>0</v>
      </c>
      <c r="L501" s="254">
        <f t="array" ref="L501">IF($B501&gt;0,INDEX(DB,$B501,16),0)</f>
        <v>0</v>
      </c>
      <c r="M501" s="255">
        <f t="array" ref="M501">IF($B501&gt;0,INDEX(DB,$B501,20),0)</f>
        <v>0</v>
      </c>
      <c r="N501" s="258" t="str">
        <f t="array" ref="N501:N517">INDEX(RelayPoints,A516)</f>
        <v>#REF!</v>
      </c>
      <c r="O501" s="259">
        <f t="shared" si="1"/>
        <v>0</v>
      </c>
      <c r="P501" s="260" t="str">
        <f>+AC516+AG516+N501</f>
        <v>#REF!</v>
      </c>
      <c r="Q501" s="261" t="str">
        <f t="shared" si="2"/>
        <v>#REF!</v>
      </c>
      <c r="R501" s="262" t="str">
        <f>IF($AI501&gt;0,RANK($AI501,BoysPoints),0)</f>
        <v>#REF!</v>
      </c>
      <c r="S501" s="263" t="str">
        <f>IF($AJ501&gt;0,RANK($AJ501,GirlsPoints),0)</f>
        <v>#REF!</v>
      </c>
      <c r="T501" s="264">
        <f>IF($O501&gt;0,RANK(O501,AthletePoints),0)</f>
        <v>0</v>
      </c>
      <c r="U501" s="210"/>
      <c r="V501" s="317" t="str">
        <f>IF(O501&gt;=40,IF(X501="M",VLOOKUP(O501,UKABoysAwards,2),IF(X501="F",VLOOKUP(O501,UKAGirlsAwards,2),"")),"")</f>
        <v/>
      </c>
      <c r="W501" s="210"/>
      <c r="X501" s="266" t="str">
        <f t="array" ref="X501:X502">INDEX(DB,$B501,4)</f>
        <v>#REF!</v>
      </c>
      <c r="Y501" s="210"/>
      <c r="Z501" s="267" t="str">
        <f t="shared" si="3"/>
        <v>#REF!</v>
      </c>
      <c r="AA501" s="268" t="str">
        <f>IF($Z501&gt;=1,RANK($Z501,$Z501:$Z516),0)</f>
        <v>#REF!</v>
      </c>
      <c r="AB501" s="269" t="str">
        <f>IF(AA501&lt;=MaxS,INT(Z501),0)</f>
        <v>#REF!</v>
      </c>
      <c r="AC501" s="210"/>
      <c r="AD501" s="267" t="str">
        <f t="shared" si="4"/>
        <v>#REF!</v>
      </c>
      <c r="AE501" s="268" t="str">
        <f>IF($AD501&gt;=1,RANK($AD501,$AD501:$AD516),0)</f>
        <v>#REF!</v>
      </c>
      <c r="AF501" s="269" t="str">
        <f>IF(AE501&lt;=MaxS,INT(AD501),0)</f>
        <v>#REF!</v>
      </c>
      <c r="AG501" s="210"/>
      <c r="AH501" s="210"/>
      <c r="AI501" s="288" t="str">
        <f t="shared" si="5"/>
        <v>#REF!</v>
      </c>
      <c r="AJ501" s="289" t="str">
        <f t="shared" si="6"/>
        <v>#REF!</v>
      </c>
    </row>
    <row r="502" ht="15.0" customHeight="1">
      <c r="A502" s="272"/>
      <c r="B502" s="250">
        <f>IF(OR(ISNA(MATCH(C502&amp;"",AthleteNumbers,0)),ISBLANK(C502)),0,MATCH(C502&amp;"",AthleteNumbers,0))</f>
        <v>0</v>
      </c>
      <c r="C502" s="413"/>
      <c r="D502" s="273" t="str">
        <f t="array" ref="D502">IF($B502&gt;0,INDEX(DB,$B502,8),"")</f>
        <v/>
      </c>
      <c r="E502" s="274" t="str">
        <f t="array" ref="E502">IF($B502&gt;0,INDEX(DB,$B502,3),"")</f>
        <v/>
      </c>
      <c r="F502" s="275">
        <f t="array" ref="F502">IF($B502&gt;0,INDEX(DB,$B502,13),0)</f>
        <v>0</v>
      </c>
      <c r="G502" s="276">
        <f t="array" ref="G502">IF($B502&gt;0,INDEX(DB,$B502,17),0)</f>
        <v>0</v>
      </c>
      <c r="H502" s="277">
        <f t="array" ref="H502">IF($B502&gt;0,INDEX(DB,$B502,15),0)</f>
        <v>0</v>
      </c>
      <c r="I502" s="276">
        <f t="array" ref="I502">IF($B502&gt;0,INDEX(DB,$B502,19),0)</f>
        <v>0</v>
      </c>
      <c r="J502" s="277">
        <f t="array" ref="J502">IF($B502&gt;0,INDEX(DB,$B502,14),0)</f>
        <v>0</v>
      </c>
      <c r="K502" s="276">
        <f t="array" ref="K502">IF($B502&gt;0,INDEX(DB,$B502,18),0)</f>
        <v>0</v>
      </c>
      <c r="L502" s="275">
        <f t="array" ref="L502">IF($B502&gt;0,INDEX(DB,$B502,16),0)</f>
        <v>0</v>
      </c>
      <c r="M502" s="276">
        <f t="array" ref="M502">IF($B502&gt;0,INDEX(DB,$B502,20),0)</f>
        <v>0</v>
      </c>
      <c r="N502" s="278"/>
      <c r="O502" s="279">
        <f t="shared" si="1"/>
        <v>0</v>
      </c>
      <c r="P502" s="280"/>
      <c r="Q502" s="261" t="str">
        <f t="shared" si="2"/>
        <v>#REF!</v>
      </c>
      <c r="R502" s="281" t="str">
        <f>IF($AI502&gt;0,RANK($AI502,BoysPoints),0)</f>
        <v>#REF!</v>
      </c>
      <c r="S502" s="282" t="str">
        <f>IF($AJ502&gt;0,RANK($AJ502,GirlsPoints),0)</f>
        <v>#REF!</v>
      </c>
      <c r="T502" s="283">
        <f>IF($O502&gt;0,RANK(O502,AthletePoints),0)</f>
        <v>0</v>
      </c>
      <c r="U502" s="210"/>
      <c r="V502" s="415" t="str">
        <f>IF(O502&gt;=40,IF(X502="M",VLOOKUP(O502,UKABoysAwards,2),IF(X502="F",VLOOKUP(O502,UKAGirlsAwards,2),"")),"")</f>
        <v/>
      </c>
      <c r="W502" s="210"/>
      <c r="X502" s="266" t="str">
        <f t="array" ref="X502:X503">INDEX(DB,$B502,4)</f>
        <v>#REF!</v>
      </c>
      <c r="Y502" s="210"/>
      <c r="Z502" s="285" t="str">
        <f t="shared" si="3"/>
        <v>#REF!</v>
      </c>
      <c r="AA502" s="286" t="str">
        <f>IF($Z502&gt;=1,RANK($Z502,$Z501:$Z516),0)</f>
        <v>#REF!</v>
      </c>
      <c r="AB502" s="287" t="str">
        <f>IF(AA502&lt;=MaxS,INT(Z502),0)</f>
        <v>#REF!</v>
      </c>
      <c r="AC502" s="210"/>
      <c r="AD502" s="285" t="str">
        <f t="shared" si="4"/>
        <v>#REF!</v>
      </c>
      <c r="AE502" s="286" t="str">
        <f>IF($AD502&gt;=1,RANK($AD502,$AD501:$AD516),0)</f>
        <v>#REF!</v>
      </c>
      <c r="AF502" s="287" t="str">
        <f>IF(AE502&lt;=MaxS,INT(AD502),0)</f>
        <v>#REF!</v>
      </c>
      <c r="AG502" s="210"/>
      <c r="AH502" s="210"/>
      <c r="AI502" s="288" t="str">
        <f t="shared" si="5"/>
        <v>#REF!</v>
      </c>
      <c r="AJ502" s="289" t="str">
        <f t="shared" si="6"/>
        <v>#REF!</v>
      </c>
    </row>
    <row r="503" ht="15.0" customHeight="1">
      <c r="A503" s="272"/>
      <c r="B503" s="250">
        <f>IF(OR(ISNA(MATCH(C503&amp;"",AthleteNumbers,0)),ISBLANK(C503)),0,MATCH(C503&amp;"",AthleteNumbers,0))</f>
        <v>0</v>
      </c>
      <c r="C503" s="413"/>
      <c r="D503" s="273" t="str">
        <f t="array" ref="D503">IF($B503&gt;0,INDEX(DB,$B503,8),"")</f>
        <v/>
      </c>
      <c r="E503" s="274" t="str">
        <f t="array" ref="E503">IF($B503&gt;0,INDEX(DB,$B503,3),"")</f>
        <v/>
      </c>
      <c r="F503" s="275">
        <f t="array" ref="F503">IF($B503&gt;0,INDEX(DB,$B503,13),0)</f>
        <v>0</v>
      </c>
      <c r="G503" s="276">
        <f t="array" ref="G503">IF($B503&gt;0,INDEX(DB,$B503,17),0)</f>
        <v>0</v>
      </c>
      <c r="H503" s="277">
        <f t="array" ref="H503">IF($B503&gt;0,INDEX(DB,$B503,15),0)</f>
        <v>0</v>
      </c>
      <c r="I503" s="276">
        <f t="array" ref="I503">IF($B503&gt;0,INDEX(DB,$B503,19),0)</f>
        <v>0</v>
      </c>
      <c r="J503" s="277">
        <f t="array" ref="J503">IF($B503&gt;0,INDEX(DB,$B503,14),0)</f>
        <v>0</v>
      </c>
      <c r="K503" s="276">
        <f t="array" ref="K503">IF($B503&gt;0,INDEX(DB,$B503,18),0)</f>
        <v>0</v>
      </c>
      <c r="L503" s="275">
        <f t="array" ref="L503">IF($B503&gt;0,INDEX(DB,$B503,16),0)</f>
        <v>0</v>
      </c>
      <c r="M503" s="276">
        <f t="array" ref="M503">IF($B503&gt;0,INDEX(DB,$B503,20),0)</f>
        <v>0</v>
      </c>
      <c r="N503" s="278"/>
      <c r="O503" s="279">
        <f t="shared" si="1"/>
        <v>0</v>
      </c>
      <c r="P503" s="280"/>
      <c r="Q503" s="261" t="str">
        <f t="shared" si="2"/>
        <v>#REF!</v>
      </c>
      <c r="R503" s="290" t="str">
        <f>IF($AI503&gt;0,RANK($AI503,BoysPoints),0)</f>
        <v>#REF!</v>
      </c>
      <c r="S503" s="291" t="str">
        <f>IF($AJ503&gt;0,RANK($AJ503,GirlsPoints),0)</f>
        <v>#REF!</v>
      </c>
      <c r="T503" s="292">
        <f>IF($O503&gt;0,RANK(O503,AthletePoints),0)</f>
        <v>0</v>
      </c>
      <c r="U503" s="210"/>
      <c r="V503" s="330" t="str">
        <f>IF(O503&gt;=40,IF(X503="M",VLOOKUP(O503,UKABoysAwards,2),IF(X503="F",VLOOKUP(O503,UKAGirlsAwards,2),"")),"")</f>
        <v/>
      </c>
      <c r="W503" s="210"/>
      <c r="X503" s="266" t="str">
        <f t="array" ref="X503:X504">INDEX(DB,$B503,4)</f>
        <v>#REF!</v>
      </c>
      <c r="Y503" s="210"/>
      <c r="Z503" s="285" t="str">
        <f t="shared" si="3"/>
        <v>#REF!</v>
      </c>
      <c r="AA503" s="286" t="str">
        <f>IF($Z503&gt;=1,RANK($Z503,$Z501:$Z516),0)</f>
        <v>#REF!</v>
      </c>
      <c r="AB503" s="287" t="str">
        <f>IF(AA503&lt;=MaxS,INT(Z503),0)</f>
        <v>#REF!</v>
      </c>
      <c r="AC503" s="210"/>
      <c r="AD503" s="285" t="str">
        <f t="shared" si="4"/>
        <v>#REF!</v>
      </c>
      <c r="AE503" s="286" t="str">
        <f>IF($AD503&gt;=1,RANK($AD503,$AD501:$AD516),0)</f>
        <v>#REF!</v>
      </c>
      <c r="AF503" s="287" t="str">
        <f>IF(AE503&lt;=MaxS,INT(AD503),0)</f>
        <v>#REF!</v>
      </c>
      <c r="AG503" s="210"/>
      <c r="AH503" s="210"/>
      <c r="AI503" s="288" t="str">
        <f t="shared" si="5"/>
        <v>#REF!</v>
      </c>
      <c r="AJ503" s="289" t="str">
        <f t="shared" si="6"/>
        <v>#REF!</v>
      </c>
    </row>
    <row r="504" ht="15.0" customHeight="1">
      <c r="A504" s="272"/>
      <c r="B504" s="250">
        <f>IF(OR(ISNA(MATCH(C504&amp;"",AthleteNumbers,0)),ISBLANK(C504)),0,MATCH(C504&amp;"",AthleteNumbers,0))</f>
        <v>0</v>
      </c>
      <c r="C504" s="413"/>
      <c r="D504" s="273" t="str">
        <f t="array" ref="D504">IF($B504&gt;0,INDEX(DB,$B504,8),"")</f>
        <v/>
      </c>
      <c r="E504" s="274" t="str">
        <f t="array" ref="E504">IF($B504&gt;0,INDEX(DB,$B504,3),"")</f>
        <v/>
      </c>
      <c r="F504" s="275">
        <f t="array" ref="F504">IF($B504&gt;0,INDEX(DB,$B504,13),0)</f>
        <v>0</v>
      </c>
      <c r="G504" s="276">
        <f t="array" ref="G504">IF($B504&gt;0,INDEX(DB,$B504,17),0)</f>
        <v>0</v>
      </c>
      <c r="H504" s="277">
        <f t="array" ref="H504">IF($B504&gt;0,INDEX(DB,$B504,15),0)</f>
        <v>0</v>
      </c>
      <c r="I504" s="276">
        <f t="array" ref="I504">IF($B504&gt;0,INDEX(DB,$B504,19),0)</f>
        <v>0</v>
      </c>
      <c r="J504" s="277">
        <f t="array" ref="J504">IF($B504&gt;0,INDEX(DB,$B504,14),0)</f>
        <v>0</v>
      </c>
      <c r="K504" s="276">
        <f t="array" ref="K504">IF($B504&gt;0,INDEX(DB,$B504,18),0)</f>
        <v>0</v>
      </c>
      <c r="L504" s="275">
        <f t="array" ref="L504">IF($B504&gt;0,INDEX(DB,$B504,16),0)</f>
        <v>0</v>
      </c>
      <c r="M504" s="276">
        <f t="array" ref="M504">IF($B504&gt;0,INDEX(DB,$B504,20),0)</f>
        <v>0</v>
      </c>
      <c r="N504" s="278"/>
      <c r="O504" s="279">
        <f t="shared" si="1"/>
        <v>0</v>
      </c>
      <c r="P504" s="280"/>
      <c r="Q504" s="261" t="str">
        <f t="shared" si="2"/>
        <v>#REF!</v>
      </c>
      <c r="R504" s="281" t="str">
        <f>IF($AI504&gt;0,RANK($AI504,BoysPoints),0)</f>
        <v>#REF!</v>
      </c>
      <c r="S504" s="282" t="str">
        <f>IF($AJ504&gt;0,RANK($AJ504,GirlsPoints),0)</f>
        <v>#REF!</v>
      </c>
      <c r="T504" s="283">
        <f>IF($O504&gt;0,RANK(O504,AthletePoints),0)</f>
        <v>0</v>
      </c>
      <c r="U504" s="210"/>
      <c r="V504" s="415" t="str">
        <f>IF(O504&gt;=40,IF(X504="M",VLOOKUP(O504,UKABoysAwards,2),IF(X504="F",VLOOKUP(O504,UKAGirlsAwards,2),"")),"")</f>
        <v/>
      </c>
      <c r="W504" s="210"/>
      <c r="X504" s="266" t="str">
        <f t="array" ref="X504:X505">INDEX(DB,$B504,4)</f>
        <v>#REF!</v>
      </c>
      <c r="Y504" s="210"/>
      <c r="Z504" s="285" t="str">
        <f t="shared" si="3"/>
        <v>#REF!</v>
      </c>
      <c r="AA504" s="286" t="str">
        <f>IF($Z504&gt;=1,RANK($Z504,$Z501:$Z516),0)</f>
        <v>#REF!</v>
      </c>
      <c r="AB504" s="287" t="str">
        <f>IF(AA504&lt;=MaxS,INT(Z504),0)</f>
        <v>#REF!</v>
      </c>
      <c r="AC504" s="210"/>
      <c r="AD504" s="285" t="str">
        <f t="shared" si="4"/>
        <v>#REF!</v>
      </c>
      <c r="AE504" s="286" t="str">
        <f>IF($AD504&gt;=1,RANK($AD504,$AD501:$AD516),0)</f>
        <v>#REF!</v>
      </c>
      <c r="AF504" s="287" t="str">
        <f>IF(AE504&lt;=MaxS,INT(AD504),0)</f>
        <v>#REF!</v>
      </c>
      <c r="AG504" s="210"/>
      <c r="AH504" s="210"/>
      <c r="AI504" s="288" t="str">
        <f t="shared" si="5"/>
        <v>#REF!</v>
      </c>
      <c r="AJ504" s="289" t="str">
        <f t="shared" si="6"/>
        <v>#REF!</v>
      </c>
    </row>
    <row r="505" ht="15.0" customHeight="1">
      <c r="A505" s="272"/>
      <c r="B505" s="250">
        <f>IF(OR(ISNA(MATCH(C505&amp;"",AthleteNumbers,0)),ISBLANK(C505)),0,MATCH(C505&amp;"",AthleteNumbers,0))</f>
        <v>0</v>
      </c>
      <c r="C505" s="413"/>
      <c r="D505" s="273" t="str">
        <f t="array" ref="D505">IF($B505&gt;0,INDEX(DB,$B505,8),"")</f>
        <v/>
      </c>
      <c r="E505" s="274" t="str">
        <f t="array" ref="E505">IF($B505&gt;0,INDEX(DB,$B505,3),"")</f>
        <v/>
      </c>
      <c r="F505" s="275">
        <f t="array" ref="F505">IF($B505&gt;0,INDEX(DB,$B505,13),0)</f>
        <v>0</v>
      </c>
      <c r="G505" s="276">
        <f t="array" ref="G505">IF($B505&gt;0,INDEX(DB,$B505,17),0)</f>
        <v>0</v>
      </c>
      <c r="H505" s="277">
        <f t="array" ref="H505">IF($B505&gt;0,INDEX(DB,$B505,15),0)</f>
        <v>0</v>
      </c>
      <c r="I505" s="276">
        <f t="array" ref="I505">IF($B505&gt;0,INDEX(DB,$B505,19),0)</f>
        <v>0</v>
      </c>
      <c r="J505" s="277">
        <f t="array" ref="J505">IF($B505&gt;0,INDEX(DB,$B505,14),0)</f>
        <v>0</v>
      </c>
      <c r="K505" s="276">
        <f t="array" ref="K505">IF($B505&gt;0,INDEX(DB,$B505,18),0)</f>
        <v>0</v>
      </c>
      <c r="L505" s="275">
        <f t="array" ref="L505">IF($B505&gt;0,INDEX(DB,$B505,16),0)</f>
        <v>0</v>
      </c>
      <c r="M505" s="276">
        <f t="array" ref="M505">IF($B505&gt;0,INDEX(DB,$B505,20),0)</f>
        <v>0</v>
      </c>
      <c r="N505" s="278"/>
      <c r="O505" s="279">
        <f t="shared" si="1"/>
        <v>0</v>
      </c>
      <c r="P505" s="280"/>
      <c r="Q505" s="261" t="str">
        <f t="shared" si="2"/>
        <v>#REF!</v>
      </c>
      <c r="R505" s="290" t="str">
        <f>IF($AI505&gt;0,RANK($AI505,BoysPoints),0)</f>
        <v>#REF!</v>
      </c>
      <c r="S505" s="291" t="str">
        <f>IF($AJ505&gt;0,RANK($AJ505,GirlsPoints),0)</f>
        <v>#REF!</v>
      </c>
      <c r="T505" s="292">
        <f>IF($O505&gt;0,RANK(O505,AthletePoints),0)</f>
        <v>0</v>
      </c>
      <c r="U505" s="210"/>
      <c r="V505" s="330" t="str">
        <f>IF(O505&gt;=40,IF(X505="M",VLOOKUP(O505,UKABoysAwards,2),IF(X505="F",VLOOKUP(O505,UKAGirlsAwards,2),"")),"")</f>
        <v/>
      </c>
      <c r="W505" s="210"/>
      <c r="X505" s="266" t="str">
        <f t="array" ref="X505:X506">INDEX(DB,$B505,4)</f>
        <v>#REF!</v>
      </c>
      <c r="Y505" s="210"/>
      <c r="Z505" s="285" t="str">
        <f t="shared" si="3"/>
        <v>#REF!</v>
      </c>
      <c r="AA505" s="286" t="str">
        <f>IF($Z505&gt;=1,RANK($Z505,$Z501:$Z516),0)</f>
        <v>#REF!</v>
      </c>
      <c r="AB505" s="287" t="str">
        <f>IF(AA505&lt;=MaxS,INT(Z505),0)</f>
        <v>#REF!</v>
      </c>
      <c r="AC505" s="210"/>
      <c r="AD505" s="285" t="str">
        <f t="shared" si="4"/>
        <v>#REF!</v>
      </c>
      <c r="AE505" s="286" t="str">
        <f>IF($AD505&gt;=1,RANK($AD505,$AD501:$AD516),0)</f>
        <v>#REF!</v>
      </c>
      <c r="AF505" s="287" t="str">
        <f>IF(AE505&lt;=MaxS,INT(AD505),0)</f>
        <v>#REF!</v>
      </c>
      <c r="AG505" s="210"/>
      <c r="AH505" s="210"/>
      <c r="AI505" s="288" t="str">
        <f t="shared" si="5"/>
        <v>#REF!</v>
      </c>
      <c r="AJ505" s="289" t="str">
        <f t="shared" si="6"/>
        <v>#REF!</v>
      </c>
    </row>
    <row r="506" ht="15.0" customHeight="1">
      <c r="A506" s="272"/>
      <c r="B506" s="250">
        <f>IF(OR(ISNA(MATCH(C506&amp;"",AthleteNumbers,0)),ISBLANK(C506)),0,MATCH(C506&amp;"",AthleteNumbers,0))</f>
        <v>0</v>
      </c>
      <c r="C506" s="413"/>
      <c r="D506" s="273" t="str">
        <f t="array" ref="D506">IF($B506&gt;0,INDEX(DB,$B506,8),"")</f>
        <v/>
      </c>
      <c r="E506" s="274" t="str">
        <f t="array" ref="E506">IF($B506&gt;0,INDEX(DB,$B506,3),"")</f>
        <v/>
      </c>
      <c r="F506" s="275">
        <f t="array" ref="F506">IF($B506&gt;0,INDEX(DB,$B506,13),0)</f>
        <v>0</v>
      </c>
      <c r="G506" s="276">
        <f t="array" ref="G506">IF($B506&gt;0,INDEX(DB,$B506,17),0)</f>
        <v>0</v>
      </c>
      <c r="H506" s="277">
        <f t="array" ref="H506">IF($B506&gt;0,INDEX(DB,$B506,15),0)</f>
        <v>0</v>
      </c>
      <c r="I506" s="276">
        <f t="array" ref="I506">IF($B506&gt;0,INDEX(DB,$B506,19),0)</f>
        <v>0</v>
      </c>
      <c r="J506" s="277">
        <f t="array" ref="J506">IF($B506&gt;0,INDEX(DB,$B506,14),0)</f>
        <v>0</v>
      </c>
      <c r="K506" s="276">
        <f t="array" ref="K506">IF($B506&gt;0,INDEX(DB,$B506,18),0)</f>
        <v>0</v>
      </c>
      <c r="L506" s="275">
        <f t="array" ref="L506">IF($B506&gt;0,INDEX(DB,$B506,16),0)</f>
        <v>0</v>
      </c>
      <c r="M506" s="276">
        <f t="array" ref="M506">IF($B506&gt;0,INDEX(DB,$B506,20),0)</f>
        <v>0</v>
      </c>
      <c r="N506" s="278"/>
      <c r="O506" s="279">
        <f t="shared" si="1"/>
        <v>0</v>
      </c>
      <c r="P506" s="280"/>
      <c r="Q506" s="261" t="str">
        <f t="shared" si="2"/>
        <v>#REF!</v>
      </c>
      <c r="R506" s="281" t="str">
        <f>IF($AI506&gt;0,RANK($AI506,BoysPoints),0)</f>
        <v>#REF!</v>
      </c>
      <c r="S506" s="282" t="str">
        <f>IF($AJ506&gt;0,RANK($AJ506,GirlsPoints),0)</f>
        <v>#REF!</v>
      </c>
      <c r="T506" s="283">
        <f>IF($O506&gt;0,RANK(O506,AthletePoints),0)</f>
        <v>0</v>
      </c>
      <c r="U506" s="210"/>
      <c r="V506" s="415" t="str">
        <f>IF(O506&gt;=40,IF(X506="M",VLOOKUP(O506,UKABoysAwards,2),IF(X506="F",VLOOKUP(O506,UKAGirlsAwards,2),"")),"")</f>
        <v/>
      </c>
      <c r="W506" s="210"/>
      <c r="X506" s="266" t="str">
        <f t="array" ref="X506:X507">INDEX(DB,$B506,4)</f>
        <v>#REF!</v>
      </c>
      <c r="Y506" s="210"/>
      <c r="Z506" s="285" t="str">
        <f t="shared" si="3"/>
        <v>#REF!</v>
      </c>
      <c r="AA506" s="286" t="str">
        <f>IF($Z506&gt;=1,RANK($Z506,$Z501:$Z516),0)</f>
        <v>#REF!</v>
      </c>
      <c r="AB506" s="287" t="str">
        <f>IF(AA506&lt;=MaxS,INT(Z506),0)</f>
        <v>#REF!</v>
      </c>
      <c r="AC506" s="210"/>
      <c r="AD506" s="285" t="str">
        <f t="shared" si="4"/>
        <v>#REF!</v>
      </c>
      <c r="AE506" s="286" t="str">
        <f>IF($AD506&gt;=1,RANK($AD506,$AD501:$AD516),0)</f>
        <v>#REF!</v>
      </c>
      <c r="AF506" s="287" t="str">
        <f>IF(AE506&lt;=MaxS,INT(AD506),0)</f>
        <v>#REF!</v>
      </c>
      <c r="AG506" s="210"/>
      <c r="AH506" s="210"/>
      <c r="AI506" s="288" t="str">
        <f t="shared" si="5"/>
        <v>#REF!</v>
      </c>
      <c r="AJ506" s="289" t="str">
        <f t="shared" si="6"/>
        <v>#REF!</v>
      </c>
    </row>
    <row r="507" ht="15.0" customHeight="1">
      <c r="A507" s="272"/>
      <c r="B507" s="250">
        <f>IF(OR(ISNA(MATCH(C507&amp;"",AthleteNumbers,0)),ISBLANK(C507)),0,MATCH(C507&amp;"",AthleteNumbers,0))</f>
        <v>0</v>
      </c>
      <c r="C507" s="413"/>
      <c r="D507" s="273" t="str">
        <f t="array" ref="D507">IF($B507&gt;0,INDEX(DB,$B507,8),"")</f>
        <v/>
      </c>
      <c r="E507" s="274" t="str">
        <f t="array" ref="E507">IF($B507&gt;0,INDEX(DB,$B507,3),"")</f>
        <v/>
      </c>
      <c r="F507" s="275">
        <f t="array" ref="F507">IF($B507&gt;0,INDEX(DB,$B507,13),0)</f>
        <v>0</v>
      </c>
      <c r="G507" s="276">
        <f t="array" ref="G507">IF($B507&gt;0,INDEX(DB,$B507,17),0)</f>
        <v>0</v>
      </c>
      <c r="H507" s="277">
        <f t="array" ref="H507">IF($B507&gt;0,INDEX(DB,$B507,15),0)</f>
        <v>0</v>
      </c>
      <c r="I507" s="276">
        <f t="array" ref="I507">IF($B507&gt;0,INDEX(DB,$B507,19),0)</f>
        <v>0</v>
      </c>
      <c r="J507" s="277">
        <f t="array" ref="J507">IF($B507&gt;0,INDEX(DB,$B507,14),0)</f>
        <v>0</v>
      </c>
      <c r="K507" s="276">
        <f t="array" ref="K507">IF($B507&gt;0,INDEX(DB,$B507,18),0)</f>
        <v>0</v>
      </c>
      <c r="L507" s="275">
        <f t="array" ref="L507">IF($B507&gt;0,INDEX(DB,$B507,16),0)</f>
        <v>0</v>
      </c>
      <c r="M507" s="276">
        <f t="array" ref="M507">IF($B507&gt;0,INDEX(DB,$B507,20),0)</f>
        <v>0</v>
      </c>
      <c r="N507" s="278"/>
      <c r="O507" s="279">
        <f t="shared" si="1"/>
        <v>0</v>
      </c>
      <c r="P507" s="280"/>
      <c r="Q507" s="261" t="str">
        <f t="shared" si="2"/>
        <v>#REF!</v>
      </c>
      <c r="R507" s="290" t="str">
        <f>IF($AI507&gt;0,RANK($AI507,BoysPoints),0)</f>
        <v>#REF!</v>
      </c>
      <c r="S507" s="291" t="str">
        <f>IF($AJ507&gt;0,RANK($AJ507,GirlsPoints),0)</f>
        <v>#REF!</v>
      </c>
      <c r="T507" s="292">
        <f>IF($O507&gt;0,RANK(O507,AthletePoints),0)</f>
        <v>0</v>
      </c>
      <c r="U507" s="210"/>
      <c r="V507" s="330" t="str">
        <f>IF(O507&gt;=40,IF(X507="M",VLOOKUP(O507,UKABoysAwards,2),IF(X507="F",VLOOKUP(O507,UKAGirlsAwards,2),"")),"")</f>
        <v/>
      </c>
      <c r="W507" s="210"/>
      <c r="X507" s="266" t="str">
        <f t="array" ref="X507:X508">INDEX(DB,$B507,4)</f>
        <v>#REF!</v>
      </c>
      <c r="Y507" s="210"/>
      <c r="Z507" s="285" t="str">
        <f t="shared" si="3"/>
        <v>#REF!</v>
      </c>
      <c r="AA507" s="286" t="str">
        <f>IF($Z507&gt;=1,RANK($Z507,$Z501:$Z516),0)</f>
        <v>#REF!</v>
      </c>
      <c r="AB507" s="287" t="str">
        <f>IF(AA507&lt;=MaxS,INT(Z507),0)</f>
        <v>#REF!</v>
      </c>
      <c r="AC507" s="210"/>
      <c r="AD507" s="285" t="str">
        <f t="shared" si="4"/>
        <v>#REF!</v>
      </c>
      <c r="AE507" s="286" t="str">
        <f>IF($AD507&gt;=1,RANK($AD507,$AD501:$AD516),0)</f>
        <v>#REF!</v>
      </c>
      <c r="AF507" s="287" t="str">
        <f>IF(AE507&lt;=MaxS,INT(AD507),0)</f>
        <v>#REF!</v>
      </c>
      <c r="AG507" s="210"/>
      <c r="AH507" s="210"/>
      <c r="AI507" s="288" t="str">
        <f t="shared" si="5"/>
        <v>#REF!</v>
      </c>
      <c r="AJ507" s="289" t="str">
        <f t="shared" si="6"/>
        <v>#REF!</v>
      </c>
    </row>
    <row r="508" ht="15.0" customHeight="1">
      <c r="A508" s="272"/>
      <c r="B508" s="250">
        <f>IF(OR(ISNA(MATCH(C508&amp;"",AthleteNumbers,0)),ISBLANK(C508)),0,MATCH(C508&amp;"",AthleteNumbers,0))</f>
        <v>0</v>
      </c>
      <c r="C508" s="413"/>
      <c r="D508" s="273" t="str">
        <f t="array" ref="D508">IF($B508&gt;0,INDEX(DB,$B508,8),"")</f>
        <v/>
      </c>
      <c r="E508" s="274" t="str">
        <f t="array" ref="E508">IF($B508&gt;0,INDEX(DB,$B508,3),"")</f>
        <v/>
      </c>
      <c r="F508" s="275">
        <f t="array" ref="F508">IF($B508&gt;0,INDEX(DB,$B508,13),0)</f>
        <v>0</v>
      </c>
      <c r="G508" s="276">
        <f t="array" ref="G508">IF($B508&gt;0,INDEX(DB,$B508,17),0)</f>
        <v>0</v>
      </c>
      <c r="H508" s="277">
        <f t="array" ref="H508">IF($B508&gt;0,INDEX(DB,$B508,15),0)</f>
        <v>0</v>
      </c>
      <c r="I508" s="276">
        <f t="array" ref="I508">IF($B508&gt;0,INDEX(DB,$B508,19),0)</f>
        <v>0</v>
      </c>
      <c r="J508" s="277">
        <f t="array" ref="J508">IF($B508&gt;0,INDEX(DB,$B508,14),0)</f>
        <v>0</v>
      </c>
      <c r="K508" s="276">
        <f t="array" ref="K508">IF($B508&gt;0,INDEX(DB,$B508,18),0)</f>
        <v>0</v>
      </c>
      <c r="L508" s="275">
        <f t="array" ref="L508">IF($B508&gt;0,INDEX(DB,$B508,16),0)</f>
        <v>0</v>
      </c>
      <c r="M508" s="276">
        <f t="array" ref="M508">IF($B508&gt;0,INDEX(DB,$B508,20),0)</f>
        <v>0</v>
      </c>
      <c r="N508" s="278"/>
      <c r="O508" s="279">
        <f t="shared" si="1"/>
        <v>0</v>
      </c>
      <c r="P508" s="280"/>
      <c r="Q508" s="261" t="str">
        <f t="shared" si="2"/>
        <v>#REF!</v>
      </c>
      <c r="R508" s="281" t="str">
        <f>IF($AI508&gt;0,RANK($AI508,BoysPoints),0)</f>
        <v>#REF!</v>
      </c>
      <c r="S508" s="282" t="str">
        <f>IF($AJ508&gt;0,RANK($AJ508,GirlsPoints),0)</f>
        <v>#REF!</v>
      </c>
      <c r="T508" s="283">
        <f>IF($O508&gt;0,RANK(O508,AthletePoints),0)</f>
        <v>0</v>
      </c>
      <c r="U508" s="210"/>
      <c r="V508" s="415" t="str">
        <f>IF(O508&gt;=40,IF(X508="M",VLOOKUP(O508,UKABoysAwards,2),IF(X508="F",VLOOKUP(O508,UKAGirlsAwards,2),"")),"")</f>
        <v/>
      </c>
      <c r="W508" s="210"/>
      <c r="X508" s="266" t="str">
        <f t="array" ref="X508:X509">INDEX(DB,$B508,4)</f>
        <v>#REF!</v>
      </c>
      <c r="Y508" s="210"/>
      <c r="Z508" s="285" t="str">
        <f t="shared" si="3"/>
        <v>#REF!</v>
      </c>
      <c r="AA508" s="286" t="str">
        <f>IF($Z508&gt;=1,RANK($Z508,$Z501:$Z516),0)</f>
        <v>#REF!</v>
      </c>
      <c r="AB508" s="287" t="str">
        <f>IF(AA508&lt;=MaxS,INT(Z508),0)</f>
        <v>#REF!</v>
      </c>
      <c r="AC508" s="210"/>
      <c r="AD508" s="285" t="str">
        <f t="shared" si="4"/>
        <v>#REF!</v>
      </c>
      <c r="AE508" s="286" t="str">
        <f>IF($AD508&gt;=1,RANK($AD508,$AD501:$AD516),0)</f>
        <v>#REF!</v>
      </c>
      <c r="AF508" s="287" t="str">
        <f>IF(AE508&lt;=MaxS,INT(AD508),0)</f>
        <v>#REF!</v>
      </c>
      <c r="AG508" s="210"/>
      <c r="AH508" s="210"/>
      <c r="AI508" s="288" t="str">
        <f t="shared" si="5"/>
        <v>#REF!</v>
      </c>
      <c r="AJ508" s="289" t="str">
        <f t="shared" si="6"/>
        <v>#REF!</v>
      </c>
    </row>
    <row r="509" ht="15.0" customHeight="1">
      <c r="A509" s="272"/>
      <c r="B509" s="250">
        <f>IF(OR(ISNA(MATCH(C509&amp;"",AthleteNumbers,0)),ISBLANK(C509)),0,MATCH(C509&amp;"",AthleteNumbers,0))</f>
        <v>0</v>
      </c>
      <c r="C509" s="413"/>
      <c r="D509" s="273" t="str">
        <f t="array" ref="D509">IF($B509&gt;0,INDEX(DB,$B509,8),"")</f>
        <v/>
      </c>
      <c r="E509" s="274" t="str">
        <f t="array" ref="E509">IF($B509&gt;0,INDEX(DB,$B509,3),"")</f>
        <v/>
      </c>
      <c r="F509" s="275">
        <f t="array" ref="F509">IF($B509&gt;0,INDEX(DB,$B509,13),0)</f>
        <v>0</v>
      </c>
      <c r="G509" s="276">
        <f t="array" ref="G509">IF($B509&gt;0,INDEX(DB,$B509,17),0)</f>
        <v>0</v>
      </c>
      <c r="H509" s="277">
        <f t="array" ref="H509">IF($B509&gt;0,INDEX(DB,$B509,15),0)</f>
        <v>0</v>
      </c>
      <c r="I509" s="276">
        <f t="array" ref="I509">IF($B509&gt;0,INDEX(DB,$B509,19),0)</f>
        <v>0</v>
      </c>
      <c r="J509" s="277">
        <f t="array" ref="J509">IF($B509&gt;0,INDEX(DB,$B509,14),0)</f>
        <v>0</v>
      </c>
      <c r="K509" s="276">
        <f t="array" ref="K509">IF($B509&gt;0,INDEX(DB,$B509,18),0)</f>
        <v>0</v>
      </c>
      <c r="L509" s="275">
        <f t="array" ref="L509">IF($B509&gt;0,INDEX(DB,$B509,16),0)</f>
        <v>0</v>
      </c>
      <c r="M509" s="276">
        <f t="array" ref="M509">IF($B509&gt;0,INDEX(DB,$B509,20),0)</f>
        <v>0</v>
      </c>
      <c r="N509" s="278"/>
      <c r="O509" s="279">
        <f t="shared" si="1"/>
        <v>0</v>
      </c>
      <c r="P509" s="280"/>
      <c r="Q509" s="261" t="str">
        <f t="shared" si="2"/>
        <v>#REF!</v>
      </c>
      <c r="R509" s="290" t="str">
        <f>IF($AI509&gt;0,RANK($AI509,BoysPoints),0)</f>
        <v>#REF!</v>
      </c>
      <c r="S509" s="291" t="str">
        <f>IF($AJ509&gt;0,RANK($AJ509,GirlsPoints),0)</f>
        <v>#REF!</v>
      </c>
      <c r="T509" s="292">
        <f>IF($O509&gt;0,RANK(O509,AthletePoints),0)</f>
        <v>0</v>
      </c>
      <c r="U509" s="210"/>
      <c r="V509" s="330" t="str">
        <f>IF(O509&gt;=40,IF(X509="M",VLOOKUP(O509,UKABoysAwards,2),IF(X509="F",VLOOKUP(O509,UKAGirlsAwards,2),"")),"")</f>
        <v/>
      </c>
      <c r="W509" s="210"/>
      <c r="X509" s="266" t="str">
        <f t="array" ref="X509:X510">INDEX(DB,$B509,4)</f>
        <v>#REF!</v>
      </c>
      <c r="Y509" s="210"/>
      <c r="Z509" s="285" t="str">
        <f t="shared" si="3"/>
        <v>#REF!</v>
      </c>
      <c r="AA509" s="286" t="str">
        <f>IF($Z509&gt;=1,RANK($Z509,$Z501:$Z516),0)</f>
        <v>#REF!</v>
      </c>
      <c r="AB509" s="287" t="str">
        <f>IF(AA509&lt;=MaxS,INT(Z509),0)</f>
        <v>#REF!</v>
      </c>
      <c r="AC509" s="210"/>
      <c r="AD509" s="285" t="str">
        <f t="shared" si="4"/>
        <v>#REF!</v>
      </c>
      <c r="AE509" s="286" t="str">
        <f>IF($AD509&gt;=1,RANK($AD509,$AD501:$AD516),0)</f>
        <v>#REF!</v>
      </c>
      <c r="AF509" s="287" t="str">
        <f>IF(AE509&lt;=MaxS,INT(AD509),0)</f>
        <v>#REF!</v>
      </c>
      <c r="AG509" s="210"/>
      <c r="AH509" s="210"/>
      <c r="AI509" s="288" t="str">
        <f t="shared" si="5"/>
        <v>#REF!</v>
      </c>
      <c r="AJ509" s="289" t="str">
        <f t="shared" si="6"/>
        <v>#REF!</v>
      </c>
    </row>
    <row r="510" ht="15.0" customHeight="1">
      <c r="A510" s="272"/>
      <c r="B510" s="250">
        <f>IF(OR(ISNA(MATCH(C510&amp;"",AthleteNumbers,0)),ISBLANK(C510)),0,MATCH(C510&amp;"",AthleteNumbers,0))</f>
        <v>0</v>
      </c>
      <c r="C510" s="413"/>
      <c r="D510" s="273" t="str">
        <f t="array" ref="D510">IF($B510&gt;0,INDEX(DB,$B510,8),"")</f>
        <v/>
      </c>
      <c r="E510" s="274" t="str">
        <f t="array" ref="E510">IF($B510&gt;0,INDEX(DB,$B510,3),"")</f>
        <v/>
      </c>
      <c r="F510" s="275">
        <f t="array" ref="F510">IF($B510&gt;0,INDEX(DB,$B510,13),0)</f>
        <v>0</v>
      </c>
      <c r="G510" s="276">
        <f t="array" ref="G510">IF($B510&gt;0,INDEX(DB,$B510,17),0)</f>
        <v>0</v>
      </c>
      <c r="H510" s="277">
        <f t="array" ref="H510">IF($B510&gt;0,INDEX(DB,$B510,15),0)</f>
        <v>0</v>
      </c>
      <c r="I510" s="276">
        <f t="array" ref="I510">IF($B510&gt;0,INDEX(DB,$B510,19),0)</f>
        <v>0</v>
      </c>
      <c r="J510" s="277">
        <f t="array" ref="J510">IF($B510&gt;0,INDEX(DB,$B510,14),0)</f>
        <v>0</v>
      </c>
      <c r="K510" s="276">
        <f t="array" ref="K510">IF($B510&gt;0,INDEX(DB,$B510,18),0)</f>
        <v>0</v>
      </c>
      <c r="L510" s="275">
        <f t="array" ref="L510">IF($B510&gt;0,INDEX(DB,$B510,16),0)</f>
        <v>0</v>
      </c>
      <c r="M510" s="276">
        <f t="array" ref="M510">IF($B510&gt;0,INDEX(DB,$B510,20),0)</f>
        <v>0</v>
      </c>
      <c r="N510" s="278"/>
      <c r="O510" s="279">
        <f t="shared" si="1"/>
        <v>0</v>
      </c>
      <c r="P510" s="280"/>
      <c r="Q510" s="261" t="str">
        <f t="shared" si="2"/>
        <v>#REF!</v>
      </c>
      <c r="R510" s="281" t="str">
        <f>IF($AI510&gt;0,RANK($AI510,BoysPoints),0)</f>
        <v>#REF!</v>
      </c>
      <c r="S510" s="282" t="str">
        <f>IF($AJ510&gt;0,RANK($AJ510,GirlsPoints),0)</f>
        <v>#REF!</v>
      </c>
      <c r="T510" s="283">
        <f>IF($O510&gt;0,RANK(O510,AthletePoints),0)</f>
        <v>0</v>
      </c>
      <c r="U510" s="210"/>
      <c r="V510" s="415" t="str">
        <f>IF(O510&gt;=40,IF(X510="M",VLOOKUP(O510,UKABoysAwards,2),IF(X510="F",VLOOKUP(O510,UKAGirlsAwards,2),"")),"")</f>
        <v/>
      </c>
      <c r="W510" s="210"/>
      <c r="X510" s="266" t="str">
        <f t="array" ref="X510:X511">INDEX(DB,$B510,4)</f>
        <v>#REF!</v>
      </c>
      <c r="Y510" s="210"/>
      <c r="Z510" s="285" t="str">
        <f t="shared" si="3"/>
        <v>#REF!</v>
      </c>
      <c r="AA510" s="286" t="str">
        <f>IF($Z510&gt;=1,RANK($Z510,$Z501:$Z516),0)</f>
        <v>#REF!</v>
      </c>
      <c r="AB510" s="287" t="str">
        <f>IF(AA510&lt;=MaxS,INT(Z510),0)</f>
        <v>#REF!</v>
      </c>
      <c r="AC510" s="210"/>
      <c r="AD510" s="285" t="str">
        <f t="shared" si="4"/>
        <v>#REF!</v>
      </c>
      <c r="AE510" s="286" t="str">
        <f>IF($AD510&gt;=1,RANK($AD510,$AD501:$AD516),0)</f>
        <v>#REF!</v>
      </c>
      <c r="AF510" s="287" t="str">
        <f>IF(AE510&lt;=MaxS,INT(AD510),0)</f>
        <v>#REF!</v>
      </c>
      <c r="AG510" s="210"/>
      <c r="AH510" s="210"/>
      <c r="AI510" s="288" t="str">
        <f t="shared" si="5"/>
        <v>#REF!</v>
      </c>
      <c r="AJ510" s="289" t="str">
        <f t="shared" si="6"/>
        <v>#REF!</v>
      </c>
    </row>
    <row r="511" ht="15.0" customHeight="1">
      <c r="A511" s="272"/>
      <c r="B511" s="250">
        <f>IF(OR(ISNA(MATCH(C511&amp;"",AthleteNumbers,0)),ISBLANK(C511)),0,MATCH(C511&amp;"",AthleteNumbers,0))</f>
        <v>0</v>
      </c>
      <c r="C511" s="413"/>
      <c r="D511" s="273" t="str">
        <f t="array" ref="D511">IF($B511&gt;0,INDEX(DB,$B511,8),"")</f>
        <v/>
      </c>
      <c r="E511" s="274" t="str">
        <f t="array" ref="E511">IF($B511&gt;0,INDEX(DB,$B511,3),"")</f>
        <v/>
      </c>
      <c r="F511" s="275">
        <f t="array" ref="F511">IF($B511&gt;0,INDEX(DB,$B511,13),0)</f>
        <v>0</v>
      </c>
      <c r="G511" s="276">
        <f t="array" ref="G511">IF($B511&gt;0,INDEX(DB,$B511,17),0)</f>
        <v>0</v>
      </c>
      <c r="H511" s="277">
        <f t="array" ref="H511">IF($B511&gt;0,INDEX(DB,$B511,15),0)</f>
        <v>0</v>
      </c>
      <c r="I511" s="276">
        <f t="array" ref="I511">IF($B511&gt;0,INDEX(DB,$B511,19),0)</f>
        <v>0</v>
      </c>
      <c r="J511" s="277">
        <f t="array" ref="J511">IF($B511&gt;0,INDEX(DB,$B511,14),0)</f>
        <v>0</v>
      </c>
      <c r="K511" s="276">
        <f t="array" ref="K511">IF($B511&gt;0,INDEX(DB,$B511,18),0)</f>
        <v>0</v>
      </c>
      <c r="L511" s="275">
        <f t="array" ref="L511">IF($B511&gt;0,INDEX(DB,$B511,16),0)</f>
        <v>0</v>
      </c>
      <c r="M511" s="276">
        <f t="array" ref="M511">IF($B511&gt;0,INDEX(DB,$B511,20),0)</f>
        <v>0</v>
      </c>
      <c r="N511" s="278"/>
      <c r="O511" s="279">
        <f t="shared" si="1"/>
        <v>0</v>
      </c>
      <c r="P511" s="280"/>
      <c r="Q511" s="261" t="str">
        <f t="shared" si="2"/>
        <v>#REF!</v>
      </c>
      <c r="R511" s="290" t="str">
        <f>IF($AI511&gt;0,RANK($AI511,BoysPoints),0)</f>
        <v>#REF!</v>
      </c>
      <c r="S511" s="291" t="str">
        <f>IF($AJ511&gt;0,RANK($AJ511,GirlsPoints),0)</f>
        <v>#REF!</v>
      </c>
      <c r="T511" s="292">
        <f>IF($O511&gt;0,RANK(O511,AthletePoints),0)</f>
        <v>0</v>
      </c>
      <c r="U511" s="210"/>
      <c r="V511" s="330" t="str">
        <f>IF(O511&gt;=40,IF(X511="M",VLOOKUP(O511,UKABoysAwards,2),IF(X511="F",VLOOKUP(O511,UKAGirlsAwards,2),"")),"")</f>
        <v/>
      </c>
      <c r="W511" s="210"/>
      <c r="X511" s="266" t="str">
        <f t="array" ref="X511:X512">INDEX(DB,$B511,4)</f>
        <v>#REF!</v>
      </c>
      <c r="Y511" s="210"/>
      <c r="Z511" s="285" t="str">
        <f t="shared" si="3"/>
        <v>#REF!</v>
      </c>
      <c r="AA511" s="286" t="str">
        <f>IF($Z511&gt;=1,RANK($Z511,$Z501:$Z516),0)</f>
        <v>#REF!</v>
      </c>
      <c r="AB511" s="287" t="str">
        <f>IF(AA511&lt;=MaxS,INT(Z511),0)</f>
        <v>#REF!</v>
      </c>
      <c r="AC511" s="210"/>
      <c r="AD511" s="285" t="str">
        <f t="shared" si="4"/>
        <v>#REF!</v>
      </c>
      <c r="AE511" s="286" t="str">
        <f>IF($AD511&gt;=1,RANK($AD511,$AD501:$AD516),0)</f>
        <v>#REF!</v>
      </c>
      <c r="AF511" s="287" t="str">
        <f>IF(AE511&lt;=MaxS,INT(AD511),0)</f>
        <v>#REF!</v>
      </c>
      <c r="AG511" s="210"/>
      <c r="AH511" s="210"/>
      <c r="AI511" s="288" t="str">
        <f t="shared" si="5"/>
        <v>#REF!</v>
      </c>
      <c r="AJ511" s="289" t="str">
        <f t="shared" si="6"/>
        <v>#REF!</v>
      </c>
    </row>
    <row r="512" ht="15.0" customHeight="1">
      <c r="A512" s="272"/>
      <c r="B512" s="250">
        <f>IF(OR(ISNA(MATCH(C512&amp;"",AthleteNumbers,0)),ISBLANK(C512)),0,MATCH(C512&amp;"",AthleteNumbers,0))</f>
        <v>0</v>
      </c>
      <c r="C512" s="413"/>
      <c r="D512" s="273" t="str">
        <f t="array" ref="D512">IF($B512&gt;0,INDEX(DB,$B512,8),"")</f>
        <v/>
      </c>
      <c r="E512" s="274" t="str">
        <f t="array" ref="E512">IF($B512&gt;0,INDEX(DB,$B512,3),"")</f>
        <v/>
      </c>
      <c r="F512" s="275">
        <f t="array" ref="F512">IF($B512&gt;0,INDEX(DB,$B512,13),0)</f>
        <v>0</v>
      </c>
      <c r="G512" s="276">
        <f t="array" ref="G512">IF($B512&gt;0,INDEX(DB,$B512,17),0)</f>
        <v>0</v>
      </c>
      <c r="H512" s="277">
        <f t="array" ref="H512">IF($B512&gt;0,INDEX(DB,$B512,15),0)</f>
        <v>0</v>
      </c>
      <c r="I512" s="276">
        <f t="array" ref="I512">IF($B512&gt;0,INDEX(DB,$B512,19),0)</f>
        <v>0</v>
      </c>
      <c r="J512" s="277">
        <f t="array" ref="J512">IF($B512&gt;0,INDEX(DB,$B512,14),0)</f>
        <v>0</v>
      </c>
      <c r="K512" s="276">
        <f t="array" ref="K512">IF($B512&gt;0,INDEX(DB,$B512,18),0)</f>
        <v>0</v>
      </c>
      <c r="L512" s="275">
        <f t="array" ref="L512">IF($B512&gt;0,INDEX(DB,$B512,16),0)</f>
        <v>0</v>
      </c>
      <c r="M512" s="276">
        <f t="array" ref="M512">IF($B512&gt;0,INDEX(DB,$B512,20),0)</f>
        <v>0</v>
      </c>
      <c r="N512" s="278"/>
      <c r="O512" s="279">
        <f t="shared" si="1"/>
        <v>0</v>
      </c>
      <c r="P512" s="280"/>
      <c r="Q512" s="261" t="str">
        <f t="shared" si="2"/>
        <v>#REF!</v>
      </c>
      <c r="R512" s="281" t="str">
        <f>IF($AI512&gt;0,RANK($AI512,BoysPoints),0)</f>
        <v>#REF!</v>
      </c>
      <c r="S512" s="282" t="str">
        <f>IF($AJ512&gt;0,RANK($AJ512,GirlsPoints),0)</f>
        <v>#REF!</v>
      </c>
      <c r="T512" s="283">
        <f>IF($O512&gt;0,RANK(O512,AthletePoints),0)</f>
        <v>0</v>
      </c>
      <c r="U512" s="210"/>
      <c r="V512" s="415" t="str">
        <f>IF(O512&gt;=40,IF(X512="M",VLOOKUP(O512,UKABoysAwards,2),IF(X512="F",VLOOKUP(O512,UKAGirlsAwards,2),"")),"")</f>
        <v/>
      </c>
      <c r="W512" s="210"/>
      <c r="X512" s="266" t="str">
        <f t="array" ref="X512:X513">INDEX(DB,$B512,4)</f>
        <v>#REF!</v>
      </c>
      <c r="Y512" s="210"/>
      <c r="Z512" s="285" t="str">
        <f t="shared" si="3"/>
        <v>#REF!</v>
      </c>
      <c r="AA512" s="286" t="str">
        <f>IF($Z512&gt;=1,RANK($Z512,$Z501:$Z516),0)</f>
        <v>#REF!</v>
      </c>
      <c r="AB512" s="287" t="str">
        <f>IF(AA512&lt;=MaxS,INT(Z512),0)</f>
        <v>#REF!</v>
      </c>
      <c r="AC512" s="210"/>
      <c r="AD512" s="285" t="str">
        <f t="shared" si="4"/>
        <v>#REF!</v>
      </c>
      <c r="AE512" s="286" t="str">
        <f>IF($AD512&gt;=1,RANK($AD512,$AD501:$AD516),0)</f>
        <v>#REF!</v>
      </c>
      <c r="AF512" s="287" t="str">
        <f>IF(AE512&lt;=MaxS,INT(AD512),0)</f>
        <v>#REF!</v>
      </c>
      <c r="AG512" s="210"/>
      <c r="AH512" s="210"/>
      <c r="AI512" s="288" t="str">
        <f t="shared" si="5"/>
        <v>#REF!</v>
      </c>
      <c r="AJ512" s="289" t="str">
        <f t="shared" si="6"/>
        <v>#REF!</v>
      </c>
    </row>
    <row r="513" ht="15.0" customHeight="1">
      <c r="A513" s="272"/>
      <c r="B513" s="250">
        <f>IF(OR(ISNA(MATCH(C513&amp;"",AthleteNumbers,0)),ISBLANK(C513)),0,MATCH(C513&amp;"",AthleteNumbers,0))</f>
        <v>0</v>
      </c>
      <c r="C513" s="413"/>
      <c r="D513" s="273" t="str">
        <f t="array" ref="D513">IF($B513&gt;0,INDEX(DB,$B513,8),"")</f>
        <v/>
      </c>
      <c r="E513" s="274" t="str">
        <f t="array" ref="E513">IF($B513&gt;0,INDEX(DB,$B513,3),"")</f>
        <v/>
      </c>
      <c r="F513" s="275">
        <f t="array" ref="F513">IF($B513&gt;0,INDEX(DB,$B513,13),0)</f>
        <v>0</v>
      </c>
      <c r="G513" s="276">
        <f t="array" ref="G513">IF($B513&gt;0,INDEX(DB,$B513,17),0)</f>
        <v>0</v>
      </c>
      <c r="H513" s="277">
        <f t="array" ref="H513">IF($B513&gt;0,INDEX(DB,$B513,15),0)</f>
        <v>0</v>
      </c>
      <c r="I513" s="276">
        <f t="array" ref="I513">IF($B513&gt;0,INDEX(DB,$B513,19),0)</f>
        <v>0</v>
      </c>
      <c r="J513" s="277">
        <f t="array" ref="J513">IF($B513&gt;0,INDEX(DB,$B513,14),0)</f>
        <v>0</v>
      </c>
      <c r="K513" s="276">
        <f t="array" ref="K513">IF($B513&gt;0,INDEX(DB,$B513,18),0)</f>
        <v>0</v>
      </c>
      <c r="L513" s="275">
        <f t="array" ref="L513">IF($B513&gt;0,INDEX(DB,$B513,16),0)</f>
        <v>0</v>
      </c>
      <c r="M513" s="276">
        <f t="array" ref="M513">IF($B513&gt;0,INDEX(DB,$B513,20),0)</f>
        <v>0</v>
      </c>
      <c r="N513" s="278"/>
      <c r="O513" s="279">
        <f t="shared" si="1"/>
        <v>0</v>
      </c>
      <c r="P513" s="280"/>
      <c r="Q513" s="261" t="str">
        <f t="shared" si="2"/>
        <v>#REF!</v>
      </c>
      <c r="R513" s="290" t="str">
        <f>IF($AI513&gt;0,RANK($AI513,BoysPoints),0)</f>
        <v>#REF!</v>
      </c>
      <c r="S513" s="291" t="str">
        <f>IF($AJ513&gt;0,RANK($AJ513,GirlsPoints),0)</f>
        <v>#REF!</v>
      </c>
      <c r="T513" s="292">
        <f>IF($O513&gt;0,RANK(O513,AthletePoints),0)</f>
        <v>0</v>
      </c>
      <c r="U513" s="210"/>
      <c r="V513" s="330" t="str">
        <f>IF(O513&gt;=40,IF(X513="M",VLOOKUP(O513,UKABoysAwards,2),IF(X513="F",VLOOKUP(O513,UKAGirlsAwards,2),"")),"")</f>
        <v/>
      </c>
      <c r="W513" s="210"/>
      <c r="X513" s="266" t="str">
        <f t="array" ref="X513:X514">INDEX(DB,$B513,4)</f>
        <v>#REF!</v>
      </c>
      <c r="Y513" s="210"/>
      <c r="Z513" s="285" t="str">
        <f t="shared" si="3"/>
        <v>#REF!</v>
      </c>
      <c r="AA513" s="286" t="str">
        <f>IF($Z513&gt;=1,RANK($Z513,$Z501:$Z516),0)</f>
        <v>#REF!</v>
      </c>
      <c r="AB513" s="287" t="str">
        <f>IF(AA513&lt;=MaxS,INT(Z513),0)</f>
        <v>#REF!</v>
      </c>
      <c r="AC513" s="210"/>
      <c r="AD513" s="285" t="str">
        <f t="shared" si="4"/>
        <v>#REF!</v>
      </c>
      <c r="AE513" s="286" t="str">
        <f>IF($AD513&gt;=1,RANK($AD513,$AD501:$AD516),0)</f>
        <v>#REF!</v>
      </c>
      <c r="AF513" s="287" t="str">
        <f>IF(AE513&lt;=MaxS,INT(AD513),0)</f>
        <v>#REF!</v>
      </c>
      <c r="AG513" s="210"/>
      <c r="AH513" s="210"/>
      <c r="AI513" s="288" t="str">
        <f t="shared" si="5"/>
        <v>#REF!</v>
      </c>
      <c r="AJ513" s="289" t="str">
        <f t="shared" si="6"/>
        <v>#REF!</v>
      </c>
    </row>
    <row r="514" ht="15.0" customHeight="1">
      <c r="A514" s="272"/>
      <c r="B514" s="250">
        <f>IF(OR(ISNA(MATCH(C514&amp;"",AthleteNumbers,0)),ISBLANK(C514)),0,MATCH(C514&amp;"",AthleteNumbers,0))</f>
        <v>0</v>
      </c>
      <c r="C514" s="413"/>
      <c r="D514" s="273" t="str">
        <f t="array" ref="D514">IF($B514&gt;0,INDEX(DB,$B514,8),"")</f>
        <v/>
      </c>
      <c r="E514" s="274" t="str">
        <f t="array" ref="E514">IF($B514&gt;0,INDEX(DB,$B514,3),"")</f>
        <v/>
      </c>
      <c r="F514" s="275">
        <f t="array" ref="F514">IF($B514&gt;0,INDEX(DB,$B514,13),0)</f>
        <v>0</v>
      </c>
      <c r="G514" s="276">
        <f t="array" ref="G514">IF($B514&gt;0,INDEX(DB,$B514,17),0)</f>
        <v>0</v>
      </c>
      <c r="H514" s="277">
        <f t="array" ref="H514">IF($B514&gt;0,INDEX(DB,$B514,15),0)</f>
        <v>0</v>
      </c>
      <c r="I514" s="276">
        <f t="array" ref="I514">IF($B514&gt;0,INDEX(DB,$B514,19),0)</f>
        <v>0</v>
      </c>
      <c r="J514" s="277">
        <f t="array" ref="J514">IF($B514&gt;0,INDEX(DB,$B514,14),0)</f>
        <v>0</v>
      </c>
      <c r="K514" s="276">
        <f t="array" ref="K514">IF($B514&gt;0,INDEX(DB,$B514,18),0)</f>
        <v>0</v>
      </c>
      <c r="L514" s="275">
        <f t="array" ref="L514">IF($B514&gt;0,INDEX(DB,$B514,16),0)</f>
        <v>0</v>
      </c>
      <c r="M514" s="276">
        <f t="array" ref="M514">IF($B514&gt;0,INDEX(DB,$B514,20),0)</f>
        <v>0</v>
      </c>
      <c r="N514" s="278"/>
      <c r="O514" s="279">
        <f t="shared" si="1"/>
        <v>0</v>
      </c>
      <c r="P514" s="280"/>
      <c r="Q514" s="261" t="str">
        <f t="shared" si="2"/>
        <v>#REF!</v>
      </c>
      <c r="R514" s="281" t="str">
        <f>IF($AI514&gt;0,RANK($AI514,BoysPoints),0)</f>
        <v>#REF!</v>
      </c>
      <c r="S514" s="282" t="str">
        <f>IF($AJ514&gt;0,RANK($AJ514,GirlsPoints),0)</f>
        <v>#REF!</v>
      </c>
      <c r="T514" s="283">
        <f>IF($O514&gt;0,RANK(O514,AthletePoints),0)</f>
        <v>0</v>
      </c>
      <c r="U514" s="210"/>
      <c r="V514" s="415" t="str">
        <f>IF(O514&gt;=40,IF(X514="M",VLOOKUP(O514,UKABoysAwards,2),IF(X514="F",VLOOKUP(O514,UKAGirlsAwards,2),"")),"")</f>
        <v/>
      </c>
      <c r="W514" s="210"/>
      <c r="X514" s="266" t="str">
        <f t="array" ref="X514:X515">INDEX(DB,$B514,4)</f>
        <v>#REF!</v>
      </c>
      <c r="Y514" s="210"/>
      <c r="Z514" s="285" t="str">
        <f t="shared" si="3"/>
        <v>#REF!</v>
      </c>
      <c r="AA514" s="286" t="str">
        <f>IF($Z514&gt;=1,RANK($Z514,$Z501:$Z516),0)</f>
        <v>#REF!</v>
      </c>
      <c r="AB514" s="287" t="str">
        <f>IF(AA514&lt;=MaxS,INT(Z514),0)</f>
        <v>#REF!</v>
      </c>
      <c r="AC514" s="210"/>
      <c r="AD514" s="285" t="str">
        <f t="shared" si="4"/>
        <v>#REF!</v>
      </c>
      <c r="AE514" s="286" t="str">
        <f>IF($AD514&gt;=1,RANK($AD514,$AD501:$AD516),0)</f>
        <v>#REF!</v>
      </c>
      <c r="AF514" s="287" t="str">
        <f>IF(AE514&lt;=MaxS,INT(AD514),0)</f>
        <v>#REF!</v>
      </c>
      <c r="AG514" s="210"/>
      <c r="AH514" s="210"/>
      <c r="AI514" s="288" t="str">
        <f t="shared" si="5"/>
        <v>#REF!</v>
      </c>
      <c r="AJ514" s="289" t="str">
        <f t="shared" si="6"/>
        <v>#REF!</v>
      </c>
    </row>
    <row r="515" ht="15.0" customHeight="1">
      <c r="A515" s="272"/>
      <c r="B515" s="250">
        <f>IF(OR(ISNA(MATCH(C515&amp;"",AthleteNumbers,0)),ISBLANK(C515)),0,MATCH(C515&amp;"",AthleteNumbers,0))</f>
        <v>0</v>
      </c>
      <c r="C515" s="413"/>
      <c r="D515" s="273" t="str">
        <f t="array" ref="D515">IF($B515&gt;0,INDEX(DB,$B515,8),"")</f>
        <v/>
      </c>
      <c r="E515" s="274" t="str">
        <f t="array" ref="E515">IF($B515&gt;0,INDEX(DB,$B515,3),"")</f>
        <v/>
      </c>
      <c r="F515" s="275">
        <f t="array" ref="F515">IF($B515&gt;0,INDEX(DB,$B515,13),0)</f>
        <v>0</v>
      </c>
      <c r="G515" s="276">
        <f t="array" ref="G515">IF($B515&gt;0,INDEX(DB,$B515,17),0)</f>
        <v>0</v>
      </c>
      <c r="H515" s="277">
        <f t="array" ref="H515">IF($B515&gt;0,INDEX(DB,$B515,15),0)</f>
        <v>0</v>
      </c>
      <c r="I515" s="276">
        <f t="array" ref="I515">IF($B515&gt;0,INDEX(DB,$B515,19),0)</f>
        <v>0</v>
      </c>
      <c r="J515" s="277">
        <f t="array" ref="J515">IF($B515&gt;0,INDEX(DB,$B515,14),0)</f>
        <v>0</v>
      </c>
      <c r="K515" s="276">
        <f t="array" ref="K515">IF($B515&gt;0,INDEX(DB,$B515,18),0)</f>
        <v>0</v>
      </c>
      <c r="L515" s="275">
        <f t="array" ref="L515">IF($B515&gt;0,INDEX(DB,$B515,16),0)</f>
        <v>0</v>
      </c>
      <c r="M515" s="276">
        <f t="array" ref="M515">IF($B515&gt;0,INDEX(DB,$B515,20),0)</f>
        <v>0</v>
      </c>
      <c r="N515" s="278"/>
      <c r="O515" s="279">
        <f t="shared" si="1"/>
        <v>0</v>
      </c>
      <c r="P515" s="280"/>
      <c r="Q515" s="261" t="str">
        <f t="shared" si="2"/>
        <v>#REF!</v>
      </c>
      <c r="R515" s="290" t="str">
        <f>IF($AI515&gt;0,RANK($AI515,BoysPoints),0)</f>
        <v>#REF!</v>
      </c>
      <c r="S515" s="291" t="str">
        <f>IF($AJ515&gt;0,RANK($AJ515,GirlsPoints),0)</f>
        <v>#REF!</v>
      </c>
      <c r="T515" s="292">
        <f>IF($O515&gt;0,RANK(O515,AthletePoints),0)</f>
        <v>0</v>
      </c>
      <c r="U515" s="210"/>
      <c r="V515" s="330" t="str">
        <f>IF(O515&gt;=40,IF(X515="M",VLOOKUP(O515,UKABoysAwards,2),IF(X515="F",VLOOKUP(O515,UKAGirlsAwards,2),"")),"")</f>
        <v/>
      </c>
      <c r="W515" s="210"/>
      <c r="X515" s="266" t="str">
        <f t="array" ref="X515:X516">INDEX(DB,$B515,4)</f>
        <v>#REF!</v>
      </c>
      <c r="Y515" s="210"/>
      <c r="Z515" s="285" t="str">
        <f t="shared" si="3"/>
        <v>#REF!</v>
      </c>
      <c r="AA515" s="286" t="str">
        <f>IF($Z515&gt;=1,RANK($Z515,$Z501:$Z516),0)</f>
        <v>#REF!</v>
      </c>
      <c r="AB515" s="287" t="str">
        <f>IF(AA515&lt;=MaxS,INT(Z515),0)</f>
        <v>#REF!</v>
      </c>
      <c r="AC515" s="210"/>
      <c r="AD515" s="285" t="str">
        <f t="shared" si="4"/>
        <v>#REF!</v>
      </c>
      <c r="AE515" s="286" t="str">
        <f>IF($AD515&gt;=1,RANK($AD515,$AD501:$AD516),0)</f>
        <v>#REF!</v>
      </c>
      <c r="AF515" s="287" t="str">
        <f>IF(AE515&lt;=MaxS,INT(AD515),0)</f>
        <v>#REF!</v>
      </c>
      <c r="AG515" s="210"/>
      <c r="AH515" s="210"/>
      <c r="AI515" s="288" t="str">
        <f t="shared" si="5"/>
        <v>#REF!</v>
      </c>
      <c r="AJ515" s="289" t="str">
        <f t="shared" si="6"/>
        <v>#REF!</v>
      </c>
    </row>
    <row r="516" ht="15.0" customHeight="1">
      <c r="A516" s="305"/>
      <c r="B516" s="250">
        <f>IF(OR(ISNA(MATCH(C516&amp;"",AthleteNumbers,0)),ISBLANK(C516)),0,MATCH(C516&amp;"",AthleteNumbers,0))</f>
        <v>0</v>
      </c>
      <c r="C516" s="443"/>
      <c r="D516" s="306" t="str">
        <f t="array" ref="D516">IF($B516&gt;0,INDEX(DB,$B516,8),"")</f>
        <v/>
      </c>
      <c r="E516" s="307" t="str">
        <f t="array" ref="E516">IF($B516&gt;0,INDEX(DB,$B516,3),"")</f>
        <v/>
      </c>
      <c r="F516" s="308">
        <f t="array" ref="F516">IF($B516&gt;0,INDEX(DB,$B516,13),0)</f>
        <v>0</v>
      </c>
      <c r="G516" s="309">
        <f t="array" ref="G516">IF($B516&gt;0,INDEX(DB,$B516,17),0)</f>
        <v>0</v>
      </c>
      <c r="H516" s="310">
        <f t="array" ref="H516">IF($B516&gt;0,INDEX(DB,$B516,15),0)</f>
        <v>0</v>
      </c>
      <c r="I516" s="309">
        <f t="array" ref="I516">IF($B516&gt;0,INDEX(DB,$B516,19),0)</f>
        <v>0</v>
      </c>
      <c r="J516" s="310">
        <f t="array" ref="J516">IF($B516&gt;0,INDEX(DB,$B516,14),0)</f>
        <v>0</v>
      </c>
      <c r="K516" s="309">
        <f t="array" ref="K516">IF($B516&gt;0,INDEX(DB,$B516,18),0)</f>
        <v>0</v>
      </c>
      <c r="L516" s="308">
        <f t="array" ref="L516">IF($B516&gt;0,INDEX(DB,$B516,16),0)</f>
        <v>0</v>
      </c>
      <c r="M516" s="309">
        <f t="array" ref="M516">IF($B516&gt;0,INDEX(DB,$B516,20),0)</f>
        <v>0</v>
      </c>
      <c r="N516" s="25"/>
      <c r="O516" s="311">
        <f t="shared" si="1"/>
        <v>0</v>
      </c>
      <c r="P516" s="31"/>
      <c r="Q516" s="261" t="str">
        <f t="shared" si="2"/>
        <v>#REF!</v>
      </c>
      <c r="R516" s="312" t="str">
        <f>IF($AI516&gt;0,RANK($AI516,BoysPoints),0)</f>
        <v>#REF!</v>
      </c>
      <c r="S516" s="313" t="str">
        <f>IF($AJ516&gt;0,RANK($AJ516,GirlsPoints),0)</f>
        <v>#REF!</v>
      </c>
      <c r="T516" s="314">
        <f>IF($O516&gt;0,RANK(O516,AthletePoints),0)</f>
        <v>0</v>
      </c>
      <c r="U516" s="210"/>
      <c r="V516" s="444" t="str">
        <f>IF(O516&gt;=40,IF(X516="M",VLOOKUP(O516,UKABoysAwards,2),IF(X516="F",VLOOKUP(O516,UKAGirlsAwards,2),"")),"")</f>
        <v/>
      </c>
      <c r="W516" s="210"/>
      <c r="X516" s="266" t="str">
        <f t="array" ref="X516:X517">INDEX(DB,$B516,4)</f>
        <v>#REF!</v>
      </c>
      <c r="Y516" s="210"/>
      <c r="Z516" s="316" t="str">
        <f t="shared" si="3"/>
        <v>#REF!</v>
      </c>
      <c r="AA516" s="243" t="str">
        <f>IF($Z516&gt;=1,RANK($Z516,$Z501:$Z516),0)</f>
        <v>#REF!</v>
      </c>
      <c r="AB516" s="245" t="str">
        <f>IF(AA516&lt;=MaxS,INT(Z516),0)</f>
        <v>#REF!</v>
      </c>
      <c r="AC516" s="210" t="str">
        <f>SUM(AB501:AB516)</f>
        <v>#REF!</v>
      </c>
      <c r="AD516" s="316" t="str">
        <f t="shared" si="4"/>
        <v>#REF!</v>
      </c>
      <c r="AE516" s="243" t="str">
        <f>IF($AD516&gt;=1,RANK($AD516,$AD501:$AD516),0)</f>
        <v>#REF!</v>
      </c>
      <c r="AF516" s="245" t="str">
        <f>IF(AE516&lt;=MaxS,INT(AD516),0)</f>
        <v>#REF!</v>
      </c>
      <c r="AG516" s="210" t="str">
        <f>SUM(AF501:AF516)</f>
        <v>#REF!</v>
      </c>
      <c r="AH516" s="210"/>
      <c r="AI516" s="246" t="str">
        <f t="shared" si="5"/>
        <v>#REF!</v>
      </c>
      <c r="AJ516" s="247" t="str">
        <f t="shared" si="6"/>
        <v>#REF!</v>
      </c>
    </row>
    <row r="517" ht="15.0" customHeight="1">
      <c r="A517" s="248"/>
      <c r="B517" s="250">
        <f>IF(OR(ISNA(MATCH(C517&amp;"",AthleteNumbers,0)),ISBLANK(C517)),0,MATCH(C517&amp;"",AthleteNumbers,0))</f>
        <v>0</v>
      </c>
      <c r="C517" s="251"/>
      <c r="D517" s="252" t="str">
        <f t="array" ref="D517">IF($B517&gt;0,INDEX(DB,$B517,8),"")</f>
        <v/>
      </c>
      <c r="E517" s="253" t="str">
        <f t="array" ref="E517">IF($B517&gt;0,INDEX(DB,$B517,3),"")</f>
        <v/>
      </c>
      <c r="F517" s="254">
        <f t="array" ref="F517">IF($B517&gt;0,INDEX(DB,$B517,13),0)</f>
        <v>0</v>
      </c>
      <c r="G517" s="255">
        <f t="array" ref="G517">IF($B517&gt;0,INDEX(DB,$B517,17),0)</f>
        <v>0</v>
      </c>
      <c r="H517" s="257">
        <f t="array" ref="H517">IF($B517&gt;0,INDEX(DB,$B517,15),0)</f>
        <v>0</v>
      </c>
      <c r="I517" s="255">
        <f t="array" ref="I517">IF($B517&gt;0,INDEX(DB,$B517,19),0)</f>
        <v>0</v>
      </c>
      <c r="J517" s="257">
        <f t="array" ref="J517">IF($B517&gt;0,INDEX(DB,$B517,14),0)</f>
        <v>0</v>
      </c>
      <c r="K517" s="255">
        <f t="array" ref="K517">IF($B517&gt;0,INDEX(DB,$B517,18),0)</f>
        <v>0</v>
      </c>
      <c r="L517" s="254">
        <f t="array" ref="L517">IF($B517&gt;0,INDEX(DB,$B517,16),0)</f>
        <v>0</v>
      </c>
      <c r="M517" s="255">
        <f t="array" ref="M517">IF($B517&gt;0,INDEX(DB,$B517,20),0)</f>
        <v>0</v>
      </c>
      <c r="N517" s="258" t="str">
        <f t="array" ref="N517:N533">INDEX(RelayPoints,A532)</f>
        <v>#REF!</v>
      </c>
      <c r="O517" s="259">
        <f t="shared" si="1"/>
        <v>0</v>
      </c>
      <c r="P517" s="260" t="str">
        <f>+AC532+AG532+N517</f>
        <v>#REF!</v>
      </c>
      <c r="Q517" s="261" t="str">
        <f t="shared" si="2"/>
        <v>#REF!</v>
      </c>
      <c r="R517" s="262" t="str">
        <f>IF($AI517&gt;0,RANK($AI517,BoysPoints),0)</f>
        <v>#REF!</v>
      </c>
      <c r="S517" s="263" t="str">
        <f>IF($AJ517&gt;0,RANK($AJ517,GirlsPoints),0)</f>
        <v>#REF!</v>
      </c>
      <c r="T517" s="264">
        <f>IF($O517&gt;0,RANK(O517,AthletePoints),0)</f>
        <v>0</v>
      </c>
      <c r="U517" s="210"/>
      <c r="V517" s="317" t="str">
        <f>IF(O517&gt;=40,IF(X517="M",VLOOKUP(O517,UKABoysAwards,2),IF(X517="F",VLOOKUP(O517,UKAGirlsAwards,2),"")),"")</f>
        <v/>
      </c>
      <c r="W517" s="210"/>
      <c r="X517" s="266" t="str">
        <f t="array" ref="X517:X518">INDEX(DB,$B517,4)</f>
        <v>#REF!</v>
      </c>
      <c r="Y517" s="210"/>
      <c r="Z517" s="267" t="str">
        <f t="shared" si="3"/>
        <v>#REF!</v>
      </c>
      <c r="AA517" s="268" t="str">
        <f>IF($Z517&gt;=1,RANK($Z517,$Z517:$Z532),0)</f>
        <v>#REF!</v>
      </c>
      <c r="AB517" s="269" t="str">
        <f>IF(AA517&lt;=MaxS,INT(Z517),0)</f>
        <v>#REF!</v>
      </c>
      <c r="AC517" s="210"/>
      <c r="AD517" s="267" t="str">
        <f t="shared" si="4"/>
        <v>#REF!</v>
      </c>
      <c r="AE517" s="268" t="str">
        <f>IF($AD517&gt;=1,RANK($AD517,$AD517:$AD532),0)</f>
        <v>#REF!</v>
      </c>
      <c r="AF517" s="269" t="str">
        <f>IF(AE517&lt;=MaxS,INT(AD517),0)</f>
        <v>#REF!</v>
      </c>
      <c r="AG517" s="210"/>
      <c r="AH517" s="210"/>
      <c r="AI517" s="288" t="str">
        <f t="shared" si="5"/>
        <v>#REF!</v>
      </c>
      <c r="AJ517" s="289" t="str">
        <f t="shared" si="6"/>
        <v>#REF!</v>
      </c>
    </row>
    <row r="518" ht="15.0" customHeight="1">
      <c r="A518" s="272"/>
      <c r="B518" s="250">
        <f>IF(OR(ISNA(MATCH(C518&amp;"",AthleteNumbers,0)),ISBLANK(C518)),0,MATCH(C518&amp;"",AthleteNumbers,0))</f>
        <v>0</v>
      </c>
      <c r="C518" s="413"/>
      <c r="D518" s="273" t="str">
        <f t="array" ref="D518">IF($B518&gt;0,INDEX(DB,$B518,8),"")</f>
        <v/>
      </c>
      <c r="E518" s="274" t="str">
        <f t="array" ref="E518">IF($B518&gt;0,INDEX(DB,$B518,3),"")</f>
        <v/>
      </c>
      <c r="F518" s="275">
        <f t="array" ref="F518">IF($B518&gt;0,INDEX(DB,$B518,13),0)</f>
        <v>0</v>
      </c>
      <c r="G518" s="276">
        <f t="array" ref="G518">IF($B518&gt;0,INDEX(DB,$B518,17),0)</f>
        <v>0</v>
      </c>
      <c r="H518" s="277">
        <f t="array" ref="H518">IF($B518&gt;0,INDEX(DB,$B518,15),0)</f>
        <v>0</v>
      </c>
      <c r="I518" s="276">
        <f t="array" ref="I518">IF($B518&gt;0,INDEX(DB,$B518,19),0)</f>
        <v>0</v>
      </c>
      <c r="J518" s="277">
        <f t="array" ref="J518">IF($B518&gt;0,INDEX(DB,$B518,14),0)</f>
        <v>0</v>
      </c>
      <c r="K518" s="276">
        <f t="array" ref="K518">IF($B518&gt;0,INDEX(DB,$B518,18),0)</f>
        <v>0</v>
      </c>
      <c r="L518" s="275">
        <f t="array" ref="L518">IF($B518&gt;0,INDEX(DB,$B518,16),0)</f>
        <v>0</v>
      </c>
      <c r="M518" s="276">
        <f t="array" ref="M518">IF($B518&gt;0,INDEX(DB,$B518,20),0)</f>
        <v>0</v>
      </c>
      <c r="N518" s="278"/>
      <c r="O518" s="279">
        <f t="shared" si="1"/>
        <v>0</v>
      </c>
      <c r="P518" s="280"/>
      <c r="Q518" s="261" t="str">
        <f t="shared" si="2"/>
        <v>#REF!</v>
      </c>
      <c r="R518" s="281" t="str">
        <f>IF($AI518&gt;0,RANK($AI518,BoysPoints),0)</f>
        <v>#REF!</v>
      </c>
      <c r="S518" s="282" t="str">
        <f>IF($AJ518&gt;0,RANK($AJ518,GirlsPoints),0)</f>
        <v>#REF!</v>
      </c>
      <c r="T518" s="283">
        <f>IF($O518&gt;0,RANK(O518,AthletePoints),0)</f>
        <v>0</v>
      </c>
      <c r="U518" s="210"/>
      <c r="V518" s="415" t="str">
        <f>IF(O518&gt;=40,IF(X518="M",VLOOKUP(O518,UKABoysAwards,2),IF(X518="F",VLOOKUP(O518,UKAGirlsAwards,2),"")),"")</f>
        <v/>
      </c>
      <c r="W518" s="210"/>
      <c r="X518" s="266" t="str">
        <f t="array" ref="X518:X519">INDEX(DB,$B518,4)</f>
        <v>#REF!</v>
      </c>
      <c r="Y518" s="210"/>
      <c r="Z518" s="285" t="str">
        <f t="shared" si="3"/>
        <v>#REF!</v>
      </c>
      <c r="AA518" s="286" t="str">
        <f>IF($Z518&gt;=1,RANK($Z518,$Z517:$Z532),0)</f>
        <v>#REF!</v>
      </c>
      <c r="AB518" s="287" t="str">
        <f>IF(AA518&lt;=MaxS,INT(Z518),0)</f>
        <v>#REF!</v>
      </c>
      <c r="AC518" s="210"/>
      <c r="AD518" s="285" t="str">
        <f t="shared" si="4"/>
        <v>#REF!</v>
      </c>
      <c r="AE518" s="286" t="str">
        <f>IF($AD518&gt;=1,RANK($AD518,$AD517:$AD532),0)</f>
        <v>#REF!</v>
      </c>
      <c r="AF518" s="287" t="str">
        <f>IF(AE518&lt;=MaxS,INT(AD518),0)</f>
        <v>#REF!</v>
      </c>
      <c r="AG518" s="210"/>
      <c r="AH518" s="210"/>
      <c r="AI518" s="288" t="str">
        <f t="shared" si="5"/>
        <v>#REF!</v>
      </c>
      <c r="AJ518" s="289" t="str">
        <f t="shared" si="6"/>
        <v>#REF!</v>
      </c>
    </row>
    <row r="519" ht="15.0" customHeight="1">
      <c r="A519" s="272"/>
      <c r="B519" s="250">
        <f>IF(OR(ISNA(MATCH(C519&amp;"",AthleteNumbers,0)),ISBLANK(C519)),0,MATCH(C519&amp;"",AthleteNumbers,0))</f>
        <v>0</v>
      </c>
      <c r="C519" s="413"/>
      <c r="D519" s="273" t="str">
        <f t="array" ref="D519">IF($B519&gt;0,INDEX(DB,$B519,8),"")</f>
        <v/>
      </c>
      <c r="E519" s="274" t="str">
        <f t="array" ref="E519">IF($B519&gt;0,INDEX(DB,$B519,3),"")</f>
        <v/>
      </c>
      <c r="F519" s="275">
        <f t="array" ref="F519">IF($B519&gt;0,INDEX(DB,$B519,13),0)</f>
        <v>0</v>
      </c>
      <c r="G519" s="276">
        <f t="array" ref="G519">IF($B519&gt;0,INDEX(DB,$B519,17),0)</f>
        <v>0</v>
      </c>
      <c r="H519" s="277">
        <f t="array" ref="H519">IF($B519&gt;0,INDEX(DB,$B519,15),0)</f>
        <v>0</v>
      </c>
      <c r="I519" s="276">
        <f t="array" ref="I519">IF($B519&gt;0,INDEX(DB,$B519,19),0)</f>
        <v>0</v>
      </c>
      <c r="J519" s="277">
        <f t="array" ref="J519">IF($B519&gt;0,INDEX(DB,$B519,14),0)</f>
        <v>0</v>
      </c>
      <c r="K519" s="276">
        <f t="array" ref="K519">IF($B519&gt;0,INDEX(DB,$B519,18),0)</f>
        <v>0</v>
      </c>
      <c r="L519" s="275">
        <f t="array" ref="L519">IF($B519&gt;0,INDEX(DB,$B519,16),0)</f>
        <v>0</v>
      </c>
      <c r="M519" s="276">
        <f t="array" ref="M519">IF($B519&gt;0,INDEX(DB,$B519,20),0)</f>
        <v>0</v>
      </c>
      <c r="N519" s="278"/>
      <c r="O519" s="279">
        <f t="shared" si="1"/>
        <v>0</v>
      </c>
      <c r="P519" s="280"/>
      <c r="Q519" s="261" t="str">
        <f t="shared" si="2"/>
        <v>#REF!</v>
      </c>
      <c r="R519" s="290" t="str">
        <f>IF($AI519&gt;0,RANK($AI519,BoysPoints),0)</f>
        <v>#REF!</v>
      </c>
      <c r="S519" s="291" t="str">
        <f>IF($AJ519&gt;0,RANK($AJ519,GirlsPoints),0)</f>
        <v>#REF!</v>
      </c>
      <c r="T519" s="292">
        <f>IF($O519&gt;0,RANK(O519,AthletePoints),0)</f>
        <v>0</v>
      </c>
      <c r="U519" s="210"/>
      <c r="V519" s="330" t="str">
        <f>IF(O519&gt;=40,IF(X519="M",VLOOKUP(O519,UKABoysAwards,2),IF(X519="F",VLOOKUP(O519,UKAGirlsAwards,2),"")),"")</f>
        <v/>
      </c>
      <c r="W519" s="210"/>
      <c r="X519" s="266" t="str">
        <f t="array" ref="X519:X520">INDEX(DB,$B519,4)</f>
        <v>#REF!</v>
      </c>
      <c r="Y519" s="210"/>
      <c r="Z519" s="285" t="str">
        <f t="shared" si="3"/>
        <v>#REF!</v>
      </c>
      <c r="AA519" s="286" t="str">
        <f>IF($Z519&gt;=1,RANK($Z519,$Z517:$Z532),0)</f>
        <v>#REF!</v>
      </c>
      <c r="AB519" s="287" t="str">
        <f>IF(AA519&lt;=MaxS,INT(Z519),0)</f>
        <v>#REF!</v>
      </c>
      <c r="AC519" s="210"/>
      <c r="AD519" s="285" t="str">
        <f t="shared" si="4"/>
        <v>#REF!</v>
      </c>
      <c r="AE519" s="286" t="str">
        <f>IF($AD519&gt;=1,RANK($AD519,$AD517:$AD532),0)</f>
        <v>#REF!</v>
      </c>
      <c r="AF519" s="287" t="str">
        <f>IF(AE519&lt;=MaxS,INT(AD519),0)</f>
        <v>#REF!</v>
      </c>
      <c r="AG519" s="210"/>
      <c r="AH519" s="210"/>
      <c r="AI519" s="288" t="str">
        <f t="shared" si="5"/>
        <v>#REF!</v>
      </c>
      <c r="AJ519" s="289" t="str">
        <f t="shared" si="6"/>
        <v>#REF!</v>
      </c>
    </row>
    <row r="520" ht="15.0" customHeight="1">
      <c r="A520" s="272"/>
      <c r="B520" s="250">
        <f>IF(OR(ISNA(MATCH(C520&amp;"",AthleteNumbers,0)),ISBLANK(C520)),0,MATCH(C520&amp;"",AthleteNumbers,0))</f>
        <v>0</v>
      </c>
      <c r="C520" s="413"/>
      <c r="D520" s="273" t="str">
        <f t="array" ref="D520">IF($B520&gt;0,INDEX(DB,$B520,8),"")</f>
        <v/>
      </c>
      <c r="E520" s="274" t="str">
        <f t="array" ref="E520">IF($B520&gt;0,INDEX(DB,$B520,3),"")</f>
        <v/>
      </c>
      <c r="F520" s="275">
        <f t="array" ref="F520">IF($B520&gt;0,INDEX(DB,$B520,13),0)</f>
        <v>0</v>
      </c>
      <c r="G520" s="276">
        <f t="array" ref="G520">IF($B520&gt;0,INDEX(DB,$B520,17),0)</f>
        <v>0</v>
      </c>
      <c r="H520" s="277">
        <f t="array" ref="H520">IF($B520&gt;0,INDEX(DB,$B520,15),0)</f>
        <v>0</v>
      </c>
      <c r="I520" s="276">
        <f t="array" ref="I520">IF($B520&gt;0,INDEX(DB,$B520,19),0)</f>
        <v>0</v>
      </c>
      <c r="J520" s="277">
        <f t="array" ref="J520">IF($B520&gt;0,INDEX(DB,$B520,14),0)</f>
        <v>0</v>
      </c>
      <c r="K520" s="276">
        <f t="array" ref="K520">IF($B520&gt;0,INDEX(DB,$B520,18),0)</f>
        <v>0</v>
      </c>
      <c r="L520" s="275">
        <f t="array" ref="L520">IF($B520&gt;0,INDEX(DB,$B520,16),0)</f>
        <v>0</v>
      </c>
      <c r="M520" s="276">
        <f t="array" ref="M520">IF($B520&gt;0,INDEX(DB,$B520,20),0)</f>
        <v>0</v>
      </c>
      <c r="N520" s="278"/>
      <c r="O520" s="279">
        <f t="shared" si="1"/>
        <v>0</v>
      </c>
      <c r="P520" s="280"/>
      <c r="Q520" s="261" t="str">
        <f t="shared" si="2"/>
        <v>#REF!</v>
      </c>
      <c r="R520" s="281" t="str">
        <f>IF($AI520&gt;0,RANK($AI520,BoysPoints),0)</f>
        <v>#REF!</v>
      </c>
      <c r="S520" s="282" t="str">
        <f>IF($AJ520&gt;0,RANK($AJ520,GirlsPoints),0)</f>
        <v>#REF!</v>
      </c>
      <c r="T520" s="283">
        <f>IF($O520&gt;0,RANK(O520,AthletePoints),0)</f>
        <v>0</v>
      </c>
      <c r="U520" s="210"/>
      <c r="V520" s="415" t="str">
        <f>IF(O520&gt;=40,IF(X520="M",VLOOKUP(O520,UKABoysAwards,2),IF(X520="F",VLOOKUP(O520,UKAGirlsAwards,2),"")),"")</f>
        <v/>
      </c>
      <c r="W520" s="210"/>
      <c r="X520" s="266" t="str">
        <f t="array" ref="X520:X521">INDEX(DB,$B520,4)</f>
        <v>#REF!</v>
      </c>
      <c r="Y520" s="210"/>
      <c r="Z520" s="285" t="str">
        <f t="shared" si="3"/>
        <v>#REF!</v>
      </c>
      <c r="AA520" s="286" t="str">
        <f>IF($Z520&gt;=1,RANK($Z520,$Z517:$Z532),0)</f>
        <v>#REF!</v>
      </c>
      <c r="AB520" s="287" t="str">
        <f>IF(AA520&lt;=MaxS,INT(Z520),0)</f>
        <v>#REF!</v>
      </c>
      <c r="AC520" s="210"/>
      <c r="AD520" s="285" t="str">
        <f t="shared" si="4"/>
        <v>#REF!</v>
      </c>
      <c r="AE520" s="286" t="str">
        <f>IF($AD520&gt;=1,RANK($AD520,$AD517:$AD532),0)</f>
        <v>#REF!</v>
      </c>
      <c r="AF520" s="287" t="str">
        <f>IF(AE520&lt;=MaxS,INT(AD520),0)</f>
        <v>#REF!</v>
      </c>
      <c r="AG520" s="210"/>
      <c r="AH520" s="210"/>
      <c r="AI520" s="288" t="str">
        <f t="shared" si="5"/>
        <v>#REF!</v>
      </c>
      <c r="AJ520" s="289" t="str">
        <f t="shared" si="6"/>
        <v>#REF!</v>
      </c>
    </row>
    <row r="521" ht="15.0" customHeight="1">
      <c r="A521" s="272"/>
      <c r="B521" s="250">
        <f>IF(OR(ISNA(MATCH(C521&amp;"",AthleteNumbers,0)),ISBLANK(C521)),0,MATCH(C521&amp;"",AthleteNumbers,0))</f>
        <v>0</v>
      </c>
      <c r="C521" s="413"/>
      <c r="D521" s="273" t="str">
        <f t="array" ref="D521">IF($B521&gt;0,INDEX(DB,$B521,8),"")</f>
        <v/>
      </c>
      <c r="E521" s="274" t="str">
        <f t="array" ref="E521">IF($B521&gt;0,INDEX(DB,$B521,3),"")</f>
        <v/>
      </c>
      <c r="F521" s="275">
        <f t="array" ref="F521">IF($B521&gt;0,INDEX(DB,$B521,13),0)</f>
        <v>0</v>
      </c>
      <c r="G521" s="276">
        <f t="array" ref="G521">IF($B521&gt;0,INDEX(DB,$B521,17),0)</f>
        <v>0</v>
      </c>
      <c r="H521" s="277">
        <f t="array" ref="H521">IF($B521&gt;0,INDEX(DB,$B521,15),0)</f>
        <v>0</v>
      </c>
      <c r="I521" s="276">
        <f t="array" ref="I521">IF($B521&gt;0,INDEX(DB,$B521,19),0)</f>
        <v>0</v>
      </c>
      <c r="J521" s="277">
        <f t="array" ref="J521">IF($B521&gt;0,INDEX(DB,$B521,14),0)</f>
        <v>0</v>
      </c>
      <c r="K521" s="276">
        <f t="array" ref="K521">IF($B521&gt;0,INDEX(DB,$B521,18),0)</f>
        <v>0</v>
      </c>
      <c r="L521" s="275">
        <f t="array" ref="L521">IF($B521&gt;0,INDEX(DB,$B521,16),0)</f>
        <v>0</v>
      </c>
      <c r="M521" s="276">
        <f t="array" ref="M521">IF($B521&gt;0,INDEX(DB,$B521,20),0)</f>
        <v>0</v>
      </c>
      <c r="N521" s="278"/>
      <c r="O521" s="279">
        <f t="shared" si="1"/>
        <v>0</v>
      </c>
      <c r="P521" s="280"/>
      <c r="Q521" s="261" t="str">
        <f t="shared" si="2"/>
        <v>#REF!</v>
      </c>
      <c r="R521" s="290" t="str">
        <f>IF($AI521&gt;0,RANK($AI521,BoysPoints),0)</f>
        <v>#REF!</v>
      </c>
      <c r="S521" s="291" t="str">
        <f>IF($AJ521&gt;0,RANK($AJ521,GirlsPoints),0)</f>
        <v>#REF!</v>
      </c>
      <c r="T521" s="292">
        <f>IF($O521&gt;0,RANK(O521,AthletePoints),0)</f>
        <v>0</v>
      </c>
      <c r="U521" s="210"/>
      <c r="V521" s="330" t="str">
        <f>IF(O521&gt;=40,IF(X521="M",VLOOKUP(O521,UKABoysAwards,2),IF(X521="F",VLOOKUP(O521,UKAGirlsAwards,2),"")),"")</f>
        <v/>
      </c>
      <c r="W521" s="210"/>
      <c r="X521" s="266" t="str">
        <f t="array" ref="X521:X522">INDEX(DB,$B521,4)</f>
        <v>#REF!</v>
      </c>
      <c r="Y521" s="210"/>
      <c r="Z521" s="285" t="str">
        <f t="shared" si="3"/>
        <v>#REF!</v>
      </c>
      <c r="AA521" s="286" t="str">
        <f>IF($Z521&gt;=1,RANK($Z521,$Z517:$Z532),0)</f>
        <v>#REF!</v>
      </c>
      <c r="AB521" s="287" t="str">
        <f>IF(AA521&lt;=MaxS,INT(Z521),0)</f>
        <v>#REF!</v>
      </c>
      <c r="AC521" s="210"/>
      <c r="AD521" s="285" t="str">
        <f t="shared" si="4"/>
        <v>#REF!</v>
      </c>
      <c r="AE521" s="286" t="str">
        <f>IF($AD521&gt;=1,RANK($AD521,$AD517:$AD532),0)</f>
        <v>#REF!</v>
      </c>
      <c r="AF521" s="287" t="str">
        <f>IF(AE521&lt;=MaxS,INT(AD521),0)</f>
        <v>#REF!</v>
      </c>
      <c r="AG521" s="210"/>
      <c r="AH521" s="210"/>
      <c r="AI521" s="288" t="str">
        <f t="shared" si="5"/>
        <v>#REF!</v>
      </c>
      <c r="AJ521" s="289" t="str">
        <f t="shared" si="6"/>
        <v>#REF!</v>
      </c>
    </row>
    <row r="522" ht="15.0" customHeight="1">
      <c r="A522" s="272"/>
      <c r="B522" s="250">
        <f>IF(OR(ISNA(MATCH(C522&amp;"",AthleteNumbers,0)),ISBLANK(C522)),0,MATCH(C522&amp;"",AthleteNumbers,0))</f>
        <v>0</v>
      </c>
      <c r="C522" s="413"/>
      <c r="D522" s="273" t="str">
        <f t="array" ref="D522">IF($B522&gt;0,INDEX(DB,$B522,8),"")</f>
        <v/>
      </c>
      <c r="E522" s="274" t="str">
        <f t="array" ref="E522">IF($B522&gt;0,INDEX(DB,$B522,3),"")</f>
        <v/>
      </c>
      <c r="F522" s="275">
        <f t="array" ref="F522">IF($B522&gt;0,INDEX(DB,$B522,13),0)</f>
        <v>0</v>
      </c>
      <c r="G522" s="276">
        <f t="array" ref="G522">IF($B522&gt;0,INDEX(DB,$B522,17),0)</f>
        <v>0</v>
      </c>
      <c r="H522" s="277">
        <f t="array" ref="H522">IF($B522&gt;0,INDEX(DB,$B522,15),0)</f>
        <v>0</v>
      </c>
      <c r="I522" s="276">
        <f t="array" ref="I522">IF($B522&gt;0,INDEX(DB,$B522,19),0)</f>
        <v>0</v>
      </c>
      <c r="J522" s="277">
        <f t="array" ref="J522">IF($B522&gt;0,INDEX(DB,$B522,14),0)</f>
        <v>0</v>
      </c>
      <c r="K522" s="276">
        <f t="array" ref="K522">IF($B522&gt;0,INDEX(DB,$B522,18),0)</f>
        <v>0</v>
      </c>
      <c r="L522" s="275">
        <f t="array" ref="L522">IF($B522&gt;0,INDEX(DB,$B522,16),0)</f>
        <v>0</v>
      </c>
      <c r="M522" s="276">
        <f t="array" ref="M522">IF($B522&gt;0,INDEX(DB,$B522,20),0)</f>
        <v>0</v>
      </c>
      <c r="N522" s="278"/>
      <c r="O522" s="279">
        <f t="shared" si="1"/>
        <v>0</v>
      </c>
      <c r="P522" s="280"/>
      <c r="Q522" s="261" t="str">
        <f t="shared" si="2"/>
        <v>#REF!</v>
      </c>
      <c r="R522" s="281" t="str">
        <f>IF($AI522&gt;0,RANK($AI522,BoysPoints),0)</f>
        <v>#REF!</v>
      </c>
      <c r="S522" s="282" t="str">
        <f>IF($AJ522&gt;0,RANK($AJ522,GirlsPoints),0)</f>
        <v>#REF!</v>
      </c>
      <c r="T522" s="283">
        <f>IF($O522&gt;0,RANK(O522,AthletePoints),0)</f>
        <v>0</v>
      </c>
      <c r="U522" s="210"/>
      <c r="V522" s="415" t="str">
        <f>IF(O522&gt;=40,IF(X522="M",VLOOKUP(O522,UKABoysAwards,2),IF(X522="F",VLOOKUP(O522,UKAGirlsAwards,2),"")),"")</f>
        <v/>
      </c>
      <c r="W522" s="210"/>
      <c r="X522" s="266" t="str">
        <f t="array" ref="X522:X523">INDEX(DB,$B522,4)</f>
        <v>#REF!</v>
      </c>
      <c r="Y522" s="210"/>
      <c r="Z522" s="285" t="str">
        <f t="shared" si="3"/>
        <v>#REF!</v>
      </c>
      <c r="AA522" s="286" t="str">
        <f>IF($Z522&gt;=1,RANK($Z522,$Z517:$Z532),0)</f>
        <v>#REF!</v>
      </c>
      <c r="AB522" s="287" t="str">
        <f>IF(AA522&lt;=MaxS,INT(Z522),0)</f>
        <v>#REF!</v>
      </c>
      <c r="AC522" s="210"/>
      <c r="AD522" s="285" t="str">
        <f t="shared" si="4"/>
        <v>#REF!</v>
      </c>
      <c r="AE522" s="286" t="str">
        <f>IF($AD522&gt;=1,RANK($AD522,$AD517:$AD532),0)</f>
        <v>#REF!</v>
      </c>
      <c r="AF522" s="287" t="str">
        <f>IF(AE522&lt;=MaxS,INT(AD522),0)</f>
        <v>#REF!</v>
      </c>
      <c r="AG522" s="210"/>
      <c r="AH522" s="210"/>
      <c r="AI522" s="288" t="str">
        <f t="shared" si="5"/>
        <v>#REF!</v>
      </c>
      <c r="AJ522" s="289" t="str">
        <f t="shared" si="6"/>
        <v>#REF!</v>
      </c>
    </row>
    <row r="523" ht="15.0" customHeight="1">
      <c r="A523" s="272"/>
      <c r="B523" s="250">
        <f>IF(OR(ISNA(MATCH(C523&amp;"",AthleteNumbers,0)),ISBLANK(C523)),0,MATCH(C523&amp;"",AthleteNumbers,0))</f>
        <v>0</v>
      </c>
      <c r="C523" s="413"/>
      <c r="D523" s="273" t="str">
        <f t="array" ref="D523">IF($B523&gt;0,INDEX(DB,$B523,8),"")</f>
        <v/>
      </c>
      <c r="E523" s="274" t="str">
        <f t="array" ref="E523">IF($B523&gt;0,INDEX(DB,$B523,3),"")</f>
        <v/>
      </c>
      <c r="F523" s="275">
        <f t="array" ref="F523">IF($B523&gt;0,INDEX(DB,$B523,13),0)</f>
        <v>0</v>
      </c>
      <c r="G523" s="276">
        <f t="array" ref="G523">IF($B523&gt;0,INDEX(DB,$B523,17),0)</f>
        <v>0</v>
      </c>
      <c r="H523" s="277">
        <f t="array" ref="H523">IF($B523&gt;0,INDEX(DB,$B523,15),0)</f>
        <v>0</v>
      </c>
      <c r="I523" s="276">
        <f t="array" ref="I523">IF($B523&gt;0,INDEX(DB,$B523,19),0)</f>
        <v>0</v>
      </c>
      <c r="J523" s="277">
        <f t="array" ref="J523">IF($B523&gt;0,INDEX(DB,$B523,14),0)</f>
        <v>0</v>
      </c>
      <c r="K523" s="276">
        <f t="array" ref="K523">IF($B523&gt;0,INDEX(DB,$B523,18),0)</f>
        <v>0</v>
      </c>
      <c r="L523" s="275">
        <f t="array" ref="L523">IF($B523&gt;0,INDEX(DB,$B523,16),0)</f>
        <v>0</v>
      </c>
      <c r="M523" s="276">
        <f t="array" ref="M523">IF($B523&gt;0,INDEX(DB,$B523,20),0)</f>
        <v>0</v>
      </c>
      <c r="N523" s="278"/>
      <c r="O523" s="279">
        <f t="shared" si="1"/>
        <v>0</v>
      </c>
      <c r="P523" s="280"/>
      <c r="Q523" s="261" t="str">
        <f t="shared" si="2"/>
        <v>#REF!</v>
      </c>
      <c r="R523" s="290" t="str">
        <f>IF($AI523&gt;0,RANK($AI523,BoysPoints),0)</f>
        <v>#REF!</v>
      </c>
      <c r="S523" s="291" t="str">
        <f>IF($AJ523&gt;0,RANK($AJ523,GirlsPoints),0)</f>
        <v>#REF!</v>
      </c>
      <c r="T523" s="292">
        <f>IF($O523&gt;0,RANK(O523,AthletePoints),0)</f>
        <v>0</v>
      </c>
      <c r="U523" s="210"/>
      <c r="V523" s="330" t="str">
        <f>IF(O523&gt;=40,IF(X523="M",VLOOKUP(O523,UKABoysAwards,2),IF(X523="F",VLOOKUP(O523,UKAGirlsAwards,2),"")),"")</f>
        <v/>
      </c>
      <c r="W523" s="210"/>
      <c r="X523" s="266" t="str">
        <f t="array" ref="X523:X524">INDEX(DB,$B523,4)</f>
        <v>#REF!</v>
      </c>
      <c r="Y523" s="210"/>
      <c r="Z523" s="285" t="str">
        <f t="shared" si="3"/>
        <v>#REF!</v>
      </c>
      <c r="AA523" s="286" t="str">
        <f>IF($Z523&gt;=1,RANK($Z523,$Z517:$Z532),0)</f>
        <v>#REF!</v>
      </c>
      <c r="AB523" s="287" t="str">
        <f>IF(AA523&lt;=MaxS,INT(Z523),0)</f>
        <v>#REF!</v>
      </c>
      <c r="AC523" s="210"/>
      <c r="AD523" s="285" t="str">
        <f t="shared" si="4"/>
        <v>#REF!</v>
      </c>
      <c r="AE523" s="286" t="str">
        <f>IF($AD523&gt;=1,RANK($AD523,$AD517:$AD532),0)</f>
        <v>#REF!</v>
      </c>
      <c r="AF523" s="287" t="str">
        <f>IF(AE523&lt;=MaxS,INT(AD523),0)</f>
        <v>#REF!</v>
      </c>
      <c r="AG523" s="210"/>
      <c r="AH523" s="210"/>
      <c r="AI523" s="288" t="str">
        <f t="shared" si="5"/>
        <v>#REF!</v>
      </c>
      <c r="AJ523" s="289" t="str">
        <f t="shared" si="6"/>
        <v>#REF!</v>
      </c>
    </row>
    <row r="524" ht="15.0" customHeight="1">
      <c r="A524" s="272"/>
      <c r="B524" s="250">
        <f>IF(OR(ISNA(MATCH(C524&amp;"",AthleteNumbers,0)),ISBLANK(C524)),0,MATCH(C524&amp;"",AthleteNumbers,0))</f>
        <v>0</v>
      </c>
      <c r="C524" s="413"/>
      <c r="D524" s="273" t="str">
        <f t="array" ref="D524">IF($B524&gt;0,INDEX(DB,$B524,8),"")</f>
        <v/>
      </c>
      <c r="E524" s="274" t="str">
        <f t="array" ref="E524">IF($B524&gt;0,INDEX(DB,$B524,3),"")</f>
        <v/>
      </c>
      <c r="F524" s="275">
        <f t="array" ref="F524">IF($B524&gt;0,INDEX(DB,$B524,13),0)</f>
        <v>0</v>
      </c>
      <c r="G524" s="276">
        <f t="array" ref="G524">IF($B524&gt;0,INDEX(DB,$B524,17),0)</f>
        <v>0</v>
      </c>
      <c r="H524" s="277">
        <f t="array" ref="H524">IF($B524&gt;0,INDEX(DB,$B524,15),0)</f>
        <v>0</v>
      </c>
      <c r="I524" s="276">
        <f t="array" ref="I524">IF($B524&gt;0,INDEX(DB,$B524,19),0)</f>
        <v>0</v>
      </c>
      <c r="J524" s="277">
        <f t="array" ref="J524">IF($B524&gt;0,INDEX(DB,$B524,14),0)</f>
        <v>0</v>
      </c>
      <c r="K524" s="276">
        <f t="array" ref="K524">IF($B524&gt;0,INDEX(DB,$B524,18),0)</f>
        <v>0</v>
      </c>
      <c r="L524" s="275">
        <f t="array" ref="L524">IF($B524&gt;0,INDEX(DB,$B524,16),0)</f>
        <v>0</v>
      </c>
      <c r="M524" s="276">
        <f t="array" ref="M524">IF($B524&gt;0,INDEX(DB,$B524,20),0)</f>
        <v>0</v>
      </c>
      <c r="N524" s="278"/>
      <c r="O524" s="279">
        <f t="shared" si="1"/>
        <v>0</v>
      </c>
      <c r="P524" s="280"/>
      <c r="Q524" s="261" t="str">
        <f t="shared" si="2"/>
        <v>#REF!</v>
      </c>
      <c r="R524" s="281" t="str">
        <f>IF($AI524&gt;0,RANK($AI524,BoysPoints),0)</f>
        <v>#REF!</v>
      </c>
      <c r="S524" s="282" t="str">
        <f>IF($AJ524&gt;0,RANK($AJ524,GirlsPoints),0)</f>
        <v>#REF!</v>
      </c>
      <c r="T524" s="283">
        <f>IF($O524&gt;0,RANK(O524,AthletePoints),0)</f>
        <v>0</v>
      </c>
      <c r="U524" s="210"/>
      <c r="V524" s="415" t="str">
        <f>IF(O524&gt;=40,IF(X524="M",VLOOKUP(O524,UKABoysAwards,2),IF(X524="F",VLOOKUP(O524,UKAGirlsAwards,2),"")),"")</f>
        <v/>
      </c>
      <c r="W524" s="210"/>
      <c r="X524" s="266" t="str">
        <f t="array" ref="X524:X525">INDEX(DB,$B524,4)</f>
        <v>#REF!</v>
      </c>
      <c r="Y524" s="210"/>
      <c r="Z524" s="285" t="str">
        <f t="shared" si="3"/>
        <v>#REF!</v>
      </c>
      <c r="AA524" s="286" t="str">
        <f>IF($Z524&gt;=1,RANK($Z524,$Z517:$Z532),0)</f>
        <v>#REF!</v>
      </c>
      <c r="AB524" s="287" t="str">
        <f>IF(AA524&lt;=MaxS,INT(Z524),0)</f>
        <v>#REF!</v>
      </c>
      <c r="AC524" s="210"/>
      <c r="AD524" s="285" t="str">
        <f t="shared" si="4"/>
        <v>#REF!</v>
      </c>
      <c r="AE524" s="286" t="str">
        <f>IF($AD524&gt;=1,RANK($AD524,$AD517:$AD532),0)</f>
        <v>#REF!</v>
      </c>
      <c r="AF524" s="287" t="str">
        <f>IF(AE524&lt;=MaxS,INT(AD524),0)</f>
        <v>#REF!</v>
      </c>
      <c r="AG524" s="210"/>
      <c r="AH524" s="210"/>
      <c r="AI524" s="288" t="str">
        <f t="shared" si="5"/>
        <v>#REF!</v>
      </c>
      <c r="AJ524" s="289" t="str">
        <f t="shared" si="6"/>
        <v>#REF!</v>
      </c>
    </row>
    <row r="525" ht="15.0" customHeight="1">
      <c r="A525" s="272"/>
      <c r="B525" s="250">
        <f>IF(OR(ISNA(MATCH(C525&amp;"",AthleteNumbers,0)),ISBLANK(C525)),0,MATCH(C525&amp;"",AthleteNumbers,0))</f>
        <v>0</v>
      </c>
      <c r="C525" s="413"/>
      <c r="D525" s="273" t="str">
        <f t="array" ref="D525">IF($B525&gt;0,INDEX(DB,$B525,8),"")</f>
        <v/>
      </c>
      <c r="E525" s="274" t="str">
        <f t="array" ref="E525">IF($B525&gt;0,INDEX(DB,$B525,3),"")</f>
        <v/>
      </c>
      <c r="F525" s="275">
        <f t="array" ref="F525">IF($B525&gt;0,INDEX(DB,$B525,13),0)</f>
        <v>0</v>
      </c>
      <c r="G525" s="276">
        <f t="array" ref="G525">IF($B525&gt;0,INDEX(DB,$B525,17),0)</f>
        <v>0</v>
      </c>
      <c r="H525" s="277">
        <f t="array" ref="H525">IF($B525&gt;0,INDEX(DB,$B525,15),0)</f>
        <v>0</v>
      </c>
      <c r="I525" s="276">
        <f t="array" ref="I525">IF($B525&gt;0,INDEX(DB,$B525,19),0)</f>
        <v>0</v>
      </c>
      <c r="J525" s="277">
        <f t="array" ref="J525">IF($B525&gt;0,INDEX(DB,$B525,14),0)</f>
        <v>0</v>
      </c>
      <c r="K525" s="276">
        <f t="array" ref="K525">IF($B525&gt;0,INDEX(DB,$B525,18),0)</f>
        <v>0</v>
      </c>
      <c r="L525" s="275">
        <f t="array" ref="L525">IF($B525&gt;0,INDEX(DB,$B525,16),0)</f>
        <v>0</v>
      </c>
      <c r="M525" s="276">
        <f t="array" ref="M525">IF($B525&gt;0,INDEX(DB,$B525,20),0)</f>
        <v>0</v>
      </c>
      <c r="N525" s="278"/>
      <c r="O525" s="279">
        <f t="shared" si="1"/>
        <v>0</v>
      </c>
      <c r="P525" s="280"/>
      <c r="Q525" s="261" t="str">
        <f t="shared" si="2"/>
        <v>#REF!</v>
      </c>
      <c r="R525" s="290" t="str">
        <f>IF($AI525&gt;0,RANK($AI525,BoysPoints),0)</f>
        <v>#REF!</v>
      </c>
      <c r="S525" s="291" t="str">
        <f>IF($AJ525&gt;0,RANK($AJ525,GirlsPoints),0)</f>
        <v>#REF!</v>
      </c>
      <c r="T525" s="292">
        <f>IF($O525&gt;0,RANK(O525,AthletePoints),0)</f>
        <v>0</v>
      </c>
      <c r="U525" s="210"/>
      <c r="V525" s="330" t="str">
        <f>IF(O525&gt;=40,IF(X525="M",VLOOKUP(O525,UKABoysAwards,2),IF(X525="F",VLOOKUP(O525,UKAGirlsAwards,2),"")),"")</f>
        <v/>
      </c>
      <c r="W525" s="210"/>
      <c r="X525" s="266" t="str">
        <f t="array" ref="X525:X526">INDEX(DB,$B525,4)</f>
        <v>#REF!</v>
      </c>
      <c r="Y525" s="210"/>
      <c r="Z525" s="285" t="str">
        <f t="shared" si="3"/>
        <v>#REF!</v>
      </c>
      <c r="AA525" s="286" t="str">
        <f>IF($Z525&gt;=1,RANK($Z525,$Z517:$Z532),0)</f>
        <v>#REF!</v>
      </c>
      <c r="AB525" s="287" t="str">
        <f>IF(AA525&lt;=MaxS,INT(Z525),0)</f>
        <v>#REF!</v>
      </c>
      <c r="AC525" s="210"/>
      <c r="AD525" s="285" t="str">
        <f t="shared" si="4"/>
        <v>#REF!</v>
      </c>
      <c r="AE525" s="286" t="str">
        <f>IF($AD525&gt;=1,RANK($AD525,$AD517:$AD532),0)</f>
        <v>#REF!</v>
      </c>
      <c r="AF525" s="287" t="str">
        <f>IF(AE525&lt;=MaxS,INT(AD525),0)</f>
        <v>#REF!</v>
      </c>
      <c r="AG525" s="210"/>
      <c r="AH525" s="210"/>
      <c r="AI525" s="288" t="str">
        <f t="shared" si="5"/>
        <v>#REF!</v>
      </c>
      <c r="AJ525" s="289" t="str">
        <f t="shared" si="6"/>
        <v>#REF!</v>
      </c>
    </row>
    <row r="526" ht="15.0" customHeight="1">
      <c r="A526" s="272"/>
      <c r="B526" s="250">
        <f>IF(OR(ISNA(MATCH(C526&amp;"",AthleteNumbers,0)),ISBLANK(C526)),0,MATCH(C526&amp;"",AthleteNumbers,0))</f>
        <v>0</v>
      </c>
      <c r="C526" s="413"/>
      <c r="D526" s="273" t="str">
        <f t="array" ref="D526">IF($B526&gt;0,INDEX(DB,$B526,8),"")</f>
        <v/>
      </c>
      <c r="E526" s="274" t="str">
        <f t="array" ref="E526">IF($B526&gt;0,INDEX(DB,$B526,3),"")</f>
        <v/>
      </c>
      <c r="F526" s="275">
        <f t="array" ref="F526">IF($B526&gt;0,INDEX(DB,$B526,13),0)</f>
        <v>0</v>
      </c>
      <c r="G526" s="276">
        <f t="array" ref="G526">IF($B526&gt;0,INDEX(DB,$B526,17),0)</f>
        <v>0</v>
      </c>
      <c r="H526" s="277">
        <f t="array" ref="H526">IF($B526&gt;0,INDEX(DB,$B526,15),0)</f>
        <v>0</v>
      </c>
      <c r="I526" s="276">
        <f t="array" ref="I526">IF($B526&gt;0,INDEX(DB,$B526,19),0)</f>
        <v>0</v>
      </c>
      <c r="J526" s="277">
        <f t="array" ref="J526">IF($B526&gt;0,INDEX(DB,$B526,14),0)</f>
        <v>0</v>
      </c>
      <c r="K526" s="276">
        <f t="array" ref="K526">IF($B526&gt;0,INDEX(DB,$B526,18),0)</f>
        <v>0</v>
      </c>
      <c r="L526" s="275">
        <f t="array" ref="L526">IF($B526&gt;0,INDEX(DB,$B526,16),0)</f>
        <v>0</v>
      </c>
      <c r="M526" s="276">
        <f t="array" ref="M526">IF($B526&gt;0,INDEX(DB,$B526,20),0)</f>
        <v>0</v>
      </c>
      <c r="N526" s="278"/>
      <c r="O526" s="279">
        <f t="shared" si="1"/>
        <v>0</v>
      </c>
      <c r="P526" s="280"/>
      <c r="Q526" s="261" t="str">
        <f t="shared" si="2"/>
        <v>#REF!</v>
      </c>
      <c r="R526" s="281" t="str">
        <f>IF($AI526&gt;0,RANK($AI526,BoysPoints),0)</f>
        <v>#REF!</v>
      </c>
      <c r="S526" s="282" t="str">
        <f>IF($AJ526&gt;0,RANK($AJ526,GirlsPoints),0)</f>
        <v>#REF!</v>
      </c>
      <c r="T526" s="283">
        <f>IF($O526&gt;0,RANK(O526,AthletePoints),0)</f>
        <v>0</v>
      </c>
      <c r="U526" s="210"/>
      <c r="V526" s="415" t="str">
        <f>IF(O526&gt;=40,IF(X526="M",VLOOKUP(O526,UKABoysAwards,2),IF(X526="F",VLOOKUP(O526,UKAGirlsAwards,2),"")),"")</f>
        <v/>
      </c>
      <c r="W526" s="210"/>
      <c r="X526" s="266" t="str">
        <f t="array" ref="X526:X527">INDEX(DB,$B526,4)</f>
        <v>#REF!</v>
      </c>
      <c r="Y526" s="210"/>
      <c r="Z526" s="285" t="str">
        <f t="shared" si="3"/>
        <v>#REF!</v>
      </c>
      <c r="AA526" s="286" t="str">
        <f>IF($Z526&gt;=1,RANK($Z526,$Z517:$Z532),0)</f>
        <v>#REF!</v>
      </c>
      <c r="AB526" s="287" t="str">
        <f>IF(AA526&lt;=MaxS,INT(Z526),0)</f>
        <v>#REF!</v>
      </c>
      <c r="AC526" s="210"/>
      <c r="AD526" s="285" t="str">
        <f t="shared" si="4"/>
        <v>#REF!</v>
      </c>
      <c r="AE526" s="286" t="str">
        <f>IF($AD526&gt;=1,RANK($AD526,$AD517:$AD532),0)</f>
        <v>#REF!</v>
      </c>
      <c r="AF526" s="287" t="str">
        <f>IF(AE526&lt;=MaxS,INT(AD526),0)</f>
        <v>#REF!</v>
      </c>
      <c r="AG526" s="210"/>
      <c r="AH526" s="210"/>
      <c r="AI526" s="288" t="str">
        <f t="shared" si="5"/>
        <v>#REF!</v>
      </c>
      <c r="AJ526" s="289" t="str">
        <f t="shared" si="6"/>
        <v>#REF!</v>
      </c>
    </row>
    <row r="527" ht="15.0" customHeight="1">
      <c r="A527" s="272"/>
      <c r="B527" s="250">
        <f>IF(OR(ISNA(MATCH(C527&amp;"",AthleteNumbers,0)),ISBLANK(C527)),0,MATCH(C527&amp;"",AthleteNumbers,0))</f>
        <v>0</v>
      </c>
      <c r="C527" s="413"/>
      <c r="D527" s="273" t="str">
        <f t="array" ref="D527">IF($B527&gt;0,INDEX(DB,$B527,8),"")</f>
        <v/>
      </c>
      <c r="E527" s="274" t="str">
        <f t="array" ref="E527">IF($B527&gt;0,INDEX(DB,$B527,3),"")</f>
        <v/>
      </c>
      <c r="F527" s="275">
        <f t="array" ref="F527">IF($B527&gt;0,INDEX(DB,$B527,13),0)</f>
        <v>0</v>
      </c>
      <c r="G527" s="276">
        <f t="array" ref="G527">IF($B527&gt;0,INDEX(DB,$B527,17),0)</f>
        <v>0</v>
      </c>
      <c r="H527" s="277">
        <f t="array" ref="H527">IF($B527&gt;0,INDEX(DB,$B527,15),0)</f>
        <v>0</v>
      </c>
      <c r="I527" s="276">
        <f t="array" ref="I527">IF($B527&gt;0,INDEX(DB,$B527,19),0)</f>
        <v>0</v>
      </c>
      <c r="J527" s="277">
        <f t="array" ref="J527">IF($B527&gt;0,INDEX(DB,$B527,14),0)</f>
        <v>0</v>
      </c>
      <c r="K527" s="276">
        <f t="array" ref="K527">IF($B527&gt;0,INDEX(DB,$B527,18),0)</f>
        <v>0</v>
      </c>
      <c r="L527" s="275">
        <f t="array" ref="L527">IF($B527&gt;0,INDEX(DB,$B527,16),0)</f>
        <v>0</v>
      </c>
      <c r="M527" s="276">
        <f t="array" ref="M527">IF($B527&gt;0,INDEX(DB,$B527,20),0)</f>
        <v>0</v>
      </c>
      <c r="N527" s="278"/>
      <c r="O527" s="279">
        <f t="shared" si="1"/>
        <v>0</v>
      </c>
      <c r="P527" s="280"/>
      <c r="Q527" s="261" t="str">
        <f t="shared" si="2"/>
        <v>#REF!</v>
      </c>
      <c r="R527" s="290" t="str">
        <f>IF($AI527&gt;0,RANK($AI527,BoysPoints),0)</f>
        <v>#REF!</v>
      </c>
      <c r="S527" s="291" t="str">
        <f>IF($AJ527&gt;0,RANK($AJ527,GirlsPoints),0)</f>
        <v>#REF!</v>
      </c>
      <c r="T527" s="292">
        <f>IF($O527&gt;0,RANK(O527,AthletePoints),0)</f>
        <v>0</v>
      </c>
      <c r="U527" s="210"/>
      <c r="V527" s="330" t="str">
        <f>IF(O527&gt;=40,IF(X527="M",VLOOKUP(O527,UKABoysAwards,2),IF(X527="F",VLOOKUP(O527,UKAGirlsAwards,2),"")),"")</f>
        <v/>
      </c>
      <c r="W527" s="210"/>
      <c r="X527" s="266" t="str">
        <f t="array" ref="X527:X528">INDEX(DB,$B527,4)</f>
        <v>#REF!</v>
      </c>
      <c r="Y527" s="210"/>
      <c r="Z527" s="285" t="str">
        <f t="shared" si="3"/>
        <v>#REF!</v>
      </c>
      <c r="AA527" s="286" t="str">
        <f>IF($Z527&gt;=1,RANK($Z527,$Z517:$Z532),0)</f>
        <v>#REF!</v>
      </c>
      <c r="AB527" s="287" t="str">
        <f>IF(AA527&lt;=MaxS,INT(Z527),0)</f>
        <v>#REF!</v>
      </c>
      <c r="AC527" s="210"/>
      <c r="AD527" s="285" t="str">
        <f t="shared" si="4"/>
        <v>#REF!</v>
      </c>
      <c r="AE527" s="286" t="str">
        <f>IF($AD527&gt;=1,RANK($AD527,$AD517:$AD532),0)</f>
        <v>#REF!</v>
      </c>
      <c r="AF527" s="287" t="str">
        <f>IF(AE527&lt;=MaxS,INT(AD527),0)</f>
        <v>#REF!</v>
      </c>
      <c r="AG527" s="210"/>
      <c r="AH527" s="210"/>
      <c r="AI527" s="288" t="str">
        <f t="shared" si="5"/>
        <v>#REF!</v>
      </c>
      <c r="AJ527" s="289" t="str">
        <f t="shared" si="6"/>
        <v>#REF!</v>
      </c>
    </row>
    <row r="528" ht="15.0" customHeight="1">
      <c r="A528" s="272"/>
      <c r="B528" s="250">
        <f>IF(OR(ISNA(MATCH(C528&amp;"",AthleteNumbers,0)),ISBLANK(C528)),0,MATCH(C528&amp;"",AthleteNumbers,0))</f>
        <v>0</v>
      </c>
      <c r="C528" s="413"/>
      <c r="D528" s="273" t="str">
        <f t="array" ref="D528">IF($B528&gt;0,INDEX(DB,$B528,8),"")</f>
        <v/>
      </c>
      <c r="E528" s="274" t="str">
        <f t="array" ref="E528">IF($B528&gt;0,INDEX(DB,$B528,3),"")</f>
        <v/>
      </c>
      <c r="F528" s="275">
        <f t="array" ref="F528">IF($B528&gt;0,INDEX(DB,$B528,13),0)</f>
        <v>0</v>
      </c>
      <c r="G528" s="276">
        <f t="array" ref="G528">IF($B528&gt;0,INDEX(DB,$B528,17),0)</f>
        <v>0</v>
      </c>
      <c r="H528" s="277">
        <f t="array" ref="H528">IF($B528&gt;0,INDEX(DB,$B528,15),0)</f>
        <v>0</v>
      </c>
      <c r="I528" s="276">
        <f t="array" ref="I528">IF($B528&gt;0,INDEX(DB,$B528,19),0)</f>
        <v>0</v>
      </c>
      <c r="J528" s="277">
        <f t="array" ref="J528">IF($B528&gt;0,INDEX(DB,$B528,14),0)</f>
        <v>0</v>
      </c>
      <c r="K528" s="276">
        <f t="array" ref="K528">IF($B528&gt;0,INDEX(DB,$B528,18),0)</f>
        <v>0</v>
      </c>
      <c r="L528" s="275">
        <f t="array" ref="L528">IF($B528&gt;0,INDEX(DB,$B528,16),0)</f>
        <v>0</v>
      </c>
      <c r="M528" s="276">
        <f t="array" ref="M528">IF($B528&gt;0,INDEX(DB,$B528,20),0)</f>
        <v>0</v>
      </c>
      <c r="N528" s="278"/>
      <c r="O528" s="279">
        <f t="shared" si="1"/>
        <v>0</v>
      </c>
      <c r="P528" s="280"/>
      <c r="Q528" s="261" t="str">
        <f t="shared" si="2"/>
        <v>#REF!</v>
      </c>
      <c r="R528" s="281" t="str">
        <f>IF($AI528&gt;0,RANK($AI528,BoysPoints),0)</f>
        <v>#REF!</v>
      </c>
      <c r="S528" s="282" t="str">
        <f>IF($AJ528&gt;0,RANK($AJ528,GirlsPoints),0)</f>
        <v>#REF!</v>
      </c>
      <c r="T528" s="283">
        <f>IF($O528&gt;0,RANK(O528,AthletePoints),0)</f>
        <v>0</v>
      </c>
      <c r="U528" s="210"/>
      <c r="V528" s="415" t="str">
        <f>IF(O528&gt;=40,IF(X528="M",VLOOKUP(O528,UKABoysAwards,2),IF(X528="F",VLOOKUP(O528,UKAGirlsAwards,2),"")),"")</f>
        <v/>
      </c>
      <c r="W528" s="210"/>
      <c r="X528" s="266" t="str">
        <f t="array" ref="X528:X529">INDEX(DB,$B528,4)</f>
        <v>#REF!</v>
      </c>
      <c r="Y528" s="210"/>
      <c r="Z528" s="285" t="str">
        <f t="shared" si="3"/>
        <v>#REF!</v>
      </c>
      <c r="AA528" s="286" t="str">
        <f>IF($Z528&gt;=1,RANK($Z528,$Z517:$Z532),0)</f>
        <v>#REF!</v>
      </c>
      <c r="AB528" s="287" t="str">
        <f>IF(AA528&lt;=MaxS,INT(Z528),0)</f>
        <v>#REF!</v>
      </c>
      <c r="AC528" s="210"/>
      <c r="AD528" s="285" t="str">
        <f t="shared" si="4"/>
        <v>#REF!</v>
      </c>
      <c r="AE528" s="286" t="str">
        <f>IF($AD528&gt;=1,RANK($AD528,$AD517:$AD532),0)</f>
        <v>#REF!</v>
      </c>
      <c r="AF528" s="287" t="str">
        <f>IF(AE528&lt;=MaxS,INT(AD528),0)</f>
        <v>#REF!</v>
      </c>
      <c r="AG528" s="210"/>
      <c r="AH528" s="210"/>
      <c r="AI528" s="288" t="str">
        <f t="shared" si="5"/>
        <v>#REF!</v>
      </c>
      <c r="AJ528" s="289" t="str">
        <f t="shared" si="6"/>
        <v>#REF!</v>
      </c>
    </row>
    <row r="529" ht="15.0" customHeight="1">
      <c r="A529" s="272"/>
      <c r="B529" s="250">
        <f>IF(OR(ISNA(MATCH(C529&amp;"",AthleteNumbers,0)),ISBLANK(C529)),0,MATCH(C529&amp;"",AthleteNumbers,0))</f>
        <v>0</v>
      </c>
      <c r="C529" s="413"/>
      <c r="D529" s="273" t="str">
        <f t="array" ref="D529">IF($B529&gt;0,INDEX(DB,$B529,8),"")</f>
        <v/>
      </c>
      <c r="E529" s="274" t="str">
        <f t="array" ref="E529">IF($B529&gt;0,INDEX(DB,$B529,3),"")</f>
        <v/>
      </c>
      <c r="F529" s="275">
        <f t="array" ref="F529">IF($B529&gt;0,INDEX(DB,$B529,13),0)</f>
        <v>0</v>
      </c>
      <c r="G529" s="276">
        <f t="array" ref="G529">IF($B529&gt;0,INDEX(DB,$B529,17),0)</f>
        <v>0</v>
      </c>
      <c r="H529" s="277">
        <f t="array" ref="H529">IF($B529&gt;0,INDEX(DB,$B529,15),0)</f>
        <v>0</v>
      </c>
      <c r="I529" s="276">
        <f t="array" ref="I529">IF($B529&gt;0,INDEX(DB,$B529,19),0)</f>
        <v>0</v>
      </c>
      <c r="J529" s="277">
        <f t="array" ref="J529">IF($B529&gt;0,INDEX(DB,$B529,14),0)</f>
        <v>0</v>
      </c>
      <c r="K529" s="276">
        <f t="array" ref="K529">IF($B529&gt;0,INDEX(DB,$B529,18),0)</f>
        <v>0</v>
      </c>
      <c r="L529" s="275">
        <f t="array" ref="L529">IF($B529&gt;0,INDEX(DB,$B529,16),0)</f>
        <v>0</v>
      </c>
      <c r="M529" s="276">
        <f t="array" ref="M529">IF($B529&gt;0,INDEX(DB,$B529,20),0)</f>
        <v>0</v>
      </c>
      <c r="N529" s="278"/>
      <c r="O529" s="279">
        <f t="shared" si="1"/>
        <v>0</v>
      </c>
      <c r="P529" s="280"/>
      <c r="Q529" s="261" t="str">
        <f t="shared" si="2"/>
        <v>#REF!</v>
      </c>
      <c r="R529" s="290" t="str">
        <f>IF($AI529&gt;0,RANK($AI529,BoysPoints),0)</f>
        <v>#REF!</v>
      </c>
      <c r="S529" s="291" t="str">
        <f>IF($AJ529&gt;0,RANK($AJ529,GirlsPoints),0)</f>
        <v>#REF!</v>
      </c>
      <c r="T529" s="292">
        <f>IF($O529&gt;0,RANK(O529,AthletePoints),0)</f>
        <v>0</v>
      </c>
      <c r="U529" s="210"/>
      <c r="V529" s="330" t="str">
        <f>IF(O529&gt;=40,IF(X529="M",VLOOKUP(O529,UKABoysAwards,2),IF(X529="F",VLOOKUP(O529,UKAGirlsAwards,2),"")),"")</f>
        <v/>
      </c>
      <c r="W529" s="210"/>
      <c r="X529" s="266" t="str">
        <f t="array" ref="X529:X530">INDEX(DB,$B529,4)</f>
        <v>#REF!</v>
      </c>
      <c r="Y529" s="210"/>
      <c r="Z529" s="285" t="str">
        <f t="shared" si="3"/>
        <v>#REF!</v>
      </c>
      <c r="AA529" s="286" t="str">
        <f>IF($Z529&gt;=1,RANK($Z529,$Z517:$Z532),0)</f>
        <v>#REF!</v>
      </c>
      <c r="AB529" s="287" t="str">
        <f>IF(AA529&lt;=MaxS,INT(Z529),0)</f>
        <v>#REF!</v>
      </c>
      <c r="AC529" s="210"/>
      <c r="AD529" s="285" t="str">
        <f t="shared" si="4"/>
        <v>#REF!</v>
      </c>
      <c r="AE529" s="286" t="str">
        <f>IF($AD529&gt;=1,RANK($AD529,$AD517:$AD532),0)</f>
        <v>#REF!</v>
      </c>
      <c r="AF529" s="287" t="str">
        <f>IF(AE529&lt;=MaxS,INT(AD529),0)</f>
        <v>#REF!</v>
      </c>
      <c r="AG529" s="210"/>
      <c r="AH529" s="210"/>
      <c r="AI529" s="288" t="str">
        <f t="shared" si="5"/>
        <v>#REF!</v>
      </c>
      <c r="AJ529" s="289" t="str">
        <f t="shared" si="6"/>
        <v>#REF!</v>
      </c>
    </row>
    <row r="530" ht="15.0" customHeight="1">
      <c r="A530" s="272"/>
      <c r="B530" s="250">
        <f>IF(OR(ISNA(MATCH(C530&amp;"",AthleteNumbers,0)),ISBLANK(C530)),0,MATCH(C530&amp;"",AthleteNumbers,0))</f>
        <v>0</v>
      </c>
      <c r="C530" s="413"/>
      <c r="D530" s="273" t="str">
        <f t="array" ref="D530">IF($B530&gt;0,INDEX(DB,$B530,8),"")</f>
        <v/>
      </c>
      <c r="E530" s="274" t="str">
        <f t="array" ref="E530">IF($B530&gt;0,INDEX(DB,$B530,3),"")</f>
        <v/>
      </c>
      <c r="F530" s="275">
        <f t="array" ref="F530">IF($B530&gt;0,INDEX(DB,$B530,13),0)</f>
        <v>0</v>
      </c>
      <c r="G530" s="276">
        <f t="array" ref="G530">IF($B530&gt;0,INDEX(DB,$B530,17),0)</f>
        <v>0</v>
      </c>
      <c r="H530" s="277">
        <f t="array" ref="H530">IF($B530&gt;0,INDEX(DB,$B530,15),0)</f>
        <v>0</v>
      </c>
      <c r="I530" s="276">
        <f t="array" ref="I530">IF($B530&gt;0,INDEX(DB,$B530,19),0)</f>
        <v>0</v>
      </c>
      <c r="J530" s="277">
        <f t="array" ref="J530">IF($B530&gt;0,INDEX(DB,$B530,14),0)</f>
        <v>0</v>
      </c>
      <c r="K530" s="276">
        <f t="array" ref="K530">IF($B530&gt;0,INDEX(DB,$B530,18),0)</f>
        <v>0</v>
      </c>
      <c r="L530" s="275">
        <f t="array" ref="L530">IF($B530&gt;0,INDEX(DB,$B530,16),0)</f>
        <v>0</v>
      </c>
      <c r="M530" s="276">
        <f t="array" ref="M530">IF($B530&gt;0,INDEX(DB,$B530,20),0)</f>
        <v>0</v>
      </c>
      <c r="N530" s="278"/>
      <c r="O530" s="279">
        <f t="shared" si="1"/>
        <v>0</v>
      </c>
      <c r="P530" s="280"/>
      <c r="Q530" s="261" t="str">
        <f t="shared" si="2"/>
        <v>#REF!</v>
      </c>
      <c r="R530" s="281" t="str">
        <f>IF($AI530&gt;0,RANK($AI530,BoysPoints),0)</f>
        <v>#REF!</v>
      </c>
      <c r="S530" s="282" t="str">
        <f>IF($AJ530&gt;0,RANK($AJ530,GirlsPoints),0)</f>
        <v>#REF!</v>
      </c>
      <c r="T530" s="283">
        <f>IF($O530&gt;0,RANK(O530,AthletePoints),0)</f>
        <v>0</v>
      </c>
      <c r="U530" s="210"/>
      <c r="V530" s="415" t="str">
        <f>IF(O530&gt;=40,IF(X530="M",VLOOKUP(O530,UKABoysAwards,2),IF(X530="F",VLOOKUP(O530,UKAGirlsAwards,2),"")),"")</f>
        <v/>
      </c>
      <c r="W530" s="210"/>
      <c r="X530" s="266" t="str">
        <f t="array" ref="X530:X531">INDEX(DB,$B530,4)</f>
        <v>#REF!</v>
      </c>
      <c r="Y530" s="210"/>
      <c r="Z530" s="285" t="str">
        <f t="shared" si="3"/>
        <v>#REF!</v>
      </c>
      <c r="AA530" s="286" t="str">
        <f>IF($Z530&gt;=1,RANK($Z530,$Z517:$Z532),0)</f>
        <v>#REF!</v>
      </c>
      <c r="AB530" s="287" t="str">
        <f>IF(AA530&lt;=MaxS,INT(Z530),0)</f>
        <v>#REF!</v>
      </c>
      <c r="AC530" s="210"/>
      <c r="AD530" s="285" t="str">
        <f t="shared" si="4"/>
        <v>#REF!</v>
      </c>
      <c r="AE530" s="286" t="str">
        <f>IF($AD530&gt;=1,RANK($AD530,$AD517:$AD532),0)</f>
        <v>#REF!</v>
      </c>
      <c r="AF530" s="287" t="str">
        <f>IF(AE530&lt;=MaxS,INT(AD530),0)</f>
        <v>#REF!</v>
      </c>
      <c r="AG530" s="210"/>
      <c r="AH530" s="210"/>
      <c r="AI530" s="288" t="str">
        <f t="shared" si="5"/>
        <v>#REF!</v>
      </c>
      <c r="AJ530" s="289" t="str">
        <f t="shared" si="6"/>
        <v>#REF!</v>
      </c>
    </row>
    <row r="531" ht="15.0" customHeight="1">
      <c r="A531" s="272"/>
      <c r="B531" s="250">
        <f>IF(OR(ISNA(MATCH(C531&amp;"",AthleteNumbers,0)),ISBLANK(C531)),0,MATCH(C531&amp;"",AthleteNumbers,0))</f>
        <v>0</v>
      </c>
      <c r="C531" s="413"/>
      <c r="D531" s="273" t="str">
        <f t="array" ref="D531">IF($B531&gt;0,INDEX(DB,$B531,8),"")</f>
        <v/>
      </c>
      <c r="E531" s="274" t="str">
        <f t="array" ref="E531">IF($B531&gt;0,INDEX(DB,$B531,3),"")</f>
        <v/>
      </c>
      <c r="F531" s="275">
        <f t="array" ref="F531">IF($B531&gt;0,INDEX(DB,$B531,13),0)</f>
        <v>0</v>
      </c>
      <c r="G531" s="276">
        <f t="array" ref="G531">IF($B531&gt;0,INDEX(DB,$B531,17),0)</f>
        <v>0</v>
      </c>
      <c r="H531" s="277">
        <f t="array" ref="H531">IF($B531&gt;0,INDEX(DB,$B531,15),0)</f>
        <v>0</v>
      </c>
      <c r="I531" s="276">
        <f t="array" ref="I531">IF($B531&gt;0,INDEX(DB,$B531,19),0)</f>
        <v>0</v>
      </c>
      <c r="J531" s="277">
        <f t="array" ref="J531">IF($B531&gt;0,INDEX(DB,$B531,14),0)</f>
        <v>0</v>
      </c>
      <c r="K531" s="276">
        <f t="array" ref="K531">IF($B531&gt;0,INDEX(DB,$B531,18),0)</f>
        <v>0</v>
      </c>
      <c r="L531" s="275">
        <f t="array" ref="L531">IF($B531&gt;0,INDEX(DB,$B531,16),0)</f>
        <v>0</v>
      </c>
      <c r="M531" s="276">
        <f t="array" ref="M531">IF($B531&gt;0,INDEX(DB,$B531,20),0)</f>
        <v>0</v>
      </c>
      <c r="N531" s="278"/>
      <c r="O531" s="279">
        <f t="shared" si="1"/>
        <v>0</v>
      </c>
      <c r="P531" s="280"/>
      <c r="Q531" s="261" t="str">
        <f t="shared" si="2"/>
        <v>#REF!</v>
      </c>
      <c r="R531" s="290" t="str">
        <f>IF($AI531&gt;0,RANK($AI531,BoysPoints),0)</f>
        <v>#REF!</v>
      </c>
      <c r="S531" s="291" t="str">
        <f>IF($AJ531&gt;0,RANK($AJ531,GirlsPoints),0)</f>
        <v>#REF!</v>
      </c>
      <c r="T531" s="292">
        <f>IF($O531&gt;0,RANK(O531,AthletePoints),0)</f>
        <v>0</v>
      </c>
      <c r="U531" s="210"/>
      <c r="V531" s="330" t="str">
        <f>IF(O531&gt;=40,IF(X531="M",VLOOKUP(O531,UKABoysAwards,2),IF(X531="F",VLOOKUP(O531,UKAGirlsAwards,2),"")),"")</f>
        <v/>
      </c>
      <c r="W531" s="210"/>
      <c r="X531" s="266" t="str">
        <f t="array" ref="X531:X532">INDEX(DB,$B531,4)</f>
        <v>#REF!</v>
      </c>
      <c r="Y531" s="210"/>
      <c r="Z531" s="285" t="str">
        <f t="shared" si="3"/>
        <v>#REF!</v>
      </c>
      <c r="AA531" s="286" t="str">
        <f>IF($Z531&gt;=1,RANK($Z531,$Z517:$Z532),0)</f>
        <v>#REF!</v>
      </c>
      <c r="AB531" s="287" t="str">
        <f>IF(AA531&lt;=MaxS,INT(Z531),0)</f>
        <v>#REF!</v>
      </c>
      <c r="AC531" s="210"/>
      <c r="AD531" s="285" t="str">
        <f t="shared" si="4"/>
        <v>#REF!</v>
      </c>
      <c r="AE531" s="286" t="str">
        <f>IF($AD531&gt;=1,RANK($AD531,$AD517:$AD532),0)</f>
        <v>#REF!</v>
      </c>
      <c r="AF531" s="287" t="str">
        <f>IF(AE531&lt;=MaxS,INT(AD531),0)</f>
        <v>#REF!</v>
      </c>
      <c r="AG531" s="210"/>
      <c r="AH531" s="210"/>
      <c r="AI531" s="288" t="str">
        <f t="shared" si="5"/>
        <v>#REF!</v>
      </c>
      <c r="AJ531" s="289" t="str">
        <f t="shared" si="6"/>
        <v>#REF!</v>
      </c>
    </row>
    <row r="532" ht="15.0" customHeight="1">
      <c r="A532" s="305"/>
      <c r="B532" s="250">
        <f>IF(OR(ISNA(MATCH(C532&amp;"",AthleteNumbers,0)),ISBLANK(C532)),0,MATCH(C532&amp;"",AthleteNumbers,0))</f>
        <v>0</v>
      </c>
      <c r="C532" s="443"/>
      <c r="D532" s="306" t="str">
        <f t="array" ref="D532">IF($B532&gt;0,INDEX(DB,$B532,8),"")</f>
        <v/>
      </c>
      <c r="E532" s="307" t="str">
        <f t="array" ref="E532">IF($B532&gt;0,INDEX(DB,$B532,3),"")</f>
        <v/>
      </c>
      <c r="F532" s="308">
        <f t="array" ref="F532">IF($B532&gt;0,INDEX(DB,$B532,13),0)</f>
        <v>0</v>
      </c>
      <c r="G532" s="309">
        <f t="array" ref="G532">IF($B532&gt;0,INDEX(DB,$B532,17),0)</f>
        <v>0</v>
      </c>
      <c r="H532" s="310">
        <f t="array" ref="H532">IF($B532&gt;0,INDEX(DB,$B532,15),0)</f>
        <v>0</v>
      </c>
      <c r="I532" s="309">
        <f t="array" ref="I532">IF($B532&gt;0,INDEX(DB,$B532,19),0)</f>
        <v>0</v>
      </c>
      <c r="J532" s="310">
        <f t="array" ref="J532">IF($B532&gt;0,INDEX(DB,$B532,14),0)</f>
        <v>0</v>
      </c>
      <c r="K532" s="309">
        <f t="array" ref="K532">IF($B532&gt;0,INDEX(DB,$B532,18),0)</f>
        <v>0</v>
      </c>
      <c r="L532" s="308">
        <f t="array" ref="L532">IF($B532&gt;0,INDEX(DB,$B532,16),0)</f>
        <v>0</v>
      </c>
      <c r="M532" s="309">
        <f t="array" ref="M532">IF($B532&gt;0,INDEX(DB,$B532,20),0)</f>
        <v>0</v>
      </c>
      <c r="N532" s="25"/>
      <c r="O532" s="311">
        <f t="shared" si="1"/>
        <v>0</v>
      </c>
      <c r="P532" s="31"/>
      <c r="Q532" s="261" t="str">
        <f t="shared" si="2"/>
        <v>#REF!</v>
      </c>
      <c r="R532" s="312" t="str">
        <f>IF($AI532&gt;0,RANK($AI532,BoysPoints),0)</f>
        <v>#REF!</v>
      </c>
      <c r="S532" s="313" t="str">
        <f>IF($AJ532&gt;0,RANK($AJ532,GirlsPoints),0)</f>
        <v>#REF!</v>
      </c>
      <c r="T532" s="314">
        <f>IF($O532&gt;0,RANK(O532,AthletePoints),0)</f>
        <v>0</v>
      </c>
      <c r="U532" s="210"/>
      <c r="V532" s="444" t="str">
        <f>IF(O532&gt;=40,IF(X532="M",VLOOKUP(O532,UKABoysAwards,2),IF(X532="F",VLOOKUP(O532,UKAGirlsAwards,2),"")),"")</f>
        <v/>
      </c>
      <c r="W532" s="210"/>
      <c r="X532" s="266" t="str">
        <f t="array" ref="X532:X533">INDEX(DB,$B532,4)</f>
        <v>#REF!</v>
      </c>
      <c r="Y532" s="210"/>
      <c r="Z532" s="316" t="str">
        <f t="shared" si="3"/>
        <v>#REF!</v>
      </c>
      <c r="AA532" s="243" t="str">
        <f>IF($Z532&gt;=1,RANK($Z532,$Z517:$Z532),0)</f>
        <v>#REF!</v>
      </c>
      <c r="AB532" s="245" t="str">
        <f>IF(AA532&lt;=MaxS,INT(Z532),0)</f>
        <v>#REF!</v>
      </c>
      <c r="AC532" s="210" t="str">
        <f>SUM(AB517:AB532)</f>
        <v>#REF!</v>
      </c>
      <c r="AD532" s="316" t="str">
        <f t="shared" si="4"/>
        <v>#REF!</v>
      </c>
      <c r="AE532" s="243" t="str">
        <f>IF($AD532&gt;=1,RANK($AD532,$AD517:$AD532),0)</f>
        <v>#REF!</v>
      </c>
      <c r="AF532" s="245" t="str">
        <f>IF(AE532&lt;=MaxS,INT(AD532),0)</f>
        <v>#REF!</v>
      </c>
      <c r="AG532" s="210" t="str">
        <f>SUM(AF517:AF532)</f>
        <v>#REF!</v>
      </c>
      <c r="AH532" s="210"/>
      <c r="AI532" s="246" t="str">
        <f t="shared" si="5"/>
        <v>#REF!</v>
      </c>
      <c r="AJ532" s="247" t="str">
        <f t="shared" si="6"/>
        <v>#REF!</v>
      </c>
    </row>
    <row r="533" ht="15.0" customHeight="1">
      <c r="A533" s="248"/>
      <c r="B533" s="250">
        <f>IF(OR(ISNA(MATCH(C533&amp;"",AthleteNumbers,0)),ISBLANK(C533)),0,MATCH(C533&amp;"",AthleteNumbers,0))</f>
        <v>0</v>
      </c>
      <c r="C533" s="251"/>
      <c r="D533" s="252" t="str">
        <f t="array" ref="D533">IF($B533&gt;0,INDEX(DB,$B533,8),"")</f>
        <v/>
      </c>
      <c r="E533" s="253" t="str">
        <f t="array" ref="E533">IF($B533&gt;0,INDEX(DB,$B533,3),"")</f>
        <v/>
      </c>
      <c r="F533" s="254">
        <f t="array" ref="F533">IF($B533&gt;0,INDEX(DB,$B533,13),0)</f>
        <v>0</v>
      </c>
      <c r="G533" s="255">
        <f t="array" ref="G533">IF($B533&gt;0,INDEX(DB,$B533,17),0)</f>
        <v>0</v>
      </c>
      <c r="H533" s="257">
        <f t="array" ref="H533">IF($B533&gt;0,INDEX(DB,$B533,15),0)</f>
        <v>0</v>
      </c>
      <c r="I533" s="255">
        <f t="array" ref="I533">IF($B533&gt;0,INDEX(DB,$B533,19),0)</f>
        <v>0</v>
      </c>
      <c r="J533" s="257">
        <f t="array" ref="J533">IF($B533&gt;0,INDEX(DB,$B533,14),0)</f>
        <v>0</v>
      </c>
      <c r="K533" s="255">
        <f t="array" ref="K533">IF($B533&gt;0,INDEX(DB,$B533,18),0)</f>
        <v>0</v>
      </c>
      <c r="L533" s="254">
        <f t="array" ref="L533">IF($B533&gt;0,INDEX(DB,$B533,16),0)</f>
        <v>0</v>
      </c>
      <c r="M533" s="255">
        <f t="array" ref="M533">IF($B533&gt;0,INDEX(DB,$B533,20),0)</f>
        <v>0</v>
      </c>
      <c r="N533" s="258" t="str">
        <f t="array" ref="N533:N549">INDEX(RelayPoints,A548)</f>
        <v>#REF!</v>
      </c>
      <c r="O533" s="259">
        <f t="shared" si="1"/>
        <v>0</v>
      </c>
      <c r="P533" s="260" t="str">
        <f>+AC548+AG548+N533</f>
        <v>#REF!</v>
      </c>
      <c r="Q533" s="261" t="str">
        <f t="shared" si="2"/>
        <v>#REF!</v>
      </c>
      <c r="R533" s="262" t="str">
        <f>IF($AI533&gt;0,RANK($AI533,BoysPoints),0)</f>
        <v>#REF!</v>
      </c>
      <c r="S533" s="263" t="str">
        <f>IF($AJ533&gt;0,RANK($AJ533,GirlsPoints),0)</f>
        <v>#REF!</v>
      </c>
      <c r="T533" s="264">
        <f>IF($O533&gt;0,RANK(O533,AthletePoints),0)</f>
        <v>0</v>
      </c>
      <c r="U533" s="210"/>
      <c r="V533" s="317" t="str">
        <f>IF(O533&gt;=40,IF(X533="M",VLOOKUP(O533,UKABoysAwards,2),IF(X533="F",VLOOKUP(O533,UKAGirlsAwards,2),"")),"")</f>
        <v/>
      </c>
      <c r="W533" s="210"/>
      <c r="X533" s="266" t="str">
        <f t="array" ref="X533:X534">INDEX(DB,$B533,4)</f>
        <v>#REF!</v>
      </c>
      <c r="Y533" s="210"/>
      <c r="Z533" s="267" t="str">
        <f t="shared" si="3"/>
        <v>#REF!</v>
      </c>
      <c r="AA533" s="268" t="str">
        <f>IF($Z533&gt;=1,RANK($Z533,$Z533:$Z548),0)</f>
        <v>#REF!</v>
      </c>
      <c r="AB533" s="269" t="str">
        <f>IF(AA533&lt;=MaxS,INT(Z533),0)</f>
        <v>#REF!</v>
      </c>
      <c r="AC533" s="210"/>
      <c r="AD533" s="267" t="str">
        <f t="shared" si="4"/>
        <v>#REF!</v>
      </c>
      <c r="AE533" s="268" t="str">
        <f>IF($AD533&gt;=1,RANK($AD533,$AD533:$AD548),0)</f>
        <v>#REF!</v>
      </c>
      <c r="AF533" s="269" t="str">
        <f>IF(AE533&lt;=MaxS,INT(AD533),0)</f>
        <v>#REF!</v>
      </c>
      <c r="AG533" s="210"/>
      <c r="AH533" s="210"/>
      <c r="AI533" s="288" t="str">
        <f t="shared" si="5"/>
        <v>#REF!</v>
      </c>
      <c r="AJ533" s="289" t="str">
        <f t="shared" si="6"/>
        <v>#REF!</v>
      </c>
    </row>
    <row r="534" ht="15.0" customHeight="1">
      <c r="A534" s="272"/>
      <c r="B534" s="250">
        <f>IF(OR(ISNA(MATCH(C534&amp;"",AthleteNumbers,0)),ISBLANK(C534)),0,MATCH(C534&amp;"",AthleteNumbers,0))</f>
        <v>0</v>
      </c>
      <c r="C534" s="413"/>
      <c r="D534" s="273" t="str">
        <f t="array" ref="D534">IF($B534&gt;0,INDEX(DB,$B534,8),"")</f>
        <v/>
      </c>
      <c r="E534" s="274" t="str">
        <f t="array" ref="E534">IF($B534&gt;0,INDEX(DB,$B534,3),"")</f>
        <v/>
      </c>
      <c r="F534" s="275">
        <f t="array" ref="F534">IF($B534&gt;0,INDEX(DB,$B534,13),0)</f>
        <v>0</v>
      </c>
      <c r="G534" s="276">
        <f t="array" ref="G534">IF($B534&gt;0,INDEX(DB,$B534,17),0)</f>
        <v>0</v>
      </c>
      <c r="H534" s="277">
        <f t="array" ref="H534">IF($B534&gt;0,INDEX(DB,$B534,15),0)</f>
        <v>0</v>
      </c>
      <c r="I534" s="276">
        <f t="array" ref="I534">IF($B534&gt;0,INDEX(DB,$B534,19),0)</f>
        <v>0</v>
      </c>
      <c r="J534" s="277">
        <f t="array" ref="J534">IF($B534&gt;0,INDEX(DB,$B534,14),0)</f>
        <v>0</v>
      </c>
      <c r="K534" s="276">
        <f t="array" ref="K534">IF($B534&gt;0,INDEX(DB,$B534,18),0)</f>
        <v>0</v>
      </c>
      <c r="L534" s="275">
        <f t="array" ref="L534">IF($B534&gt;0,INDEX(DB,$B534,16),0)</f>
        <v>0</v>
      </c>
      <c r="M534" s="276">
        <f t="array" ref="M534">IF($B534&gt;0,INDEX(DB,$B534,20),0)</f>
        <v>0</v>
      </c>
      <c r="N534" s="278"/>
      <c r="O534" s="279">
        <f t="shared" si="1"/>
        <v>0</v>
      </c>
      <c r="P534" s="280"/>
      <c r="Q534" s="261" t="str">
        <f t="shared" si="2"/>
        <v>#REF!</v>
      </c>
      <c r="R534" s="281" t="str">
        <f>IF($AI534&gt;0,RANK($AI534,BoysPoints),0)</f>
        <v>#REF!</v>
      </c>
      <c r="S534" s="282" t="str">
        <f>IF($AJ534&gt;0,RANK($AJ534,GirlsPoints),0)</f>
        <v>#REF!</v>
      </c>
      <c r="T534" s="283">
        <f>IF($O534&gt;0,RANK(O534,AthletePoints),0)</f>
        <v>0</v>
      </c>
      <c r="U534" s="210"/>
      <c r="V534" s="415" t="str">
        <f>IF(O534&gt;=40,IF(X534="M",VLOOKUP(O534,UKABoysAwards,2),IF(X534="F",VLOOKUP(O534,UKAGirlsAwards,2),"")),"")</f>
        <v/>
      </c>
      <c r="W534" s="210"/>
      <c r="X534" s="266" t="str">
        <f t="array" ref="X534:X535">INDEX(DB,$B534,4)</f>
        <v>#REF!</v>
      </c>
      <c r="Y534" s="210"/>
      <c r="Z534" s="285" t="str">
        <f t="shared" si="3"/>
        <v>#REF!</v>
      </c>
      <c r="AA534" s="286" t="str">
        <f>IF($Z534&gt;=1,RANK($Z534,$Z533:$Z548),0)</f>
        <v>#REF!</v>
      </c>
      <c r="AB534" s="287" t="str">
        <f>IF(AA534&lt;=MaxS,INT(Z534),0)</f>
        <v>#REF!</v>
      </c>
      <c r="AC534" s="210"/>
      <c r="AD534" s="285" t="str">
        <f t="shared" si="4"/>
        <v>#REF!</v>
      </c>
      <c r="AE534" s="286" t="str">
        <f>IF($AD534&gt;=1,RANK($AD534,$AD533:$AD548),0)</f>
        <v>#REF!</v>
      </c>
      <c r="AF534" s="287" t="str">
        <f>IF(AE534&lt;=MaxS,INT(AD534),0)</f>
        <v>#REF!</v>
      </c>
      <c r="AG534" s="210"/>
      <c r="AH534" s="210"/>
      <c r="AI534" s="288" t="str">
        <f t="shared" si="5"/>
        <v>#REF!</v>
      </c>
      <c r="AJ534" s="289" t="str">
        <f t="shared" si="6"/>
        <v>#REF!</v>
      </c>
    </row>
    <row r="535" ht="15.0" customHeight="1">
      <c r="A535" s="272"/>
      <c r="B535" s="250">
        <f>IF(OR(ISNA(MATCH(C535&amp;"",AthleteNumbers,0)),ISBLANK(C535)),0,MATCH(C535&amp;"",AthleteNumbers,0))</f>
        <v>0</v>
      </c>
      <c r="C535" s="413"/>
      <c r="D535" s="273" t="str">
        <f t="array" ref="D535">IF($B535&gt;0,INDEX(DB,$B535,8),"")</f>
        <v/>
      </c>
      <c r="E535" s="274" t="str">
        <f t="array" ref="E535">IF($B535&gt;0,INDEX(DB,$B535,3),"")</f>
        <v/>
      </c>
      <c r="F535" s="275">
        <f t="array" ref="F535">IF($B535&gt;0,INDEX(DB,$B535,13),0)</f>
        <v>0</v>
      </c>
      <c r="G535" s="276">
        <f t="array" ref="G535">IF($B535&gt;0,INDEX(DB,$B535,17),0)</f>
        <v>0</v>
      </c>
      <c r="H535" s="277">
        <f t="array" ref="H535">IF($B535&gt;0,INDEX(DB,$B535,15),0)</f>
        <v>0</v>
      </c>
      <c r="I535" s="276">
        <f t="array" ref="I535">IF($B535&gt;0,INDEX(DB,$B535,19),0)</f>
        <v>0</v>
      </c>
      <c r="J535" s="277">
        <f t="array" ref="J535">IF($B535&gt;0,INDEX(DB,$B535,14),0)</f>
        <v>0</v>
      </c>
      <c r="K535" s="276">
        <f t="array" ref="K535">IF($B535&gt;0,INDEX(DB,$B535,18),0)</f>
        <v>0</v>
      </c>
      <c r="L535" s="275">
        <f t="array" ref="L535">IF($B535&gt;0,INDEX(DB,$B535,16),0)</f>
        <v>0</v>
      </c>
      <c r="M535" s="276">
        <f t="array" ref="M535">IF($B535&gt;0,INDEX(DB,$B535,20),0)</f>
        <v>0</v>
      </c>
      <c r="N535" s="278"/>
      <c r="O535" s="279">
        <f t="shared" si="1"/>
        <v>0</v>
      </c>
      <c r="P535" s="280"/>
      <c r="Q535" s="261" t="str">
        <f t="shared" si="2"/>
        <v>#REF!</v>
      </c>
      <c r="R535" s="290" t="str">
        <f>IF($AI535&gt;0,RANK($AI535,BoysPoints),0)</f>
        <v>#REF!</v>
      </c>
      <c r="S535" s="291" t="str">
        <f>IF($AJ535&gt;0,RANK($AJ535,GirlsPoints),0)</f>
        <v>#REF!</v>
      </c>
      <c r="T535" s="292">
        <f>IF($O535&gt;0,RANK(O535,AthletePoints),0)</f>
        <v>0</v>
      </c>
      <c r="U535" s="210"/>
      <c r="V535" s="330" t="str">
        <f>IF(O535&gt;=40,IF(X535="M",VLOOKUP(O535,UKABoysAwards,2),IF(X535="F",VLOOKUP(O535,UKAGirlsAwards,2),"")),"")</f>
        <v/>
      </c>
      <c r="W535" s="210"/>
      <c r="X535" s="266" t="str">
        <f t="array" ref="X535:X536">INDEX(DB,$B535,4)</f>
        <v>#REF!</v>
      </c>
      <c r="Y535" s="210"/>
      <c r="Z535" s="285" t="str">
        <f t="shared" si="3"/>
        <v>#REF!</v>
      </c>
      <c r="AA535" s="286" t="str">
        <f>IF($Z535&gt;=1,RANK($Z535,$Z533:$Z548),0)</f>
        <v>#REF!</v>
      </c>
      <c r="AB535" s="287" t="str">
        <f>IF(AA535&lt;=MaxS,INT(Z535),0)</f>
        <v>#REF!</v>
      </c>
      <c r="AC535" s="210"/>
      <c r="AD535" s="285" t="str">
        <f t="shared" si="4"/>
        <v>#REF!</v>
      </c>
      <c r="AE535" s="286" t="str">
        <f>IF($AD535&gt;=1,RANK($AD535,$AD533:$AD548),0)</f>
        <v>#REF!</v>
      </c>
      <c r="AF535" s="287" t="str">
        <f>IF(AE535&lt;=MaxS,INT(AD535),0)</f>
        <v>#REF!</v>
      </c>
      <c r="AG535" s="210"/>
      <c r="AH535" s="210"/>
      <c r="AI535" s="288" t="str">
        <f t="shared" si="5"/>
        <v>#REF!</v>
      </c>
      <c r="AJ535" s="289" t="str">
        <f t="shared" si="6"/>
        <v>#REF!</v>
      </c>
    </row>
    <row r="536" ht="15.0" customHeight="1">
      <c r="A536" s="272"/>
      <c r="B536" s="250">
        <f>IF(OR(ISNA(MATCH(C536&amp;"",AthleteNumbers,0)),ISBLANK(C536)),0,MATCH(C536&amp;"",AthleteNumbers,0))</f>
        <v>0</v>
      </c>
      <c r="C536" s="413"/>
      <c r="D536" s="273" t="str">
        <f t="array" ref="D536">IF($B536&gt;0,INDEX(DB,$B536,8),"")</f>
        <v/>
      </c>
      <c r="E536" s="274" t="str">
        <f t="array" ref="E536">IF($B536&gt;0,INDEX(DB,$B536,3),"")</f>
        <v/>
      </c>
      <c r="F536" s="275">
        <f t="array" ref="F536">IF($B536&gt;0,INDEX(DB,$B536,13),0)</f>
        <v>0</v>
      </c>
      <c r="G536" s="276">
        <f t="array" ref="G536">IF($B536&gt;0,INDEX(DB,$B536,17),0)</f>
        <v>0</v>
      </c>
      <c r="H536" s="277">
        <f t="array" ref="H536">IF($B536&gt;0,INDEX(DB,$B536,15),0)</f>
        <v>0</v>
      </c>
      <c r="I536" s="276">
        <f t="array" ref="I536">IF($B536&gt;0,INDEX(DB,$B536,19),0)</f>
        <v>0</v>
      </c>
      <c r="J536" s="277">
        <f t="array" ref="J536">IF($B536&gt;0,INDEX(DB,$B536,14),0)</f>
        <v>0</v>
      </c>
      <c r="K536" s="276">
        <f t="array" ref="K536">IF($B536&gt;0,INDEX(DB,$B536,18),0)</f>
        <v>0</v>
      </c>
      <c r="L536" s="275">
        <f t="array" ref="L536">IF($B536&gt;0,INDEX(DB,$B536,16),0)</f>
        <v>0</v>
      </c>
      <c r="M536" s="276">
        <f t="array" ref="M536">IF($B536&gt;0,INDEX(DB,$B536,20),0)</f>
        <v>0</v>
      </c>
      <c r="N536" s="278"/>
      <c r="O536" s="279">
        <f t="shared" si="1"/>
        <v>0</v>
      </c>
      <c r="P536" s="280"/>
      <c r="Q536" s="261" t="str">
        <f t="shared" si="2"/>
        <v>#REF!</v>
      </c>
      <c r="R536" s="281" t="str">
        <f>IF($AI536&gt;0,RANK($AI536,BoysPoints),0)</f>
        <v>#REF!</v>
      </c>
      <c r="S536" s="282" t="str">
        <f>IF($AJ536&gt;0,RANK($AJ536,GirlsPoints),0)</f>
        <v>#REF!</v>
      </c>
      <c r="T536" s="283">
        <f>IF($O536&gt;0,RANK(O536,AthletePoints),0)</f>
        <v>0</v>
      </c>
      <c r="U536" s="210"/>
      <c r="V536" s="415" t="str">
        <f>IF(O536&gt;=40,IF(X536="M",VLOOKUP(O536,UKABoysAwards,2),IF(X536="F",VLOOKUP(O536,UKAGirlsAwards,2),"")),"")</f>
        <v/>
      </c>
      <c r="W536" s="210"/>
      <c r="X536" s="266" t="str">
        <f t="array" ref="X536:X537">INDEX(DB,$B536,4)</f>
        <v>#REF!</v>
      </c>
      <c r="Y536" s="210"/>
      <c r="Z536" s="285" t="str">
        <f t="shared" si="3"/>
        <v>#REF!</v>
      </c>
      <c r="AA536" s="286" t="str">
        <f>IF($Z536&gt;=1,RANK($Z536,$Z533:$Z548),0)</f>
        <v>#REF!</v>
      </c>
      <c r="AB536" s="287" t="str">
        <f>IF(AA536&lt;=MaxS,INT(Z536),0)</f>
        <v>#REF!</v>
      </c>
      <c r="AC536" s="210"/>
      <c r="AD536" s="285" t="str">
        <f t="shared" si="4"/>
        <v>#REF!</v>
      </c>
      <c r="AE536" s="286" t="str">
        <f>IF($AD536&gt;=1,RANK($AD536,$AD533:$AD548),0)</f>
        <v>#REF!</v>
      </c>
      <c r="AF536" s="287" t="str">
        <f>IF(AE536&lt;=MaxS,INT(AD536),0)</f>
        <v>#REF!</v>
      </c>
      <c r="AG536" s="210"/>
      <c r="AH536" s="210"/>
      <c r="AI536" s="288" t="str">
        <f t="shared" si="5"/>
        <v>#REF!</v>
      </c>
      <c r="AJ536" s="289" t="str">
        <f t="shared" si="6"/>
        <v>#REF!</v>
      </c>
    </row>
    <row r="537" ht="15.0" customHeight="1">
      <c r="A537" s="272"/>
      <c r="B537" s="250">
        <f>IF(OR(ISNA(MATCH(C537&amp;"",AthleteNumbers,0)),ISBLANK(C537)),0,MATCH(C537&amp;"",AthleteNumbers,0))</f>
        <v>0</v>
      </c>
      <c r="C537" s="413"/>
      <c r="D537" s="273" t="str">
        <f t="array" ref="D537">IF($B537&gt;0,INDEX(DB,$B537,8),"")</f>
        <v/>
      </c>
      <c r="E537" s="274" t="str">
        <f t="array" ref="E537">IF($B537&gt;0,INDEX(DB,$B537,3),"")</f>
        <v/>
      </c>
      <c r="F537" s="275">
        <f t="array" ref="F537">IF($B537&gt;0,INDEX(DB,$B537,13),0)</f>
        <v>0</v>
      </c>
      <c r="G537" s="276">
        <f t="array" ref="G537">IF($B537&gt;0,INDEX(DB,$B537,17),0)</f>
        <v>0</v>
      </c>
      <c r="H537" s="277">
        <f t="array" ref="H537">IF($B537&gt;0,INDEX(DB,$B537,15),0)</f>
        <v>0</v>
      </c>
      <c r="I537" s="276">
        <f t="array" ref="I537">IF($B537&gt;0,INDEX(DB,$B537,19),0)</f>
        <v>0</v>
      </c>
      <c r="J537" s="277">
        <f t="array" ref="J537">IF($B537&gt;0,INDEX(DB,$B537,14),0)</f>
        <v>0</v>
      </c>
      <c r="K537" s="276">
        <f t="array" ref="K537">IF($B537&gt;0,INDEX(DB,$B537,18),0)</f>
        <v>0</v>
      </c>
      <c r="L537" s="275">
        <f t="array" ref="L537">IF($B537&gt;0,INDEX(DB,$B537,16),0)</f>
        <v>0</v>
      </c>
      <c r="M537" s="276">
        <f t="array" ref="M537">IF($B537&gt;0,INDEX(DB,$B537,20),0)</f>
        <v>0</v>
      </c>
      <c r="N537" s="278"/>
      <c r="O537" s="279">
        <f t="shared" si="1"/>
        <v>0</v>
      </c>
      <c r="P537" s="280"/>
      <c r="Q537" s="261" t="str">
        <f t="shared" si="2"/>
        <v>#REF!</v>
      </c>
      <c r="R537" s="290" t="str">
        <f>IF($AI537&gt;0,RANK($AI537,BoysPoints),0)</f>
        <v>#REF!</v>
      </c>
      <c r="S537" s="291" t="str">
        <f>IF($AJ537&gt;0,RANK($AJ537,GirlsPoints),0)</f>
        <v>#REF!</v>
      </c>
      <c r="T537" s="292">
        <f>IF($O537&gt;0,RANK(O537,AthletePoints),0)</f>
        <v>0</v>
      </c>
      <c r="U537" s="210"/>
      <c r="V537" s="330" t="str">
        <f>IF(O537&gt;=40,IF(X537="M",VLOOKUP(O537,UKABoysAwards,2),IF(X537="F",VLOOKUP(O537,UKAGirlsAwards,2),"")),"")</f>
        <v/>
      </c>
      <c r="W537" s="210"/>
      <c r="X537" s="266" t="str">
        <f t="array" ref="X537:X538">INDEX(DB,$B537,4)</f>
        <v>#REF!</v>
      </c>
      <c r="Y537" s="210"/>
      <c r="Z537" s="285" t="str">
        <f t="shared" si="3"/>
        <v>#REF!</v>
      </c>
      <c r="AA537" s="286" t="str">
        <f>IF($Z537&gt;=1,RANK($Z537,$Z533:$Z548),0)</f>
        <v>#REF!</v>
      </c>
      <c r="AB537" s="287" t="str">
        <f>IF(AA537&lt;=MaxS,INT(Z537),0)</f>
        <v>#REF!</v>
      </c>
      <c r="AC537" s="210"/>
      <c r="AD537" s="285" t="str">
        <f t="shared" si="4"/>
        <v>#REF!</v>
      </c>
      <c r="AE537" s="286" t="str">
        <f>IF($AD537&gt;=1,RANK($AD537,$AD533:$AD548),0)</f>
        <v>#REF!</v>
      </c>
      <c r="AF537" s="287" t="str">
        <f>IF(AE537&lt;=MaxS,INT(AD537),0)</f>
        <v>#REF!</v>
      </c>
      <c r="AG537" s="210"/>
      <c r="AH537" s="210"/>
      <c r="AI537" s="288" t="str">
        <f t="shared" si="5"/>
        <v>#REF!</v>
      </c>
      <c r="AJ537" s="289" t="str">
        <f t="shared" si="6"/>
        <v>#REF!</v>
      </c>
    </row>
    <row r="538" ht="15.0" customHeight="1">
      <c r="A538" s="272"/>
      <c r="B538" s="250">
        <f>IF(OR(ISNA(MATCH(C538&amp;"",AthleteNumbers,0)),ISBLANK(C538)),0,MATCH(C538&amp;"",AthleteNumbers,0))</f>
        <v>0</v>
      </c>
      <c r="C538" s="413"/>
      <c r="D538" s="273" t="str">
        <f t="array" ref="D538">IF($B538&gt;0,INDEX(DB,$B538,8),"")</f>
        <v/>
      </c>
      <c r="E538" s="274" t="str">
        <f t="array" ref="E538">IF($B538&gt;0,INDEX(DB,$B538,3),"")</f>
        <v/>
      </c>
      <c r="F538" s="275">
        <f t="array" ref="F538">IF($B538&gt;0,INDEX(DB,$B538,13),0)</f>
        <v>0</v>
      </c>
      <c r="G538" s="276">
        <f t="array" ref="G538">IF($B538&gt;0,INDEX(DB,$B538,17),0)</f>
        <v>0</v>
      </c>
      <c r="H538" s="277">
        <f t="array" ref="H538">IF($B538&gt;0,INDEX(DB,$B538,15),0)</f>
        <v>0</v>
      </c>
      <c r="I538" s="276">
        <f t="array" ref="I538">IF($B538&gt;0,INDEX(DB,$B538,19),0)</f>
        <v>0</v>
      </c>
      <c r="J538" s="277">
        <f t="array" ref="J538">IF($B538&gt;0,INDEX(DB,$B538,14),0)</f>
        <v>0</v>
      </c>
      <c r="K538" s="276">
        <f t="array" ref="K538">IF($B538&gt;0,INDEX(DB,$B538,18),0)</f>
        <v>0</v>
      </c>
      <c r="L538" s="275">
        <f t="array" ref="L538">IF($B538&gt;0,INDEX(DB,$B538,16),0)</f>
        <v>0</v>
      </c>
      <c r="M538" s="276">
        <f t="array" ref="M538">IF($B538&gt;0,INDEX(DB,$B538,20),0)</f>
        <v>0</v>
      </c>
      <c r="N538" s="278"/>
      <c r="O538" s="279">
        <f t="shared" si="1"/>
        <v>0</v>
      </c>
      <c r="P538" s="280"/>
      <c r="Q538" s="261" t="str">
        <f t="shared" si="2"/>
        <v>#REF!</v>
      </c>
      <c r="R538" s="281" t="str">
        <f>IF($AI538&gt;0,RANK($AI538,BoysPoints),0)</f>
        <v>#REF!</v>
      </c>
      <c r="S538" s="282" t="str">
        <f>IF($AJ538&gt;0,RANK($AJ538,GirlsPoints),0)</f>
        <v>#REF!</v>
      </c>
      <c r="T538" s="283">
        <f>IF($O538&gt;0,RANK(O538,AthletePoints),0)</f>
        <v>0</v>
      </c>
      <c r="U538" s="210"/>
      <c r="V538" s="415" t="str">
        <f>IF(O538&gt;=40,IF(X538="M",VLOOKUP(O538,UKABoysAwards,2),IF(X538="F",VLOOKUP(O538,UKAGirlsAwards,2),"")),"")</f>
        <v/>
      </c>
      <c r="W538" s="210"/>
      <c r="X538" s="266" t="str">
        <f t="array" ref="X538:X539">INDEX(DB,$B538,4)</f>
        <v>#REF!</v>
      </c>
      <c r="Y538" s="210"/>
      <c r="Z538" s="285" t="str">
        <f t="shared" si="3"/>
        <v>#REF!</v>
      </c>
      <c r="AA538" s="286" t="str">
        <f>IF($Z538&gt;=1,RANK($Z538,$Z533:$Z548),0)</f>
        <v>#REF!</v>
      </c>
      <c r="AB538" s="287" t="str">
        <f>IF(AA538&lt;=MaxS,INT(Z538),0)</f>
        <v>#REF!</v>
      </c>
      <c r="AC538" s="210"/>
      <c r="AD538" s="285" t="str">
        <f t="shared" si="4"/>
        <v>#REF!</v>
      </c>
      <c r="AE538" s="286" t="str">
        <f>IF($AD538&gt;=1,RANK($AD538,$AD533:$AD548),0)</f>
        <v>#REF!</v>
      </c>
      <c r="AF538" s="287" t="str">
        <f>IF(AE538&lt;=MaxS,INT(AD538),0)</f>
        <v>#REF!</v>
      </c>
      <c r="AG538" s="210"/>
      <c r="AH538" s="210"/>
      <c r="AI538" s="288" t="str">
        <f t="shared" si="5"/>
        <v>#REF!</v>
      </c>
      <c r="AJ538" s="289" t="str">
        <f t="shared" si="6"/>
        <v>#REF!</v>
      </c>
    </row>
    <row r="539" ht="15.0" customHeight="1">
      <c r="A539" s="272"/>
      <c r="B539" s="250">
        <f>IF(OR(ISNA(MATCH(C539&amp;"",AthleteNumbers,0)),ISBLANK(C539)),0,MATCH(C539&amp;"",AthleteNumbers,0))</f>
        <v>0</v>
      </c>
      <c r="C539" s="413"/>
      <c r="D539" s="273" t="str">
        <f t="array" ref="D539">IF($B539&gt;0,INDEX(DB,$B539,8),"")</f>
        <v/>
      </c>
      <c r="E539" s="274" t="str">
        <f t="array" ref="E539">IF($B539&gt;0,INDEX(DB,$B539,3),"")</f>
        <v/>
      </c>
      <c r="F539" s="275">
        <f t="array" ref="F539">IF($B539&gt;0,INDEX(DB,$B539,13),0)</f>
        <v>0</v>
      </c>
      <c r="G539" s="276">
        <f t="array" ref="G539">IF($B539&gt;0,INDEX(DB,$B539,17),0)</f>
        <v>0</v>
      </c>
      <c r="H539" s="277">
        <f t="array" ref="H539">IF($B539&gt;0,INDEX(DB,$B539,15),0)</f>
        <v>0</v>
      </c>
      <c r="I539" s="276">
        <f t="array" ref="I539">IF($B539&gt;0,INDEX(DB,$B539,19),0)</f>
        <v>0</v>
      </c>
      <c r="J539" s="277">
        <f t="array" ref="J539">IF($B539&gt;0,INDEX(DB,$B539,14),0)</f>
        <v>0</v>
      </c>
      <c r="K539" s="276">
        <f t="array" ref="K539">IF($B539&gt;0,INDEX(DB,$B539,18),0)</f>
        <v>0</v>
      </c>
      <c r="L539" s="275">
        <f t="array" ref="L539">IF($B539&gt;0,INDEX(DB,$B539,16),0)</f>
        <v>0</v>
      </c>
      <c r="M539" s="276">
        <f t="array" ref="M539">IF($B539&gt;0,INDEX(DB,$B539,20),0)</f>
        <v>0</v>
      </c>
      <c r="N539" s="278"/>
      <c r="O539" s="279">
        <f t="shared" si="1"/>
        <v>0</v>
      </c>
      <c r="P539" s="280"/>
      <c r="Q539" s="261" t="str">
        <f t="shared" si="2"/>
        <v>#REF!</v>
      </c>
      <c r="R539" s="290" t="str">
        <f>IF($AI539&gt;0,RANK($AI539,BoysPoints),0)</f>
        <v>#REF!</v>
      </c>
      <c r="S539" s="291" t="str">
        <f>IF($AJ539&gt;0,RANK($AJ539,GirlsPoints),0)</f>
        <v>#REF!</v>
      </c>
      <c r="T539" s="292">
        <f>IF($O539&gt;0,RANK(O539,AthletePoints),0)</f>
        <v>0</v>
      </c>
      <c r="U539" s="210"/>
      <c r="V539" s="330" t="str">
        <f>IF(O539&gt;=40,IF(X539="M",VLOOKUP(O539,UKABoysAwards,2),IF(X539="F",VLOOKUP(O539,UKAGirlsAwards,2),"")),"")</f>
        <v/>
      </c>
      <c r="W539" s="210"/>
      <c r="X539" s="266" t="str">
        <f t="array" ref="X539:X540">INDEX(DB,$B539,4)</f>
        <v>#REF!</v>
      </c>
      <c r="Y539" s="210"/>
      <c r="Z539" s="285" t="str">
        <f t="shared" si="3"/>
        <v>#REF!</v>
      </c>
      <c r="AA539" s="286" t="str">
        <f>IF($Z539&gt;=1,RANK($Z539,$Z533:$Z548),0)</f>
        <v>#REF!</v>
      </c>
      <c r="AB539" s="287" t="str">
        <f>IF(AA539&lt;=MaxS,INT(Z539),0)</f>
        <v>#REF!</v>
      </c>
      <c r="AC539" s="210"/>
      <c r="AD539" s="285" t="str">
        <f t="shared" si="4"/>
        <v>#REF!</v>
      </c>
      <c r="AE539" s="286" t="str">
        <f>IF($AD539&gt;=1,RANK($AD539,$AD533:$AD548),0)</f>
        <v>#REF!</v>
      </c>
      <c r="AF539" s="287" t="str">
        <f>IF(AE539&lt;=MaxS,INT(AD539),0)</f>
        <v>#REF!</v>
      </c>
      <c r="AG539" s="210"/>
      <c r="AH539" s="210"/>
      <c r="AI539" s="288" t="str">
        <f t="shared" si="5"/>
        <v>#REF!</v>
      </c>
      <c r="AJ539" s="289" t="str">
        <f t="shared" si="6"/>
        <v>#REF!</v>
      </c>
    </row>
    <row r="540" ht="15.0" customHeight="1">
      <c r="A540" s="272"/>
      <c r="B540" s="250">
        <f>IF(OR(ISNA(MATCH(C540&amp;"",AthleteNumbers,0)),ISBLANK(C540)),0,MATCH(C540&amp;"",AthleteNumbers,0))</f>
        <v>0</v>
      </c>
      <c r="C540" s="413"/>
      <c r="D540" s="273" t="str">
        <f t="array" ref="D540">IF($B540&gt;0,INDEX(DB,$B540,8),"")</f>
        <v/>
      </c>
      <c r="E540" s="274" t="str">
        <f t="array" ref="E540">IF($B540&gt;0,INDEX(DB,$B540,3),"")</f>
        <v/>
      </c>
      <c r="F540" s="275">
        <f t="array" ref="F540">IF($B540&gt;0,INDEX(DB,$B540,13),0)</f>
        <v>0</v>
      </c>
      <c r="G540" s="276">
        <f t="array" ref="G540">IF($B540&gt;0,INDEX(DB,$B540,17),0)</f>
        <v>0</v>
      </c>
      <c r="H540" s="277">
        <f t="array" ref="H540">IF($B540&gt;0,INDEX(DB,$B540,15),0)</f>
        <v>0</v>
      </c>
      <c r="I540" s="276">
        <f t="array" ref="I540">IF($B540&gt;0,INDEX(DB,$B540,19),0)</f>
        <v>0</v>
      </c>
      <c r="J540" s="277">
        <f t="array" ref="J540">IF($B540&gt;0,INDEX(DB,$B540,14),0)</f>
        <v>0</v>
      </c>
      <c r="K540" s="276">
        <f t="array" ref="K540">IF($B540&gt;0,INDEX(DB,$B540,18),0)</f>
        <v>0</v>
      </c>
      <c r="L540" s="275">
        <f t="array" ref="L540">IF($B540&gt;0,INDEX(DB,$B540,16),0)</f>
        <v>0</v>
      </c>
      <c r="M540" s="276">
        <f t="array" ref="M540">IF($B540&gt;0,INDEX(DB,$B540,20),0)</f>
        <v>0</v>
      </c>
      <c r="N540" s="278"/>
      <c r="O540" s="279">
        <f t="shared" si="1"/>
        <v>0</v>
      </c>
      <c r="P540" s="280"/>
      <c r="Q540" s="261" t="str">
        <f t="shared" si="2"/>
        <v>#REF!</v>
      </c>
      <c r="R540" s="281" t="str">
        <f>IF($AI540&gt;0,RANK($AI540,BoysPoints),0)</f>
        <v>#REF!</v>
      </c>
      <c r="S540" s="282" t="str">
        <f>IF($AJ540&gt;0,RANK($AJ540,GirlsPoints),0)</f>
        <v>#REF!</v>
      </c>
      <c r="T540" s="283">
        <f>IF($O540&gt;0,RANK(O540,AthletePoints),0)</f>
        <v>0</v>
      </c>
      <c r="U540" s="210"/>
      <c r="V540" s="415" t="str">
        <f>IF(O540&gt;=40,IF(X540="M",VLOOKUP(O540,UKABoysAwards,2),IF(X540="F",VLOOKUP(O540,UKAGirlsAwards,2),"")),"")</f>
        <v/>
      </c>
      <c r="W540" s="210"/>
      <c r="X540" s="266" t="str">
        <f t="array" ref="X540:X541">INDEX(DB,$B540,4)</f>
        <v>#REF!</v>
      </c>
      <c r="Y540" s="210"/>
      <c r="Z540" s="285" t="str">
        <f t="shared" si="3"/>
        <v>#REF!</v>
      </c>
      <c r="AA540" s="286" t="str">
        <f>IF($Z540&gt;=1,RANK($Z540,$Z533:$Z548),0)</f>
        <v>#REF!</v>
      </c>
      <c r="AB540" s="287" t="str">
        <f>IF(AA540&lt;=MaxS,INT(Z540),0)</f>
        <v>#REF!</v>
      </c>
      <c r="AC540" s="210"/>
      <c r="AD540" s="285" t="str">
        <f t="shared" si="4"/>
        <v>#REF!</v>
      </c>
      <c r="AE540" s="286" t="str">
        <f>IF($AD540&gt;=1,RANK($AD540,$AD533:$AD548),0)</f>
        <v>#REF!</v>
      </c>
      <c r="AF540" s="287" t="str">
        <f>IF(AE540&lt;=MaxS,INT(AD540),0)</f>
        <v>#REF!</v>
      </c>
      <c r="AG540" s="210"/>
      <c r="AH540" s="210"/>
      <c r="AI540" s="288" t="str">
        <f t="shared" si="5"/>
        <v>#REF!</v>
      </c>
      <c r="AJ540" s="289" t="str">
        <f t="shared" si="6"/>
        <v>#REF!</v>
      </c>
    </row>
    <row r="541" ht="15.0" customHeight="1">
      <c r="A541" s="272"/>
      <c r="B541" s="250">
        <f>IF(OR(ISNA(MATCH(C541&amp;"",AthleteNumbers,0)),ISBLANK(C541)),0,MATCH(C541&amp;"",AthleteNumbers,0))</f>
        <v>0</v>
      </c>
      <c r="C541" s="413"/>
      <c r="D541" s="273" t="str">
        <f t="array" ref="D541">IF($B541&gt;0,INDEX(DB,$B541,8),"")</f>
        <v/>
      </c>
      <c r="E541" s="274" t="str">
        <f t="array" ref="E541">IF($B541&gt;0,INDEX(DB,$B541,3),"")</f>
        <v/>
      </c>
      <c r="F541" s="275">
        <f t="array" ref="F541">IF($B541&gt;0,INDEX(DB,$B541,13),0)</f>
        <v>0</v>
      </c>
      <c r="G541" s="276">
        <f t="array" ref="G541">IF($B541&gt;0,INDEX(DB,$B541,17),0)</f>
        <v>0</v>
      </c>
      <c r="H541" s="277">
        <f t="array" ref="H541">IF($B541&gt;0,INDEX(DB,$B541,15),0)</f>
        <v>0</v>
      </c>
      <c r="I541" s="276">
        <f t="array" ref="I541">IF($B541&gt;0,INDEX(DB,$B541,19),0)</f>
        <v>0</v>
      </c>
      <c r="J541" s="277">
        <f t="array" ref="J541">IF($B541&gt;0,INDEX(DB,$B541,14),0)</f>
        <v>0</v>
      </c>
      <c r="K541" s="276">
        <f t="array" ref="K541">IF($B541&gt;0,INDEX(DB,$B541,18),0)</f>
        <v>0</v>
      </c>
      <c r="L541" s="275">
        <f t="array" ref="L541">IF($B541&gt;0,INDEX(DB,$B541,16),0)</f>
        <v>0</v>
      </c>
      <c r="M541" s="276">
        <f t="array" ref="M541">IF($B541&gt;0,INDEX(DB,$B541,20),0)</f>
        <v>0</v>
      </c>
      <c r="N541" s="278"/>
      <c r="O541" s="279">
        <f t="shared" si="1"/>
        <v>0</v>
      </c>
      <c r="P541" s="280"/>
      <c r="Q541" s="261" t="str">
        <f t="shared" si="2"/>
        <v>#REF!</v>
      </c>
      <c r="R541" s="290" t="str">
        <f>IF($AI541&gt;0,RANK($AI541,BoysPoints),0)</f>
        <v>#REF!</v>
      </c>
      <c r="S541" s="291" t="str">
        <f>IF($AJ541&gt;0,RANK($AJ541,GirlsPoints),0)</f>
        <v>#REF!</v>
      </c>
      <c r="T541" s="292">
        <f>IF($O541&gt;0,RANK(O541,AthletePoints),0)</f>
        <v>0</v>
      </c>
      <c r="U541" s="210"/>
      <c r="V541" s="330" t="str">
        <f>IF(O541&gt;=40,IF(X541="M",VLOOKUP(O541,UKABoysAwards,2),IF(X541="F",VLOOKUP(O541,UKAGirlsAwards,2),"")),"")</f>
        <v/>
      </c>
      <c r="W541" s="210"/>
      <c r="X541" s="266" t="str">
        <f t="array" ref="X541:X542">INDEX(DB,$B541,4)</f>
        <v>#REF!</v>
      </c>
      <c r="Y541" s="210"/>
      <c r="Z541" s="285" t="str">
        <f t="shared" si="3"/>
        <v>#REF!</v>
      </c>
      <c r="AA541" s="286" t="str">
        <f>IF($Z541&gt;=1,RANK($Z541,$Z533:$Z548),0)</f>
        <v>#REF!</v>
      </c>
      <c r="AB541" s="287" t="str">
        <f>IF(AA541&lt;=MaxS,INT(Z541),0)</f>
        <v>#REF!</v>
      </c>
      <c r="AC541" s="210"/>
      <c r="AD541" s="285" t="str">
        <f t="shared" si="4"/>
        <v>#REF!</v>
      </c>
      <c r="AE541" s="286" t="str">
        <f>IF($AD541&gt;=1,RANK($AD541,$AD533:$AD548),0)</f>
        <v>#REF!</v>
      </c>
      <c r="AF541" s="287" t="str">
        <f>IF(AE541&lt;=MaxS,INT(AD541),0)</f>
        <v>#REF!</v>
      </c>
      <c r="AG541" s="210"/>
      <c r="AH541" s="210"/>
      <c r="AI541" s="288" t="str">
        <f t="shared" si="5"/>
        <v>#REF!</v>
      </c>
      <c r="AJ541" s="289" t="str">
        <f t="shared" si="6"/>
        <v>#REF!</v>
      </c>
    </row>
    <row r="542" ht="15.0" customHeight="1">
      <c r="A542" s="272"/>
      <c r="B542" s="250">
        <f>IF(OR(ISNA(MATCH(C542&amp;"",AthleteNumbers,0)),ISBLANK(C542)),0,MATCH(C542&amp;"",AthleteNumbers,0))</f>
        <v>0</v>
      </c>
      <c r="C542" s="413"/>
      <c r="D542" s="273" t="str">
        <f t="array" ref="D542">IF($B542&gt;0,INDEX(DB,$B542,8),"")</f>
        <v/>
      </c>
      <c r="E542" s="274" t="str">
        <f t="array" ref="E542">IF($B542&gt;0,INDEX(DB,$B542,3),"")</f>
        <v/>
      </c>
      <c r="F542" s="275">
        <f t="array" ref="F542">IF($B542&gt;0,INDEX(DB,$B542,13),0)</f>
        <v>0</v>
      </c>
      <c r="G542" s="276">
        <f t="array" ref="G542">IF($B542&gt;0,INDEX(DB,$B542,17),0)</f>
        <v>0</v>
      </c>
      <c r="H542" s="277">
        <f t="array" ref="H542">IF($B542&gt;0,INDEX(DB,$B542,15),0)</f>
        <v>0</v>
      </c>
      <c r="I542" s="276">
        <f t="array" ref="I542">IF($B542&gt;0,INDEX(DB,$B542,19),0)</f>
        <v>0</v>
      </c>
      <c r="J542" s="277">
        <f t="array" ref="J542">IF($B542&gt;0,INDEX(DB,$B542,14),0)</f>
        <v>0</v>
      </c>
      <c r="K542" s="276">
        <f t="array" ref="K542">IF($B542&gt;0,INDEX(DB,$B542,18),0)</f>
        <v>0</v>
      </c>
      <c r="L542" s="275">
        <f t="array" ref="L542">IF($B542&gt;0,INDEX(DB,$B542,16),0)</f>
        <v>0</v>
      </c>
      <c r="M542" s="276">
        <f t="array" ref="M542">IF($B542&gt;0,INDEX(DB,$B542,20),0)</f>
        <v>0</v>
      </c>
      <c r="N542" s="278"/>
      <c r="O542" s="279">
        <f t="shared" si="1"/>
        <v>0</v>
      </c>
      <c r="P542" s="280"/>
      <c r="Q542" s="261" t="str">
        <f t="shared" si="2"/>
        <v>#REF!</v>
      </c>
      <c r="R542" s="281" t="str">
        <f>IF($AI542&gt;0,RANK($AI542,BoysPoints),0)</f>
        <v>#REF!</v>
      </c>
      <c r="S542" s="282" t="str">
        <f>IF($AJ542&gt;0,RANK($AJ542,GirlsPoints),0)</f>
        <v>#REF!</v>
      </c>
      <c r="T542" s="283">
        <f>IF($O542&gt;0,RANK(O542,AthletePoints),0)</f>
        <v>0</v>
      </c>
      <c r="U542" s="210"/>
      <c r="V542" s="415" t="str">
        <f>IF(O542&gt;=40,IF(X542="M",VLOOKUP(O542,UKABoysAwards,2),IF(X542="F",VLOOKUP(O542,UKAGirlsAwards,2),"")),"")</f>
        <v/>
      </c>
      <c r="W542" s="210"/>
      <c r="X542" s="266" t="str">
        <f t="array" ref="X542:X543">INDEX(DB,$B542,4)</f>
        <v>#REF!</v>
      </c>
      <c r="Y542" s="210"/>
      <c r="Z542" s="285" t="str">
        <f t="shared" si="3"/>
        <v>#REF!</v>
      </c>
      <c r="AA542" s="286" t="str">
        <f>IF($Z542&gt;=1,RANK($Z542,$Z533:$Z548),0)</f>
        <v>#REF!</v>
      </c>
      <c r="AB542" s="287" t="str">
        <f>IF(AA542&lt;=MaxS,INT(Z542),0)</f>
        <v>#REF!</v>
      </c>
      <c r="AC542" s="210"/>
      <c r="AD542" s="285" t="str">
        <f t="shared" si="4"/>
        <v>#REF!</v>
      </c>
      <c r="AE542" s="286" t="str">
        <f>IF($AD542&gt;=1,RANK($AD542,$AD533:$AD548),0)</f>
        <v>#REF!</v>
      </c>
      <c r="AF542" s="287" t="str">
        <f>IF(AE542&lt;=MaxS,INT(AD542),0)</f>
        <v>#REF!</v>
      </c>
      <c r="AG542" s="210"/>
      <c r="AH542" s="210"/>
      <c r="AI542" s="288" t="str">
        <f t="shared" si="5"/>
        <v>#REF!</v>
      </c>
      <c r="AJ542" s="289" t="str">
        <f t="shared" si="6"/>
        <v>#REF!</v>
      </c>
    </row>
    <row r="543" ht="15.0" customHeight="1">
      <c r="A543" s="272"/>
      <c r="B543" s="250">
        <f>IF(OR(ISNA(MATCH(C543&amp;"",AthleteNumbers,0)),ISBLANK(C543)),0,MATCH(C543&amp;"",AthleteNumbers,0))</f>
        <v>0</v>
      </c>
      <c r="C543" s="413"/>
      <c r="D543" s="273" t="str">
        <f t="array" ref="D543">IF($B543&gt;0,INDEX(DB,$B543,8),"")</f>
        <v/>
      </c>
      <c r="E543" s="274" t="str">
        <f t="array" ref="E543">IF($B543&gt;0,INDEX(DB,$B543,3),"")</f>
        <v/>
      </c>
      <c r="F543" s="275">
        <f t="array" ref="F543">IF($B543&gt;0,INDEX(DB,$B543,13),0)</f>
        <v>0</v>
      </c>
      <c r="G543" s="276">
        <f t="array" ref="G543">IF($B543&gt;0,INDEX(DB,$B543,17),0)</f>
        <v>0</v>
      </c>
      <c r="H543" s="277">
        <f t="array" ref="H543">IF($B543&gt;0,INDEX(DB,$B543,15),0)</f>
        <v>0</v>
      </c>
      <c r="I543" s="276">
        <f t="array" ref="I543">IF($B543&gt;0,INDEX(DB,$B543,19),0)</f>
        <v>0</v>
      </c>
      <c r="J543" s="277">
        <f t="array" ref="J543">IF($B543&gt;0,INDEX(DB,$B543,14),0)</f>
        <v>0</v>
      </c>
      <c r="K543" s="276">
        <f t="array" ref="K543">IF($B543&gt;0,INDEX(DB,$B543,18),0)</f>
        <v>0</v>
      </c>
      <c r="L543" s="275">
        <f t="array" ref="L543">IF($B543&gt;0,INDEX(DB,$B543,16),0)</f>
        <v>0</v>
      </c>
      <c r="M543" s="276">
        <f t="array" ref="M543">IF($B543&gt;0,INDEX(DB,$B543,20),0)</f>
        <v>0</v>
      </c>
      <c r="N543" s="278"/>
      <c r="O543" s="279">
        <f t="shared" si="1"/>
        <v>0</v>
      </c>
      <c r="P543" s="280"/>
      <c r="Q543" s="261" t="str">
        <f t="shared" si="2"/>
        <v>#REF!</v>
      </c>
      <c r="R543" s="290" t="str">
        <f>IF($AI543&gt;0,RANK($AI543,BoysPoints),0)</f>
        <v>#REF!</v>
      </c>
      <c r="S543" s="291" t="str">
        <f>IF($AJ543&gt;0,RANK($AJ543,GirlsPoints),0)</f>
        <v>#REF!</v>
      </c>
      <c r="T543" s="292">
        <f>IF($O543&gt;0,RANK(O543,AthletePoints),0)</f>
        <v>0</v>
      </c>
      <c r="U543" s="210"/>
      <c r="V543" s="330" t="str">
        <f>IF(O543&gt;=40,IF(X543="M",VLOOKUP(O543,UKABoysAwards,2),IF(X543="F",VLOOKUP(O543,UKAGirlsAwards,2),"")),"")</f>
        <v/>
      </c>
      <c r="W543" s="210"/>
      <c r="X543" s="266" t="str">
        <f t="array" ref="X543:X544">INDEX(DB,$B543,4)</f>
        <v>#REF!</v>
      </c>
      <c r="Y543" s="210"/>
      <c r="Z543" s="285" t="str">
        <f t="shared" si="3"/>
        <v>#REF!</v>
      </c>
      <c r="AA543" s="286" t="str">
        <f>IF($Z543&gt;=1,RANK($Z543,$Z533:$Z548),0)</f>
        <v>#REF!</v>
      </c>
      <c r="AB543" s="287" t="str">
        <f>IF(AA543&lt;=MaxS,INT(Z543),0)</f>
        <v>#REF!</v>
      </c>
      <c r="AC543" s="210"/>
      <c r="AD543" s="285" t="str">
        <f t="shared" si="4"/>
        <v>#REF!</v>
      </c>
      <c r="AE543" s="286" t="str">
        <f>IF($AD543&gt;=1,RANK($AD543,$AD533:$AD548),0)</f>
        <v>#REF!</v>
      </c>
      <c r="AF543" s="287" t="str">
        <f>IF(AE543&lt;=MaxS,INT(AD543),0)</f>
        <v>#REF!</v>
      </c>
      <c r="AG543" s="210"/>
      <c r="AH543" s="210"/>
      <c r="AI543" s="288" t="str">
        <f t="shared" si="5"/>
        <v>#REF!</v>
      </c>
      <c r="AJ543" s="289" t="str">
        <f t="shared" si="6"/>
        <v>#REF!</v>
      </c>
    </row>
    <row r="544" ht="15.0" customHeight="1">
      <c r="A544" s="272"/>
      <c r="B544" s="250">
        <f>IF(OR(ISNA(MATCH(C544&amp;"",AthleteNumbers,0)),ISBLANK(C544)),0,MATCH(C544&amp;"",AthleteNumbers,0))</f>
        <v>0</v>
      </c>
      <c r="C544" s="413"/>
      <c r="D544" s="273" t="str">
        <f t="array" ref="D544">IF($B544&gt;0,INDEX(DB,$B544,8),"")</f>
        <v/>
      </c>
      <c r="E544" s="274" t="str">
        <f t="array" ref="E544">IF($B544&gt;0,INDEX(DB,$B544,3),"")</f>
        <v/>
      </c>
      <c r="F544" s="275">
        <f t="array" ref="F544">IF($B544&gt;0,INDEX(DB,$B544,13),0)</f>
        <v>0</v>
      </c>
      <c r="G544" s="276">
        <f t="array" ref="G544">IF($B544&gt;0,INDEX(DB,$B544,17),0)</f>
        <v>0</v>
      </c>
      <c r="H544" s="277">
        <f t="array" ref="H544">IF($B544&gt;0,INDEX(DB,$B544,15),0)</f>
        <v>0</v>
      </c>
      <c r="I544" s="276">
        <f t="array" ref="I544">IF($B544&gt;0,INDEX(DB,$B544,19),0)</f>
        <v>0</v>
      </c>
      <c r="J544" s="277">
        <f t="array" ref="J544">IF($B544&gt;0,INDEX(DB,$B544,14),0)</f>
        <v>0</v>
      </c>
      <c r="K544" s="276">
        <f t="array" ref="K544">IF($B544&gt;0,INDEX(DB,$B544,18),0)</f>
        <v>0</v>
      </c>
      <c r="L544" s="275">
        <f t="array" ref="L544">IF($B544&gt;0,INDEX(DB,$B544,16),0)</f>
        <v>0</v>
      </c>
      <c r="M544" s="276">
        <f t="array" ref="M544">IF($B544&gt;0,INDEX(DB,$B544,20),0)</f>
        <v>0</v>
      </c>
      <c r="N544" s="278"/>
      <c r="O544" s="279">
        <f t="shared" si="1"/>
        <v>0</v>
      </c>
      <c r="P544" s="280"/>
      <c r="Q544" s="261" t="str">
        <f t="shared" si="2"/>
        <v>#REF!</v>
      </c>
      <c r="R544" s="281" t="str">
        <f>IF($AI544&gt;0,RANK($AI544,BoysPoints),0)</f>
        <v>#REF!</v>
      </c>
      <c r="S544" s="282" t="str">
        <f>IF($AJ544&gt;0,RANK($AJ544,GirlsPoints),0)</f>
        <v>#REF!</v>
      </c>
      <c r="T544" s="283">
        <f>IF($O544&gt;0,RANK(O544,AthletePoints),0)</f>
        <v>0</v>
      </c>
      <c r="U544" s="210"/>
      <c r="V544" s="415" t="str">
        <f>IF(O544&gt;=40,IF(X544="M",VLOOKUP(O544,UKABoysAwards,2),IF(X544="F",VLOOKUP(O544,UKAGirlsAwards,2),"")),"")</f>
        <v/>
      </c>
      <c r="W544" s="210"/>
      <c r="X544" s="266" t="str">
        <f t="array" ref="X544:X545">INDEX(DB,$B544,4)</f>
        <v>#REF!</v>
      </c>
      <c r="Y544" s="210"/>
      <c r="Z544" s="285" t="str">
        <f t="shared" si="3"/>
        <v>#REF!</v>
      </c>
      <c r="AA544" s="286" t="str">
        <f>IF($Z544&gt;=1,RANK($Z544,$Z533:$Z548),0)</f>
        <v>#REF!</v>
      </c>
      <c r="AB544" s="287" t="str">
        <f>IF(AA544&lt;=MaxS,INT(Z544),0)</f>
        <v>#REF!</v>
      </c>
      <c r="AC544" s="210"/>
      <c r="AD544" s="285" t="str">
        <f t="shared" si="4"/>
        <v>#REF!</v>
      </c>
      <c r="AE544" s="286" t="str">
        <f>IF($AD544&gt;=1,RANK($AD544,$AD533:$AD548),0)</f>
        <v>#REF!</v>
      </c>
      <c r="AF544" s="287" t="str">
        <f>IF(AE544&lt;=MaxS,INT(AD544),0)</f>
        <v>#REF!</v>
      </c>
      <c r="AG544" s="210"/>
      <c r="AH544" s="210"/>
      <c r="AI544" s="288" t="str">
        <f t="shared" si="5"/>
        <v>#REF!</v>
      </c>
      <c r="AJ544" s="289" t="str">
        <f t="shared" si="6"/>
        <v>#REF!</v>
      </c>
    </row>
    <row r="545" ht="15.0" customHeight="1">
      <c r="A545" s="272"/>
      <c r="B545" s="250">
        <f>IF(OR(ISNA(MATCH(C545&amp;"",AthleteNumbers,0)),ISBLANK(C545)),0,MATCH(C545&amp;"",AthleteNumbers,0))</f>
        <v>0</v>
      </c>
      <c r="C545" s="413"/>
      <c r="D545" s="273" t="str">
        <f t="array" ref="D545">IF($B545&gt;0,INDEX(DB,$B545,8),"")</f>
        <v/>
      </c>
      <c r="E545" s="274" t="str">
        <f t="array" ref="E545">IF($B545&gt;0,INDEX(DB,$B545,3),"")</f>
        <v/>
      </c>
      <c r="F545" s="275">
        <f t="array" ref="F545">IF($B545&gt;0,INDEX(DB,$B545,13),0)</f>
        <v>0</v>
      </c>
      <c r="G545" s="276">
        <f t="array" ref="G545">IF($B545&gt;0,INDEX(DB,$B545,17),0)</f>
        <v>0</v>
      </c>
      <c r="H545" s="277">
        <f t="array" ref="H545">IF($B545&gt;0,INDEX(DB,$B545,15),0)</f>
        <v>0</v>
      </c>
      <c r="I545" s="276">
        <f t="array" ref="I545">IF($B545&gt;0,INDEX(DB,$B545,19),0)</f>
        <v>0</v>
      </c>
      <c r="J545" s="277">
        <f t="array" ref="J545">IF($B545&gt;0,INDEX(DB,$B545,14),0)</f>
        <v>0</v>
      </c>
      <c r="K545" s="276">
        <f t="array" ref="K545">IF($B545&gt;0,INDEX(DB,$B545,18),0)</f>
        <v>0</v>
      </c>
      <c r="L545" s="275">
        <f t="array" ref="L545">IF($B545&gt;0,INDEX(DB,$B545,16),0)</f>
        <v>0</v>
      </c>
      <c r="M545" s="276">
        <f t="array" ref="M545">IF($B545&gt;0,INDEX(DB,$B545,20),0)</f>
        <v>0</v>
      </c>
      <c r="N545" s="278"/>
      <c r="O545" s="279">
        <f t="shared" si="1"/>
        <v>0</v>
      </c>
      <c r="P545" s="280"/>
      <c r="Q545" s="261" t="str">
        <f t="shared" si="2"/>
        <v>#REF!</v>
      </c>
      <c r="R545" s="290" t="str">
        <f>IF($AI545&gt;0,RANK($AI545,BoysPoints),0)</f>
        <v>#REF!</v>
      </c>
      <c r="S545" s="291" t="str">
        <f>IF($AJ545&gt;0,RANK($AJ545,GirlsPoints),0)</f>
        <v>#REF!</v>
      </c>
      <c r="T545" s="292">
        <f>IF($O545&gt;0,RANK(O545,AthletePoints),0)</f>
        <v>0</v>
      </c>
      <c r="U545" s="210"/>
      <c r="V545" s="330" t="str">
        <f>IF(O545&gt;=40,IF(X545="M",VLOOKUP(O545,UKABoysAwards,2),IF(X545="F",VLOOKUP(O545,UKAGirlsAwards,2),"")),"")</f>
        <v/>
      </c>
      <c r="W545" s="210"/>
      <c r="X545" s="266" t="str">
        <f t="array" ref="X545:X546">INDEX(DB,$B545,4)</f>
        <v>#REF!</v>
      </c>
      <c r="Y545" s="210"/>
      <c r="Z545" s="285" t="str">
        <f t="shared" si="3"/>
        <v>#REF!</v>
      </c>
      <c r="AA545" s="286" t="str">
        <f>IF($Z545&gt;=1,RANK($Z545,$Z533:$Z548),0)</f>
        <v>#REF!</v>
      </c>
      <c r="AB545" s="287" t="str">
        <f>IF(AA545&lt;=MaxS,INT(Z545),0)</f>
        <v>#REF!</v>
      </c>
      <c r="AC545" s="210"/>
      <c r="AD545" s="285" t="str">
        <f t="shared" si="4"/>
        <v>#REF!</v>
      </c>
      <c r="AE545" s="286" t="str">
        <f>IF($AD545&gt;=1,RANK($AD545,$AD533:$AD548),0)</f>
        <v>#REF!</v>
      </c>
      <c r="AF545" s="287" t="str">
        <f>IF(AE545&lt;=MaxS,INT(AD545),0)</f>
        <v>#REF!</v>
      </c>
      <c r="AG545" s="210"/>
      <c r="AH545" s="210"/>
      <c r="AI545" s="288" t="str">
        <f t="shared" si="5"/>
        <v>#REF!</v>
      </c>
      <c r="AJ545" s="289" t="str">
        <f t="shared" si="6"/>
        <v>#REF!</v>
      </c>
    </row>
    <row r="546" ht="15.0" customHeight="1">
      <c r="A546" s="272"/>
      <c r="B546" s="250">
        <f>IF(OR(ISNA(MATCH(C546&amp;"",AthleteNumbers,0)),ISBLANK(C546)),0,MATCH(C546&amp;"",AthleteNumbers,0))</f>
        <v>0</v>
      </c>
      <c r="C546" s="413"/>
      <c r="D546" s="273" t="str">
        <f t="array" ref="D546">IF($B546&gt;0,INDEX(DB,$B546,8),"")</f>
        <v/>
      </c>
      <c r="E546" s="274" t="str">
        <f t="array" ref="E546">IF($B546&gt;0,INDEX(DB,$B546,3),"")</f>
        <v/>
      </c>
      <c r="F546" s="275">
        <f t="array" ref="F546">IF($B546&gt;0,INDEX(DB,$B546,13),0)</f>
        <v>0</v>
      </c>
      <c r="G546" s="276">
        <f t="array" ref="G546">IF($B546&gt;0,INDEX(DB,$B546,17),0)</f>
        <v>0</v>
      </c>
      <c r="H546" s="277">
        <f t="array" ref="H546">IF($B546&gt;0,INDEX(DB,$B546,15),0)</f>
        <v>0</v>
      </c>
      <c r="I546" s="276">
        <f t="array" ref="I546">IF($B546&gt;0,INDEX(DB,$B546,19),0)</f>
        <v>0</v>
      </c>
      <c r="J546" s="277">
        <f t="array" ref="J546">IF($B546&gt;0,INDEX(DB,$B546,14),0)</f>
        <v>0</v>
      </c>
      <c r="K546" s="276">
        <f t="array" ref="K546">IF($B546&gt;0,INDEX(DB,$B546,18),0)</f>
        <v>0</v>
      </c>
      <c r="L546" s="275">
        <f t="array" ref="L546">IF($B546&gt;0,INDEX(DB,$B546,16),0)</f>
        <v>0</v>
      </c>
      <c r="M546" s="276">
        <f t="array" ref="M546">IF($B546&gt;0,INDEX(DB,$B546,20),0)</f>
        <v>0</v>
      </c>
      <c r="N546" s="278"/>
      <c r="O546" s="279">
        <f t="shared" si="1"/>
        <v>0</v>
      </c>
      <c r="P546" s="280"/>
      <c r="Q546" s="261" t="str">
        <f t="shared" si="2"/>
        <v>#REF!</v>
      </c>
      <c r="R546" s="281" t="str">
        <f>IF($AI546&gt;0,RANK($AI546,BoysPoints),0)</f>
        <v>#REF!</v>
      </c>
      <c r="S546" s="282" t="str">
        <f>IF($AJ546&gt;0,RANK($AJ546,GirlsPoints),0)</f>
        <v>#REF!</v>
      </c>
      <c r="T546" s="283">
        <f>IF($O546&gt;0,RANK(O546,AthletePoints),0)</f>
        <v>0</v>
      </c>
      <c r="U546" s="210"/>
      <c r="V546" s="415" t="str">
        <f>IF(O546&gt;=40,IF(X546="M",VLOOKUP(O546,UKABoysAwards,2),IF(X546="F",VLOOKUP(O546,UKAGirlsAwards,2),"")),"")</f>
        <v/>
      </c>
      <c r="W546" s="210"/>
      <c r="X546" s="266" t="str">
        <f t="array" ref="X546:X547">INDEX(DB,$B546,4)</f>
        <v>#REF!</v>
      </c>
      <c r="Y546" s="210"/>
      <c r="Z546" s="285" t="str">
        <f t="shared" si="3"/>
        <v>#REF!</v>
      </c>
      <c r="AA546" s="286" t="str">
        <f>IF($Z546&gt;=1,RANK($Z546,$Z533:$Z548),0)</f>
        <v>#REF!</v>
      </c>
      <c r="AB546" s="287" t="str">
        <f>IF(AA546&lt;=MaxS,INT(Z546),0)</f>
        <v>#REF!</v>
      </c>
      <c r="AC546" s="210"/>
      <c r="AD546" s="285" t="str">
        <f t="shared" si="4"/>
        <v>#REF!</v>
      </c>
      <c r="AE546" s="286" t="str">
        <f>IF($AD546&gt;=1,RANK($AD546,$AD533:$AD548),0)</f>
        <v>#REF!</v>
      </c>
      <c r="AF546" s="287" t="str">
        <f>IF(AE546&lt;=MaxS,INT(AD546),0)</f>
        <v>#REF!</v>
      </c>
      <c r="AG546" s="210"/>
      <c r="AH546" s="210"/>
      <c r="AI546" s="288" t="str">
        <f t="shared" si="5"/>
        <v>#REF!</v>
      </c>
      <c r="AJ546" s="289" t="str">
        <f t="shared" si="6"/>
        <v>#REF!</v>
      </c>
    </row>
    <row r="547" ht="15.0" customHeight="1">
      <c r="A547" s="272"/>
      <c r="B547" s="250">
        <f>IF(OR(ISNA(MATCH(C547&amp;"",AthleteNumbers,0)),ISBLANK(C547)),0,MATCH(C547&amp;"",AthleteNumbers,0))</f>
        <v>0</v>
      </c>
      <c r="C547" s="413"/>
      <c r="D547" s="273" t="str">
        <f t="array" ref="D547">IF($B547&gt;0,INDEX(DB,$B547,8),"")</f>
        <v/>
      </c>
      <c r="E547" s="274" t="str">
        <f t="array" ref="E547">IF($B547&gt;0,INDEX(DB,$B547,3),"")</f>
        <v/>
      </c>
      <c r="F547" s="275">
        <f t="array" ref="F547">IF($B547&gt;0,INDEX(DB,$B547,13),0)</f>
        <v>0</v>
      </c>
      <c r="G547" s="276">
        <f t="array" ref="G547">IF($B547&gt;0,INDEX(DB,$B547,17),0)</f>
        <v>0</v>
      </c>
      <c r="H547" s="277">
        <f t="array" ref="H547">IF($B547&gt;0,INDEX(DB,$B547,15),0)</f>
        <v>0</v>
      </c>
      <c r="I547" s="276">
        <f t="array" ref="I547">IF($B547&gt;0,INDEX(DB,$B547,19),0)</f>
        <v>0</v>
      </c>
      <c r="J547" s="277">
        <f t="array" ref="J547">IF($B547&gt;0,INDEX(DB,$B547,14),0)</f>
        <v>0</v>
      </c>
      <c r="K547" s="276">
        <f t="array" ref="K547">IF($B547&gt;0,INDEX(DB,$B547,18),0)</f>
        <v>0</v>
      </c>
      <c r="L547" s="275">
        <f t="array" ref="L547">IF($B547&gt;0,INDEX(DB,$B547,16),0)</f>
        <v>0</v>
      </c>
      <c r="M547" s="276">
        <f t="array" ref="M547">IF($B547&gt;0,INDEX(DB,$B547,20),0)</f>
        <v>0</v>
      </c>
      <c r="N547" s="278"/>
      <c r="O547" s="279">
        <f t="shared" si="1"/>
        <v>0</v>
      </c>
      <c r="P547" s="280"/>
      <c r="Q547" s="261" t="str">
        <f t="shared" si="2"/>
        <v>#REF!</v>
      </c>
      <c r="R547" s="290" t="str">
        <f>IF($AI547&gt;0,RANK($AI547,BoysPoints),0)</f>
        <v>#REF!</v>
      </c>
      <c r="S547" s="291" t="str">
        <f>IF($AJ547&gt;0,RANK($AJ547,GirlsPoints),0)</f>
        <v>#REF!</v>
      </c>
      <c r="T547" s="292">
        <f>IF($O547&gt;0,RANK(O547,AthletePoints),0)</f>
        <v>0</v>
      </c>
      <c r="U547" s="210"/>
      <c r="V547" s="330" t="str">
        <f>IF(O547&gt;=40,IF(X547="M",VLOOKUP(O547,UKABoysAwards,2),IF(X547="F",VLOOKUP(O547,UKAGirlsAwards,2),"")),"")</f>
        <v/>
      </c>
      <c r="W547" s="210"/>
      <c r="X547" s="266" t="str">
        <f t="array" ref="X547:X548">INDEX(DB,$B547,4)</f>
        <v>#REF!</v>
      </c>
      <c r="Y547" s="210"/>
      <c r="Z547" s="285" t="str">
        <f t="shared" si="3"/>
        <v>#REF!</v>
      </c>
      <c r="AA547" s="286" t="str">
        <f>IF($Z547&gt;=1,RANK($Z547,$Z533:$Z548),0)</f>
        <v>#REF!</v>
      </c>
      <c r="AB547" s="287" t="str">
        <f>IF(AA547&lt;=MaxS,INT(Z547),0)</f>
        <v>#REF!</v>
      </c>
      <c r="AC547" s="210"/>
      <c r="AD547" s="285" t="str">
        <f t="shared" si="4"/>
        <v>#REF!</v>
      </c>
      <c r="AE547" s="286" t="str">
        <f>IF($AD547&gt;=1,RANK($AD547,$AD533:$AD548),0)</f>
        <v>#REF!</v>
      </c>
      <c r="AF547" s="287" t="str">
        <f>IF(AE547&lt;=MaxS,INT(AD547),0)</f>
        <v>#REF!</v>
      </c>
      <c r="AG547" s="210"/>
      <c r="AH547" s="210"/>
      <c r="AI547" s="288" t="str">
        <f t="shared" si="5"/>
        <v>#REF!</v>
      </c>
      <c r="AJ547" s="289" t="str">
        <f t="shared" si="6"/>
        <v>#REF!</v>
      </c>
    </row>
    <row r="548" ht="15.0" customHeight="1">
      <c r="A548" s="305"/>
      <c r="B548" s="250">
        <f>IF(OR(ISNA(MATCH(C548&amp;"",AthleteNumbers,0)),ISBLANK(C548)),0,MATCH(C548&amp;"",AthleteNumbers,0))</f>
        <v>0</v>
      </c>
      <c r="C548" s="443"/>
      <c r="D548" s="306" t="str">
        <f t="array" ref="D548">IF($B548&gt;0,INDEX(DB,$B548,8),"")</f>
        <v/>
      </c>
      <c r="E548" s="307" t="str">
        <f t="array" ref="E548">IF($B548&gt;0,INDEX(DB,$B548,3),"")</f>
        <v/>
      </c>
      <c r="F548" s="308">
        <f t="array" ref="F548">IF($B548&gt;0,INDEX(DB,$B548,13),0)</f>
        <v>0</v>
      </c>
      <c r="G548" s="309">
        <f t="array" ref="G548">IF($B548&gt;0,INDEX(DB,$B548,17),0)</f>
        <v>0</v>
      </c>
      <c r="H548" s="310">
        <f t="array" ref="H548">IF($B548&gt;0,INDEX(DB,$B548,15),0)</f>
        <v>0</v>
      </c>
      <c r="I548" s="309">
        <f t="array" ref="I548">IF($B548&gt;0,INDEX(DB,$B548,19),0)</f>
        <v>0</v>
      </c>
      <c r="J548" s="310">
        <f t="array" ref="J548">IF($B548&gt;0,INDEX(DB,$B548,14),0)</f>
        <v>0</v>
      </c>
      <c r="K548" s="309">
        <f t="array" ref="K548">IF($B548&gt;0,INDEX(DB,$B548,18),0)</f>
        <v>0</v>
      </c>
      <c r="L548" s="308">
        <f t="array" ref="L548">IF($B548&gt;0,INDEX(DB,$B548,16),0)</f>
        <v>0</v>
      </c>
      <c r="M548" s="309">
        <f t="array" ref="M548">IF($B548&gt;0,INDEX(DB,$B548,20),0)</f>
        <v>0</v>
      </c>
      <c r="N548" s="25"/>
      <c r="O548" s="311">
        <f t="shared" si="1"/>
        <v>0</v>
      </c>
      <c r="P548" s="31"/>
      <c r="Q548" s="261" t="str">
        <f t="shared" si="2"/>
        <v>#REF!</v>
      </c>
      <c r="R548" s="312" t="str">
        <f>IF($AI548&gt;0,RANK($AI548,BoysPoints),0)</f>
        <v>#REF!</v>
      </c>
      <c r="S548" s="313" t="str">
        <f>IF($AJ548&gt;0,RANK($AJ548,GirlsPoints),0)</f>
        <v>#REF!</v>
      </c>
      <c r="T548" s="314">
        <f>IF($O548&gt;0,RANK(O548,AthletePoints),0)</f>
        <v>0</v>
      </c>
      <c r="U548" s="210"/>
      <c r="V548" s="444" t="str">
        <f>IF(O548&gt;=40,IF(X548="M",VLOOKUP(O548,UKABoysAwards,2),IF(X548="F",VLOOKUP(O548,UKAGirlsAwards,2),"")),"")</f>
        <v/>
      </c>
      <c r="W548" s="210"/>
      <c r="X548" s="266" t="str">
        <f t="array" ref="X548:X549">INDEX(DB,$B548,4)</f>
        <v>#REF!</v>
      </c>
      <c r="Y548" s="210"/>
      <c r="Z548" s="316" t="str">
        <f t="shared" si="3"/>
        <v>#REF!</v>
      </c>
      <c r="AA548" s="243" t="str">
        <f>IF($Z548&gt;=1,RANK($Z548,$Z533:$Z548),0)</f>
        <v>#REF!</v>
      </c>
      <c r="AB548" s="245" t="str">
        <f>IF(AA548&lt;=MaxS,INT(Z548),0)</f>
        <v>#REF!</v>
      </c>
      <c r="AC548" s="210" t="str">
        <f>SUM(AB533:AB548)</f>
        <v>#REF!</v>
      </c>
      <c r="AD548" s="316" t="str">
        <f t="shared" si="4"/>
        <v>#REF!</v>
      </c>
      <c r="AE548" s="243" t="str">
        <f>IF($AD548&gt;=1,RANK($AD548,$AD533:$AD548),0)</f>
        <v>#REF!</v>
      </c>
      <c r="AF548" s="245" t="str">
        <f>IF(AE548&lt;=MaxS,INT(AD548),0)</f>
        <v>#REF!</v>
      </c>
      <c r="AG548" s="210" t="str">
        <f>SUM(AF533:AF548)</f>
        <v>#REF!</v>
      </c>
      <c r="AH548" s="210"/>
      <c r="AI548" s="246" t="str">
        <f t="shared" si="5"/>
        <v>#REF!</v>
      </c>
      <c r="AJ548" s="247" t="str">
        <f t="shared" si="6"/>
        <v>#REF!</v>
      </c>
    </row>
    <row r="549" ht="15.0" customHeight="1">
      <c r="A549" s="248"/>
      <c r="B549" s="250">
        <f>IF(OR(ISNA(MATCH(C549&amp;"",AthleteNumbers,0)),ISBLANK(C549)),0,MATCH(C549&amp;"",AthleteNumbers,0))</f>
        <v>0</v>
      </c>
      <c r="C549" s="251"/>
      <c r="D549" s="252" t="str">
        <f t="array" ref="D549">IF($B549&gt;0,INDEX(DB,$B549,8),"")</f>
        <v/>
      </c>
      <c r="E549" s="253" t="str">
        <f t="array" ref="E549">IF($B549&gt;0,INDEX(DB,$B549,3),"")</f>
        <v/>
      </c>
      <c r="F549" s="254">
        <f t="array" ref="F549">IF($B549&gt;0,INDEX(DB,$B549,13),0)</f>
        <v>0</v>
      </c>
      <c r="G549" s="255">
        <f t="array" ref="G549">IF($B549&gt;0,INDEX(DB,$B549,17),0)</f>
        <v>0</v>
      </c>
      <c r="H549" s="257">
        <f t="array" ref="H549">IF($B549&gt;0,INDEX(DB,$B549,15),0)</f>
        <v>0</v>
      </c>
      <c r="I549" s="255">
        <f t="array" ref="I549">IF($B549&gt;0,INDEX(DB,$B549,19),0)</f>
        <v>0</v>
      </c>
      <c r="J549" s="257">
        <f t="array" ref="J549">IF($B549&gt;0,INDEX(DB,$B549,14),0)</f>
        <v>0</v>
      </c>
      <c r="K549" s="255">
        <f t="array" ref="K549">IF($B549&gt;0,INDEX(DB,$B549,18),0)</f>
        <v>0</v>
      </c>
      <c r="L549" s="254">
        <f t="array" ref="L549">IF($B549&gt;0,INDEX(DB,$B549,16),0)</f>
        <v>0</v>
      </c>
      <c r="M549" s="255">
        <f t="array" ref="M549">IF($B549&gt;0,INDEX(DB,$B549,20),0)</f>
        <v>0</v>
      </c>
      <c r="N549" s="258">
        <f t="array" ref="N549:N583">INDEX(RelayPoints,A564)</f>
        <v>0</v>
      </c>
      <c r="O549" s="259">
        <f t="shared" si="1"/>
        <v>0</v>
      </c>
      <c r="P549" s="260" t="str">
        <f>+AC564+AG564+N549</f>
        <v>#REF!</v>
      </c>
      <c r="Q549" s="261" t="str">
        <f t="shared" si="2"/>
        <v>#REF!</v>
      </c>
      <c r="R549" s="262" t="str">
        <f>IF($AI549&gt;0,RANK($AI549,BoysPoints),0)</f>
        <v>#REF!</v>
      </c>
      <c r="S549" s="263" t="str">
        <f>IF($AJ549&gt;0,RANK($AJ549,GirlsPoints),0)</f>
        <v>#REF!</v>
      </c>
      <c r="T549" s="264">
        <f>IF($O549&gt;0,RANK(O549,AthletePoints),0)</f>
        <v>0</v>
      </c>
      <c r="U549" s="210"/>
      <c r="V549" s="317" t="str">
        <f>IF(O549&gt;=40,IF(X549="M",VLOOKUP(O549,UKABoysAwards,2),IF(X549="F",VLOOKUP(O549,UKAGirlsAwards,2),"")),"")</f>
        <v/>
      </c>
      <c r="W549" s="210"/>
      <c r="X549" s="266" t="str">
        <f t="array" ref="X549:X550">INDEX(DB,$B549,4)</f>
        <v>#REF!</v>
      </c>
      <c r="Y549" s="210"/>
      <c r="Z549" s="267" t="str">
        <f t="shared" si="3"/>
        <v>#REF!</v>
      </c>
      <c r="AA549" s="268" t="str">
        <f>IF($Z549&gt;=1,RANK($Z549,$Z549:$Z564),0)</f>
        <v>#REF!</v>
      </c>
      <c r="AB549" s="269" t="str">
        <f>IF(AA549&lt;=MaxS,INT(Z549),0)</f>
        <v>#REF!</v>
      </c>
      <c r="AC549" s="210"/>
      <c r="AD549" s="267" t="str">
        <f t="shared" si="4"/>
        <v>#REF!</v>
      </c>
      <c r="AE549" s="268" t="str">
        <f>IF($AD549&gt;=1,RANK($AD549,$AD549:$AD564),0)</f>
        <v>#REF!</v>
      </c>
      <c r="AF549" s="269" t="str">
        <f>IF(AE549&lt;=MaxS,INT(AD549),0)</f>
        <v>#REF!</v>
      </c>
      <c r="AG549" s="210"/>
      <c r="AH549" s="210"/>
      <c r="AI549" s="288" t="str">
        <f t="shared" si="5"/>
        <v>#REF!</v>
      </c>
      <c r="AJ549" s="289" t="str">
        <f t="shared" si="6"/>
        <v>#REF!</v>
      </c>
    </row>
    <row r="550" ht="15.0" customHeight="1">
      <c r="A550" s="272"/>
      <c r="B550" s="250">
        <f>IF(OR(ISNA(MATCH(C550&amp;"",AthleteNumbers,0)),ISBLANK(C550)),0,MATCH(C550&amp;"",AthleteNumbers,0))</f>
        <v>0</v>
      </c>
      <c r="C550" s="413"/>
      <c r="D550" s="273" t="str">
        <f t="array" ref="D550">IF($B550&gt;0,INDEX(DB,$B550,8),"")</f>
        <v/>
      </c>
      <c r="E550" s="274" t="str">
        <f t="array" ref="E550">IF($B550&gt;0,INDEX(DB,$B550,3),"")</f>
        <v/>
      </c>
      <c r="F550" s="275">
        <f t="array" ref="F550">IF($B550&gt;0,INDEX(DB,$B550,13),0)</f>
        <v>0</v>
      </c>
      <c r="G550" s="276">
        <f t="array" ref="G550">IF($B550&gt;0,INDEX(DB,$B550,17),0)</f>
        <v>0</v>
      </c>
      <c r="H550" s="277">
        <f t="array" ref="H550">IF($B550&gt;0,INDEX(DB,$B550,15),0)</f>
        <v>0</v>
      </c>
      <c r="I550" s="276">
        <f t="array" ref="I550">IF($B550&gt;0,INDEX(DB,$B550,19),0)</f>
        <v>0</v>
      </c>
      <c r="J550" s="277">
        <f t="array" ref="J550">IF($B550&gt;0,INDEX(DB,$B550,14),0)</f>
        <v>0</v>
      </c>
      <c r="K550" s="276">
        <f t="array" ref="K550">IF($B550&gt;0,INDEX(DB,$B550,18),0)</f>
        <v>0</v>
      </c>
      <c r="L550" s="275">
        <f t="array" ref="L550">IF($B550&gt;0,INDEX(DB,$B550,16),0)</f>
        <v>0</v>
      </c>
      <c r="M550" s="276">
        <f t="array" ref="M550">IF($B550&gt;0,INDEX(DB,$B550,20),0)</f>
        <v>0</v>
      </c>
      <c r="N550" s="278"/>
      <c r="O550" s="279">
        <f t="shared" si="1"/>
        <v>0</v>
      </c>
      <c r="P550" s="280"/>
      <c r="Q550" s="261" t="str">
        <f t="shared" si="2"/>
        <v>#REF!</v>
      </c>
      <c r="R550" s="281" t="str">
        <f>IF($AI550&gt;0,RANK($AI550,BoysPoints),0)</f>
        <v>#REF!</v>
      </c>
      <c r="S550" s="282" t="str">
        <f>IF($AJ550&gt;0,RANK($AJ550,GirlsPoints),0)</f>
        <v>#REF!</v>
      </c>
      <c r="T550" s="283">
        <f>IF($O550&gt;0,RANK(O550,AthletePoints),0)</f>
        <v>0</v>
      </c>
      <c r="U550" s="210"/>
      <c r="V550" s="415" t="str">
        <f>IF(O550&gt;=40,IF(X550="M",VLOOKUP(O550,UKABoysAwards,2),IF(X550="F",VLOOKUP(O550,UKAGirlsAwards,2),"")),"")</f>
        <v/>
      </c>
      <c r="W550" s="210"/>
      <c r="X550" s="266" t="str">
        <f t="array" ref="X550:X551">INDEX(DB,$B550,4)</f>
        <v>#REF!</v>
      </c>
      <c r="Y550" s="210"/>
      <c r="Z550" s="285" t="str">
        <f t="shared" si="3"/>
        <v>#REF!</v>
      </c>
      <c r="AA550" s="286" t="str">
        <f>IF($Z550&gt;=1,RANK($Z550,$Z549:$Z564),0)</f>
        <v>#REF!</v>
      </c>
      <c r="AB550" s="287" t="str">
        <f>IF(AA550&lt;=MaxS,INT(Z550),0)</f>
        <v>#REF!</v>
      </c>
      <c r="AC550" s="210"/>
      <c r="AD550" s="285" t="str">
        <f t="shared" si="4"/>
        <v>#REF!</v>
      </c>
      <c r="AE550" s="286" t="str">
        <f>IF($AD550&gt;=1,RANK($AD550,$AD549:$AD564),0)</f>
        <v>#REF!</v>
      </c>
      <c r="AF550" s="287" t="str">
        <f>IF(AE550&lt;=MaxS,INT(AD550),0)</f>
        <v>#REF!</v>
      </c>
      <c r="AG550" s="210"/>
      <c r="AH550" s="210"/>
      <c r="AI550" s="288" t="str">
        <f t="shared" si="5"/>
        <v>#REF!</v>
      </c>
      <c r="AJ550" s="289" t="str">
        <f t="shared" si="6"/>
        <v>#REF!</v>
      </c>
    </row>
    <row r="551" ht="15.0" customHeight="1">
      <c r="A551" s="272"/>
      <c r="B551" s="250">
        <f>IF(OR(ISNA(MATCH(C551&amp;"",AthleteNumbers,0)),ISBLANK(C551)),0,MATCH(C551&amp;"",AthleteNumbers,0))</f>
        <v>0</v>
      </c>
      <c r="C551" s="413"/>
      <c r="D551" s="273" t="str">
        <f t="array" ref="D551">IF($B551&gt;0,INDEX(DB,$B551,8),"")</f>
        <v/>
      </c>
      <c r="E551" s="274" t="str">
        <f t="array" ref="E551">IF($B551&gt;0,INDEX(DB,$B551,3),"")</f>
        <v/>
      </c>
      <c r="F551" s="275">
        <f t="array" ref="F551">IF($B551&gt;0,INDEX(DB,$B551,13),0)</f>
        <v>0</v>
      </c>
      <c r="G551" s="276">
        <f t="array" ref="G551">IF($B551&gt;0,INDEX(DB,$B551,17),0)</f>
        <v>0</v>
      </c>
      <c r="H551" s="277">
        <f t="array" ref="H551">IF($B551&gt;0,INDEX(DB,$B551,15),0)</f>
        <v>0</v>
      </c>
      <c r="I551" s="276">
        <f t="array" ref="I551">IF($B551&gt;0,INDEX(DB,$B551,19),0)</f>
        <v>0</v>
      </c>
      <c r="J551" s="277">
        <f t="array" ref="J551">IF($B551&gt;0,INDEX(DB,$B551,14),0)</f>
        <v>0</v>
      </c>
      <c r="K551" s="276">
        <f t="array" ref="K551">IF($B551&gt;0,INDEX(DB,$B551,18),0)</f>
        <v>0</v>
      </c>
      <c r="L551" s="275">
        <f t="array" ref="L551">IF($B551&gt;0,INDEX(DB,$B551,16),0)</f>
        <v>0</v>
      </c>
      <c r="M551" s="276">
        <f t="array" ref="M551">IF($B551&gt;0,INDEX(DB,$B551,20),0)</f>
        <v>0</v>
      </c>
      <c r="N551" s="278"/>
      <c r="O551" s="279">
        <f t="shared" si="1"/>
        <v>0</v>
      </c>
      <c r="P551" s="280"/>
      <c r="Q551" s="261" t="str">
        <f t="shared" si="2"/>
        <v>#REF!</v>
      </c>
      <c r="R551" s="290" t="str">
        <f>IF($AI551&gt;0,RANK($AI551,BoysPoints),0)</f>
        <v>#REF!</v>
      </c>
      <c r="S551" s="291" t="str">
        <f>IF($AJ551&gt;0,RANK($AJ551,GirlsPoints),0)</f>
        <v>#REF!</v>
      </c>
      <c r="T551" s="292">
        <f>IF($O551&gt;0,RANK(O551,AthletePoints),0)</f>
        <v>0</v>
      </c>
      <c r="U551" s="210"/>
      <c r="V551" s="330" t="str">
        <f>IF(O551&gt;=40,IF(X551="M",VLOOKUP(O551,UKABoysAwards,2),IF(X551="F",VLOOKUP(O551,UKAGirlsAwards,2),"")),"")</f>
        <v/>
      </c>
      <c r="W551" s="210"/>
      <c r="X551" s="266" t="str">
        <f t="array" ref="X551:X552">INDEX(DB,$B551,4)</f>
        <v>#REF!</v>
      </c>
      <c r="Y551" s="210"/>
      <c r="Z551" s="285" t="str">
        <f t="shared" si="3"/>
        <v>#REF!</v>
      </c>
      <c r="AA551" s="286" t="str">
        <f>IF($Z551&gt;=1,RANK($Z551,$Z549:$Z564),0)</f>
        <v>#REF!</v>
      </c>
      <c r="AB551" s="287" t="str">
        <f>IF(AA551&lt;=MaxS,INT(Z551),0)</f>
        <v>#REF!</v>
      </c>
      <c r="AC551" s="210"/>
      <c r="AD551" s="285" t="str">
        <f t="shared" si="4"/>
        <v>#REF!</v>
      </c>
      <c r="AE551" s="286" t="str">
        <f>IF($AD551&gt;=1,RANK($AD551,$AD549:$AD564),0)</f>
        <v>#REF!</v>
      </c>
      <c r="AF551" s="287" t="str">
        <f>IF(AE551&lt;=MaxS,INT(AD551),0)</f>
        <v>#REF!</v>
      </c>
      <c r="AG551" s="210"/>
      <c r="AH551" s="210"/>
      <c r="AI551" s="288" t="str">
        <f t="shared" si="5"/>
        <v>#REF!</v>
      </c>
      <c r="AJ551" s="289" t="str">
        <f t="shared" si="6"/>
        <v>#REF!</v>
      </c>
    </row>
    <row r="552" ht="15.0" customHeight="1">
      <c r="A552" s="272"/>
      <c r="B552" s="250">
        <f>IF(OR(ISNA(MATCH(C552&amp;"",AthleteNumbers,0)),ISBLANK(C552)),0,MATCH(C552&amp;"",AthleteNumbers,0))</f>
        <v>0</v>
      </c>
      <c r="C552" s="413"/>
      <c r="D552" s="273" t="str">
        <f t="array" ref="D552">IF($B552&gt;0,INDEX(DB,$B552,8),"")</f>
        <v/>
      </c>
      <c r="E552" s="274" t="str">
        <f t="array" ref="E552">IF($B552&gt;0,INDEX(DB,$B552,3),"")</f>
        <v/>
      </c>
      <c r="F552" s="275">
        <f t="array" ref="F552">IF($B552&gt;0,INDEX(DB,$B552,13),0)</f>
        <v>0</v>
      </c>
      <c r="G552" s="276">
        <f t="array" ref="G552">IF($B552&gt;0,INDEX(DB,$B552,17),0)</f>
        <v>0</v>
      </c>
      <c r="H552" s="277">
        <f t="array" ref="H552">IF($B552&gt;0,INDEX(DB,$B552,15),0)</f>
        <v>0</v>
      </c>
      <c r="I552" s="276">
        <f t="array" ref="I552">IF($B552&gt;0,INDEX(DB,$B552,19),0)</f>
        <v>0</v>
      </c>
      <c r="J552" s="277">
        <f t="array" ref="J552">IF($B552&gt;0,INDEX(DB,$B552,14),0)</f>
        <v>0</v>
      </c>
      <c r="K552" s="276">
        <f t="array" ref="K552">IF($B552&gt;0,INDEX(DB,$B552,18),0)</f>
        <v>0</v>
      </c>
      <c r="L552" s="275">
        <f t="array" ref="L552">IF($B552&gt;0,INDEX(DB,$B552,16),0)</f>
        <v>0</v>
      </c>
      <c r="M552" s="276">
        <f t="array" ref="M552">IF($B552&gt;0,INDEX(DB,$B552,20),0)</f>
        <v>0</v>
      </c>
      <c r="N552" s="278"/>
      <c r="O552" s="279">
        <f t="shared" si="1"/>
        <v>0</v>
      </c>
      <c r="P552" s="280"/>
      <c r="Q552" s="261" t="str">
        <f t="shared" si="2"/>
        <v>#REF!</v>
      </c>
      <c r="R552" s="281" t="str">
        <f>IF($AI552&gt;0,RANK($AI552,BoysPoints),0)</f>
        <v>#REF!</v>
      </c>
      <c r="S552" s="282" t="str">
        <f>IF($AJ552&gt;0,RANK($AJ552,GirlsPoints),0)</f>
        <v>#REF!</v>
      </c>
      <c r="T552" s="283">
        <f>IF($O552&gt;0,RANK(O552,AthletePoints),0)</f>
        <v>0</v>
      </c>
      <c r="U552" s="210"/>
      <c r="V552" s="415" t="str">
        <f>IF(O552&gt;=40,IF(X552="M",VLOOKUP(O552,UKABoysAwards,2),IF(X552="F",VLOOKUP(O552,UKAGirlsAwards,2),"")),"")</f>
        <v/>
      </c>
      <c r="W552" s="210"/>
      <c r="X552" s="266" t="str">
        <f t="array" ref="X552:X553">INDEX(DB,$B552,4)</f>
        <v>#REF!</v>
      </c>
      <c r="Y552" s="210"/>
      <c r="Z552" s="285" t="str">
        <f t="shared" si="3"/>
        <v>#REF!</v>
      </c>
      <c r="AA552" s="286" t="str">
        <f>IF($Z552&gt;=1,RANK($Z552,$Z549:$Z564),0)</f>
        <v>#REF!</v>
      </c>
      <c r="AB552" s="287" t="str">
        <f>IF(AA552&lt;=MaxS,INT(Z552),0)</f>
        <v>#REF!</v>
      </c>
      <c r="AC552" s="210"/>
      <c r="AD552" s="285" t="str">
        <f t="shared" si="4"/>
        <v>#REF!</v>
      </c>
      <c r="AE552" s="286" t="str">
        <f>IF($AD552&gt;=1,RANK($AD552,$AD549:$AD564),0)</f>
        <v>#REF!</v>
      </c>
      <c r="AF552" s="287" t="str">
        <f>IF(AE552&lt;=MaxS,INT(AD552),0)</f>
        <v>#REF!</v>
      </c>
      <c r="AG552" s="210"/>
      <c r="AH552" s="210"/>
      <c r="AI552" s="288" t="str">
        <f t="shared" si="5"/>
        <v>#REF!</v>
      </c>
      <c r="AJ552" s="289" t="str">
        <f t="shared" si="6"/>
        <v>#REF!</v>
      </c>
    </row>
    <row r="553" ht="15.0" customHeight="1">
      <c r="A553" s="272"/>
      <c r="B553" s="250">
        <f>IF(OR(ISNA(MATCH(C553&amp;"",AthleteNumbers,0)),ISBLANK(C553)),0,MATCH(C553&amp;"",AthleteNumbers,0))</f>
        <v>0</v>
      </c>
      <c r="C553" s="413"/>
      <c r="D553" s="273" t="str">
        <f t="array" ref="D553">IF($B553&gt;0,INDEX(DB,$B553,8),"")</f>
        <v/>
      </c>
      <c r="E553" s="274" t="str">
        <f t="array" ref="E553">IF($B553&gt;0,INDEX(DB,$B553,3),"")</f>
        <v/>
      </c>
      <c r="F553" s="275">
        <f t="array" ref="F553">IF($B553&gt;0,INDEX(DB,$B553,13),0)</f>
        <v>0</v>
      </c>
      <c r="G553" s="276">
        <f t="array" ref="G553">IF($B553&gt;0,INDEX(DB,$B553,17),0)</f>
        <v>0</v>
      </c>
      <c r="H553" s="277">
        <f t="array" ref="H553">IF($B553&gt;0,INDEX(DB,$B553,15),0)</f>
        <v>0</v>
      </c>
      <c r="I553" s="276">
        <f t="array" ref="I553">IF($B553&gt;0,INDEX(DB,$B553,19),0)</f>
        <v>0</v>
      </c>
      <c r="J553" s="277">
        <f t="array" ref="J553">IF($B553&gt;0,INDEX(DB,$B553,14),0)</f>
        <v>0</v>
      </c>
      <c r="K553" s="276">
        <f t="array" ref="K553">IF($B553&gt;0,INDEX(DB,$B553,18),0)</f>
        <v>0</v>
      </c>
      <c r="L553" s="275">
        <f t="array" ref="L553">IF($B553&gt;0,INDEX(DB,$B553,16),0)</f>
        <v>0</v>
      </c>
      <c r="M553" s="276">
        <f t="array" ref="M553">IF($B553&gt;0,INDEX(DB,$B553,20),0)</f>
        <v>0</v>
      </c>
      <c r="N553" s="278"/>
      <c r="O553" s="279">
        <f t="shared" si="1"/>
        <v>0</v>
      </c>
      <c r="P553" s="280"/>
      <c r="Q553" s="261" t="str">
        <f t="shared" si="2"/>
        <v>#REF!</v>
      </c>
      <c r="R553" s="290" t="str">
        <f>IF($AI553&gt;0,RANK($AI553,BoysPoints),0)</f>
        <v>#REF!</v>
      </c>
      <c r="S553" s="291" t="str">
        <f>IF($AJ553&gt;0,RANK($AJ553,GirlsPoints),0)</f>
        <v>#REF!</v>
      </c>
      <c r="T553" s="292">
        <f>IF($O553&gt;0,RANK(O553,AthletePoints),0)</f>
        <v>0</v>
      </c>
      <c r="U553" s="210"/>
      <c r="V553" s="330" t="str">
        <f>IF(O553&gt;=40,IF(X553="M",VLOOKUP(O553,UKABoysAwards,2),IF(X553="F",VLOOKUP(O553,UKAGirlsAwards,2),"")),"")</f>
        <v/>
      </c>
      <c r="W553" s="210"/>
      <c r="X553" s="266" t="str">
        <f t="array" ref="X553:X554">INDEX(DB,$B553,4)</f>
        <v>#REF!</v>
      </c>
      <c r="Y553" s="210"/>
      <c r="Z553" s="285" t="str">
        <f t="shared" si="3"/>
        <v>#REF!</v>
      </c>
      <c r="AA553" s="286" t="str">
        <f>IF($Z553&gt;=1,RANK($Z553,$Z549:$Z564),0)</f>
        <v>#REF!</v>
      </c>
      <c r="AB553" s="287" t="str">
        <f>IF(AA553&lt;=MaxS,INT(Z553),0)</f>
        <v>#REF!</v>
      </c>
      <c r="AC553" s="210"/>
      <c r="AD553" s="285" t="str">
        <f t="shared" si="4"/>
        <v>#REF!</v>
      </c>
      <c r="AE553" s="286" t="str">
        <f>IF($AD553&gt;=1,RANK($AD553,$AD549:$AD564),0)</f>
        <v>#REF!</v>
      </c>
      <c r="AF553" s="287" t="str">
        <f>IF(AE553&lt;=MaxS,INT(AD553),0)</f>
        <v>#REF!</v>
      </c>
      <c r="AG553" s="210"/>
      <c r="AH553" s="210"/>
      <c r="AI553" s="288" t="str">
        <f t="shared" si="5"/>
        <v>#REF!</v>
      </c>
      <c r="AJ553" s="289" t="str">
        <f t="shared" si="6"/>
        <v>#REF!</v>
      </c>
    </row>
    <row r="554" ht="15.0" customHeight="1">
      <c r="A554" s="272"/>
      <c r="B554" s="250">
        <f>IF(OR(ISNA(MATCH(C554&amp;"",AthleteNumbers,0)),ISBLANK(C554)),0,MATCH(C554&amp;"",AthleteNumbers,0))</f>
        <v>0</v>
      </c>
      <c r="C554" s="413"/>
      <c r="D554" s="273" t="str">
        <f t="array" ref="D554">IF($B554&gt;0,INDEX(DB,$B554,8),"")</f>
        <v/>
      </c>
      <c r="E554" s="274" t="str">
        <f t="array" ref="E554">IF($B554&gt;0,INDEX(DB,$B554,3),"")</f>
        <v/>
      </c>
      <c r="F554" s="275">
        <f t="array" ref="F554">IF($B554&gt;0,INDEX(DB,$B554,13),0)</f>
        <v>0</v>
      </c>
      <c r="G554" s="276">
        <f t="array" ref="G554">IF($B554&gt;0,INDEX(DB,$B554,17),0)</f>
        <v>0</v>
      </c>
      <c r="H554" s="277">
        <f t="array" ref="H554">IF($B554&gt;0,INDEX(DB,$B554,15),0)</f>
        <v>0</v>
      </c>
      <c r="I554" s="276">
        <f t="array" ref="I554">IF($B554&gt;0,INDEX(DB,$B554,19),0)</f>
        <v>0</v>
      </c>
      <c r="J554" s="277">
        <f t="array" ref="J554">IF($B554&gt;0,INDEX(DB,$B554,14),0)</f>
        <v>0</v>
      </c>
      <c r="K554" s="276">
        <f t="array" ref="K554">IF($B554&gt;0,INDEX(DB,$B554,18),0)</f>
        <v>0</v>
      </c>
      <c r="L554" s="275">
        <f t="array" ref="L554">IF($B554&gt;0,INDEX(DB,$B554,16),0)</f>
        <v>0</v>
      </c>
      <c r="M554" s="276">
        <f t="array" ref="M554">IF($B554&gt;0,INDEX(DB,$B554,20),0)</f>
        <v>0</v>
      </c>
      <c r="N554" s="278"/>
      <c r="O554" s="279">
        <f t="shared" si="1"/>
        <v>0</v>
      </c>
      <c r="P554" s="280"/>
      <c r="Q554" s="261" t="str">
        <f t="shared" si="2"/>
        <v>#REF!</v>
      </c>
      <c r="R554" s="281" t="str">
        <f>IF($AI554&gt;0,RANK($AI554,BoysPoints),0)</f>
        <v>#REF!</v>
      </c>
      <c r="S554" s="282" t="str">
        <f>IF($AJ554&gt;0,RANK($AJ554,GirlsPoints),0)</f>
        <v>#REF!</v>
      </c>
      <c r="T554" s="283">
        <f>IF($O554&gt;0,RANK(O554,AthletePoints),0)</f>
        <v>0</v>
      </c>
      <c r="U554" s="210"/>
      <c r="V554" s="415" t="str">
        <f>IF(O554&gt;=40,IF(X554="M",VLOOKUP(O554,UKABoysAwards,2),IF(X554="F",VLOOKUP(O554,UKAGirlsAwards,2),"")),"")</f>
        <v/>
      </c>
      <c r="W554" s="210"/>
      <c r="X554" s="266" t="str">
        <f t="array" ref="X554:X555">INDEX(DB,$B554,4)</f>
        <v>#REF!</v>
      </c>
      <c r="Y554" s="210"/>
      <c r="Z554" s="285" t="str">
        <f t="shared" si="3"/>
        <v>#REF!</v>
      </c>
      <c r="AA554" s="286" t="str">
        <f>IF($Z554&gt;=1,RANK($Z554,$Z549:$Z564),0)</f>
        <v>#REF!</v>
      </c>
      <c r="AB554" s="287" t="str">
        <f>IF(AA554&lt;=MaxS,INT(Z554),0)</f>
        <v>#REF!</v>
      </c>
      <c r="AC554" s="210"/>
      <c r="AD554" s="285" t="str">
        <f t="shared" si="4"/>
        <v>#REF!</v>
      </c>
      <c r="AE554" s="286" t="str">
        <f>IF($AD554&gt;=1,RANK($AD554,$AD549:$AD564),0)</f>
        <v>#REF!</v>
      </c>
      <c r="AF554" s="287" t="str">
        <f>IF(AE554&lt;=MaxS,INT(AD554),0)</f>
        <v>#REF!</v>
      </c>
      <c r="AG554" s="210"/>
      <c r="AH554" s="210"/>
      <c r="AI554" s="288" t="str">
        <f t="shared" si="5"/>
        <v>#REF!</v>
      </c>
      <c r="AJ554" s="289" t="str">
        <f t="shared" si="6"/>
        <v>#REF!</v>
      </c>
    </row>
    <row r="555" ht="15.0" customHeight="1">
      <c r="A555" s="272"/>
      <c r="B555" s="250">
        <f>IF(OR(ISNA(MATCH(C555&amp;"",AthleteNumbers,0)),ISBLANK(C555)),0,MATCH(C555&amp;"",AthleteNumbers,0))</f>
        <v>0</v>
      </c>
      <c r="C555" s="413"/>
      <c r="D555" s="273" t="str">
        <f t="array" ref="D555">IF($B555&gt;0,INDEX(DB,$B555,8),"")</f>
        <v/>
      </c>
      <c r="E555" s="274" t="str">
        <f t="array" ref="E555">IF($B555&gt;0,INDEX(DB,$B555,3),"")</f>
        <v/>
      </c>
      <c r="F555" s="275">
        <f t="array" ref="F555">IF($B555&gt;0,INDEX(DB,$B555,13),0)</f>
        <v>0</v>
      </c>
      <c r="G555" s="276">
        <f t="array" ref="G555">IF($B555&gt;0,INDEX(DB,$B555,17),0)</f>
        <v>0</v>
      </c>
      <c r="H555" s="277">
        <f t="array" ref="H555">IF($B555&gt;0,INDEX(DB,$B555,15),0)</f>
        <v>0</v>
      </c>
      <c r="I555" s="276">
        <f t="array" ref="I555">IF($B555&gt;0,INDEX(DB,$B555,19),0)</f>
        <v>0</v>
      </c>
      <c r="J555" s="277">
        <f t="array" ref="J555">IF($B555&gt;0,INDEX(DB,$B555,14),0)</f>
        <v>0</v>
      </c>
      <c r="K555" s="276">
        <f t="array" ref="K555">IF($B555&gt;0,INDEX(DB,$B555,18),0)</f>
        <v>0</v>
      </c>
      <c r="L555" s="275">
        <f t="array" ref="L555">IF($B555&gt;0,INDEX(DB,$B555,16),0)</f>
        <v>0</v>
      </c>
      <c r="M555" s="276">
        <f t="array" ref="M555">IF($B555&gt;0,INDEX(DB,$B555,20),0)</f>
        <v>0</v>
      </c>
      <c r="N555" s="278"/>
      <c r="O555" s="279">
        <f t="shared" si="1"/>
        <v>0</v>
      </c>
      <c r="P555" s="280"/>
      <c r="Q555" s="261" t="str">
        <f t="shared" si="2"/>
        <v>#REF!</v>
      </c>
      <c r="R555" s="290" t="str">
        <f>IF($AI555&gt;0,RANK($AI555,BoysPoints),0)</f>
        <v>#REF!</v>
      </c>
      <c r="S555" s="291" t="str">
        <f>IF($AJ555&gt;0,RANK($AJ555,GirlsPoints),0)</f>
        <v>#REF!</v>
      </c>
      <c r="T555" s="292">
        <f>IF($O555&gt;0,RANK(O555,AthletePoints),0)</f>
        <v>0</v>
      </c>
      <c r="U555" s="210"/>
      <c r="V555" s="330" t="str">
        <f>IF(O555&gt;=40,IF(X555="M",VLOOKUP(O555,UKABoysAwards,2),IF(X555="F",VLOOKUP(O555,UKAGirlsAwards,2),"")),"")</f>
        <v/>
      </c>
      <c r="W555" s="210"/>
      <c r="X555" s="266" t="str">
        <f t="array" ref="X555:X556">INDEX(DB,$B555,4)</f>
        <v>#REF!</v>
      </c>
      <c r="Y555" s="210"/>
      <c r="Z555" s="285" t="str">
        <f t="shared" si="3"/>
        <v>#REF!</v>
      </c>
      <c r="AA555" s="286" t="str">
        <f>IF($Z555&gt;=1,RANK($Z555,$Z549:$Z564),0)</f>
        <v>#REF!</v>
      </c>
      <c r="AB555" s="287" t="str">
        <f>IF(AA555&lt;=MaxS,INT(Z555),0)</f>
        <v>#REF!</v>
      </c>
      <c r="AC555" s="210"/>
      <c r="AD555" s="285" t="str">
        <f t="shared" si="4"/>
        <v>#REF!</v>
      </c>
      <c r="AE555" s="286" t="str">
        <f>IF($AD555&gt;=1,RANK($AD555,$AD549:$AD564),0)</f>
        <v>#REF!</v>
      </c>
      <c r="AF555" s="287" t="str">
        <f>IF(AE555&lt;=MaxS,INT(AD555),0)</f>
        <v>#REF!</v>
      </c>
      <c r="AG555" s="210"/>
      <c r="AH555" s="210"/>
      <c r="AI555" s="288" t="str">
        <f t="shared" si="5"/>
        <v>#REF!</v>
      </c>
      <c r="AJ555" s="289" t="str">
        <f t="shared" si="6"/>
        <v>#REF!</v>
      </c>
    </row>
    <row r="556" ht="15.0" customHeight="1">
      <c r="A556" s="272"/>
      <c r="B556" s="250">
        <f>IF(OR(ISNA(MATCH(C556&amp;"",AthleteNumbers,0)),ISBLANK(C556)),0,MATCH(C556&amp;"",AthleteNumbers,0))</f>
        <v>0</v>
      </c>
      <c r="C556" s="413"/>
      <c r="D556" s="273" t="str">
        <f t="array" ref="D556">IF($B556&gt;0,INDEX(DB,$B556,8),"")</f>
        <v/>
      </c>
      <c r="E556" s="274" t="str">
        <f t="array" ref="E556">IF($B556&gt;0,INDEX(DB,$B556,3),"")</f>
        <v/>
      </c>
      <c r="F556" s="275">
        <f t="array" ref="F556">IF($B556&gt;0,INDEX(DB,$B556,13),0)</f>
        <v>0</v>
      </c>
      <c r="G556" s="276">
        <f t="array" ref="G556">IF($B556&gt;0,INDEX(DB,$B556,17),0)</f>
        <v>0</v>
      </c>
      <c r="H556" s="277">
        <f t="array" ref="H556">IF($B556&gt;0,INDEX(DB,$B556,15),0)</f>
        <v>0</v>
      </c>
      <c r="I556" s="276">
        <f t="array" ref="I556">IF($B556&gt;0,INDEX(DB,$B556,19),0)</f>
        <v>0</v>
      </c>
      <c r="J556" s="277">
        <f t="array" ref="J556">IF($B556&gt;0,INDEX(DB,$B556,14),0)</f>
        <v>0</v>
      </c>
      <c r="K556" s="276">
        <f t="array" ref="K556">IF($B556&gt;0,INDEX(DB,$B556,18),0)</f>
        <v>0</v>
      </c>
      <c r="L556" s="275">
        <f t="array" ref="L556">IF($B556&gt;0,INDEX(DB,$B556,16),0)</f>
        <v>0</v>
      </c>
      <c r="M556" s="276">
        <f t="array" ref="M556">IF($B556&gt;0,INDEX(DB,$B556,20),0)</f>
        <v>0</v>
      </c>
      <c r="N556" s="278"/>
      <c r="O556" s="279">
        <f t="shared" si="1"/>
        <v>0</v>
      </c>
      <c r="P556" s="280"/>
      <c r="Q556" s="261" t="str">
        <f t="shared" si="2"/>
        <v>#REF!</v>
      </c>
      <c r="R556" s="281" t="str">
        <f>IF($AI556&gt;0,RANK($AI556,BoysPoints),0)</f>
        <v>#REF!</v>
      </c>
      <c r="S556" s="282" t="str">
        <f>IF($AJ556&gt;0,RANK($AJ556,GirlsPoints),0)</f>
        <v>#REF!</v>
      </c>
      <c r="T556" s="283">
        <f>IF($O556&gt;0,RANK(O556,AthletePoints),0)</f>
        <v>0</v>
      </c>
      <c r="U556" s="210"/>
      <c r="V556" s="415" t="str">
        <f>IF(O556&gt;=40,IF(X556="M",VLOOKUP(O556,UKABoysAwards,2),IF(X556="F",VLOOKUP(O556,UKAGirlsAwards,2),"")),"")</f>
        <v/>
      </c>
      <c r="W556" s="210"/>
      <c r="X556" s="266" t="str">
        <f t="array" ref="X556:X557">INDEX(DB,$B556,4)</f>
        <v>#REF!</v>
      </c>
      <c r="Y556" s="210"/>
      <c r="Z556" s="285" t="str">
        <f t="shared" si="3"/>
        <v>#REF!</v>
      </c>
      <c r="AA556" s="286" t="str">
        <f>IF($Z556&gt;=1,RANK($Z556,$Z549:$Z564),0)</f>
        <v>#REF!</v>
      </c>
      <c r="AB556" s="287" t="str">
        <f>IF(AA556&lt;=MaxS,INT(Z556),0)</f>
        <v>#REF!</v>
      </c>
      <c r="AC556" s="210"/>
      <c r="AD556" s="285" t="str">
        <f t="shared" si="4"/>
        <v>#REF!</v>
      </c>
      <c r="AE556" s="286" t="str">
        <f>IF($AD556&gt;=1,RANK($AD556,$AD549:$AD564),0)</f>
        <v>#REF!</v>
      </c>
      <c r="AF556" s="287" t="str">
        <f>IF(AE556&lt;=MaxS,INT(AD556),0)</f>
        <v>#REF!</v>
      </c>
      <c r="AG556" s="210"/>
      <c r="AH556" s="210"/>
      <c r="AI556" s="288" t="str">
        <f t="shared" si="5"/>
        <v>#REF!</v>
      </c>
      <c r="AJ556" s="289" t="str">
        <f t="shared" si="6"/>
        <v>#REF!</v>
      </c>
    </row>
    <row r="557" ht="15.0" customHeight="1">
      <c r="A557" s="272"/>
      <c r="B557" s="250">
        <f>IF(OR(ISNA(MATCH(C557&amp;"",AthleteNumbers,0)),ISBLANK(C557)),0,MATCH(C557&amp;"",AthleteNumbers,0))</f>
        <v>0</v>
      </c>
      <c r="C557" s="413"/>
      <c r="D557" s="273" t="str">
        <f t="array" ref="D557">IF($B557&gt;0,INDEX(DB,$B557,8),"")</f>
        <v/>
      </c>
      <c r="E557" s="274" t="str">
        <f t="array" ref="E557">IF($B557&gt;0,INDEX(DB,$B557,3),"")</f>
        <v/>
      </c>
      <c r="F557" s="275">
        <f t="array" ref="F557">IF($B557&gt;0,INDEX(DB,$B557,13),0)</f>
        <v>0</v>
      </c>
      <c r="G557" s="276">
        <f t="array" ref="G557">IF($B557&gt;0,INDEX(DB,$B557,17),0)</f>
        <v>0</v>
      </c>
      <c r="H557" s="277">
        <f t="array" ref="H557">IF($B557&gt;0,INDEX(DB,$B557,15),0)</f>
        <v>0</v>
      </c>
      <c r="I557" s="276">
        <f t="array" ref="I557">IF($B557&gt;0,INDEX(DB,$B557,19),0)</f>
        <v>0</v>
      </c>
      <c r="J557" s="277">
        <f t="array" ref="J557">IF($B557&gt;0,INDEX(DB,$B557,14),0)</f>
        <v>0</v>
      </c>
      <c r="K557" s="276">
        <f t="array" ref="K557">IF($B557&gt;0,INDEX(DB,$B557,18),0)</f>
        <v>0</v>
      </c>
      <c r="L557" s="275">
        <f t="array" ref="L557">IF($B557&gt;0,INDEX(DB,$B557,16),0)</f>
        <v>0</v>
      </c>
      <c r="M557" s="276">
        <f t="array" ref="M557">IF($B557&gt;0,INDEX(DB,$B557,20),0)</f>
        <v>0</v>
      </c>
      <c r="N557" s="278"/>
      <c r="O557" s="279">
        <f t="shared" si="1"/>
        <v>0</v>
      </c>
      <c r="P557" s="280"/>
      <c r="Q557" s="261" t="str">
        <f t="shared" si="2"/>
        <v>#REF!</v>
      </c>
      <c r="R557" s="290" t="str">
        <f>IF($AI557&gt;0,RANK($AI557,BoysPoints),0)</f>
        <v>#REF!</v>
      </c>
      <c r="S557" s="291" t="str">
        <f>IF($AJ557&gt;0,RANK($AJ557,GirlsPoints),0)</f>
        <v>#REF!</v>
      </c>
      <c r="T557" s="292">
        <f>IF($O557&gt;0,RANK(O557,AthletePoints),0)</f>
        <v>0</v>
      </c>
      <c r="U557" s="210"/>
      <c r="V557" s="330" t="str">
        <f>IF(O557&gt;=40,IF(X557="M",VLOOKUP(O557,UKABoysAwards,2),IF(X557="F",VLOOKUP(O557,UKAGirlsAwards,2),"")),"")</f>
        <v/>
      </c>
      <c r="W557" s="210"/>
      <c r="X557" s="266" t="str">
        <f t="array" ref="X557:X558">INDEX(DB,$B557,4)</f>
        <v>#REF!</v>
      </c>
      <c r="Y557" s="210"/>
      <c r="Z557" s="285" t="str">
        <f t="shared" si="3"/>
        <v>#REF!</v>
      </c>
      <c r="AA557" s="286" t="str">
        <f>IF($Z557&gt;=1,RANK($Z557,$Z549:$Z564),0)</f>
        <v>#REF!</v>
      </c>
      <c r="AB557" s="287" t="str">
        <f>IF(AA557&lt;=MaxS,INT(Z557),0)</f>
        <v>#REF!</v>
      </c>
      <c r="AC557" s="210"/>
      <c r="AD557" s="285" t="str">
        <f t="shared" si="4"/>
        <v>#REF!</v>
      </c>
      <c r="AE557" s="286" t="str">
        <f>IF($AD557&gt;=1,RANK($AD557,$AD549:$AD564),0)</f>
        <v>#REF!</v>
      </c>
      <c r="AF557" s="287" t="str">
        <f>IF(AE557&lt;=MaxS,INT(AD557),0)</f>
        <v>#REF!</v>
      </c>
      <c r="AG557" s="210"/>
      <c r="AH557" s="210"/>
      <c r="AI557" s="288" t="str">
        <f t="shared" si="5"/>
        <v>#REF!</v>
      </c>
      <c r="AJ557" s="289" t="str">
        <f t="shared" si="6"/>
        <v>#REF!</v>
      </c>
    </row>
    <row r="558" ht="15.0" customHeight="1">
      <c r="A558" s="272"/>
      <c r="B558" s="250">
        <f>IF(OR(ISNA(MATCH(C558&amp;"",AthleteNumbers,0)),ISBLANK(C558)),0,MATCH(C558&amp;"",AthleteNumbers,0))</f>
        <v>0</v>
      </c>
      <c r="C558" s="413"/>
      <c r="D558" s="273" t="str">
        <f t="array" ref="D558">IF($B558&gt;0,INDEX(DB,$B558,8),"")</f>
        <v/>
      </c>
      <c r="E558" s="274" t="str">
        <f t="array" ref="E558">IF($B558&gt;0,INDEX(DB,$B558,3),"")</f>
        <v/>
      </c>
      <c r="F558" s="275">
        <f t="array" ref="F558">IF($B558&gt;0,INDEX(DB,$B558,13),0)</f>
        <v>0</v>
      </c>
      <c r="G558" s="276">
        <f t="array" ref="G558">IF($B558&gt;0,INDEX(DB,$B558,17),0)</f>
        <v>0</v>
      </c>
      <c r="H558" s="277">
        <f t="array" ref="H558">IF($B558&gt;0,INDEX(DB,$B558,15),0)</f>
        <v>0</v>
      </c>
      <c r="I558" s="276">
        <f t="array" ref="I558">IF($B558&gt;0,INDEX(DB,$B558,19),0)</f>
        <v>0</v>
      </c>
      <c r="J558" s="277">
        <f t="array" ref="J558">IF($B558&gt;0,INDEX(DB,$B558,14),0)</f>
        <v>0</v>
      </c>
      <c r="K558" s="276">
        <f t="array" ref="K558">IF($B558&gt;0,INDEX(DB,$B558,18),0)</f>
        <v>0</v>
      </c>
      <c r="L558" s="275">
        <f t="array" ref="L558">IF($B558&gt;0,INDEX(DB,$B558,16),0)</f>
        <v>0</v>
      </c>
      <c r="M558" s="276">
        <f t="array" ref="M558">IF($B558&gt;0,INDEX(DB,$B558,20),0)</f>
        <v>0</v>
      </c>
      <c r="N558" s="278"/>
      <c r="O558" s="279">
        <f t="shared" si="1"/>
        <v>0</v>
      </c>
      <c r="P558" s="280"/>
      <c r="Q558" s="261" t="str">
        <f t="shared" si="2"/>
        <v>#REF!</v>
      </c>
      <c r="R558" s="281" t="str">
        <f>IF($AI558&gt;0,RANK($AI558,BoysPoints),0)</f>
        <v>#REF!</v>
      </c>
      <c r="S558" s="282" t="str">
        <f>IF($AJ558&gt;0,RANK($AJ558,GirlsPoints),0)</f>
        <v>#REF!</v>
      </c>
      <c r="T558" s="283">
        <f>IF($O558&gt;0,RANK(O558,AthletePoints),0)</f>
        <v>0</v>
      </c>
      <c r="U558" s="210"/>
      <c r="V558" s="415" t="str">
        <f>IF(O558&gt;=40,IF(X558="M",VLOOKUP(O558,UKABoysAwards,2),IF(X558="F",VLOOKUP(O558,UKAGirlsAwards,2),"")),"")</f>
        <v/>
      </c>
      <c r="W558" s="210"/>
      <c r="X558" s="266" t="str">
        <f t="array" ref="X558:X559">INDEX(DB,$B558,4)</f>
        <v>#REF!</v>
      </c>
      <c r="Y558" s="210"/>
      <c r="Z558" s="285" t="str">
        <f t="shared" si="3"/>
        <v>#REF!</v>
      </c>
      <c r="AA558" s="286" t="str">
        <f>IF($Z558&gt;=1,RANK($Z558,$Z549:$Z564),0)</f>
        <v>#REF!</v>
      </c>
      <c r="AB558" s="287" t="str">
        <f>IF(AA558&lt;=MaxS,INT(Z558),0)</f>
        <v>#REF!</v>
      </c>
      <c r="AC558" s="210"/>
      <c r="AD558" s="285" t="str">
        <f t="shared" si="4"/>
        <v>#REF!</v>
      </c>
      <c r="AE558" s="286" t="str">
        <f>IF($AD558&gt;=1,RANK($AD558,$AD549:$AD564),0)</f>
        <v>#REF!</v>
      </c>
      <c r="AF558" s="287" t="str">
        <f>IF(AE558&lt;=MaxS,INT(AD558),0)</f>
        <v>#REF!</v>
      </c>
      <c r="AG558" s="210"/>
      <c r="AH558" s="210"/>
      <c r="AI558" s="288" t="str">
        <f t="shared" si="5"/>
        <v>#REF!</v>
      </c>
      <c r="AJ558" s="289" t="str">
        <f t="shared" si="6"/>
        <v>#REF!</v>
      </c>
    </row>
    <row r="559" ht="15.0" customHeight="1">
      <c r="A559" s="272"/>
      <c r="B559" s="250">
        <f>IF(OR(ISNA(MATCH(C559&amp;"",AthleteNumbers,0)),ISBLANK(C559)),0,MATCH(C559&amp;"",AthleteNumbers,0))</f>
        <v>0</v>
      </c>
      <c r="C559" s="413"/>
      <c r="D559" s="273" t="str">
        <f t="array" ref="D559">IF($B559&gt;0,INDEX(DB,$B559,8),"")</f>
        <v/>
      </c>
      <c r="E559" s="274" t="str">
        <f t="array" ref="E559">IF($B559&gt;0,INDEX(DB,$B559,3),"")</f>
        <v/>
      </c>
      <c r="F559" s="275">
        <f t="array" ref="F559">IF($B559&gt;0,INDEX(DB,$B559,13),0)</f>
        <v>0</v>
      </c>
      <c r="G559" s="276">
        <f t="array" ref="G559">IF($B559&gt;0,INDEX(DB,$B559,17),0)</f>
        <v>0</v>
      </c>
      <c r="H559" s="277">
        <f t="array" ref="H559">IF($B559&gt;0,INDEX(DB,$B559,15),0)</f>
        <v>0</v>
      </c>
      <c r="I559" s="276">
        <f t="array" ref="I559">IF($B559&gt;0,INDEX(DB,$B559,19),0)</f>
        <v>0</v>
      </c>
      <c r="J559" s="277">
        <f t="array" ref="J559">IF($B559&gt;0,INDEX(DB,$B559,14),0)</f>
        <v>0</v>
      </c>
      <c r="K559" s="276">
        <f t="array" ref="K559">IF($B559&gt;0,INDEX(DB,$B559,18),0)</f>
        <v>0</v>
      </c>
      <c r="L559" s="275">
        <f t="array" ref="L559">IF($B559&gt;0,INDEX(DB,$B559,16),0)</f>
        <v>0</v>
      </c>
      <c r="M559" s="276">
        <f t="array" ref="M559">IF($B559&gt;0,INDEX(DB,$B559,20),0)</f>
        <v>0</v>
      </c>
      <c r="N559" s="278"/>
      <c r="O559" s="279">
        <f t="shared" si="1"/>
        <v>0</v>
      </c>
      <c r="P559" s="280"/>
      <c r="Q559" s="261" t="str">
        <f t="shared" si="2"/>
        <v>#REF!</v>
      </c>
      <c r="R559" s="290" t="str">
        <f>IF($AI559&gt;0,RANK($AI559,BoysPoints),0)</f>
        <v>#REF!</v>
      </c>
      <c r="S559" s="291" t="str">
        <f>IF($AJ559&gt;0,RANK($AJ559,GirlsPoints),0)</f>
        <v>#REF!</v>
      </c>
      <c r="T559" s="292">
        <f>IF($O559&gt;0,RANK(O559,AthletePoints),0)</f>
        <v>0</v>
      </c>
      <c r="U559" s="210"/>
      <c r="V559" s="330" t="str">
        <f>IF(O559&gt;=40,IF(X559="M",VLOOKUP(O559,UKABoysAwards,2),IF(X559="F",VLOOKUP(O559,UKAGirlsAwards,2),"")),"")</f>
        <v/>
      </c>
      <c r="W559" s="210"/>
      <c r="X559" s="266" t="str">
        <f t="array" ref="X559:X560">INDEX(DB,$B559,4)</f>
        <v>#REF!</v>
      </c>
      <c r="Y559" s="210"/>
      <c r="Z559" s="285" t="str">
        <f t="shared" si="3"/>
        <v>#REF!</v>
      </c>
      <c r="AA559" s="286" t="str">
        <f>IF($Z559&gt;=1,RANK($Z559,$Z549:$Z564),0)</f>
        <v>#REF!</v>
      </c>
      <c r="AB559" s="287" t="str">
        <f>IF(AA559&lt;=MaxS,INT(Z559),0)</f>
        <v>#REF!</v>
      </c>
      <c r="AC559" s="210"/>
      <c r="AD559" s="285" t="str">
        <f t="shared" si="4"/>
        <v>#REF!</v>
      </c>
      <c r="AE559" s="286" t="str">
        <f>IF($AD559&gt;=1,RANK($AD559,$AD549:$AD564),0)</f>
        <v>#REF!</v>
      </c>
      <c r="AF559" s="287" t="str">
        <f>IF(AE559&lt;=MaxS,INT(AD559),0)</f>
        <v>#REF!</v>
      </c>
      <c r="AG559" s="210"/>
      <c r="AH559" s="210"/>
      <c r="AI559" s="288" t="str">
        <f t="shared" si="5"/>
        <v>#REF!</v>
      </c>
      <c r="AJ559" s="289" t="str">
        <f t="shared" si="6"/>
        <v>#REF!</v>
      </c>
    </row>
    <row r="560" ht="15.0" customHeight="1">
      <c r="A560" s="272"/>
      <c r="B560" s="250">
        <f>IF(OR(ISNA(MATCH(C560&amp;"",AthleteNumbers,0)),ISBLANK(C560)),0,MATCH(C560&amp;"",AthleteNumbers,0))</f>
        <v>0</v>
      </c>
      <c r="C560" s="413"/>
      <c r="D560" s="273" t="str">
        <f t="array" ref="D560">IF($B560&gt;0,INDEX(DB,$B560,8),"")</f>
        <v/>
      </c>
      <c r="E560" s="274" t="str">
        <f t="array" ref="E560">IF($B560&gt;0,INDEX(DB,$B560,3),"")</f>
        <v/>
      </c>
      <c r="F560" s="275">
        <f t="array" ref="F560">IF($B560&gt;0,INDEX(DB,$B560,13),0)</f>
        <v>0</v>
      </c>
      <c r="G560" s="276">
        <f t="array" ref="G560">IF($B560&gt;0,INDEX(DB,$B560,17),0)</f>
        <v>0</v>
      </c>
      <c r="H560" s="277">
        <f t="array" ref="H560">IF($B560&gt;0,INDEX(DB,$B560,15),0)</f>
        <v>0</v>
      </c>
      <c r="I560" s="276">
        <f t="array" ref="I560">IF($B560&gt;0,INDEX(DB,$B560,19),0)</f>
        <v>0</v>
      </c>
      <c r="J560" s="277">
        <f t="array" ref="J560">IF($B560&gt;0,INDEX(DB,$B560,14),0)</f>
        <v>0</v>
      </c>
      <c r="K560" s="276">
        <f t="array" ref="K560">IF($B560&gt;0,INDEX(DB,$B560,18),0)</f>
        <v>0</v>
      </c>
      <c r="L560" s="275">
        <f t="array" ref="L560">IF($B560&gt;0,INDEX(DB,$B560,16),0)</f>
        <v>0</v>
      </c>
      <c r="M560" s="276">
        <f t="array" ref="M560">IF($B560&gt;0,INDEX(DB,$B560,20),0)</f>
        <v>0</v>
      </c>
      <c r="N560" s="278"/>
      <c r="O560" s="279">
        <f t="shared" si="1"/>
        <v>0</v>
      </c>
      <c r="P560" s="280"/>
      <c r="Q560" s="261" t="str">
        <f t="shared" si="2"/>
        <v>#REF!</v>
      </c>
      <c r="R560" s="281" t="str">
        <f>IF($AI560&gt;0,RANK($AI560,BoysPoints),0)</f>
        <v>#REF!</v>
      </c>
      <c r="S560" s="282" t="str">
        <f>IF($AJ560&gt;0,RANK($AJ560,GirlsPoints),0)</f>
        <v>#REF!</v>
      </c>
      <c r="T560" s="283">
        <f>IF($O560&gt;0,RANK(O560,AthletePoints),0)</f>
        <v>0</v>
      </c>
      <c r="U560" s="210"/>
      <c r="V560" s="415" t="str">
        <f>IF(O560&gt;=40,IF(X560="M",VLOOKUP(O560,UKABoysAwards,2),IF(X560="F",VLOOKUP(O560,UKAGirlsAwards,2),"")),"")</f>
        <v/>
      </c>
      <c r="W560" s="210"/>
      <c r="X560" s="266" t="str">
        <f t="array" ref="X560:X561">INDEX(DB,$B560,4)</f>
        <v>#REF!</v>
      </c>
      <c r="Y560" s="210"/>
      <c r="Z560" s="285" t="str">
        <f t="shared" si="3"/>
        <v>#REF!</v>
      </c>
      <c r="AA560" s="286" t="str">
        <f>IF($Z560&gt;=1,RANK($Z560,$Z549:$Z564),0)</f>
        <v>#REF!</v>
      </c>
      <c r="AB560" s="287" t="str">
        <f>IF(AA560&lt;=MaxS,INT(Z560),0)</f>
        <v>#REF!</v>
      </c>
      <c r="AC560" s="210"/>
      <c r="AD560" s="285" t="str">
        <f t="shared" si="4"/>
        <v>#REF!</v>
      </c>
      <c r="AE560" s="286" t="str">
        <f>IF($AD560&gt;=1,RANK($AD560,$AD549:$AD564),0)</f>
        <v>#REF!</v>
      </c>
      <c r="AF560" s="287" t="str">
        <f>IF(AE560&lt;=MaxS,INT(AD560),0)</f>
        <v>#REF!</v>
      </c>
      <c r="AG560" s="210"/>
      <c r="AH560" s="210"/>
      <c r="AI560" s="288" t="str">
        <f t="shared" si="5"/>
        <v>#REF!</v>
      </c>
      <c r="AJ560" s="289" t="str">
        <f t="shared" si="6"/>
        <v>#REF!</v>
      </c>
    </row>
    <row r="561" ht="15.0" customHeight="1">
      <c r="A561" s="272"/>
      <c r="B561" s="250">
        <f>IF(OR(ISNA(MATCH(C561&amp;"",AthleteNumbers,0)),ISBLANK(C561)),0,MATCH(C561&amp;"",AthleteNumbers,0))</f>
        <v>0</v>
      </c>
      <c r="C561" s="413"/>
      <c r="D561" s="273" t="str">
        <f t="array" ref="D561">IF($B561&gt;0,INDEX(DB,$B561,8),"")</f>
        <v/>
      </c>
      <c r="E561" s="274" t="str">
        <f t="array" ref="E561">IF($B561&gt;0,INDEX(DB,$B561,3),"")</f>
        <v/>
      </c>
      <c r="F561" s="275">
        <f t="array" ref="F561">IF($B561&gt;0,INDEX(DB,$B561,13),0)</f>
        <v>0</v>
      </c>
      <c r="G561" s="276">
        <f t="array" ref="G561">IF($B561&gt;0,INDEX(DB,$B561,17),0)</f>
        <v>0</v>
      </c>
      <c r="H561" s="277">
        <f t="array" ref="H561">IF($B561&gt;0,INDEX(DB,$B561,15),0)</f>
        <v>0</v>
      </c>
      <c r="I561" s="276">
        <f t="array" ref="I561">IF($B561&gt;0,INDEX(DB,$B561,19),0)</f>
        <v>0</v>
      </c>
      <c r="J561" s="277">
        <f t="array" ref="J561">IF($B561&gt;0,INDEX(DB,$B561,14),0)</f>
        <v>0</v>
      </c>
      <c r="K561" s="276">
        <f t="array" ref="K561">IF($B561&gt;0,INDEX(DB,$B561,18),0)</f>
        <v>0</v>
      </c>
      <c r="L561" s="275">
        <f t="array" ref="L561">IF($B561&gt;0,INDEX(DB,$B561,16),0)</f>
        <v>0</v>
      </c>
      <c r="M561" s="276">
        <f t="array" ref="M561">IF($B561&gt;0,INDEX(DB,$B561,20),0)</f>
        <v>0</v>
      </c>
      <c r="N561" s="278"/>
      <c r="O561" s="279">
        <f t="shared" si="1"/>
        <v>0</v>
      </c>
      <c r="P561" s="280"/>
      <c r="Q561" s="261" t="str">
        <f t="shared" si="2"/>
        <v>#REF!</v>
      </c>
      <c r="R561" s="290" t="str">
        <f>IF($AI561&gt;0,RANK($AI561,BoysPoints),0)</f>
        <v>#REF!</v>
      </c>
      <c r="S561" s="291" t="str">
        <f>IF($AJ561&gt;0,RANK($AJ561,GirlsPoints),0)</f>
        <v>#REF!</v>
      </c>
      <c r="T561" s="292">
        <f>IF($O561&gt;0,RANK(O561,AthletePoints),0)</f>
        <v>0</v>
      </c>
      <c r="U561" s="210"/>
      <c r="V561" s="330" t="str">
        <f>IF(O561&gt;=40,IF(X561="M",VLOOKUP(O561,UKABoysAwards,2),IF(X561="F",VLOOKUP(O561,UKAGirlsAwards,2),"")),"")</f>
        <v/>
      </c>
      <c r="W561" s="210"/>
      <c r="X561" s="266" t="str">
        <f t="array" ref="X561:X562">INDEX(DB,$B561,4)</f>
        <v>#REF!</v>
      </c>
      <c r="Y561" s="210"/>
      <c r="Z561" s="285" t="str">
        <f t="shared" si="3"/>
        <v>#REF!</v>
      </c>
      <c r="AA561" s="286" t="str">
        <f>IF($Z561&gt;=1,RANK($Z561,$Z549:$Z564),0)</f>
        <v>#REF!</v>
      </c>
      <c r="AB561" s="287" t="str">
        <f>IF(AA561&lt;=MaxS,INT(Z561),0)</f>
        <v>#REF!</v>
      </c>
      <c r="AC561" s="210"/>
      <c r="AD561" s="285" t="str">
        <f t="shared" si="4"/>
        <v>#REF!</v>
      </c>
      <c r="AE561" s="286" t="str">
        <f>IF($AD561&gt;=1,RANK($AD561,$AD549:$AD564),0)</f>
        <v>#REF!</v>
      </c>
      <c r="AF561" s="287" t="str">
        <f>IF(AE561&lt;=MaxS,INT(AD561),0)</f>
        <v>#REF!</v>
      </c>
      <c r="AG561" s="210"/>
      <c r="AH561" s="210"/>
      <c r="AI561" s="288" t="str">
        <f t="shared" si="5"/>
        <v>#REF!</v>
      </c>
      <c r="AJ561" s="289" t="str">
        <f t="shared" si="6"/>
        <v>#REF!</v>
      </c>
    </row>
    <row r="562" ht="15.0" customHeight="1">
      <c r="A562" s="272"/>
      <c r="B562" s="250">
        <f>IF(OR(ISNA(MATCH(C562&amp;"",AthleteNumbers,0)),ISBLANK(C562)),0,MATCH(C562&amp;"",AthleteNumbers,0))</f>
        <v>0</v>
      </c>
      <c r="C562" s="413"/>
      <c r="D562" s="273" t="str">
        <f t="array" ref="D562">IF($B562&gt;0,INDEX(DB,$B562,8),"")</f>
        <v/>
      </c>
      <c r="E562" s="274" t="str">
        <f t="array" ref="E562">IF($B562&gt;0,INDEX(DB,$B562,3),"")</f>
        <v/>
      </c>
      <c r="F562" s="275">
        <f t="array" ref="F562">IF($B562&gt;0,INDEX(DB,$B562,13),0)</f>
        <v>0</v>
      </c>
      <c r="G562" s="276">
        <f t="array" ref="G562">IF($B562&gt;0,INDEX(DB,$B562,17),0)</f>
        <v>0</v>
      </c>
      <c r="H562" s="277">
        <f t="array" ref="H562">IF($B562&gt;0,INDEX(DB,$B562,15),0)</f>
        <v>0</v>
      </c>
      <c r="I562" s="276">
        <f t="array" ref="I562">IF($B562&gt;0,INDEX(DB,$B562,19),0)</f>
        <v>0</v>
      </c>
      <c r="J562" s="277">
        <f t="array" ref="J562">IF($B562&gt;0,INDEX(DB,$B562,14),0)</f>
        <v>0</v>
      </c>
      <c r="K562" s="276">
        <f t="array" ref="K562">IF($B562&gt;0,INDEX(DB,$B562,18),0)</f>
        <v>0</v>
      </c>
      <c r="L562" s="275">
        <f t="array" ref="L562">IF($B562&gt;0,INDEX(DB,$B562,16),0)</f>
        <v>0</v>
      </c>
      <c r="M562" s="276">
        <f t="array" ref="M562">IF($B562&gt;0,INDEX(DB,$B562,20),0)</f>
        <v>0</v>
      </c>
      <c r="N562" s="278"/>
      <c r="O562" s="279">
        <f t="shared" si="1"/>
        <v>0</v>
      </c>
      <c r="P562" s="280"/>
      <c r="Q562" s="261" t="str">
        <f t="shared" si="2"/>
        <v>#REF!</v>
      </c>
      <c r="R562" s="281" t="str">
        <f>IF($AI562&gt;0,RANK($AI562,BoysPoints),0)</f>
        <v>#REF!</v>
      </c>
      <c r="S562" s="282" t="str">
        <f>IF($AJ562&gt;0,RANK($AJ562,GirlsPoints),0)</f>
        <v>#REF!</v>
      </c>
      <c r="T562" s="283">
        <f>IF($O562&gt;0,RANK(O562,AthletePoints),0)</f>
        <v>0</v>
      </c>
      <c r="U562" s="210"/>
      <c r="V562" s="415" t="str">
        <f>IF(O562&gt;=40,IF(X562="M",VLOOKUP(O562,UKABoysAwards,2),IF(X562="F",VLOOKUP(O562,UKAGirlsAwards,2),"")),"")</f>
        <v/>
      </c>
      <c r="W562" s="210"/>
      <c r="X562" s="266" t="str">
        <f t="array" ref="X562:X563">INDEX(DB,$B562,4)</f>
        <v>#REF!</v>
      </c>
      <c r="Y562" s="210"/>
      <c r="Z562" s="285" t="str">
        <f t="shared" si="3"/>
        <v>#REF!</v>
      </c>
      <c r="AA562" s="286" t="str">
        <f>IF($Z562&gt;=1,RANK($Z562,$Z549:$Z564),0)</f>
        <v>#REF!</v>
      </c>
      <c r="AB562" s="287" t="str">
        <f>IF(AA562&lt;=MaxS,INT(Z562),0)</f>
        <v>#REF!</v>
      </c>
      <c r="AC562" s="210"/>
      <c r="AD562" s="285" t="str">
        <f t="shared" si="4"/>
        <v>#REF!</v>
      </c>
      <c r="AE562" s="286" t="str">
        <f>IF($AD562&gt;=1,RANK($AD562,$AD549:$AD564),0)</f>
        <v>#REF!</v>
      </c>
      <c r="AF562" s="287" t="str">
        <f>IF(AE562&lt;=MaxS,INT(AD562),0)</f>
        <v>#REF!</v>
      </c>
      <c r="AG562" s="210"/>
      <c r="AH562" s="210"/>
      <c r="AI562" s="288" t="str">
        <f t="shared" si="5"/>
        <v>#REF!</v>
      </c>
      <c r="AJ562" s="289" t="str">
        <f t="shared" si="6"/>
        <v>#REF!</v>
      </c>
    </row>
    <row r="563" ht="15.0" customHeight="1">
      <c r="A563" s="272"/>
      <c r="B563" s="250">
        <f>IF(OR(ISNA(MATCH(C563&amp;"",AthleteNumbers,0)),ISBLANK(C563)),0,MATCH(C563&amp;"",AthleteNumbers,0))</f>
        <v>0</v>
      </c>
      <c r="C563" s="413"/>
      <c r="D563" s="273" t="str">
        <f t="array" ref="D563">IF($B563&gt;0,INDEX(DB,$B563,8),"")</f>
        <v/>
      </c>
      <c r="E563" s="274" t="str">
        <f t="array" ref="E563">IF($B563&gt;0,INDEX(DB,$B563,3),"")</f>
        <v/>
      </c>
      <c r="F563" s="275">
        <f t="array" ref="F563">IF($B563&gt;0,INDEX(DB,$B563,13),0)</f>
        <v>0</v>
      </c>
      <c r="G563" s="276">
        <f t="array" ref="G563">IF($B563&gt;0,INDEX(DB,$B563,17),0)</f>
        <v>0</v>
      </c>
      <c r="H563" s="277">
        <f t="array" ref="H563">IF($B563&gt;0,INDEX(DB,$B563,15),0)</f>
        <v>0</v>
      </c>
      <c r="I563" s="276">
        <f t="array" ref="I563">IF($B563&gt;0,INDEX(DB,$B563,19),0)</f>
        <v>0</v>
      </c>
      <c r="J563" s="277">
        <f t="array" ref="J563">IF($B563&gt;0,INDEX(DB,$B563,14),0)</f>
        <v>0</v>
      </c>
      <c r="K563" s="276">
        <f t="array" ref="K563">IF($B563&gt;0,INDEX(DB,$B563,18),0)</f>
        <v>0</v>
      </c>
      <c r="L563" s="275">
        <f t="array" ref="L563">IF($B563&gt;0,INDEX(DB,$B563,16),0)</f>
        <v>0</v>
      </c>
      <c r="M563" s="276">
        <f t="array" ref="M563">IF($B563&gt;0,INDEX(DB,$B563,20),0)</f>
        <v>0</v>
      </c>
      <c r="N563" s="278"/>
      <c r="O563" s="279">
        <f t="shared" si="1"/>
        <v>0</v>
      </c>
      <c r="P563" s="280"/>
      <c r="Q563" s="261" t="str">
        <f t="shared" si="2"/>
        <v>#REF!</v>
      </c>
      <c r="R563" s="290" t="str">
        <f>IF($AI563&gt;0,RANK($AI563,BoysPoints),0)</f>
        <v>#REF!</v>
      </c>
      <c r="S563" s="291" t="str">
        <f>IF($AJ563&gt;0,RANK($AJ563,GirlsPoints),0)</f>
        <v>#REF!</v>
      </c>
      <c r="T563" s="292">
        <f>IF($O563&gt;0,RANK(O563,AthletePoints),0)</f>
        <v>0</v>
      </c>
      <c r="U563" s="210"/>
      <c r="V563" s="330" t="str">
        <f>IF(O563&gt;=40,IF(X563="M",VLOOKUP(O563,UKABoysAwards,2),IF(X563="F",VLOOKUP(O563,UKAGirlsAwards,2),"")),"")</f>
        <v/>
      </c>
      <c r="W563" s="210"/>
      <c r="X563" s="266" t="str">
        <f t="array" ref="X563:X564">INDEX(DB,$B563,4)</f>
        <v>#REF!</v>
      </c>
      <c r="Y563" s="210"/>
      <c r="Z563" s="285" t="str">
        <f t="shared" si="3"/>
        <v>#REF!</v>
      </c>
      <c r="AA563" s="286" t="str">
        <f>IF($Z563&gt;=1,RANK($Z563,$Z549:$Z564),0)</f>
        <v>#REF!</v>
      </c>
      <c r="AB563" s="287" t="str">
        <f>IF(AA563&lt;=MaxS,INT(Z563),0)</f>
        <v>#REF!</v>
      </c>
      <c r="AC563" s="210"/>
      <c r="AD563" s="285" t="str">
        <f t="shared" si="4"/>
        <v>#REF!</v>
      </c>
      <c r="AE563" s="286" t="str">
        <f>IF($AD563&gt;=1,RANK($AD563,$AD549:$AD564),0)</f>
        <v>#REF!</v>
      </c>
      <c r="AF563" s="287" t="str">
        <f>IF(AE563&lt;=MaxS,INT(AD563),0)</f>
        <v>#REF!</v>
      </c>
      <c r="AG563" s="210"/>
      <c r="AH563" s="210"/>
      <c r="AI563" s="288" t="str">
        <f t="shared" si="5"/>
        <v>#REF!</v>
      </c>
      <c r="AJ563" s="289" t="str">
        <f t="shared" si="6"/>
        <v>#REF!</v>
      </c>
    </row>
    <row r="564" ht="15.0" customHeight="1">
      <c r="A564" s="305"/>
      <c r="B564" s="250">
        <f>IF(OR(ISNA(MATCH(C564&amp;"",AthleteNumbers,0)),ISBLANK(C564)),0,MATCH(C564&amp;"",AthleteNumbers,0))</f>
        <v>0</v>
      </c>
      <c r="C564" s="443"/>
      <c r="D564" s="306" t="str">
        <f t="array" ref="D564">IF($B564&gt;0,INDEX(DB,$B564,8),"")</f>
        <v/>
      </c>
      <c r="E564" s="307" t="str">
        <f t="array" ref="E564">IF($B564&gt;0,INDEX(DB,$B564,3),"")</f>
        <v/>
      </c>
      <c r="F564" s="308">
        <f t="array" ref="F564">IF($B564&gt;0,INDEX(DB,$B564,13),0)</f>
        <v>0</v>
      </c>
      <c r="G564" s="309">
        <f t="array" ref="G564">IF($B564&gt;0,INDEX(DB,$B564,17),0)</f>
        <v>0</v>
      </c>
      <c r="H564" s="310">
        <f t="array" ref="H564">IF($B564&gt;0,INDEX(DB,$B564,15),0)</f>
        <v>0</v>
      </c>
      <c r="I564" s="309">
        <f t="array" ref="I564">IF($B564&gt;0,INDEX(DB,$B564,19),0)</f>
        <v>0</v>
      </c>
      <c r="J564" s="310">
        <f t="array" ref="J564">IF($B564&gt;0,INDEX(DB,$B564,14),0)</f>
        <v>0</v>
      </c>
      <c r="K564" s="309">
        <f t="array" ref="K564">IF($B564&gt;0,INDEX(DB,$B564,18),0)</f>
        <v>0</v>
      </c>
      <c r="L564" s="308">
        <f t="array" ref="L564">IF($B564&gt;0,INDEX(DB,$B564,16),0)</f>
        <v>0</v>
      </c>
      <c r="M564" s="309">
        <f t="array" ref="M564">IF($B564&gt;0,INDEX(DB,$B564,20),0)</f>
        <v>0</v>
      </c>
      <c r="N564" s="25"/>
      <c r="O564" s="311">
        <f t="shared" si="1"/>
        <v>0</v>
      </c>
      <c r="P564" s="31"/>
      <c r="Q564" s="261" t="str">
        <f t="shared" si="2"/>
        <v/>
      </c>
      <c r="R564" s="312">
        <f>IF($AI564&gt;0,RANK($AI564,BoysPoints),0)</f>
        <v>0</v>
      </c>
      <c r="S564" s="313">
        <f>IF($AJ564&gt;0,RANK($AJ564,GirlsPoints),0)</f>
        <v>0</v>
      </c>
      <c r="T564" s="314">
        <f>IF($O564&gt;0,RANK(O564,AthletePoints),0)</f>
        <v>0</v>
      </c>
      <c r="U564" s="210"/>
      <c r="V564" s="444" t="str">
        <f>IF(O564&gt;=40,IF(X564="M",VLOOKUP(O564,UKABoysAwards,2),IF(X564="F",VLOOKUP(O564,UKAGirlsAwards,2),"")),"")</f>
        <v/>
      </c>
      <c r="W564" s="210"/>
      <c r="X564" s="266" t="str">
        <f t="array" ref="X564:X1563">INDEX(DB,$B564,4)</f>
        <v>M</v>
      </c>
      <c r="Y564" s="210"/>
      <c r="Z564" s="316">
        <f t="shared" si="3"/>
        <v>0.0564</v>
      </c>
      <c r="AA564" s="243">
        <f>IF($Z564&gt;=1,RANK($Z564,$Z549:$Z564),0)</f>
        <v>0</v>
      </c>
      <c r="AB564" s="245">
        <f>IF(AA564&lt;=MaxS,INT(Z564),0)</f>
        <v>0</v>
      </c>
      <c r="AC564" s="210" t="str">
        <f>SUM(AB549:AB564)</f>
        <v>#REF!</v>
      </c>
      <c r="AD564" s="316">
        <f t="shared" si="4"/>
        <v>0</v>
      </c>
      <c r="AE564" s="243">
        <f>IF($AD564&gt;=1,RANK($AD564,$AD549:$AD564),0)</f>
        <v>0</v>
      </c>
      <c r="AF564" s="245">
        <f>IF(AE564&lt;=MaxS,INT(AD564),0)</f>
        <v>0</v>
      </c>
      <c r="AG564" s="210" t="str">
        <f>SUM(AF549:AF564)</f>
        <v>#REF!</v>
      </c>
      <c r="AH564" s="210"/>
      <c r="AI564" s="246">
        <f t="shared" si="5"/>
        <v>0</v>
      </c>
      <c r="AJ564" s="247">
        <f t="shared" si="6"/>
        <v>0</v>
      </c>
    </row>
    <row r="565" ht="14.25" customHeight="1">
      <c r="A565" s="210"/>
      <c r="B565" s="210"/>
      <c r="C565" s="210"/>
      <c r="D565" s="210"/>
      <c r="E565" s="210"/>
      <c r="F565" s="210"/>
      <c r="G565" s="210"/>
      <c r="H565" s="210"/>
      <c r="I565" s="210"/>
      <c r="J565" s="210"/>
      <c r="K565" s="210"/>
      <c r="L565" s="210"/>
      <c r="M565" s="210"/>
      <c r="N565" s="445">
        <v>0.0</v>
      </c>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row>
    <row r="566" ht="14.25" customHeight="1">
      <c r="A566" s="210"/>
      <c r="B566" s="210"/>
      <c r="C566" s="210"/>
      <c r="D566" s="210"/>
      <c r="E566" s="210"/>
      <c r="F566" s="210"/>
      <c r="G566" s="210"/>
      <c r="H566" s="210"/>
      <c r="I566" s="210"/>
      <c r="J566" s="210"/>
      <c r="K566" s="210"/>
      <c r="L566" s="210"/>
      <c r="M566" s="210"/>
      <c r="N566" s="445">
        <v>0.0</v>
      </c>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row>
    <row r="567" ht="14.25" customHeight="1">
      <c r="A567" s="210"/>
      <c r="B567" s="210"/>
      <c r="C567" s="210"/>
      <c r="D567" s="210"/>
      <c r="E567" s="210"/>
      <c r="F567" s="210"/>
      <c r="G567" s="210"/>
      <c r="H567" s="210"/>
      <c r="I567" s="210"/>
      <c r="J567" s="210"/>
      <c r="K567" s="210"/>
      <c r="L567" s="210"/>
      <c r="M567" s="210"/>
      <c r="N567" s="445">
        <v>0.0</v>
      </c>
      <c r="O567" s="210"/>
      <c r="P567" s="210"/>
      <c r="Q567" s="210"/>
      <c r="R567" s="210"/>
      <c r="S567" s="210"/>
      <c r="T567" s="210"/>
      <c r="U567" s="210"/>
      <c r="V567" s="210"/>
      <c r="W567" s="210"/>
      <c r="X567" s="210"/>
      <c r="Y567" s="210"/>
      <c r="Z567" s="210"/>
      <c r="AA567" s="210"/>
      <c r="AB567" s="210"/>
      <c r="AC567" s="210"/>
      <c r="AD567" s="210"/>
      <c r="AE567" s="210"/>
      <c r="AF567" s="210"/>
      <c r="AG567" s="210"/>
      <c r="AH567" s="210"/>
      <c r="AI567" s="210"/>
      <c r="AJ567" s="210"/>
    </row>
    <row r="568" ht="14.25" customHeight="1">
      <c r="A568" s="210"/>
      <c r="B568" s="210"/>
      <c r="C568" s="210"/>
      <c r="D568" s="210"/>
      <c r="E568" s="210"/>
      <c r="F568" s="210"/>
      <c r="G568" s="210"/>
      <c r="H568" s="210"/>
      <c r="I568" s="210"/>
      <c r="J568" s="210"/>
      <c r="K568" s="210"/>
      <c r="L568" s="210"/>
      <c r="M568" s="210"/>
      <c r="N568" s="445">
        <v>0.0</v>
      </c>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row>
    <row r="569" ht="14.25" customHeight="1">
      <c r="A569" s="210"/>
      <c r="B569" s="210"/>
      <c r="C569" s="210"/>
      <c r="D569" s="210"/>
      <c r="E569" s="210"/>
      <c r="F569" s="210"/>
      <c r="G569" s="210"/>
      <c r="H569" s="210"/>
      <c r="I569" s="210"/>
      <c r="J569" s="210"/>
      <c r="K569" s="210"/>
      <c r="L569" s="210"/>
      <c r="M569" s="210"/>
      <c r="N569" s="445">
        <v>0.0</v>
      </c>
      <c r="O569" s="210"/>
      <c r="P569" s="210"/>
      <c r="Q569" s="210"/>
      <c r="R569" s="210"/>
      <c r="S569" s="210"/>
      <c r="T569" s="210"/>
      <c r="U569" s="210"/>
      <c r="V569" s="210"/>
      <c r="W569" s="210"/>
      <c r="X569" s="210"/>
      <c r="Y569" s="210"/>
      <c r="Z569" s="210"/>
      <c r="AA569" s="210"/>
      <c r="AB569" s="210"/>
      <c r="AC569" s="210"/>
      <c r="AD569" s="210"/>
      <c r="AE569" s="210"/>
      <c r="AF569" s="210"/>
      <c r="AG569" s="210"/>
      <c r="AH569" s="210"/>
      <c r="AI569" s="210"/>
      <c r="AJ569" s="210"/>
    </row>
    <row r="570" ht="14.25" customHeight="1">
      <c r="A570" s="210"/>
      <c r="B570" s="210"/>
      <c r="C570" s="210"/>
      <c r="D570" s="210"/>
      <c r="E570" s="210"/>
      <c r="F570" s="210"/>
      <c r="G570" s="210"/>
      <c r="H570" s="210"/>
      <c r="I570" s="210"/>
      <c r="J570" s="210"/>
      <c r="K570" s="210"/>
      <c r="L570" s="210"/>
      <c r="M570" s="210"/>
      <c r="N570" s="445">
        <v>0.0</v>
      </c>
      <c r="O570" s="210"/>
      <c r="P570" s="210"/>
      <c r="Q570" s="210"/>
      <c r="R570" s="210"/>
      <c r="S570" s="210"/>
      <c r="T570" s="210"/>
      <c r="U570" s="210"/>
      <c r="V570" s="210"/>
      <c r="W570" s="210"/>
      <c r="X570" s="210"/>
      <c r="Y570" s="210"/>
      <c r="Z570" s="210"/>
      <c r="AA570" s="210"/>
      <c r="AB570" s="210"/>
      <c r="AC570" s="210"/>
      <c r="AD570" s="210"/>
      <c r="AE570" s="210"/>
      <c r="AF570" s="210"/>
      <c r="AG570" s="210"/>
      <c r="AH570" s="210"/>
      <c r="AI570" s="210"/>
      <c r="AJ570" s="210"/>
    </row>
    <row r="571" ht="14.25" customHeight="1">
      <c r="A571" s="210"/>
      <c r="B571" s="210"/>
      <c r="C571" s="210"/>
      <c r="D571" s="210"/>
      <c r="E571" s="210"/>
      <c r="F571" s="210"/>
      <c r="G571" s="210"/>
      <c r="H571" s="210"/>
      <c r="I571" s="210"/>
      <c r="J571" s="210"/>
      <c r="K571" s="210"/>
      <c r="L571" s="210"/>
      <c r="M571" s="210"/>
      <c r="N571" s="445">
        <v>0.0</v>
      </c>
      <c r="O571" s="210"/>
      <c r="P571" s="210"/>
      <c r="Q571" s="210"/>
      <c r="R571" s="210"/>
      <c r="S571" s="210"/>
      <c r="T571" s="210"/>
      <c r="U571" s="210"/>
      <c r="V571" s="210"/>
      <c r="W571" s="210"/>
      <c r="X571" s="210"/>
      <c r="Y571" s="210"/>
      <c r="Z571" s="210"/>
      <c r="AA571" s="210"/>
      <c r="AB571" s="210"/>
      <c r="AC571" s="210"/>
      <c r="AD571" s="210"/>
      <c r="AE571" s="210"/>
      <c r="AF571" s="210"/>
      <c r="AG571" s="210"/>
      <c r="AH571" s="210"/>
      <c r="AI571" s="210"/>
      <c r="AJ571" s="210"/>
    </row>
    <row r="572" ht="14.25" customHeight="1">
      <c r="A572" s="210"/>
      <c r="B572" s="210"/>
      <c r="C572" s="210"/>
      <c r="D572" s="210"/>
      <c r="E572" s="210"/>
      <c r="F572" s="210"/>
      <c r="G572" s="210"/>
      <c r="H572" s="210"/>
      <c r="I572" s="210"/>
      <c r="J572" s="210"/>
      <c r="K572" s="210"/>
      <c r="L572" s="210"/>
      <c r="M572" s="210"/>
      <c r="N572" s="445">
        <v>0.0</v>
      </c>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row>
    <row r="573" ht="14.25" customHeight="1">
      <c r="A573" s="210"/>
      <c r="B573" s="210"/>
      <c r="C573" s="210"/>
      <c r="D573" s="210"/>
      <c r="E573" s="210"/>
      <c r="F573" s="210"/>
      <c r="G573" s="210"/>
      <c r="H573" s="210"/>
      <c r="I573" s="210"/>
      <c r="J573" s="210"/>
      <c r="K573" s="210"/>
      <c r="L573" s="210"/>
      <c r="M573" s="210"/>
      <c r="N573" s="445">
        <v>0.0</v>
      </c>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row>
    <row r="574" ht="14.25" customHeight="1">
      <c r="A574" s="210"/>
      <c r="B574" s="210"/>
      <c r="C574" s="210"/>
      <c r="D574" s="210"/>
      <c r="E574" s="210"/>
      <c r="F574" s="210"/>
      <c r="G574" s="210"/>
      <c r="H574" s="210"/>
      <c r="I574" s="210"/>
      <c r="J574" s="210"/>
      <c r="K574" s="210"/>
      <c r="L574" s="210"/>
      <c r="M574" s="210"/>
      <c r="N574" s="445">
        <v>0.0</v>
      </c>
      <c r="O574" s="210"/>
      <c r="P574" s="210"/>
      <c r="Q574" s="210"/>
      <c r="R574" s="210"/>
      <c r="S574" s="210"/>
      <c r="T574" s="210"/>
      <c r="U574" s="210"/>
      <c r="V574" s="210"/>
      <c r="W574" s="210"/>
      <c r="X574" s="210"/>
      <c r="Y574" s="210"/>
      <c r="Z574" s="210"/>
      <c r="AA574" s="210"/>
      <c r="AB574" s="210"/>
      <c r="AC574" s="210"/>
      <c r="AD574" s="210"/>
      <c r="AE574" s="210"/>
      <c r="AF574" s="210"/>
      <c r="AG574" s="210"/>
      <c r="AH574" s="210"/>
      <c r="AI574" s="210"/>
      <c r="AJ574" s="210"/>
    </row>
    <row r="575" ht="14.25" customHeight="1">
      <c r="A575" s="210"/>
      <c r="B575" s="210"/>
      <c r="C575" s="210"/>
      <c r="D575" s="210"/>
      <c r="E575" s="210"/>
      <c r="F575" s="210"/>
      <c r="G575" s="210"/>
      <c r="H575" s="210"/>
      <c r="I575" s="210"/>
      <c r="J575" s="210"/>
      <c r="K575" s="210"/>
      <c r="L575" s="210"/>
      <c r="M575" s="210"/>
      <c r="N575" s="445">
        <v>0.0</v>
      </c>
      <c r="O575" s="210"/>
      <c r="P575" s="210"/>
      <c r="Q575" s="210"/>
      <c r="R575" s="210"/>
      <c r="S575" s="210"/>
      <c r="T575" s="210"/>
      <c r="U575" s="210"/>
      <c r="V575" s="210"/>
      <c r="W575" s="210"/>
      <c r="X575" s="210"/>
      <c r="Y575" s="210"/>
      <c r="Z575" s="210"/>
      <c r="AA575" s="210"/>
      <c r="AB575" s="210"/>
      <c r="AC575" s="210"/>
      <c r="AD575" s="210"/>
      <c r="AE575" s="210"/>
      <c r="AF575" s="210"/>
      <c r="AG575" s="210"/>
      <c r="AH575" s="210"/>
      <c r="AI575" s="210"/>
      <c r="AJ575" s="210"/>
    </row>
    <row r="576" ht="14.25" customHeight="1">
      <c r="A576" s="210"/>
      <c r="B576" s="210"/>
      <c r="C576" s="210"/>
      <c r="D576" s="210"/>
      <c r="E576" s="210"/>
      <c r="F576" s="210"/>
      <c r="G576" s="210"/>
      <c r="H576" s="210"/>
      <c r="I576" s="210"/>
      <c r="J576" s="210"/>
      <c r="K576" s="210"/>
      <c r="L576" s="210"/>
      <c r="M576" s="210"/>
      <c r="N576" s="445">
        <v>0.0</v>
      </c>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row>
    <row r="577" ht="14.25" customHeight="1">
      <c r="A577" s="210"/>
      <c r="B577" s="210"/>
      <c r="C577" s="210"/>
      <c r="D577" s="210"/>
      <c r="E577" s="210"/>
      <c r="F577" s="210"/>
      <c r="G577" s="210"/>
      <c r="H577" s="210"/>
      <c r="I577" s="210"/>
      <c r="J577" s="210"/>
      <c r="K577" s="210"/>
      <c r="L577" s="210"/>
      <c r="M577" s="210"/>
      <c r="N577" s="445">
        <v>0.0</v>
      </c>
      <c r="O577" s="210"/>
      <c r="P577" s="210"/>
      <c r="Q577" s="210"/>
      <c r="R577" s="210"/>
      <c r="S577" s="210"/>
      <c r="T577" s="210"/>
      <c r="U577" s="210"/>
      <c r="V577" s="210"/>
      <c r="W577" s="210"/>
      <c r="X577" s="210"/>
      <c r="Y577" s="210"/>
      <c r="Z577" s="210"/>
      <c r="AA577" s="210"/>
      <c r="AB577" s="210"/>
      <c r="AC577" s="210"/>
      <c r="AD577" s="210"/>
      <c r="AE577" s="210"/>
      <c r="AF577" s="210"/>
      <c r="AG577" s="210"/>
      <c r="AH577" s="210"/>
      <c r="AI577" s="210"/>
      <c r="AJ577" s="210"/>
    </row>
    <row r="578" ht="14.25" customHeight="1">
      <c r="A578" s="210"/>
      <c r="B578" s="210"/>
      <c r="C578" s="210"/>
      <c r="D578" s="210"/>
      <c r="E578" s="210"/>
      <c r="F578" s="210"/>
      <c r="G578" s="210"/>
      <c r="H578" s="210"/>
      <c r="I578" s="210"/>
      <c r="J578" s="210"/>
      <c r="K578" s="210"/>
      <c r="L578" s="210"/>
      <c r="M578" s="210"/>
      <c r="N578" s="445">
        <v>0.0</v>
      </c>
      <c r="O578" s="210"/>
      <c r="P578" s="210"/>
      <c r="Q578" s="210"/>
      <c r="R578" s="210"/>
      <c r="S578" s="210"/>
      <c r="T578" s="210"/>
      <c r="U578" s="210"/>
      <c r="V578" s="210"/>
      <c r="W578" s="210"/>
      <c r="X578" s="210"/>
      <c r="Y578" s="210"/>
      <c r="Z578" s="210"/>
      <c r="AA578" s="210"/>
      <c r="AB578" s="210"/>
      <c r="AC578" s="210"/>
      <c r="AD578" s="210"/>
      <c r="AE578" s="210"/>
      <c r="AF578" s="210"/>
      <c r="AG578" s="210"/>
      <c r="AH578" s="210"/>
      <c r="AI578" s="210"/>
      <c r="AJ578" s="210"/>
    </row>
    <row r="579" ht="14.25" customHeight="1">
      <c r="A579" s="210"/>
      <c r="B579" s="210"/>
      <c r="C579" s="210"/>
      <c r="D579" s="210"/>
      <c r="E579" s="210"/>
      <c r="F579" s="210"/>
      <c r="G579" s="210"/>
      <c r="H579" s="210"/>
      <c r="I579" s="210"/>
      <c r="J579" s="210"/>
      <c r="K579" s="210"/>
      <c r="L579" s="210"/>
      <c r="M579" s="210"/>
      <c r="N579" s="445">
        <v>0.0</v>
      </c>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row>
    <row r="580" ht="14.25" customHeight="1">
      <c r="A580" s="210"/>
      <c r="B580" s="210"/>
      <c r="C580" s="210"/>
      <c r="D580" s="210"/>
      <c r="E580" s="210"/>
      <c r="F580" s="210"/>
      <c r="G580" s="210"/>
      <c r="H580" s="210"/>
      <c r="I580" s="210"/>
      <c r="J580" s="210"/>
      <c r="K580" s="210"/>
      <c r="L580" s="210"/>
      <c r="M580" s="210"/>
      <c r="N580" s="445">
        <v>0.0</v>
      </c>
      <c r="O580" s="210"/>
      <c r="P580" s="210"/>
      <c r="Q580" s="210"/>
      <c r="R580" s="210"/>
      <c r="S580" s="210"/>
      <c r="T580" s="210"/>
      <c r="U580" s="210"/>
      <c r="V580" s="210"/>
      <c r="W580" s="210"/>
      <c r="X580" s="210"/>
      <c r="Y580" s="210"/>
      <c r="Z580" s="210"/>
      <c r="AA580" s="210"/>
      <c r="AB580" s="210"/>
      <c r="AC580" s="210"/>
      <c r="AD580" s="210"/>
      <c r="AE580" s="210"/>
      <c r="AF580" s="210"/>
      <c r="AG580" s="210"/>
      <c r="AH580" s="210"/>
      <c r="AI580" s="210"/>
      <c r="AJ580" s="210"/>
    </row>
    <row r="581" ht="14.25" customHeight="1">
      <c r="A581" s="210"/>
      <c r="B581" s="210"/>
      <c r="C581" s="210"/>
      <c r="D581" s="210"/>
      <c r="E581" s="210"/>
      <c r="F581" s="210"/>
      <c r="G581" s="210"/>
      <c r="H581" s="210"/>
      <c r="I581" s="210"/>
      <c r="J581" s="210"/>
      <c r="K581" s="210"/>
      <c r="L581" s="210"/>
      <c r="M581" s="210"/>
      <c r="N581" s="445">
        <v>0.0</v>
      </c>
      <c r="O581" s="210"/>
      <c r="P581" s="210"/>
      <c r="Q581" s="210"/>
      <c r="R581" s="210"/>
      <c r="S581" s="210"/>
      <c r="T581" s="210"/>
      <c r="U581" s="210"/>
      <c r="V581" s="210"/>
      <c r="W581" s="210"/>
      <c r="X581" s="210"/>
      <c r="Y581" s="210"/>
      <c r="Z581" s="210"/>
      <c r="AA581" s="210"/>
      <c r="AB581" s="210"/>
      <c r="AC581" s="210"/>
      <c r="AD581" s="210"/>
      <c r="AE581" s="210"/>
      <c r="AF581" s="210"/>
      <c r="AG581" s="210"/>
      <c r="AH581" s="210"/>
      <c r="AI581" s="210"/>
      <c r="AJ581" s="210"/>
    </row>
    <row r="582" ht="14.25" customHeight="1">
      <c r="A582" s="210"/>
      <c r="B582" s="210"/>
      <c r="C582" s="210"/>
      <c r="D582" s="210"/>
      <c r="E582" s="210"/>
      <c r="F582" s="210"/>
      <c r="G582" s="210"/>
      <c r="H582" s="210"/>
      <c r="I582" s="210"/>
      <c r="J582" s="210"/>
      <c r="K582" s="210"/>
      <c r="L582" s="210"/>
      <c r="M582" s="210"/>
      <c r="N582" s="445">
        <v>0.0</v>
      </c>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row>
    <row r="583" ht="14.25" customHeight="1">
      <c r="A583" s="210"/>
      <c r="B583" s="210"/>
      <c r="C583" s="210"/>
      <c r="D583" s="210"/>
      <c r="E583" s="210"/>
      <c r="F583" s="210"/>
      <c r="G583" s="210"/>
      <c r="H583" s="210"/>
      <c r="I583" s="210"/>
      <c r="J583" s="210"/>
      <c r="K583" s="210"/>
      <c r="L583" s="210"/>
      <c r="M583" s="210"/>
      <c r="N583" s="445">
        <v>0.0</v>
      </c>
      <c r="O583" s="210"/>
      <c r="P583" s="210"/>
      <c r="Q583" s="210"/>
      <c r="R583" s="210"/>
      <c r="S583" s="210"/>
      <c r="T583" s="210"/>
      <c r="U583" s="210"/>
      <c r="V583" s="210"/>
      <c r="W583" s="210"/>
      <c r="X583" s="210"/>
      <c r="Y583" s="210"/>
      <c r="Z583" s="210"/>
      <c r="AA583" s="210"/>
      <c r="AB583" s="210"/>
      <c r="AC583" s="210"/>
      <c r="AD583" s="210"/>
      <c r="AE583" s="210"/>
      <c r="AF583" s="210"/>
      <c r="AG583" s="210"/>
      <c r="AH583" s="210"/>
      <c r="AI583" s="210"/>
      <c r="AJ583" s="210"/>
    </row>
    <row r="584" ht="14.25" customHeight="1">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c r="AA584" s="210"/>
      <c r="AB584" s="210"/>
      <c r="AC584" s="210"/>
      <c r="AD584" s="210"/>
      <c r="AE584" s="210"/>
      <c r="AF584" s="210"/>
      <c r="AG584" s="210"/>
      <c r="AH584" s="210"/>
      <c r="AI584" s="210"/>
      <c r="AJ584" s="210"/>
    </row>
    <row r="585" ht="14.25" customHeight="1">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row>
    <row r="586" ht="14.25" customHeight="1">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c r="AA586" s="210"/>
      <c r="AB586" s="210"/>
      <c r="AC586" s="210"/>
      <c r="AD586" s="210"/>
      <c r="AE586" s="210"/>
      <c r="AF586" s="210"/>
      <c r="AG586" s="210"/>
      <c r="AH586" s="210"/>
      <c r="AI586" s="210"/>
      <c r="AJ586" s="210"/>
    </row>
    <row r="587" ht="14.25" customHeight="1">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c r="AA587" s="210"/>
      <c r="AB587" s="210"/>
      <c r="AC587" s="210"/>
      <c r="AD587" s="210"/>
      <c r="AE587" s="210"/>
      <c r="AF587" s="210"/>
      <c r="AG587" s="210"/>
      <c r="AH587" s="210"/>
      <c r="AI587" s="210"/>
      <c r="AJ587" s="210"/>
    </row>
    <row r="588" ht="14.25" customHeight="1">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row>
    <row r="589" ht="14.25" customHeight="1">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c r="AA589" s="210"/>
      <c r="AB589" s="210"/>
      <c r="AC589" s="210"/>
      <c r="AD589" s="210"/>
      <c r="AE589" s="210"/>
      <c r="AF589" s="210"/>
      <c r="AG589" s="210"/>
      <c r="AH589" s="210"/>
      <c r="AI589" s="210"/>
      <c r="AJ589" s="210"/>
    </row>
    <row r="590" ht="14.25" customHeight="1">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c r="AA590" s="210"/>
      <c r="AB590" s="210"/>
      <c r="AC590" s="210"/>
      <c r="AD590" s="210"/>
      <c r="AE590" s="210"/>
      <c r="AF590" s="210"/>
      <c r="AG590" s="210"/>
      <c r="AH590" s="210"/>
      <c r="AI590" s="210"/>
      <c r="AJ590" s="210"/>
    </row>
    <row r="591" ht="14.25" customHeight="1">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c r="AA591" s="210"/>
      <c r="AB591" s="210"/>
      <c r="AC591" s="210"/>
      <c r="AD591" s="210"/>
      <c r="AE591" s="210"/>
      <c r="AF591" s="210"/>
      <c r="AG591" s="210"/>
      <c r="AH591" s="210"/>
      <c r="AI591" s="210"/>
      <c r="AJ591" s="210"/>
    </row>
    <row r="592" ht="14.25" customHeight="1">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c r="AA592" s="210"/>
      <c r="AB592" s="210"/>
      <c r="AC592" s="210"/>
      <c r="AD592" s="210"/>
      <c r="AE592" s="210"/>
      <c r="AF592" s="210"/>
      <c r="AG592" s="210"/>
      <c r="AH592" s="210"/>
      <c r="AI592" s="210"/>
      <c r="AJ592" s="210"/>
    </row>
    <row r="593" ht="14.25" customHeight="1">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row>
    <row r="594" ht="14.25" customHeight="1">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c r="AA594" s="210"/>
      <c r="AB594" s="210"/>
      <c r="AC594" s="210"/>
      <c r="AD594" s="210"/>
      <c r="AE594" s="210"/>
      <c r="AF594" s="210"/>
      <c r="AG594" s="210"/>
      <c r="AH594" s="210"/>
      <c r="AI594" s="210"/>
      <c r="AJ594" s="210"/>
    </row>
    <row r="595" ht="14.25" customHeight="1">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c r="AA595" s="210"/>
      <c r="AB595" s="210"/>
      <c r="AC595" s="210"/>
      <c r="AD595" s="210"/>
      <c r="AE595" s="210"/>
      <c r="AF595" s="210"/>
      <c r="AG595" s="210"/>
      <c r="AH595" s="210"/>
      <c r="AI595" s="210"/>
      <c r="AJ595" s="210"/>
    </row>
    <row r="596" ht="14.25" customHeight="1">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c r="AA596" s="210"/>
      <c r="AB596" s="210"/>
      <c r="AC596" s="210"/>
      <c r="AD596" s="210"/>
      <c r="AE596" s="210"/>
      <c r="AF596" s="210"/>
      <c r="AG596" s="210"/>
      <c r="AH596" s="210"/>
      <c r="AI596" s="210"/>
      <c r="AJ596" s="210"/>
    </row>
    <row r="597" ht="14.25" customHeight="1">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c r="AA597" s="210"/>
      <c r="AB597" s="210"/>
      <c r="AC597" s="210"/>
      <c r="AD597" s="210"/>
      <c r="AE597" s="210"/>
      <c r="AF597" s="210"/>
      <c r="AG597" s="210"/>
      <c r="AH597" s="210"/>
      <c r="AI597" s="210"/>
      <c r="AJ597" s="210"/>
    </row>
    <row r="598" ht="14.25" customHeight="1">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c r="AA598" s="210"/>
      <c r="AB598" s="210"/>
      <c r="AC598" s="210"/>
      <c r="AD598" s="210"/>
      <c r="AE598" s="210"/>
      <c r="AF598" s="210"/>
      <c r="AG598" s="210"/>
      <c r="AH598" s="210"/>
      <c r="AI598" s="210"/>
      <c r="AJ598" s="210"/>
    </row>
    <row r="599" ht="14.25" customHeight="1">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c r="AA599" s="210"/>
      <c r="AB599" s="210"/>
      <c r="AC599" s="210"/>
      <c r="AD599" s="210"/>
      <c r="AE599" s="210"/>
      <c r="AF599" s="210"/>
      <c r="AG599" s="210"/>
      <c r="AH599" s="210"/>
      <c r="AI599" s="210"/>
      <c r="AJ599" s="210"/>
    </row>
    <row r="600" ht="14.25" customHeight="1">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c r="AA600" s="210"/>
      <c r="AB600" s="210"/>
      <c r="AC600" s="210"/>
      <c r="AD600" s="210"/>
      <c r="AE600" s="210"/>
      <c r="AF600" s="210"/>
      <c r="AG600" s="210"/>
      <c r="AH600" s="210"/>
      <c r="AI600" s="210"/>
      <c r="AJ600" s="210"/>
    </row>
    <row r="601" ht="14.25" customHeight="1">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c r="AA601" s="210"/>
      <c r="AB601" s="210"/>
      <c r="AC601" s="210"/>
      <c r="AD601" s="210"/>
      <c r="AE601" s="210"/>
      <c r="AF601" s="210"/>
      <c r="AG601" s="210"/>
      <c r="AH601" s="210"/>
      <c r="AI601" s="210"/>
      <c r="AJ601" s="210"/>
    </row>
    <row r="602" ht="14.25" customHeight="1">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row>
    <row r="603" ht="14.25" customHeight="1">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c r="AA603" s="210"/>
      <c r="AB603" s="210"/>
      <c r="AC603" s="210"/>
      <c r="AD603" s="210"/>
      <c r="AE603" s="210"/>
      <c r="AF603" s="210"/>
      <c r="AG603" s="210"/>
      <c r="AH603" s="210"/>
      <c r="AI603" s="210"/>
      <c r="AJ603" s="210"/>
    </row>
    <row r="604" ht="14.25" customHeight="1">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c r="AA604" s="210"/>
      <c r="AB604" s="210"/>
      <c r="AC604" s="210"/>
      <c r="AD604" s="210"/>
      <c r="AE604" s="210"/>
      <c r="AF604" s="210"/>
      <c r="AG604" s="210"/>
      <c r="AH604" s="210"/>
      <c r="AI604" s="210"/>
      <c r="AJ604" s="210"/>
    </row>
    <row r="605" ht="14.25" customHeight="1">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row>
    <row r="606" ht="14.25" customHeight="1">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c r="AA606" s="210"/>
      <c r="AB606" s="210"/>
      <c r="AC606" s="210"/>
      <c r="AD606" s="210"/>
      <c r="AE606" s="210"/>
      <c r="AF606" s="210"/>
      <c r="AG606" s="210"/>
      <c r="AH606" s="210"/>
      <c r="AI606" s="210"/>
      <c r="AJ606" s="210"/>
    </row>
    <row r="607" ht="14.25" customHeight="1">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c r="AA607" s="210"/>
      <c r="AB607" s="210"/>
      <c r="AC607" s="210"/>
      <c r="AD607" s="210"/>
      <c r="AE607" s="210"/>
      <c r="AF607" s="210"/>
      <c r="AG607" s="210"/>
      <c r="AH607" s="210"/>
      <c r="AI607" s="210"/>
      <c r="AJ607" s="210"/>
    </row>
    <row r="608" ht="14.25" customHeight="1">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c r="AA608" s="210"/>
      <c r="AB608" s="210"/>
      <c r="AC608" s="210"/>
      <c r="AD608" s="210"/>
      <c r="AE608" s="210"/>
      <c r="AF608" s="210"/>
      <c r="AG608" s="210"/>
      <c r="AH608" s="210"/>
      <c r="AI608" s="210"/>
      <c r="AJ608" s="210"/>
    </row>
    <row r="609" ht="14.25" customHeight="1">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c r="AA609" s="210"/>
      <c r="AB609" s="210"/>
      <c r="AC609" s="210"/>
      <c r="AD609" s="210"/>
      <c r="AE609" s="210"/>
      <c r="AF609" s="210"/>
      <c r="AG609" s="210"/>
      <c r="AH609" s="210"/>
      <c r="AI609" s="210"/>
      <c r="AJ609" s="210"/>
    </row>
    <row r="610" ht="14.25" customHeight="1">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c r="AA610" s="210"/>
      <c r="AB610" s="210"/>
      <c r="AC610" s="210"/>
      <c r="AD610" s="210"/>
      <c r="AE610" s="210"/>
      <c r="AF610" s="210"/>
      <c r="AG610" s="210"/>
      <c r="AH610" s="210"/>
      <c r="AI610" s="210"/>
      <c r="AJ610" s="210"/>
    </row>
    <row r="611" ht="14.25" customHeight="1">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row>
    <row r="612" ht="14.25" customHeight="1">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c r="AA612" s="210"/>
      <c r="AB612" s="210"/>
      <c r="AC612" s="210"/>
      <c r="AD612" s="210"/>
      <c r="AE612" s="210"/>
      <c r="AF612" s="210"/>
      <c r="AG612" s="210"/>
      <c r="AH612" s="210"/>
      <c r="AI612" s="210"/>
      <c r="AJ612" s="210"/>
    </row>
    <row r="613" ht="14.25" customHeight="1">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c r="AA613" s="210"/>
      <c r="AB613" s="210"/>
      <c r="AC613" s="210"/>
      <c r="AD613" s="210"/>
      <c r="AE613" s="210"/>
      <c r="AF613" s="210"/>
      <c r="AG613" s="210"/>
      <c r="AH613" s="210"/>
      <c r="AI613" s="210"/>
      <c r="AJ613" s="210"/>
    </row>
    <row r="614" ht="14.25" customHeight="1">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c r="AA614" s="210"/>
      <c r="AB614" s="210"/>
      <c r="AC614" s="210"/>
      <c r="AD614" s="210"/>
      <c r="AE614" s="210"/>
      <c r="AF614" s="210"/>
      <c r="AG614" s="210"/>
      <c r="AH614" s="210"/>
      <c r="AI614" s="210"/>
      <c r="AJ614" s="210"/>
    </row>
    <row r="615" ht="14.25" customHeight="1">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c r="AA615" s="210"/>
      <c r="AB615" s="210"/>
      <c r="AC615" s="210"/>
      <c r="AD615" s="210"/>
      <c r="AE615" s="210"/>
      <c r="AF615" s="210"/>
      <c r="AG615" s="210"/>
      <c r="AH615" s="210"/>
      <c r="AI615" s="210"/>
      <c r="AJ615" s="210"/>
    </row>
    <row r="616" ht="14.25" customHeight="1">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c r="AA616" s="210"/>
      <c r="AB616" s="210"/>
      <c r="AC616" s="210"/>
      <c r="AD616" s="210"/>
      <c r="AE616" s="210"/>
      <c r="AF616" s="210"/>
      <c r="AG616" s="210"/>
      <c r="AH616" s="210"/>
      <c r="AI616" s="210"/>
      <c r="AJ616" s="210"/>
    </row>
    <row r="617" ht="14.25" customHeight="1">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c r="AA617" s="210"/>
      <c r="AB617" s="210"/>
      <c r="AC617" s="210"/>
      <c r="AD617" s="210"/>
      <c r="AE617" s="210"/>
      <c r="AF617" s="210"/>
      <c r="AG617" s="210"/>
      <c r="AH617" s="210"/>
      <c r="AI617" s="210"/>
      <c r="AJ617" s="210"/>
    </row>
    <row r="618" ht="14.25" customHeight="1">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c r="AA618" s="210"/>
      <c r="AB618" s="210"/>
      <c r="AC618" s="210"/>
      <c r="AD618" s="210"/>
      <c r="AE618" s="210"/>
      <c r="AF618" s="210"/>
      <c r="AG618" s="210"/>
      <c r="AH618" s="210"/>
      <c r="AI618" s="210"/>
      <c r="AJ618" s="210"/>
    </row>
    <row r="619" ht="14.25" customHeight="1">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c r="AA619" s="210"/>
      <c r="AB619" s="210"/>
      <c r="AC619" s="210"/>
      <c r="AD619" s="210"/>
      <c r="AE619" s="210"/>
      <c r="AF619" s="210"/>
      <c r="AG619" s="210"/>
      <c r="AH619" s="210"/>
      <c r="AI619" s="210"/>
      <c r="AJ619" s="210"/>
    </row>
    <row r="620" ht="14.25" customHeight="1">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c r="AA620" s="210"/>
      <c r="AB620" s="210"/>
      <c r="AC620" s="210"/>
      <c r="AD620" s="210"/>
      <c r="AE620" s="210"/>
      <c r="AF620" s="210"/>
      <c r="AG620" s="210"/>
      <c r="AH620" s="210"/>
      <c r="AI620" s="210"/>
      <c r="AJ620" s="210"/>
    </row>
    <row r="621" ht="14.25" customHeight="1">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c r="AA621" s="210"/>
      <c r="AB621" s="210"/>
      <c r="AC621" s="210"/>
      <c r="AD621" s="210"/>
      <c r="AE621" s="210"/>
      <c r="AF621" s="210"/>
      <c r="AG621" s="210"/>
      <c r="AH621" s="210"/>
      <c r="AI621" s="210"/>
      <c r="AJ621" s="210"/>
    </row>
    <row r="622" ht="14.25" customHeight="1">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c r="AA622" s="210"/>
      <c r="AB622" s="210"/>
      <c r="AC622" s="210"/>
      <c r="AD622" s="210"/>
      <c r="AE622" s="210"/>
      <c r="AF622" s="210"/>
      <c r="AG622" s="210"/>
      <c r="AH622" s="210"/>
      <c r="AI622" s="210"/>
      <c r="AJ622" s="210"/>
    </row>
    <row r="623" ht="14.25" customHeight="1">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c r="AA623" s="210"/>
      <c r="AB623" s="210"/>
      <c r="AC623" s="210"/>
      <c r="AD623" s="210"/>
      <c r="AE623" s="210"/>
      <c r="AF623" s="210"/>
      <c r="AG623" s="210"/>
      <c r="AH623" s="210"/>
      <c r="AI623" s="210"/>
      <c r="AJ623" s="210"/>
    </row>
    <row r="624" ht="14.25" customHeight="1">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c r="AA624" s="210"/>
      <c r="AB624" s="210"/>
      <c r="AC624" s="210"/>
      <c r="AD624" s="210"/>
      <c r="AE624" s="210"/>
      <c r="AF624" s="210"/>
      <c r="AG624" s="210"/>
      <c r="AH624" s="210"/>
      <c r="AI624" s="210"/>
      <c r="AJ624" s="210"/>
    </row>
    <row r="625" ht="14.25" customHeight="1">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c r="AA625" s="210"/>
      <c r="AB625" s="210"/>
      <c r="AC625" s="210"/>
      <c r="AD625" s="210"/>
      <c r="AE625" s="210"/>
      <c r="AF625" s="210"/>
      <c r="AG625" s="210"/>
      <c r="AH625" s="210"/>
      <c r="AI625" s="210"/>
      <c r="AJ625" s="210"/>
    </row>
    <row r="626" ht="14.25" customHeight="1">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c r="AA626" s="210"/>
      <c r="AB626" s="210"/>
      <c r="AC626" s="210"/>
      <c r="AD626" s="210"/>
      <c r="AE626" s="210"/>
      <c r="AF626" s="210"/>
      <c r="AG626" s="210"/>
      <c r="AH626" s="210"/>
      <c r="AI626" s="210"/>
      <c r="AJ626" s="210"/>
    </row>
    <row r="627" ht="14.25" customHeight="1">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c r="AA627" s="210"/>
      <c r="AB627" s="210"/>
      <c r="AC627" s="210"/>
      <c r="AD627" s="210"/>
      <c r="AE627" s="210"/>
      <c r="AF627" s="210"/>
      <c r="AG627" s="210"/>
      <c r="AH627" s="210"/>
      <c r="AI627" s="210"/>
      <c r="AJ627" s="210"/>
    </row>
    <row r="628" ht="14.25" customHeight="1">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c r="AA628" s="210"/>
      <c r="AB628" s="210"/>
      <c r="AC628" s="210"/>
      <c r="AD628" s="210"/>
      <c r="AE628" s="210"/>
      <c r="AF628" s="210"/>
      <c r="AG628" s="210"/>
      <c r="AH628" s="210"/>
      <c r="AI628" s="210"/>
      <c r="AJ628" s="210"/>
    </row>
    <row r="629" ht="14.25" customHeight="1">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c r="AA629" s="210"/>
      <c r="AB629" s="210"/>
      <c r="AC629" s="210"/>
      <c r="AD629" s="210"/>
      <c r="AE629" s="210"/>
      <c r="AF629" s="210"/>
      <c r="AG629" s="210"/>
      <c r="AH629" s="210"/>
      <c r="AI629" s="210"/>
      <c r="AJ629" s="210"/>
    </row>
    <row r="630" ht="14.25" customHeight="1">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c r="AA630" s="210"/>
      <c r="AB630" s="210"/>
      <c r="AC630" s="210"/>
      <c r="AD630" s="210"/>
      <c r="AE630" s="210"/>
      <c r="AF630" s="210"/>
      <c r="AG630" s="210"/>
      <c r="AH630" s="210"/>
      <c r="AI630" s="210"/>
      <c r="AJ630" s="210"/>
    </row>
    <row r="631" ht="14.25" customHeight="1">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c r="AA631" s="210"/>
      <c r="AB631" s="210"/>
      <c r="AC631" s="210"/>
      <c r="AD631" s="210"/>
      <c r="AE631" s="210"/>
      <c r="AF631" s="210"/>
      <c r="AG631" s="210"/>
      <c r="AH631" s="210"/>
      <c r="AI631" s="210"/>
      <c r="AJ631" s="210"/>
    </row>
    <row r="632" ht="14.25" customHeight="1">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c r="AA632" s="210"/>
      <c r="AB632" s="210"/>
      <c r="AC632" s="210"/>
      <c r="AD632" s="210"/>
      <c r="AE632" s="210"/>
      <c r="AF632" s="210"/>
      <c r="AG632" s="210"/>
      <c r="AH632" s="210"/>
      <c r="AI632" s="210"/>
      <c r="AJ632" s="210"/>
    </row>
    <row r="633" ht="14.25" customHeight="1">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c r="AA633" s="210"/>
      <c r="AB633" s="210"/>
      <c r="AC633" s="210"/>
      <c r="AD633" s="210"/>
      <c r="AE633" s="210"/>
      <c r="AF633" s="210"/>
      <c r="AG633" s="210"/>
      <c r="AH633" s="210"/>
      <c r="AI633" s="210"/>
      <c r="AJ633" s="210"/>
    </row>
    <row r="634" ht="14.25" customHeight="1">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c r="AA634" s="210"/>
      <c r="AB634" s="210"/>
      <c r="AC634" s="210"/>
      <c r="AD634" s="210"/>
      <c r="AE634" s="210"/>
      <c r="AF634" s="210"/>
      <c r="AG634" s="210"/>
      <c r="AH634" s="210"/>
      <c r="AI634" s="210"/>
      <c r="AJ634" s="210"/>
    </row>
    <row r="635" ht="14.25" customHeight="1">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c r="AA635" s="210"/>
      <c r="AB635" s="210"/>
      <c r="AC635" s="210"/>
      <c r="AD635" s="210"/>
      <c r="AE635" s="210"/>
      <c r="AF635" s="210"/>
      <c r="AG635" s="210"/>
      <c r="AH635" s="210"/>
      <c r="AI635" s="210"/>
      <c r="AJ635" s="210"/>
    </row>
    <row r="636" ht="14.25" customHeight="1">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c r="AA636" s="210"/>
      <c r="AB636" s="210"/>
      <c r="AC636" s="210"/>
      <c r="AD636" s="210"/>
      <c r="AE636" s="210"/>
      <c r="AF636" s="210"/>
      <c r="AG636" s="210"/>
      <c r="AH636" s="210"/>
      <c r="AI636" s="210"/>
      <c r="AJ636" s="210"/>
    </row>
    <row r="637" ht="14.25" customHeight="1">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c r="AA637" s="210"/>
      <c r="AB637" s="210"/>
      <c r="AC637" s="210"/>
      <c r="AD637" s="210"/>
      <c r="AE637" s="210"/>
      <c r="AF637" s="210"/>
      <c r="AG637" s="210"/>
      <c r="AH637" s="210"/>
      <c r="AI637" s="210"/>
      <c r="AJ637" s="210"/>
    </row>
    <row r="638" ht="14.25" customHeight="1">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c r="AA638" s="210"/>
      <c r="AB638" s="210"/>
      <c r="AC638" s="210"/>
      <c r="AD638" s="210"/>
      <c r="AE638" s="210"/>
      <c r="AF638" s="210"/>
      <c r="AG638" s="210"/>
      <c r="AH638" s="210"/>
      <c r="AI638" s="210"/>
      <c r="AJ638" s="210"/>
    </row>
    <row r="639" ht="14.25" customHeight="1">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c r="AA639" s="210"/>
      <c r="AB639" s="210"/>
      <c r="AC639" s="210"/>
      <c r="AD639" s="210"/>
      <c r="AE639" s="210"/>
      <c r="AF639" s="210"/>
      <c r="AG639" s="210"/>
      <c r="AH639" s="210"/>
      <c r="AI639" s="210"/>
      <c r="AJ639" s="210"/>
    </row>
    <row r="640" ht="14.25" customHeight="1">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c r="AA640" s="210"/>
      <c r="AB640" s="210"/>
      <c r="AC640" s="210"/>
      <c r="AD640" s="210"/>
      <c r="AE640" s="210"/>
      <c r="AF640" s="210"/>
      <c r="AG640" s="210"/>
      <c r="AH640" s="210"/>
      <c r="AI640" s="210"/>
      <c r="AJ640" s="210"/>
    </row>
    <row r="641" ht="14.25" customHeight="1">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c r="AA641" s="210"/>
      <c r="AB641" s="210"/>
      <c r="AC641" s="210"/>
      <c r="AD641" s="210"/>
      <c r="AE641" s="210"/>
      <c r="AF641" s="210"/>
      <c r="AG641" s="210"/>
      <c r="AH641" s="210"/>
      <c r="AI641" s="210"/>
      <c r="AJ641" s="210"/>
    </row>
    <row r="642" ht="14.25" customHeight="1">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c r="AA642" s="210"/>
      <c r="AB642" s="210"/>
      <c r="AC642" s="210"/>
      <c r="AD642" s="210"/>
      <c r="AE642" s="210"/>
      <c r="AF642" s="210"/>
      <c r="AG642" s="210"/>
      <c r="AH642" s="210"/>
      <c r="AI642" s="210"/>
      <c r="AJ642" s="210"/>
    </row>
    <row r="643" ht="14.25" customHeight="1">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c r="AA643" s="210"/>
      <c r="AB643" s="210"/>
      <c r="AC643" s="210"/>
      <c r="AD643" s="210"/>
      <c r="AE643" s="210"/>
      <c r="AF643" s="210"/>
      <c r="AG643" s="210"/>
      <c r="AH643" s="210"/>
      <c r="AI643" s="210"/>
      <c r="AJ643" s="210"/>
    </row>
    <row r="644" ht="14.25" customHeight="1">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c r="AA644" s="210"/>
      <c r="AB644" s="210"/>
      <c r="AC644" s="210"/>
      <c r="AD644" s="210"/>
      <c r="AE644" s="210"/>
      <c r="AF644" s="210"/>
      <c r="AG644" s="210"/>
      <c r="AH644" s="210"/>
      <c r="AI644" s="210"/>
      <c r="AJ644" s="210"/>
    </row>
    <row r="645" ht="14.25" customHeight="1">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c r="AA645" s="210"/>
      <c r="AB645" s="210"/>
      <c r="AC645" s="210"/>
      <c r="AD645" s="210"/>
      <c r="AE645" s="210"/>
      <c r="AF645" s="210"/>
      <c r="AG645" s="210"/>
      <c r="AH645" s="210"/>
      <c r="AI645" s="210"/>
      <c r="AJ645" s="210"/>
    </row>
    <row r="646" ht="14.25" customHeight="1">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c r="AA646" s="210"/>
      <c r="AB646" s="210"/>
      <c r="AC646" s="210"/>
      <c r="AD646" s="210"/>
      <c r="AE646" s="210"/>
      <c r="AF646" s="210"/>
      <c r="AG646" s="210"/>
      <c r="AH646" s="210"/>
      <c r="AI646" s="210"/>
      <c r="AJ646" s="210"/>
    </row>
    <row r="647" ht="14.25" customHeight="1">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c r="AA647" s="210"/>
      <c r="AB647" s="210"/>
      <c r="AC647" s="210"/>
      <c r="AD647" s="210"/>
      <c r="AE647" s="210"/>
      <c r="AF647" s="210"/>
      <c r="AG647" s="210"/>
      <c r="AH647" s="210"/>
      <c r="AI647" s="210"/>
      <c r="AJ647" s="210"/>
    </row>
    <row r="648" ht="14.25" customHeight="1">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c r="AA648" s="210"/>
      <c r="AB648" s="210"/>
      <c r="AC648" s="210"/>
      <c r="AD648" s="210"/>
      <c r="AE648" s="210"/>
      <c r="AF648" s="210"/>
      <c r="AG648" s="210"/>
      <c r="AH648" s="210"/>
      <c r="AI648" s="210"/>
      <c r="AJ648" s="210"/>
    </row>
    <row r="649" ht="14.25" customHeight="1">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c r="AA649" s="210"/>
      <c r="AB649" s="210"/>
      <c r="AC649" s="210"/>
      <c r="AD649" s="210"/>
      <c r="AE649" s="210"/>
      <c r="AF649" s="210"/>
      <c r="AG649" s="210"/>
      <c r="AH649" s="210"/>
      <c r="AI649" s="210"/>
      <c r="AJ649" s="210"/>
    </row>
    <row r="650" ht="14.25" customHeight="1">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c r="AA650" s="210"/>
      <c r="AB650" s="210"/>
      <c r="AC650" s="210"/>
      <c r="AD650" s="210"/>
      <c r="AE650" s="210"/>
      <c r="AF650" s="210"/>
      <c r="AG650" s="210"/>
      <c r="AH650" s="210"/>
      <c r="AI650" s="210"/>
      <c r="AJ650" s="210"/>
    </row>
    <row r="651" ht="14.25" customHeight="1">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c r="AA651" s="210"/>
      <c r="AB651" s="210"/>
      <c r="AC651" s="210"/>
      <c r="AD651" s="210"/>
      <c r="AE651" s="210"/>
      <c r="AF651" s="210"/>
      <c r="AG651" s="210"/>
      <c r="AH651" s="210"/>
      <c r="AI651" s="210"/>
      <c r="AJ651" s="210"/>
    </row>
    <row r="652" ht="14.25" customHeight="1">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c r="AA652" s="210"/>
      <c r="AB652" s="210"/>
      <c r="AC652" s="210"/>
      <c r="AD652" s="210"/>
      <c r="AE652" s="210"/>
      <c r="AF652" s="210"/>
      <c r="AG652" s="210"/>
      <c r="AH652" s="210"/>
      <c r="AI652" s="210"/>
      <c r="AJ652" s="210"/>
    </row>
    <row r="653" ht="14.25" customHeight="1">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c r="AA653" s="210"/>
      <c r="AB653" s="210"/>
      <c r="AC653" s="210"/>
      <c r="AD653" s="210"/>
      <c r="AE653" s="210"/>
      <c r="AF653" s="210"/>
      <c r="AG653" s="210"/>
      <c r="AH653" s="210"/>
      <c r="AI653" s="210"/>
      <c r="AJ653" s="210"/>
    </row>
    <row r="654" ht="14.25" customHeight="1">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c r="AA654" s="210"/>
      <c r="AB654" s="210"/>
      <c r="AC654" s="210"/>
      <c r="AD654" s="210"/>
      <c r="AE654" s="210"/>
      <c r="AF654" s="210"/>
      <c r="AG654" s="210"/>
      <c r="AH654" s="210"/>
      <c r="AI654" s="210"/>
      <c r="AJ654" s="210"/>
    </row>
    <row r="655" ht="14.25" customHeight="1">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c r="AA655" s="210"/>
      <c r="AB655" s="210"/>
      <c r="AC655" s="210"/>
      <c r="AD655" s="210"/>
      <c r="AE655" s="210"/>
      <c r="AF655" s="210"/>
      <c r="AG655" s="210"/>
      <c r="AH655" s="210"/>
      <c r="AI655" s="210"/>
      <c r="AJ655" s="210"/>
    </row>
    <row r="656" ht="14.25" customHeight="1">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c r="AA656" s="210"/>
      <c r="AB656" s="210"/>
      <c r="AC656" s="210"/>
      <c r="AD656" s="210"/>
      <c r="AE656" s="210"/>
      <c r="AF656" s="210"/>
      <c r="AG656" s="210"/>
      <c r="AH656" s="210"/>
      <c r="AI656" s="210"/>
      <c r="AJ656" s="210"/>
    </row>
    <row r="657" ht="14.25" customHeight="1">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c r="AA657" s="210"/>
      <c r="AB657" s="210"/>
      <c r="AC657" s="210"/>
      <c r="AD657" s="210"/>
      <c r="AE657" s="210"/>
      <c r="AF657" s="210"/>
      <c r="AG657" s="210"/>
      <c r="AH657" s="210"/>
      <c r="AI657" s="210"/>
      <c r="AJ657" s="210"/>
    </row>
    <row r="658" ht="14.25" customHeight="1">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c r="AA658" s="210"/>
      <c r="AB658" s="210"/>
      <c r="AC658" s="210"/>
      <c r="AD658" s="210"/>
      <c r="AE658" s="210"/>
      <c r="AF658" s="210"/>
      <c r="AG658" s="210"/>
      <c r="AH658" s="210"/>
      <c r="AI658" s="210"/>
      <c r="AJ658" s="210"/>
    </row>
    <row r="659" ht="14.25" customHeight="1">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c r="AA659" s="210"/>
      <c r="AB659" s="210"/>
      <c r="AC659" s="210"/>
      <c r="AD659" s="210"/>
      <c r="AE659" s="210"/>
      <c r="AF659" s="210"/>
      <c r="AG659" s="210"/>
      <c r="AH659" s="210"/>
      <c r="AI659" s="210"/>
      <c r="AJ659" s="210"/>
    </row>
    <row r="660" ht="14.25" customHeight="1">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c r="AA660" s="210"/>
      <c r="AB660" s="210"/>
      <c r="AC660" s="210"/>
      <c r="AD660" s="210"/>
      <c r="AE660" s="210"/>
      <c r="AF660" s="210"/>
      <c r="AG660" s="210"/>
      <c r="AH660" s="210"/>
      <c r="AI660" s="210"/>
      <c r="AJ660" s="210"/>
    </row>
    <row r="661" ht="14.25" customHeight="1">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c r="AA661" s="210"/>
      <c r="AB661" s="210"/>
      <c r="AC661" s="210"/>
      <c r="AD661" s="210"/>
      <c r="AE661" s="210"/>
      <c r="AF661" s="210"/>
      <c r="AG661" s="210"/>
      <c r="AH661" s="210"/>
      <c r="AI661" s="210"/>
      <c r="AJ661" s="210"/>
    </row>
    <row r="662" ht="14.25" customHeight="1">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c r="AA662" s="210"/>
      <c r="AB662" s="210"/>
      <c r="AC662" s="210"/>
      <c r="AD662" s="210"/>
      <c r="AE662" s="210"/>
      <c r="AF662" s="210"/>
      <c r="AG662" s="210"/>
      <c r="AH662" s="210"/>
      <c r="AI662" s="210"/>
      <c r="AJ662" s="210"/>
    </row>
    <row r="663" ht="14.25" customHeight="1">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c r="AA663" s="210"/>
      <c r="AB663" s="210"/>
      <c r="AC663" s="210"/>
      <c r="AD663" s="210"/>
      <c r="AE663" s="210"/>
      <c r="AF663" s="210"/>
      <c r="AG663" s="210"/>
      <c r="AH663" s="210"/>
      <c r="AI663" s="210"/>
      <c r="AJ663" s="210"/>
    </row>
    <row r="664" ht="14.25" customHeight="1">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c r="AA664" s="210"/>
      <c r="AB664" s="210"/>
      <c r="AC664" s="210"/>
      <c r="AD664" s="210"/>
      <c r="AE664" s="210"/>
      <c r="AF664" s="210"/>
      <c r="AG664" s="210"/>
      <c r="AH664" s="210"/>
      <c r="AI664" s="210"/>
      <c r="AJ664" s="210"/>
    </row>
    <row r="665" ht="14.25" customHeight="1">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c r="AA665" s="210"/>
      <c r="AB665" s="210"/>
      <c r="AC665" s="210"/>
      <c r="AD665" s="210"/>
      <c r="AE665" s="210"/>
      <c r="AF665" s="210"/>
      <c r="AG665" s="210"/>
      <c r="AH665" s="210"/>
      <c r="AI665" s="210"/>
      <c r="AJ665" s="210"/>
    </row>
    <row r="666" ht="14.25" customHeight="1">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c r="AA666" s="210"/>
      <c r="AB666" s="210"/>
      <c r="AC666" s="210"/>
      <c r="AD666" s="210"/>
      <c r="AE666" s="210"/>
      <c r="AF666" s="210"/>
      <c r="AG666" s="210"/>
      <c r="AH666" s="210"/>
      <c r="AI666" s="210"/>
      <c r="AJ666" s="210"/>
    </row>
    <row r="667" ht="14.25" customHeight="1">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c r="AA667" s="210"/>
      <c r="AB667" s="210"/>
      <c r="AC667" s="210"/>
      <c r="AD667" s="210"/>
      <c r="AE667" s="210"/>
      <c r="AF667" s="210"/>
      <c r="AG667" s="210"/>
      <c r="AH667" s="210"/>
      <c r="AI667" s="210"/>
      <c r="AJ667" s="210"/>
    </row>
    <row r="668" ht="14.25" customHeight="1">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c r="AA668" s="210"/>
      <c r="AB668" s="210"/>
      <c r="AC668" s="210"/>
      <c r="AD668" s="210"/>
      <c r="AE668" s="210"/>
      <c r="AF668" s="210"/>
      <c r="AG668" s="210"/>
      <c r="AH668" s="210"/>
      <c r="AI668" s="210"/>
      <c r="AJ668" s="210"/>
    </row>
    <row r="669" ht="14.25" customHeight="1">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c r="AA669" s="210"/>
      <c r="AB669" s="210"/>
      <c r="AC669" s="210"/>
      <c r="AD669" s="210"/>
      <c r="AE669" s="210"/>
      <c r="AF669" s="210"/>
      <c r="AG669" s="210"/>
      <c r="AH669" s="210"/>
      <c r="AI669" s="210"/>
      <c r="AJ669" s="210"/>
    </row>
    <row r="670" ht="14.25" customHeight="1">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c r="AA670" s="210"/>
      <c r="AB670" s="210"/>
      <c r="AC670" s="210"/>
      <c r="AD670" s="210"/>
      <c r="AE670" s="210"/>
      <c r="AF670" s="210"/>
      <c r="AG670" s="210"/>
      <c r="AH670" s="210"/>
      <c r="AI670" s="210"/>
      <c r="AJ670" s="210"/>
    </row>
    <row r="671" ht="14.25" customHeight="1">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c r="AA671" s="210"/>
      <c r="AB671" s="210"/>
      <c r="AC671" s="210"/>
      <c r="AD671" s="210"/>
      <c r="AE671" s="210"/>
      <c r="AF671" s="210"/>
      <c r="AG671" s="210"/>
      <c r="AH671" s="210"/>
      <c r="AI671" s="210"/>
      <c r="AJ671" s="210"/>
    </row>
    <row r="672" ht="14.25" customHeight="1">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c r="AA672" s="210"/>
      <c r="AB672" s="210"/>
      <c r="AC672" s="210"/>
      <c r="AD672" s="210"/>
      <c r="AE672" s="210"/>
      <c r="AF672" s="210"/>
      <c r="AG672" s="210"/>
      <c r="AH672" s="210"/>
      <c r="AI672" s="210"/>
      <c r="AJ672" s="210"/>
    </row>
    <row r="673" ht="14.25" customHeight="1">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c r="AA673" s="210"/>
      <c r="AB673" s="210"/>
      <c r="AC673" s="210"/>
      <c r="AD673" s="210"/>
      <c r="AE673" s="210"/>
      <c r="AF673" s="210"/>
      <c r="AG673" s="210"/>
      <c r="AH673" s="210"/>
      <c r="AI673" s="210"/>
      <c r="AJ673" s="210"/>
    </row>
    <row r="674" ht="14.25" customHeight="1">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c r="AA674" s="210"/>
      <c r="AB674" s="210"/>
      <c r="AC674" s="210"/>
      <c r="AD674" s="210"/>
      <c r="AE674" s="210"/>
      <c r="AF674" s="210"/>
      <c r="AG674" s="210"/>
      <c r="AH674" s="210"/>
      <c r="AI674" s="210"/>
      <c r="AJ674" s="210"/>
    </row>
    <row r="675" ht="14.25" customHeight="1">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c r="AA675" s="210"/>
      <c r="AB675" s="210"/>
      <c r="AC675" s="210"/>
      <c r="AD675" s="210"/>
      <c r="AE675" s="210"/>
      <c r="AF675" s="210"/>
      <c r="AG675" s="210"/>
      <c r="AH675" s="210"/>
      <c r="AI675" s="210"/>
      <c r="AJ675" s="210"/>
    </row>
    <row r="676" ht="14.25" customHeight="1">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c r="AA676" s="210"/>
      <c r="AB676" s="210"/>
      <c r="AC676" s="210"/>
      <c r="AD676" s="210"/>
      <c r="AE676" s="210"/>
      <c r="AF676" s="210"/>
      <c r="AG676" s="210"/>
      <c r="AH676" s="210"/>
      <c r="AI676" s="210"/>
      <c r="AJ676" s="210"/>
    </row>
    <row r="677" ht="14.25" customHeight="1">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c r="AA677" s="210"/>
      <c r="AB677" s="210"/>
      <c r="AC677" s="210"/>
      <c r="AD677" s="210"/>
      <c r="AE677" s="210"/>
      <c r="AF677" s="210"/>
      <c r="AG677" s="210"/>
      <c r="AH677" s="210"/>
      <c r="AI677" s="210"/>
      <c r="AJ677" s="210"/>
    </row>
    <row r="678" ht="14.25" customHeight="1">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c r="AA678" s="210"/>
      <c r="AB678" s="210"/>
      <c r="AC678" s="210"/>
      <c r="AD678" s="210"/>
      <c r="AE678" s="210"/>
      <c r="AF678" s="210"/>
      <c r="AG678" s="210"/>
      <c r="AH678" s="210"/>
      <c r="AI678" s="210"/>
      <c r="AJ678" s="210"/>
    </row>
    <row r="679" ht="14.25" customHeight="1">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c r="AA679" s="210"/>
      <c r="AB679" s="210"/>
      <c r="AC679" s="210"/>
      <c r="AD679" s="210"/>
      <c r="AE679" s="210"/>
      <c r="AF679" s="210"/>
      <c r="AG679" s="210"/>
      <c r="AH679" s="210"/>
      <c r="AI679" s="210"/>
      <c r="AJ679" s="210"/>
    </row>
    <row r="680" ht="14.25" customHeight="1">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c r="AA680" s="210"/>
      <c r="AB680" s="210"/>
      <c r="AC680" s="210"/>
      <c r="AD680" s="210"/>
      <c r="AE680" s="210"/>
      <c r="AF680" s="210"/>
      <c r="AG680" s="210"/>
      <c r="AH680" s="210"/>
      <c r="AI680" s="210"/>
      <c r="AJ680" s="210"/>
    </row>
    <row r="681" ht="14.25" customHeight="1">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c r="AA681" s="210"/>
      <c r="AB681" s="210"/>
      <c r="AC681" s="210"/>
      <c r="AD681" s="210"/>
      <c r="AE681" s="210"/>
      <c r="AF681" s="210"/>
      <c r="AG681" s="210"/>
      <c r="AH681" s="210"/>
      <c r="AI681" s="210"/>
      <c r="AJ681" s="210"/>
    </row>
    <row r="682" ht="14.25" customHeight="1">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c r="AA682" s="210"/>
      <c r="AB682" s="210"/>
      <c r="AC682" s="210"/>
      <c r="AD682" s="210"/>
      <c r="AE682" s="210"/>
      <c r="AF682" s="210"/>
      <c r="AG682" s="210"/>
      <c r="AH682" s="210"/>
      <c r="AI682" s="210"/>
      <c r="AJ682" s="210"/>
    </row>
    <row r="683" ht="14.25" customHeight="1">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c r="AA683" s="210"/>
      <c r="AB683" s="210"/>
      <c r="AC683" s="210"/>
      <c r="AD683" s="210"/>
      <c r="AE683" s="210"/>
      <c r="AF683" s="210"/>
      <c r="AG683" s="210"/>
      <c r="AH683" s="210"/>
      <c r="AI683" s="210"/>
      <c r="AJ683" s="210"/>
    </row>
    <row r="684" ht="14.25" customHeight="1">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c r="AA684" s="210"/>
      <c r="AB684" s="210"/>
      <c r="AC684" s="210"/>
      <c r="AD684" s="210"/>
      <c r="AE684" s="210"/>
      <c r="AF684" s="210"/>
      <c r="AG684" s="210"/>
      <c r="AH684" s="210"/>
      <c r="AI684" s="210"/>
      <c r="AJ684" s="210"/>
    </row>
    <row r="685" ht="14.25" customHeight="1">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c r="AA685" s="210"/>
      <c r="AB685" s="210"/>
      <c r="AC685" s="210"/>
      <c r="AD685" s="210"/>
      <c r="AE685" s="210"/>
      <c r="AF685" s="210"/>
      <c r="AG685" s="210"/>
      <c r="AH685" s="210"/>
      <c r="AI685" s="210"/>
      <c r="AJ685" s="210"/>
    </row>
    <row r="686" ht="14.25" customHeight="1">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c r="AA686" s="210"/>
      <c r="AB686" s="210"/>
      <c r="AC686" s="210"/>
      <c r="AD686" s="210"/>
      <c r="AE686" s="210"/>
      <c r="AF686" s="210"/>
      <c r="AG686" s="210"/>
      <c r="AH686" s="210"/>
      <c r="AI686" s="210"/>
      <c r="AJ686" s="210"/>
    </row>
    <row r="687" ht="14.25" customHeight="1">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c r="AA687" s="210"/>
      <c r="AB687" s="210"/>
      <c r="AC687" s="210"/>
      <c r="AD687" s="210"/>
      <c r="AE687" s="210"/>
      <c r="AF687" s="210"/>
      <c r="AG687" s="210"/>
      <c r="AH687" s="210"/>
      <c r="AI687" s="210"/>
      <c r="AJ687" s="210"/>
    </row>
    <row r="688" ht="14.25" customHeight="1">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c r="AA688" s="210"/>
      <c r="AB688" s="210"/>
      <c r="AC688" s="210"/>
      <c r="AD688" s="210"/>
      <c r="AE688" s="210"/>
      <c r="AF688" s="210"/>
      <c r="AG688" s="210"/>
      <c r="AH688" s="210"/>
      <c r="AI688" s="210"/>
      <c r="AJ688" s="210"/>
    </row>
    <row r="689" ht="14.25" customHeight="1">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c r="AA689" s="210"/>
      <c r="AB689" s="210"/>
      <c r="AC689" s="210"/>
      <c r="AD689" s="210"/>
      <c r="AE689" s="210"/>
      <c r="AF689" s="210"/>
      <c r="AG689" s="210"/>
      <c r="AH689" s="210"/>
      <c r="AI689" s="210"/>
      <c r="AJ689" s="210"/>
    </row>
    <row r="690" ht="14.25" customHeight="1">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c r="AA690" s="210"/>
      <c r="AB690" s="210"/>
      <c r="AC690" s="210"/>
      <c r="AD690" s="210"/>
      <c r="AE690" s="210"/>
      <c r="AF690" s="210"/>
      <c r="AG690" s="210"/>
      <c r="AH690" s="210"/>
      <c r="AI690" s="210"/>
      <c r="AJ690" s="210"/>
    </row>
    <row r="691" ht="14.25" customHeight="1">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c r="AA691" s="210"/>
      <c r="AB691" s="210"/>
      <c r="AC691" s="210"/>
      <c r="AD691" s="210"/>
      <c r="AE691" s="210"/>
      <c r="AF691" s="210"/>
      <c r="AG691" s="210"/>
      <c r="AH691" s="210"/>
      <c r="AI691" s="210"/>
      <c r="AJ691" s="210"/>
    </row>
    <row r="692" ht="14.25" customHeight="1">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c r="AA692" s="210"/>
      <c r="AB692" s="210"/>
      <c r="AC692" s="210"/>
      <c r="AD692" s="210"/>
      <c r="AE692" s="210"/>
      <c r="AF692" s="210"/>
      <c r="AG692" s="210"/>
      <c r="AH692" s="210"/>
      <c r="AI692" s="210"/>
      <c r="AJ692" s="210"/>
    </row>
    <row r="693" ht="14.25" customHeight="1">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c r="AA693" s="210"/>
      <c r="AB693" s="210"/>
      <c r="AC693" s="210"/>
      <c r="AD693" s="210"/>
      <c r="AE693" s="210"/>
      <c r="AF693" s="210"/>
      <c r="AG693" s="210"/>
      <c r="AH693" s="210"/>
      <c r="AI693" s="210"/>
      <c r="AJ693" s="210"/>
    </row>
    <row r="694" ht="14.25" customHeight="1">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c r="AA694" s="210"/>
      <c r="AB694" s="210"/>
      <c r="AC694" s="210"/>
      <c r="AD694" s="210"/>
      <c r="AE694" s="210"/>
      <c r="AF694" s="210"/>
      <c r="AG694" s="210"/>
      <c r="AH694" s="210"/>
      <c r="AI694" s="210"/>
      <c r="AJ694" s="210"/>
    </row>
    <row r="695" ht="14.25" customHeight="1">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c r="AA695" s="210"/>
      <c r="AB695" s="210"/>
      <c r="AC695" s="210"/>
      <c r="AD695" s="210"/>
      <c r="AE695" s="210"/>
      <c r="AF695" s="210"/>
      <c r="AG695" s="210"/>
      <c r="AH695" s="210"/>
      <c r="AI695" s="210"/>
      <c r="AJ695" s="210"/>
    </row>
    <row r="696" ht="14.25" customHeight="1">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c r="AA696" s="210"/>
      <c r="AB696" s="210"/>
      <c r="AC696" s="210"/>
      <c r="AD696" s="210"/>
      <c r="AE696" s="210"/>
      <c r="AF696" s="210"/>
      <c r="AG696" s="210"/>
      <c r="AH696" s="210"/>
      <c r="AI696" s="210"/>
      <c r="AJ696" s="210"/>
    </row>
    <row r="697" ht="14.25" customHeight="1">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c r="AA697" s="210"/>
      <c r="AB697" s="210"/>
      <c r="AC697" s="210"/>
      <c r="AD697" s="210"/>
      <c r="AE697" s="210"/>
      <c r="AF697" s="210"/>
      <c r="AG697" s="210"/>
      <c r="AH697" s="210"/>
      <c r="AI697" s="210"/>
      <c r="AJ697" s="210"/>
    </row>
    <row r="698" ht="14.25" customHeight="1">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c r="AA698" s="210"/>
      <c r="AB698" s="210"/>
      <c r="AC698" s="210"/>
      <c r="AD698" s="210"/>
      <c r="AE698" s="210"/>
      <c r="AF698" s="210"/>
      <c r="AG698" s="210"/>
      <c r="AH698" s="210"/>
      <c r="AI698" s="210"/>
      <c r="AJ698" s="210"/>
    </row>
    <row r="699" ht="14.25" customHeight="1">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c r="AA699" s="210"/>
      <c r="AB699" s="210"/>
      <c r="AC699" s="210"/>
      <c r="AD699" s="210"/>
      <c r="AE699" s="210"/>
      <c r="AF699" s="210"/>
      <c r="AG699" s="210"/>
      <c r="AH699" s="210"/>
      <c r="AI699" s="210"/>
      <c r="AJ699" s="210"/>
    </row>
    <row r="700" ht="14.25" customHeight="1">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c r="AA700" s="210"/>
      <c r="AB700" s="210"/>
      <c r="AC700" s="210"/>
      <c r="AD700" s="210"/>
      <c r="AE700" s="210"/>
      <c r="AF700" s="210"/>
      <c r="AG700" s="210"/>
      <c r="AH700" s="210"/>
      <c r="AI700" s="210"/>
      <c r="AJ700" s="210"/>
    </row>
    <row r="701" ht="14.25" customHeight="1">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c r="AA701" s="210"/>
      <c r="AB701" s="210"/>
      <c r="AC701" s="210"/>
      <c r="AD701" s="210"/>
      <c r="AE701" s="210"/>
      <c r="AF701" s="210"/>
      <c r="AG701" s="210"/>
      <c r="AH701" s="210"/>
      <c r="AI701" s="210"/>
      <c r="AJ701" s="210"/>
    </row>
    <row r="702" ht="14.25" customHeight="1">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c r="AA702" s="210"/>
      <c r="AB702" s="210"/>
      <c r="AC702" s="210"/>
      <c r="AD702" s="210"/>
      <c r="AE702" s="210"/>
      <c r="AF702" s="210"/>
      <c r="AG702" s="210"/>
      <c r="AH702" s="210"/>
      <c r="AI702" s="210"/>
      <c r="AJ702" s="210"/>
    </row>
    <row r="703" ht="14.25" customHeight="1">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c r="AA703" s="210"/>
      <c r="AB703" s="210"/>
      <c r="AC703" s="210"/>
      <c r="AD703" s="210"/>
      <c r="AE703" s="210"/>
      <c r="AF703" s="210"/>
      <c r="AG703" s="210"/>
      <c r="AH703" s="210"/>
      <c r="AI703" s="210"/>
      <c r="AJ703" s="210"/>
    </row>
    <row r="704" ht="14.25" customHeight="1">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c r="AA704" s="210"/>
      <c r="AB704" s="210"/>
      <c r="AC704" s="210"/>
      <c r="AD704" s="210"/>
      <c r="AE704" s="210"/>
      <c r="AF704" s="210"/>
      <c r="AG704" s="210"/>
      <c r="AH704" s="210"/>
      <c r="AI704" s="210"/>
      <c r="AJ704" s="210"/>
    </row>
    <row r="705" ht="14.25" customHeight="1">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c r="AA705" s="210"/>
      <c r="AB705" s="210"/>
      <c r="AC705" s="210"/>
      <c r="AD705" s="210"/>
      <c r="AE705" s="210"/>
      <c r="AF705" s="210"/>
      <c r="AG705" s="210"/>
      <c r="AH705" s="210"/>
      <c r="AI705" s="210"/>
      <c r="AJ705" s="210"/>
    </row>
    <row r="706" ht="14.25" customHeight="1">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c r="AA706" s="210"/>
      <c r="AB706" s="210"/>
      <c r="AC706" s="210"/>
      <c r="AD706" s="210"/>
      <c r="AE706" s="210"/>
      <c r="AF706" s="210"/>
      <c r="AG706" s="210"/>
      <c r="AH706" s="210"/>
      <c r="AI706" s="210"/>
      <c r="AJ706" s="210"/>
    </row>
    <row r="707" ht="14.25" customHeight="1">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c r="AA707" s="210"/>
      <c r="AB707" s="210"/>
      <c r="AC707" s="210"/>
      <c r="AD707" s="210"/>
      <c r="AE707" s="210"/>
      <c r="AF707" s="210"/>
      <c r="AG707" s="210"/>
      <c r="AH707" s="210"/>
      <c r="AI707" s="210"/>
      <c r="AJ707" s="210"/>
    </row>
    <row r="708" ht="14.25" customHeight="1">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c r="AA708" s="210"/>
      <c r="AB708" s="210"/>
      <c r="AC708" s="210"/>
      <c r="AD708" s="210"/>
      <c r="AE708" s="210"/>
      <c r="AF708" s="210"/>
      <c r="AG708" s="210"/>
      <c r="AH708" s="210"/>
      <c r="AI708" s="210"/>
      <c r="AJ708" s="210"/>
    </row>
    <row r="709" ht="14.25" customHeight="1">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c r="AA709" s="210"/>
      <c r="AB709" s="210"/>
      <c r="AC709" s="210"/>
      <c r="AD709" s="210"/>
      <c r="AE709" s="210"/>
      <c r="AF709" s="210"/>
      <c r="AG709" s="210"/>
      <c r="AH709" s="210"/>
      <c r="AI709" s="210"/>
      <c r="AJ709" s="210"/>
    </row>
    <row r="710" ht="14.25" customHeight="1">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c r="AA710" s="210"/>
      <c r="AB710" s="210"/>
      <c r="AC710" s="210"/>
      <c r="AD710" s="210"/>
      <c r="AE710" s="210"/>
      <c r="AF710" s="210"/>
      <c r="AG710" s="210"/>
      <c r="AH710" s="210"/>
      <c r="AI710" s="210"/>
      <c r="AJ710" s="210"/>
    </row>
    <row r="711" ht="14.25" customHeight="1">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c r="AA711" s="210"/>
      <c r="AB711" s="210"/>
      <c r="AC711" s="210"/>
      <c r="AD711" s="210"/>
      <c r="AE711" s="210"/>
      <c r="AF711" s="210"/>
      <c r="AG711" s="210"/>
      <c r="AH711" s="210"/>
      <c r="AI711" s="210"/>
      <c r="AJ711" s="210"/>
    </row>
    <row r="712" ht="14.25" customHeight="1">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c r="AA712" s="210"/>
      <c r="AB712" s="210"/>
      <c r="AC712" s="210"/>
      <c r="AD712" s="210"/>
      <c r="AE712" s="210"/>
      <c r="AF712" s="210"/>
      <c r="AG712" s="210"/>
      <c r="AH712" s="210"/>
      <c r="AI712" s="210"/>
      <c r="AJ712" s="210"/>
    </row>
    <row r="713" ht="14.25" customHeight="1">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c r="AA713" s="210"/>
      <c r="AB713" s="210"/>
      <c r="AC713" s="210"/>
      <c r="AD713" s="210"/>
      <c r="AE713" s="210"/>
      <c r="AF713" s="210"/>
      <c r="AG713" s="210"/>
      <c r="AH713" s="210"/>
      <c r="AI713" s="210"/>
      <c r="AJ713" s="210"/>
    </row>
    <row r="714" ht="14.25" customHeight="1">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c r="AA714" s="210"/>
      <c r="AB714" s="210"/>
      <c r="AC714" s="210"/>
      <c r="AD714" s="210"/>
      <c r="AE714" s="210"/>
      <c r="AF714" s="210"/>
      <c r="AG714" s="210"/>
      <c r="AH714" s="210"/>
      <c r="AI714" s="210"/>
      <c r="AJ714" s="210"/>
    </row>
    <row r="715" ht="14.25" customHeight="1">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c r="AA715" s="210"/>
      <c r="AB715" s="210"/>
      <c r="AC715" s="210"/>
      <c r="AD715" s="210"/>
      <c r="AE715" s="210"/>
      <c r="AF715" s="210"/>
      <c r="AG715" s="210"/>
      <c r="AH715" s="210"/>
      <c r="AI715" s="210"/>
      <c r="AJ715" s="210"/>
    </row>
    <row r="716" ht="14.25" customHeight="1">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c r="AA716" s="210"/>
      <c r="AB716" s="210"/>
      <c r="AC716" s="210"/>
      <c r="AD716" s="210"/>
      <c r="AE716" s="210"/>
      <c r="AF716" s="210"/>
      <c r="AG716" s="210"/>
      <c r="AH716" s="210"/>
      <c r="AI716" s="210"/>
      <c r="AJ716" s="210"/>
    </row>
    <row r="717" ht="14.25" customHeight="1">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c r="AA717" s="210"/>
      <c r="AB717" s="210"/>
      <c r="AC717" s="210"/>
      <c r="AD717" s="210"/>
      <c r="AE717" s="210"/>
      <c r="AF717" s="210"/>
      <c r="AG717" s="210"/>
      <c r="AH717" s="210"/>
      <c r="AI717" s="210"/>
      <c r="AJ717" s="210"/>
    </row>
    <row r="718" ht="14.25" customHeight="1">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c r="AA718" s="210"/>
      <c r="AB718" s="210"/>
      <c r="AC718" s="210"/>
      <c r="AD718" s="210"/>
      <c r="AE718" s="210"/>
      <c r="AF718" s="210"/>
      <c r="AG718" s="210"/>
      <c r="AH718" s="210"/>
      <c r="AI718" s="210"/>
      <c r="AJ718" s="210"/>
    </row>
    <row r="719" ht="14.25" customHeight="1">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c r="AA719" s="210"/>
      <c r="AB719" s="210"/>
      <c r="AC719" s="210"/>
      <c r="AD719" s="210"/>
      <c r="AE719" s="210"/>
      <c r="AF719" s="210"/>
      <c r="AG719" s="210"/>
      <c r="AH719" s="210"/>
      <c r="AI719" s="210"/>
      <c r="AJ719" s="210"/>
    </row>
    <row r="720" ht="14.25" customHeight="1">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c r="AA720" s="210"/>
      <c r="AB720" s="210"/>
      <c r="AC720" s="210"/>
      <c r="AD720" s="210"/>
      <c r="AE720" s="210"/>
      <c r="AF720" s="210"/>
      <c r="AG720" s="210"/>
      <c r="AH720" s="210"/>
      <c r="AI720" s="210"/>
      <c r="AJ720" s="210"/>
    </row>
    <row r="721" ht="14.25" customHeight="1">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c r="AA721" s="210"/>
      <c r="AB721" s="210"/>
      <c r="AC721" s="210"/>
      <c r="AD721" s="210"/>
      <c r="AE721" s="210"/>
      <c r="AF721" s="210"/>
      <c r="AG721" s="210"/>
      <c r="AH721" s="210"/>
      <c r="AI721" s="210"/>
      <c r="AJ721" s="210"/>
    </row>
    <row r="722" ht="14.25" customHeight="1">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c r="AA722" s="210"/>
      <c r="AB722" s="210"/>
      <c r="AC722" s="210"/>
      <c r="AD722" s="210"/>
      <c r="AE722" s="210"/>
      <c r="AF722" s="210"/>
      <c r="AG722" s="210"/>
      <c r="AH722" s="210"/>
      <c r="AI722" s="210"/>
      <c r="AJ722" s="210"/>
    </row>
    <row r="723" ht="14.25" customHeight="1">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c r="AA723" s="210"/>
      <c r="AB723" s="210"/>
      <c r="AC723" s="210"/>
      <c r="AD723" s="210"/>
      <c r="AE723" s="210"/>
      <c r="AF723" s="210"/>
      <c r="AG723" s="210"/>
      <c r="AH723" s="210"/>
      <c r="AI723" s="210"/>
      <c r="AJ723" s="210"/>
    </row>
    <row r="724" ht="14.25" customHeight="1">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c r="AA724" s="210"/>
      <c r="AB724" s="210"/>
      <c r="AC724" s="210"/>
      <c r="AD724" s="210"/>
      <c r="AE724" s="210"/>
      <c r="AF724" s="210"/>
      <c r="AG724" s="210"/>
      <c r="AH724" s="210"/>
      <c r="AI724" s="210"/>
      <c r="AJ724" s="210"/>
    </row>
    <row r="725" ht="14.25" customHeight="1">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c r="AA725" s="210"/>
      <c r="AB725" s="210"/>
      <c r="AC725" s="210"/>
      <c r="AD725" s="210"/>
      <c r="AE725" s="210"/>
      <c r="AF725" s="210"/>
      <c r="AG725" s="210"/>
      <c r="AH725" s="210"/>
      <c r="AI725" s="210"/>
      <c r="AJ725" s="210"/>
    </row>
    <row r="726" ht="14.25" customHeight="1">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c r="AA726" s="210"/>
      <c r="AB726" s="210"/>
      <c r="AC726" s="210"/>
      <c r="AD726" s="210"/>
      <c r="AE726" s="210"/>
      <c r="AF726" s="210"/>
      <c r="AG726" s="210"/>
      <c r="AH726" s="210"/>
      <c r="AI726" s="210"/>
      <c r="AJ726" s="210"/>
    </row>
    <row r="727" ht="14.25" customHeight="1">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c r="AA727" s="210"/>
      <c r="AB727" s="210"/>
      <c r="AC727" s="210"/>
      <c r="AD727" s="210"/>
      <c r="AE727" s="210"/>
      <c r="AF727" s="210"/>
      <c r="AG727" s="210"/>
      <c r="AH727" s="210"/>
      <c r="AI727" s="210"/>
      <c r="AJ727" s="210"/>
    </row>
    <row r="728" ht="14.25" customHeight="1">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c r="AA728" s="210"/>
      <c r="AB728" s="210"/>
      <c r="AC728" s="210"/>
      <c r="AD728" s="210"/>
      <c r="AE728" s="210"/>
      <c r="AF728" s="210"/>
      <c r="AG728" s="210"/>
      <c r="AH728" s="210"/>
      <c r="AI728" s="210"/>
      <c r="AJ728" s="210"/>
    </row>
    <row r="729" ht="14.25" customHeight="1">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c r="AA729" s="210"/>
      <c r="AB729" s="210"/>
      <c r="AC729" s="210"/>
      <c r="AD729" s="210"/>
      <c r="AE729" s="210"/>
      <c r="AF729" s="210"/>
      <c r="AG729" s="210"/>
      <c r="AH729" s="210"/>
      <c r="AI729" s="210"/>
      <c r="AJ729" s="210"/>
    </row>
    <row r="730" ht="14.25" customHeight="1">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c r="AA730" s="210"/>
      <c r="AB730" s="210"/>
      <c r="AC730" s="210"/>
      <c r="AD730" s="210"/>
      <c r="AE730" s="210"/>
      <c r="AF730" s="210"/>
      <c r="AG730" s="210"/>
      <c r="AH730" s="210"/>
      <c r="AI730" s="210"/>
      <c r="AJ730" s="210"/>
    </row>
    <row r="731" ht="14.25" customHeight="1">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c r="AA731" s="210"/>
      <c r="AB731" s="210"/>
      <c r="AC731" s="210"/>
      <c r="AD731" s="210"/>
      <c r="AE731" s="210"/>
      <c r="AF731" s="210"/>
      <c r="AG731" s="210"/>
      <c r="AH731" s="210"/>
      <c r="AI731" s="210"/>
      <c r="AJ731" s="210"/>
    </row>
    <row r="732" ht="14.25" customHeight="1">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c r="AA732" s="210"/>
      <c r="AB732" s="210"/>
      <c r="AC732" s="210"/>
      <c r="AD732" s="210"/>
      <c r="AE732" s="210"/>
      <c r="AF732" s="210"/>
      <c r="AG732" s="210"/>
      <c r="AH732" s="210"/>
      <c r="AI732" s="210"/>
      <c r="AJ732" s="210"/>
    </row>
    <row r="733" ht="14.25" customHeight="1">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c r="AA733" s="210"/>
      <c r="AB733" s="210"/>
      <c r="AC733" s="210"/>
      <c r="AD733" s="210"/>
      <c r="AE733" s="210"/>
      <c r="AF733" s="210"/>
      <c r="AG733" s="210"/>
      <c r="AH733" s="210"/>
      <c r="AI733" s="210"/>
      <c r="AJ733" s="210"/>
    </row>
    <row r="734" ht="14.25" customHeight="1">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c r="AA734" s="210"/>
      <c r="AB734" s="210"/>
      <c r="AC734" s="210"/>
      <c r="AD734" s="210"/>
      <c r="AE734" s="210"/>
      <c r="AF734" s="210"/>
      <c r="AG734" s="210"/>
      <c r="AH734" s="210"/>
      <c r="AI734" s="210"/>
      <c r="AJ734" s="210"/>
    </row>
    <row r="735" ht="14.25" customHeight="1">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c r="AA735" s="210"/>
      <c r="AB735" s="210"/>
      <c r="AC735" s="210"/>
      <c r="AD735" s="210"/>
      <c r="AE735" s="210"/>
      <c r="AF735" s="210"/>
      <c r="AG735" s="210"/>
      <c r="AH735" s="210"/>
      <c r="AI735" s="210"/>
      <c r="AJ735" s="210"/>
    </row>
    <row r="736" ht="14.25" customHeight="1">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c r="AA736" s="210"/>
      <c r="AB736" s="210"/>
      <c r="AC736" s="210"/>
      <c r="AD736" s="210"/>
      <c r="AE736" s="210"/>
      <c r="AF736" s="210"/>
      <c r="AG736" s="210"/>
      <c r="AH736" s="210"/>
      <c r="AI736" s="210"/>
      <c r="AJ736" s="210"/>
    </row>
    <row r="737" ht="14.25" customHeight="1">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c r="AA737" s="210"/>
      <c r="AB737" s="210"/>
      <c r="AC737" s="210"/>
      <c r="AD737" s="210"/>
      <c r="AE737" s="210"/>
      <c r="AF737" s="210"/>
      <c r="AG737" s="210"/>
      <c r="AH737" s="210"/>
      <c r="AI737" s="210"/>
      <c r="AJ737" s="210"/>
    </row>
    <row r="738" ht="14.25" customHeight="1">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c r="AA738" s="210"/>
      <c r="AB738" s="210"/>
      <c r="AC738" s="210"/>
      <c r="AD738" s="210"/>
      <c r="AE738" s="210"/>
      <c r="AF738" s="210"/>
      <c r="AG738" s="210"/>
      <c r="AH738" s="210"/>
      <c r="AI738" s="210"/>
      <c r="AJ738" s="210"/>
    </row>
    <row r="739" ht="14.25" customHeight="1">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c r="AA739" s="210"/>
      <c r="AB739" s="210"/>
      <c r="AC739" s="210"/>
      <c r="AD739" s="210"/>
      <c r="AE739" s="210"/>
      <c r="AF739" s="210"/>
      <c r="AG739" s="210"/>
      <c r="AH739" s="210"/>
      <c r="AI739" s="210"/>
      <c r="AJ739" s="210"/>
    </row>
    <row r="740" ht="14.25" customHeight="1">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c r="AA740" s="210"/>
      <c r="AB740" s="210"/>
      <c r="AC740" s="210"/>
      <c r="AD740" s="210"/>
      <c r="AE740" s="210"/>
      <c r="AF740" s="210"/>
      <c r="AG740" s="210"/>
      <c r="AH740" s="210"/>
      <c r="AI740" s="210"/>
      <c r="AJ740" s="210"/>
    </row>
    <row r="741" ht="14.25" customHeight="1">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c r="AA741" s="210"/>
      <c r="AB741" s="210"/>
      <c r="AC741" s="210"/>
      <c r="AD741" s="210"/>
      <c r="AE741" s="210"/>
      <c r="AF741" s="210"/>
      <c r="AG741" s="210"/>
      <c r="AH741" s="210"/>
      <c r="AI741" s="210"/>
      <c r="AJ741" s="210"/>
    </row>
    <row r="742" ht="14.25" customHeight="1">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c r="AA742" s="210"/>
      <c r="AB742" s="210"/>
      <c r="AC742" s="210"/>
      <c r="AD742" s="210"/>
      <c r="AE742" s="210"/>
      <c r="AF742" s="210"/>
      <c r="AG742" s="210"/>
      <c r="AH742" s="210"/>
      <c r="AI742" s="210"/>
      <c r="AJ742" s="210"/>
    </row>
    <row r="743" ht="14.25" customHeight="1">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c r="AA743" s="210"/>
      <c r="AB743" s="210"/>
      <c r="AC743" s="210"/>
      <c r="AD743" s="210"/>
      <c r="AE743" s="210"/>
      <c r="AF743" s="210"/>
      <c r="AG743" s="210"/>
      <c r="AH743" s="210"/>
      <c r="AI743" s="210"/>
      <c r="AJ743" s="210"/>
    </row>
    <row r="744" ht="14.25" customHeight="1">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c r="AA744" s="210"/>
      <c r="AB744" s="210"/>
      <c r="AC744" s="210"/>
      <c r="AD744" s="210"/>
      <c r="AE744" s="210"/>
      <c r="AF744" s="210"/>
      <c r="AG744" s="210"/>
      <c r="AH744" s="210"/>
      <c r="AI744" s="210"/>
      <c r="AJ744" s="210"/>
    </row>
    <row r="745" ht="14.25" customHeight="1">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c r="AA745" s="210"/>
      <c r="AB745" s="210"/>
      <c r="AC745" s="210"/>
      <c r="AD745" s="210"/>
      <c r="AE745" s="210"/>
      <c r="AF745" s="210"/>
      <c r="AG745" s="210"/>
      <c r="AH745" s="210"/>
      <c r="AI745" s="210"/>
      <c r="AJ745" s="210"/>
    </row>
    <row r="746" ht="14.25" customHeight="1">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c r="AA746" s="210"/>
      <c r="AB746" s="210"/>
      <c r="AC746" s="210"/>
      <c r="AD746" s="210"/>
      <c r="AE746" s="210"/>
      <c r="AF746" s="210"/>
      <c r="AG746" s="210"/>
      <c r="AH746" s="210"/>
      <c r="AI746" s="210"/>
      <c r="AJ746" s="210"/>
    </row>
    <row r="747" ht="14.25" customHeight="1">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c r="AA747" s="210"/>
      <c r="AB747" s="210"/>
      <c r="AC747" s="210"/>
      <c r="AD747" s="210"/>
      <c r="AE747" s="210"/>
      <c r="AF747" s="210"/>
      <c r="AG747" s="210"/>
      <c r="AH747" s="210"/>
      <c r="AI747" s="210"/>
      <c r="AJ747" s="210"/>
    </row>
    <row r="748" ht="14.25" customHeight="1">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c r="AA748" s="210"/>
      <c r="AB748" s="210"/>
      <c r="AC748" s="210"/>
      <c r="AD748" s="210"/>
      <c r="AE748" s="210"/>
      <c r="AF748" s="210"/>
      <c r="AG748" s="210"/>
      <c r="AH748" s="210"/>
      <c r="AI748" s="210"/>
      <c r="AJ748" s="210"/>
    </row>
    <row r="749" ht="14.25" customHeight="1">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c r="AA749" s="210"/>
      <c r="AB749" s="210"/>
      <c r="AC749" s="210"/>
      <c r="AD749" s="210"/>
      <c r="AE749" s="210"/>
      <c r="AF749" s="210"/>
      <c r="AG749" s="210"/>
      <c r="AH749" s="210"/>
      <c r="AI749" s="210"/>
      <c r="AJ749" s="210"/>
    </row>
    <row r="750" ht="14.25" customHeight="1">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c r="AA750" s="210"/>
      <c r="AB750" s="210"/>
      <c r="AC750" s="210"/>
      <c r="AD750" s="210"/>
      <c r="AE750" s="210"/>
      <c r="AF750" s="210"/>
      <c r="AG750" s="210"/>
      <c r="AH750" s="210"/>
      <c r="AI750" s="210"/>
      <c r="AJ750" s="210"/>
    </row>
    <row r="751" ht="14.25" customHeight="1">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c r="AA751" s="210"/>
      <c r="AB751" s="210"/>
      <c r="AC751" s="210"/>
      <c r="AD751" s="210"/>
      <c r="AE751" s="210"/>
      <c r="AF751" s="210"/>
      <c r="AG751" s="210"/>
      <c r="AH751" s="210"/>
      <c r="AI751" s="210"/>
      <c r="AJ751" s="210"/>
    </row>
    <row r="752" ht="14.25" customHeight="1">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c r="AA752" s="210"/>
      <c r="AB752" s="210"/>
      <c r="AC752" s="210"/>
      <c r="AD752" s="210"/>
      <c r="AE752" s="210"/>
      <c r="AF752" s="210"/>
      <c r="AG752" s="210"/>
      <c r="AH752" s="210"/>
      <c r="AI752" s="210"/>
      <c r="AJ752" s="210"/>
    </row>
    <row r="753" ht="14.25" customHeight="1">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c r="AA753" s="210"/>
      <c r="AB753" s="210"/>
      <c r="AC753" s="210"/>
      <c r="AD753" s="210"/>
      <c r="AE753" s="210"/>
      <c r="AF753" s="210"/>
      <c r="AG753" s="210"/>
      <c r="AH753" s="210"/>
      <c r="AI753" s="210"/>
      <c r="AJ753" s="210"/>
    </row>
    <row r="754" ht="14.25" customHeight="1">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c r="AA754" s="210"/>
      <c r="AB754" s="210"/>
      <c r="AC754" s="210"/>
      <c r="AD754" s="210"/>
      <c r="AE754" s="210"/>
      <c r="AF754" s="210"/>
      <c r="AG754" s="210"/>
      <c r="AH754" s="210"/>
      <c r="AI754" s="210"/>
      <c r="AJ754" s="210"/>
    </row>
    <row r="755" ht="14.25" customHeight="1">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c r="AA755" s="210"/>
      <c r="AB755" s="210"/>
      <c r="AC755" s="210"/>
      <c r="AD755" s="210"/>
      <c r="AE755" s="210"/>
      <c r="AF755" s="210"/>
      <c r="AG755" s="210"/>
      <c r="AH755" s="210"/>
      <c r="AI755" s="210"/>
      <c r="AJ755" s="210"/>
    </row>
    <row r="756" ht="14.25" customHeight="1">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c r="AA756" s="210"/>
      <c r="AB756" s="210"/>
      <c r="AC756" s="210"/>
      <c r="AD756" s="210"/>
      <c r="AE756" s="210"/>
      <c r="AF756" s="210"/>
      <c r="AG756" s="210"/>
      <c r="AH756" s="210"/>
      <c r="AI756" s="210"/>
      <c r="AJ756" s="210"/>
    </row>
    <row r="757" ht="14.25" customHeight="1">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c r="AA757" s="210"/>
      <c r="AB757" s="210"/>
      <c r="AC757" s="210"/>
      <c r="AD757" s="210"/>
      <c r="AE757" s="210"/>
      <c r="AF757" s="210"/>
      <c r="AG757" s="210"/>
      <c r="AH757" s="210"/>
      <c r="AI757" s="210"/>
      <c r="AJ757" s="210"/>
    </row>
    <row r="758" ht="14.25" customHeight="1">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c r="AA758" s="210"/>
      <c r="AB758" s="210"/>
      <c r="AC758" s="210"/>
      <c r="AD758" s="210"/>
      <c r="AE758" s="210"/>
      <c r="AF758" s="210"/>
      <c r="AG758" s="210"/>
      <c r="AH758" s="210"/>
      <c r="AI758" s="210"/>
      <c r="AJ758" s="210"/>
    </row>
    <row r="759" ht="14.25" customHeight="1">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c r="AA759" s="210"/>
      <c r="AB759" s="210"/>
      <c r="AC759" s="210"/>
      <c r="AD759" s="210"/>
      <c r="AE759" s="210"/>
      <c r="AF759" s="210"/>
      <c r="AG759" s="210"/>
      <c r="AH759" s="210"/>
      <c r="AI759" s="210"/>
      <c r="AJ759" s="210"/>
    </row>
    <row r="760" ht="14.25" customHeight="1">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c r="AA760" s="210"/>
      <c r="AB760" s="210"/>
      <c r="AC760" s="210"/>
      <c r="AD760" s="210"/>
      <c r="AE760" s="210"/>
      <c r="AF760" s="210"/>
      <c r="AG760" s="210"/>
      <c r="AH760" s="210"/>
      <c r="AI760" s="210"/>
      <c r="AJ760" s="210"/>
    </row>
    <row r="761" ht="14.25" customHeight="1">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c r="AA761" s="210"/>
      <c r="AB761" s="210"/>
      <c r="AC761" s="210"/>
      <c r="AD761" s="210"/>
      <c r="AE761" s="210"/>
      <c r="AF761" s="210"/>
      <c r="AG761" s="210"/>
      <c r="AH761" s="210"/>
      <c r="AI761" s="210"/>
      <c r="AJ761" s="210"/>
    </row>
    <row r="762" ht="14.25" customHeight="1">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c r="AA762" s="210"/>
      <c r="AB762" s="210"/>
      <c r="AC762" s="210"/>
      <c r="AD762" s="210"/>
      <c r="AE762" s="210"/>
      <c r="AF762" s="210"/>
      <c r="AG762" s="210"/>
      <c r="AH762" s="210"/>
      <c r="AI762" s="210"/>
      <c r="AJ762" s="210"/>
    </row>
    <row r="763" ht="14.25" customHeight="1">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c r="AA763" s="210"/>
      <c r="AB763" s="210"/>
      <c r="AC763" s="210"/>
      <c r="AD763" s="210"/>
      <c r="AE763" s="210"/>
      <c r="AF763" s="210"/>
      <c r="AG763" s="210"/>
      <c r="AH763" s="210"/>
      <c r="AI763" s="210"/>
      <c r="AJ763" s="210"/>
    </row>
    <row r="764" ht="14.25" customHeight="1">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c r="AA764" s="210"/>
      <c r="AB764" s="210"/>
      <c r="AC764" s="210"/>
      <c r="AD764" s="210"/>
      <c r="AE764" s="210"/>
      <c r="AF764" s="210"/>
      <c r="AG764" s="210"/>
      <c r="AH764" s="210"/>
      <c r="AI764" s="210"/>
      <c r="AJ764" s="210"/>
    </row>
    <row r="765" ht="14.25" customHeight="1">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c r="AA765" s="210"/>
      <c r="AB765" s="210"/>
      <c r="AC765" s="210"/>
      <c r="AD765" s="210"/>
      <c r="AE765" s="210"/>
      <c r="AF765" s="210"/>
      <c r="AG765" s="210"/>
      <c r="AH765" s="210"/>
      <c r="AI765" s="210"/>
      <c r="AJ765" s="210"/>
    </row>
    <row r="766" ht="14.25" customHeight="1">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c r="AA766" s="210"/>
      <c r="AB766" s="210"/>
      <c r="AC766" s="210"/>
      <c r="AD766" s="210"/>
      <c r="AE766" s="210"/>
      <c r="AF766" s="210"/>
      <c r="AG766" s="210"/>
      <c r="AH766" s="210"/>
      <c r="AI766" s="210"/>
      <c r="AJ766" s="210"/>
    </row>
    <row r="767" ht="14.25" customHeight="1">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c r="AA767" s="210"/>
      <c r="AB767" s="210"/>
      <c r="AC767" s="210"/>
      <c r="AD767" s="210"/>
      <c r="AE767" s="210"/>
      <c r="AF767" s="210"/>
      <c r="AG767" s="210"/>
      <c r="AH767" s="210"/>
      <c r="AI767" s="210"/>
      <c r="AJ767" s="210"/>
    </row>
    <row r="768" ht="14.25" customHeight="1">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c r="AA768" s="210"/>
      <c r="AB768" s="210"/>
      <c r="AC768" s="210"/>
      <c r="AD768" s="210"/>
      <c r="AE768" s="210"/>
      <c r="AF768" s="210"/>
      <c r="AG768" s="210"/>
      <c r="AH768" s="210"/>
      <c r="AI768" s="210"/>
      <c r="AJ768" s="210"/>
    </row>
    <row r="769" ht="14.25" customHeight="1">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c r="AA769" s="210"/>
      <c r="AB769" s="210"/>
      <c r="AC769" s="210"/>
      <c r="AD769" s="210"/>
      <c r="AE769" s="210"/>
      <c r="AF769" s="210"/>
      <c r="AG769" s="210"/>
      <c r="AH769" s="210"/>
      <c r="AI769" s="210"/>
      <c r="AJ769" s="210"/>
    </row>
    <row r="770" ht="14.25" customHeight="1">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c r="AA770" s="210"/>
      <c r="AB770" s="210"/>
      <c r="AC770" s="210"/>
      <c r="AD770" s="210"/>
      <c r="AE770" s="210"/>
      <c r="AF770" s="210"/>
      <c r="AG770" s="210"/>
      <c r="AH770" s="210"/>
      <c r="AI770" s="210"/>
      <c r="AJ770" s="210"/>
    </row>
    <row r="771" ht="14.25" customHeight="1">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c r="AA771" s="210"/>
      <c r="AB771" s="210"/>
      <c r="AC771" s="210"/>
      <c r="AD771" s="210"/>
      <c r="AE771" s="210"/>
      <c r="AF771" s="210"/>
      <c r="AG771" s="210"/>
      <c r="AH771" s="210"/>
      <c r="AI771" s="210"/>
      <c r="AJ771" s="210"/>
    </row>
    <row r="772" ht="14.25" customHeight="1">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c r="AA772" s="210"/>
      <c r="AB772" s="210"/>
      <c r="AC772" s="210"/>
      <c r="AD772" s="210"/>
      <c r="AE772" s="210"/>
      <c r="AF772" s="210"/>
      <c r="AG772" s="210"/>
      <c r="AH772" s="210"/>
      <c r="AI772" s="210"/>
      <c r="AJ772" s="210"/>
    </row>
    <row r="773" ht="14.25" customHeight="1">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c r="AA773" s="210"/>
      <c r="AB773" s="210"/>
      <c r="AC773" s="210"/>
      <c r="AD773" s="210"/>
      <c r="AE773" s="210"/>
      <c r="AF773" s="210"/>
      <c r="AG773" s="210"/>
      <c r="AH773" s="210"/>
      <c r="AI773" s="210"/>
      <c r="AJ773" s="210"/>
    </row>
    <row r="774" ht="14.25" customHeight="1">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c r="AA774" s="210"/>
      <c r="AB774" s="210"/>
      <c r="AC774" s="210"/>
      <c r="AD774" s="210"/>
      <c r="AE774" s="210"/>
      <c r="AF774" s="210"/>
      <c r="AG774" s="210"/>
      <c r="AH774" s="210"/>
      <c r="AI774" s="210"/>
      <c r="AJ774" s="210"/>
    </row>
    <row r="775" ht="14.25" customHeight="1">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c r="AA775" s="210"/>
      <c r="AB775" s="210"/>
      <c r="AC775" s="210"/>
      <c r="AD775" s="210"/>
      <c r="AE775" s="210"/>
      <c r="AF775" s="210"/>
      <c r="AG775" s="210"/>
      <c r="AH775" s="210"/>
      <c r="AI775" s="210"/>
      <c r="AJ775" s="210"/>
    </row>
    <row r="776" ht="14.25" customHeight="1">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c r="AA776" s="210"/>
      <c r="AB776" s="210"/>
      <c r="AC776" s="210"/>
      <c r="AD776" s="210"/>
      <c r="AE776" s="210"/>
      <c r="AF776" s="210"/>
      <c r="AG776" s="210"/>
      <c r="AH776" s="210"/>
      <c r="AI776" s="210"/>
      <c r="AJ776" s="210"/>
    </row>
    <row r="777" ht="14.25" customHeight="1">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c r="AA777" s="210"/>
      <c r="AB777" s="210"/>
      <c r="AC777" s="210"/>
      <c r="AD777" s="210"/>
      <c r="AE777" s="210"/>
      <c r="AF777" s="210"/>
      <c r="AG777" s="210"/>
      <c r="AH777" s="210"/>
      <c r="AI777" s="210"/>
      <c r="AJ777" s="210"/>
    </row>
    <row r="778" ht="14.25" customHeight="1">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c r="AA778" s="210"/>
      <c r="AB778" s="210"/>
      <c r="AC778" s="210"/>
      <c r="AD778" s="210"/>
      <c r="AE778" s="210"/>
      <c r="AF778" s="210"/>
      <c r="AG778" s="210"/>
      <c r="AH778" s="210"/>
      <c r="AI778" s="210"/>
      <c r="AJ778" s="210"/>
    </row>
    <row r="779" ht="14.25" customHeight="1">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c r="AA779" s="210"/>
      <c r="AB779" s="210"/>
      <c r="AC779" s="210"/>
      <c r="AD779" s="210"/>
      <c r="AE779" s="210"/>
      <c r="AF779" s="210"/>
      <c r="AG779" s="210"/>
      <c r="AH779" s="210"/>
      <c r="AI779" s="210"/>
      <c r="AJ779" s="210"/>
    </row>
    <row r="780" ht="14.25" customHeight="1">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c r="AA780" s="210"/>
      <c r="AB780" s="210"/>
      <c r="AC780" s="210"/>
      <c r="AD780" s="210"/>
      <c r="AE780" s="210"/>
      <c r="AF780" s="210"/>
      <c r="AG780" s="210"/>
      <c r="AH780" s="210"/>
      <c r="AI780" s="210"/>
      <c r="AJ780" s="210"/>
    </row>
    <row r="781" ht="14.25" customHeight="1">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c r="AA781" s="210"/>
      <c r="AB781" s="210"/>
      <c r="AC781" s="210"/>
      <c r="AD781" s="210"/>
      <c r="AE781" s="210"/>
      <c r="AF781" s="210"/>
      <c r="AG781" s="210"/>
      <c r="AH781" s="210"/>
      <c r="AI781" s="210"/>
      <c r="AJ781" s="210"/>
    </row>
    <row r="782" ht="14.25" customHeight="1">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c r="AA782" s="210"/>
      <c r="AB782" s="210"/>
      <c r="AC782" s="210"/>
      <c r="AD782" s="210"/>
      <c r="AE782" s="210"/>
      <c r="AF782" s="210"/>
      <c r="AG782" s="210"/>
      <c r="AH782" s="210"/>
      <c r="AI782" s="210"/>
      <c r="AJ782" s="210"/>
    </row>
    <row r="783" ht="14.25" customHeight="1">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c r="AA783" s="210"/>
      <c r="AB783" s="210"/>
      <c r="AC783" s="210"/>
      <c r="AD783" s="210"/>
      <c r="AE783" s="210"/>
      <c r="AF783" s="210"/>
      <c r="AG783" s="210"/>
      <c r="AH783" s="210"/>
      <c r="AI783" s="210"/>
      <c r="AJ783" s="210"/>
    </row>
    <row r="784" ht="14.25" customHeight="1">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c r="AA784" s="210"/>
      <c r="AB784" s="210"/>
      <c r="AC784" s="210"/>
      <c r="AD784" s="210"/>
      <c r="AE784" s="210"/>
      <c r="AF784" s="210"/>
      <c r="AG784" s="210"/>
      <c r="AH784" s="210"/>
      <c r="AI784" s="210"/>
      <c r="AJ784" s="210"/>
    </row>
    <row r="785" ht="14.25" customHeight="1">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c r="AA785" s="210"/>
      <c r="AB785" s="210"/>
      <c r="AC785" s="210"/>
      <c r="AD785" s="210"/>
      <c r="AE785" s="210"/>
      <c r="AF785" s="210"/>
      <c r="AG785" s="210"/>
      <c r="AH785" s="210"/>
      <c r="AI785" s="210"/>
      <c r="AJ785" s="210"/>
    </row>
    <row r="786" ht="14.25" customHeight="1">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c r="AA786" s="210"/>
      <c r="AB786" s="210"/>
      <c r="AC786" s="210"/>
      <c r="AD786" s="210"/>
      <c r="AE786" s="210"/>
      <c r="AF786" s="210"/>
      <c r="AG786" s="210"/>
      <c r="AH786" s="210"/>
      <c r="AI786" s="210"/>
      <c r="AJ786" s="210"/>
    </row>
    <row r="787" ht="14.25" customHeight="1">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c r="AA787" s="210"/>
      <c r="AB787" s="210"/>
      <c r="AC787" s="210"/>
      <c r="AD787" s="210"/>
      <c r="AE787" s="210"/>
      <c r="AF787" s="210"/>
      <c r="AG787" s="210"/>
      <c r="AH787" s="210"/>
      <c r="AI787" s="210"/>
      <c r="AJ787" s="210"/>
    </row>
    <row r="788" ht="14.25" customHeight="1">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c r="AA788" s="210"/>
      <c r="AB788" s="210"/>
      <c r="AC788" s="210"/>
      <c r="AD788" s="210"/>
      <c r="AE788" s="210"/>
      <c r="AF788" s="210"/>
      <c r="AG788" s="210"/>
      <c r="AH788" s="210"/>
      <c r="AI788" s="210"/>
      <c r="AJ788" s="210"/>
    </row>
    <row r="789" ht="14.25" customHeight="1">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c r="AA789" s="210"/>
      <c r="AB789" s="210"/>
      <c r="AC789" s="210"/>
      <c r="AD789" s="210"/>
      <c r="AE789" s="210"/>
      <c r="AF789" s="210"/>
      <c r="AG789" s="210"/>
      <c r="AH789" s="210"/>
      <c r="AI789" s="210"/>
      <c r="AJ789" s="210"/>
    </row>
    <row r="790" ht="14.25" customHeight="1">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c r="AA790" s="210"/>
      <c r="AB790" s="210"/>
      <c r="AC790" s="210"/>
      <c r="AD790" s="210"/>
      <c r="AE790" s="210"/>
      <c r="AF790" s="210"/>
      <c r="AG790" s="210"/>
      <c r="AH790" s="210"/>
      <c r="AI790" s="210"/>
      <c r="AJ790" s="210"/>
    </row>
    <row r="791" ht="14.25" customHeight="1">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c r="AA791" s="210"/>
      <c r="AB791" s="210"/>
      <c r="AC791" s="210"/>
      <c r="AD791" s="210"/>
      <c r="AE791" s="210"/>
      <c r="AF791" s="210"/>
      <c r="AG791" s="210"/>
      <c r="AH791" s="210"/>
      <c r="AI791" s="210"/>
      <c r="AJ791" s="210"/>
    </row>
    <row r="792" ht="14.25" customHeight="1">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c r="AA792" s="210"/>
      <c r="AB792" s="210"/>
      <c r="AC792" s="210"/>
      <c r="AD792" s="210"/>
      <c r="AE792" s="210"/>
      <c r="AF792" s="210"/>
      <c r="AG792" s="210"/>
      <c r="AH792" s="210"/>
      <c r="AI792" s="210"/>
      <c r="AJ792" s="210"/>
    </row>
    <row r="793" ht="14.25" customHeight="1">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c r="AA793" s="210"/>
      <c r="AB793" s="210"/>
      <c r="AC793" s="210"/>
      <c r="AD793" s="210"/>
      <c r="AE793" s="210"/>
      <c r="AF793" s="210"/>
      <c r="AG793" s="210"/>
      <c r="AH793" s="210"/>
      <c r="AI793" s="210"/>
      <c r="AJ793" s="210"/>
    </row>
    <row r="794" ht="14.25" customHeight="1">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c r="AA794" s="210"/>
      <c r="AB794" s="210"/>
      <c r="AC794" s="210"/>
      <c r="AD794" s="210"/>
      <c r="AE794" s="210"/>
      <c r="AF794" s="210"/>
      <c r="AG794" s="210"/>
      <c r="AH794" s="210"/>
      <c r="AI794" s="210"/>
      <c r="AJ794" s="210"/>
    </row>
    <row r="795" ht="14.25" customHeight="1">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c r="AA795" s="210"/>
      <c r="AB795" s="210"/>
      <c r="AC795" s="210"/>
      <c r="AD795" s="210"/>
      <c r="AE795" s="210"/>
      <c r="AF795" s="210"/>
      <c r="AG795" s="210"/>
      <c r="AH795" s="210"/>
      <c r="AI795" s="210"/>
      <c r="AJ795" s="210"/>
    </row>
    <row r="796" ht="14.25" customHeight="1">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c r="AA796" s="210"/>
      <c r="AB796" s="210"/>
      <c r="AC796" s="210"/>
      <c r="AD796" s="210"/>
      <c r="AE796" s="210"/>
      <c r="AF796" s="210"/>
      <c r="AG796" s="210"/>
      <c r="AH796" s="210"/>
      <c r="AI796" s="210"/>
      <c r="AJ796" s="210"/>
    </row>
    <row r="797" ht="14.25" customHeight="1">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c r="AA797" s="210"/>
      <c r="AB797" s="210"/>
      <c r="AC797" s="210"/>
      <c r="AD797" s="210"/>
      <c r="AE797" s="210"/>
      <c r="AF797" s="210"/>
      <c r="AG797" s="210"/>
      <c r="AH797" s="210"/>
      <c r="AI797" s="210"/>
      <c r="AJ797" s="210"/>
    </row>
    <row r="798" ht="14.25" customHeight="1">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c r="AA798" s="210"/>
      <c r="AB798" s="210"/>
      <c r="AC798" s="210"/>
      <c r="AD798" s="210"/>
      <c r="AE798" s="210"/>
      <c r="AF798" s="210"/>
      <c r="AG798" s="210"/>
      <c r="AH798" s="210"/>
      <c r="AI798" s="210"/>
      <c r="AJ798" s="210"/>
    </row>
    <row r="799" ht="14.25" customHeight="1">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c r="AA799" s="210"/>
      <c r="AB799" s="210"/>
      <c r="AC799" s="210"/>
      <c r="AD799" s="210"/>
      <c r="AE799" s="210"/>
      <c r="AF799" s="210"/>
      <c r="AG799" s="210"/>
      <c r="AH799" s="210"/>
      <c r="AI799" s="210"/>
      <c r="AJ799" s="210"/>
    </row>
    <row r="800" ht="14.25" customHeight="1">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c r="AA800" s="210"/>
      <c r="AB800" s="210"/>
      <c r="AC800" s="210"/>
      <c r="AD800" s="210"/>
      <c r="AE800" s="210"/>
      <c r="AF800" s="210"/>
      <c r="AG800" s="210"/>
      <c r="AH800" s="210"/>
      <c r="AI800" s="210"/>
      <c r="AJ800" s="210"/>
    </row>
    <row r="801" ht="14.25" customHeight="1">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c r="AA801" s="210"/>
      <c r="AB801" s="210"/>
      <c r="AC801" s="210"/>
      <c r="AD801" s="210"/>
      <c r="AE801" s="210"/>
      <c r="AF801" s="210"/>
      <c r="AG801" s="210"/>
      <c r="AH801" s="210"/>
      <c r="AI801" s="210"/>
      <c r="AJ801" s="210"/>
    </row>
    <row r="802" ht="14.25" customHeight="1">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c r="AA802" s="210"/>
      <c r="AB802" s="210"/>
      <c r="AC802" s="210"/>
      <c r="AD802" s="210"/>
      <c r="AE802" s="210"/>
      <c r="AF802" s="210"/>
      <c r="AG802" s="210"/>
      <c r="AH802" s="210"/>
      <c r="AI802" s="210"/>
      <c r="AJ802" s="210"/>
    </row>
    <row r="803" ht="14.25" customHeight="1">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c r="AA803" s="210"/>
      <c r="AB803" s="210"/>
      <c r="AC803" s="210"/>
      <c r="AD803" s="210"/>
      <c r="AE803" s="210"/>
      <c r="AF803" s="210"/>
      <c r="AG803" s="210"/>
      <c r="AH803" s="210"/>
      <c r="AI803" s="210"/>
      <c r="AJ803" s="210"/>
    </row>
    <row r="804" ht="14.25" customHeight="1">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c r="AA804" s="210"/>
      <c r="AB804" s="210"/>
      <c r="AC804" s="210"/>
      <c r="AD804" s="210"/>
      <c r="AE804" s="210"/>
      <c r="AF804" s="210"/>
      <c r="AG804" s="210"/>
      <c r="AH804" s="210"/>
      <c r="AI804" s="210"/>
      <c r="AJ804" s="210"/>
    </row>
    <row r="805" ht="14.25" customHeight="1">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c r="AA805" s="210"/>
      <c r="AB805" s="210"/>
      <c r="AC805" s="210"/>
      <c r="AD805" s="210"/>
      <c r="AE805" s="210"/>
      <c r="AF805" s="210"/>
      <c r="AG805" s="210"/>
      <c r="AH805" s="210"/>
      <c r="AI805" s="210"/>
      <c r="AJ805" s="210"/>
    </row>
    <row r="806" ht="14.25" customHeight="1">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c r="AA806" s="210"/>
      <c r="AB806" s="210"/>
      <c r="AC806" s="210"/>
      <c r="AD806" s="210"/>
      <c r="AE806" s="210"/>
      <c r="AF806" s="210"/>
      <c r="AG806" s="210"/>
      <c r="AH806" s="210"/>
      <c r="AI806" s="210"/>
      <c r="AJ806" s="210"/>
    </row>
    <row r="807" ht="14.25" customHeight="1">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c r="AA807" s="210"/>
      <c r="AB807" s="210"/>
      <c r="AC807" s="210"/>
      <c r="AD807" s="210"/>
      <c r="AE807" s="210"/>
      <c r="AF807" s="210"/>
      <c r="AG807" s="210"/>
      <c r="AH807" s="210"/>
      <c r="AI807" s="210"/>
      <c r="AJ807" s="210"/>
    </row>
    <row r="808" ht="14.25" customHeight="1">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c r="AA808" s="210"/>
      <c r="AB808" s="210"/>
      <c r="AC808" s="210"/>
      <c r="AD808" s="210"/>
      <c r="AE808" s="210"/>
      <c r="AF808" s="210"/>
      <c r="AG808" s="210"/>
      <c r="AH808" s="210"/>
      <c r="AI808" s="210"/>
      <c r="AJ808" s="210"/>
    </row>
    <row r="809" ht="14.25" customHeight="1">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c r="AA809" s="210"/>
      <c r="AB809" s="210"/>
      <c r="AC809" s="210"/>
      <c r="AD809" s="210"/>
      <c r="AE809" s="210"/>
      <c r="AF809" s="210"/>
      <c r="AG809" s="210"/>
      <c r="AH809" s="210"/>
      <c r="AI809" s="210"/>
      <c r="AJ809" s="210"/>
    </row>
    <row r="810" ht="14.25" customHeight="1">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c r="AA810" s="210"/>
      <c r="AB810" s="210"/>
      <c r="AC810" s="210"/>
      <c r="AD810" s="210"/>
      <c r="AE810" s="210"/>
      <c r="AF810" s="210"/>
      <c r="AG810" s="210"/>
      <c r="AH810" s="210"/>
      <c r="AI810" s="210"/>
      <c r="AJ810" s="210"/>
    </row>
    <row r="811" ht="14.25" customHeight="1">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c r="AA811" s="210"/>
      <c r="AB811" s="210"/>
      <c r="AC811" s="210"/>
      <c r="AD811" s="210"/>
      <c r="AE811" s="210"/>
      <c r="AF811" s="210"/>
      <c r="AG811" s="210"/>
      <c r="AH811" s="210"/>
      <c r="AI811" s="210"/>
      <c r="AJ811" s="210"/>
    </row>
    <row r="812" ht="14.25" customHeight="1">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c r="AA812" s="210"/>
      <c r="AB812" s="210"/>
      <c r="AC812" s="210"/>
      <c r="AD812" s="210"/>
      <c r="AE812" s="210"/>
      <c r="AF812" s="210"/>
      <c r="AG812" s="210"/>
      <c r="AH812" s="210"/>
      <c r="AI812" s="210"/>
      <c r="AJ812" s="210"/>
    </row>
    <row r="813" ht="14.25" customHeight="1">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c r="AA813" s="210"/>
      <c r="AB813" s="210"/>
      <c r="AC813" s="210"/>
      <c r="AD813" s="210"/>
      <c r="AE813" s="210"/>
      <c r="AF813" s="210"/>
      <c r="AG813" s="210"/>
      <c r="AH813" s="210"/>
      <c r="AI813" s="210"/>
      <c r="AJ813" s="210"/>
    </row>
    <row r="814" ht="14.25" customHeight="1">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c r="AA814" s="210"/>
      <c r="AB814" s="210"/>
      <c r="AC814" s="210"/>
      <c r="AD814" s="210"/>
      <c r="AE814" s="210"/>
      <c r="AF814" s="210"/>
      <c r="AG814" s="210"/>
      <c r="AH814" s="210"/>
      <c r="AI814" s="210"/>
      <c r="AJ814" s="210"/>
    </row>
    <row r="815" ht="14.25" customHeight="1">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c r="AA815" s="210"/>
      <c r="AB815" s="210"/>
      <c r="AC815" s="210"/>
      <c r="AD815" s="210"/>
      <c r="AE815" s="210"/>
      <c r="AF815" s="210"/>
      <c r="AG815" s="210"/>
      <c r="AH815" s="210"/>
      <c r="AI815" s="210"/>
      <c r="AJ815" s="210"/>
    </row>
    <row r="816" ht="14.25" customHeight="1">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c r="AA816" s="210"/>
      <c r="AB816" s="210"/>
      <c r="AC816" s="210"/>
      <c r="AD816" s="210"/>
      <c r="AE816" s="210"/>
      <c r="AF816" s="210"/>
      <c r="AG816" s="210"/>
      <c r="AH816" s="210"/>
      <c r="AI816" s="210"/>
      <c r="AJ816" s="210"/>
    </row>
    <row r="817" ht="14.25" customHeight="1">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c r="AA817" s="210"/>
      <c r="AB817" s="210"/>
      <c r="AC817" s="210"/>
      <c r="AD817" s="210"/>
      <c r="AE817" s="210"/>
      <c r="AF817" s="210"/>
      <c r="AG817" s="210"/>
      <c r="AH817" s="210"/>
      <c r="AI817" s="210"/>
      <c r="AJ817" s="210"/>
    </row>
    <row r="818" ht="14.25" customHeight="1">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c r="AA818" s="210"/>
      <c r="AB818" s="210"/>
      <c r="AC818" s="210"/>
      <c r="AD818" s="210"/>
      <c r="AE818" s="210"/>
      <c r="AF818" s="210"/>
      <c r="AG818" s="210"/>
      <c r="AH818" s="210"/>
      <c r="AI818" s="210"/>
      <c r="AJ818" s="210"/>
    </row>
    <row r="819" ht="14.25" customHeight="1">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c r="AA819" s="210"/>
      <c r="AB819" s="210"/>
      <c r="AC819" s="210"/>
      <c r="AD819" s="210"/>
      <c r="AE819" s="210"/>
      <c r="AF819" s="210"/>
      <c r="AG819" s="210"/>
      <c r="AH819" s="210"/>
      <c r="AI819" s="210"/>
      <c r="AJ819" s="210"/>
    </row>
    <row r="820" ht="14.25" customHeight="1">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c r="AA820" s="210"/>
      <c r="AB820" s="210"/>
      <c r="AC820" s="210"/>
      <c r="AD820" s="210"/>
      <c r="AE820" s="210"/>
      <c r="AF820" s="210"/>
      <c r="AG820" s="210"/>
      <c r="AH820" s="210"/>
      <c r="AI820" s="210"/>
      <c r="AJ820" s="210"/>
    </row>
    <row r="821" ht="14.25" customHeight="1">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c r="AA821" s="210"/>
      <c r="AB821" s="210"/>
      <c r="AC821" s="210"/>
      <c r="AD821" s="210"/>
      <c r="AE821" s="210"/>
      <c r="AF821" s="210"/>
      <c r="AG821" s="210"/>
      <c r="AH821" s="210"/>
      <c r="AI821" s="210"/>
      <c r="AJ821" s="210"/>
    </row>
    <row r="822" ht="14.25" customHeight="1">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c r="AA822" s="210"/>
      <c r="AB822" s="210"/>
      <c r="AC822" s="210"/>
      <c r="AD822" s="210"/>
      <c r="AE822" s="210"/>
      <c r="AF822" s="210"/>
      <c r="AG822" s="210"/>
      <c r="AH822" s="210"/>
      <c r="AI822" s="210"/>
      <c r="AJ822" s="210"/>
    </row>
    <row r="823" ht="14.25" customHeight="1">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c r="AA823" s="210"/>
      <c r="AB823" s="210"/>
      <c r="AC823" s="210"/>
      <c r="AD823" s="210"/>
      <c r="AE823" s="210"/>
      <c r="AF823" s="210"/>
      <c r="AG823" s="210"/>
      <c r="AH823" s="210"/>
      <c r="AI823" s="210"/>
      <c r="AJ823" s="210"/>
    </row>
    <row r="824" ht="14.25" customHeight="1">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c r="AA824" s="210"/>
      <c r="AB824" s="210"/>
      <c r="AC824" s="210"/>
      <c r="AD824" s="210"/>
      <c r="AE824" s="210"/>
      <c r="AF824" s="210"/>
      <c r="AG824" s="210"/>
      <c r="AH824" s="210"/>
      <c r="AI824" s="210"/>
      <c r="AJ824" s="210"/>
    </row>
    <row r="825" ht="14.25" customHeight="1">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c r="AA825" s="210"/>
      <c r="AB825" s="210"/>
      <c r="AC825" s="210"/>
      <c r="AD825" s="210"/>
      <c r="AE825" s="210"/>
      <c r="AF825" s="210"/>
      <c r="AG825" s="210"/>
      <c r="AH825" s="210"/>
      <c r="AI825" s="210"/>
      <c r="AJ825" s="210"/>
    </row>
    <row r="826" ht="14.25" customHeight="1">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c r="AA826" s="210"/>
      <c r="AB826" s="210"/>
      <c r="AC826" s="210"/>
      <c r="AD826" s="210"/>
      <c r="AE826" s="210"/>
      <c r="AF826" s="210"/>
      <c r="AG826" s="210"/>
      <c r="AH826" s="210"/>
      <c r="AI826" s="210"/>
      <c r="AJ826" s="210"/>
    </row>
    <row r="827" ht="14.25" customHeight="1">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c r="AA827" s="210"/>
      <c r="AB827" s="210"/>
      <c r="AC827" s="210"/>
      <c r="AD827" s="210"/>
      <c r="AE827" s="210"/>
      <c r="AF827" s="210"/>
      <c r="AG827" s="210"/>
      <c r="AH827" s="210"/>
      <c r="AI827" s="210"/>
      <c r="AJ827" s="210"/>
    </row>
    <row r="828" ht="14.25" customHeight="1">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c r="AA828" s="210"/>
      <c r="AB828" s="210"/>
      <c r="AC828" s="210"/>
      <c r="AD828" s="210"/>
      <c r="AE828" s="210"/>
      <c r="AF828" s="210"/>
      <c r="AG828" s="210"/>
      <c r="AH828" s="210"/>
      <c r="AI828" s="210"/>
      <c r="AJ828" s="210"/>
    </row>
    <row r="829" ht="14.25" customHeight="1">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c r="AA829" s="210"/>
      <c r="AB829" s="210"/>
      <c r="AC829" s="210"/>
      <c r="AD829" s="210"/>
      <c r="AE829" s="210"/>
      <c r="AF829" s="210"/>
      <c r="AG829" s="210"/>
      <c r="AH829" s="210"/>
      <c r="AI829" s="210"/>
      <c r="AJ829" s="210"/>
    </row>
    <row r="830" ht="14.25" customHeight="1">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c r="AA830" s="210"/>
      <c r="AB830" s="210"/>
      <c r="AC830" s="210"/>
      <c r="AD830" s="210"/>
      <c r="AE830" s="210"/>
      <c r="AF830" s="210"/>
      <c r="AG830" s="210"/>
      <c r="AH830" s="210"/>
      <c r="AI830" s="210"/>
      <c r="AJ830" s="210"/>
    </row>
    <row r="831" ht="14.25" customHeight="1">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c r="AA831" s="210"/>
      <c r="AB831" s="210"/>
      <c r="AC831" s="210"/>
      <c r="AD831" s="210"/>
      <c r="AE831" s="210"/>
      <c r="AF831" s="210"/>
      <c r="AG831" s="210"/>
      <c r="AH831" s="210"/>
      <c r="AI831" s="210"/>
      <c r="AJ831" s="210"/>
    </row>
    <row r="832" ht="14.25" customHeight="1">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c r="AA832" s="210"/>
      <c r="AB832" s="210"/>
      <c r="AC832" s="210"/>
      <c r="AD832" s="210"/>
      <c r="AE832" s="210"/>
      <c r="AF832" s="210"/>
      <c r="AG832" s="210"/>
      <c r="AH832" s="210"/>
      <c r="AI832" s="210"/>
      <c r="AJ832" s="210"/>
    </row>
    <row r="833" ht="14.25" customHeight="1">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c r="AA833" s="210"/>
      <c r="AB833" s="210"/>
      <c r="AC833" s="210"/>
      <c r="AD833" s="210"/>
      <c r="AE833" s="210"/>
      <c r="AF833" s="210"/>
      <c r="AG833" s="210"/>
      <c r="AH833" s="210"/>
      <c r="AI833" s="210"/>
      <c r="AJ833" s="210"/>
    </row>
    <row r="834" ht="14.25" customHeight="1">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c r="AA834" s="210"/>
      <c r="AB834" s="210"/>
      <c r="AC834" s="210"/>
      <c r="AD834" s="210"/>
      <c r="AE834" s="210"/>
      <c r="AF834" s="210"/>
      <c r="AG834" s="210"/>
      <c r="AH834" s="210"/>
      <c r="AI834" s="210"/>
      <c r="AJ834" s="210"/>
    </row>
    <row r="835" ht="14.25" customHeight="1">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c r="AA835" s="210"/>
      <c r="AB835" s="210"/>
      <c r="AC835" s="210"/>
      <c r="AD835" s="210"/>
      <c r="AE835" s="210"/>
      <c r="AF835" s="210"/>
      <c r="AG835" s="210"/>
      <c r="AH835" s="210"/>
      <c r="AI835" s="210"/>
      <c r="AJ835" s="210"/>
    </row>
    <row r="836" ht="14.25" customHeight="1">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c r="AA836" s="210"/>
      <c r="AB836" s="210"/>
      <c r="AC836" s="210"/>
      <c r="AD836" s="210"/>
      <c r="AE836" s="210"/>
      <c r="AF836" s="210"/>
      <c r="AG836" s="210"/>
      <c r="AH836" s="210"/>
      <c r="AI836" s="210"/>
      <c r="AJ836" s="210"/>
    </row>
    <row r="837" ht="14.25" customHeight="1">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c r="AA837" s="210"/>
      <c r="AB837" s="210"/>
      <c r="AC837" s="210"/>
      <c r="AD837" s="210"/>
      <c r="AE837" s="210"/>
      <c r="AF837" s="210"/>
      <c r="AG837" s="210"/>
      <c r="AH837" s="210"/>
      <c r="AI837" s="210"/>
      <c r="AJ837" s="210"/>
    </row>
    <row r="838" ht="14.25" customHeight="1">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c r="AA838" s="210"/>
      <c r="AB838" s="210"/>
      <c r="AC838" s="210"/>
      <c r="AD838" s="210"/>
      <c r="AE838" s="210"/>
      <c r="AF838" s="210"/>
      <c r="AG838" s="210"/>
      <c r="AH838" s="210"/>
      <c r="AI838" s="210"/>
      <c r="AJ838" s="210"/>
    </row>
    <row r="839" ht="14.25" customHeight="1">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c r="AA839" s="210"/>
      <c r="AB839" s="210"/>
      <c r="AC839" s="210"/>
      <c r="AD839" s="210"/>
      <c r="AE839" s="210"/>
      <c r="AF839" s="210"/>
      <c r="AG839" s="210"/>
      <c r="AH839" s="210"/>
      <c r="AI839" s="210"/>
      <c r="AJ839" s="210"/>
    </row>
    <row r="840" ht="14.25" customHeight="1">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c r="AA840" s="210"/>
      <c r="AB840" s="210"/>
      <c r="AC840" s="210"/>
      <c r="AD840" s="210"/>
      <c r="AE840" s="210"/>
      <c r="AF840" s="210"/>
      <c r="AG840" s="210"/>
      <c r="AH840" s="210"/>
      <c r="AI840" s="210"/>
      <c r="AJ840" s="210"/>
    </row>
    <row r="841" ht="14.25" customHeight="1">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c r="AA841" s="210"/>
      <c r="AB841" s="210"/>
      <c r="AC841" s="210"/>
      <c r="AD841" s="210"/>
      <c r="AE841" s="210"/>
      <c r="AF841" s="210"/>
      <c r="AG841" s="210"/>
      <c r="AH841" s="210"/>
      <c r="AI841" s="210"/>
      <c r="AJ841" s="210"/>
    </row>
    <row r="842" ht="14.25" customHeight="1">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c r="AA842" s="210"/>
      <c r="AB842" s="210"/>
      <c r="AC842" s="210"/>
      <c r="AD842" s="210"/>
      <c r="AE842" s="210"/>
      <c r="AF842" s="210"/>
      <c r="AG842" s="210"/>
      <c r="AH842" s="210"/>
      <c r="AI842" s="210"/>
      <c r="AJ842" s="210"/>
    </row>
    <row r="843" ht="14.25" customHeight="1">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c r="AA843" s="210"/>
      <c r="AB843" s="210"/>
      <c r="AC843" s="210"/>
      <c r="AD843" s="210"/>
      <c r="AE843" s="210"/>
      <c r="AF843" s="210"/>
      <c r="AG843" s="210"/>
      <c r="AH843" s="210"/>
      <c r="AI843" s="210"/>
      <c r="AJ843" s="210"/>
    </row>
    <row r="844" ht="14.25" customHeight="1">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c r="AA844" s="210"/>
      <c r="AB844" s="210"/>
      <c r="AC844" s="210"/>
      <c r="AD844" s="210"/>
      <c r="AE844" s="210"/>
      <c r="AF844" s="210"/>
      <c r="AG844" s="210"/>
      <c r="AH844" s="210"/>
      <c r="AI844" s="210"/>
      <c r="AJ844" s="210"/>
    </row>
    <row r="845" ht="14.25" customHeight="1">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c r="AA845" s="210"/>
      <c r="AB845" s="210"/>
      <c r="AC845" s="210"/>
      <c r="AD845" s="210"/>
      <c r="AE845" s="210"/>
      <c r="AF845" s="210"/>
      <c r="AG845" s="210"/>
      <c r="AH845" s="210"/>
      <c r="AI845" s="210"/>
      <c r="AJ845" s="210"/>
    </row>
    <row r="846" ht="14.25" customHeight="1">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c r="AA846" s="210"/>
      <c r="AB846" s="210"/>
      <c r="AC846" s="210"/>
      <c r="AD846" s="210"/>
      <c r="AE846" s="210"/>
      <c r="AF846" s="210"/>
      <c r="AG846" s="210"/>
      <c r="AH846" s="210"/>
      <c r="AI846" s="210"/>
      <c r="AJ846" s="210"/>
    </row>
    <row r="847" ht="14.25" customHeight="1">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c r="AA847" s="210"/>
      <c r="AB847" s="210"/>
      <c r="AC847" s="210"/>
      <c r="AD847" s="210"/>
      <c r="AE847" s="210"/>
      <c r="AF847" s="210"/>
      <c r="AG847" s="210"/>
      <c r="AH847" s="210"/>
      <c r="AI847" s="210"/>
      <c r="AJ847" s="210"/>
    </row>
    <row r="848" ht="14.25" customHeight="1">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c r="AA848" s="210"/>
      <c r="AB848" s="210"/>
      <c r="AC848" s="210"/>
      <c r="AD848" s="210"/>
      <c r="AE848" s="210"/>
      <c r="AF848" s="210"/>
      <c r="AG848" s="210"/>
      <c r="AH848" s="210"/>
      <c r="AI848" s="210"/>
      <c r="AJ848" s="210"/>
    </row>
    <row r="849" ht="14.25" customHeight="1">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c r="AA849" s="210"/>
      <c r="AB849" s="210"/>
      <c r="AC849" s="210"/>
      <c r="AD849" s="210"/>
      <c r="AE849" s="210"/>
      <c r="AF849" s="210"/>
      <c r="AG849" s="210"/>
      <c r="AH849" s="210"/>
      <c r="AI849" s="210"/>
      <c r="AJ849" s="210"/>
    </row>
    <row r="850" ht="14.25" customHeight="1">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c r="AA850" s="210"/>
      <c r="AB850" s="210"/>
      <c r="AC850" s="210"/>
      <c r="AD850" s="210"/>
      <c r="AE850" s="210"/>
      <c r="AF850" s="210"/>
      <c r="AG850" s="210"/>
      <c r="AH850" s="210"/>
      <c r="AI850" s="210"/>
      <c r="AJ850" s="210"/>
    </row>
    <row r="851" ht="14.25" customHeight="1">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c r="AA851" s="210"/>
      <c r="AB851" s="210"/>
      <c r="AC851" s="210"/>
      <c r="AD851" s="210"/>
      <c r="AE851" s="210"/>
      <c r="AF851" s="210"/>
      <c r="AG851" s="210"/>
      <c r="AH851" s="210"/>
      <c r="AI851" s="210"/>
      <c r="AJ851" s="210"/>
    </row>
    <row r="852" ht="14.25" customHeight="1">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c r="AA852" s="210"/>
      <c r="AB852" s="210"/>
      <c r="AC852" s="210"/>
      <c r="AD852" s="210"/>
      <c r="AE852" s="210"/>
      <c r="AF852" s="210"/>
      <c r="AG852" s="210"/>
      <c r="AH852" s="210"/>
      <c r="AI852" s="210"/>
      <c r="AJ852" s="210"/>
    </row>
    <row r="853" ht="14.25" customHeight="1">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c r="AA853" s="210"/>
      <c r="AB853" s="210"/>
      <c r="AC853" s="210"/>
      <c r="AD853" s="210"/>
      <c r="AE853" s="210"/>
      <c r="AF853" s="210"/>
      <c r="AG853" s="210"/>
      <c r="AH853" s="210"/>
      <c r="AI853" s="210"/>
      <c r="AJ853" s="210"/>
    </row>
    <row r="854" ht="14.25" customHeight="1">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c r="AA854" s="210"/>
      <c r="AB854" s="210"/>
      <c r="AC854" s="210"/>
      <c r="AD854" s="210"/>
      <c r="AE854" s="210"/>
      <c r="AF854" s="210"/>
      <c r="AG854" s="210"/>
      <c r="AH854" s="210"/>
      <c r="AI854" s="210"/>
      <c r="AJ854" s="210"/>
    </row>
    <row r="855" ht="14.25" customHeight="1">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c r="AA855" s="210"/>
      <c r="AB855" s="210"/>
      <c r="AC855" s="210"/>
      <c r="AD855" s="210"/>
      <c r="AE855" s="210"/>
      <c r="AF855" s="210"/>
      <c r="AG855" s="210"/>
      <c r="AH855" s="210"/>
      <c r="AI855" s="210"/>
      <c r="AJ855" s="210"/>
    </row>
    <row r="856" ht="14.25" customHeight="1">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c r="AA856" s="210"/>
      <c r="AB856" s="210"/>
      <c r="AC856" s="210"/>
      <c r="AD856" s="210"/>
      <c r="AE856" s="210"/>
      <c r="AF856" s="210"/>
      <c r="AG856" s="210"/>
      <c r="AH856" s="210"/>
      <c r="AI856" s="210"/>
      <c r="AJ856" s="210"/>
    </row>
    <row r="857" ht="14.25" customHeight="1">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c r="AA857" s="210"/>
      <c r="AB857" s="210"/>
      <c r="AC857" s="210"/>
      <c r="AD857" s="210"/>
      <c r="AE857" s="210"/>
      <c r="AF857" s="210"/>
      <c r="AG857" s="210"/>
      <c r="AH857" s="210"/>
      <c r="AI857" s="210"/>
      <c r="AJ857" s="210"/>
    </row>
    <row r="858" ht="14.25" customHeight="1">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c r="AA858" s="210"/>
      <c r="AB858" s="210"/>
      <c r="AC858" s="210"/>
      <c r="AD858" s="210"/>
      <c r="AE858" s="210"/>
      <c r="AF858" s="210"/>
      <c r="AG858" s="210"/>
      <c r="AH858" s="210"/>
      <c r="AI858" s="210"/>
      <c r="AJ858" s="210"/>
    </row>
    <row r="859" ht="14.25" customHeight="1">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c r="AA859" s="210"/>
      <c r="AB859" s="210"/>
      <c r="AC859" s="210"/>
      <c r="AD859" s="210"/>
      <c r="AE859" s="210"/>
      <c r="AF859" s="210"/>
      <c r="AG859" s="210"/>
      <c r="AH859" s="210"/>
      <c r="AI859" s="210"/>
      <c r="AJ859" s="210"/>
    </row>
    <row r="860" ht="14.25" customHeight="1">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c r="AA860" s="210"/>
      <c r="AB860" s="210"/>
      <c r="AC860" s="210"/>
      <c r="AD860" s="210"/>
      <c r="AE860" s="210"/>
      <c r="AF860" s="210"/>
      <c r="AG860" s="210"/>
      <c r="AH860" s="210"/>
      <c r="AI860" s="210"/>
      <c r="AJ860" s="210"/>
    </row>
    <row r="861" ht="14.25" customHeight="1">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c r="AA861" s="210"/>
      <c r="AB861" s="210"/>
      <c r="AC861" s="210"/>
      <c r="AD861" s="210"/>
      <c r="AE861" s="210"/>
      <c r="AF861" s="210"/>
      <c r="AG861" s="210"/>
      <c r="AH861" s="210"/>
      <c r="AI861" s="210"/>
      <c r="AJ861" s="210"/>
    </row>
    <row r="862" ht="14.25" customHeight="1">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c r="AA862" s="210"/>
      <c r="AB862" s="210"/>
      <c r="AC862" s="210"/>
      <c r="AD862" s="210"/>
      <c r="AE862" s="210"/>
      <c r="AF862" s="210"/>
      <c r="AG862" s="210"/>
      <c r="AH862" s="210"/>
      <c r="AI862" s="210"/>
      <c r="AJ862" s="210"/>
    </row>
    <row r="863" ht="14.25" customHeight="1">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c r="AA863" s="210"/>
      <c r="AB863" s="210"/>
      <c r="AC863" s="210"/>
      <c r="AD863" s="210"/>
      <c r="AE863" s="210"/>
      <c r="AF863" s="210"/>
      <c r="AG863" s="210"/>
      <c r="AH863" s="210"/>
      <c r="AI863" s="210"/>
      <c r="AJ863" s="210"/>
    </row>
    <row r="864" ht="14.25" customHeight="1">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c r="AA864" s="210"/>
      <c r="AB864" s="210"/>
      <c r="AC864" s="210"/>
      <c r="AD864" s="210"/>
      <c r="AE864" s="210"/>
      <c r="AF864" s="210"/>
      <c r="AG864" s="210"/>
      <c r="AH864" s="210"/>
      <c r="AI864" s="210"/>
      <c r="AJ864" s="210"/>
    </row>
    <row r="865" ht="14.25" customHeight="1">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c r="AA865" s="210"/>
      <c r="AB865" s="210"/>
      <c r="AC865" s="210"/>
      <c r="AD865" s="210"/>
      <c r="AE865" s="210"/>
      <c r="AF865" s="210"/>
      <c r="AG865" s="210"/>
      <c r="AH865" s="210"/>
      <c r="AI865" s="210"/>
      <c r="AJ865" s="210"/>
    </row>
    <row r="866" ht="14.25" customHeight="1">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c r="AA866" s="210"/>
      <c r="AB866" s="210"/>
      <c r="AC866" s="210"/>
      <c r="AD866" s="210"/>
      <c r="AE866" s="210"/>
      <c r="AF866" s="210"/>
      <c r="AG866" s="210"/>
      <c r="AH866" s="210"/>
      <c r="AI866" s="210"/>
      <c r="AJ866" s="210"/>
    </row>
    <row r="867" ht="14.25" customHeight="1">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c r="AA867" s="210"/>
      <c r="AB867" s="210"/>
      <c r="AC867" s="210"/>
      <c r="AD867" s="210"/>
      <c r="AE867" s="210"/>
      <c r="AF867" s="210"/>
      <c r="AG867" s="210"/>
      <c r="AH867" s="210"/>
      <c r="AI867" s="210"/>
      <c r="AJ867" s="210"/>
    </row>
    <row r="868" ht="14.25" customHeight="1">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c r="AA868" s="210"/>
      <c r="AB868" s="210"/>
      <c r="AC868" s="210"/>
      <c r="AD868" s="210"/>
      <c r="AE868" s="210"/>
      <c r="AF868" s="210"/>
      <c r="AG868" s="210"/>
      <c r="AH868" s="210"/>
      <c r="AI868" s="210"/>
      <c r="AJ868" s="210"/>
    </row>
    <row r="869" ht="14.25" customHeight="1">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c r="AA869" s="210"/>
      <c r="AB869" s="210"/>
      <c r="AC869" s="210"/>
      <c r="AD869" s="210"/>
      <c r="AE869" s="210"/>
      <c r="AF869" s="210"/>
      <c r="AG869" s="210"/>
      <c r="AH869" s="210"/>
      <c r="AI869" s="210"/>
      <c r="AJ869" s="210"/>
    </row>
    <row r="870" ht="14.25" customHeight="1">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c r="AA870" s="210"/>
      <c r="AB870" s="210"/>
      <c r="AC870" s="210"/>
      <c r="AD870" s="210"/>
      <c r="AE870" s="210"/>
      <c r="AF870" s="210"/>
      <c r="AG870" s="210"/>
      <c r="AH870" s="210"/>
      <c r="AI870" s="210"/>
      <c r="AJ870" s="210"/>
    </row>
    <row r="871" ht="14.25" customHeight="1">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c r="AA871" s="210"/>
      <c r="AB871" s="210"/>
      <c r="AC871" s="210"/>
      <c r="AD871" s="210"/>
      <c r="AE871" s="210"/>
      <c r="AF871" s="210"/>
      <c r="AG871" s="210"/>
      <c r="AH871" s="210"/>
      <c r="AI871" s="210"/>
      <c r="AJ871" s="210"/>
    </row>
    <row r="872" ht="14.25" customHeight="1">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c r="AA872" s="210"/>
      <c r="AB872" s="210"/>
      <c r="AC872" s="210"/>
      <c r="AD872" s="210"/>
      <c r="AE872" s="210"/>
      <c r="AF872" s="210"/>
      <c r="AG872" s="210"/>
      <c r="AH872" s="210"/>
      <c r="AI872" s="210"/>
      <c r="AJ872" s="210"/>
    </row>
    <row r="873" ht="14.25" customHeight="1">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c r="AA873" s="210"/>
      <c r="AB873" s="210"/>
      <c r="AC873" s="210"/>
      <c r="AD873" s="210"/>
      <c r="AE873" s="210"/>
      <c r="AF873" s="210"/>
      <c r="AG873" s="210"/>
      <c r="AH873" s="210"/>
      <c r="AI873" s="210"/>
      <c r="AJ873" s="210"/>
    </row>
    <row r="874" ht="14.25" customHeight="1">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c r="AA874" s="210"/>
      <c r="AB874" s="210"/>
      <c r="AC874" s="210"/>
      <c r="AD874" s="210"/>
      <c r="AE874" s="210"/>
      <c r="AF874" s="210"/>
      <c r="AG874" s="210"/>
      <c r="AH874" s="210"/>
      <c r="AI874" s="210"/>
      <c r="AJ874" s="210"/>
    </row>
    <row r="875" ht="14.25" customHeight="1">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c r="AA875" s="210"/>
      <c r="AB875" s="210"/>
      <c r="AC875" s="210"/>
      <c r="AD875" s="210"/>
      <c r="AE875" s="210"/>
      <c r="AF875" s="210"/>
      <c r="AG875" s="210"/>
      <c r="AH875" s="210"/>
      <c r="AI875" s="210"/>
      <c r="AJ875" s="210"/>
    </row>
    <row r="876" ht="14.25" customHeight="1">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c r="AA876" s="210"/>
      <c r="AB876" s="210"/>
      <c r="AC876" s="210"/>
      <c r="AD876" s="210"/>
      <c r="AE876" s="210"/>
      <c r="AF876" s="210"/>
      <c r="AG876" s="210"/>
      <c r="AH876" s="210"/>
      <c r="AI876" s="210"/>
      <c r="AJ876" s="210"/>
    </row>
    <row r="877" ht="14.25" customHeight="1">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c r="AA877" s="210"/>
      <c r="AB877" s="210"/>
      <c r="AC877" s="210"/>
      <c r="AD877" s="210"/>
      <c r="AE877" s="210"/>
      <c r="AF877" s="210"/>
      <c r="AG877" s="210"/>
      <c r="AH877" s="210"/>
      <c r="AI877" s="210"/>
      <c r="AJ877" s="210"/>
    </row>
    <row r="878" ht="14.25" customHeight="1">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c r="AA878" s="210"/>
      <c r="AB878" s="210"/>
      <c r="AC878" s="210"/>
      <c r="AD878" s="210"/>
      <c r="AE878" s="210"/>
      <c r="AF878" s="210"/>
      <c r="AG878" s="210"/>
      <c r="AH878" s="210"/>
      <c r="AI878" s="210"/>
      <c r="AJ878" s="210"/>
    </row>
    <row r="879" ht="14.25" customHeight="1">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c r="AA879" s="210"/>
      <c r="AB879" s="210"/>
      <c r="AC879" s="210"/>
      <c r="AD879" s="210"/>
      <c r="AE879" s="210"/>
      <c r="AF879" s="210"/>
      <c r="AG879" s="210"/>
      <c r="AH879" s="210"/>
      <c r="AI879" s="210"/>
      <c r="AJ879" s="210"/>
    </row>
    <row r="880" ht="14.25" customHeight="1">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c r="AA880" s="210"/>
      <c r="AB880" s="210"/>
      <c r="AC880" s="210"/>
      <c r="AD880" s="210"/>
      <c r="AE880" s="210"/>
      <c r="AF880" s="210"/>
      <c r="AG880" s="210"/>
      <c r="AH880" s="210"/>
      <c r="AI880" s="210"/>
      <c r="AJ880" s="210"/>
    </row>
    <row r="881" ht="14.25" customHeight="1">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c r="AA881" s="210"/>
      <c r="AB881" s="210"/>
      <c r="AC881" s="210"/>
      <c r="AD881" s="210"/>
      <c r="AE881" s="210"/>
      <c r="AF881" s="210"/>
      <c r="AG881" s="210"/>
      <c r="AH881" s="210"/>
      <c r="AI881" s="210"/>
      <c r="AJ881" s="210"/>
    </row>
    <row r="882" ht="14.25" customHeight="1">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c r="AA882" s="210"/>
      <c r="AB882" s="210"/>
      <c r="AC882" s="210"/>
      <c r="AD882" s="210"/>
      <c r="AE882" s="210"/>
      <c r="AF882" s="210"/>
      <c r="AG882" s="210"/>
      <c r="AH882" s="210"/>
      <c r="AI882" s="210"/>
      <c r="AJ882" s="210"/>
    </row>
    <row r="883" ht="14.25" customHeight="1">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c r="AA883" s="210"/>
      <c r="AB883" s="210"/>
      <c r="AC883" s="210"/>
      <c r="AD883" s="210"/>
      <c r="AE883" s="210"/>
      <c r="AF883" s="210"/>
      <c r="AG883" s="210"/>
      <c r="AH883" s="210"/>
      <c r="AI883" s="210"/>
      <c r="AJ883" s="210"/>
    </row>
    <row r="884" ht="14.25" customHeight="1">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c r="AA884" s="210"/>
      <c r="AB884" s="210"/>
      <c r="AC884" s="210"/>
      <c r="AD884" s="210"/>
      <c r="AE884" s="210"/>
      <c r="AF884" s="210"/>
      <c r="AG884" s="210"/>
      <c r="AH884" s="210"/>
      <c r="AI884" s="210"/>
      <c r="AJ884" s="210"/>
    </row>
    <row r="885" ht="14.25" customHeight="1">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c r="AA885" s="210"/>
      <c r="AB885" s="210"/>
      <c r="AC885" s="210"/>
      <c r="AD885" s="210"/>
      <c r="AE885" s="210"/>
      <c r="AF885" s="210"/>
      <c r="AG885" s="210"/>
      <c r="AH885" s="210"/>
      <c r="AI885" s="210"/>
      <c r="AJ885" s="210"/>
    </row>
    <row r="886" ht="14.25" customHeight="1">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c r="AA886" s="210"/>
      <c r="AB886" s="210"/>
      <c r="AC886" s="210"/>
      <c r="AD886" s="210"/>
      <c r="AE886" s="210"/>
      <c r="AF886" s="210"/>
      <c r="AG886" s="210"/>
      <c r="AH886" s="210"/>
      <c r="AI886" s="210"/>
      <c r="AJ886" s="210"/>
    </row>
    <row r="887" ht="14.25" customHeight="1">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c r="AA887" s="210"/>
      <c r="AB887" s="210"/>
      <c r="AC887" s="210"/>
      <c r="AD887" s="210"/>
      <c r="AE887" s="210"/>
      <c r="AF887" s="210"/>
      <c r="AG887" s="210"/>
      <c r="AH887" s="210"/>
      <c r="AI887" s="210"/>
      <c r="AJ887" s="210"/>
    </row>
    <row r="888" ht="14.25" customHeight="1">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c r="AA888" s="210"/>
      <c r="AB888" s="210"/>
      <c r="AC888" s="210"/>
      <c r="AD888" s="210"/>
      <c r="AE888" s="210"/>
      <c r="AF888" s="210"/>
      <c r="AG888" s="210"/>
      <c r="AH888" s="210"/>
      <c r="AI888" s="210"/>
      <c r="AJ888" s="210"/>
    </row>
    <row r="889" ht="14.25" customHeight="1">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c r="AA889" s="210"/>
      <c r="AB889" s="210"/>
      <c r="AC889" s="210"/>
      <c r="AD889" s="210"/>
      <c r="AE889" s="210"/>
      <c r="AF889" s="210"/>
      <c r="AG889" s="210"/>
      <c r="AH889" s="210"/>
      <c r="AI889" s="210"/>
      <c r="AJ889" s="210"/>
    </row>
    <row r="890" ht="14.25" customHeight="1">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c r="AA890" s="210"/>
      <c r="AB890" s="210"/>
      <c r="AC890" s="210"/>
      <c r="AD890" s="210"/>
      <c r="AE890" s="210"/>
      <c r="AF890" s="210"/>
      <c r="AG890" s="210"/>
      <c r="AH890" s="210"/>
      <c r="AI890" s="210"/>
      <c r="AJ890" s="210"/>
    </row>
    <row r="891" ht="14.25" customHeight="1">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c r="AA891" s="210"/>
      <c r="AB891" s="210"/>
      <c r="AC891" s="210"/>
      <c r="AD891" s="210"/>
      <c r="AE891" s="210"/>
      <c r="AF891" s="210"/>
      <c r="AG891" s="210"/>
      <c r="AH891" s="210"/>
      <c r="AI891" s="210"/>
      <c r="AJ891" s="210"/>
    </row>
    <row r="892" ht="14.25" customHeight="1">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c r="AA892" s="210"/>
      <c r="AB892" s="210"/>
      <c r="AC892" s="210"/>
      <c r="AD892" s="210"/>
      <c r="AE892" s="210"/>
      <c r="AF892" s="210"/>
      <c r="AG892" s="210"/>
      <c r="AH892" s="210"/>
      <c r="AI892" s="210"/>
      <c r="AJ892" s="210"/>
    </row>
    <row r="893" ht="14.25" customHeight="1">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c r="AA893" s="210"/>
      <c r="AB893" s="210"/>
      <c r="AC893" s="210"/>
      <c r="AD893" s="210"/>
      <c r="AE893" s="210"/>
      <c r="AF893" s="210"/>
      <c r="AG893" s="210"/>
      <c r="AH893" s="210"/>
      <c r="AI893" s="210"/>
      <c r="AJ893" s="210"/>
    </row>
    <row r="894" ht="14.25" customHeight="1">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c r="AA894" s="210"/>
      <c r="AB894" s="210"/>
      <c r="AC894" s="210"/>
      <c r="AD894" s="210"/>
      <c r="AE894" s="210"/>
      <c r="AF894" s="210"/>
      <c r="AG894" s="210"/>
      <c r="AH894" s="210"/>
      <c r="AI894" s="210"/>
      <c r="AJ894" s="210"/>
    </row>
    <row r="895" ht="14.25" customHeight="1">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c r="AA895" s="210"/>
      <c r="AB895" s="210"/>
      <c r="AC895" s="210"/>
      <c r="AD895" s="210"/>
      <c r="AE895" s="210"/>
      <c r="AF895" s="210"/>
      <c r="AG895" s="210"/>
      <c r="AH895" s="210"/>
      <c r="AI895" s="210"/>
      <c r="AJ895" s="210"/>
    </row>
    <row r="896" ht="14.25" customHeight="1">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c r="AA896" s="210"/>
      <c r="AB896" s="210"/>
      <c r="AC896" s="210"/>
      <c r="AD896" s="210"/>
      <c r="AE896" s="210"/>
      <c r="AF896" s="210"/>
      <c r="AG896" s="210"/>
      <c r="AH896" s="210"/>
      <c r="AI896" s="210"/>
      <c r="AJ896" s="210"/>
    </row>
    <row r="897" ht="14.25" customHeight="1">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c r="AA897" s="210"/>
      <c r="AB897" s="210"/>
      <c r="AC897" s="210"/>
      <c r="AD897" s="210"/>
      <c r="AE897" s="210"/>
      <c r="AF897" s="210"/>
      <c r="AG897" s="210"/>
      <c r="AH897" s="210"/>
      <c r="AI897" s="210"/>
      <c r="AJ897" s="210"/>
    </row>
    <row r="898" ht="14.25" customHeight="1">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c r="AA898" s="210"/>
      <c r="AB898" s="210"/>
      <c r="AC898" s="210"/>
      <c r="AD898" s="210"/>
      <c r="AE898" s="210"/>
      <c r="AF898" s="210"/>
      <c r="AG898" s="210"/>
      <c r="AH898" s="210"/>
      <c r="AI898" s="210"/>
      <c r="AJ898" s="210"/>
    </row>
    <row r="899" ht="14.25" customHeight="1">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c r="AA899" s="210"/>
      <c r="AB899" s="210"/>
      <c r="AC899" s="210"/>
      <c r="AD899" s="210"/>
      <c r="AE899" s="210"/>
      <c r="AF899" s="210"/>
      <c r="AG899" s="210"/>
      <c r="AH899" s="210"/>
      <c r="AI899" s="210"/>
      <c r="AJ899" s="210"/>
    </row>
    <row r="900" ht="14.25" customHeight="1">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c r="AA900" s="210"/>
      <c r="AB900" s="210"/>
      <c r="AC900" s="210"/>
      <c r="AD900" s="210"/>
      <c r="AE900" s="210"/>
      <c r="AF900" s="210"/>
      <c r="AG900" s="210"/>
      <c r="AH900" s="210"/>
      <c r="AI900" s="210"/>
      <c r="AJ900" s="210"/>
    </row>
    <row r="901" ht="14.25" customHeight="1">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c r="AA901" s="210"/>
      <c r="AB901" s="210"/>
      <c r="AC901" s="210"/>
      <c r="AD901" s="210"/>
      <c r="AE901" s="210"/>
      <c r="AF901" s="210"/>
      <c r="AG901" s="210"/>
      <c r="AH901" s="210"/>
      <c r="AI901" s="210"/>
      <c r="AJ901" s="210"/>
    </row>
    <row r="902" ht="14.25" customHeight="1">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c r="AA902" s="210"/>
      <c r="AB902" s="210"/>
      <c r="AC902" s="210"/>
      <c r="AD902" s="210"/>
      <c r="AE902" s="210"/>
      <c r="AF902" s="210"/>
      <c r="AG902" s="210"/>
      <c r="AH902" s="210"/>
      <c r="AI902" s="210"/>
      <c r="AJ902" s="210"/>
    </row>
    <row r="903" ht="14.25" customHeight="1">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c r="AA903" s="210"/>
      <c r="AB903" s="210"/>
      <c r="AC903" s="210"/>
      <c r="AD903" s="210"/>
      <c r="AE903" s="210"/>
      <c r="AF903" s="210"/>
      <c r="AG903" s="210"/>
      <c r="AH903" s="210"/>
      <c r="AI903" s="210"/>
      <c r="AJ903" s="210"/>
    </row>
    <row r="904" ht="14.25" customHeight="1">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c r="AA904" s="210"/>
      <c r="AB904" s="210"/>
      <c r="AC904" s="210"/>
      <c r="AD904" s="210"/>
      <c r="AE904" s="210"/>
      <c r="AF904" s="210"/>
      <c r="AG904" s="210"/>
      <c r="AH904" s="210"/>
      <c r="AI904" s="210"/>
      <c r="AJ904" s="210"/>
    </row>
    <row r="905" ht="14.25" customHeight="1">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c r="AA905" s="210"/>
      <c r="AB905" s="210"/>
      <c r="AC905" s="210"/>
      <c r="AD905" s="210"/>
      <c r="AE905" s="210"/>
      <c r="AF905" s="210"/>
      <c r="AG905" s="210"/>
      <c r="AH905" s="210"/>
      <c r="AI905" s="210"/>
      <c r="AJ905" s="210"/>
    </row>
    <row r="906" ht="14.25" customHeight="1">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c r="AA906" s="210"/>
      <c r="AB906" s="210"/>
      <c r="AC906" s="210"/>
      <c r="AD906" s="210"/>
      <c r="AE906" s="210"/>
      <c r="AF906" s="210"/>
      <c r="AG906" s="210"/>
      <c r="AH906" s="210"/>
      <c r="AI906" s="210"/>
      <c r="AJ906" s="210"/>
    </row>
    <row r="907" ht="14.25" customHeight="1">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c r="AA907" s="210"/>
      <c r="AB907" s="210"/>
      <c r="AC907" s="210"/>
      <c r="AD907" s="210"/>
      <c r="AE907" s="210"/>
      <c r="AF907" s="210"/>
      <c r="AG907" s="210"/>
      <c r="AH907" s="210"/>
      <c r="AI907" s="210"/>
      <c r="AJ907" s="210"/>
    </row>
    <row r="908" ht="14.25" customHeight="1">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c r="AA908" s="210"/>
      <c r="AB908" s="210"/>
      <c r="AC908" s="210"/>
      <c r="AD908" s="210"/>
      <c r="AE908" s="210"/>
      <c r="AF908" s="210"/>
      <c r="AG908" s="210"/>
      <c r="AH908" s="210"/>
      <c r="AI908" s="210"/>
      <c r="AJ908" s="210"/>
    </row>
    <row r="909" ht="14.25" customHeight="1">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c r="AA909" s="210"/>
      <c r="AB909" s="210"/>
      <c r="AC909" s="210"/>
      <c r="AD909" s="210"/>
      <c r="AE909" s="210"/>
      <c r="AF909" s="210"/>
      <c r="AG909" s="210"/>
      <c r="AH909" s="210"/>
      <c r="AI909" s="210"/>
      <c r="AJ909" s="210"/>
    </row>
    <row r="910" ht="14.25" customHeight="1">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c r="AA910" s="210"/>
      <c r="AB910" s="210"/>
      <c r="AC910" s="210"/>
      <c r="AD910" s="210"/>
      <c r="AE910" s="210"/>
      <c r="AF910" s="210"/>
      <c r="AG910" s="210"/>
      <c r="AH910" s="210"/>
      <c r="AI910" s="210"/>
      <c r="AJ910" s="210"/>
    </row>
    <row r="911" ht="14.25" customHeight="1">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c r="AA911" s="210"/>
      <c r="AB911" s="210"/>
      <c r="AC911" s="210"/>
      <c r="AD911" s="210"/>
      <c r="AE911" s="210"/>
      <c r="AF911" s="210"/>
      <c r="AG911" s="210"/>
      <c r="AH911" s="210"/>
      <c r="AI911" s="210"/>
      <c r="AJ911" s="210"/>
    </row>
    <row r="912" ht="14.25" customHeight="1">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c r="AA912" s="210"/>
      <c r="AB912" s="210"/>
      <c r="AC912" s="210"/>
      <c r="AD912" s="210"/>
      <c r="AE912" s="210"/>
      <c r="AF912" s="210"/>
      <c r="AG912" s="210"/>
      <c r="AH912" s="210"/>
      <c r="AI912" s="210"/>
      <c r="AJ912" s="210"/>
    </row>
    <row r="913" ht="14.25" customHeight="1">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c r="AA913" s="210"/>
      <c r="AB913" s="210"/>
      <c r="AC913" s="210"/>
      <c r="AD913" s="210"/>
      <c r="AE913" s="210"/>
      <c r="AF913" s="210"/>
      <c r="AG913" s="210"/>
      <c r="AH913" s="210"/>
      <c r="AI913" s="210"/>
      <c r="AJ913" s="210"/>
    </row>
    <row r="914" ht="14.25" customHeight="1">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c r="AA914" s="210"/>
      <c r="AB914" s="210"/>
      <c r="AC914" s="210"/>
      <c r="AD914" s="210"/>
      <c r="AE914" s="210"/>
      <c r="AF914" s="210"/>
      <c r="AG914" s="210"/>
      <c r="AH914" s="210"/>
      <c r="AI914" s="210"/>
      <c r="AJ914" s="210"/>
    </row>
    <row r="915" ht="14.25" customHeight="1">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c r="AA915" s="210"/>
      <c r="AB915" s="210"/>
      <c r="AC915" s="210"/>
      <c r="AD915" s="210"/>
      <c r="AE915" s="210"/>
      <c r="AF915" s="210"/>
      <c r="AG915" s="210"/>
      <c r="AH915" s="210"/>
      <c r="AI915" s="210"/>
      <c r="AJ915" s="210"/>
    </row>
    <row r="916" ht="14.25" customHeight="1">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c r="AA916" s="210"/>
      <c r="AB916" s="210"/>
      <c r="AC916" s="210"/>
      <c r="AD916" s="210"/>
      <c r="AE916" s="210"/>
      <c r="AF916" s="210"/>
      <c r="AG916" s="210"/>
      <c r="AH916" s="210"/>
      <c r="AI916" s="210"/>
      <c r="AJ916" s="210"/>
    </row>
    <row r="917" ht="14.25" customHeight="1">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c r="AA917" s="210"/>
      <c r="AB917" s="210"/>
      <c r="AC917" s="210"/>
      <c r="AD917" s="210"/>
      <c r="AE917" s="210"/>
      <c r="AF917" s="210"/>
      <c r="AG917" s="210"/>
      <c r="AH917" s="210"/>
      <c r="AI917" s="210"/>
      <c r="AJ917" s="210"/>
    </row>
    <row r="918" ht="14.25" customHeight="1">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c r="AA918" s="210"/>
      <c r="AB918" s="210"/>
      <c r="AC918" s="210"/>
      <c r="AD918" s="210"/>
      <c r="AE918" s="210"/>
      <c r="AF918" s="210"/>
      <c r="AG918" s="210"/>
      <c r="AH918" s="210"/>
      <c r="AI918" s="210"/>
      <c r="AJ918" s="210"/>
    </row>
    <row r="919" ht="14.25" customHeight="1">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c r="AA919" s="210"/>
      <c r="AB919" s="210"/>
      <c r="AC919" s="210"/>
      <c r="AD919" s="210"/>
      <c r="AE919" s="210"/>
      <c r="AF919" s="210"/>
      <c r="AG919" s="210"/>
      <c r="AH919" s="210"/>
      <c r="AI919" s="210"/>
      <c r="AJ919" s="210"/>
    </row>
    <row r="920" ht="14.25" customHeight="1">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c r="AA920" s="210"/>
      <c r="AB920" s="210"/>
      <c r="AC920" s="210"/>
      <c r="AD920" s="210"/>
      <c r="AE920" s="210"/>
      <c r="AF920" s="210"/>
      <c r="AG920" s="210"/>
      <c r="AH920" s="210"/>
      <c r="AI920" s="210"/>
      <c r="AJ920" s="210"/>
    </row>
    <row r="921" ht="14.25" customHeight="1">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c r="AA921" s="210"/>
      <c r="AB921" s="210"/>
      <c r="AC921" s="210"/>
      <c r="AD921" s="210"/>
      <c r="AE921" s="210"/>
      <c r="AF921" s="210"/>
      <c r="AG921" s="210"/>
      <c r="AH921" s="210"/>
      <c r="AI921" s="210"/>
      <c r="AJ921" s="210"/>
    </row>
    <row r="922" ht="14.25" customHeight="1">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c r="AA922" s="210"/>
      <c r="AB922" s="210"/>
      <c r="AC922" s="210"/>
      <c r="AD922" s="210"/>
      <c r="AE922" s="210"/>
      <c r="AF922" s="210"/>
      <c r="AG922" s="210"/>
      <c r="AH922" s="210"/>
      <c r="AI922" s="210"/>
      <c r="AJ922" s="210"/>
    </row>
    <row r="923" ht="14.25" customHeight="1">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c r="AA923" s="210"/>
      <c r="AB923" s="210"/>
      <c r="AC923" s="210"/>
      <c r="AD923" s="210"/>
      <c r="AE923" s="210"/>
      <c r="AF923" s="210"/>
      <c r="AG923" s="210"/>
      <c r="AH923" s="210"/>
      <c r="AI923" s="210"/>
      <c r="AJ923" s="210"/>
    </row>
    <row r="924" ht="14.25" customHeight="1">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c r="AA924" s="210"/>
      <c r="AB924" s="210"/>
      <c r="AC924" s="210"/>
      <c r="AD924" s="210"/>
      <c r="AE924" s="210"/>
      <c r="AF924" s="210"/>
      <c r="AG924" s="210"/>
      <c r="AH924" s="210"/>
      <c r="AI924" s="210"/>
      <c r="AJ924" s="210"/>
    </row>
    <row r="925" ht="14.25" customHeight="1">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c r="AA925" s="210"/>
      <c r="AB925" s="210"/>
      <c r="AC925" s="210"/>
      <c r="AD925" s="210"/>
      <c r="AE925" s="210"/>
      <c r="AF925" s="210"/>
      <c r="AG925" s="210"/>
      <c r="AH925" s="210"/>
      <c r="AI925" s="210"/>
      <c r="AJ925" s="210"/>
    </row>
    <row r="926" ht="14.25" customHeight="1">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c r="AA926" s="210"/>
      <c r="AB926" s="210"/>
      <c r="AC926" s="210"/>
      <c r="AD926" s="210"/>
      <c r="AE926" s="210"/>
      <c r="AF926" s="210"/>
      <c r="AG926" s="210"/>
      <c r="AH926" s="210"/>
      <c r="AI926" s="210"/>
      <c r="AJ926" s="210"/>
    </row>
    <row r="927" ht="14.25" customHeight="1">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c r="AA927" s="210"/>
      <c r="AB927" s="210"/>
      <c r="AC927" s="210"/>
      <c r="AD927" s="210"/>
      <c r="AE927" s="210"/>
      <c r="AF927" s="210"/>
      <c r="AG927" s="210"/>
      <c r="AH927" s="210"/>
      <c r="AI927" s="210"/>
      <c r="AJ927" s="210"/>
    </row>
    <row r="928" ht="14.25" customHeight="1">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c r="AA928" s="210"/>
      <c r="AB928" s="210"/>
      <c r="AC928" s="210"/>
      <c r="AD928" s="210"/>
      <c r="AE928" s="210"/>
      <c r="AF928" s="210"/>
      <c r="AG928" s="210"/>
      <c r="AH928" s="210"/>
      <c r="AI928" s="210"/>
      <c r="AJ928" s="210"/>
    </row>
    <row r="929" ht="14.25" customHeight="1">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c r="AA929" s="210"/>
      <c r="AB929" s="210"/>
      <c r="AC929" s="210"/>
      <c r="AD929" s="210"/>
      <c r="AE929" s="210"/>
      <c r="AF929" s="210"/>
      <c r="AG929" s="210"/>
      <c r="AH929" s="210"/>
      <c r="AI929" s="210"/>
      <c r="AJ929" s="210"/>
    </row>
    <row r="930" ht="14.25" customHeight="1">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c r="AA930" s="210"/>
      <c r="AB930" s="210"/>
      <c r="AC930" s="210"/>
      <c r="AD930" s="210"/>
      <c r="AE930" s="210"/>
      <c r="AF930" s="210"/>
      <c r="AG930" s="210"/>
      <c r="AH930" s="210"/>
      <c r="AI930" s="210"/>
      <c r="AJ930" s="210"/>
    </row>
    <row r="931" ht="14.25" customHeight="1">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c r="AA931" s="210"/>
      <c r="AB931" s="210"/>
      <c r="AC931" s="210"/>
      <c r="AD931" s="210"/>
      <c r="AE931" s="210"/>
      <c r="AF931" s="210"/>
      <c r="AG931" s="210"/>
      <c r="AH931" s="210"/>
      <c r="AI931" s="210"/>
      <c r="AJ931" s="210"/>
    </row>
    <row r="932" ht="14.25" customHeight="1">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c r="AA932" s="210"/>
      <c r="AB932" s="210"/>
      <c r="AC932" s="210"/>
      <c r="AD932" s="210"/>
      <c r="AE932" s="210"/>
      <c r="AF932" s="210"/>
      <c r="AG932" s="210"/>
      <c r="AH932" s="210"/>
      <c r="AI932" s="210"/>
      <c r="AJ932" s="210"/>
    </row>
    <row r="933" ht="14.25" customHeight="1">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c r="AA933" s="210"/>
      <c r="AB933" s="210"/>
      <c r="AC933" s="210"/>
      <c r="AD933" s="210"/>
      <c r="AE933" s="210"/>
      <c r="AF933" s="210"/>
      <c r="AG933" s="210"/>
      <c r="AH933" s="210"/>
      <c r="AI933" s="210"/>
      <c r="AJ933" s="210"/>
    </row>
    <row r="934" ht="14.25" customHeight="1">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c r="AA934" s="210"/>
      <c r="AB934" s="210"/>
      <c r="AC934" s="210"/>
      <c r="AD934" s="210"/>
      <c r="AE934" s="210"/>
      <c r="AF934" s="210"/>
      <c r="AG934" s="210"/>
      <c r="AH934" s="210"/>
      <c r="AI934" s="210"/>
      <c r="AJ934" s="210"/>
    </row>
    <row r="935" ht="14.25" customHeight="1">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c r="AA935" s="210"/>
      <c r="AB935" s="210"/>
      <c r="AC935" s="210"/>
      <c r="AD935" s="210"/>
      <c r="AE935" s="210"/>
      <c r="AF935" s="210"/>
      <c r="AG935" s="210"/>
      <c r="AH935" s="210"/>
      <c r="AI935" s="210"/>
      <c r="AJ935" s="210"/>
    </row>
    <row r="936" ht="14.25" customHeight="1">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c r="AA936" s="210"/>
      <c r="AB936" s="210"/>
      <c r="AC936" s="210"/>
      <c r="AD936" s="210"/>
      <c r="AE936" s="210"/>
      <c r="AF936" s="210"/>
      <c r="AG936" s="210"/>
      <c r="AH936" s="210"/>
      <c r="AI936" s="210"/>
      <c r="AJ936" s="210"/>
    </row>
    <row r="937" ht="14.25" customHeight="1">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c r="AA937" s="210"/>
      <c r="AB937" s="210"/>
      <c r="AC937" s="210"/>
      <c r="AD937" s="210"/>
      <c r="AE937" s="210"/>
      <c r="AF937" s="210"/>
      <c r="AG937" s="210"/>
      <c r="AH937" s="210"/>
      <c r="AI937" s="210"/>
      <c r="AJ937" s="210"/>
    </row>
    <row r="938" ht="14.25" customHeight="1">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c r="AA938" s="210"/>
      <c r="AB938" s="210"/>
      <c r="AC938" s="210"/>
      <c r="AD938" s="210"/>
      <c r="AE938" s="210"/>
      <c r="AF938" s="210"/>
      <c r="AG938" s="210"/>
      <c r="AH938" s="210"/>
      <c r="AI938" s="210"/>
      <c r="AJ938" s="210"/>
    </row>
    <row r="939" ht="14.25" customHeight="1">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c r="AA939" s="210"/>
      <c r="AB939" s="210"/>
      <c r="AC939" s="210"/>
      <c r="AD939" s="210"/>
      <c r="AE939" s="210"/>
      <c r="AF939" s="210"/>
      <c r="AG939" s="210"/>
      <c r="AH939" s="210"/>
      <c r="AI939" s="210"/>
      <c r="AJ939" s="210"/>
    </row>
    <row r="940" ht="14.25" customHeight="1">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c r="AA940" s="210"/>
      <c r="AB940" s="210"/>
      <c r="AC940" s="210"/>
      <c r="AD940" s="210"/>
      <c r="AE940" s="210"/>
      <c r="AF940" s="210"/>
      <c r="AG940" s="210"/>
      <c r="AH940" s="210"/>
      <c r="AI940" s="210"/>
      <c r="AJ940" s="210"/>
    </row>
    <row r="941" ht="14.25" customHeight="1">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c r="AA941" s="210"/>
      <c r="AB941" s="210"/>
      <c r="AC941" s="210"/>
      <c r="AD941" s="210"/>
      <c r="AE941" s="210"/>
      <c r="AF941" s="210"/>
      <c r="AG941" s="210"/>
      <c r="AH941" s="210"/>
      <c r="AI941" s="210"/>
      <c r="AJ941" s="210"/>
    </row>
    <row r="942" ht="14.25" customHeight="1">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c r="AA942" s="210"/>
      <c r="AB942" s="210"/>
      <c r="AC942" s="210"/>
      <c r="AD942" s="210"/>
      <c r="AE942" s="210"/>
      <c r="AF942" s="210"/>
      <c r="AG942" s="210"/>
      <c r="AH942" s="210"/>
      <c r="AI942" s="210"/>
      <c r="AJ942" s="210"/>
    </row>
    <row r="943" ht="14.25" customHeight="1">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c r="AA943" s="210"/>
      <c r="AB943" s="210"/>
      <c r="AC943" s="210"/>
      <c r="AD943" s="210"/>
      <c r="AE943" s="210"/>
      <c r="AF943" s="210"/>
      <c r="AG943" s="210"/>
      <c r="AH943" s="210"/>
      <c r="AI943" s="210"/>
      <c r="AJ943" s="210"/>
    </row>
    <row r="944" ht="14.25" customHeight="1">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c r="AA944" s="210"/>
      <c r="AB944" s="210"/>
      <c r="AC944" s="210"/>
      <c r="AD944" s="210"/>
      <c r="AE944" s="210"/>
      <c r="AF944" s="210"/>
      <c r="AG944" s="210"/>
      <c r="AH944" s="210"/>
      <c r="AI944" s="210"/>
      <c r="AJ944" s="210"/>
    </row>
    <row r="945" ht="14.25" customHeight="1">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c r="AA945" s="210"/>
      <c r="AB945" s="210"/>
      <c r="AC945" s="210"/>
      <c r="AD945" s="210"/>
      <c r="AE945" s="210"/>
      <c r="AF945" s="210"/>
      <c r="AG945" s="210"/>
      <c r="AH945" s="210"/>
      <c r="AI945" s="210"/>
      <c r="AJ945" s="210"/>
    </row>
    <row r="946" ht="14.25" customHeight="1">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c r="AA946" s="210"/>
      <c r="AB946" s="210"/>
      <c r="AC946" s="210"/>
      <c r="AD946" s="210"/>
      <c r="AE946" s="210"/>
      <c r="AF946" s="210"/>
      <c r="AG946" s="210"/>
      <c r="AH946" s="210"/>
      <c r="AI946" s="210"/>
      <c r="AJ946" s="210"/>
    </row>
    <row r="947" ht="14.25" customHeight="1">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c r="AA947" s="210"/>
      <c r="AB947" s="210"/>
      <c r="AC947" s="210"/>
      <c r="AD947" s="210"/>
      <c r="AE947" s="210"/>
      <c r="AF947" s="210"/>
      <c r="AG947" s="210"/>
      <c r="AH947" s="210"/>
      <c r="AI947" s="210"/>
      <c r="AJ947" s="210"/>
    </row>
    <row r="948" ht="14.25" customHeight="1">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c r="AA948" s="210"/>
      <c r="AB948" s="210"/>
      <c r="AC948" s="210"/>
      <c r="AD948" s="210"/>
      <c r="AE948" s="210"/>
      <c r="AF948" s="210"/>
      <c r="AG948" s="210"/>
      <c r="AH948" s="210"/>
      <c r="AI948" s="210"/>
      <c r="AJ948" s="210"/>
    </row>
    <row r="949" ht="14.25" customHeight="1">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c r="AA949" s="210"/>
      <c r="AB949" s="210"/>
      <c r="AC949" s="210"/>
      <c r="AD949" s="210"/>
      <c r="AE949" s="210"/>
      <c r="AF949" s="210"/>
      <c r="AG949" s="210"/>
      <c r="AH949" s="210"/>
      <c r="AI949" s="210"/>
      <c r="AJ949" s="210"/>
    </row>
    <row r="950" ht="14.25" customHeight="1">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c r="AA950" s="210"/>
      <c r="AB950" s="210"/>
      <c r="AC950" s="210"/>
      <c r="AD950" s="210"/>
      <c r="AE950" s="210"/>
      <c r="AF950" s="210"/>
      <c r="AG950" s="210"/>
      <c r="AH950" s="210"/>
      <c r="AI950" s="210"/>
      <c r="AJ950" s="210"/>
    </row>
    <row r="951" ht="14.25" customHeight="1">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c r="AA951" s="210"/>
      <c r="AB951" s="210"/>
      <c r="AC951" s="210"/>
      <c r="AD951" s="210"/>
      <c r="AE951" s="210"/>
      <c r="AF951" s="210"/>
      <c r="AG951" s="210"/>
      <c r="AH951" s="210"/>
      <c r="AI951" s="210"/>
      <c r="AJ951" s="210"/>
    </row>
    <row r="952" ht="14.25" customHeight="1">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c r="AA952" s="210"/>
      <c r="AB952" s="210"/>
      <c r="AC952" s="210"/>
      <c r="AD952" s="210"/>
      <c r="AE952" s="210"/>
      <c r="AF952" s="210"/>
      <c r="AG952" s="210"/>
      <c r="AH952" s="210"/>
      <c r="AI952" s="210"/>
      <c r="AJ952" s="210"/>
    </row>
    <row r="953" ht="14.25" customHeight="1">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c r="AA953" s="210"/>
      <c r="AB953" s="210"/>
      <c r="AC953" s="210"/>
      <c r="AD953" s="210"/>
      <c r="AE953" s="210"/>
      <c r="AF953" s="210"/>
      <c r="AG953" s="210"/>
      <c r="AH953" s="210"/>
      <c r="AI953" s="210"/>
      <c r="AJ953" s="210"/>
    </row>
    <row r="954" ht="14.25" customHeight="1">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c r="AA954" s="210"/>
      <c r="AB954" s="210"/>
      <c r="AC954" s="210"/>
      <c r="AD954" s="210"/>
      <c r="AE954" s="210"/>
      <c r="AF954" s="210"/>
      <c r="AG954" s="210"/>
      <c r="AH954" s="210"/>
      <c r="AI954" s="210"/>
      <c r="AJ954" s="210"/>
    </row>
    <row r="955" ht="14.25" customHeight="1">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c r="AA955" s="210"/>
      <c r="AB955" s="210"/>
      <c r="AC955" s="210"/>
      <c r="AD955" s="210"/>
      <c r="AE955" s="210"/>
      <c r="AF955" s="210"/>
      <c r="AG955" s="210"/>
      <c r="AH955" s="210"/>
      <c r="AI955" s="210"/>
      <c r="AJ955" s="210"/>
    </row>
    <row r="956" ht="14.25" customHeight="1">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c r="AA956" s="210"/>
      <c r="AB956" s="210"/>
      <c r="AC956" s="210"/>
      <c r="AD956" s="210"/>
      <c r="AE956" s="210"/>
      <c r="AF956" s="210"/>
      <c r="AG956" s="210"/>
      <c r="AH956" s="210"/>
      <c r="AI956" s="210"/>
      <c r="AJ956" s="210"/>
    </row>
    <row r="957" ht="14.25" customHeight="1">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c r="AA957" s="210"/>
      <c r="AB957" s="210"/>
      <c r="AC957" s="210"/>
      <c r="AD957" s="210"/>
      <c r="AE957" s="210"/>
      <c r="AF957" s="210"/>
      <c r="AG957" s="210"/>
      <c r="AH957" s="210"/>
      <c r="AI957" s="210"/>
      <c r="AJ957" s="210"/>
    </row>
    <row r="958" ht="14.25" customHeight="1">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c r="AA958" s="210"/>
      <c r="AB958" s="210"/>
      <c r="AC958" s="210"/>
      <c r="AD958" s="210"/>
      <c r="AE958" s="210"/>
      <c r="AF958" s="210"/>
      <c r="AG958" s="210"/>
      <c r="AH958" s="210"/>
      <c r="AI958" s="210"/>
      <c r="AJ958" s="210"/>
    </row>
    <row r="959" ht="14.25" customHeight="1">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c r="AA959" s="210"/>
      <c r="AB959" s="210"/>
      <c r="AC959" s="210"/>
      <c r="AD959" s="210"/>
      <c r="AE959" s="210"/>
      <c r="AF959" s="210"/>
      <c r="AG959" s="210"/>
      <c r="AH959" s="210"/>
      <c r="AI959" s="210"/>
      <c r="AJ959" s="210"/>
    </row>
    <row r="960" ht="14.25" customHeight="1">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c r="AA960" s="210"/>
      <c r="AB960" s="210"/>
      <c r="AC960" s="210"/>
      <c r="AD960" s="210"/>
      <c r="AE960" s="210"/>
      <c r="AF960" s="210"/>
      <c r="AG960" s="210"/>
      <c r="AH960" s="210"/>
      <c r="AI960" s="210"/>
      <c r="AJ960" s="210"/>
    </row>
    <row r="961" ht="14.25" customHeight="1">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c r="AA961" s="210"/>
      <c r="AB961" s="210"/>
      <c r="AC961" s="210"/>
      <c r="AD961" s="210"/>
      <c r="AE961" s="210"/>
      <c r="AF961" s="210"/>
      <c r="AG961" s="210"/>
      <c r="AH961" s="210"/>
      <c r="AI961" s="210"/>
      <c r="AJ961" s="210"/>
    </row>
    <row r="962" ht="14.25" customHeight="1">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c r="AA962" s="210"/>
      <c r="AB962" s="210"/>
      <c r="AC962" s="210"/>
      <c r="AD962" s="210"/>
      <c r="AE962" s="210"/>
      <c r="AF962" s="210"/>
      <c r="AG962" s="210"/>
      <c r="AH962" s="210"/>
      <c r="AI962" s="210"/>
      <c r="AJ962" s="210"/>
    </row>
    <row r="963" ht="14.25" customHeight="1">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c r="AA963" s="210"/>
      <c r="AB963" s="210"/>
      <c r="AC963" s="210"/>
      <c r="AD963" s="210"/>
      <c r="AE963" s="210"/>
      <c r="AF963" s="210"/>
      <c r="AG963" s="210"/>
      <c r="AH963" s="210"/>
      <c r="AI963" s="210"/>
      <c r="AJ963" s="210"/>
    </row>
    <row r="964" ht="14.25" customHeight="1">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c r="AA964" s="210"/>
      <c r="AB964" s="210"/>
      <c r="AC964" s="210"/>
      <c r="AD964" s="210"/>
      <c r="AE964" s="210"/>
      <c r="AF964" s="210"/>
      <c r="AG964" s="210"/>
      <c r="AH964" s="210"/>
      <c r="AI964" s="210"/>
      <c r="AJ964" s="210"/>
    </row>
    <row r="965" ht="14.25" customHeight="1">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c r="AA965" s="210"/>
      <c r="AB965" s="210"/>
      <c r="AC965" s="210"/>
      <c r="AD965" s="210"/>
      <c r="AE965" s="210"/>
      <c r="AF965" s="210"/>
      <c r="AG965" s="210"/>
      <c r="AH965" s="210"/>
      <c r="AI965" s="210"/>
      <c r="AJ965" s="210"/>
    </row>
    <row r="966" ht="14.25" customHeight="1">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c r="AA966" s="210"/>
      <c r="AB966" s="210"/>
      <c r="AC966" s="210"/>
      <c r="AD966" s="210"/>
      <c r="AE966" s="210"/>
      <c r="AF966" s="210"/>
      <c r="AG966" s="210"/>
      <c r="AH966" s="210"/>
      <c r="AI966" s="210"/>
      <c r="AJ966" s="210"/>
    </row>
    <row r="967" ht="14.25" customHeight="1">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c r="AA967" s="210"/>
      <c r="AB967" s="210"/>
      <c r="AC967" s="210"/>
      <c r="AD967" s="210"/>
      <c r="AE967" s="210"/>
      <c r="AF967" s="210"/>
      <c r="AG967" s="210"/>
      <c r="AH967" s="210"/>
      <c r="AI967" s="210"/>
      <c r="AJ967" s="210"/>
    </row>
    <row r="968" ht="14.25" customHeight="1">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c r="AA968" s="210"/>
      <c r="AB968" s="210"/>
      <c r="AC968" s="210"/>
      <c r="AD968" s="210"/>
      <c r="AE968" s="210"/>
      <c r="AF968" s="210"/>
      <c r="AG968" s="210"/>
      <c r="AH968" s="210"/>
      <c r="AI968" s="210"/>
      <c r="AJ968" s="210"/>
    </row>
    <row r="969" ht="14.25" customHeight="1">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c r="AA969" s="210"/>
      <c r="AB969" s="210"/>
      <c r="AC969" s="210"/>
      <c r="AD969" s="210"/>
      <c r="AE969" s="210"/>
      <c r="AF969" s="210"/>
      <c r="AG969" s="210"/>
      <c r="AH969" s="210"/>
      <c r="AI969" s="210"/>
      <c r="AJ969" s="210"/>
    </row>
    <row r="970" ht="14.25" customHeight="1">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c r="AA970" s="210"/>
      <c r="AB970" s="210"/>
      <c r="AC970" s="210"/>
      <c r="AD970" s="210"/>
      <c r="AE970" s="210"/>
      <c r="AF970" s="210"/>
      <c r="AG970" s="210"/>
      <c r="AH970" s="210"/>
      <c r="AI970" s="210"/>
      <c r="AJ970" s="210"/>
    </row>
    <row r="971" ht="14.25" customHeight="1">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c r="AA971" s="210"/>
      <c r="AB971" s="210"/>
      <c r="AC971" s="210"/>
      <c r="AD971" s="210"/>
      <c r="AE971" s="210"/>
      <c r="AF971" s="210"/>
      <c r="AG971" s="210"/>
      <c r="AH971" s="210"/>
      <c r="AI971" s="210"/>
      <c r="AJ971" s="210"/>
    </row>
    <row r="972" ht="14.25" customHeight="1">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c r="AA972" s="210"/>
      <c r="AB972" s="210"/>
      <c r="AC972" s="210"/>
      <c r="AD972" s="210"/>
      <c r="AE972" s="210"/>
      <c r="AF972" s="210"/>
      <c r="AG972" s="210"/>
      <c r="AH972" s="210"/>
      <c r="AI972" s="210"/>
      <c r="AJ972" s="210"/>
    </row>
    <row r="973" ht="14.25" customHeight="1">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c r="AA973" s="210"/>
      <c r="AB973" s="210"/>
      <c r="AC973" s="210"/>
      <c r="AD973" s="210"/>
      <c r="AE973" s="210"/>
      <c r="AF973" s="210"/>
      <c r="AG973" s="210"/>
      <c r="AH973" s="210"/>
      <c r="AI973" s="210"/>
      <c r="AJ973" s="210"/>
    </row>
    <row r="974" ht="14.25" customHeight="1">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c r="AA974" s="210"/>
      <c r="AB974" s="210"/>
      <c r="AC974" s="210"/>
      <c r="AD974" s="210"/>
      <c r="AE974" s="210"/>
      <c r="AF974" s="210"/>
      <c r="AG974" s="210"/>
      <c r="AH974" s="210"/>
      <c r="AI974" s="210"/>
      <c r="AJ974" s="210"/>
    </row>
    <row r="975" ht="14.25" customHeight="1">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c r="AA975" s="210"/>
      <c r="AB975" s="210"/>
      <c r="AC975" s="210"/>
      <c r="AD975" s="210"/>
      <c r="AE975" s="210"/>
      <c r="AF975" s="210"/>
      <c r="AG975" s="210"/>
      <c r="AH975" s="210"/>
      <c r="AI975" s="210"/>
      <c r="AJ975" s="210"/>
    </row>
    <row r="976" ht="14.25" customHeight="1">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c r="AA976" s="210"/>
      <c r="AB976" s="210"/>
      <c r="AC976" s="210"/>
      <c r="AD976" s="210"/>
      <c r="AE976" s="210"/>
      <c r="AF976" s="210"/>
      <c r="AG976" s="210"/>
      <c r="AH976" s="210"/>
      <c r="AI976" s="210"/>
      <c r="AJ976" s="210"/>
    </row>
    <row r="977" ht="14.25" customHeight="1">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c r="AA977" s="210"/>
      <c r="AB977" s="210"/>
      <c r="AC977" s="210"/>
      <c r="AD977" s="210"/>
      <c r="AE977" s="210"/>
      <c r="AF977" s="210"/>
      <c r="AG977" s="210"/>
      <c r="AH977" s="210"/>
      <c r="AI977" s="210"/>
      <c r="AJ977" s="210"/>
    </row>
    <row r="978" ht="14.25" customHeight="1">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c r="AA978" s="210"/>
      <c r="AB978" s="210"/>
      <c r="AC978" s="210"/>
      <c r="AD978" s="210"/>
      <c r="AE978" s="210"/>
      <c r="AF978" s="210"/>
      <c r="AG978" s="210"/>
      <c r="AH978" s="210"/>
      <c r="AI978" s="210"/>
      <c r="AJ978" s="210"/>
    </row>
    <row r="979" ht="14.25" customHeight="1">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c r="AA979" s="210"/>
      <c r="AB979" s="210"/>
      <c r="AC979" s="210"/>
      <c r="AD979" s="210"/>
      <c r="AE979" s="210"/>
      <c r="AF979" s="210"/>
      <c r="AG979" s="210"/>
      <c r="AH979" s="210"/>
      <c r="AI979" s="210"/>
      <c r="AJ979" s="210"/>
    </row>
    <row r="980" ht="14.25" customHeight="1">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c r="AA980" s="210"/>
      <c r="AB980" s="210"/>
      <c r="AC980" s="210"/>
      <c r="AD980" s="210"/>
      <c r="AE980" s="210"/>
      <c r="AF980" s="210"/>
      <c r="AG980" s="210"/>
      <c r="AH980" s="210"/>
      <c r="AI980" s="210"/>
      <c r="AJ980" s="210"/>
    </row>
    <row r="981" ht="14.25" customHeight="1">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c r="AA981" s="210"/>
      <c r="AB981" s="210"/>
      <c r="AC981" s="210"/>
      <c r="AD981" s="210"/>
      <c r="AE981" s="210"/>
      <c r="AF981" s="210"/>
      <c r="AG981" s="210"/>
      <c r="AH981" s="210"/>
      <c r="AI981" s="210"/>
      <c r="AJ981" s="210"/>
    </row>
    <row r="982" ht="14.25" customHeight="1">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c r="AA982" s="210"/>
      <c r="AB982" s="210"/>
      <c r="AC982" s="210"/>
      <c r="AD982" s="210"/>
      <c r="AE982" s="210"/>
      <c r="AF982" s="210"/>
      <c r="AG982" s="210"/>
      <c r="AH982" s="210"/>
      <c r="AI982" s="210"/>
      <c r="AJ982" s="210"/>
    </row>
    <row r="983" ht="14.25" customHeight="1">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c r="AA983" s="210"/>
      <c r="AB983" s="210"/>
      <c r="AC983" s="210"/>
      <c r="AD983" s="210"/>
      <c r="AE983" s="210"/>
      <c r="AF983" s="210"/>
      <c r="AG983" s="210"/>
      <c r="AH983" s="210"/>
      <c r="AI983" s="210"/>
      <c r="AJ983" s="210"/>
    </row>
    <row r="984" ht="14.25" customHeight="1">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c r="AA984" s="210"/>
      <c r="AB984" s="210"/>
      <c r="AC984" s="210"/>
      <c r="AD984" s="210"/>
      <c r="AE984" s="210"/>
      <c r="AF984" s="210"/>
      <c r="AG984" s="210"/>
      <c r="AH984" s="210"/>
      <c r="AI984" s="210"/>
      <c r="AJ984" s="210"/>
    </row>
    <row r="985" ht="14.25" customHeight="1">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c r="AA985" s="210"/>
      <c r="AB985" s="210"/>
      <c r="AC985" s="210"/>
      <c r="AD985" s="210"/>
      <c r="AE985" s="210"/>
      <c r="AF985" s="210"/>
      <c r="AG985" s="210"/>
      <c r="AH985" s="210"/>
      <c r="AI985" s="210"/>
      <c r="AJ985" s="210"/>
    </row>
    <row r="986" ht="14.25" customHeight="1">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c r="AA986" s="210"/>
      <c r="AB986" s="210"/>
      <c r="AC986" s="210"/>
      <c r="AD986" s="210"/>
      <c r="AE986" s="210"/>
      <c r="AF986" s="210"/>
      <c r="AG986" s="210"/>
      <c r="AH986" s="210"/>
      <c r="AI986" s="210"/>
      <c r="AJ986" s="210"/>
    </row>
    <row r="987" ht="14.25" customHeight="1">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c r="AA987" s="210"/>
      <c r="AB987" s="210"/>
      <c r="AC987" s="210"/>
      <c r="AD987" s="210"/>
      <c r="AE987" s="210"/>
      <c r="AF987" s="210"/>
      <c r="AG987" s="210"/>
      <c r="AH987" s="210"/>
      <c r="AI987" s="210"/>
      <c r="AJ987" s="210"/>
    </row>
    <row r="988" ht="14.25" customHeight="1">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c r="AA988" s="210"/>
      <c r="AB988" s="210"/>
      <c r="AC988" s="210"/>
      <c r="AD988" s="210"/>
      <c r="AE988" s="210"/>
      <c r="AF988" s="210"/>
      <c r="AG988" s="210"/>
      <c r="AH988" s="210"/>
      <c r="AI988" s="210"/>
      <c r="AJ988" s="210"/>
    </row>
    <row r="989" ht="14.25" customHeight="1">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c r="AA989" s="210"/>
      <c r="AB989" s="210"/>
      <c r="AC989" s="210"/>
      <c r="AD989" s="210"/>
      <c r="AE989" s="210"/>
      <c r="AF989" s="210"/>
      <c r="AG989" s="210"/>
      <c r="AH989" s="210"/>
      <c r="AI989" s="210"/>
      <c r="AJ989" s="210"/>
    </row>
    <row r="990" ht="14.25" customHeight="1">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c r="AA990" s="210"/>
      <c r="AB990" s="210"/>
      <c r="AC990" s="210"/>
      <c r="AD990" s="210"/>
      <c r="AE990" s="210"/>
      <c r="AF990" s="210"/>
      <c r="AG990" s="210"/>
      <c r="AH990" s="210"/>
      <c r="AI990" s="210"/>
      <c r="AJ990" s="210"/>
    </row>
    <row r="991" ht="14.25" customHeight="1">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c r="AA991" s="210"/>
      <c r="AB991" s="210"/>
      <c r="AC991" s="210"/>
      <c r="AD991" s="210"/>
      <c r="AE991" s="210"/>
      <c r="AF991" s="210"/>
      <c r="AG991" s="210"/>
      <c r="AH991" s="210"/>
      <c r="AI991" s="210"/>
      <c r="AJ991" s="210"/>
    </row>
    <row r="992" ht="14.25" customHeight="1">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c r="AA992" s="210"/>
      <c r="AB992" s="210"/>
      <c r="AC992" s="210"/>
      <c r="AD992" s="210"/>
      <c r="AE992" s="210"/>
      <c r="AF992" s="210"/>
      <c r="AG992" s="210"/>
      <c r="AH992" s="210"/>
      <c r="AI992" s="210"/>
      <c r="AJ992" s="210"/>
    </row>
    <row r="993" ht="14.25" customHeight="1">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c r="AA993" s="210"/>
      <c r="AB993" s="210"/>
      <c r="AC993" s="210"/>
      <c r="AD993" s="210"/>
      <c r="AE993" s="210"/>
      <c r="AF993" s="210"/>
      <c r="AG993" s="210"/>
      <c r="AH993" s="210"/>
      <c r="AI993" s="210"/>
      <c r="AJ993" s="210"/>
    </row>
    <row r="994" ht="14.25" customHeight="1">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c r="AA994" s="210"/>
      <c r="AB994" s="210"/>
      <c r="AC994" s="210"/>
      <c r="AD994" s="210"/>
      <c r="AE994" s="210"/>
      <c r="AF994" s="210"/>
      <c r="AG994" s="210"/>
      <c r="AH994" s="210"/>
      <c r="AI994" s="210"/>
      <c r="AJ994" s="210"/>
    </row>
    <row r="995" ht="14.25" customHeight="1">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c r="AA995" s="210"/>
      <c r="AB995" s="210"/>
      <c r="AC995" s="210"/>
      <c r="AD995" s="210"/>
      <c r="AE995" s="210"/>
      <c r="AF995" s="210"/>
      <c r="AG995" s="210"/>
      <c r="AH995" s="210"/>
      <c r="AI995" s="210"/>
      <c r="AJ995" s="210"/>
    </row>
    <row r="996" ht="14.25" customHeight="1">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c r="AA996" s="210"/>
      <c r="AB996" s="210"/>
      <c r="AC996" s="210"/>
      <c r="AD996" s="210"/>
      <c r="AE996" s="210"/>
      <c r="AF996" s="210"/>
      <c r="AG996" s="210"/>
      <c r="AH996" s="210"/>
      <c r="AI996" s="210"/>
      <c r="AJ996" s="210"/>
    </row>
    <row r="997" ht="14.25" customHeight="1">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c r="AA997" s="210"/>
      <c r="AB997" s="210"/>
      <c r="AC997" s="210"/>
      <c r="AD997" s="210"/>
      <c r="AE997" s="210"/>
      <c r="AF997" s="210"/>
      <c r="AG997" s="210"/>
      <c r="AH997" s="210"/>
      <c r="AI997" s="210"/>
      <c r="AJ997" s="210"/>
    </row>
    <row r="998" ht="14.25" customHeight="1">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c r="AA998" s="210"/>
      <c r="AB998" s="210"/>
      <c r="AC998" s="210"/>
      <c r="AD998" s="210"/>
      <c r="AE998" s="210"/>
      <c r="AF998" s="210"/>
      <c r="AG998" s="210"/>
      <c r="AH998" s="210"/>
      <c r="AI998" s="210"/>
      <c r="AJ998" s="210"/>
    </row>
    <row r="999" ht="14.25" customHeight="1">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c r="AA999" s="210"/>
      <c r="AB999" s="210"/>
      <c r="AC999" s="210"/>
      <c r="AD999" s="210"/>
      <c r="AE999" s="210"/>
      <c r="AF999" s="210"/>
      <c r="AG999" s="210"/>
      <c r="AH999" s="210"/>
      <c r="AI999" s="210"/>
      <c r="AJ999" s="210"/>
    </row>
    <row r="1000" ht="14.25" customHeight="1">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c r="AA1000" s="210"/>
      <c r="AB1000" s="210"/>
      <c r="AC1000" s="210"/>
      <c r="AD1000" s="210"/>
      <c r="AE1000" s="210"/>
      <c r="AF1000" s="210"/>
      <c r="AG1000" s="210"/>
      <c r="AH1000" s="210"/>
      <c r="AI1000" s="210"/>
      <c r="AJ1000" s="210"/>
    </row>
    <row r="1001" ht="14.25" customHeight="1">
      <c r="A1001" s="210"/>
      <c r="B1001" s="210"/>
      <c r="C1001" s="210"/>
      <c r="D1001" s="210"/>
      <c r="E1001" s="210"/>
      <c r="F1001" s="210"/>
      <c r="G1001" s="210"/>
      <c r="H1001" s="210"/>
      <c r="I1001" s="210"/>
      <c r="J1001" s="210"/>
      <c r="K1001" s="210"/>
      <c r="L1001" s="210"/>
      <c r="M1001" s="210"/>
      <c r="N1001" s="210"/>
      <c r="O1001" s="210"/>
      <c r="P1001" s="210"/>
      <c r="Q1001" s="210"/>
      <c r="R1001" s="210"/>
      <c r="S1001" s="210"/>
      <c r="T1001" s="210"/>
      <c r="U1001" s="210"/>
      <c r="V1001" s="210"/>
      <c r="W1001" s="210"/>
      <c r="X1001" s="210"/>
      <c r="Y1001" s="210"/>
      <c r="Z1001" s="210"/>
      <c r="AA1001" s="210"/>
      <c r="AB1001" s="210"/>
      <c r="AC1001" s="210"/>
      <c r="AD1001" s="210"/>
      <c r="AE1001" s="210"/>
      <c r="AF1001" s="210"/>
      <c r="AG1001" s="210"/>
      <c r="AH1001" s="210"/>
      <c r="AI1001" s="210"/>
      <c r="AJ1001" s="210"/>
    </row>
    <row r="1002" ht="14.25" customHeight="1">
      <c r="A1002" s="210"/>
      <c r="B1002" s="210"/>
      <c r="C1002" s="210"/>
      <c r="D1002" s="210"/>
      <c r="E1002" s="210"/>
      <c r="F1002" s="210"/>
      <c r="G1002" s="210"/>
      <c r="H1002" s="210"/>
      <c r="I1002" s="210"/>
      <c r="J1002" s="210"/>
      <c r="K1002" s="210"/>
      <c r="L1002" s="210"/>
      <c r="M1002" s="210"/>
      <c r="N1002" s="210"/>
      <c r="O1002" s="210"/>
      <c r="P1002" s="210"/>
      <c r="Q1002" s="210"/>
      <c r="R1002" s="210"/>
      <c r="S1002" s="210"/>
      <c r="T1002" s="210"/>
      <c r="U1002" s="210"/>
      <c r="V1002" s="210"/>
      <c r="W1002" s="210"/>
      <c r="X1002" s="210"/>
      <c r="Y1002" s="210"/>
      <c r="Z1002" s="210"/>
      <c r="AA1002" s="210"/>
      <c r="AB1002" s="210"/>
      <c r="AC1002" s="210"/>
      <c r="AD1002" s="210"/>
      <c r="AE1002" s="210"/>
      <c r="AF1002" s="210"/>
      <c r="AG1002" s="210"/>
      <c r="AH1002" s="210"/>
      <c r="AI1002" s="210"/>
      <c r="AJ1002" s="210"/>
    </row>
    <row r="1003" ht="14.25" customHeight="1">
      <c r="A1003" s="210"/>
      <c r="B1003" s="210"/>
      <c r="C1003" s="210"/>
      <c r="D1003" s="210"/>
      <c r="E1003" s="210"/>
      <c r="F1003" s="210"/>
      <c r="G1003" s="210"/>
      <c r="H1003" s="210"/>
      <c r="I1003" s="210"/>
      <c r="J1003" s="210"/>
      <c r="K1003" s="210"/>
      <c r="L1003" s="210"/>
      <c r="M1003" s="210"/>
      <c r="N1003" s="210"/>
      <c r="O1003" s="210"/>
      <c r="P1003" s="210"/>
      <c r="Q1003" s="210"/>
      <c r="R1003" s="210"/>
      <c r="S1003" s="210"/>
      <c r="T1003" s="210"/>
      <c r="U1003" s="210"/>
      <c r="V1003" s="210"/>
      <c r="W1003" s="210"/>
      <c r="X1003" s="210"/>
      <c r="Y1003" s="210"/>
      <c r="Z1003" s="210"/>
      <c r="AA1003" s="210"/>
      <c r="AB1003" s="210"/>
      <c r="AC1003" s="210"/>
      <c r="AD1003" s="210"/>
      <c r="AE1003" s="210"/>
      <c r="AF1003" s="210"/>
      <c r="AG1003" s="210"/>
      <c r="AH1003" s="210"/>
      <c r="AI1003" s="210"/>
      <c r="AJ1003" s="210"/>
    </row>
    <row r="1004" ht="14.25" customHeight="1">
      <c r="A1004" s="210"/>
      <c r="B1004" s="210"/>
      <c r="C1004" s="210"/>
      <c r="D1004" s="210"/>
      <c r="E1004" s="210"/>
      <c r="F1004" s="210"/>
      <c r="G1004" s="210"/>
      <c r="H1004" s="210"/>
      <c r="I1004" s="210"/>
      <c r="J1004" s="210"/>
      <c r="K1004" s="210"/>
      <c r="L1004" s="210"/>
      <c r="M1004" s="210"/>
      <c r="N1004" s="210"/>
      <c r="O1004" s="210"/>
      <c r="P1004" s="210"/>
      <c r="Q1004" s="210"/>
      <c r="R1004" s="210"/>
      <c r="S1004" s="210"/>
      <c r="T1004" s="210"/>
      <c r="U1004" s="210"/>
      <c r="V1004" s="210"/>
      <c r="W1004" s="210"/>
      <c r="X1004" s="210"/>
      <c r="Y1004" s="210"/>
      <c r="Z1004" s="210"/>
      <c r="AA1004" s="210"/>
      <c r="AB1004" s="210"/>
      <c r="AC1004" s="210"/>
      <c r="AD1004" s="210"/>
      <c r="AE1004" s="210"/>
      <c r="AF1004" s="210"/>
      <c r="AG1004" s="210"/>
      <c r="AH1004" s="210"/>
      <c r="AI1004" s="210"/>
      <c r="AJ1004" s="210"/>
    </row>
    <row r="1005" ht="14.25" customHeight="1">
      <c r="A1005" s="210"/>
      <c r="B1005" s="210"/>
      <c r="C1005" s="210"/>
      <c r="D1005" s="210"/>
      <c r="E1005" s="210"/>
      <c r="F1005" s="210"/>
      <c r="G1005" s="210"/>
      <c r="H1005" s="210"/>
      <c r="I1005" s="210"/>
      <c r="J1005" s="210"/>
      <c r="K1005" s="210"/>
      <c r="L1005" s="210"/>
      <c r="M1005" s="210"/>
      <c r="N1005" s="210"/>
      <c r="O1005" s="210"/>
      <c r="P1005" s="210"/>
      <c r="Q1005" s="210"/>
      <c r="R1005" s="210"/>
      <c r="S1005" s="210"/>
      <c r="T1005" s="210"/>
      <c r="U1005" s="210"/>
      <c r="V1005" s="210"/>
      <c r="W1005" s="210"/>
      <c r="X1005" s="210"/>
      <c r="Y1005" s="210"/>
      <c r="Z1005" s="210"/>
      <c r="AA1005" s="210"/>
      <c r="AB1005" s="210"/>
      <c r="AC1005" s="210"/>
      <c r="AD1005" s="210"/>
      <c r="AE1005" s="210"/>
      <c r="AF1005" s="210"/>
      <c r="AG1005" s="210"/>
      <c r="AH1005" s="210"/>
      <c r="AI1005" s="210"/>
      <c r="AJ1005" s="210"/>
    </row>
    <row r="1006" ht="14.25" customHeight="1">
      <c r="A1006" s="210"/>
      <c r="B1006" s="210"/>
      <c r="C1006" s="210"/>
      <c r="D1006" s="210"/>
      <c r="E1006" s="210"/>
      <c r="F1006" s="210"/>
      <c r="G1006" s="210"/>
      <c r="H1006" s="210"/>
      <c r="I1006" s="210"/>
      <c r="J1006" s="210"/>
      <c r="K1006" s="210"/>
      <c r="L1006" s="210"/>
      <c r="M1006" s="210"/>
      <c r="N1006" s="210"/>
      <c r="O1006" s="210"/>
      <c r="P1006" s="210"/>
      <c r="Q1006" s="210"/>
      <c r="R1006" s="210"/>
      <c r="S1006" s="210"/>
      <c r="T1006" s="210"/>
      <c r="U1006" s="210"/>
      <c r="V1006" s="210"/>
      <c r="W1006" s="210"/>
      <c r="X1006" s="210"/>
      <c r="Y1006" s="210"/>
      <c r="Z1006" s="210"/>
      <c r="AA1006" s="210"/>
      <c r="AB1006" s="210"/>
      <c r="AC1006" s="210"/>
      <c r="AD1006" s="210"/>
      <c r="AE1006" s="210"/>
      <c r="AF1006" s="210"/>
      <c r="AG1006" s="210"/>
      <c r="AH1006" s="210"/>
      <c r="AI1006" s="210"/>
      <c r="AJ1006" s="210"/>
    </row>
    <row r="1007" ht="14.25" customHeight="1">
      <c r="A1007" s="210"/>
      <c r="B1007" s="210"/>
      <c r="C1007" s="210"/>
      <c r="D1007" s="210"/>
      <c r="E1007" s="210"/>
      <c r="F1007" s="210"/>
      <c r="G1007" s="210"/>
      <c r="H1007" s="210"/>
      <c r="I1007" s="210"/>
      <c r="J1007" s="210"/>
      <c r="K1007" s="210"/>
      <c r="L1007" s="210"/>
      <c r="M1007" s="210"/>
      <c r="N1007" s="210"/>
      <c r="O1007" s="210"/>
      <c r="P1007" s="210"/>
      <c r="Q1007" s="210"/>
      <c r="R1007" s="210"/>
      <c r="S1007" s="210"/>
      <c r="T1007" s="210"/>
      <c r="U1007" s="210"/>
      <c r="V1007" s="210"/>
      <c r="W1007" s="210"/>
      <c r="X1007" s="210"/>
      <c r="Y1007" s="210"/>
      <c r="Z1007" s="210"/>
      <c r="AA1007" s="210"/>
      <c r="AB1007" s="210"/>
      <c r="AC1007" s="210"/>
      <c r="AD1007" s="210"/>
      <c r="AE1007" s="210"/>
      <c r="AF1007" s="210"/>
      <c r="AG1007" s="210"/>
      <c r="AH1007" s="210"/>
      <c r="AI1007" s="210"/>
      <c r="AJ1007" s="210"/>
    </row>
    <row r="1008" ht="14.25" customHeight="1">
      <c r="A1008" s="210"/>
      <c r="B1008" s="210"/>
      <c r="C1008" s="210"/>
      <c r="D1008" s="210"/>
      <c r="E1008" s="210"/>
      <c r="F1008" s="210"/>
      <c r="G1008" s="210"/>
      <c r="H1008" s="210"/>
      <c r="I1008" s="210"/>
      <c r="J1008" s="210"/>
      <c r="K1008" s="210"/>
      <c r="L1008" s="210"/>
      <c r="M1008" s="210"/>
      <c r="N1008" s="210"/>
      <c r="O1008" s="210"/>
      <c r="P1008" s="210"/>
      <c r="Q1008" s="210"/>
      <c r="R1008" s="210"/>
      <c r="S1008" s="210"/>
      <c r="T1008" s="210"/>
      <c r="U1008" s="210"/>
      <c r="V1008" s="210"/>
      <c r="W1008" s="210"/>
      <c r="X1008" s="210"/>
      <c r="Y1008" s="210"/>
      <c r="Z1008" s="210"/>
      <c r="AA1008" s="210"/>
      <c r="AB1008" s="210"/>
      <c r="AC1008" s="210"/>
      <c r="AD1008" s="210"/>
      <c r="AE1008" s="210"/>
      <c r="AF1008" s="210"/>
      <c r="AG1008" s="210"/>
      <c r="AH1008" s="210"/>
      <c r="AI1008" s="210"/>
      <c r="AJ1008" s="210"/>
    </row>
    <row r="1009" ht="14.25" customHeight="1">
      <c r="A1009" s="210"/>
      <c r="B1009" s="210"/>
      <c r="C1009" s="210"/>
      <c r="D1009" s="210"/>
      <c r="E1009" s="210"/>
      <c r="F1009" s="210"/>
      <c r="G1009" s="210"/>
      <c r="H1009" s="210"/>
      <c r="I1009" s="210"/>
      <c r="J1009" s="210"/>
      <c r="K1009" s="210"/>
      <c r="L1009" s="210"/>
      <c r="M1009" s="210"/>
      <c r="N1009" s="210"/>
      <c r="O1009" s="210"/>
      <c r="P1009" s="210"/>
      <c r="Q1009" s="210"/>
      <c r="R1009" s="210"/>
      <c r="S1009" s="210"/>
      <c r="T1009" s="210"/>
      <c r="U1009" s="210"/>
      <c r="V1009" s="210"/>
      <c r="W1009" s="210"/>
      <c r="X1009" s="210"/>
      <c r="Y1009" s="210"/>
      <c r="Z1009" s="210"/>
      <c r="AA1009" s="210"/>
      <c r="AB1009" s="210"/>
      <c r="AC1009" s="210"/>
      <c r="AD1009" s="210"/>
      <c r="AE1009" s="210"/>
      <c r="AF1009" s="210"/>
      <c r="AG1009" s="210"/>
      <c r="AH1009" s="210"/>
      <c r="AI1009" s="210"/>
      <c r="AJ1009" s="210"/>
    </row>
    <row r="1010" ht="14.25" customHeight="1">
      <c r="A1010" s="210"/>
      <c r="B1010" s="210"/>
      <c r="C1010" s="210"/>
      <c r="D1010" s="210"/>
      <c r="E1010" s="210"/>
      <c r="F1010" s="210"/>
      <c r="G1010" s="210"/>
      <c r="H1010" s="210"/>
      <c r="I1010" s="210"/>
      <c r="J1010" s="210"/>
      <c r="K1010" s="210"/>
      <c r="L1010" s="210"/>
      <c r="M1010" s="210"/>
      <c r="N1010" s="210"/>
      <c r="O1010" s="210"/>
      <c r="P1010" s="210"/>
      <c r="Q1010" s="210"/>
      <c r="R1010" s="210"/>
      <c r="S1010" s="210"/>
      <c r="T1010" s="210"/>
      <c r="U1010" s="210"/>
      <c r="V1010" s="210"/>
      <c r="W1010" s="210"/>
      <c r="X1010" s="210"/>
      <c r="Y1010" s="210"/>
      <c r="Z1010" s="210"/>
      <c r="AA1010" s="210"/>
      <c r="AB1010" s="210"/>
      <c r="AC1010" s="210"/>
      <c r="AD1010" s="210"/>
      <c r="AE1010" s="210"/>
      <c r="AF1010" s="210"/>
      <c r="AG1010" s="210"/>
      <c r="AH1010" s="210"/>
      <c r="AI1010" s="210"/>
      <c r="AJ1010" s="210"/>
    </row>
    <row r="1011" ht="14.25" customHeight="1">
      <c r="A1011" s="210"/>
      <c r="B1011" s="210"/>
      <c r="C1011" s="210"/>
      <c r="D1011" s="210"/>
      <c r="E1011" s="210"/>
      <c r="F1011" s="210"/>
      <c r="G1011" s="210"/>
      <c r="H1011" s="210"/>
      <c r="I1011" s="210"/>
      <c r="J1011" s="210"/>
      <c r="K1011" s="210"/>
      <c r="L1011" s="210"/>
      <c r="M1011" s="210"/>
      <c r="N1011" s="210"/>
      <c r="O1011" s="210"/>
      <c r="P1011" s="210"/>
      <c r="Q1011" s="210"/>
      <c r="R1011" s="210"/>
      <c r="S1011" s="210"/>
      <c r="T1011" s="210"/>
      <c r="U1011" s="210"/>
      <c r="V1011" s="210"/>
      <c r="W1011" s="210"/>
      <c r="X1011" s="210"/>
      <c r="Y1011" s="210"/>
      <c r="Z1011" s="210"/>
      <c r="AA1011" s="210"/>
      <c r="AB1011" s="210"/>
      <c r="AC1011" s="210"/>
      <c r="AD1011" s="210"/>
      <c r="AE1011" s="210"/>
      <c r="AF1011" s="210"/>
      <c r="AG1011" s="210"/>
      <c r="AH1011" s="210"/>
      <c r="AI1011" s="210"/>
      <c r="AJ1011" s="210"/>
    </row>
    <row r="1012" ht="14.25" customHeight="1">
      <c r="A1012" s="210"/>
      <c r="B1012" s="210"/>
      <c r="C1012" s="210"/>
      <c r="D1012" s="210"/>
      <c r="E1012" s="210"/>
      <c r="F1012" s="210"/>
      <c r="G1012" s="210"/>
      <c r="H1012" s="210"/>
      <c r="I1012" s="210"/>
      <c r="J1012" s="210"/>
      <c r="K1012" s="210"/>
      <c r="L1012" s="210"/>
      <c r="M1012" s="210"/>
      <c r="N1012" s="210"/>
      <c r="O1012" s="210"/>
      <c r="P1012" s="210"/>
      <c r="Q1012" s="210"/>
      <c r="R1012" s="210"/>
      <c r="S1012" s="210"/>
      <c r="T1012" s="210"/>
      <c r="U1012" s="210"/>
      <c r="V1012" s="210"/>
      <c r="W1012" s="210"/>
      <c r="X1012" s="210"/>
      <c r="Y1012" s="210"/>
      <c r="Z1012" s="210"/>
      <c r="AA1012" s="210"/>
      <c r="AB1012" s="210"/>
      <c r="AC1012" s="210"/>
      <c r="AD1012" s="210"/>
      <c r="AE1012" s="210"/>
      <c r="AF1012" s="210"/>
      <c r="AG1012" s="210"/>
      <c r="AH1012" s="210"/>
      <c r="AI1012" s="210"/>
      <c r="AJ1012" s="210"/>
    </row>
    <row r="1013" ht="14.25" customHeight="1">
      <c r="A1013" s="210"/>
      <c r="B1013" s="210"/>
      <c r="C1013" s="210"/>
      <c r="D1013" s="210"/>
      <c r="E1013" s="210"/>
      <c r="F1013" s="210"/>
      <c r="G1013" s="210"/>
      <c r="H1013" s="210"/>
      <c r="I1013" s="210"/>
      <c r="J1013" s="210"/>
      <c r="K1013" s="210"/>
      <c r="L1013" s="210"/>
      <c r="M1013" s="210"/>
      <c r="N1013" s="210"/>
      <c r="O1013" s="210"/>
      <c r="P1013" s="210"/>
      <c r="Q1013" s="210"/>
      <c r="R1013" s="210"/>
      <c r="S1013" s="210"/>
      <c r="T1013" s="210"/>
      <c r="U1013" s="210"/>
      <c r="V1013" s="210"/>
      <c r="W1013" s="210"/>
      <c r="X1013" s="210"/>
      <c r="Y1013" s="210"/>
      <c r="Z1013" s="210"/>
      <c r="AA1013" s="210"/>
      <c r="AB1013" s="210"/>
      <c r="AC1013" s="210"/>
      <c r="AD1013" s="210"/>
      <c r="AE1013" s="210"/>
      <c r="AF1013" s="210"/>
      <c r="AG1013" s="210"/>
      <c r="AH1013" s="210"/>
      <c r="AI1013" s="210"/>
      <c r="AJ1013" s="210"/>
    </row>
    <row r="1014" ht="14.25" customHeight="1">
      <c r="A1014" s="210"/>
      <c r="B1014" s="210"/>
      <c r="C1014" s="210"/>
      <c r="D1014" s="210"/>
      <c r="E1014" s="210"/>
      <c r="F1014" s="210"/>
      <c r="G1014" s="210"/>
      <c r="H1014" s="210"/>
      <c r="I1014" s="210"/>
      <c r="J1014" s="210"/>
      <c r="K1014" s="210"/>
      <c r="L1014" s="210"/>
      <c r="M1014" s="210"/>
      <c r="N1014" s="210"/>
      <c r="O1014" s="210"/>
      <c r="P1014" s="210"/>
      <c r="Q1014" s="210"/>
      <c r="R1014" s="210"/>
      <c r="S1014" s="210"/>
      <c r="T1014" s="210"/>
      <c r="U1014" s="210"/>
      <c r="V1014" s="210"/>
      <c r="W1014" s="210"/>
      <c r="X1014" s="210"/>
      <c r="Y1014" s="210"/>
      <c r="Z1014" s="210"/>
      <c r="AA1014" s="210"/>
      <c r="AB1014" s="210"/>
      <c r="AC1014" s="210"/>
      <c r="AD1014" s="210"/>
      <c r="AE1014" s="210"/>
      <c r="AF1014" s="210"/>
      <c r="AG1014" s="210"/>
      <c r="AH1014" s="210"/>
      <c r="AI1014" s="210"/>
      <c r="AJ1014" s="210"/>
    </row>
    <row r="1015" ht="14.25" customHeight="1">
      <c r="A1015" s="210"/>
      <c r="B1015" s="210"/>
      <c r="C1015" s="210"/>
      <c r="D1015" s="210"/>
      <c r="E1015" s="210"/>
      <c r="F1015" s="210"/>
      <c r="G1015" s="210"/>
      <c r="H1015" s="210"/>
      <c r="I1015" s="210"/>
      <c r="J1015" s="210"/>
      <c r="K1015" s="210"/>
      <c r="L1015" s="210"/>
      <c r="M1015" s="210"/>
      <c r="N1015" s="210"/>
      <c r="O1015" s="210"/>
      <c r="P1015" s="210"/>
      <c r="Q1015" s="210"/>
      <c r="R1015" s="210"/>
      <c r="S1015" s="210"/>
      <c r="T1015" s="210"/>
      <c r="U1015" s="210"/>
      <c r="V1015" s="210"/>
      <c r="W1015" s="210"/>
      <c r="X1015" s="210"/>
      <c r="Y1015" s="210"/>
      <c r="Z1015" s="210"/>
      <c r="AA1015" s="210"/>
      <c r="AB1015" s="210"/>
      <c r="AC1015" s="210"/>
      <c r="AD1015" s="210"/>
      <c r="AE1015" s="210"/>
      <c r="AF1015" s="210"/>
      <c r="AG1015" s="210"/>
      <c r="AH1015" s="210"/>
      <c r="AI1015" s="210"/>
      <c r="AJ1015" s="210"/>
    </row>
    <row r="1016" ht="14.25" customHeight="1">
      <c r="A1016" s="210"/>
      <c r="B1016" s="210"/>
      <c r="C1016" s="210"/>
      <c r="D1016" s="210"/>
      <c r="E1016" s="210"/>
      <c r="F1016" s="210"/>
      <c r="G1016" s="210"/>
      <c r="H1016" s="210"/>
      <c r="I1016" s="210"/>
      <c r="J1016" s="210"/>
      <c r="K1016" s="210"/>
      <c r="L1016" s="210"/>
      <c r="M1016" s="210"/>
      <c r="N1016" s="210"/>
      <c r="O1016" s="210"/>
      <c r="P1016" s="210"/>
      <c r="Q1016" s="210"/>
      <c r="R1016" s="210"/>
      <c r="S1016" s="210"/>
      <c r="T1016" s="210"/>
      <c r="U1016" s="210"/>
      <c r="V1016" s="210"/>
      <c r="W1016" s="210"/>
      <c r="X1016" s="210"/>
      <c r="Y1016" s="210"/>
      <c r="Z1016" s="210"/>
      <c r="AA1016" s="210"/>
      <c r="AB1016" s="210"/>
      <c r="AC1016" s="210"/>
      <c r="AD1016" s="210"/>
      <c r="AE1016" s="210"/>
      <c r="AF1016" s="210"/>
      <c r="AG1016" s="210"/>
      <c r="AH1016" s="210"/>
      <c r="AI1016" s="210"/>
      <c r="AJ1016" s="210"/>
    </row>
    <row r="1017" ht="14.25" customHeight="1">
      <c r="A1017" s="210"/>
      <c r="B1017" s="210"/>
      <c r="C1017" s="210"/>
      <c r="D1017" s="210"/>
      <c r="E1017" s="210"/>
      <c r="F1017" s="210"/>
      <c r="G1017" s="210"/>
      <c r="H1017" s="210"/>
      <c r="I1017" s="210"/>
      <c r="J1017" s="210"/>
      <c r="K1017" s="210"/>
      <c r="L1017" s="210"/>
      <c r="M1017" s="210"/>
      <c r="N1017" s="210"/>
      <c r="O1017" s="210"/>
      <c r="P1017" s="210"/>
      <c r="Q1017" s="210"/>
      <c r="R1017" s="210"/>
      <c r="S1017" s="210"/>
      <c r="T1017" s="210"/>
      <c r="U1017" s="210"/>
      <c r="V1017" s="210"/>
      <c r="W1017" s="210"/>
      <c r="X1017" s="210"/>
      <c r="Y1017" s="210"/>
      <c r="Z1017" s="210"/>
      <c r="AA1017" s="210"/>
      <c r="AB1017" s="210"/>
      <c r="AC1017" s="210"/>
      <c r="AD1017" s="210"/>
      <c r="AE1017" s="210"/>
      <c r="AF1017" s="210"/>
      <c r="AG1017" s="210"/>
      <c r="AH1017" s="210"/>
      <c r="AI1017" s="210"/>
      <c r="AJ1017" s="210"/>
    </row>
    <row r="1018" ht="14.25" customHeight="1">
      <c r="A1018" s="210"/>
      <c r="B1018" s="210"/>
      <c r="C1018" s="210"/>
      <c r="D1018" s="210"/>
      <c r="E1018" s="210"/>
      <c r="F1018" s="210"/>
      <c r="G1018" s="210"/>
      <c r="H1018" s="210"/>
      <c r="I1018" s="210"/>
      <c r="J1018" s="210"/>
      <c r="K1018" s="210"/>
      <c r="L1018" s="210"/>
      <c r="M1018" s="210"/>
      <c r="N1018" s="210"/>
      <c r="O1018" s="210"/>
      <c r="P1018" s="210"/>
      <c r="Q1018" s="210"/>
      <c r="R1018" s="210"/>
      <c r="S1018" s="210"/>
      <c r="T1018" s="210"/>
      <c r="U1018" s="210"/>
      <c r="V1018" s="210"/>
      <c r="W1018" s="210"/>
      <c r="X1018" s="210"/>
      <c r="Y1018" s="210"/>
      <c r="Z1018" s="210"/>
      <c r="AA1018" s="210"/>
      <c r="AB1018" s="210"/>
      <c r="AC1018" s="210"/>
      <c r="AD1018" s="210"/>
      <c r="AE1018" s="210"/>
      <c r="AF1018" s="210"/>
      <c r="AG1018" s="210"/>
      <c r="AH1018" s="210"/>
      <c r="AI1018" s="210"/>
      <c r="AJ1018" s="210"/>
    </row>
    <row r="1019" ht="14.25" customHeight="1">
      <c r="A1019" s="210"/>
      <c r="B1019" s="210"/>
      <c r="C1019" s="210"/>
      <c r="D1019" s="210"/>
      <c r="E1019" s="210"/>
      <c r="F1019" s="210"/>
      <c r="G1019" s="210"/>
      <c r="H1019" s="210"/>
      <c r="I1019" s="210"/>
      <c r="J1019" s="210"/>
      <c r="K1019" s="210"/>
      <c r="L1019" s="210"/>
      <c r="M1019" s="210"/>
      <c r="N1019" s="210"/>
      <c r="O1019" s="210"/>
      <c r="P1019" s="210"/>
      <c r="Q1019" s="210"/>
      <c r="R1019" s="210"/>
      <c r="S1019" s="210"/>
      <c r="T1019" s="210"/>
      <c r="U1019" s="210"/>
      <c r="V1019" s="210"/>
      <c r="W1019" s="210"/>
      <c r="X1019" s="210"/>
      <c r="Y1019" s="210"/>
      <c r="Z1019" s="210"/>
      <c r="AA1019" s="210"/>
      <c r="AB1019" s="210"/>
      <c r="AC1019" s="210"/>
      <c r="AD1019" s="210"/>
      <c r="AE1019" s="210"/>
      <c r="AF1019" s="210"/>
      <c r="AG1019" s="210"/>
      <c r="AH1019" s="210"/>
      <c r="AI1019" s="210"/>
      <c r="AJ1019" s="210"/>
    </row>
    <row r="1020" ht="14.25" customHeight="1">
      <c r="A1020" s="210"/>
      <c r="B1020" s="210"/>
      <c r="C1020" s="210"/>
      <c r="D1020" s="210"/>
      <c r="E1020" s="210"/>
      <c r="F1020" s="210"/>
      <c r="G1020" s="210"/>
      <c r="H1020" s="210"/>
      <c r="I1020" s="210"/>
      <c r="J1020" s="210"/>
      <c r="K1020" s="210"/>
      <c r="L1020" s="210"/>
      <c r="M1020" s="210"/>
      <c r="N1020" s="210"/>
      <c r="O1020" s="210"/>
      <c r="P1020" s="210"/>
      <c r="Q1020" s="210"/>
      <c r="R1020" s="210"/>
      <c r="S1020" s="210"/>
      <c r="T1020" s="210"/>
      <c r="U1020" s="210"/>
      <c r="V1020" s="210"/>
      <c r="W1020" s="210"/>
      <c r="X1020" s="210"/>
      <c r="Y1020" s="210"/>
      <c r="Z1020" s="210"/>
      <c r="AA1020" s="210"/>
      <c r="AB1020" s="210"/>
      <c r="AC1020" s="210"/>
      <c r="AD1020" s="210"/>
      <c r="AE1020" s="210"/>
      <c r="AF1020" s="210"/>
      <c r="AG1020" s="210"/>
      <c r="AH1020" s="210"/>
      <c r="AI1020" s="210"/>
      <c r="AJ1020" s="210"/>
    </row>
    <row r="1021" ht="14.25" customHeight="1">
      <c r="A1021" s="210"/>
      <c r="B1021" s="210"/>
      <c r="C1021" s="210"/>
      <c r="D1021" s="210"/>
      <c r="E1021" s="210"/>
      <c r="F1021" s="210"/>
      <c r="G1021" s="210"/>
      <c r="H1021" s="210"/>
      <c r="I1021" s="210"/>
      <c r="J1021" s="210"/>
      <c r="K1021" s="210"/>
      <c r="L1021" s="210"/>
      <c r="M1021" s="210"/>
      <c r="N1021" s="210"/>
      <c r="O1021" s="210"/>
      <c r="P1021" s="210"/>
      <c r="Q1021" s="210"/>
      <c r="R1021" s="210"/>
      <c r="S1021" s="210"/>
      <c r="T1021" s="210"/>
      <c r="U1021" s="210"/>
      <c r="V1021" s="210"/>
      <c r="W1021" s="210"/>
      <c r="X1021" s="210"/>
      <c r="Y1021" s="210"/>
      <c r="Z1021" s="210"/>
      <c r="AA1021" s="210"/>
      <c r="AB1021" s="210"/>
      <c r="AC1021" s="210"/>
      <c r="AD1021" s="210"/>
      <c r="AE1021" s="210"/>
      <c r="AF1021" s="210"/>
      <c r="AG1021" s="210"/>
      <c r="AH1021" s="210"/>
      <c r="AI1021" s="210"/>
      <c r="AJ1021" s="210"/>
    </row>
    <row r="1022" ht="14.25" customHeight="1">
      <c r="A1022" s="210"/>
      <c r="B1022" s="210"/>
      <c r="C1022" s="210"/>
      <c r="D1022" s="210"/>
      <c r="E1022" s="210"/>
      <c r="F1022" s="210"/>
      <c r="G1022" s="210"/>
      <c r="H1022" s="210"/>
      <c r="I1022" s="210"/>
      <c r="J1022" s="210"/>
      <c r="K1022" s="210"/>
      <c r="L1022" s="210"/>
      <c r="M1022" s="210"/>
      <c r="N1022" s="210"/>
      <c r="O1022" s="210"/>
      <c r="P1022" s="210"/>
      <c r="Q1022" s="210"/>
      <c r="R1022" s="210"/>
      <c r="S1022" s="210"/>
      <c r="T1022" s="210"/>
      <c r="U1022" s="210"/>
      <c r="V1022" s="210"/>
      <c r="W1022" s="210"/>
      <c r="X1022" s="210"/>
      <c r="Y1022" s="210"/>
      <c r="Z1022" s="210"/>
      <c r="AA1022" s="210"/>
      <c r="AB1022" s="210"/>
      <c r="AC1022" s="210"/>
      <c r="AD1022" s="210"/>
      <c r="AE1022" s="210"/>
      <c r="AF1022" s="210"/>
      <c r="AG1022" s="210"/>
      <c r="AH1022" s="210"/>
      <c r="AI1022" s="210"/>
      <c r="AJ1022" s="210"/>
    </row>
    <row r="1023" ht="14.25" customHeight="1">
      <c r="A1023" s="210"/>
      <c r="B1023" s="210"/>
      <c r="C1023" s="210"/>
      <c r="D1023" s="210"/>
      <c r="E1023" s="210"/>
      <c r="F1023" s="210"/>
      <c r="G1023" s="210"/>
      <c r="H1023" s="210"/>
      <c r="I1023" s="210"/>
      <c r="J1023" s="210"/>
      <c r="K1023" s="210"/>
      <c r="L1023" s="210"/>
      <c r="M1023" s="210"/>
      <c r="N1023" s="210"/>
      <c r="O1023" s="210"/>
      <c r="P1023" s="210"/>
      <c r="Q1023" s="210"/>
      <c r="R1023" s="210"/>
      <c r="S1023" s="210"/>
      <c r="T1023" s="210"/>
      <c r="U1023" s="210"/>
      <c r="V1023" s="210"/>
      <c r="W1023" s="210"/>
      <c r="X1023" s="210"/>
      <c r="Y1023" s="210"/>
      <c r="Z1023" s="210"/>
      <c r="AA1023" s="210"/>
      <c r="AB1023" s="210"/>
      <c r="AC1023" s="210"/>
      <c r="AD1023" s="210"/>
      <c r="AE1023" s="210"/>
      <c r="AF1023" s="210"/>
      <c r="AG1023" s="210"/>
      <c r="AH1023" s="210"/>
      <c r="AI1023" s="210"/>
      <c r="AJ1023" s="210"/>
    </row>
    <row r="1024" ht="14.25" customHeight="1">
      <c r="A1024" s="210"/>
      <c r="B1024" s="210"/>
      <c r="C1024" s="210"/>
      <c r="D1024" s="210"/>
      <c r="E1024" s="210"/>
      <c r="F1024" s="210"/>
      <c r="G1024" s="210"/>
      <c r="H1024" s="210"/>
      <c r="I1024" s="210"/>
      <c r="J1024" s="210"/>
      <c r="K1024" s="210"/>
      <c r="L1024" s="210"/>
      <c r="M1024" s="210"/>
      <c r="N1024" s="210"/>
      <c r="O1024" s="210"/>
      <c r="P1024" s="210"/>
      <c r="Q1024" s="210"/>
      <c r="R1024" s="210"/>
      <c r="S1024" s="210"/>
      <c r="T1024" s="210"/>
      <c r="U1024" s="210"/>
      <c r="V1024" s="210"/>
      <c r="W1024" s="210"/>
      <c r="X1024" s="210"/>
      <c r="Y1024" s="210"/>
      <c r="Z1024" s="210"/>
      <c r="AA1024" s="210"/>
      <c r="AB1024" s="210"/>
      <c r="AC1024" s="210"/>
      <c r="AD1024" s="210"/>
      <c r="AE1024" s="210"/>
      <c r="AF1024" s="210"/>
      <c r="AG1024" s="210"/>
      <c r="AH1024" s="210"/>
      <c r="AI1024" s="210"/>
      <c r="AJ1024" s="210"/>
    </row>
    <row r="1025" ht="14.25" customHeight="1">
      <c r="A1025" s="210"/>
      <c r="B1025" s="210"/>
      <c r="C1025" s="210"/>
      <c r="D1025" s="210"/>
      <c r="E1025" s="210"/>
      <c r="F1025" s="210"/>
      <c r="G1025" s="210"/>
      <c r="H1025" s="210"/>
      <c r="I1025" s="210"/>
      <c r="J1025" s="210"/>
      <c r="K1025" s="210"/>
      <c r="L1025" s="210"/>
      <c r="M1025" s="210"/>
      <c r="N1025" s="210"/>
      <c r="O1025" s="210"/>
      <c r="P1025" s="210"/>
      <c r="Q1025" s="210"/>
      <c r="R1025" s="210"/>
      <c r="S1025" s="210"/>
      <c r="T1025" s="210"/>
      <c r="U1025" s="210"/>
      <c r="V1025" s="210"/>
      <c r="W1025" s="210"/>
      <c r="X1025" s="210"/>
      <c r="Y1025" s="210"/>
      <c r="Z1025" s="210"/>
      <c r="AA1025" s="210"/>
      <c r="AB1025" s="210"/>
      <c r="AC1025" s="210"/>
      <c r="AD1025" s="210"/>
      <c r="AE1025" s="210"/>
      <c r="AF1025" s="210"/>
      <c r="AG1025" s="210"/>
      <c r="AH1025" s="210"/>
      <c r="AI1025" s="210"/>
      <c r="AJ1025" s="210"/>
    </row>
    <row r="1026" ht="14.25" customHeight="1">
      <c r="A1026" s="210"/>
      <c r="B1026" s="210"/>
      <c r="C1026" s="210"/>
      <c r="D1026" s="210"/>
      <c r="E1026" s="210"/>
      <c r="F1026" s="210"/>
      <c r="G1026" s="210"/>
      <c r="H1026" s="210"/>
      <c r="I1026" s="210"/>
      <c r="J1026" s="210"/>
      <c r="K1026" s="210"/>
      <c r="L1026" s="210"/>
      <c r="M1026" s="210"/>
      <c r="N1026" s="210"/>
      <c r="O1026" s="210"/>
      <c r="P1026" s="210"/>
      <c r="Q1026" s="210"/>
      <c r="R1026" s="210"/>
      <c r="S1026" s="210"/>
      <c r="T1026" s="210"/>
      <c r="U1026" s="210"/>
      <c r="V1026" s="210"/>
      <c r="W1026" s="210"/>
      <c r="X1026" s="210"/>
      <c r="Y1026" s="210"/>
      <c r="Z1026" s="210"/>
      <c r="AA1026" s="210"/>
      <c r="AB1026" s="210"/>
      <c r="AC1026" s="210"/>
      <c r="AD1026" s="210"/>
      <c r="AE1026" s="210"/>
      <c r="AF1026" s="210"/>
      <c r="AG1026" s="210"/>
      <c r="AH1026" s="210"/>
      <c r="AI1026" s="210"/>
      <c r="AJ1026" s="210"/>
    </row>
    <row r="1027" ht="14.25" customHeight="1">
      <c r="A1027" s="210"/>
      <c r="B1027" s="210"/>
      <c r="C1027" s="210"/>
      <c r="D1027" s="210"/>
      <c r="E1027" s="210"/>
      <c r="F1027" s="210"/>
      <c r="G1027" s="210"/>
      <c r="H1027" s="210"/>
      <c r="I1027" s="210"/>
      <c r="J1027" s="210"/>
      <c r="K1027" s="210"/>
      <c r="L1027" s="210"/>
      <c r="M1027" s="210"/>
      <c r="N1027" s="210"/>
      <c r="O1027" s="210"/>
      <c r="P1027" s="210"/>
      <c r="Q1027" s="210"/>
      <c r="R1027" s="210"/>
      <c r="S1027" s="210"/>
      <c r="T1027" s="210"/>
      <c r="U1027" s="210"/>
      <c r="V1027" s="210"/>
      <c r="W1027" s="210"/>
      <c r="X1027" s="210"/>
      <c r="Y1027" s="210"/>
      <c r="Z1027" s="210"/>
      <c r="AA1027" s="210"/>
      <c r="AB1027" s="210"/>
      <c r="AC1027" s="210"/>
      <c r="AD1027" s="210"/>
      <c r="AE1027" s="210"/>
      <c r="AF1027" s="210"/>
      <c r="AG1027" s="210"/>
      <c r="AH1027" s="210"/>
      <c r="AI1027" s="210"/>
      <c r="AJ1027" s="210"/>
    </row>
    <row r="1028" ht="14.25" customHeight="1">
      <c r="A1028" s="210"/>
      <c r="B1028" s="210"/>
      <c r="C1028" s="210"/>
      <c r="D1028" s="210"/>
      <c r="E1028" s="210"/>
      <c r="F1028" s="210"/>
      <c r="G1028" s="210"/>
      <c r="H1028" s="210"/>
      <c r="I1028" s="210"/>
      <c r="J1028" s="210"/>
      <c r="K1028" s="210"/>
      <c r="L1028" s="210"/>
      <c r="M1028" s="210"/>
      <c r="N1028" s="210"/>
      <c r="O1028" s="210"/>
      <c r="P1028" s="210"/>
      <c r="Q1028" s="210"/>
      <c r="R1028" s="210"/>
      <c r="S1028" s="210"/>
      <c r="T1028" s="210"/>
      <c r="U1028" s="210"/>
      <c r="V1028" s="210"/>
      <c r="W1028" s="210"/>
      <c r="X1028" s="210"/>
      <c r="Y1028" s="210"/>
      <c r="Z1028" s="210"/>
      <c r="AA1028" s="210"/>
      <c r="AB1028" s="210"/>
      <c r="AC1028" s="210"/>
      <c r="AD1028" s="210"/>
      <c r="AE1028" s="210"/>
      <c r="AF1028" s="210"/>
      <c r="AG1028" s="210"/>
      <c r="AH1028" s="210"/>
      <c r="AI1028" s="210"/>
      <c r="AJ1028" s="210"/>
    </row>
    <row r="1029" ht="14.25" customHeight="1">
      <c r="A1029" s="210"/>
      <c r="B1029" s="210"/>
      <c r="C1029" s="210"/>
      <c r="D1029" s="210"/>
      <c r="E1029" s="210"/>
      <c r="F1029" s="210"/>
      <c r="G1029" s="210"/>
      <c r="H1029" s="210"/>
      <c r="I1029" s="210"/>
      <c r="J1029" s="210"/>
      <c r="K1029" s="210"/>
      <c r="L1029" s="210"/>
      <c r="M1029" s="210"/>
      <c r="N1029" s="210"/>
      <c r="O1029" s="210"/>
      <c r="P1029" s="210"/>
      <c r="Q1029" s="210"/>
      <c r="R1029" s="210"/>
      <c r="S1029" s="210"/>
      <c r="T1029" s="210"/>
      <c r="U1029" s="210"/>
      <c r="V1029" s="210"/>
      <c r="W1029" s="210"/>
      <c r="X1029" s="210"/>
      <c r="Y1029" s="210"/>
      <c r="Z1029" s="210"/>
      <c r="AA1029" s="210"/>
      <c r="AB1029" s="210"/>
      <c r="AC1029" s="210"/>
      <c r="AD1029" s="210"/>
      <c r="AE1029" s="210"/>
      <c r="AF1029" s="210"/>
      <c r="AG1029" s="210"/>
      <c r="AH1029" s="210"/>
      <c r="AI1029" s="210"/>
      <c r="AJ1029" s="210"/>
    </row>
    <row r="1030" ht="14.25" customHeight="1">
      <c r="A1030" s="210"/>
      <c r="B1030" s="210"/>
      <c r="C1030" s="210"/>
      <c r="D1030" s="210"/>
      <c r="E1030" s="210"/>
      <c r="F1030" s="210"/>
      <c r="G1030" s="210"/>
      <c r="H1030" s="210"/>
      <c r="I1030" s="210"/>
      <c r="J1030" s="210"/>
      <c r="K1030" s="210"/>
      <c r="L1030" s="210"/>
      <c r="M1030" s="210"/>
      <c r="N1030" s="210"/>
      <c r="O1030" s="210"/>
      <c r="P1030" s="210"/>
      <c r="Q1030" s="210"/>
      <c r="R1030" s="210"/>
      <c r="S1030" s="210"/>
      <c r="T1030" s="210"/>
      <c r="U1030" s="210"/>
      <c r="V1030" s="210"/>
      <c r="W1030" s="210"/>
      <c r="X1030" s="210"/>
      <c r="Y1030" s="210"/>
      <c r="Z1030" s="210"/>
      <c r="AA1030" s="210"/>
      <c r="AB1030" s="210"/>
      <c r="AC1030" s="210"/>
      <c r="AD1030" s="210"/>
      <c r="AE1030" s="210"/>
      <c r="AF1030" s="210"/>
      <c r="AG1030" s="210"/>
      <c r="AH1030" s="210"/>
      <c r="AI1030" s="210"/>
      <c r="AJ1030" s="210"/>
    </row>
    <row r="1031" ht="14.25" customHeight="1">
      <c r="A1031" s="210"/>
      <c r="B1031" s="210"/>
      <c r="C1031" s="210"/>
      <c r="D1031" s="210"/>
      <c r="E1031" s="210"/>
      <c r="F1031" s="210"/>
      <c r="G1031" s="210"/>
      <c r="H1031" s="210"/>
      <c r="I1031" s="210"/>
      <c r="J1031" s="210"/>
      <c r="K1031" s="210"/>
      <c r="L1031" s="210"/>
      <c r="M1031" s="210"/>
      <c r="N1031" s="210"/>
      <c r="O1031" s="210"/>
      <c r="P1031" s="210"/>
      <c r="Q1031" s="210"/>
      <c r="R1031" s="210"/>
      <c r="S1031" s="210"/>
      <c r="T1031" s="210"/>
      <c r="U1031" s="210"/>
      <c r="V1031" s="210"/>
      <c r="W1031" s="210"/>
      <c r="X1031" s="210"/>
      <c r="Y1031" s="210"/>
      <c r="Z1031" s="210"/>
      <c r="AA1031" s="210"/>
      <c r="AB1031" s="210"/>
      <c r="AC1031" s="210"/>
      <c r="AD1031" s="210"/>
      <c r="AE1031" s="210"/>
      <c r="AF1031" s="210"/>
      <c r="AG1031" s="210"/>
      <c r="AH1031" s="210"/>
      <c r="AI1031" s="210"/>
      <c r="AJ1031" s="210"/>
    </row>
    <row r="1032" ht="14.25" customHeight="1">
      <c r="A1032" s="210"/>
      <c r="B1032" s="210"/>
      <c r="C1032" s="210"/>
      <c r="D1032" s="210"/>
      <c r="E1032" s="210"/>
      <c r="F1032" s="210"/>
      <c r="G1032" s="210"/>
      <c r="H1032" s="210"/>
      <c r="I1032" s="210"/>
      <c r="J1032" s="210"/>
      <c r="K1032" s="210"/>
      <c r="L1032" s="210"/>
      <c r="M1032" s="210"/>
      <c r="N1032" s="210"/>
      <c r="O1032" s="210"/>
      <c r="P1032" s="210"/>
      <c r="Q1032" s="210"/>
      <c r="R1032" s="210"/>
      <c r="S1032" s="210"/>
      <c r="T1032" s="210"/>
      <c r="U1032" s="210"/>
      <c r="V1032" s="210"/>
      <c r="W1032" s="210"/>
      <c r="X1032" s="210"/>
      <c r="Y1032" s="210"/>
      <c r="Z1032" s="210"/>
      <c r="AA1032" s="210"/>
      <c r="AB1032" s="210"/>
      <c r="AC1032" s="210"/>
      <c r="AD1032" s="210"/>
      <c r="AE1032" s="210"/>
      <c r="AF1032" s="210"/>
      <c r="AG1032" s="210"/>
      <c r="AH1032" s="210"/>
      <c r="AI1032" s="210"/>
      <c r="AJ1032" s="210"/>
    </row>
    <row r="1033" ht="14.25" customHeight="1">
      <c r="A1033" s="210"/>
      <c r="B1033" s="210"/>
      <c r="C1033" s="210"/>
      <c r="D1033" s="210"/>
      <c r="E1033" s="210"/>
      <c r="F1033" s="210"/>
      <c r="G1033" s="210"/>
      <c r="H1033" s="210"/>
      <c r="I1033" s="210"/>
      <c r="J1033" s="210"/>
      <c r="K1033" s="210"/>
      <c r="L1033" s="210"/>
      <c r="M1033" s="210"/>
      <c r="N1033" s="210"/>
      <c r="O1033" s="210"/>
      <c r="P1033" s="210"/>
      <c r="Q1033" s="210"/>
      <c r="R1033" s="210"/>
      <c r="S1033" s="210"/>
      <c r="T1033" s="210"/>
      <c r="U1033" s="210"/>
      <c r="V1033" s="210"/>
      <c r="W1033" s="210"/>
      <c r="X1033" s="210"/>
      <c r="Y1033" s="210"/>
      <c r="Z1033" s="210"/>
      <c r="AA1033" s="210"/>
      <c r="AB1033" s="210"/>
      <c r="AC1033" s="210"/>
      <c r="AD1033" s="210"/>
      <c r="AE1033" s="210"/>
      <c r="AF1033" s="210"/>
      <c r="AG1033" s="210"/>
      <c r="AH1033" s="210"/>
      <c r="AI1033" s="210"/>
      <c r="AJ1033" s="210"/>
    </row>
    <row r="1034" ht="14.25" customHeight="1">
      <c r="A1034" s="210"/>
      <c r="B1034" s="210"/>
      <c r="C1034" s="210"/>
      <c r="D1034" s="210"/>
      <c r="E1034" s="210"/>
      <c r="F1034" s="210"/>
      <c r="G1034" s="210"/>
      <c r="H1034" s="210"/>
      <c r="I1034" s="210"/>
      <c r="J1034" s="210"/>
      <c r="K1034" s="210"/>
      <c r="L1034" s="210"/>
      <c r="M1034" s="210"/>
      <c r="N1034" s="210"/>
      <c r="O1034" s="210"/>
      <c r="P1034" s="210"/>
      <c r="Q1034" s="210"/>
      <c r="R1034" s="210"/>
      <c r="S1034" s="210"/>
      <c r="T1034" s="210"/>
      <c r="U1034" s="210"/>
      <c r="V1034" s="210"/>
      <c r="W1034" s="210"/>
      <c r="X1034" s="210"/>
      <c r="Y1034" s="210"/>
      <c r="Z1034" s="210"/>
      <c r="AA1034" s="210"/>
      <c r="AB1034" s="210"/>
      <c r="AC1034" s="210"/>
      <c r="AD1034" s="210"/>
      <c r="AE1034" s="210"/>
      <c r="AF1034" s="210"/>
      <c r="AG1034" s="210"/>
      <c r="AH1034" s="210"/>
      <c r="AI1034" s="210"/>
      <c r="AJ1034" s="210"/>
    </row>
    <row r="1035" ht="14.25" customHeight="1">
      <c r="A1035" s="210"/>
      <c r="B1035" s="210"/>
      <c r="C1035" s="210"/>
      <c r="D1035" s="210"/>
      <c r="E1035" s="210"/>
      <c r="F1035" s="210"/>
      <c r="G1035" s="210"/>
      <c r="H1035" s="210"/>
      <c r="I1035" s="210"/>
      <c r="J1035" s="210"/>
      <c r="K1035" s="210"/>
      <c r="L1035" s="210"/>
      <c r="M1035" s="210"/>
      <c r="N1035" s="210"/>
      <c r="O1035" s="210"/>
      <c r="P1035" s="210"/>
      <c r="Q1035" s="210"/>
      <c r="R1035" s="210"/>
      <c r="S1035" s="210"/>
      <c r="T1035" s="210"/>
      <c r="U1035" s="210"/>
      <c r="V1035" s="210"/>
      <c r="W1035" s="210"/>
      <c r="X1035" s="210"/>
      <c r="Y1035" s="210"/>
      <c r="Z1035" s="210"/>
      <c r="AA1035" s="210"/>
      <c r="AB1035" s="210"/>
      <c r="AC1035" s="210"/>
      <c r="AD1035" s="210"/>
      <c r="AE1035" s="210"/>
      <c r="AF1035" s="210"/>
      <c r="AG1035" s="210"/>
      <c r="AH1035" s="210"/>
      <c r="AI1035" s="210"/>
      <c r="AJ1035" s="210"/>
    </row>
    <row r="1036" ht="14.25" customHeight="1">
      <c r="A1036" s="210"/>
      <c r="B1036" s="210"/>
      <c r="C1036" s="210"/>
      <c r="D1036" s="210"/>
      <c r="E1036" s="210"/>
      <c r="F1036" s="210"/>
      <c r="G1036" s="210"/>
      <c r="H1036" s="210"/>
      <c r="I1036" s="210"/>
      <c r="J1036" s="210"/>
      <c r="K1036" s="210"/>
      <c r="L1036" s="210"/>
      <c r="M1036" s="210"/>
      <c r="N1036" s="210"/>
      <c r="O1036" s="210"/>
      <c r="P1036" s="210"/>
      <c r="Q1036" s="210"/>
      <c r="R1036" s="210"/>
      <c r="S1036" s="210"/>
      <c r="T1036" s="210"/>
      <c r="U1036" s="210"/>
      <c r="V1036" s="210"/>
      <c r="W1036" s="210"/>
      <c r="X1036" s="210"/>
      <c r="Y1036" s="210"/>
      <c r="Z1036" s="210"/>
      <c r="AA1036" s="210"/>
      <c r="AB1036" s="210"/>
      <c r="AC1036" s="210"/>
      <c r="AD1036" s="210"/>
      <c r="AE1036" s="210"/>
      <c r="AF1036" s="210"/>
      <c r="AG1036" s="210"/>
      <c r="AH1036" s="210"/>
      <c r="AI1036" s="210"/>
      <c r="AJ1036" s="210"/>
    </row>
    <row r="1037" ht="14.25" customHeight="1">
      <c r="A1037" s="210"/>
      <c r="B1037" s="210"/>
      <c r="C1037" s="210"/>
      <c r="D1037" s="210"/>
      <c r="E1037" s="210"/>
      <c r="F1037" s="210"/>
      <c r="G1037" s="210"/>
      <c r="H1037" s="210"/>
      <c r="I1037" s="210"/>
      <c r="J1037" s="210"/>
      <c r="K1037" s="210"/>
      <c r="L1037" s="210"/>
      <c r="M1037" s="210"/>
      <c r="N1037" s="210"/>
      <c r="O1037" s="210"/>
      <c r="P1037" s="210"/>
      <c r="Q1037" s="210"/>
      <c r="R1037" s="210"/>
      <c r="S1037" s="210"/>
      <c r="T1037" s="210"/>
      <c r="U1037" s="210"/>
      <c r="V1037" s="210"/>
      <c r="W1037" s="210"/>
      <c r="X1037" s="210"/>
      <c r="Y1037" s="210"/>
      <c r="Z1037" s="210"/>
      <c r="AA1037" s="210"/>
      <c r="AB1037" s="210"/>
      <c r="AC1037" s="210"/>
      <c r="AD1037" s="210"/>
      <c r="AE1037" s="210"/>
      <c r="AF1037" s="210"/>
      <c r="AG1037" s="210"/>
      <c r="AH1037" s="210"/>
      <c r="AI1037" s="210"/>
      <c r="AJ1037" s="210"/>
    </row>
    <row r="1038" ht="14.25" customHeight="1">
      <c r="A1038" s="210"/>
      <c r="B1038" s="210"/>
      <c r="C1038" s="210"/>
      <c r="D1038" s="210"/>
      <c r="E1038" s="210"/>
      <c r="F1038" s="210"/>
      <c r="G1038" s="210"/>
      <c r="H1038" s="210"/>
      <c r="I1038" s="210"/>
      <c r="J1038" s="210"/>
      <c r="K1038" s="210"/>
      <c r="L1038" s="210"/>
      <c r="M1038" s="210"/>
      <c r="N1038" s="210"/>
      <c r="O1038" s="210"/>
      <c r="P1038" s="210"/>
      <c r="Q1038" s="210"/>
      <c r="R1038" s="210"/>
      <c r="S1038" s="210"/>
      <c r="T1038" s="210"/>
      <c r="U1038" s="210"/>
      <c r="V1038" s="210"/>
      <c r="W1038" s="210"/>
      <c r="X1038" s="210"/>
      <c r="Y1038" s="210"/>
      <c r="Z1038" s="210"/>
      <c r="AA1038" s="210"/>
      <c r="AB1038" s="210"/>
      <c r="AC1038" s="210"/>
      <c r="AD1038" s="210"/>
      <c r="AE1038" s="210"/>
      <c r="AF1038" s="210"/>
      <c r="AG1038" s="210"/>
      <c r="AH1038" s="210"/>
      <c r="AI1038" s="210"/>
      <c r="AJ1038" s="210"/>
    </row>
    <row r="1039" ht="14.25" customHeight="1">
      <c r="A1039" s="210"/>
      <c r="B1039" s="210"/>
      <c r="C1039" s="210"/>
      <c r="D1039" s="210"/>
      <c r="E1039" s="210"/>
      <c r="F1039" s="210"/>
      <c r="G1039" s="210"/>
      <c r="H1039" s="210"/>
      <c r="I1039" s="210"/>
      <c r="J1039" s="210"/>
      <c r="K1039" s="210"/>
      <c r="L1039" s="210"/>
      <c r="M1039" s="210"/>
      <c r="N1039" s="210"/>
      <c r="O1039" s="210"/>
      <c r="P1039" s="210"/>
      <c r="Q1039" s="210"/>
      <c r="R1039" s="210"/>
      <c r="S1039" s="210"/>
      <c r="T1039" s="210"/>
      <c r="U1039" s="210"/>
      <c r="V1039" s="210"/>
      <c r="W1039" s="210"/>
      <c r="X1039" s="210"/>
      <c r="Y1039" s="210"/>
      <c r="Z1039" s="210"/>
      <c r="AA1039" s="210"/>
      <c r="AB1039" s="210"/>
      <c r="AC1039" s="210"/>
      <c r="AD1039" s="210"/>
      <c r="AE1039" s="210"/>
      <c r="AF1039" s="210"/>
      <c r="AG1039" s="210"/>
      <c r="AH1039" s="210"/>
      <c r="AI1039" s="210"/>
      <c r="AJ1039" s="210"/>
    </row>
    <row r="1040" ht="14.25" customHeight="1">
      <c r="A1040" s="210"/>
      <c r="B1040" s="210"/>
      <c r="C1040" s="210"/>
      <c r="D1040" s="210"/>
      <c r="E1040" s="210"/>
      <c r="F1040" s="210"/>
      <c r="G1040" s="210"/>
      <c r="H1040" s="210"/>
      <c r="I1040" s="210"/>
      <c r="J1040" s="210"/>
      <c r="K1040" s="210"/>
      <c r="L1040" s="210"/>
      <c r="M1040" s="210"/>
      <c r="N1040" s="210"/>
      <c r="O1040" s="210"/>
      <c r="P1040" s="210"/>
      <c r="Q1040" s="210"/>
      <c r="R1040" s="210"/>
      <c r="S1040" s="210"/>
      <c r="T1040" s="210"/>
      <c r="U1040" s="210"/>
      <c r="V1040" s="210"/>
      <c r="W1040" s="210"/>
      <c r="X1040" s="210"/>
      <c r="Y1040" s="210"/>
      <c r="Z1040" s="210"/>
      <c r="AA1040" s="210"/>
      <c r="AB1040" s="210"/>
      <c r="AC1040" s="210"/>
      <c r="AD1040" s="210"/>
      <c r="AE1040" s="210"/>
      <c r="AF1040" s="210"/>
      <c r="AG1040" s="210"/>
      <c r="AH1040" s="210"/>
      <c r="AI1040" s="210"/>
      <c r="AJ1040" s="210"/>
    </row>
    <row r="1041" ht="14.25" customHeight="1">
      <c r="A1041" s="210"/>
      <c r="B1041" s="210"/>
      <c r="C1041" s="210"/>
      <c r="D1041" s="210"/>
      <c r="E1041" s="210"/>
      <c r="F1041" s="210"/>
      <c r="G1041" s="210"/>
      <c r="H1041" s="210"/>
      <c r="I1041" s="210"/>
      <c r="J1041" s="210"/>
      <c r="K1041" s="210"/>
      <c r="L1041" s="210"/>
      <c r="M1041" s="210"/>
      <c r="N1041" s="210"/>
      <c r="O1041" s="210"/>
      <c r="P1041" s="210"/>
      <c r="Q1041" s="210"/>
      <c r="R1041" s="210"/>
      <c r="S1041" s="210"/>
      <c r="T1041" s="210"/>
      <c r="U1041" s="210"/>
      <c r="V1041" s="210"/>
      <c r="W1041" s="210"/>
      <c r="X1041" s="210"/>
      <c r="Y1041" s="210"/>
      <c r="Z1041" s="210"/>
      <c r="AA1041" s="210"/>
      <c r="AB1041" s="210"/>
      <c r="AC1041" s="210"/>
      <c r="AD1041" s="210"/>
      <c r="AE1041" s="210"/>
      <c r="AF1041" s="210"/>
      <c r="AG1041" s="210"/>
      <c r="AH1041" s="210"/>
      <c r="AI1041" s="210"/>
      <c r="AJ1041" s="210"/>
    </row>
    <row r="1042" ht="14.25" customHeight="1">
      <c r="A1042" s="210"/>
      <c r="B1042" s="210"/>
      <c r="C1042" s="210"/>
      <c r="D1042" s="210"/>
      <c r="E1042" s="210"/>
      <c r="F1042" s="210"/>
      <c r="G1042" s="210"/>
      <c r="H1042" s="210"/>
      <c r="I1042" s="210"/>
      <c r="J1042" s="210"/>
      <c r="K1042" s="210"/>
      <c r="L1042" s="210"/>
      <c r="M1042" s="210"/>
      <c r="N1042" s="210"/>
      <c r="O1042" s="210"/>
      <c r="P1042" s="210"/>
      <c r="Q1042" s="210"/>
      <c r="R1042" s="210"/>
      <c r="S1042" s="210"/>
      <c r="T1042" s="210"/>
      <c r="U1042" s="210"/>
      <c r="V1042" s="210"/>
      <c r="W1042" s="210"/>
      <c r="X1042" s="210"/>
      <c r="Y1042" s="210"/>
      <c r="Z1042" s="210"/>
      <c r="AA1042" s="210"/>
      <c r="AB1042" s="210"/>
      <c r="AC1042" s="210"/>
      <c r="AD1042" s="210"/>
      <c r="AE1042" s="210"/>
      <c r="AF1042" s="210"/>
      <c r="AG1042" s="210"/>
      <c r="AH1042" s="210"/>
      <c r="AI1042" s="210"/>
      <c r="AJ1042" s="210"/>
    </row>
    <row r="1043" ht="14.25" customHeight="1">
      <c r="A1043" s="210"/>
      <c r="B1043" s="210"/>
      <c r="C1043" s="210"/>
      <c r="D1043" s="210"/>
      <c r="E1043" s="210"/>
      <c r="F1043" s="210"/>
      <c r="G1043" s="210"/>
      <c r="H1043" s="210"/>
      <c r="I1043" s="210"/>
      <c r="J1043" s="210"/>
      <c r="K1043" s="210"/>
      <c r="L1043" s="210"/>
      <c r="M1043" s="210"/>
      <c r="N1043" s="210"/>
      <c r="O1043" s="210"/>
      <c r="P1043" s="210"/>
      <c r="Q1043" s="210"/>
      <c r="R1043" s="210"/>
      <c r="S1043" s="210"/>
      <c r="T1043" s="210"/>
      <c r="U1043" s="210"/>
      <c r="V1043" s="210"/>
      <c r="W1043" s="210"/>
      <c r="X1043" s="210"/>
      <c r="Y1043" s="210"/>
      <c r="Z1043" s="210"/>
      <c r="AA1043" s="210"/>
      <c r="AB1043" s="210"/>
      <c r="AC1043" s="210"/>
      <c r="AD1043" s="210"/>
      <c r="AE1043" s="210"/>
      <c r="AF1043" s="210"/>
      <c r="AG1043" s="210"/>
      <c r="AH1043" s="210"/>
      <c r="AI1043" s="210"/>
      <c r="AJ1043" s="210"/>
    </row>
    <row r="1044" ht="14.25" customHeight="1">
      <c r="A1044" s="210"/>
      <c r="B1044" s="210"/>
      <c r="C1044" s="210"/>
      <c r="D1044" s="210"/>
      <c r="E1044" s="210"/>
      <c r="F1044" s="210"/>
      <c r="G1044" s="210"/>
      <c r="H1044" s="210"/>
      <c r="I1044" s="210"/>
      <c r="J1044" s="210"/>
      <c r="K1044" s="210"/>
      <c r="L1044" s="210"/>
      <c r="M1044" s="210"/>
      <c r="N1044" s="210"/>
      <c r="O1044" s="210"/>
      <c r="P1044" s="210"/>
      <c r="Q1044" s="210"/>
      <c r="R1044" s="210"/>
      <c r="S1044" s="210"/>
      <c r="T1044" s="210"/>
      <c r="U1044" s="210"/>
      <c r="V1044" s="210"/>
      <c r="W1044" s="210"/>
      <c r="X1044" s="210"/>
      <c r="Y1044" s="210"/>
      <c r="Z1044" s="210"/>
      <c r="AA1044" s="210"/>
      <c r="AB1044" s="210"/>
      <c r="AC1044" s="210"/>
      <c r="AD1044" s="210"/>
      <c r="AE1044" s="210"/>
      <c r="AF1044" s="210"/>
      <c r="AG1044" s="210"/>
      <c r="AH1044" s="210"/>
      <c r="AI1044" s="210"/>
      <c r="AJ1044" s="210"/>
    </row>
    <row r="1045" ht="14.25" customHeight="1">
      <c r="A1045" s="210"/>
      <c r="B1045" s="210"/>
      <c r="C1045" s="210"/>
      <c r="D1045" s="210"/>
      <c r="E1045" s="210"/>
      <c r="F1045" s="210"/>
      <c r="G1045" s="210"/>
      <c r="H1045" s="210"/>
      <c r="I1045" s="210"/>
      <c r="J1045" s="210"/>
      <c r="K1045" s="210"/>
      <c r="L1045" s="210"/>
      <c r="M1045" s="210"/>
      <c r="N1045" s="210"/>
      <c r="O1045" s="210"/>
      <c r="P1045" s="210"/>
      <c r="Q1045" s="210"/>
      <c r="R1045" s="210"/>
      <c r="S1045" s="210"/>
      <c r="T1045" s="210"/>
      <c r="U1045" s="210"/>
      <c r="V1045" s="210"/>
      <c r="W1045" s="210"/>
      <c r="X1045" s="210"/>
      <c r="Y1045" s="210"/>
      <c r="Z1045" s="210"/>
      <c r="AA1045" s="210"/>
      <c r="AB1045" s="210"/>
      <c r="AC1045" s="210"/>
      <c r="AD1045" s="210"/>
      <c r="AE1045" s="210"/>
      <c r="AF1045" s="210"/>
      <c r="AG1045" s="210"/>
      <c r="AH1045" s="210"/>
      <c r="AI1045" s="210"/>
      <c r="AJ1045" s="210"/>
    </row>
    <row r="1046" ht="14.25" customHeight="1">
      <c r="A1046" s="210"/>
      <c r="B1046" s="210"/>
      <c r="C1046" s="210"/>
      <c r="D1046" s="210"/>
      <c r="E1046" s="210"/>
      <c r="F1046" s="210"/>
      <c r="G1046" s="210"/>
      <c r="H1046" s="210"/>
      <c r="I1046" s="210"/>
      <c r="J1046" s="210"/>
      <c r="K1046" s="210"/>
      <c r="L1046" s="210"/>
      <c r="M1046" s="210"/>
      <c r="N1046" s="210"/>
      <c r="O1046" s="210"/>
      <c r="P1046" s="210"/>
      <c r="Q1046" s="210"/>
      <c r="R1046" s="210"/>
      <c r="S1046" s="210"/>
      <c r="T1046" s="210"/>
      <c r="U1046" s="210"/>
      <c r="V1046" s="210"/>
      <c r="W1046" s="210"/>
      <c r="X1046" s="210"/>
      <c r="Y1046" s="210"/>
      <c r="Z1046" s="210"/>
      <c r="AA1046" s="210"/>
      <c r="AB1046" s="210"/>
      <c r="AC1046" s="210"/>
      <c r="AD1046" s="210"/>
      <c r="AE1046" s="210"/>
      <c r="AF1046" s="210"/>
      <c r="AG1046" s="210"/>
      <c r="AH1046" s="210"/>
      <c r="AI1046" s="210"/>
      <c r="AJ1046" s="210"/>
    </row>
    <row r="1047" ht="14.25" customHeight="1">
      <c r="A1047" s="210"/>
      <c r="B1047" s="210"/>
      <c r="C1047" s="210"/>
      <c r="D1047" s="210"/>
      <c r="E1047" s="210"/>
      <c r="F1047" s="210"/>
      <c r="G1047" s="210"/>
      <c r="H1047" s="210"/>
      <c r="I1047" s="210"/>
      <c r="J1047" s="210"/>
      <c r="K1047" s="210"/>
      <c r="L1047" s="210"/>
      <c r="M1047" s="210"/>
      <c r="N1047" s="210"/>
      <c r="O1047" s="210"/>
      <c r="P1047" s="210"/>
      <c r="Q1047" s="210"/>
      <c r="R1047" s="210"/>
      <c r="S1047" s="210"/>
      <c r="T1047" s="210"/>
      <c r="U1047" s="210"/>
      <c r="V1047" s="210"/>
      <c r="W1047" s="210"/>
      <c r="X1047" s="210"/>
      <c r="Y1047" s="210"/>
      <c r="Z1047" s="210"/>
      <c r="AA1047" s="210"/>
      <c r="AB1047" s="210"/>
      <c r="AC1047" s="210"/>
      <c r="AD1047" s="210"/>
      <c r="AE1047" s="210"/>
      <c r="AF1047" s="210"/>
      <c r="AG1047" s="210"/>
      <c r="AH1047" s="210"/>
      <c r="AI1047" s="210"/>
      <c r="AJ1047" s="210"/>
    </row>
    <row r="1048" ht="14.25" customHeight="1">
      <c r="A1048" s="210"/>
      <c r="B1048" s="210"/>
      <c r="C1048" s="210"/>
      <c r="D1048" s="210"/>
      <c r="E1048" s="210"/>
      <c r="F1048" s="210"/>
      <c r="G1048" s="210"/>
      <c r="H1048" s="210"/>
      <c r="I1048" s="210"/>
      <c r="J1048" s="210"/>
      <c r="K1048" s="210"/>
      <c r="L1048" s="210"/>
      <c r="M1048" s="210"/>
      <c r="N1048" s="210"/>
      <c r="O1048" s="210"/>
      <c r="P1048" s="210"/>
      <c r="Q1048" s="210"/>
      <c r="R1048" s="210"/>
      <c r="S1048" s="210"/>
      <c r="T1048" s="210"/>
      <c r="U1048" s="210"/>
      <c r="V1048" s="210"/>
      <c r="W1048" s="210"/>
      <c r="X1048" s="210"/>
      <c r="Y1048" s="210"/>
      <c r="Z1048" s="210"/>
      <c r="AA1048" s="210"/>
      <c r="AB1048" s="210"/>
      <c r="AC1048" s="210"/>
      <c r="AD1048" s="210"/>
      <c r="AE1048" s="210"/>
      <c r="AF1048" s="210"/>
      <c r="AG1048" s="210"/>
      <c r="AH1048" s="210"/>
      <c r="AI1048" s="210"/>
      <c r="AJ1048" s="210"/>
    </row>
    <row r="1049" ht="14.25" customHeight="1">
      <c r="A1049" s="210"/>
      <c r="B1049" s="210"/>
      <c r="C1049" s="210"/>
      <c r="D1049" s="210"/>
      <c r="E1049" s="210"/>
      <c r="F1049" s="210"/>
      <c r="G1049" s="210"/>
      <c r="H1049" s="210"/>
      <c r="I1049" s="210"/>
      <c r="J1049" s="210"/>
      <c r="K1049" s="210"/>
      <c r="L1049" s="210"/>
      <c r="M1049" s="210"/>
      <c r="N1049" s="210"/>
      <c r="O1049" s="210"/>
      <c r="P1049" s="210"/>
      <c r="Q1049" s="210"/>
      <c r="R1049" s="210"/>
      <c r="S1049" s="210"/>
      <c r="T1049" s="210"/>
      <c r="U1049" s="210"/>
      <c r="V1049" s="210"/>
      <c r="W1049" s="210"/>
      <c r="X1049" s="210"/>
      <c r="Y1049" s="210"/>
      <c r="Z1049" s="210"/>
      <c r="AA1049" s="210"/>
      <c r="AB1049" s="210"/>
      <c r="AC1049" s="210"/>
      <c r="AD1049" s="210"/>
      <c r="AE1049" s="210"/>
      <c r="AF1049" s="210"/>
      <c r="AG1049" s="210"/>
      <c r="AH1049" s="210"/>
      <c r="AI1049" s="210"/>
      <c r="AJ1049" s="210"/>
    </row>
    <row r="1050" ht="14.25" customHeight="1">
      <c r="A1050" s="210"/>
      <c r="B1050" s="210"/>
      <c r="C1050" s="210"/>
      <c r="D1050" s="210"/>
      <c r="E1050" s="210"/>
      <c r="F1050" s="210"/>
      <c r="G1050" s="210"/>
      <c r="H1050" s="210"/>
      <c r="I1050" s="210"/>
      <c r="J1050" s="210"/>
      <c r="K1050" s="210"/>
      <c r="L1050" s="210"/>
      <c r="M1050" s="210"/>
      <c r="N1050" s="210"/>
      <c r="O1050" s="210"/>
      <c r="P1050" s="210"/>
      <c r="Q1050" s="210"/>
      <c r="R1050" s="210"/>
      <c r="S1050" s="210"/>
      <c r="T1050" s="210"/>
      <c r="U1050" s="210"/>
      <c r="V1050" s="210"/>
      <c r="W1050" s="210"/>
      <c r="X1050" s="210"/>
      <c r="Y1050" s="210"/>
      <c r="Z1050" s="210"/>
      <c r="AA1050" s="210"/>
      <c r="AB1050" s="210"/>
      <c r="AC1050" s="210"/>
      <c r="AD1050" s="210"/>
      <c r="AE1050" s="210"/>
      <c r="AF1050" s="210"/>
      <c r="AG1050" s="210"/>
      <c r="AH1050" s="210"/>
      <c r="AI1050" s="210"/>
      <c r="AJ1050" s="210"/>
    </row>
    <row r="1051" ht="14.25" customHeight="1">
      <c r="A1051" s="210"/>
      <c r="B1051" s="210"/>
      <c r="C1051" s="210"/>
      <c r="D1051" s="210"/>
      <c r="E1051" s="210"/>
      <c r="F1051" s="210"/>
      <c r="G1051" s="210"/>
      <c r="H1051" s="210"/>
      <c r="I1051" s="210"/>
      <c r="J1051" s="210"/>
      <c r="K1051" s="210"/>
      <c r="L1051" s="210"/>
      <c r="M1051" s="210"/>
      <c r="N1051" s="210"/>
      <c r="O1051" s="210"/>
      <c r="P1051" s="210"/>
      <c r="Q1051" s="210"/>
      <c r="R1051" s="210"/>
      <c r="S1051" s="210"/>
      <c r="T1051" s="210"/>
      <c r="U1051" s="210"/>
      <c r="V1051" s="210"/>
      <c r="W1051" s="210"/>
      <c r="X1051" s="210"/>
      <c r="Y1051" s="210"/>
      <c r="Z1051" s="210"/>
      <c r="AA1051" s="210"/>
      <c r="AB1051" s="210"/>
      <c r="AC1051" s="210"/>
      <c r="AD1051" s="210"/>
      <c r="AE1051" s="210"/>
      <c r="AF1051" s="210"/>
      <c r="AG1051" s="210"/>
      <c r="AH1051" s="210"/>
      <c r="AI1051" s="210"/>
      <c r="AJ1051" s="210"/>
    </row>
    <row r="1052" ht="14.25" customHeight="1">
      <c r="A1052" s="210"/>
      <c r="B1052" s="210"/>
      <c r="C1052" s="210"/>
      <c r="D1052" s="210"/>
      <c r="E1052" s="210"/>
      <c r="F1052" s="210"/>
      <c r="G1052" s="210"/>
      <c r="H1052" s="210"/>
      <c r="I1052" s="210"/>
      <c r="J1052" s="210"/>
      <c r="K1052" s="210"/>
      <c r="L1052" s="210"/>
      <c r="M1052" s="210"/>
      <c r="N1052" s="210"/>
      <c r="O1052" s="210"/>
      <c r="P1052" s="210"/>
      <c r="Q1052" s="210"/>
      <c r="R1052" s="210"/>
      <c r="S1052" s="210"/>
      <c r="T1052" s="210"/>
      <c r="U1052" s="210"/>
      <c r="V1052" s="210"/>
      <c r="W1052" s="210"/>
      <c r="X1052" s="210"/>
      <c r="Y1052" s="210"/>
      <c r="Z1052" s="210"/>
      <c r="AA1052" s="210"/>
      <c r="AB1052" s="210"/>
      <c r="AC1052" s="210"/>
      <c r="AD1052" s="210"/>
      <c r="AE1052" s="210"/>
      <c r="AF1052" s="210"/>
      <c r="AG1052" s="210"/>
      <c r="AH1052" s="210"/>
      <c r="AI1052" s="210"/>
      <c r="AJ1052" s="210"/>
    </row>
    <row r="1053" ht="14.25" customHeight="1">
      <c r="A1053" s="210"/>
      <c r="B1053" s="210"/>
      <c r="C1053" s="210"/>
      <c r="D1053" s="210"/>
      <c r="E1053" s="210"/>
      <c r="F1053" s="210"/>
      <c r="G1053" s="210"/>
      <c r="H1053" s="210"/>
      <c r="I1053" s="210"/>
      <c r="J1053" s="210"/>
      <c r="K1053" s="210"/>
      <c r="L1053" s="210"/>
      <c r="M1053" s="210"/>
      <c r="N1053" s="210"/>
      <c r="O1053" s="210"/>
      <c r="P1053" s="210"/>
      <c r="Q1053" s="210"/>
      <c r="R1053" s="210"/>
      <c r="S1053" s="210"/>
      <c r="T1053" s="210"/>
      <c r="U1053" s="210"/>
      <c r="V1053" s="210"/>
      <c r="W1053" s="210"/>
      <c r="X1053" s="210"/>
      <c r="Y1053" s="210"/>
      <c r="Z1053" s="210"/>
      <c r="AA1053" s="210"/>
      <c r="AB1053" s="210"/>
      <c r="AC1053" s="210"/>
      <c r="AD1053" s="210"/>
      <c r="AE1053" s="210"/>
      <c r="AF1053" s="210"/>
      <c r="AG1053" s="210"/>
      <c r="AH1053" s="210"/>
      <c r="AI1053" s="210"/>
      <c r="AJ1053" s="210"/>
    </row>
    <row r="1054" ht="14.25" customHeight="1">
      <c r="A1054" s="210"/>
      <c r="B1054" s="210"/>
      <c r="C1054" s="210"/>
      <c r="D1054" s="210"/>
      <c r="E1054" s="210"/>
      <c r="F1054" s="210"/>
      <c r="G1054" s="210"/>
      <c r="H1054" s="210"/>
      <c r="I1054" s="210"/>
      <c r="J1054" s="210"/>
      <c r="K1054" s="210"/>
      <c r="L1054" s="210"/>
      <c r="M1054" s="210"/>
      <c r="N1054" s="210"/>
      <c r="O1054" s="210"/>
      <c r="P1054" s="210"/>
      <c r="Q1054" s="210"/>
      <c r="R1054" s="210"/>
      <c r="S1054" s="210"/>
      <c r="T1054" s="210"/>
      <c r="U1054" s="210"/>
      <c r="V1054" s="210"/>
      <c r="W1054" s="210"/>
      <c r="X1054" s="210"/>
      <c r="Y1054" s="210"/>
      <c r="Z1054" s="210"/>
      <c r="AA1054" s="210"/>
      <c r="AB1054" s="210"/>
      <c r="AC1054" s="210"/>
      <c r="AD1054" s="210"/>
      <c r="AE1054" s="210"/>
      <c r="AF1054" s="210"/>
      <c r="AG1054" s="210"/>
      <c r="AH1054" s="210"/>
      <c r="AI1054" s="210"/>
      <c r="AJ1054" s="210"/>
    </row>
    <row r="1055" ht="14.25" customHeight="1">
      <c r="A1055" s="210"/>
      <c r="B1055" s="210"/>
      <c r="C1055" s="210"/>
      <c r="D1055" s="210"/>
      <c r="E1055" s="210"/>
      <c r="F1055" s="210"/>
      <c r="G1055" s="210"/>
      <c r="H1055" s="210"/>
      <c r="I1055" s="210"/>
      <c r="J1055" s="210"/>
      <c r="K1055" s="210"/>
      <c r="L1055" s="210"/>
      <c r="M1055" s="210"/>
      <c r="N1055" s="210"/>
      <c r="O1055" s="210"/>
      <c r="P1055" s="210"/>
      <c r="Q1055" s="210"/>
      <c r="R1055" s="210"/>
      <c r="S1055" s="210"/>
      <c r="T1055" s="210"/>
      <c r="U1055" s="210"/>
      <c r="V1055" s="210"/>
      <c r="W1055" s="210"/>
      <c r="X1055" s="210"/>
      <c r="Y1055" s="210"/>
      <c r="Z1055" s="210"/>
      <c r="AA1055" s="210"/>
      <c r="AB1055" s="210"/>
      <c r="AC1055" s="210"/>
      <c r="AD1055" s="210"/>
      <c r="AE1055" s="210"/>
      <c r="AF1055" s="210"/>
      <c r="AG1055" s="210"/>
      <c r="AH1055" s="210"/>
      <c r="AI1055" s="210"/>
      <c r="AJ1055" s="210"/>
    </row>
    <row r="1056" ht="14.25" customHeight="1">
      <c r="A1056" s="210"/>
      <c r="B1056" s="210"/>
      <c r="C1056" s="210"/>
      <c r="D1056" s="210"/>
      <c r="E1056" s="210"/>
      <c r="F1056" s="210"/>
      <c r="G1056" s="210"/>
      <c r="H1056" s="210"/>
      <c r="I1056" s="210"/>
      <c r="J1056" s="210"/>
      <c r="K1056" s="210"/>
      <c r="L1056" s="210"/>
      <c r="M1056" s="210"/>
      <c r="N1056" s="210"/>
      <c r="O1056" s="210"/>
      <c r="P1056" s="210"/>
      <c r="Q1056" s="210"/>
      <c r="R1056" s="210"/>
      <c r="S1056" s="210"/>
      <c r="T1056" s="210"/>
      <c r="U1056" s="210"/>
      <c r="V1056" s="210"/>
      <c r="W1056" s="210"/>
      <c r="X1056" s="210"/>
      <c r="Y1056" s="210"/>
      <c r="Z1056" s="210"/>
      <c r="AA1056" s="210"/>
      <c r="AB1056" s="210"/>
      <c r="AC1056" s="210"/>
      <c r="AD1056" s="210"/>
      <c r="AE1056" s="210"/>
      <c r="AF1056" s="210"/>
      <c r="AG1056" s="210"/>
      <c r="AH1056" s="210"/>
      <c r="AI1056" s="210"/>
      <c r="AJ1056" s="210"/>
    </row>
    <row r="1057" ht="14.25" customHeight="1">
      <c r="A1057" s="210"/>
      <c r="B1057" s="210"/>
      <c r="C1057" s="210"/>
      <c r="D1057" s="210"/>
      <c r="E1057" s="210"/>
      <c r="F1057" s="210"/>
      <c r="G1057" s="210"/>
      <c r="H1057" s="210"/>
      <c r="I1057" s="210"/>
      <c r="J1057" s="210"/>
      <c r="K1057" s="210"/>
      <c r="L1057" s="210"/>
      <c r="M1057" s="210"/>
      <c r="N1057" s="210"/>
      <c r="O1057" s="210"/>
      <c r="P1057" s="210"/>
      <c r="Q1057" s="210"/>
      <c r="R1057" s="210"/>
      <c r="S1057" s="210"/>
      <c r="T1057" s="210"/>
      <c r="U1057" s="210"/>
      <c r="V1057" s="210"/>
      <c r="W1057" s="210"/>
      <c r="X1057" s="210"/>
      <c r="Y1057" s="210"/>
      <c r="Z1057" s="210"/>
      <c r="AA1057" s="210"/>
      <c r="AB1057" s="210"/>
      <c r="AC1057" s="210"/>
      <c r="AD1057" s="210"/>
      <c r="AE1057" s="210"/>
      <c r="AF1057" s="210"/>
      <c r="AG1057" s="210"/>
      <c r="AH1057" s="210"/>
      <c r="AI1057" s="210"/>
      <c r="AJ1057" s="210"/>
    </row>
    <row r="1058" ht="14.25" customHeight="1">
      <c r="A1058" s="210"/>
      <c r="B1058" s="210"/>
      <c r="C1058" s="210"/>
      <c r="D1058" s="210"/>
      <c r="E1058" s="210"/>
      <c r="F1058" s="210"/>
      <c r="G1058" s="210"/>
      <c r="H1058" s="210"/>
      <c r="I1058" s="210"/>
      <c r="J1058" s="210"/>
      <c r="K1058" s="210"/>
      <c r="L1058" s="210"/>
      <c r="M1058" s="210"/>
      <c r="N1058" s="210"/>
      <c r="O1058" s="210"/>
      <c r="P1058" s="210"/>
      <c r="Q1058" s="210"/>
      <c r="R1058" s="210"/>
      <c r="S1058" s="210"/>
      <c r="T1058" s="210"/>
      <c r="U1058" s="210"/>
      <c r="V1058" s="210"/>
      <c r="W1058" s="210"/>
      <c r="X1058" s="210"/>
      <c r="Y1058" s="210"/>
      <c r="Z1058" s="210"/>
      <c r="AA1058" s="210"/>
      <c r="AB1058" s="210"/>
      <c r="AC1058" s="210"/>
      <c r="AD1058" s="210"/>
      <c r="AE1058" s="210"/>
      <c r="AF1058" s="210"/>
      <c r="AG1058" s="210"/>
      <c r="AH1058" s="210"/>
      <c r="AI1058" s="210"/>
      <c r="AJ1058" s="210"/>
    </row>
    <row r="1059" ht="14.25" customHeight="1">
      <c r="A1059" s="210"/>
      <c r="B1059" s="210"/>
      <c r="C1059" s="210"/>
      <c r="D1059" s="210"/>
      <c r="E1059" s="210"/>
      <c r="F1059" s="210"/>
      <c r="G1059" s="210"/>
      <c r="H1059" s="210"/>
      <c r="I1059" s="210"/>
      <c r="J1059" s="210"/>
      <c r="K1059" s="210"/>
      <c r="L1059" s="210"/>
      <c r="M1059" s="210"/>
      <c r="N1059" s="210"/>
      <c r="O1059" s="210"/>
      <c r="P1059" s="210"/>
      <c r="Q1059" s="210"/>
      <c r="R1059" s="210"/>
      <c r="S1059" s="210"/>
      <c r="T1059" s="210"/>
      <c r="U1059" s="210"/>
      <c r="V1059" s="210"/>
      <c r="W1059" s="210"/>
      <c r="X1059" s="210"/>
      <c r="Y1059" s="210"/>
      <c r="Z1059" s="210"/>
      <c r="AA1059" s="210"/>
      <c r="AB1059" s="210"/>
      <c r="AC1059" s="210"/>
      <c r="AD1059" s="210"/>
      <c r="AE1059" s="210"/>
      <c r="AF1059" s="210"/>
      <c r="AG1059" s="210"/>
      <c r="AH1059" s="210"/>
      <c r="AI1059" s="210"/>
      <c r="AJ1059" s="210"/>
    </row>
    <row r="1060" ht="14.25" customHeight="1">
      <c r="A1060" s="210"/>
      <c r="B1060" s="210"/>
      <c r="C1060" s="210"/>
      <c r="D1060" s="210"/>
      <c r="E1060" s="210"/>
      <c r="F1060" s="210"/>
      <c r="G1060" s="210"/>
      <c r="H1060" s="210"/>
      <c r="I1060" s="210"/>
      <c r="J1060" s="210"/>
      <c r="K1060" s="210"/>
      <c r="L1060" s="210"/>
      <c r="M1060" s="210"/>
      <c r="N1060" s="210"/>
      <c r="O1060" s="210"/>
      <c r="P1060" s="210"/>
      <c r="Q1060" s="210"/>
      <c r="R1060" s="210"/>
      <c r="S1060" s="210"/>
      <c r="T1060" s="210"/>
      <c r="U1060" s="210"/>
      <c r="V1060" s="210"/>
      <c r="W1060" s="210"/>
      <c r="X1060" s="210"/>
      <c r="Y1060" s="210"/>
      <c r="Z1060" s="210"/>
      <c r="AA1060" s="210"/>
      <c r="AB1060" s="210"/>
      <c r="AC1060" s="210"/>
      <c r="AD1060" s="210"/>
      <c r="AE1060" s="210"/>
      <c r="AF1060" s="210"/>
      <c r="AG1060" s="210"/>
      <c r="AH1060" s="210"/>
      <c r="AI1060" s="210"/>
      <c r="AJ1060" s="210"/>
    </row>
    <row r="1061" ht="14.25" customHeight="1">
      <c r="A1061" s="210"/>
      <c r="B1061" s="210"/>
      <c r="C1061" s="210"/>
      <c r="D1061" s="210"/>
      <c r="E1061" s="210"/>
      <c r="F1061" s="210"/>
      <c r="G1061" s="210"/>
      <c r="H1061" s="210"/>
      <c r="I1061" s="210"/>
      <c r="J1061" s="210"/>
      <c r="K1061" s="210"/>
      <c r="L1061" s="210"/>
      <c r="M1061" s="210"/>
      <c r="N1061" s="210"/>
      <c r="O1061" s="210"/>
      <c r="P1061" s="210"/>
      <c r="Q1061" s="210"/>
      <c r="R1061" s="210"/>
      <c r="S1061" s="210"/>
      <c r="T1061" s="210"/>
      <c r="U1061" s="210"/>
      <c r="V1061" s="210"/>
      <c r="W1061" s="210"/>
      <c r="X1061" s="210"/>
      <c r="Y1061" s="210"/>
      <c r="Z1061" s="210"/>
      <c r="AA1061" s="210"/>
      <c r="AB1061" s="210"/>
      <c r="AC1061" s="210"/>
      <c r="AD1061" s="210"/>
      <c r="AE1061" s="210"/>
      <c r="AF1061" s="210"/>
      <c r="AG1061" s="210"/>
      <c r="AH1061" s="210"/>
      <c r="AI1061" s="210"/>
      <c r="AJ1061" s="210"/>
    </row>
    <row r="1062" ht="14.25" customHeight="1">
      <c r="A1062" s="210"/>
      <c r="B1062" s="210"/>
      <c r="C1062" s="210"/>
      <c r="D1062" s="210"/>
      <c r="E1062" s="210"/>
      <c r="F1062" s="210"/>
      <c r="G1062" s="210"/>
      <c r="H1062" s="210"/>
      <c r="I1062" s="210"/>
      <c r="J1062" s="210"/>
      <c r="K1062" s="210"/>
      <c r="L1062" s="210"/>
      <c r="M1062" s="210"/>
      <c r="N1062" s="210"/>
      <c r="O1062" s="210"/>
      <c r="P1062" s="210"/>
      <c r="Q1062" s="210"/>
      <c r="R1062" s="210"/>
      <c r="S1062" s="210"/>
      <c r="T1062" s="210"/>
      <c r="U1062" s="210"/>
      <c r="V1062" s="210"/>
      <c r="W1062" s="210"/>
      <c r="X1062" s="210"/>
      <c r="Y1062" s="210"/>
      <c r="Z1062" s="210"/>
      <c r="AA1062" s="210"/>
      <c r="AB1062" s="210"/>
      <c r="AC1062" s="210"/>
      <c r="AD1062" s="210"/>
      <c r="AE1062" s="210"/>
      <c r="AF1062" s="210"/>
      <c r="AG1062" s="210"/>
      <c r="AH1062" s="210"/>
      <c r="AI1062" s="210"/>
      <c r="AJ1062" s="210"/>
    </row>
    <row r="1063" ht="14.25" customHeight="1">
      <c r="A1063" s="210"/>
      <c r="B1063" s="210"/>
      <c r="C1063" s="210"/>
      <c r="D1063" s="210"/>
      <c r="E1063" s="210"/>
      <c r="F1063" s="210"/>
      <c r="G1063" s="210"/>
      <c r="H1063" s="210"/>
      <c r="I1063" s="210"/>
      <c r="J1063" s="210"/>
      <c r="K1063" s="210"/>
      <c r="L1063" s="210"/>
      <c r="M1063" s="210"/>
      <c r="N1063" s="210"/>
      <c r="O1063" s="210"/>
      <c r="P1063" s="210"/>
      <c r="Q1063" s="210"/>
      <c r="R1063" s="210"/>
      <c r="S1063" s="210"/>
      <c r="T1063" s="210"/>
      <c r="U1063" s="210"/>
      <c r="V1063" s="210"/>
      <c r="W1063" s="210"/>
      <c r="X1063" s="210"/>
      <c r="Y1063" s="210"/>
      <c r="Z1063" s="210"/>
      <c r="AA1063" s="210"/>
      <c r="AB1063" s="210"/>
      <c r="AC1063" s="210"/>
      <c r="AD1063" s="210"/>
      <c r="AE1063" s="210"/>
      <c r="AF1063" s="210"/>
      <c r="AG1063" s="210"/>
      <c r="AH1063" s="210"/>
      <c r="AI1063" s="210"/>
      <c r="AJ1063" s="210"/>
    </row>
    <row r="1064" ht="14.25" customHeight="1">
      <c r="A1064" s="210"/>
      <c r="B1064" s="210"/>
      <c r="C1064" s="210"/>
      <c r="D1064" s="210"/>
      <c r="E1064" s="210"/>
      <c r="F1064" s="210"/>
      <c r="G1064" s="210"/>
      <c r="H1064" s="210"/>
      <c r="I1064" s="210"/>
      <c r="J1064" s="210"/>
      <c r="K1064" s="210"/>
      <c r="L1064" s="210"/>
      <c r="M1064" s="210"/>
      <c r="N1064" s="210"/>
      <c r="O1064" s="210"/>
      <c r="P1064" s="210"/>
      <c r="Q1064" s="210"/>
      <c r="R1064" s="210"/>
      <c r="S1064" s="210"/>
      <c r="T1064" s="210"/>
      <c r="U1064" s="210"/>
      <c r="V1064" s="210"/>
      <c r="W1064" s="210"/>
      <c r="X1064" s="210"/>
      <c r="Y1064" s="210"/>
      <c r="Z1064" s="210"/>
      <c r="AA1064" s="210"/>
      <c r="AB1064" s="210"/>
      <c r="AC1064" s="210"/>
      <c r="AD1064" s="210"/>
      <c r="AE1064" s="210"/>
      <c r="AF1064" s="210"/>
      <c r="AG1064" s="210"/>
      <c r="AH1064" s="210"/>
      <c r="AI1064" s="210"/>
      <c r="AJ1064" s="210"/>
    </row>
    <row r="1065" ht="14.25" customHeight="1">
      <c r="A1065" s="210"/>
      <c r="B1065" s="210"/>
      <c r="C1065" s="210"/>
      <c r="D1065" s="210"/>
      <c r="E1065" s="210"/>
      <c r="F1065" s="210"/>
      <c r="G1065" s="210"/>
      <c r="H1065" s="210"/>
      <c r="I1065" s="210"/>
      <c r="J1065" s="210"/>
      <c r="K1065" s="210"/>
      <c r="L1065" s="210"/>
      <c r="M1065" s="210"/>
      <c r="N1065" s="210"/>
      <c r="O1065" s="210"/>
      <c r="P1065" s="210"/>
      <c r="Q1065" s="210"/>
      <c r="R1065" s="210"/>
      <c r="S1065" s="210"/>
      <c r="T1065" s="210"/>
      <c r="U1065" s="210"/>
      <c r="V1065" s="210"/>
      <c r="W1065" s="210"/>
      <c r="X1065" s="210"/>
      <c r="Y1065" s="210"/>
      <c r="Z1065" s="210"/>
      <c r="AA1065" s="210"/>
      <c r="AB1065" s="210"/>
      <c r="AC1065" s="210"/>
      <c r="AD1065" s="210"/>
      <c r="AE1065" s="210"/>
      <c r="AF1065" s="210"/>
      <c r="AG1065" s="210"/>
      <c r="AH1065" s="210"/>
      <c r="AI1065" s="210"/>
      <c r="AJ1065" s="210"/>
    </row>
    <row r="1066" ht="14.25" customHeight="1">
      <c r="A1066" s="210"/>
      <c r="B1066" s="210"/>
      <c r="C1066" s="210"/>
      <c r="D1066" s="210"/>
      <c r="E1066" s="210"/>
      <c r="F1066" s="210"/>
      <c r="G1066" s="210"/>
      <c r="H1066" s="210"/>
      <c r="I1066" s="210"/>
      <c r="J1066" s="210"/>
      <c r="K1066" s="210"/>
      <c r="L1066" s="210"/>
      <c r="M1066" s="210"/>
      <c r="N1066" s="210"/>
      <c r="O1066" s="210"/>
      <c r="P1066" s="210"/>
      <c r="Q1066" s="210"/>
      <c r="R1066" s="210"/>
      <c r="S1066" s="210"/>
      <c r="T1066" s="210"/>
      <c r="U1066" s="210"/>
      <c r="V1066" s="210"/>
      <c r="W1066" s="210"/>
      <c r="X1066" s="210"/>
      <c r="Y1066" s="210"/>
      <c r="Z1066" s="210"/>
      <c r="AA1066" s="210"/>
      <c r="AB1066" s="210"/>
      <c r="AC1066" s="210"/>
      <c r="AD1066" s="210"/>
      <c r="AE1066" s="210"/>
      <c r="AF1066" s="210"/>
      <c r="AG1066" s="210"/>
      <c r="AH1066" s="210"/>
      <c r="AI1066" s="210"/>
      <c r="AJ1066" s="210"/>
    </row>
    <row r="1067" ht="14.25" customHeight="1">
      <c r="A1067" s="210"/>
      <c r="B1067" s="210"/>
      <c r="C1067" s="210"/>
      <c r="D1067" s="210"/>
      <c r="E1067" s="210"/>
      <c r="F1067" s="210"/>
      <c r="G1067" s="210"/>
      <c r="H1067" s="210"/>
      <c r="I1067" s="210"/>
      <c r="J1067" s="210"/>
      <c r="K1067" s="210"/>
      <c r="L1067" s="210"/>
      <c r="M1067" s="210"/>
      <c r="N1067" s="210"/>
      <c r="O1067" s="210"/>
      <c r="P1067" s="210"/>
      <c r="Q1067" s="210"/>
      <c r="R1067" s="210"/>
      <c r="S1067" s="210"/>
      <c r="T1067" s="210"/>
      <c r="U1067" s="210"/>
      <c r="V1067" s="210"/>
      <c r="W1067" s="210"/>
      <c r="X1067" s="210"/>
      <c r="Y1067" s="210"/>
      <c r="Z1067" s="210"/>
      <c r="AA1067" s="210"/>
      <c r="AB1067" s="210"/>
      <c r="AC1067" s="210"/>
      <c r="AD1067" s="210"/>
      <c r="AE1067" s="210"/>
      <c r="AF1067" s="210"/>
      <c r="AG1067" s="210"/>
      <c r="AH1067" s="210"/>
      <c r="AI1067" s="210"/>
      <c r="AJ1067" s="210"/>
    </row>
    <row r="1068" ht="14.25" customHeight="1">
      <c r="A1068" s="210"/>
      <c r="B1068" s="210"/>
      <c r="C1068" s="210"/>
      <c r="D1068" s="210"/>
      <c r="E1068" s="210"/>
      <c r="F1068" s="210"/>
      <c r="G1068" s="210"/>
      <c r="H1068" s="210"/>
      <c r="I1068" s="210"/>
      <c r="J1068" s="210"/>
      <c r="K1068" s="210"/>
      <c r="L1068" s="210"/>
      <c r="M1068" s="210"/>
      <c r="N1068" s="210"/>
      <c r="O1068" s="210"/>
      <c r="P1068" s="210"/>
      <c r="Q1068" s="210"/>
      <c r="R1068" s="210"/>
      <c r="S1068" s="210"/>
      <c r="T1068" s="210"/>
      <c r="U1068" s="210"/>
      <c r="V1068" s="210"/>
      <c r="W1068" s="210"/>
      <c r="X1068" s="210"/>
      <c r="Y1068" s="210"/>
      <c r="Z1068" s="210"/>
      <c r="AA1068" s="210"/>
      <c r="AB1068" s="210"/>
      <c r="AC1068" s="210"/>
      <c r="AD1068" s="210"/>
      <c r="AE1068" s="210"/>
      <c r="AF1068" s="210"/>
      <c r="AG1068" s="210"/>
      <c r="AH1068" s="210"/>
      <c r="AI1068" s="210"/>
      <c r="AJ1068" s="210"/>
    </row>
    <row r="1069" ht="14.25" customHeight="1">
      <c r="A1069" s="210"/>
      <c r="B1069" s="210"/>
      <c r="C1069" s="210"/>
      <c r="D1069" s="210"/>
      <c r="E1069" s="210"/>
      <c r="F1069" s="210"/>
      <c r="G1069" s="210"/>
      <c r="H1069" s="210"/>
      <c r="I1069" s="210"/>
      <c r="J1069" s="210"/>
      <c r="K1069" s="210"/>
      <c r="L1069" s="210"/>
      <c r="M1069" s="210"/>
      <c r="N1069" s="210"/>
      <c r="O1069" s="210"/>
      <c r="P1069" s="210"/>
      <c r="Q1069" s="210"/>
      <c r="R1069" s="210"/>
      <c r="S1069" s="210"/>
      <c r="T1069" s="210"/>
      <c r="U1069" s="210"/>
      <c r="V1069" s="210"/>
      <c r="W1069" s="210"/>
      <c r="X1069" s="210"/>
      <c r="Y1069" s="210"/>
      <c r="Z1069" s="210"/>
      <c r="AA1069" s="210"/>
      <c r="AB1069" s="210"/>
      <c r="AC1069" s="210"/>
      <c r="AD1069" s="210"/>
      <c r="AE1069" s="210"/>
      <c r="AF1069" s="210"/>
      <c r="AG1069" s="210"/>
      <c r="AH1069" s="210"/>
      <c r="AI1069" s="210"/>
      <c r="AJ1069" s="210"/>
    </row>
    <row r="1070" ht="14.25" customHeight="1">
      <c r="A1070" s="210"/>
      <c r="B1070" s="210"/>
      <c r="C1070" s="210"/>
      <c r="D1070" s="210"/>
      <c r="E1070" s="210"/>
      <c r="F1070" s="210"/>
      <c r="G1070" s="210"/>
      <c r="H1070" s="210"/>
      <c r="I1070" s="210"/>
      <c r="J1070" s="210"/>
      <c r="K1070" s="210"/>
      <c r="L1070" s="210"/>
      <c r="M1070" s="210"/>
      <c r="N1070" s="210"/>
      <c r="O1070" s="210"/>
      <c r="P1070" s="210"/>
      <c r="Q1070" s="210"/>
      <c r="R1070" s="210"/>
      <c r="S1070" s="210"/>
      <c r="T1070" s="210"/>
      <c r="U1070" s="210"/>
      <c r="V1070" s="210"/>
      <c r="W1070" s="210"/>
      <c r="X1070" s="210"/>
      <c r="Y1070" s="210"/>
      <c r="Z1070" s="210"/>
      <c r="AA1070" s="210"/>
      <c r="AB1070" s="210"/>
      <c r="AC1070" s="210"/>
      <c r="AD1070" s="210"/>
      <c r="AE1070" s="210"/>
      <c r="AF1070" s="210"/>
      <c r="AG1070" s="210"/>
      <c r="AH1070" s="210"/>
      <c r="AI1070" s="210"/>
      <c r="AJ1070" s="210"/>
    </row>
    <row r="1071" ht="14.25" customHeight="1">
      <c r="A1071" s="210"/>
      <c r="B1071" s="210"/>
      <c r="C1071" s="210"/>
      <c r="D1071" s="210"/>
      <c r="E1071" s="210"/>
      <c r="F1071" s="210"/>
      <c r="G1071" s="210"/>
      <c r="H1071" s="210"/>
      <c r="I1071" s="210"/>
      <c r="J1071" s="210"/>
      <c r="K1071" s="210"/>
      <c r="L1071" s="210"/>
      <c r="M1071" s="210"/>
      <c r="N1071" s="210"/>
      <c r="O1071" s="210"/>
      <c r="P1071" s="210"/>
      <c r="Q1071" s="210"/>
      <c r="R1071" s="210"/>
      <c r="S1071" s="210"/>
      <c r="T1071" s="210"/>
      <c r="U1071" s="210"/>
      <c r="V1071" s="210"/>
      <c r="W1071" s="210"/>
      <c r="X1071" s="210"/>
      <c r="Y1071" s="210"/>
      <c r="Z1071" s="210"/>
      <c r="AA1071" s="210"/>
      <c r="AB1071" s="210"/>
      <c r="AC1071" s="210"/>
      <c r="AD1071" s="210"/>
      <c r="AE1071" s="210"/>
      <c r="AF1071" s="210"/>
      <c r="AG1071" s="210"/>
      <c r="AH1071" s="210"/>
      <c r="AI1071" s="210"/>
      <c r="AJ1071" s="210"/>
    </row>
    <row r="1072" ht="14.25" customHeight="1">
      <c r="A1072" s="210"/>
      <c r="B1072" s="210"/>
      <c r="C1072" s="210"/>
      <c r="D1072" s="210"/>
      <c r="E1072" s="210"/>
      <c r="F1072" s="210"/>
      <c r="G1072" s="210"/>
      <c r="H1072" s="210"/>
      <c r="I1072" s="210"/>
      <c r="J1072" s="210"/>
      <c r="K1072" s="210"/>
      <c r="L1072" s="210"/>
      <c r="M1072" s="210"/>
      <c r="N1072" s="210"/>
      <c r="O1072" s="210"/>
      <c r="P1072" s="210"/>
      <c r="Q1072" s="210"/>
      <c r="R1072" s="210"/>
      <c r="S1072" s="210"/>
      <c r="T1072" s="210"/>
      <c r="U1072" s="210"/>
      <c r="V1072" s="210"/>
      <c r="W1072" s="210"/>
      <c r="X1072" s="210"/>
      <c r="Y1072" s="210"/>
      <c r="Z1072" s="210"/>
      <c r="AA1072" s="210"/>
      <c r="AB1072" s="210"/>
      <c r="AC1072" s="210"/>
      <c r="AD1072" s="210"/>
      <c r="AE1072" s="210"/>
      <c r="AF1072" s="210"/>
      <c r="AG1072" s="210"/>
      <c r="AH1072" s="210"/>
      <c r="AI1072" s="210"/>
      <c r="AJ1072" s="210"/>
    </row>
    <row r="1073" ht="14.25" customHeight="1">
      <c r="A1073" s="210"/>
      <c r="B1073" s="210"/>
      <c r="C1073" s="210"/>
      <c r="D1073" s="210"/>
      <c r="E1073" s="210"/>
      <c r="F1073" s="210"/>
      <c r="G1073" s="210"/>
      <c r="H1073" s="210"/>
      <c r="I1073" s="210"/>
      <c r="J1073" s="210"/>
      <c r="K1073" s="210"/>
      <c r="L1073" s="210"/>
      <c r="M1073" s="210"/>
      <c r="N1073" s="210"/>
      <c r="O1073" s="210"/>
      <c r="P1073" s="210"/>
      <c r="Q1073" s="210"/>
      <c r="R1073" s="210"/>
      <c r="S1073" s="210"/>
      <c r="T1073" s="210"/>
      <c r="U1073" s="210"/>
      <c r="V1073" s="210"/>
      <c r="W1073" s="210"/>
      <c r="X1073" s="210"/>
      <c r="Y1073" s="210"/>
      <c r="Z1073" s="210"/>
      <c r="AA1073" s="210"/>
      <c r="AB1073" s="210"/>
      <c r="AC1073" s="210"/>
      <c r="AD1073" s="210"/>
      <c r="AE1073" s="210"/>
      <c r="AF1073" s="210"/>
      <c r="AG1073" s="210"/>
      <c r="AH1073" s="210"/>
      <c r="AI1073" s="210"/>
      <c r="AJ1073" s="210"/>
    </row>
    <row r="1074" ht="14.25" customHeight="1">
      <c r="A1074" s="210"/>
      <c r="B1074" s="210"/>
      <c r="C1074" s="210"/>
      <c r="D1074" s="210"/>
      <c r="E1074" s="210"/>
      <c r="F1074" s="210"/>
      <c r="G1074" s="210"/>
      <c r="H1074" s="210"/>
      <c r="I1074" s="210"/>
      <c r="J1074" s="210"/>
      <c r="K1074" s="210"/>
      <c r="L1074" s="210"/>
      <c r="M1074" s="210"/>
      <c r="N1074" s="210"/>
      <c r="O1074" s="210"/>
      <c r="P1074" s="210"/>
      <c r="Q1074" s="210"/>
      <c r="R1074" s="210"/>
      <c r="S1074" s="210"/>
      <c r="T1074" s="210"/>
      <c r="U1074" s="210"/>
      <c r="V1074" s="210"/>
      <c r="W1074" s="210"/>
      <c r="X1074" s="210"/>
      <c r="Y1074" s="210"/>
      <c r="Z1074" s="210"/>
      <c r="AA1074" s="210"/>
      <c r="AB1074" s="210"/>
      <c r="AC1074" s="210"/>
      <c r="AD1074" s="210"/>
      <c r="AE1074" s="210"/>
      <c r="AF1074" s="210"/>
      <c r="AG1074" s="210"/>
      <c r="AH1074" s="210"/>
      <c r="AI1074" s="210"/>
      <c r="AJ1074" s="210"/>
    </row>
    <row r="1075" ht="14.25" customHeight="1">
      <c r="A1075" s="210"/>
      <c r="B1075" s="210"/>
      <c r="C1075" s="210"/>
      <c r="D1075" s="210"/>
      <c r="E1075" s="210"/>
      <c r="F1075" s="210"/>
      <c r="G1075" s="210"/>
      <c r="H1075" s="210"/>
      <c r="I1075" s="210"/>
      <c r="J1075" s="210"/>
      <c r="K1075" s="210"/>
      <c r="L1075" s="210"/>
      <c r="M1075" s="210"/>
      <c r="N1075" s="210"/>
      <c r="O1075" s="210"/>
      <c r="P1075" s="210"/>
      <c r="Q1075" s="210"/>
      <c r="R1075" s="210"/>
      <c r="S1075" s="210"/>
      <c r="T1075" s="210"/>
      <c r="U1075" s="210"/>
      <c r="V1075" s="210"/>
      <c r="W1075" s="210"/>
      <c r="X1075" s="210"/>
      <c r="Y1075" s="210"/>
      <c r="Z1075" s="210"/>
      <c r="AA1075" s="210"/>
      <c r="AB1075" s="210"/>
      <c r="AC1075" s="210"/>
      <c r="AD1075" s="210"/>
      <c r="AE1075" s="210"/>
      <c r="AF1075" s="210"/>
      <c r="AG1075" s="210"/>
      <c r="AH1075" s="210"/>
      <c r="AI1075" s="210"/>
      <c r="AJ1075" s="210"/>
    </row>
    <row r="1076" ht="14.25" customHeight="1">
      <c r="A1076" s="210"/>
      <c r="B1076" s="210"/>
      <c r="C1076" s="210"/>
      <c r="D1076" s="210"/>
      <c r="E1076" s="210"/>
      <c r="F1076" s="210"/>
      <c r="G1076" s="210"/>
      <c r="H1076" s="210"/>
      <c r="I1076" s="210"/>
      <c r="J1076" s="210"/>
      <c r="K1076" s="210"/>
      <c r="L1076" s="210"/>
      <c r="M1076" s="210"/>
      <c r="N1076" s="210"/>
      <c r="O1076" s="210"/>
      <c r="P1076" s="210"/>
      <c r="Q1076" s="210"/>
      <c r="R1076" s="210"/>
      <c r="S1076" s="210"/>
      <c r="T1076" s="210"/>
      <c r="U1076" s="210"/>
      <c r="V1076" s="210"/>
      <c r="W1076" s="210"/>
      <c r="X1076" s="210"/>
      <c r="Y1076" s="210"/>
      <c r="Z1076" s="210"/>
      <c r="AA1076" s="210"/>
      <c r="AB1076" s="210"/>
      <c r="AC1076" s="210"/>
      <c r="AD1076" s="210"/>
      <c r="AE1076" s="210"/>
      <c r="AF1076" s="210"/>
      <c r="AG1076" s="210"/>
      <c r="AH1076" s="210"/>
      <c r="AI1076" s="210"/>
      <c r="AJ1076" s="210"/>
    </row>
    <row r="1077" ht="14.25" customHeight="1">
      <c r="A1077" s="210"/>
      <c r="B1077" s="210"/>
      <c r="C1077" s="210"/>
      <c r="D1077" s="210"/>
      <c r="E1077" s="210"/>
      <c r="F1077" s="210"/>
      <c r="G1077" s="210"/>
      <c r="H1077" s="210"/>
      <c r="I1077" s="210"/>
      <c r="J1077" s="210"/>
      <c r="K1077" s="210"/>
      <c r="L1077" s="210"/>
      <c r="M1077" s="210"/>
      <c r="N1077" s="210"/>
      <c r="O1077" s="210"/>
      <c r="P1077" s="210"/>
      <c r="Q1077" s="210"/>
      <c r="R1077" s="210"/>
      <c r="S1077" s="210"/>
      <c r="T1077" s="210"/>
      <c r="U1077" s="210"/>
      <c r="V1077" s="210"/>
      <c r="W1077" s="210"/>
      <c r="X1077" s="210"/>
      <c r="Y1077" s="210"/>
      <c r="Z1077" s="210"/>
      <c r="AA1077" s="210"/>
      <c r="AB1077" s="210"/>
      <c r="AC1077" s="210"/>
      <c r="AD1077" s="210"/>
      <c r="AE1077" s="210"/>
      <c r="AF1077" s="210"/>
      <c r="AG1077" s="210"/>
      <c r="AH1077" s="210"/>
      <c r="AI1077" s="210"/>
      <c r="AJ1077" s="210"/>
    </row>
    <row r="1078" ht="14.25" customHeight="1">
      <c r="A1078" s="210"/>
      <c r="B1078" s="210"/>
      <c r="C1078" s="210"/>
      <c r="D1078" s="210"/>
      <c r="E1078" s="210"/>
      <c r="F1078" s="210"/>
      <c r="G1078" s="210"/>
      <c r="H1078" s="210"/>
      <c r="I1078" s="210"/>
      <c r="J1078" s="210"/>
      <c r="K1078" s="210"/>
      <c r="L1078" s="210"/>
      <c r="M1078" s="210"/>
      <c r="N1078" s="210"/>
      <c r="O1078" s="210"/>
      <c r="P1078" s="210"/>
      <c r="Q1078" s="210"/>
      <c r="R1078" s="210"/>
      <c r="S1078" s="210"/>
      <c r="T1078" s="210"/>
      <c r="U1078" s="210"/>
      <c r="V1078" s="210"/>
      <c r="W1078" s="210"/>
      <c r="X1078" s="210"/>
      <c r="Y1078" s="210"/>
      <c r="Z1078" s="210"/>
      <c r="AA1078" s="210"/>
      <c r="AB1078" s="210"/>
      <c r="AC1078" s="210"/>
      <c r="AD1078" s="210"/>
      <c r="AE1078" s="210"/>
      <c r="AF1078" s="210"/>
      <c r="AG1078" s="210"/>
      <c r="AH1078" s="210"/>
      <c r="AI1078" s="210"/>
      <c r="AJ1078" s="210"/>
    </row>
    <row r="1079" ht="14.25" customHeight="1">
      <c r="A1079" s="210"/>
      <c r="B1079" s="210"/>
      <c r="C1079" s="210"/>
      <c r="D1079" s="210"/>
      <c r="E1079" s="210"/>
      <c r="F1079" s="210"/>
      <c r="G1079" s="210"/>
      <c r="H1079" s="210"/>
      <c r="I1079" s="210"/>
      <c r="J1079" s="210"/>
      <c r="K1079" s="210"/>
      <c r="L1079" s="210"/>
      <c r="M1079" s="210"/>
      <c r="N1079" s="210"/>
      <c r="O1079" s="210"/>
      <c r="P1079" s="210"/>
      <c r="Q1079" s="210"/>
      <c r="R1079" s="210"/>
      <c r="S1079" s="210"/>
      <c r="T1079" s="210"/>
      <c r="U1079" s="210"/>
      <c r="V1079" s="210"/>
      <c r="W1079" s="210"/>
      <c r="X1079" s="210"/>
      <c r="Y1079" s="210"/>
      <c r="Z1079" s="210"/>
      <c r="AA1079" s="210"/>
      <c r="AB1079" s="210"/>
      <c r="AC1079" s="210"/>
      <c r="AD1079" s="210"/>
      <c r="AE1079" s="210"/>
      <c r="AF1079" s="210"/>
      <c r="AG1079" s="210"/>
      <c r="AH1079" s="210"/>
      <c r="AI1079" s="210"/>
      <c r="AJ1079" s="210"/>
    </row>
    <row r="1080" ht="14.25" customHeight="1">
      <c r="A1080" s="210"/>
      <c r="B1080" s="210"/>
      <c r="C1080" s="210"/>
      <c r="D1080" s="210"/>
      <c r="E1080" s="210"/>
      <c r="F1080" s="210"/>
      <c r="G1080" s="210"/>
      <c r="H1080" s="210"/>
      <c r="I1080" s="210"/>
      <c r="J1080" s="210"/>
      <c r="K1080" s="210"/>
      <c r="L1080" s="210"/>
      <c r="M1080" s="210"/>
      <c r="N1080" s="210"/>
      <c r="O1080" s="210"/>
      <c r="P1080" s="210"/>
      <c r="Q1080" s="210"/>
      <c r="R1080" s="210"/>
      <c r="S1080" s="210"/>
      <c r="T1080" s="210"/>
      <c r="U1080" s="210"/>
      <c r="V1080" s="210"/>
      <c r="W1080" s="210"/>
      <c r="X1080" s="210"/>
      <c r="Y1080" s="210"/>
      <c r="Z1080" s="210"/>
      <c r="AA1080" s="210"/>
      <c r="AB1080" s="210"/>
      <c r="AC1080" s="210"/>
      <c r="AD1080" s="210"/>
      <c r="AE1080" s="210"/>
      <c r="AF1080" s="210"/>
      <c r="AG1080" s="210"/>
      <c r="AH1080" s="210"/>
      <c r="AI1080" s="210"/>
      <c r="AJ1080" s="210"/>
    </row>
    <row r="1081" ht="14.25" customHeight="1">
      <c r="A1081" s="210"/>
      <c r="B1081" s="210"/>
      <c r="C1081" s="210"/>
      <c r="D1081" s="210"/>
      <c r="E1081" s="210"/>
      <c r="F1081" s="210"/>
      <c r="G1081" s="210"/>
      <c r="H1081" s="210"/>
      <c r="I1081" s="210"/>
      <c r="J1081" s="210"/>
      <c r="K1081" s="210"/>
      <c r="L1081" s="210"/>
      <c r="M1081" s="210"/>
      <c r="N1081" s="210"/>
      <c r="O1081" s="210"/>
      <c r="P1081" s="210"/>
      <c r="Q1081" s="210"/>
      <c r="R1081" s="210"/>
      <c r="S1081" s="210"/>
      <c r="T1081" s="210"/>
      <c r="U1081" s="210"/>
      <c r="V1081" s="210"/>
      <c r="W1081" s="210"/>
      <c r="X1081" s="210"/>
      <c r="Y1081" s="210"/>
      <c r="Z1081" s="210"/>
      <c r="AA1081" s="210"/>
      <c r="AB1081" s="210"/>
      <c r="AC1081" s="210"/>
      <c r="AD1081" s="210"/>
      <c r="AE1081" s="210"/>
      <c r="AF1081" s="210"/>
      <c r="AG1081" s="210"/>
      <c r="AH1081" s="210"/>
      <c r="AI1081" s="210"/>
      <c r="AJ1081" s="210"/>
    </row>
    <row r="1082" ht="14.25" customHeight="1">
      <c r="A1082" s="210"/>
      <c r="B1082" s="210"/>
      <c r="C1082" s="210"/>
      <c r="D1082" s="210"/>
      <c r="E1082" s="210"/>
      <c r="F1082" s="210"/>
      <c r="G1082" s="210"/>
      <c r="H1082" s="210"/>
      <c r="I1082" s="210"/>
      <c r="J1082" s="210"/>
      <c r="K1082" s="210"/>
      <c r="L1082" s="210"/>
      <c r="M1082" s="210"/>
      <c r="N1082" s="210"/>
      <c r="O1082" s="210"/>
      <c r="P1082" s="210"/>
      <c r="Q1082" s="210"/>
      <c r="R1082" s="210"/>
      <c r="S1082" s="210"/>
      <c r="T1082" s="210"/>
      <c r="U1082" s="210"/>
      <c r="V1082" s="210"/>
      <c r="W1082" s="210"/>
      <c r="X1082" s="210"/>
      <c r="Y1082" s="210"/>
      <c r="Z1082" s="210"/>
      <c r="AA1082" s="210"/>
      <c r="AB1082" s="210"/>
      <c r="AC1082" s="210"/>
      <c r="AD1082" s="210"/>
      <c r="AE1082" s="210"/>
      <c r="AF1082" s="210"/>
      <c r="AG1082" s="210"/>
      <c r="AH1082" s="210"/>
      <c r="AI1082" s="210"/>
      <c r="AJ1082" s="210"/>
    </row>
    <row r="1083" ht="14.25" customHeight="1">
      <c r="A1083" s="210"/>
      <c r="B1083" s="210"/>
      <c r="C1083" s="210"/>
      <c r="D1083" s="210"/>
      <c r="E1083" s="210"/>
      <c r="F1083" s="210"/>
      <c r="G1083" s="210"/>
      <c r="H1083" s="210"/>
      <c r="I1083" s="210"/>
      <c r="J1083" s="210"/>
      <c r="K1083" s="210"/>
      <c r="L1083" s="210"/>
      <c r="M1083" s="210"/>
      <c r="N1083" s="210"/>
      <c r="O1083" s="210"/>
      <c r="P1083" s="210"/>
      <c r="Q1083" s="210"/>
      <c r="R1083" s="210"/>
      <c r="S1083" s="210"/>
      <c r="T1083" s="210"/>
      <c r="U1083" s="210"/>
      <c r="V1083" s="210"/>
      <c r="W1083" s="210"/>
      <c r="X1083" s="210"/>
      <c r="Y1083" s="210"/>
      <c r="Z1083" s="210"/>
      <c r="AA1083" s="210"/>
      <c r="AB1083" s="210"/>
      <c r="AC1083" s="210"/>
      <c r="AD1083" s="210"/>
      <c r="AE1083" s="210"/>
      <c r="AF1083" s="210"/>
      <c r="AG1083" s="210"/>
      <c r="AH1083" s="210"/>
      <c r="AI1083" s="210"/>
      <c r="AJ1083" s="210"/>
    </row>
    <row r="1084" ht="14.25" customHeight="1">
      <c r="A1084" s="210"/>
      <c r="B1084" s="210"/>
      <c r="C1084" s="210"/>
      <c r="D1084" s="210"/>
      <c r="E1084" s="210"/>
      <c r="F1084" s="210"/>
      <c r="G1084" s="210"/>
      <c r="H1084" s="210"/>
      <c r="I1084" s="210"/>
      <c r="J1084" s="210"/>
      <c r="K1084" s="210"/>
      <c r="L1084" s="210"/>
      <c r="M1084" s="210"/>
      <c r="N1084" s="210"/>
      <c r="O1084" s="210"/>
      <c r="P1084" s="210"/>
      <c r="Q1084" s="210"/>
      <c r="R1084" s="210"/>
      <c r="S1084" s="210"/>
      <c r="T1084" s="210"/>
      <c r="U1084" s="210"/>
      <c r="V1084" s="210"/>
      <c r="W1084" s="210"/>
      <c r="X1084" s="210"/>
      <c r="Y1084" s="210"/>
      <c r="Z1084" s="210"/>
      <c r="AA1084" s="210"/>
      <c r="AB1084" s="210"/>
      <c r="AC1084" s="210"/>
      <c r="AD1084" s="210"/>
      <c r="AE1084" s="210"/>
      <c r="AF1084" s="210"/>
      <c r="AG1084" s="210"/>
      <c r="AH1084" s="210"/>
      <c r="AI1084" s="210"/>
      <c r="AJ1084" s="210"/>
    </row>
    <row r="1085" ht="14.25" customHeight="1">
      <c r="A1085" s="210"/>
      <c r="B1085" s="210"/>
      <c r="C1085" s="210"/>
      <c r="D1085" s="210"/>
      <c r="E1085" s="210"/>
      <c r="F1085" s="210"/>
      <c r="G1085" s="210"/>
      <c r="H1085" s="210"/>
      <c r="I1085" s="210"/>
      <c r="J1085" s="210"/>
      <c r="K1085" s="210"/>
      <c r="L1085" s="210"/>
      <c r="M1085" s="210"/>
      <c r="N1085" s="210"/>
      <c r="O1085" s="210"/>
      <c r="P1085" s="210"/>
      <c r="Q1085" s="210"/>
      <c r="R1085" s="210"/>
      <c r="S1085" s="210"/>
      <c r="T1085" s="210"/>
      <c r="U1085" s="210"/>
      <c r="V1085" s="210"/>
      <c r="W1085" s="210"/>
      <c r="X1085" s="210"/>
      <c r="Y1085" s="210"/>
      <c r="Z1085" s="210"/>
      <c r="AA1085" s="210"/>
      <c r="AB1085" s="210"/>
      <c r="AC1085" s="210"/>
      <c r="AD1085" s="210"/>
      <c r="AE1085" s="210"/>
      <c r="AF1085" s="210"/>
      <c r="AG1085" s="210"/>
      <c r="AH1085" s="210"/>
      <c r="AI1085" s="210"/>
      <c r="AJ1085" s="210"/>
    </row>
    <row r="1086" ht="14.25" customHeight="1">
      <c r="A1086" s="210"/>
      <c r="B1086" s="210"/>
      <c r="C1086" s="210"/>
      <c r="D1086" s="210"/>
      <c r="E1086" s="210"/>
      <c r="F1086" s="210"/>
      <c r="G1086" s="210"/>
      <c r="H1086" s="210"/>
      <c r="I1086" s="210"/>
      <c r="J1086" s="210"/>
      <c r="K1086" s="210"/>
      <c r="L1086" s="210"/>
      <c r="M1086" s="210"/>
      <c r="N1086" s="210"/>
      <c r="O1086" s="210"/>
      <c r="P1086" s="210"/>
      <c r="Q1086" s="210"/>
      <c r="R1086" s="210"/>
      <c r="S1086" s="210"/>
      <c r="T1086" s="210"/>
      <c r="U1086" s="210"/>
      <c r="V1086" s="210"/>
      <c r="W1086" s="210"/>
      <c r="X1086" s="210"/>
      <c r="Y1086" s="210"/>
      <c r="Z1086" s="210"/>
      <c r="AA1086" s="210"/>
      <c r="AB1086" s="210"/>
      <c r="AC1086" s="210"/>
      <c r="AD1086" s="210"/>
      <c r="AE1086" s="210"/>
      <c r="AF1086" s="210"/>
      <c r="AG1086" s="210"/>
      <c r="AH1086" s="210"/>
      <c r="AI1086" s="210"/>
      <c r="AJ1086" s="210"/>
    </row>
    <row r="1087" ht="14.25" customHeight="1">
      <c r="A1087" s="210"/>
      <c r="B1087" s="210"/>
      <c r="C1087" s="210"/>
      <c r="D1087" s="210"/>
      <c r="E1087" s="210"/>
      <c r="F1087" s="210"/>
      <c r="G1087" s="210"/>
      <c r="H1087" s="210"/>
      <c r="I1087" s="210"/>
      <c r="J1087" s="210"/>
      <c r="K1087" s="210"/>
      <c r="L1087" s="210"/>
      <c r="M1087" s="210"/>
      <c r="N1087" s="210"/>
      <c r="O1087" s="210"/>
      <c r="P1087" s="210"/>
      <c r="Q1087" s="210"/>
      <c r="R1087" s="210"/>
      <c r="S1087" s="210"/>
      <c r="T1087" s="210"/>
      <c r="U1087" s="210"/>
      <c r="V1087" s="210"/>
      <c r="W1087" s="210"/>
      <c r="X1087" s="210"/>
      <c r="Y1087" s="210"/>
      <c r="Z1087" s="210"/>
      <c r="AA1087" s="210"/>
      <c r="AB1087" s="210"/>
      <c r="AC1087" s="210"/>
      <c r="AD1087" s="210"/>
      <c r="AE1087" s="210"/>
      <c r="AF1087" s="210"/>
      <c r="AG1087" s="210"/>
      <c r="AH1087" s="210"/>
      <c r="AI1087" s="210"/>
      <c r="AJ1087" s="210"/>
    </row>
    <row r="1088" ht="14.25" customHeight="1">
      <c r="A1088" s="210"/>
      <c r="B1088" s="210"/>
      <c r="C1088" s="210"/>
      <c r="D1088" s="210"/>
      <c r="E1088" s="210"/>
      <c r="F1088" s="210"/>
      <c r="G1088" s="210"/>
      <c r="H1088" s="210"/>
      <c r="I1088" s="210"/>
      <c r="J1088" s="210"/>
      <c r="K1088" s="210"/>
      <c r="L1088" s="210"/>
      <c r="M1088" s="210"/>
      <c r="N1088" s="210"/>
      <c r="O1088" s="210"/>
      <c r="P1088" s="210"/>
      <c r="Q1088" s="210"/>
      <c r="R1088" s="210"/>
      <c r="S1088" s="210"/>
      <c r="T1088" s="210"/>
      <c r="U1088" s="210"/>
      <c r="V1088" s="210"/>
      <c r="W1088" s="210"/>
      <c r="X1088" s="210"/>
      <c r="Y1088" s="210"/>
      <c r="Z1088" s="210"/>
      <c r="AA1088" s="210"/>
      <c r="AB1088" s="210"/>
      <c r="AC1088" s="210"/>
      <c r="AD1088" s="210"/>
      <c r="AE1088" s="210"/>
      <c r="AF1088" s="210"/>
      <c r="AG1088" s="210"/>
      <c r="AH1088" s="210"/>
      <c r="AI1088" s="210"/>
      <c r="AJ1088" s="210"/>
    </row>
    <row r="1089" ht="14.25" customHeight="1">
      <c r="A1089" s="210"/>
      <c r="B1089" s="210"/>
      <c r="C1089" s="210"/>
      <c r="D1089" s="210"/>
      <c r="E1089" s="210"/>
      <c r="F1089" s="210"/>
      <c r="G1089" s="210"/>
      <c r="H1089" s="210"/>
      <c r="I1089" s="210"/>
      <c r="J1089" s="210"/>
      <c r="K1089" s="210"/>
      <c r="L1089" s="210"/>
      <c r="M1089" s="210"/>
      <c r="N1089" s="210"/>
      <c r="O1089" s="210"/>
      <c r="P1089" s="210"/>
      <c r="Q1089" s="210"/>
      <c r="R1089" s="210"/>
      <c r="S1089" s="210"/>
      <c r="T1089" s="210"/>
      <c r="U1089" s="210"/>
      <c r="V1089" s="210"/>
      <c r="W1089" s="210"/>
      <c r="X1089" s="210"/>
      <c r="Y1089" s="210"/>
      <c r="Z1089" s="210"/>
      <c r="AA1089" s="210"/>
      <c r="AB1089" s="210"/>
      <c r="AC1089" s="210"/>
      <c r="AD1089" s="210"/>
      <c r="AE1089" s="210"/>
      <c r="AF1089" s="210"/>
      <c r="AG1089" s="210"/>
      <c r="AH1089" s="210"/>
      <c r="AI1089" s="210"/>
      <c r="AJ1089" s="210"/>
    </row>
    <row r="1090" ht="14.25" customHeight="1">
      <c r="A1090" s="210"/>
      <c r="B1090" s="210"/>
      <c r="C1090" s="210"/>
      <c r="D1090" s="210"/>
      <c r="E1090" s="210"/>
      <c r="F1090" s="210"/>
      <c r="G1090" s="210"/>
      <c r="H1090" s="210"/>
      <c r="I1090" s="210"/>
      <c r="J1090" s="210"/>
      <c r="K1090" s="210"/>
      <c r="L1090" s="210"/>
      <c r="M1090" s="210"/>
      <c r="N1090" s="210"/>
      <c r="O1090" s="210"/>
      <c r="P1090" s="210"/>
      <c r="Q1090" s="210"/>
      <c r="R1090" s="210"/>
      <c r="S1090" s="210"/>
      <c r="T1090" s="210"/>
      <c r="U1090" s="210"/>
      <c r="V1090" s="210"/>
      <c r="W1090" s="210"/>
      <c r="X1090" s="210"/>
      <c r="Y1090" s="210"/>
      <c r="Z1090" s="210"/>
      <c r="AA1090" s="210"/>
      <c r="AB1090" s="210"/>
      <c r="AC1090" s="210"/>
      <c r="AD1090" s="210"/>
      <c r="AE1090" s="210"/>
      <c r="AF1090" s="210"/>
      <c r="AG1090" s="210"/>
      <c r="AH1090" s="210"/>
      <c r="AI1090" s="210"/>
      <c r="AJ1090" s="210"/>
    </row>
    <row r="1091" ht="14.25" customHeight="1">
      <c r="A1091" s="210"/>
      <c r="B1091" s="210"/>
      <c r="C1091" s="210"/>
      <c r="D1091" s="210"/>
      <c r="E1091" s="210"/>
      <c r="F1091" s="210"/>
      <c r="G1091" s="210"/>
      <c r="H1091" s="210"/>
      <c r="I1091" s="210"/>
      <c r="J1091" s="210"/>
      <c r="K1091" s="210"/>
      <c r="L1091" s="210"/>
      <c r="M1091" s="210"/>
      <c r="N1091" s="210"/>
      <c r="O1091" s="210"/>
      <c r="P1091" s="210"/>
      <c r="Q1091" s="210"/>
      <c r="R1091" s="210"/>
      <c r="S1091" s="210"/>
      <c r="T1091" s="210"/>
      <c r="U1091" s="210"/>
      <c r="V1091" s="210"/>
      <c r="W1091" s="210"/>
      <c r="X1091" s="210"/>
      <c r="Y1091" s="210"/>
      <c r="Z1091" s="210"/>
      <c r="AA1091" s="210"/>
      <c r="AB1091" s="210"/>
      <c r="AC1091" s="210"/>
      <c r="AD1091" s="210"/>
      <c r="AE1091" s="210"/>
      <c r="AF1091" s="210"/>
      <c r="AG1091" s="210"/>
      <c r="AH1091" s="210"/>
      <c r="AI1091" s="210"/>
      <c r="AJ1091" s="210"/>
    </row>
    <row r="1092" ht="14.25" customHeight="1">
      <c r="A1092" s="210"/>
      <c r="B1092" s="210"/>
      <c r="C1092" s="210"/>
      <c r="D1092" s="210"/>
      <c r="E1092" s="210"/>
      <c r="F1092" s="210"/>
      <c r="G1092" s="210"/>
      <c r="H1092" s="210"/>
      <c r="I1092" s="210"/>
      <c r="J1092" s="210"/>
      <c r="K1092" s="210"/>
      <c r="L1092" s="210"/>
      <c r="M1092" s="210"/>
      <c r="N1092" s="210"/>
      <c r="O1092" s="210"/>
      <c r="P1092" s="210"/>
      <c r="Q1092" s="210"/>
      <c r="R1092" s="210"/>
      <c r="S1092" s="210"/>
      <c r="T1092" s="210"/>
      <c r="U1092" s="210"/>
      <c r="V1092" s="210"/>
      <c r="W1092" s="210"/>
      <c r="X1092" s="210"/>
      <c r="Y1092" s="210"/>
      <c r="Z1092" s="210"/>
      <c r="AA1092" s="210"/>
      <c r="AB1092" s="210"/>
      <c r="AC1092" s="210"/>
      <c r="AD1092" s="210"/>
      <c r="AE1092" s="210"/>
      <c r="AF1092" s="210"/>
      <c r="AG1092" s="210"/>
      <c r="AH1092" s="210"/>
      <c r="AI1092" s="210"/>
      <c r="AJ1092" s="210"/>
    </row>
    <row r="1093" ht="14.25" customHeight="1">
      <c r="A1093" s="210"/>
      <c r="B1093" s="210"/>
      <c r="C1093" s="210"/>
      <c r="D1093" s="210"/>
      <c r="E1093" s="210"/>
      <c r="F1093" s="210"/>
      <c r="G1093" s="210"/>
      <c r="H1093" s="210"/>
      <c r="I1093" s="210"/>
      <c r="J1093" s="210"/>
      <c r="K1093" s="210"/>
      <c r="L1093" s="210"/>
      <c r="M1093" s="210"/>
      <c r="N1093" s="210"/>
      <c r="O1093" s="210"/>
      <c r="P1093" s="210"/>
      <c r="Q1093" s="210"/>
      <c r="R1093" s="210"/>
      <c r="S1093" s="210"/>
      <c r="T1093" s="210"/>
      <c r="U1093" s="210"/>
      <c r="V1093" s="210"/>
      <c r="W1093" s="210"/>
      <c r="X1093" s="210"/>
      <c r="Y1093" s="210"/>
      <c r="Z1093" s="210"/>
      <c r="AA1093" s="210"/>
      <c r="AB1093" s="210"/>
      <c r="AC1093" s="210"/>
      <c r="AD1093" s="210"/>
      <c r="AE1093" s="210"/>
      <c r="AF1093" s="210"/>
      <c r="AG1093" s="210"/>
      <c r="AH1093" s="210"/>
      <c r="AI1093" s="210"/>
      <c r="AJ1093" s="210"/>
    </row>
    <row r="1094" ht="14.25" customHeight="1">
      <c r="A1094" s="210"/>
      <c r="B1094" s="210"/>
      <c r="C1094" s="210"/>
      <c r="D1094" s="210"/>
      <c r="E1094" s="210"/>
      <c r="F1094" s="210"/>
      <c r="G1094" s="210"/>
      <c r="H1094" s="210"/>
      <c r="I1094" s="210"/>
      <c r="J1094" s="210"/>
      <c r="K1094" s="210"/>
      <c r="L1094" s="210"/>
      <c r="M1094" s="210"/>
      <c r="N1094" s="210"/>
      <c r="O1094" s="210"/>
      <c r="P1094" s="210"/>
      <c r="Q1094" s="210"/>
      <c r="R1094" s="210"/>
      <c r="S1094" s="210"/>
      <c r="T1094" s="210"/>
      <c r="U1094" s="210"/>
      <c r="V1094" s="210"/>
      <c r="W1094" s="210"/>
      <c r="X1094" s="210"/>
      <c r="Y1094" s="210"/>
      <c r="Z1094" s="210"/>
      <c r="AA1094" s="210"/>
      <c r="AB1094" s="210"/>
      <c r="AC1094" s="210"/>
      <c r="AD1094" s="210"/>
      <c r="AE1094" s="210"/>
      <c r="AF1094" s="210"/>
      <c r="AG1094" s="210"/>
      <c r="AH1094" s="210"/>
      <c r="AI1094" s="210"/>
      <c r="AJ1094" s="210"/>
    </row>
    <row r="1095" ht="14.25" customHeight="1">
      <c r="A1095" s="210"/>
      <c r="B1095" s="210"/>
      <c r="C1095" s="210"/>
      <c r="D1095" s="210"/>
      <c r="E1095" s="210"/>
      <c r="F1095" s="210"/>
      <c r="G1095" s="210"/>
      <c r="H1095" s="210"/>
      <c r="I1095" s="210"/>
      <c r="J1095" s="210"/>
      <c r="K1095" s="210"/>
      <c r="L1095" s="210"/>
      <c r="M1095" s="210"/>
      <c r="N1095" s="210"/>
      <c r="O1095" s="210"/>
      <c r="P1095" s="210"/>
      <c r="Q1095" s="210"/>
      <c r="R1095" s="210"/>
      <c r="S1095" s="210"/>
      <c r="T1095" s="210"/>
      <c r="U1095" s="210"/>
      <c r="V1095" s="210"/>
      <c r="W1095" s="210"/>
      <c r="X1095" s="210"/>
      <c r="Y1095" s="210"/>
      <c r="Z1095" s="210"/>
      <c r="AA1095" s="210"/>
      <c r="AB1095" s="210"/>
      <c r="AC1095" s="210"/>
      <c r="AD1095" s="210"/>
      <c r="AE1095" s="210"/>
      <c r="AF1095" s="210"/>
      <c r="AG1095" s="210"/>
      <c r="AH1095" s="210"/>
      <c r="AI1095" s="210"/>
      <c r="AJ1095" s="210"/>
    </row>
    <row r="1096" ht="14.25" customHeight="1">
      <c r="A1096" s="210"/>
      <c r="B1096" s="210"/>
      <c r="C1096" s="210"/>
      <c r="D1096" s="210"/>
      <c r="E1096" s="210"/>
      <c r="F1096" s="210"/>
      <c r="G1096" s="210"/>
      <c r="H1096" s="210"/>
      <c r="I1096" s="210"/>
      <c r="J1096" s="210"/>
      <c r="K1096" s="210"/>
      <c r="L1096" s="210"/>
      <c r="M1096" s="210"/>
      <c r="N1096" s="210"/>
      <c r="O1096" s="210"/>
      <c r="P1096" s="210"/>
      <c r="Q1096" s="210"/>
      <c r="R1096" s="210"/>
      <c r="S1096" s="210"/>
      <c r="T1096" s="210"/>
      <c r="U1096" s="210"/>
      <c r="V1096" s="210"/>
      <c r="W1096" s="210"/>
      <c r="X1096" s="210"/>
      <c r="Y1096" s="210"/>
      <c r="Z1096" s="210"/>
      <c r="AA1096" s="210"/>
      <c r="AB1096" s="210"/>
      <c r="AC1096" s="210"/>
      <c r="AD1096" s="210"/>
      <c r="AE1096" s="210"/>
      <c r="AF1096" s="210"/>
      <c r="AG1096" s="210"/>
      <c r="AH1096" s="210"/>
      <c r="AI1096" s="210"/>
      <c r="AJ1096" s="210"/>
    </row>
    <row r="1097" ht="14.25" customHeight="1">
      <c r="A1097" s="210"/>
      <c r="B1097" s="210"/>
      <c r="C1097" s="210"/>
      <c r="D1097" s="210"/>
      <c r="E1097" s="210"/>
      <c r="F1097" s="210"/>
      <c r="G1097" s="210"/>
      <c r="H1097" s="210"/>
      <c r="I1097" s="210"/>
      <c r="J1097" s="210"/>
      <c r="K1097" s="210"/>
      <c r="L1097" s="210"/>
      <c r="M1097" s="210"/>
      <c r="N1097" s="210"/>
      <c r="O1097" s="210"/>
      <c r="P1097" s="210"/>
      <c r="Q1097" s="210"/>
      <c r="R1097" s="210"/>
      <c r="S1097" s="210"/>
      <c r="T1097" s="210"/>
      <c r="U1097" s="210"/>
      <c r="V1097" s="210"/>
      <c r="W1097" s="210"/>
      <c r="X1097" s="210"/>
      <c r="Y1097" s="210"/>
      <c r="Z1097" s="210"/>
      <c r="AA1097" s="210"/>
      <c r="AB1097" s="210"/>
      <c r="AC1097" s="210"/>
      <c r="AD1097" s="210"/>
      <c r="AE1097" s="210"/>
      <c r="AF1097" s="210"/>
      <c r="AG1097" s="210"/>
      <c r="AH1097" s="210"/>
      <c r="AI1097" s="210"/>
      <c r="AJ1097" s="210"/>
    </row>
    <row r="1098" ht="14.25" customHeight="1">
      <c r="A1098" s="210"/>
      <c r="B1098" s="210"/>
      <c r="C1098" s="210"/>
      <c r="D1098" s="210"/>
      <c r="E1098" s="210"/>
      <c r="F1098" s="210"/>
      <c r="G1098" s="210"/>
      <c r="H1098" s="210"/>
      <c r="I1098" s="210"/>
      <c r="J1098" s="210"/>
      <c r="K1098" s="210"/>
      <c r="L1098" s="210"/>
      <c r="M1098" s="210"/>
      <c r="N1098" s="210"/>
      <c r="O1098" s="210"/>
      <c r="P1098" s="210"/>
      <c r="Q1098" s="210"/>
      <c r="R1098" s="210"/>
      <c r="S1098" s="210"/>
      <c r="T1098" s="210"/>
      <c r="U1098" s="210"/>
      <c r="V1098" s="210"/>
      <c r="W1098" s="210"/>
      <c r="X1098" s="210"/>
      <c r="Y1098" s="210"/>
      <c r="Z1098" s="210"/>
      <c r="AA1098" s="210"/>
      <c r="AB1098" s="210"/>
      <c r="AC1098" s="210"/>
      <c r="AD1098" s="210"/>
      <c r="AE1098" s="210"/>
      <c r="AF1098" s="210"/>
      <c r="AG1098" s="210"/>
      <c r="AH1098" s="210"/>
      <c r="AI1098" s="210"/>
      <c r="AJ1098" s="210"/>
    </row>
    <row r="1099" ht="14.25" customHeight="1">
      <c r="A1099" s="210"/>
      <c r="B1099" s="210"/>
      <c r="C1099" s="210"/>
      <c r="D1099" s="210"/>
      <c r="E1099" s="210"/>
      <c r="F1099" s="210"/>
      <c r="G1099" s="210"/>
      <c r="H1099" s="210"/>
      <c r="I1099" s="210"/>
      <c r="J1099" s="210"/>
      <c r="K1099" s="210"/>
      <c r="L1099" s="210"/>
      <c r="M1099" s="210"/>
      <c r="N1099" s="210"/>
      <c r="O1099" s="210"/>
      <c r="P1099" s="210"/>
      <c r="Q1099" s="210"/>
      <c r="R1099" s="210"/>
      <c r="S1099" s="210"/>
      <c r="T1099" s="210"/>
      <c r="U1099" s="210"/>
      <c r="V1099" s="210"/>
      <c r="W1099" s="210"/>
      <c r="X1099" s="210"/>
      <c r="Y1099" s="210"/>
      <c r="Z1099" s="210"/>
      <c r="AA1099" s="210"/>
      <c r="AB1099" s="210"/>
      <c r="AC1099" s="210"/>
      <c r="AD1099" s="210"/>
      <c r="AE1099" s="210"/>
      <c r="AF1099" s="210"/>
      <c r="AG1099" s="210"/>
      <c r="AH1099" s="210"/>
      <c r="AI1099" s="210"/>
      <c r="AJ1099" s="210"/>
    </row>
    <row r="1100" ht="14.25" customHeight="1">
      <c r="A1100" s="210"/>
      <c r="B1100" s="210"/>
      <c r="C1100" s="210"/>
      <c r="D1100" s="210"/>
      <c r="E1100" s="210"/>
      <c r="F1100" s="210"/>
      <c r="G1100" s="210"/>
      <c r="H1100" s="210"/>
      <c r="I1100" s="210"/>
      <c r="J1100" s="210"/>
      <c r="K1100" s="210"/>
      <c r="L1100" s="210"/>
      <c r="M1100" s="210"/>
      <c r="N1100" s="210"/>
      <c r="O1100" s="210"/>
      <c r="P1100" s="210"/>
      <c r="Q1100" s="210"/>
      <c r="R1100" s="210"/>
      <c r="S1100" s="210"/>
      <c r="T1100" s="210"/>
      <c r="U1100" s="210"/>
      <c r="V1100" s="210"/>
      <c r="W1100" s="210"/>
      <c r="X1100" s="210"/>
      <c r="Y1100" s="210"/>
      <c r="Z1100" s="210"/>
      <c r="AA1100" s="210"/>
      <c r="AB1100" s="210"/>
      <c r="AC1100" s="210"/>
      <c r="AD1100" s="210"/>
      <c r="AE1100" s="210"/>
      <c r="AF1100" s="210"/>
      <c r="AG1100" s="210"/>
      <c r="AH1100" s="210"/>
      <c r="AI1100" s="210"/>
      <c r="AJ1100" s="210"/>
    </row>
    <row r="1101" ht="14.25" customHeight="1">
      <c r="A1101" s="210"/>
      <c r="B1101" s="210"/>
      <c r="C1101" s="210"/>
      <c r="D1101" s="210"/>
      <c r="E1101" s="210"/>
      <c r="F1101" s="210"/>
      <c r="G1101" s="210"/>
      <c r="H1101" s="210"/>
      <c r="I1101" s="210"/>
      <c r="J1101" s="210"/>
      <c r="K1101" s="210"/>
      <c r="L1101" s="210"/>
      <c r="M1101" s="210"/>
      <c r="N1101" s="210"/>
      <c r="O1101" s="210"/>
      <c r="P1101" s="210"/>
      <c r="Q1101" s="210"/>
      <c r="R1101" s="210"/>
      <c r="S1101" s="210"/>
      <c r="T1101" s="210"/>
      <c r="U1101" s="210"/>
      <c r="V1101" s="210"/>
      <c r="W1101" s="210"/>
      <c r="X1101" s="210"/>
      <c r="Y1101" s="210"/>
      <c r="Z1101" s="210"/>
      <c r="AA1101" s="210"/>
      <c r="AB1101" s="210"/>
      <c r="AC1101" s="210"/>
      <c r="AD1101" s="210"/>
      <c r="AE1101" s="210"/>
      <c r="AF1101" s="210"/>
      <c r="AG1101" s="210"/>
      <c r="AH1101" s="210"/>
      <c r="AI1101" s="210"/>
      <c r="AJ1101" s="210"/>
    </row>
    <row r="1102" ht="14.25" customHeight="1">
      <c r="A1102" s="210"/>
      <c r="B1102" s="210"/>
      <c r="C1102" s="210"/>
      <c r="D1102" s="210"/>
      <c r="E1102" s="210"/>
      <c r="F1102" s="210"/>
      <c r="G1102" s="210"/>
      <c r="H1102" s="210"/>
      <c r="I1102" s="210"/>
      <c r="J1102" s="210"/>
      <c r="K1102" s="210"/>
      <c r="L1102" s="210"/>
      <c r="M1102" s="210"/>
      <c r="N1102" s="210"/>
      <c r="O1102" s="210"/>
      <c r="P1102" s="210"/>
      <c r="Q1102" s="210"/>
      <c r="R1102" s="210"/>
      <c r="S1102" s="210"/>
      <c r="T1102" s="210"/>
      <c r="U1102" s="210"/>
      <c r="V1102" s="210"/>
      <c r="W1102" s="210"/>
      <c r="X1102" s="210"/>
      <c r="Y1102" s="210"/>
      <c r="Z1102" s="210"/>
      <c r="AA1102" s="210"/>
      <c r="AB1102" s="210"/>
      <c r="AC1102" s="210"/>
      <c r="AD1102" s="210"/>
      <c r="AE1102" s="210"/>
      <c r="AF1102" s="210"/>
      <c r="AG1102" s="210"/>
      <c r="AH1102" s="210"/>
      <c r="AI1102" s="210"/>
      <c r="AJ1102" s="210"/>
    </row>
    <row r="1103" ht="14.25" customHeight="1">
      <c r="A1103" s="210"/>
      <c r="B1103" s="210"/>
      <c r="C1103" s="210"/>
      <c r="D1103" s="210"/>
      <c r="E1103" s="210"/>
      <c r="F1103" s="210"/>
      <c r="G1103" s="210"/>
      <c r="H1103" s="210"/>
      <c r="I1103" s="210"/>
      <c r="J1103" s="210"/>
      <c r="K1103" s="210"/>
      <c r="L1103" s="210"/>
      <c r="M1103" s="210"/>
      <c r="N1103" s="210"/>
      <c r="O1103" s="210"/>
      <c r="P1103" s="210"/>
      <c r="Q1103" s="210"/>
      <c r="R1103" s="210"/>
      <c r="S1103" s="210"/>
      <c r="T1103" s="210"/>
      <c r="U1103" s="210"/>
      <c r="V1103" s="210"/>
      <c r="W1103" s="210"/>
      <c r="X1103" s="210"/>
      <c r="Y1103" s="210"/>
      <c r="Z1103" s="210"/>
      <c r="AA1103" s="210"/>
      <c r="AB1103" s="210"/>
      <c r="AC1103" s="210"/>
      <c r="AD1103" s="210"/>
      <c r="AE1103" s="210"/>
      <c r="AF1103" s="210"/>
      <c r="AG1103" s="210"/>
      <c r="AH1103" s="210"/>
      <c r="AI1103" s="210"/>
      <c r="AJ1103" s="210"/>
    </row>
    <row r="1104" ht="14.25" customHeight="1">
      <c r="A1104" s="210"/>
      <c r="B1104" s="210"/>
      <c r="C1104" s="210"/>
      <c r="D1104" s="210"/>
      <c r="E1104" s="210"/>
      <c r="F1104" s="210"/>
      <c r="G1104" s="210"/>
      <c r="H1104" s="210"/>
      <c r="I1104" s="210"/>
      <c r="J1104" s="210"/>
      <c r="K1104" s="210"/>
      <c r="L1104" s="210"/>
      <c r="M1104" s="210"/>
      <c r="N1104" s="210"/>
      <c r="O1104" s="210"/>
      <c r="P1104" s="210"/>
      <c r="Q1104" s="210"/>
      <c r="R1104" s="210"/>
      <c r="S1104" s="210"/>
      <c r="T1104" s="210"/>
      <c r="U1104" s="210"/>
      <c r="V1104" s="210"/>
      <c r="W1104" s="210"/>
      <c r="X1104" s="210"/>
      <c r="Y1104" s="210"/>
      <c r="Z1104" s="210"/>
      <c r="AA1104" s="210"/>
      <c r="AB1104" s="210"/>
      <c r="AC1104" s="210"/>
      <c r="AD1104" s="210"/>
      <c r="AE1104" s="210"/>
      <c r="AF1104" s="210"/>
      <c r="AG1104" s="210"/>
      <c r="AH1104" s="210"/>
      <c r="AI1104" s="210"/>
      <c r="AJ1104" s="210"/>
    </row>
    <row r="1105" ht="14.25" customHeight="1">
      <c r="A1105" s="210"/>
      <c r="B1105" s="210"/>
      <c r="C1105" s="210"/>
      <c r="D1105" s="210"/>
      <c r="E1105" s="210"/>
      <c r="F1105" s="210"/>
      <c r="G1105" s="210"/>
      <c r="H1105" s="210"/>
      <c r="I1105" s="210"/>
      <c r="J1105" s="210"/>
      <c r="K1105" s="210"/>
      <c r="L1105" s="210"/>
      <c r="M1105" s="210"/>
      <c r="N1105" s="210"/>
      <c r="O1105" s="210"/>
      <c r="P1105" s="210"/>
      <c r="Q1105" s="210"/>
      <c r="R1105" s="210"/>
      <c r="S1105" s="210"/>
      <c r="T1105" s="210"/>
      <c r="U1105" s="210"/>
      <c r="V1105" s="210"/>
      <c r="W1105" s="210"/>
      <c r="X1105" s="210"/>
      <c r="Y1105" s="210"/>
      <c r="Z1105" s="210"/>
      <c r="AA1105" s="210"/>
      <c r="AB1105" s="210"/>
      <c r="AC1105" s="210"/>
      <c r="AD1105" s="210"/>
      <c r="AE1105" s="210"/>
      <c r="AF1105" s="210"/>
      <c r="AG1105" s="210"/>
      <c r="AH1105" s="210"/>
      <c r="AI1105" s="210"/>
      <c r="AJ1105" s="210"/>
    </row>
    <row r="1106" ht="14.25" customHeight="1">
      <c r="A1106" s="210"/>
      <c r="B1106" s="210"/>
      <c r="C1106" s="210"/>
      <c r="D1106" s="210"/>
      <c r="E1106" s="210"/>
      <c r="F1106" s="210"/>
      <c r="G1106" s="210"/>
      <c r="H1106" s="210"/>
      <c r="I1106" s="210"/>
      <c r="J1106" s="210"/>
      <c r="K1106" s="210"/>
      <c r="L1106" s="210"/>
      <c r="M1106" s="210"/>
      <c r="N1106" s="210"/>
      <c r="O1106" s="210"/>
      <c r="P1106" s="210"/>
      <c r="Q1106" s="210"/>
      <c r="R1106" s="210"/>
      <c r="S1106" s="210"/>
      <c r="T1106" s="210"/>
      <c r="U1106" s="210"/>
      <c r="V1106" s="210"/>
      <c r="W1106" s="210"/>
      <c r="X1106" s="210"/>
      <c r="Y1106" s="210"/>
      <c r="Z1106" s="210"/>
      <c r="AA1106" s="210"/>
      <c r="AB1106" s="210"/>
      <c r="AC1106" s="210"/>
      <c r="AD1106" s="210"/>
      <c r="AE1106" s="210"/>
      <c r="AF1106" s="210"/>
      <c r="AG1106" s="210"/>
      <c r="AH1106" s="210"/>
      <c r="AI1106" s="210"/>
      <c r="AJ1106" s="210"/>
    </row>
    <row r="1107" ht="14.25" customHeight="1">
      <c r="A1107" s="210"/>
      <c r="B1107" s="210"/>
      <c r="C1107" s="210"/>
      <c r="D1107" s="210"/>
      <c r="E1107" s="210"/>
      <c r="F1107" s="210"/>
      <c r="G1107" s="210"/>
      <c r="H1107" s="210"/>
      <c r="I1107" s="210"/>
      <c r="J1107" s="210"/>
      <c r="K1107" s="210"/>
      <c r="L1107" s="210"/>
      <c r="M1107" s="210"/>
      <c r="N1107" s="210"/>
      <c r="O1107" s="210"/>
      <c r="P1107" s="210"/>
      <c r="Q1107" s="210"/>
      <c r="R1107" s="210"/>
      <c r="S1107" s="210"/>
      <c r="T1107" s="210"/>
      <c r="U1107" s="210"/>
      <c r="V1107" s="210"/>
      <c r="W1107" s="210"/>
      <c r="X1107" s="210"/>
      <c r="Y1107" s="210"/>
      <c r="Z1107" s="210"/>
      <c r="AA1107" s="210"/>
      <c r="AB1107" s="210"/>
      <c r="AC1107" s="210"/>
      <c r="AD1107" s="210"/>
      <c r="AE1107" s="210"/>
      <c r="AF1107" s="210"/>
      <c r="AG1107" s="210"/>
      <c r="AH1107" s="210"/>
      <c r="AI1107" s="210"/>
      <c r="AJ1107" s="210"/>
    </row>
    <row r="1108" ht="14.25" customHeight="1">
      <c r="A1108" s="210"/>
      <c r="B1108" s="210"/>
      <c r="C1108" s="210"/>
      <c r="D1108" s="210"/>
      <c r="E1108" s="210"/>
      <c r="F1108" s="210"/>
      <c r="G1108" s="210"/>
      <c r="H1108" s="210"/>
      <c r="I1108" s="210"/>
      <c r="J1108" s="210"/>
      <c r="K1108" s="210"/>
      <c r="L1108" s="210"/>
      <c r="M1108" s="210"/>
      <c r="N1108" s="210"/>
      <c r="O1108" s="210"/>
      <c r="P1108" s="210"/>
      <c r="Q1108" s="210"/>
      <c r="R1108" s="210"/>
      <c r="S1108" s="210"/>
      <c r="T1108" s="210"/>
      <c r="U1108" s="210"/>
      <c r="V1108" s="210"/>
      <c r="W1108" s="210"/>
      <c r="X1108" s="210"/>
      <c r="Y1108" s="210"/>
      <c r="Z1108" s="210"/>
      <c r="AA1108" s="210"/>
      <c r="AB1108" s="210"/>
      <c r="AC1108" s="210"/>
      <c r="AD1108" s="210"/>
      <c r="AE1108" s="210"/>
      <c r="AF1108" s="210"/>
      <c r="AG1108" s="210"/>
      <c r="AH1108" s="210"/>
      <c r="AI1108" s="210"/>
      <c r="AJ1108" s="210"/>
    </row>
    <row r="1109" ht="14.25" customHeight="1">
      <c r="A1109" s="210"/>
      <c r="B1109" s="210"/>
      <c r="C1109" s="210"/>
      <c r="D1109" s="210"/>
      <c r="E1109" s="210"/>
      <c r="F1109" s="210"/>
      <c r="G1109" s="210"/>
      <c r="H1109" s="210"/>
      <c r="I1109" s="210"/>
      <c r="J1109" s="210"/>
      <c r="K1109" s="210"/>
      <c r="L1109" s="210"/>
      <c r="M1109" s="210"/>
      <c r="N1109" s="210"/>
      <c r="O1109" s="210"/>
      <c r="P1109" s="210"/>
      <c r="Q1109" s="210"/>
      <c r="R1109" s="210"/>
      <c r="S1109" s="210"/>
      <c r="T1109" s="210"/>
      <c r="U1109" s="210"/>
      <c r="V1109" s="210"/>
      <c r="W1109" s="210"/>
      <c r="X1109" s="210"/>
      <c r="Y1109" s="210"/>
      <c r="Z1109" s="210"/>
      <c r="AA1109" s="210"/>
      <c r="AB1109" s="210"/>
      <c r="AC1109" s="210"/>
      <c r="AD1109" s="210"/>
      <c r="AE1109" s="210"/>
      <c r="AF1109" s="210"/>
      <c r="AG1109" s="210"/>
      <c r="AH1109" s="210"/>
      <c r="AI1109" s="210"/>
      <c r="AJ1109" s="210"/>
    </row>
    <row r="1110" ht="14.25" customHeight="1">
      <c r="A1110" s="210"/>
      <c r="B1110" s="210"/>
      <c r="C1110" s="210"/>
      <c r="D1110" s="210"/>
      <c r="E1110" s="210"/>
      <c r="F1110" s="210"/>
      <c r="G1110" s="210"/>
      <c r="H1110" s="210"/>
      <c r="I1110" s="210"/>
      <c r="J1110" s="210"/>
      <c r="K1110" s="210"/>
      <c r="L1110" s="210"/>
      <c r="M1110" s="210"/>
      <c r="N1110" s="210"/>
      <c r="O1110" s="210"/>
      <c r="P1110" s="210"/>
      <c r="Q1110" s="210"/>
      <c r="R1110" s="210"/>
      <c r="S1110" s="210"/>
      <c r="T1110" s="210"/>
      <c r="U1110" s="210"/>
      <c r="V1110" s="210"/>
      <c r="W1110" s="210"/>
      <c r="X1110" s="210"/>
      <c r="Y1110" s="210"/>
      <c r="Z1110" s="210"/>
      <c r="AA1110" s="210"/>
      <c r="AB1110" s="210"/>
      <c r="AC1110" s="210"/>
      <c r="AD1110" s="210"/>
      <c r="AE1110" s="210"/>
      <c r="AF1110" s="210"/>
      <c r="AG1110" s="210"/>
      <c r="AH1110" s="210"/>
      <c r="AI1110" s="210"/>
      <c r="AJ1110" s="210"/>
    </row>
    <row r="1111" ht="14.25" customHeight="1">
      <c r="A1111" s="210"/>
      <c r="B1111" s="210"/>
      <c r="C1111" s="210"/>
      <c r="D1111" s="210"/>
      <c r="E1111" s="210"/>
      <c r="F1111" s="210"/>
      <c r="G1111" s="210"/>
      <c r="H1111" s="210"/>
      <c r="I1111" s="210"/>
      <c r="J1111" s="210"/>
      <c r="K1111" s="210"/>
      <c r="L1111" s="210"/>
      <c r="M1111" s="210"/>
      <c r="N1111" s="210"/>
      <c r="O1111" s="210"/>
      <c r="P1111" s="210"/>
      <c r="Q1111" s="210"/>
      <c r="R1111" s="210"/>
      <c r="S1111" s="210"/>
      <c r="T1111" s="210"/>
      <c r="U1111" s="210"/>
      <c r="V1111" s="210"/>
      <c r="W1111" s="210"/>
      <c r="X1111" s="210"/>
      <c r="Y1111" s="210"/>
      <c r="Z1111" s="210"/>
      <c r="AA1111" s="210"/>
      <c r="AB1111" s="210"/>
      <c r="AC1111" s="210"/>
      <c r="AD1111" s="210"/>
      <c r="AE1111" s="210"/>
      <c r="AF1111" s="210"/>
      <c r="AG1111" s="210"/>
      <c r="AH1111" s="210"/>
      <c r="AI1111" s="210"/>
      <c r="AJ1111" s="210"/>
    </row>
    <row r="1112" ht="14.25" customHeight="1">
      <c r="A1112" s="210"/>
      <c r="B1112" s="210"/>
      <c r="C1112" s="210"/>
      <c r="D1112" s="210"/>
      <c r="E1112" s="210"/>
      <c r="F1112" s="210"/>
      <c r="G1112" s="210"/>
      <c r="H1112" s="210"/>
      <c r="I1112" s="210"/>
      <c r="J1112" s="210"/>
      <c r="K1112" s="210"/>
      <c r="L1112" s="210"/>
      <c r="M1112" s="210"/>
      <c r="N1112" s="210"/>
      <c r="O1112" s="210"/>
      <c r="P1112" s="210"/>
      <c r="Q1112" s="210"/>
      <c r="R1112" s="210"/>
      <c r="S1112" s="210"/>
      <c r="T1112" s="210"/>
      <c r="U1112" s="210"/>
      <c r="V1112" s="210"/>
      <c r="W1112" s="210"/>
      <c r="X1112" s="210"/>
      <c r="Y1112" s="210"/>
      <c r="Z1112" s="210"/>
      <c r="AA1112" s="210"/>
      <c r="AB1112" s="210"/>
      <c r="AC1112" s="210"/>
      <c r="AD1112" s="210"/>
      <c r="AE1112" s="210"/>
      <c r="AF1112" s="210"/>
      <c r="AG1112" s="210"/>
      <c r="AH1112" s="210"/>
      <c r="AI1112" s="210"/>
      <c r="AJ1112" s="210"/>
    </row>
    <row r="1113" ht="14.25" customHeight="1">
      <c r="A1113" s="210"/>
      <c r="B1113" s="210"/>
      <c r="C1113" s="210"/>
      <c r="D1113" s="210"/>
      <c r="E1113" s="210"/>
      <c r="F1113" s="210"/>
      <c r="G1113" s="210"/>
      <c r="H1113" s="210"/>
      <c r="I1113" s="210"/>
      <c r="J1113" s="210"/>
      <c r="K1113" s="210"/>
      <c r="L1113" s="210"/>
      <c r="M1113" s="210"/>
      <c r="N1113" s="210"/>
      <c r="O1113" s="210"/>
      <c r="P1113" s="210"/>
      <c r="Q1113" s="210"/>
      <c r="R1113" s="210"/>
      <c r="S1113" s="210"/>
      <c r="T1113" s="210"/>
      <c r="U1113" s="210"/>
      <c r="V1113" s="210"/>
      <c r="W1113" s="210"/>
      <c r="X1113" s="210"/>
      <c r="Y1113" s="210"/>
      <c r="Z1113" s="210"/>
      <c r="AA1113" s="210"/>
      <c r="AB1113" s="210"/>
      <c r="AC1113" s="210"/>
      <c r="AD1113" s="210"/>
      <c r="AE1113" s="210"/>
      <c r="AF1113" s="210"/>
      <c r="AG1113" s="210"/>
      <c r="AH1113" s="210"/>
      <c r="AI1113" s="210"/>
      <c r="AJ1113" s="210"/>
    </row>
    <row r="1114" ht="14.25" customHeight="1">
      <c r="A1114" s="210"/>
      <c r="B1114" s="210"/>
      <c r="C1114" s="210"/>
      <c r="D1114" s="210"/>
      <c r="E1114" s="210"/>
      <c r="F1114" s="210"/>
      <c r="G1114" s="210"/>
      <c r="H1114" s="210"/>
      <c r="I1114" s="210"/>
      <c r="J1114" s="210"/>
      <c r="K1114" s="210"/>
      <c r="L1114" s="210"/>
      <c r="M1114" s="210"/>
      <c r="N1114" s="210"/>
      <c r="O1114" s="210"/>
      <c r="P1114" s="210"/>
      <c r="Q1114" s="210"/>
      <c r="R1114" s="210"/>
      <c r="S1114" s="210"/>
      <c r="T1114" s="210"/>
      <c r="U1114" s="210"/>
      <c r="V1114" s="210"/>
      <c r="W1114" s="210"/>
      <c r="X1114" s="210"/>
      <c r="Y1114" s="210"/>
      <c r="Z1114" s="210"/>
      <c r="AA1114" s="210"/>
      <c r="AB1114" s="210"/>
      <c r="AC1114" s="210"/>
      <c r="AD1114" s="210"/>
      <c r="AE1114" s="210"/>
      <c r="AF1114" s="210"/>
      <c r="AG1114" s="210"/>
      <c r="AH1114" s="210"/>
      <c r="AI1114" s="210"/>
      <c r="AJ1114" s="210"/>
    </row>
    <row r="1115" ht="14.25" customHeight="1">
      <c r="A1115" s="210"/>
      <c r="B1115" s="210"/>
      <c r="C1115" s="210"/>
      <c r="D1115" s="210"/>
      <c r="E1115" s="210"/>
      <c r="F1115" s="210"/>
      <c r="G1115" s="210"/>
      <c r="H1115" s="210"/>
      <c r="I1115" s="210"/>
      <c r="J1115" s="210"/>
      <c r="K1115" s="210"/>
      <c r="L1115" s="210"/>
      <c r="M1115" s="210"/>
      <c r="N1115" s="210"/>
      <c r="O1115" s="210"/>
      <c r="P1115" s="210"/>
      <c r="Q1115" s="210"/>
      <c r="R1115" s="210"/>
      <c r="S1115" s="210"/>
      <c r="T1115" s="210"/>
      <c r="U1115" s="210"/>
      <c r="V1115" s="210"/>
      <c r="W1115" s="210"/>
      <c r="X1115" s="210"/>
      <c r="Y1115" s="210"/>
      <c r="Z1115" s="210"/>
      <c r="AA1115" s="210"/>
      <c r="AB1115" s="210"/>
      <c r="AC1115" s="210"/>
      <c r="AD1115" s="210"/>
      <c r="AE1115" s="210"/>
      <c r="AF1115" s="210"/>
      <c r="AG1115" s="210"/>
      <c r="AH1115" s="210"/>
      <c r="AI1115" s="210"/>
      <c r="AJ1115" s="210"/>
    </row>
    <row r="1116" ht="14.25" customHeight="1">
      <c r="A1116" s="210"/>
      <c r="B1116" s="210"/>
      <c r="C1116" s="210"/>
      <c r="D1116" s="210"/>
      <c r="E1116" s="210"/>
      <c r="F1116" s="210"/>
      <c r="G1116" s="210"/>
      <c r="H1116" s="210"/>
      <c r="I1116" s="210"/>
      <c r="J1116" s="210"/>
      <c r="K1116" s="210"/>
      <c r="L1116" s="210"/>
      <c r="M1116" s="210"/>
      <c r="N1116" s="210"/>
      <c r="O1116" s="210"/>
      <c r="P1116" s="210"/>
      <c r="Q1116" s="210"/>
      <c r="R1116" s="210"/>
      <c r="S1116" s="210"/>
      <c r="T1116" s="210"/>
      <c r="U1116" s="210"/>
      <c r="V1116" s="210"/>
      <c r="W1116" s="210"/>
      <c r="X1116" s="210"/>
      <c r="Y1116" s="210"/>
      <c r="Z1116" s="210"/>
      <c r="AA1116" s="210"/>
      <c r="AB1116" s="210"/>
      <c r="AC1116" s="210"/>
      <c r="AD1116" s="210"/>
      <c r="AE1116" s="210"/>
      <c r="AF1116" s="210"/>
      <c r="AG1116" s="210"/>
      <c r="AH1116" s="210"/>
      <c r="AI1116" s="210"/>
      <c r="AJ1116" s="210"/>
    </row>
    <row r="1117" ht="14.25" customHeight="1">
      <c r="A1117" s="210"/>
      <c r="B1117" s="210"/>
      <c r="C1117" s="210"/>
      <c r="D1117" s="210"/>
      <c r="E1117" s="210"/>
      <c r="F1117" s="210"/>
      <c r="G1117" s="210"/>
      <c r="H1117" s="210"/>
      <c r="I1117" s="210"/>
      <c r="J1117" s="210"/>
      <c r="K1117" s="210"/>
      <c r="L1117" s="210"/>
      <c r="M1117" s="210"/>
      <c r="N1117" s="210"/>
      <c r="O1117" s="210"/>
      <c r="P1117" s="210"/>
      <c r="Q1117" s="210"/>
      <c r="R1117" s="210"/>
      <c r="S1117" s="210"/>
      <c r="T1117" s="210"/>
      <c r="U1117" s="210"/>
      <c r="V1117" s="210"/>
      <c r="W1117" s="210"/>
      <c r="X1117" s="210"/>
      <c r="Y1117" s="210"/>
      <c r="Z1117" s="210"/>
      <c r="AA1117" s="210"/>
      <c r="AB1117" s="210"/>
      <c r="AC1117" s="210"/>
      <c r="AD1117" s="210"/>
      <c r="AE1117" s="210"/>
      <c r="AF1117" s="210"/>
      <c r="AG1117" s="210"/>
      <c r="AH1117" s="210"/>
      <c r="AI1117" s="210"/>
      <c r="AJ1117" s="210"/>
    </row>
    <row r="1118" ht="14.25" customHeight="1">
      <c r="A1118" s="210"/>
      <c r="B1118" s="210"/>
      <c r="C1118" s="210"/>
      <c r="D1118" s="210"/>
      <c r="E1118" s="210"/>
      <c r="F1118" s="210"/>
      <c r="G1118" s="210"/>
      <c r="H1118" s="210"/>
      <c r="I1118" s="210"/>
      <c r="J1118" s="210"/>
      <c r="K1118" s="210"/>
      <c r="L1118" s="210"/>
      <c r="M1118" s="210"/>
      <c r="N1118" s="210"/>
      <c r="O1118" s="210"/>
      <c r="P1118" s="210"/>
      <c r="Q1118" s="210"/>
      <c r="R1118" s="210"/>
      <c r="S1118" s="210"/>
      <c r="T1118" s="210"/>
      <c r="U1118" s="210"/>
      <c r="V1118" s="210"/>
      <c r="W1118" s="210"/>
      <c r="X1118" s="210"/>
      <c r="Y1118" s="210"/>
      <c r="Z1118" s="210"/>
      <c r="AA1118" s="210"/>
      <c r="AB1118" s="210"/>
      <c r="AC1118" s="210"/>
      <c r="AD1118" s="210"/>
      <c r="AE1118" s="210"/>
      <c r="AF1118" s="210"/>
      <c r="AG1118" s="210"/>
      <c r="AH1118" s="210"/>
      <c r="AI1118" s="210"/>
      <c r="AJ1118" s="210"/>
    </row>
    <row r="1119" ht="14.25" customHeight="1">
      <c r="A1119" s="210"/>
      <c r="B1119" s="210"/>
      <c r="C1119" s="210"/>
      <c r="D1119" s="210"/>
      <c r="E1119" s="210"/>
      <c r="F1119" s="210"/>
      <c r="G1119" s="210"/>
      <c r="H1119" s="210"/>
      <c r="I1119" s="210"/>
      <c r="J1119" s="210"/>
      <c r="K1119" s="210"/>
      <c r="L1119" s="210"/>
      <c r="M1119" s="210"/>
      <c r="N1119" s="210"/>
      <c r="O1119" s="210"/>
      <c r="P1119" s="210"/>
      <c r="Q1119" s="210"/>
      <c r="R1119" s="210"/>
      <c r="S1119" s="210"/>
      <c r="T1119" s="210"/>
      <c r="U1119" s="210"/>
      <c r="V1119" s="210"/>
      <c r="W1119" s="210"/>
      <c r="X1119" s="210"/>
      <c r="Y1119" s="210"/>
      <c r="Z1119" s="210"/>
      <c r="AA1119" s="210"/>
      <c r="AB1119" s="210"/>
      <c r="AC1119" s="210"/>
      <c r="AD1119" s="210"/>
      <c r="AE1119" s="210"/>
      <c r="AF1119" s="210"/>
      <c r="AG1119" s="210"/>
      <c r="AH1119" s="210"/>
      <c r="AI1119" s="210"/>
      <c r="AJ1119" s="210"/>
    </row>
    <row r="1120" ht="14.25" customHeight="1">
      <c r="A1120" s="210"/>
      <c r="B1120" s="210"/>
      <c r="C1120" s="210"/>
      <c r="D1120" s="210"/>
      <c r="E1120" s="210"/>
      <c r="F1120" s="210"/>
      <c r="G1120" s="210"/>
      <c r="H1120" s="210"/>
      <c r="I1120" s="210"/>
      <c r="J1120" s="210"/>
      <c r="K1120" s="210"/>
      <c r="L1120" s="210"/>
      <c r="M1120" s="210"/>
      <c r="N1120" s="210"/>
      <c r="O1120" s="210"/>
      <c r="P1120" s="210"/>
      <c r="Q1120" s="210"/>
      <c r="R1120" s="210"/>
      <c r="S1120" s="210"/>
      <c r="T1120" s="210"/>
      <c r="U1120" s="210"/>
      <c r="V1120" s="210"/>
      <c r="W1120" s="210"/>
      <c r="X1120" s="210"/>
      <c r="Y1120" s="210"/>
      <c r="Z1120" s="210"/>
      <c r="AA1120" s="210"/>
      <c r="AB1120" s="210"/>
      <c r="AC1120" s="210"/>
      <c r="AD1120" s="210"/>
      <c r="AE1120" s="210"/>
      <c r="AF1120" s="210"/>
      <c r="AG1120" s="210"/>
      <c r="AH1120" s="210"/>
      <c r="AI1120" s="210"/>
      <c r="AJ1120" s="210"/>
    </row>
    <row r="1121" ht="14.25" customHeight="1">
      <c r="A1121" s="210"/>
      <c r="B1121" s="210"/>
      <c r="C1121" s="210"/>
      <c r="D1121" s="210"/>
      <c r="E1121" s="210"/>
      <c r="F1121" s="210"/>
      <c r="G1121" s="210"/>
      <c r="H1121" s="210"/>
      <c r="I1121" s="210"/>
      <c r="J1121" s="210"/>
      <c r="K1121" s="210"/>
      <c r="L1121" s="210"/>
      <c r="M1121" s="210"/>
      <c r="N1121" s="210"/>
      <c r="O1121" s="210"/>
      <c r="P1121" s="210"/>
      <c r="Q1121" s="210"/>
      <c r="R1121" s="210"/>
      <c r="S1121" s="210"/>
      <c r="T1121" s="210"/>
      <c r="U1121" s="210"/>
      <c r="V1121" s="210"/>
      <c r="W1121" s="210"/>
      <c r="X1121" s="210"/>
      <c r="Y1121" s="210"/>
      <c r="Z1121" s="210"/>
      <c r="AA1121" s="210"/>
      <c r="AB1121" s="210"/>
      <c r="AC1121" s="210"/>
      <c r="AD1121" s="210"/>
      <c r="AE1121" s="210"/>
      <c r="AF1121" s="210"/>
      <c r="AG1121" s="210"/>
      <c r="AH1121" s="210"/>
      <c r="AI1121" s="210"/>
      <c r="AJ1121" s="210"/>
    </row>
    <row r="1122" ht="14.25" customHeight="1">
      <c r="A1122" s="210"/>
      <c r="B1122" s="210"/>
      <c r="C1122" s="210"/>
      <c r="D1122" s="210"/>
      <c r="E1122" s="210"/>
      <c r="F1122" s="210"/>
      <c r="G1122" s="210"/>
      <c r="H1122" s="210"/>
      <c r="I1122" s="210"/>
      <c r="J1122" s="210"/>
      <c r="K1122" s="210"/>
      <c r="L1122" s="210"/>
      <c r="M1122" s="210"/>
      <c r="N1122" s="210"/>
      <c r="O1122" s="210"/>
      <c r="P1122" s="210"/>
      <c r="Q1122" s="210"/>
      <c r="R1122" s="210"/>
      <c r="S1122" s="210"/>
      <c r="T1122" s="210"/>
      <c r="U1122" s="210"/>
      <c r="V1122" s="210"/>
      <c r="W1122" s="210"/>
      <c r="X1122" s="210"/>
      <c r="Y1122" s="210"/>
      <c r="Z1122" s="210"/>
      <c r="AA1122" s="210"/>
      <c r="AB1122" s="210"/>
      <c r="AC1122" s="210"/>
      <c r="AD1122" s="210"/>
      <c r="AE1122" s="210"/>
      <c r="AF1122" s="210"/>
      <c r="AG1122" s="210"/>
      <c r="AH1122" s="210"/>
      <c r="AI1122" s="210"/>
      <c r="AJ1122" s="210"/>
    </row>
    <row r="1123" ht="14.25" customHeight="1">
      <c r="A1123" s="210"/>
      <c r="B1123" s="210"/>
      <c r="C1123" s="210"/>
      <c r="D1123" s="210"/>
      <c r="E1123" s="210"/>
      <c r="F1123" s="210"/>
      <c r="G1123" s="210"/>
      <c r="H1123" s="210"/>
      <c r="I1123" s="210"/>
      <c r="J1123" s="210"/>
      <c r="K1123" s="210"/>
      <c r="L1123" s="210"/>
      <c r="M1123" s="210"/>
      <c r="N1123" s="210"/>
      <c r="O1123" s="210"/>
      <c r="P1123" s="210"/>
      <c r="Q1123" s="210"/>
      <c r="R1123" s="210"/>
      <c r="S1123" s="210"/>
      <c r="T1123" s="210"/>
      <c r="U1123" s="210"/>
      <c r="V1123" s="210"/>
      <c r="W1123" s="210"/>
      <c r="X1123" s="210"/>
      <c r="Y1123" s="210"/>
      <c r="Z1123" s="210"/>
      <c r="AA1123" s="210"/>
      <c r="AB1123" s="210"/>
      <c r="AC1123" s="210"/>
      <c r="AD1123" s="210"/>
      <c r="AE1123" s="210"/>
      <c r="AF1123" s="210"/>
      <c r="AG1123" s="210"/>
      <c r="AH1123" s="210"/>
      <c r="AI1123" s="210"/>
      <c r="AJ1123" s="210"/>
    </row>
    <row r="1124" ht="14.25" customHeight="1">
      <c r="A1124" s="210"/>
      <c r="B1124" s="210"/>
      <c r="C1124" s="210"/>
      <c r="D1124" s="210"/>
      <c r="E1124" s="210"/>
      <c r="F1124" s="210"/>
      <c r="G1124" s="210"/>
      <c r="H1124" s="210"/>
      <c r="I1124" s="210"/>
      <c r="J1124" s="210"/>
      <c r="K1124" s="210"/>
      <c r="L1124" s="210"/>
      <c r="M1124" s="210"/>
      <c r="N1124" s="210"/>
      <c r="O1124" s="210"/>
      <c r="P1124" s="210"/>
      <c r="Q1124" s="210"/>
      <c r="R1124" s="210"/>
      <c r="S1124" s="210"/>
      <c r="T1124" s="210"/>
      <c r="U1124" s="210"/>
      <c r="V1124" s="210"/>
      <c r="W1124" s="210"/>
      <c r="X1124" s="210"/>
      <c r="Y1124" s="210"/>
      <c r="Z1124" s="210"/>
      <c r="AA1124" s="210"/>
      <c r="AB1124" s="210"/>
      <c r="AC1124" s="210"/>
      <c r="AD1124" s="210"/>
      <c r="AE1124" s="210"/>
      <c r="AF1124" s="210"/>
      <c r="AG1124" s="210"/>
      <c r="AH1124" s="210"/>
      <c r="AI1124" s="210"/>
      <c r="AJ1124" s="210"/>
    </row>
    <row r="1125" ht="14.25" customHeight="1">
      <c r="A1125" s="210"/>
      <c r="B1125" s="210"/>
      <c r="C1125" s="210"/>
      <c r="D1125" s="210"/>
      <c r="E1125" s="210"/>
      <c r="F1125" s="210"/>
      <c r="G1125" s="210"/>
      <c r="H1125" s="210"/>
      <c r="I1125" s="210"/>
      <c r="J1125" s="210"/>
      <c r="K1125" s="210"/>
      <c r="L1125" s="210"/>
      <c r="M1125" s="210"/>
      <c r="N1125" s="210"/>
      <c r="O1125" s="210"/>
      <c r="P1125" s="210"/>
      <c r="Q1125" s="210"/>
      <c r="R1125" s="210"/>
      <c r="S1125" s="210"/>
      <c r="T1125" s="210"/>
      <c r="U1125" s="210"/>
      <c r="V1125" s="210"/>
      <c r="W1125" s="210"/>
      <c r="X1125" s="210"/>
      <c r="Y1125" s="210"/>
      <c r="Z1125" s="210"/>
      <c r="AA1125" s="210"/>
      <c r="AB1125" s="210"/>
      <c r="AC1125" s="210"/>
      <c r="AD1125" s="210"/>
      <c r="AE1125" s="210"/>
      <c r="AF1125" s="210"/>
      <c r="AG1125" s="210"/>
      <c r="AH1125" s="210"/>
      <c r="AI1125" s="210"/>
      <c r="AJ1125" s="210"/>
    </row>
    <row r="1126" ht="14.25" customHeight="1">
      <c r="A1126" s="210"/>
      <c r="B1126" s="210"/>
      <c r="C1126" s="210"/>
      <c r="D1126" s="210"/>
      <c r="E1126" s="210"/>
      <c r="F1126" s="210"/>
      <c r="G1126" s="210"/>
      <c r="H1126" s="210"/>
      <c r="I1126" s="210"/>
      <c r="J1126" s="210"/>
      <c r="K1126" s="210"/>
      <c r="L1126" s="210"/>
      <c r="M1126" s="210"/>
      <c r="N1126" s="210"/>
      <c r="O1126" s="210"/>
      <c r="P1126" s="210"/>
      <c r="Q1126" s="210"/>
      <c r="R1126" s="210"/>
      <c r="S1126" s="210"/>
      <c r="T1126" s="210"/>
      <c r="U1126" s="210"/>
      <c r="V1126" s="210"/>
      <c r="W1126" s="210"/>
      <c r="X1126" s="210"/>
      <c r="Y1126" s="210"/>
      <c r="Z1126" s="210"/>
      <c r="AA1126" s="210"/>
      <c r="AB1126" s="210"/>
      <c r="AC1126" s="210"/>
      <c r="AD1126" s="210"/>
      <c r="AE1126" s="210"/>
      <c r="AF1126" s="210"/>
      <c r="AG1126" s="210"/>
      <c r="AH1126" s="210"/>
      <c r="AI1126" s="210"/>
      <c r="AJ1126" s="210"/>
    </row>
    <row r="1127" ht="14.25" customHeight="1">
      <c r="A1127" s="210"/>
      <c r="B1127" s="210"/>
      <c r="C1127" s="210"/>
      <c r="D1127" s="210"/>
      <c r="E1127" s="210"/>
      <c r="F1127" s="210"/>
      <c r="G1127" s="210"/>
      <c r="H1127" s="210"/>
      <c r="I1127" s="210"/>
      <c r="J1127" s="210"/>
      <c r="K1127" s="210"/>
      <c r="L1127" s="210"/>
      <c r="M1127" s="210"/>
      <c r="N1127" s="210"/>
      <c r="O1127" s="210"/>
      <c r="P1127" s="210"/>
      <c r="Q1127" s="210"/>
      <c r="R1127" s="210"/>
      <c r="S1127" s="210"/>
      <c r="T1127" s="210"/>
      <c r="U1127" s="210"/>
      <c r="V1127" s="210"/>
      <c r="W1127" s="210"/>
      <c r="X1127" s="210"/>
      <c r="Y1127" s="210"/>
      <c r="Z1127" s="210"/>
      <c r="AA1127" s="210"/>
      <c r="AB1127" s="210"/>
      <c r="AC1127" s="210"/>
      <c r="AD1127" s="210"/>
      <c r="AE1127" s="210"/>
      <c r="AF1127" s="210"/>
      <c r="AG1127" s="210"/>
      <c r="AH1127" s="210"/>
      <c r="AI1127" s="210"/>
      <c r="AJ1127" s="210"/>
    </row>
    <row r="1128" ht="14.25" customHeight="1">
      <c r="A1128" s="210"/>
      <c r="B1128" s="210"/>
      <c r="C1128" s="210"/>
      <c r="D1128" s="210"/>
      <c r="E1128" s="210"/>
      <c r="F1128" s="210"/>
      <c r="G1128" s="210"/>
      <c r="H1128" s="210"/>
      <c r="I1128" s="210"/>
      <c r="J1128" s="210"/>
      <c r="K1128" s="210"/>
      <c r="L1128" s="210"/>
      <c r="M1128" s="210"/>
      <c r="N1128" s="210"/>
      <c r="O1128" s="210"/>
      <c r="P1128" s="210"/>
      <c r="Q1128" s="210"/>
      <c r="R1128" s="210"/>
      <c r="S1128" s="210"/>
      <c r="T1128" s="210"/>
      <c r="U1128" s="210"/>
      <c r="V1128" s="210"/>
      <c r="W1128" s="210"/>
      <c r="X1128" s="210"/>
      <c r="Y1128" s="210"/>
      <c r="Z1128" s="210"/>
      <c r="AA1128" s="210"/>
      <c r="AB1128" s="210"/>
      <c r="AC1128" s="210"/>
      <c r="AD1128" s="210"/>
      <c r="AE1128" s="210"/>
      <c r="AF1128" s="210"/>
      <c r="AG1128" s="210"/>
      <c r="AH1128" s="210"/>
      <c r="AI1128" s="210"/>
      <c r="AJ1128" s="210"/>
    </row>
    <row r="1129" ht="14.25" customHeight="1">
      <c r="A1129" s="210"/>
      <c r="B1129" s="210"/>
      <c r="C1129" s="210"/>
      <c r="D1129" s="210"/>
      <c r="E1129" s="210"/>
      <c r="F1129" s="210"/>
      <c r="G1129" s="210"/>
      <c r="H1129" s="210"/>
      <c r="I1129" s="210"/>
      <c r="J1129" s="210"/>
      <c r="K1129" s="210"/>
      <c r="L1129" s="210"/>
      <c r="M1129" s="210"/>
      <c r="N1129" s="210"/>
      <c r="O1129" s="210"/>
      <c r="P1129" s="210"/>
      <c r="Q1129" s="210"/>
      <c r="R1129" s="210"/>
      <c r="S1129" s="210"/>
      <c r="T1129" s="210"/>
      <c r="U1129" s="210"/>
      <c r="V1129" s="210"/>
      <c r="W1129" s="210"/>
      <c r="X1129" s="210"/>
      <c r="Y1129" s="210"/>
      <c r="Z1129" s="210"/>
      <c r="AA1129" s="210"/>
      <c r="AB1129" s="210"/>
      <c r="AC1129" s="210"/>
      <c r="AD1129" s="210"/>
      <c r="AE1129" s="210"/>
      <c r="AF1129" s="210"/>
      <c r="AG1129" s="210"/>
      <c r="AH1129" s="210"/>
      <c r="AI1129" s="210"/>
      <c r="AJ1129" s="210"/>
    </row>
    <row r="1130" ht="14.25" customHeight="1">
      <c r="A1130" s="210"/>
      <c r="B1130" s="210"/>
      <c r="C1130" s="210"/>
      <c r="D1130" s="210"/>
      <c r="E1130" s="210"/>
      <c r="F1130" s="210"/>
      <c r="G1130" s="210"/>
      <c r="H1130" s="210"/>
      <c r="I1130" s="210"/>
      <c r="J1130" s="210"/>
      <c r="K1130" s="210"/>
      <c r="L1130" s="210"/>
      <c r="M1130" s="210"/>
      <c r="N1130" s="210"/>
      <c r="O1130" s="210"/>
      <c r="P1130" s="210"/>
      <c r="Q1130" s="210"/>
      <c r="R1130" s="210"/>
      <c r="S1130" s="210"/>
      <c r="T1130" s="210"/>
      <c r="U1130" s="210"/>
      <c r="V1130" s="210"/>
      <c r="W1130" s="210"/>
      <c r="X1130" s="210"/>
      <c r="Y1130" s="210"/>
      <c r="Z1130" s="210"/>
      <c r="AA1130" s="210"/>
      <c r="AB1130" s="210"/>
      <c r="AC1130" s="210"/>
      <c r="AD1130" s="210"/>
      <c r="AE1130" s="210"/>
      <c r="AF1130" s="210"/>
      <c r="AG1130" s="210"/>
      <c r="AH1130" s="210"/>
      <c r="AI1130" s="210"/>
      <c r="AJ1130" s="210"/>
    </row>
    <row r="1131" ht="14.25" customHeight="1">
      <c r="A1131" s="210"/>
      <c r="B1131" s="210"/>
      <c r="C1131" s="210"/>
      <c r="D1131" s="210"/>
      <c r="E1131" s="210"/>
      <c r="F1131" s="210"/>
      <c r="G1131" s="210"/>
      <c r="H1131" s="210"/>
      <c r="I1131" s="210"/>
      <c r="J1131" s="210"/>
      <c r="K1131" s="210"/>
      <c r="L1131" s="210"/>
      <c r="M1131" s="210"/>
      <c r="N1131" s="210"/>
      <c r="O1131" s="210"/>
      <c r="P1131" s="210"/>
      <c r="Q1131" s="210"/>
      <c r="R1131" s="210"/>
      <c r="S1131" s="210"/>
      <c r="T1131" s="210"/>
      <c r="U1131" s="210"/>
      <c r="V1131" s="210"/>
      <c r="W1131" s="210"/>
      <c r="X1131" s="210"/>
      <c r="Y1131" s="210"/>
      <c r="Z1131" s="210"/>
      <c r="AA1131" s="210"/>
      <c r="AB1131" s="210"/>
      <c r="AC1131" s="210"/>
      <c r="AD1131" s="210"/>
      <c r="AE1131" s="210"/>
      <c r="AF1131" s="210"/>
      <c r="AG1131" s="210"/>
      <c r="AH1131" s="210"/>
      <c r="AI1131" s="210"/>
      <c r="AJ1131" s="210"/>
    </row>
    <row r="1132" ht="14.25" customHeight="1">
      <c r="A1132" s="210"/>
      <c r="B1132" s="210"/>
      <c r="C1132" s="210"/>
      <c r="D1132" s="210"/>
      <c r="E1132" s="210"/>
      <c r="F1132" s="210"/>
      <c r="G1132" s="210"/>
      <c r="H1132" s="210"/>
      <c r="I1132" s="210"/>
      <c r="J1132" s="210"/>
      <c r="K1132" s="210"/>
      <c r="L1132" s="210"/>
      <c r="M1132" s="210"/>
      <c r="N1132" s="210"/>
      <c r="O1132" s="210"/>
      <c r="P1132" s="210"/>
      <c r="Q1132" s="210"/>
      <c r="R1132" s="210"/>
      <c r="S1132" s="210"/>
      <c r="T1132" s="210"/>
      <c r="U1132" s="210"/>
      <c r="V1132" s="210"/>
      <c r="W1132" s="210"/>
      <c r="X1132" s="210"/>
      <c r="Y1132" s="210"/>
      <c r="Z1132" s="210"/>
      <c r="AA1132" s="210"/>
      <c r="AB1132" s="210"/>
      <c r="AC1132" s="210"/>
      <c r="AD1132" s="210"/>
      <c r="AE1132" s="210"/>
      <c r="AF1132" s="210"/>
      <c r="AG1132" s="210"/>
      <c r="AH1132" s="210"/>
      <c r="AI1132" s="210"/>
      <c r="AJ1132" s="210"/>
    </row>
    <row r="1133" ht="14.25" customHeight="1">
      <c r="A1133" s="210"/>
      <c r="B1133" s="210"/>
      <c r="C1133" s="210"/>
      <c r="D1133" s="210"/>
      <c r="E1133" s="210"/>
      <c r="F1133" s="210"/>
      <c r="G1133" s="210"/>
      <c r="H1133" s="210"/>
      <c r="I1133" s="210"/>
      <c r="J1133" s="210"/>
      <c r="K1133" s="210"/>
      <c r="L1133" s="210"/>
      <c r="M1133" s="210"/>
      <c r="N1133" s="210"/>
      <c r="O1133" s="210"/>
      <c r="P1133" s="210"/>
      <c r="Q1133" s="210"/>
      <c r="R1133" s="210"/>
      <c r="S1133" s="210"/>
      <c r="T1133" s="210"/>
      <c r="U1133" s="210"/>
      <c r="V1133" s="210"/>
      <c r="W1133" s="210"/>
      <c r="X1133" s="210"/>
      <c r="Y1133" s="210"/>
      <c r="Z1133" s="210"/>
      <c r="AA1133" s="210"/>
      <c r="AB1133" s="210"/>
      <c r="AC1133" s="210"/>
      <c r="AD1133" s="210"/>
      <c r="AE1133" s="210"/>
      <c r="AF1133" s="210"/>
      <c r="AG1133" s="210"/>
      <c r="AH1133" s="210"/>
      <c r="AI1133" s="210"/>
      <c r="AJ1133" s="210"/>
    </row>
    <row r="1134" ht="14.25" customHeight="1">
      <c r="A1134" s="210"/>
      <c r="B1134" s="210"/>
      <c r="C1134" s="210"/>
      <c r="D1134" s="210"/>
      <c r="E1134" s="210"/>
      <c r="F1134" s="210"/>
      <c r="G1134" s="210"/>
      <c r="H1134" s="210"/>
      <c r="I1134" s="210"/>
      <c r="J1134" s="210"/>
      <c r="K1134" s="210"/>
      <c r="L1134" s="210"/>
      <c r="M1134" s="210"/>
      <c r="N1134" s="210"/>
      <c r="O1134" s="210"/>
      <c r="P1134" s="210"/>
      <c r="Q1134" s="210"/>
      <c r="R1134" s="210"/>
      <c r="S1134" s="210"/>
      <c r="T1134" s="210"/>
      <c r="U1134" s="210"/>
      <c r="V1134" s="210"/>
      <c r="W1134" s="210"/>
      <c r="X1134" s="210"/>
      <c r="Y1134" s="210"/>
      <c r="Z1134" s="210"/>
      <c r="AA1134" s="210"/>
      <c r="AB1134" s="210"/>
      <c r="AC1134" s="210"/>
      <c r="AD1134" s="210"/>
      <c r="AE1134" s="210"/>
      <c r="AF1134" s="210"/>
      <c r="AG1134" s="210"/>
      <c r="AH1134" s="210"/>
      <c r="AI1134" s="210"/>
      <c r="AJ1134" s="210"/>
    </row>
    <row r="1135" ht="14.25" customHeight="1">
      <c r="A1135" s="210"/>
      <c r="B1135" s="210"/>
      <c r="C1135" s="210"/>
      <c r="D1135" s="210"/>
      <c r="E1135" s="210"/>
      <c r="F1135" s="210"/>
      <c r="G1135" s="210"/>
      <c r="H1135" s="210"/>
      <c r="I1135" s="210"/>
      <c r="J1135" s="210"/>
      <c r="K1135" s="210"/>
      <c r="L1135" s="210"/>
      <c r="M1135" s="210"/>
      <c r="N1135" s="210"/>
      <c r="O1135" s="210"/>
      <c r="P1135" s="210"/>
      <c r="Q1135" s="210"/>
      <c r="R1135" s="210"/>
      <c r="S1135" s="210"/>
      <c r="T1135" s="210"/>
      <c r="U1135" s="210"/>
      <c r="V1135" s="210"/>
      <c r="W1135" s="210"/>
      <c r="X1135" s="210"/>
      <c r="Y1135" s="210"/>
      <c r="Z1135" s="210"/>
      <c r="AA1135" s="210"/>
      <c r="AB1135" s="210"/>
      <c r="AC1135" s="210"/>
      <c r="AD1135" s="210"/>
      <c r="AE1135" s="210"/>
      <c r="AF1135" s="210"/>
      <c r="AG1135" s="210"/>
      <c r="AH1135" s="210"/>
      <c r="AI1135" s="210"/>
      <c r="AJ1135" s="210"/>
    </row>
    <row r="1136" ht="14.25" customHeight="1">
      <c r="A1136" s="210"/>
      <c r="B1136" s="210"/>
      <c r="C1136" s="210"/>
      <c r="D1136" s="210"/>
      <c r="E1136" s="210"/>
      <c r="F1136" s="210"/>
      <c r="G1136" s="210"/>
      <c r="H1136" s="210"/>
      <c r="I1136" s="210"/>
      <c r="J1136" s="210"/>
      <c r="K1136" s="210"/>
      <c r="L1136" s="210"/>
      <c r="M1136" s="210"/>
      <c r="N1136" s="210"/>
      <c r="O1136" s="210"/>
      <c r="P1136" s="210"/>
      <c r="Q1136" s="210"/>
      <c r="R1136" s="210"/>
      <c r="S1136" s="210"/>
      <c r="T1136" s="210"/>
      <c r="U1136" s="210"/>
      <c r="V1136" s="210"/>
      <c r="W1136" s="210"/>
      <c r="X1136" s="210"/>
      <c r="Y1136" s="210"/>
      <c r="Z1136" s="210"/>
      <c r="AA1136" s="210"/>
      <c r="AB1136" s="210"/>
      <c r="AC1136" s="210"/>
      <c r="AD1136" s="210"/>
      <c r="AE1136" s="210"/>
      <c r="AF1136" s="210"/>
      <c r="AG1136" s="210"/>
      <c r="AH1136" s="210"/>
      <c r="AI1136" s="210"/>
      <c r="AJ1136" s="210"/>
    </row>
    <row r="1137" ht="14.25" customHeight="1">
      <c r="A1137" s="210"/>
      <c r="B1137" s="210"/>
      <c r="C1137" s="210"/>
      <c r="D1137" s="210"/>
      <c r="E1137" s="210"/>
      <c r="F1137" s="210"/>
      <c r="G1137" s="210"/>
      <c r="H1137" s="210"/>
      <c r="I1137" s="210"/>
      <c r="J1137" s="210"/>
      <c r="K1137" s="210"/>
      <c r="L1137" s="210"/>
      <c r="M1137" s="210"/>
      <c r="N1137" s="210"/>
      <c r="O1137" s="210"/>
      <c r="P1137" s="210"/>
      <c r="Q1137" s="210"/>
      <c r="R1137" s="210"/>
      <c r="S1137" s="210"/>
      <c r="T1137" s="210"/>
      <c r="U1137" s="210"/>
      <c r="V1137" s="210"/>
      <c r="W1137" s="210"/>
      <c r="X1137" s="210"/>
      <c r="Y1137" s="210"/>
      <c r="Z1137" s="210"/>
      <c r="AA1137" s="210"/>
      <c r="AB1137" s="210"/>
      <c r="AC1137" s="210"/>
      <c r="AD1137" s="210"/>
      <c r="AE1137" s="210"/>
      <c r="AF1137" s="210"/>
      <c r="AG1137" s="210"/>
      <c r="AH1137" s="210"/>
      <c r="AI1137" s="210"/>
      <c r="AJ1137" s="210"/>
    </row>
    <row r="1138" ht="14.25" customHeight="1">
      <c r="A1138" s="210"/>
      <c r="B1138" s="210"/>
      <c r="C1138" s="210"/>
      <c r="D1138" s="210"/>
      <c r="E1138" s="210"/>
      <c r="F1138" s="210"/>
      <c r="G1138" s="210"/>
      <c r="H1138" s="210"/>
      <c r="I1138" s="210"/>
      <c r="J1138" s="210"/>
      <c r="K1138" s="210"/>
      <c r="L1138" s="210"/>
      <c r="M1138" s="210"/>
      <c r="N1138" s="210"/>
      <c r="O1138" s="210"/>
      <c r="P1138" s="210"/>
      <c r="Q1138" s="210"/>
      <c r="R1138" s="210"/>
      <c r="S1138" s="210"/>
      <c r="T1138" s="210"/>
      <c r="U1138" s="210"/>
      <c r="V1138" s="210"/>
      <c r="W1138" s="210"/>
      <c r="X1138" s="210"/>
      <c r="Y1138" s="210"/>
      <c r="Z1138" s="210"/>
      <c r="AA1138" s="210"/>
      <c r="AB1138" s="210"/>
      <c r="AC1138" s="210"/>
      <c r="AD1138" s="210"/>
      <c r="AE1138" s="210"/>
      <c r="AF1138" s="210"/>
      <c r="AG1138" s="210"/>
      <c r="AH1138" s="210"/>
      <c r="AI1138" s="210"/>
      <c r="AJ1138" s="210"/>
    </row>
    <row r="1139" ht="14.25" customHeight="1">
      <c r="A1139" s="210"/>
      <c r="B1139" s="210"/>
      <c r="C1139" s="210"/>
      <c r="D1139" s="210"/>
      <c r="E1139" s="210"/>
      <c r="F1139" s="210"/>
      <c r="G1139" s="210"/>
      <c r="H1139" s="210"/>
      <c r="I1139" s="210"/>
      <c r="J1139" s="210"/>
      <c r="K1139" s="210"/>
      <c r="L1139" s="210"/>
      <c r="M1139" s="210"/>
      <c r="N1139" s="210"/>
      <c r="O1139" s="210"/>
      <c r="P1139" s="210"/>
      <c r="Q1139" s="210"/>
      <c r="R1139" s="210"/>
      <c r="S1139" s="210"/>
      <c r="T1139" s="210"/>
      <c r="U1139" s="210"/>
      <c r="V1139" s="210"/>
      <c r="W1139" s="210"/>
      <c r="X1139" s="210"/>
      <c r="Y1139" s="210"/>
      <c r="Z1139" s="210"/>
      <c r="AA1139" s="210"/>
      <c r="AB1139" s="210"/>
      <c r="AC1139" s="210"/>
      <c r="AD1139" s="210"/>
      <c r="AE1139" s="210"/>
      <c r="AF1139" s="210"/>
      <c r="AG1139" s="210"/>
      <c r="AH1139" s="210"/>
      <c r="AI1139" s="210"/>
      <c r="AJ1139" s="210"/>
    </row>
    <row r="1140" ht="14.25" customHeight="1">
      <c r="A1140" s="210"/>
      <c r="B1140" s="210"/>
      <c r="C1140" s="210"/>
      <c r="D1140" s="210"/>
      <c r="E1140" s="210"/>
      <c r="F1140" s="210"/>
      <c r="G1140" s="210"/>
      <c r="H1140" s="210"/>
      <c r="I1140" s="210"/>
      <c r="J1140" s="210"/>
      <c r="K1140" s="210"/>
      <c r="L1140" s="210"/>
      <c r="M1140" s="210"/>
      <c r="N1140" s="210"/>
      <c r="O1140" s="210"/>
      <c r="P1140" s="210"/>
      <c r="Q1140" s="210"/>
      <c r="R1140" s="210"/>
      <c r="S1140" s="210"/>
      <c r="T1140" s="210"/>
      <c r="U1140" s="210"/>
      <c r="V1140" s="210"/>
      <c r="W1140" s="210"/>
      <c r="X1140" s="210"/>
      <c r="Y1140" s="210"/>
      <c r="Z1140" s="210"/>
      <c r="AA1140" s="210"/>
      <c r="AB1140" s="210"/>
      <c r="AC1140" s="210"/>
      <c r="AD1140" s="210"/>
      <c r="AE1140" s="210"/>
      <c r="AF1140" s="210"/>
      <c r="AG1140" s="210"/>
      <c r="AH1140" s="210"/>
      <c r="AI1140" s="210"/>
      <c r="AJ1140" s="210"/>
    </row>
    <row r="1141" ht="14.25" customHeight="1">
      <c r="A1141" s="210"/>
      <c r="B1141" s="210"/>
      <c r="C1141" s="210"/>
      <c r="D1141" s="210"/>
      <c r="E1141" s="210"/>
      <c r="F1141" s="210"/>
      <c r="G1141" s="210"/>
      <c r="H1141" s="210"/>
      <c r="I1141" s="210"/>
      <c r="J1141" s="210"/>
      <c r="K1141" s="210"/>
      <c r="L1141" s="210"/>
      <c r="M1141" s="210"/>
      <c r="N1141" s="210"/>
      <c r="O1141" s="210"/>
      <c r="P1141" s="210"/>
      <c r="Q1141" s="210"/>
      <c r="R1141" s="210"/>
      <c r="S1141" s="210"/>
      <c r="T1141" s="210"/>
      <c r="U1141" s="210"/>
      <c r="V1141" s="210"/>
      <c r="W1141" s="210"/>
      <c r="X1141" s="210"/>
      <c r="Y1141" s="210"/>
      <c r="Z1141" s="210"/>
      <c r="AA1141" s="210"/>
      <c r="AB1141" s="210"/>
      <c r="AC1141" s="210"/>
      <c r="AD1141" s="210"/>
      <c r="AE1141" s="210"/>
      <c r="AF1141" s="210"/>
      <c r="AG1141" s="210"/>
      <c r="AH1141" s="210"/>
      <c r="AI1141" s="210"/>
      <c r="AJ1141" s="210"/>
    </row>
    <row r="1142" ht="14.25" customHeight="1">
      <c r="A1142" s="210"/>
      <c r="B1142" s="210"/>
      <c r="C1142" s="210"/>
      <c r="D1142" s="210"/>
      <c r="E1142" s="210"/>
      <c r="F1142" s="210"/>
      <c r="G1142" s="210"/>
      <c r="H1142" s="210"/>
      <c r="I1142" s="210"/>
      <c r="J1142" s="210"/>
      <c r="K1142" s="210"/>
      <c r="L1142" s="210"/>
      <c r="M1142" s="210"/>
      <c r="N1142" s="210"/>
      <c r="O1142" s="210"/>
      <c r="P1142" s="210"/>
      <c r="Q1142" s="210"/>
      <c r="R1142" s="210"/>
      <c r="S1142" s="210"/>
      <c r="T1142" s="210"/>
      <c r="U1142" s="210"/>
      <c r="V1142" s="210"/>
      <c r="W1142" s="210"/>
      <c r="X1142" s="210"/>
      <c r="Y1142" s="210"/>
      <c r="Z1142" s="210"/>
      <c r="AA1142" s="210"/>
      <c r="AB1142" s="210"/>
      <c r="AC1142" s="210"/>
      <c r="AD1142" s="210"/>
      <c r="AE1142" s="210"/>
      <c r="AF1142" s="210"/>
      <c r="AG1142" s="210"/>
      <c r="AH1142" s="210"/>
      <c r="AI1142" s="210"/>
      <c r="AJ1142" s="210"/>
    </row>
    <row r="1143" ht="14.25" customHeight="1">
      <c r="A1143" s="210"/>
      <c r="B1143" s="210"/>
      <c r="C1143" s="210"/>
      <c r="D1143" s="210"/>
      <c r="E1143" s="210"/>
      <c r="F1143" s="210"/>
      <c r="G1143" s="210"/>
      <c r="H1143" s="210"/>
      <c r="I1143" s="210"/>
      <c r="J1143" s="210"/>
      <c r="K1143" s="210"/>
      <c r="L1143" s="210"/>
      <c r="M1143" s="210"/>
      <c r="N1143" s="210"/>
      <c r="O1143" s="210"/>
      <c r="P1143" s="210"/>
      <c r="Q1143" s="210"/>
      <c r="R1143" s="210"/>
      <c r="S1143" s="210"/>
      <c r="T1143" s="210"/>
      <c r="U1143" s="210"/>
      <c r="V1143" s="210"/>
      <c r="W1143" s="210"/>
      <c r="X1143" s="210"/>
      <c r="Y1143" s="210"/>
      <c r="Z1143" s="210"/>
      <c r="AA1143" s="210"/>
      <c r="AB1143" s="210"/>
      <c r="AC1143" s="210"/>
      <c r="AD1143" s="210"/>
      <c r="AE1143" s="210"/>
      <c r="AF1143" s="210"/>
      <c r="AG1143" s="210"/>
      <c r="AH1143" s="210"/>
      <c r="AI1143" s="210"/>
      <c r="AJ1143" s="210"/>
    </row>
    <row r="1144" ht="14.25" customHeight="1">
      <c r="A1144" s="210"/>
      <c r="B1144" s="210"/>
      <c r="C1144" s="210"/>
      <c r="D1144" s="210"/>
      <c r="E1144" s="210"/>
      <c r="F1144" s="210"/>
      <c r="G1144" s="210"/>
      <c r="H1144" s="210"/>
      <c r="I1144" s="210"/>
      <c r="J1144" s="210"/>
      <c r="K1144" s="210"/>
      <c r="L1144" s="210"/>
      <c r="M1144" s="210"/>
      <c r="N1144" s="210"/>
      <c r="O1144" s="210"/>
      <c r="P1144" s="210"/>
      <c r="Q1144" s="210"/>
      <c r="R1144" s="210"/>
      <c r="S1144" s="210"/>
      <c r="T1144" s="210"/>
      <c r="U1144" s="210"/>
      <c r="V1144" s="210"/>
      <c r="W1144" s="210"/>
      <c r="X1144" s="210"/>
      <c r="Y1144" s="210"/>
      <c r="Z1144" s="210"/>
      <c r="AA1144" s="210"/>
      <c r="AB1144" s="210"/>
      <c r="AC1144" s="210"/>
      <c r="AD1144" s="210"/>
      <c r="AE1144" s="210"/>
      <c r="AF1144" s="210"/>
      <c r="AG1144" s="210"/>
      <c r="AH1144" s="210"/>
      <c r="AI1144" s="210"/>
      <c r="AJ1144" s="210"/>
    </row>
    <row r="1145" ht="14.25" customHeight="1">
      <c r="A1145" s="210"/>
      <c r="B1145" s="210"/>
      <c r="C1145" s="210"/>
      <c r="D1145" s="210"/>
      <c r="E1145" s="210"/>
      <c r="F1145" s="210"/>
      <c r="G1145" s="210"/>
      <c r="H1145" s="210"/>
      <c r="I1145" s="210"/>
      <c r="J1145" s="210"/>
      <c r="K1145" s="210"/>
      <c r="L1145" s="210"/>
      <c r="M1145" s="210"/>
      <c r="N1145" s="210"/>
      <c r="O1145" s="210"/>
      <c r="P1145" s="210"/>
      <c r="Q1145" s="210"/>
      <c r="R1145" s="210"/>
      <c r="S1145" s="210"/>
      <c r="T1145" s="210"/>
      <c r="U1145" s="210"/>
      <c r="V1145" s="210"/>
      <c r="W1145" s="210"/>
      <c r="X1145" s="210"/>
      <c r="Y1145" s="210"/>
      <c r="Z1145" s="210"/>
      <c r="AA1145" s="210"/>
      <c r="AB1145" s="210"/>
      <c r="AC1145" s="210"/>
      <c r="AD1145" s="210"/>
      <c r="AE1145" s="210"/>
      <c r="AF1145" s="210"/>
      <c r="AG1145" s="210"/>
      <c r="AH1145" s="210"/>
      <c r="AI1145" s="210"/>
      <c r="AJ1145" s="210"/>
    </row>
    <row r="1146" ht="14.25" customHeight="1">
      <c r="A1146" s="210"/>
      <c r="B1146" s="210"/>
      <c r="C1146" s="210"/>
      <c r="D1146" s="210"/>
      <c r="E1146" s="210"/>
      <c r="F1146" s="210"/>
      <c r="G1146" s="210"/>
      <c r="H1146" s="210"/>
      <c r="I1146" s="210"/>
      <c r="J1146" s="210"/>
      <c r="K1146" s="210"/>
      <c r="L1146" s="210"/>
      <c r="M1146" s="210"/>
      <c r="N1146" s="210"/>
      <c r="O1146" s="210"/>
      <c r="P1146" s="210"/>
      <c r="Q1146" s="210"/>
      <c r="R1146" s="210"/>
      <c r="S1146" s="210"/>
      <c r="T1146" s="210"/>
      <c r="U1146" s="210"/>
      <c r="V1146" s="210"/>
      <c r="W1146" s="210"/>
      <c r="X1146" s="210"/>
      <c r="Y1146" s="210"/>
      <c r="Z1146" s="210"/>
      <c r="AA1146" s="210"/>
      <c r="AB1146" s="210"/>
      <c r="AC1146" s="210"/>
      <c r="AD1146" s="210"/>
      <c r="AE1146" s="210"/>
      <c r="AF1146" s="210"/>
      <c r="AG1146" s="210"/>
      <c r="AH1146" s="210"/>
      <c r="AI1146" s="210"/>
      <c r="AJ1146" s="210"/>
    </row>
    <row r="1147" ht="14.25" customHeight="1">
      <c r="A1147" s="210"/>
      <c r="B1147" s="210"/>
      <c r="C1147" s="210"/>
      <c r="D1147" s="210"/>
      <c r="E1147" s="210"/>
      <c r="F1147" s="210"/>
      <c r="G1147" s="210"/>
      <c r="H1147" s="210"/>
      <c r="I1147" s="210"/>
      <c r="J1147" s="210"/>
      <c r="K1147" s="210"/>
      <c r="L1147" s="210"/>
      <c r="M1147" s="210"/>
      <c r="N1147" s="210"/>
      <c r="O1147" s="210"/>
      <c r="P1147" s="210"/>
      <c r="Q1147" s="210"/>
      <c r="R1147" s="210"/>
      <c r="S1147" s="210"/>
      <c r="T1147" s="210"/>
      <c r="U1147" s="210"/>
      <c r="V1147" s="210"/>
      <c r="W1147" s="210"/>
      <c r="X1147" s="210"/>
      <c r="Y1147" s="210"/>
      <c r="Z1147" s="210"/>
      <c r="AA1147" s="210"/>
      <c r="AB1147" s="210"/>
      <c r="AC1147" s="210"/>
      <c r="AD1147" s="210"/>
      <c r="AE1147" s="210"/>
      <c r="AF1147" s="210"/>
      <c r="AG1147" s="210"/>
      <c r="AH1147" s="210"/>
      <c r="AI1147" s="210"/>
      <c r="AJ1147" s="210"/>
    </row>
    <row r="1148" ht="14.25" customHeight="1">
      <c r="A1148" s="210"/>
      <c r="B1148" s="210"/>
      <c r="C1148" s="210"/>
      <c r="D1148" s="210"/>
      <c r="E1148" s="210"/>
      <c r="F1148" s="210"/>
      <c r="G1148" s="210"/>
      <c r="H1148" s="210"/>
      <c r="I1148" s="210"/>
      <c r="J1148" s="210"/>
      <c r="K1148" s="210"/>
      <c r="L1148" s="210"/>
      <c r="M1148" s="210"/>
      <c r="N1148" s="210"/>
      <c r="O1148" s="210"/>
      <c r="P1148" s="210"/>
      <c r="Q1148" s="210"/>
      <c r="R1148" s="210"/>
      <c r="S1148" s="210"/>
      <c r="T1148" s="210"/>
      <c r="U1148" s="210"/>
      <c r="V1148" s="210"/>
      <c r="W1148" s="210"/>
      <c r="X1148" s="210"/>
      <c r="Y1148" s="210"/>
      <c r="Z1148" s="210"/>
      <c r="AA1148" s="210"/>
      <c r="AB1148" s="210"/>
      <c r="AC1148" s="210"/>
      <c r="AD1148" s="210"/>
      <c r="AE1148" s="210"/>
      <c r="AF1148" s="210"/>
      <c r="AG1148" s="210"/>
      <c r="AH1148" s="210"/>
      <c r="AI1148" s="210"/>
      <c r="AJ1148" s="210"/>
    </row>
    <row r="1149" ht="14.25" customHeight="1">
      <c r="A1149" s="210"/>
      <c r="B1149" s="210"/>
      <c r="C1149" s="210"/>
      <c r="D1149" s="210"/>
      <c r="E1149" s="210"/>
      <c r="F1149" s="210"/>
      <c r="G1149" s="210"/>
      <c r="H1149" s="210"/>
      <c r="I1149" s="210"/>
      <c r="J1149" s="210"/>
      <c r="K1149" s="210"/>
      <c r="L1149" s="210"/>
      <c r="M1149" s="210"/>
      <c r="N1149" s="210"/>
      <c r="O1149" s="210"/>
      <c r="P1149" s="210"/>
      <c r="Q1149" s="210"/>
      <c r="R1149" s="210"/>
      <c r="S1149" s="210"/>
      <c r="T1149" s="210"/>
      <c r="U1149" s="210"/>
      <c r="V1149" s="210"/>
      <c r="W1149" s="210"/>
      <c r="X1149" s="210"/>
      <c r="Y1149" s="210"/>
      <c r="Z1149" s="210"/>
      <c r="AA1149" s="210"/>
      <c r="AB1149" s="210"/>
      <c r="AC1149" s="210"/>
      <c r="AD1149" s="210"/>
      <c r="AE1149" s="210"/>
      <c r="AF1149" s="210"/>
      <c r="AG1149" s="210"/>
      <c r="AH1149" s="210"/>
      <c r="AI1149" s="210"/>
      <c r="AJ1149" s="210"/>
    </row>
    <row r="1150" ht="14.25" customHeight="1">
      <c r="A1150" s="210"/>
      <c r="B1150" s="210"/>
      <c r="C1150" s="210"/>
      <c r="D1150" s="210"/>
      <c r="E1150" s="210"/>
      <c r="F1150" s="210"/>
      <c r="G1150" s="210"/>
      <c r="H1150" s="210"/>
      <c r="I1150" s="210"/>
      <c r="J1150" s="210"/>
      <c r="K1150" s="210"/>
      <c r="L1150" s="210"/>
      <c r="M1150" s="210"/>
      <c r="N1150" s="210"/>
      <c r="O1150" s="210"/>
      <c r="P1150" s="210"/>
      <c r="Q1150" s="210"/>
      <c r="R1150" s="210"/>
      <c r="S1150" s="210"/>
      <c r="T1150" s="210"/>
      <c r="U1150" s="210"/>
      <c r="V1150" s="210"/>
      <c r="W1150" s="210"/>
      <c r="X1150" s="210"/>
      <c r="Y1150" s="210"/>
      <c r="Z1150" s="210"/>
      <c r="AA1150" s="210"/>
      <c r="AB1150" s="210"/>
      <c r="AC1150" s="210"/>
      <c r="AD1150" s="210"/>
      <c r="AE1150" s="210"/>
      <c r="AF1150" s="210"/>
      <c r="AG1150" s="210"/>
      <c r="AH1150" s="210"/>
      <c r="AI1150" s="210"/>
      <c r="AJ1150" s="210"/>
    </row>
    <row r="1151" ht="14.25" customHeight="1">
      <c r="A1151" s="210"/>
      <c r="B1151" s="210"/>
      <c r="C1151" s="210"/>
      <c r="D1151" s="210"/>
      <c r="E1151" s="210"/>
      <c r="F1151" s="210"/>
      <c r="G1151" s="210"/>
      <c r="H1151" s="210"/>
      <c r="I1151" s="210"/>
      <c r="J1151" s="210"/>
      <c r="K1151" s="210"/>
      <c r="L1151" s="210"/>
      <c r="M1151" s="210"/>
      <c r="N1151" s="210"/>
      <c r="O1151" s="210"/>
      <c r="P1151" s="210"/>
      <c r="Q1151" s="210"/>
      <c r="R1151" s="210"/>
      <c r="S1151" s="210"/>
      <c r="T1151" s="210"/>
      <c r="U1151" s="210"/>
      <c r="V1151" s="210"/>
      <c r="W1151" s="210"/>
      <c r="X1151" s="210"/>
      <c r="Y1151" s="210"/>
      <c r="Z1151" s="210"/>
      <c r="AA1151" s="210"/>
      <c r="AB1151" s="210"/>
      <c r="AC1151" s="210"/>
      <c r="AD1151" s="210"/>
      <c r="AE1151" s="210"/>
      <c r="AF1151" s="210"/>
      <c r="AG1151" s="210"/>
      <c r="AH1151" s="210"/>
      <c r="AI1151" s="210"/>
      <c r="AJ1151" s="210"/>
    </row>
    <row r="1152" ht="14.25" customHeight="1">
      <c r="A1152" s="210"/>
      <c r="B1152" s="210"/>
      <c r="C1152" s="210"/>
      <c r="D1152" s="210"/>
      <c r="E1152" s="210"/>
      <c r="F1152" s="210"/>
      <c r="G1152" s="210"/>
      <c r="H1152" s="210"/>
      <c r="I1152" s="210"/>
      <c r="J1152" s="210"/>
      <c r="K1152" s="210"/>
      <c r="L1152" s="210"/>
      <c r="M1152" s="210"/>
      <c r="N1152" s="210"/>
      <c r="O1152" s="210"/>
      <c r="P1152" s="210"/>
      <c r="Q1152" s="210"/>
      <c r="R1152" s="210"/>
      <c r="S1152" s="210"/>
      <c r="T1152" s="210"/>
      <c r="U1152" s="210"/>
      <c r="V1152" s="210"/>
      <c r="W1152" s="210"/>
      <c r="X1152" s="210"/>
      <c r="Y1152" s="210"/>
      <c r="Z1152" s="210"/>
      <c r="AA1152" s="210"/>
      <c r="AB1152" s="210"/>
      <c r="AC1152" s="210"/>
      <c r="AD1152" s="210"/>
      <c r="AE1152" s="210"/>
      <c r="AF1152" s="210"/>
      <c r="AG1152" s="210"/>
      <c r="AH1152" s="210"/>
      <c r="AI1152" s="210"/>
      <c r="AJ1152" s="210"/>
    </row>
    <row r="1153" ht="14.25" customHeight="1">
      <c r="A1153" s="210"/>
      <c r="B1153" s="210"/>
      <c r="C1153" s="210"/>
      <c r="D1153" s="210"/>
      <c r="E1153" s="210"/>
      <c r="F1153" s="210"/>
      <c r="G1153" s="210"/>
      <c r="H1153" s="210"/>
      <c r="I1153" s="210"/>
      <c r="J1153" s="210"/>
      <c r="K1153" s="210"/>
      <c r="L1153" s="210"/>
      <c r="M1153" s="210"/>
      <c r="N1153" s="210"/>
      <c r="O1153" s="210"/>
      <c r="P1153" s="210"/>
      <c r="Q1153" s="210"/>
      <c r="R1153" s="210"/>
      <c r="S1153" s="210"/>
      <c r="T1153" s="210"/>
      <c r="U1153" s="210"/>
      <c r="V1153" s="210"/>
      <c r="W1153" s="210"/>
      <c r="X1153" s="210"/>
      <c r="Y1153" s="210"/>
      <c r="Z1153" s="210"/>
      <c r="AA1153" s="210"/>
      <c r="AB1153" s="210"/>
      <c r="AC1153" s="210"/>
      <c r="AD1153" s="210"/>
      <c r="AE1153" s="210"/>
      <c r="AF1153" s="210"/>
      <c r="AG1153" s="210"/>
      <c r="AH1153" s="210"/>
      <c r="AI1153" s="210"/>
      <c r="AJ1153" s="210"/>
    </row>
    <row r="1154" ht="14.25" customHeight="1">
      <c r="A1154" s="210"/>
      <c r="B1154" s="210"/>
      <c r="C1154" s="210"/>
      <c r="D1154" s="210"/>
      <c r="E1154" s="210"/>
      <c r="F1154" s="210"/>
      <c r="G1154" s="210"/>
      <c r="H1154" s="210"/>
      <c r="I1154" s="210"/>
      <c r="J1154" s="210"/>
      <c r="K1154" s="210"/>
      <c r="L1154" s="210"/>
      <c r="M1154" s="210"/>
      <c r="N1154" s="210"/>
      <c r="O1154" s="210"/>
      <c r="P1154" s="210"/>
      <c r="Q1154" s="210"/>
      <c r="R1154" s="210"/>
      <c r="S1154" s="210"/>
      <c r="T1154" s="210"/>
      <c r="U1154" s="210"/>
      <c r="V1154" s="210"/>
      <c r="W1154" s="210"/>
      <c r="X1154" s="210"/>
      <c r="Y1154" s="210"/>
      <c r="Z1154" s="210"/>
      <c r="AA1154" s="210"/>
      <c r="AB1154" s="210"/>
      <c r="AC1154" s="210"/>
      <c r="AD1154" s="210"/>
      <c r="AE1154" s="210"/>
      <c r="AF1154" s="210"/>
      <c r="AG1154" s="210"/>
      <c r="AH1154" s="210"/>
      <c r="AI1154" s="210"/>
      <c r="AJ1154" s="210"/>
    </row>
    <row r="1155" ht="14.25" customHeight="1">
      <c r="A1155" s="210"/>
      <c r="B1155" s="210"/>
      <c r="C1155" s="210"/>
      <c r="D1155" s="210"/>
      <c r="E1155" s="210"/>
      <c r="F1155" s="210"/>
      <c r="G1155" s="210"/>
      <c r="H1155" s="210"/>
      <c r="I1155" s="210"/>
      <c r="J1155" s="210"/>
      <c r="K1155" s="210"/>
      <c r="L1155" s="210"/>
      <c r="M1155" s="210"/>
      <c r="N1155" s="210"/>
      <c r="O1155" s="210"/>
      <c r="P1155" s="210"/>
      <c r="Q1155" s="210"/>
      <c r="R1155" s="210"/>
      <c r="S1155" s="210"/>
      <c r="T1155" s="210"/>
      <c r="U1155" s="210"/>
      <c r="V1155" s="210"/>
      <c r="W1155" s="210"/>
      <c r="X1155" s="210"/>
      <c r="Y1155" s="210"/>
      <c r="Z1155" s="210"/>
      <c r="AA1155" s="210"/>
      <c r="AB1155" s="210"/>
      <c r="AC1155" s="210"/>
      <c r="AD1155" s="210"/>
      <c r="AE1155" s="210"/>
      <c r="AF1155" s="210"/>
      <c r="AG1155" s="210"/>
      <c r="AH1155" s="210"/>
      <c r="AI1155" s="210"/>
      <c r="AJ1155" s="210"/>
    </row>
    <row r="1156" ht="14.25" customHeight="1">
      <c r="A1156" s="210"/>
      <c r="B1156" s="210"/>
      <c r="C1156" s="210"/>
      <c r="D1156" s="210"/>
      <c r="E1156" s="210"/>
      <c r="F1156" s="210"/>
      <c r="G1156" s="210"/>
      <c r="H1156" s="210"/>
      <c r="I1156" s="210"/>
      <c r="J1156" s="210"/>
      <c r="K1156" s="210"/>
      <c r="L1156" s="210"/>
      <c r="M1156" s="210"/>
      <c r="N1156" s="210"/>
      <c r="O1156" s="210"/>
      <c r="P1156" s="210"/>
      <c r="Q1156" s="210"/>
      <c r="R1156" s="210"/>
      <c r="S1156" s="210"/>
      <c r="T1156" s="210"/>
      <c r="U1156" s="210"/>
      <c r="V1156" s="210"/>
      <c r="W1156" s="210"/>
      <c r="X1156" s="210"/>
      <c r="Y1156" s="210"/>
      <c r="Z1156" s="210"/>
      <c r="AA1156" s="210"/>
      <c r="AB1156" s="210"/>
      <c r="AC1156" s="210"/>
      <c r="AD1156" s="210"/>
      <c r="AE1156" s="210"/>
      <c r="AF1156" s="210"/>
      <c r="AG1156" s="210"/>
      <c r="AH1156" s="210"/>
      <c r="AI1156" s="210"/>
      <c r="AJ1156" s="210"/>
    </row>
    <row r="1157" ht="14.25" customHeight="1">
      <c r="A1157" s="210"/>
      <c r="B1157" s="210"/>
      <c r="C1157" s="210"/>
      <c r="D1157" s="210"/>
      <c r="E1157" s="210"/>
      <c r="F1157" s="210"/>
      <c r="G1157" s="210"/>
      <c r="H1157" s="210"/>
      <c r="I1157" s="210"/>
      <c r="J1157" s="210"/>
      <c r="K1157" s="210"/>
      <c r="L1157" s="210"/>
      <c r="M1157" s="210"/>
      <c r="N1157" s="210"/>
      <c r="O1157" s="210"/>
      <c r="P1157" s="210"/>
      <c r="Q1157" s="210"/>
      <c r="R1157" s="210"/>
      <c r="S1157" s="210"/>
      <c r="T1157" s="210"/>
      <c r="U1157" s="210"/>
      <c r="V1157" s="210"/>
      <c r="W1157" s="210"/>
      <c r="X1157" s="210"/>
      <c r="Y1157" s="210"/>
      <c r="Z1157" s="210"/>
      <c r="AA1157" s="210"/>
      <c r="AB1157" s="210"/>
      <c r="AC1157" s="210"/>
      <c r="AD1157" s="210"/>
      <c r="AE1157" s="210"/>
      <c r="AF1157" s="210"/>
      <c r="AG1157" s="210"/>
      <c r="AH1157" s="210"/>
      <c r="AI1157" s="210"/>
      <c r="AJ1157" s="210"/>
    </row>
    <row r="1158" ht="14.25" customHeight="1">
      <c r="A1158" s="210"/>
      <c r="B1158" s="210"/>
      <c r="C1158" s="210"/>
      <c r="D1158" s="210"/>
      <c r="E1158" s="210"/>
      <c r="F1158" s="210"/>
      <c r="G1158" s="210"/>
      <c r="H1158" s="210"/>
      <c r="I1158" s="210"/>
      <c r="J1158" s="210"/>
      <c r="K1158" s="210"/>
      <c r="L1158" s="210"/>
      <c r="M1158" s="210"/>
      <c r="N1158" s="210"/>
      <c r="O1158" s="210"/>
      <c r="P1158" s="210"/>
      <c r="Q1158" s="210"/>
      <c r="R1158" s="210"/>
      <c r="S1158" s="210"/>
      <c r="T1158" s="210"/>
      <c r="U1158" s="210"/>
      <c r="V1158" s="210"/>
      <c r="W1158" s="210"/>
      <c r="X1158" s="210"/>
      <c r="Y1158" s="210"/>
      <c r="Z1158" s="210"/>
      <c r="AA1158" s="210"/>
      <c r="AB1158" s="210"/>
      <c r="AC1158" s="210"/>
      <c r="AD1158" s="210"/>
      <c r="AE1158" s="210"/>
      <c r="AF1158" s="210"/>
      <c r="AG1158" s="210"/>
      <c r="AH1158" s="210"/>
      <c r="AI1158" s="210"/>
      <c r="AJ1158" s="210"/>
    </row>
    <row r="1159" ht="14.25" customHeight="1">
      <c r="A1159" s="210"/>
      <c r="B1159" s="210"/>
      <c r="C1159" s="210"/>
      <c r="D1159" s="210"/>
      <c r="E1159" s="210"/>
      <c r="F1159" s="210"/>
      <c r="G1159" s="210"/>
      <c r="H1159" s="210"/>
      <c r="I1159" s="210"/>
      <c r="J1159" s="210"/>
      <c r="K1159" s="210"/>
      <c r="L1159" s="210"/>
      <c r="M1159" s="210"/>
      <c r="N1159" s="210"/>
      <c r="O1159" s="210"/>
      <c r="P1159" s="210"/>
      <c r="Q1159" s="210"/>
      <c r="R1159" s="210"/>
      <c r="S1159" s="210"/>
      <c r="T1159" s="210"/>
      <c r="U1159" s="210"/>
      <c r="V1159" s="210"/>
      <c r="W1159" s="210"/>
      <c r="X1159" s="210"/>
      <c r="Y1159" s="210"/>
      <c r="Z1159" s="210"/>
      <c r="AA1159" s="210"/>
      <c r="AB1159" s="210"/>
      <c r="AC1159" s="210"/>
      <c r="AD1159" s="210"/>
      <c r="AE1159" s="210"/>
      <c r="AF1159" s="210"/>
      <c r="AG1159" s="210"/>
      <c r="AH1159" s="210"/>
      <c r="AI1159" s="210"/>
      <c r="AJ1159" s="210"/>
    </row>
    <row r="1160" ht="14.25" customHeight="1">
      <c r="A1160" s="210"/>
      <c r="B1160" s="210"/>
      <c r="C1160" s="210"/>
      <c r="D1160" s="210"/>
      <c r="E1160" s="210"/>
      <c r="F1160" s="210"/>
      <c r="G1160" s="210"/>
      <c r="H1160" s="210"/>
      <c r="I1160" s="210"/>
      <c r="J1160" s="210"/>
      <c r="K1160" s="210"/>
      <c r="L1160" s="210"/>
      <c r="M1160" s="210"/>
      <c r="N1160" s="210"/>
      <c r="O1160" s="210"/>
      <c r="P1160" s="210"/>
      <c r="Q1160" s="210"/>
      <c r="R1160" s="210"/>
      <c r="S1160" s="210"/>
      <c r="T1160" s="210"/>
      <c r="U1160" s="210"/>
      <c r="V1160" s="210"/>
      <c r="W1160" s="210"/>
      <c r="X1160" s="210"/>
      <c r="Y1160" s="210"/>
      <c r="Z1160" s="210"/>
      <c r="AA1160" s="210"/>
      <c r="AB1160" s="210"/>
      <c r="AC1160" s="210"/>
      <c r="AD1160" s="210"/>
      <c r="AE1160" s="210"/>
      <c r="AF1160" s="210"/>
      <c r="AG1160" s="210"/>
      <c r="AH1160" s="210"/>
      <c r="AI1160" s="210"/>
      <c r="AJ1160" s="210"/>
    </row>
    <row r="1161" ht="14.25" customHeight="1">
      <c r="A1161" s="210"/>
      <c r="B1161" s="210"/>
      <c r="C1161" s="210"/>
      <c r="D1161" s="210"/>
      <c r="E1161" s="210"/>
      <c r="F1161" s="210"/>
      <c r="G1161" s="210"/>
      <c r="H1161" s="210"/>
      <c r="I1161" s="210"/>
      <c r="J1161" s="210"/>
      <c r="K1161" s="210"/>
      <c r="L1161" s="210"/>
      <c r="M1161" s="210"/>
      <c r="N1161" s="210"/>
      <c r="O1161" s="210"/>
      <c r="P1161" s="210"/>
      <c r="Q1161" s="210"/>
      <c r="R1161" s="210"/>
      <c r="S1161" s="210"/>
      <c r="T1161" s="210"/>
      <c r="U1161" s="210"/>
      <c r="V1161" s="210"/>
      <c r="W1161" s="210"/>
      <c r="X1161" s="210"/>
      <c r="Y1161" s="210"/>
      <c r="Z1161" s="210"/>
      <c r="AA1161" s="210"/>
      <c r="AB1161" s="210"/>
      <c r="AC1161" s="210"/>
      <c r="AD1161" s="210"/>
      <c r="AE1161" s="210"/>
      <c r="AF1161" s="210"/>
      <c r="AG1161" s="210"/>
      <c r="AH1161" s="210"/>
      <c r="AI1161" s="210"/>
      <c r="AJ1161" s="210"/>
    </row>
    <row r="1162" ht="14.25" customHeight="1">
      <c r="A1162" s="210"/>
      <c r="B1162" s="210"/>
      <c r="C1162" s="210"/>
      <c r="D1162" s="210"/>
      <c r="E1162" s="210"/>
      <c r="F1162" s="210"/>
      <c r="G1162" s="210"/>
      <c r="H1162" s="210"/>
      <c r="I1162" s="210"/>
      <c r="J1162" s="210"/>
      <c r="K1162" s="210"/>
      <c r="L1162" s="210"/>
      <c r="M1162" s="210"/>
      <c r="N1162" s="210"/>
      <c r="O1162" s="210"/>
      <c r="P1162" s="210"/>
      <c r="Q1162" s="210"/>
      <c r="R1162" s="210"/>
      <c r="S1162" s="210"/>
      <c r="T1162" s="210"/>
      <c r="U1162" s="210"/>
      <c r="V1162" s="210"/>
      <c r="W1162" s="210"/>
      <c r="X1162" s="210"/>
      <c r="Y1162" s="210"/>
      <c r="Z1162" s="210"/>
      <c r="AA1162" s="210"/>
      <c r="AB1162" s="210"/>
      <c r="AC1162" s="210"/>
      <c r="AD1162" s="210"/>
      <c r="AE1162" s="210"/>
      <c r="AF1162" s="210"/>
      <c r="AG1162" s="210"/>
      <c r="AH1162" s="210"/>
      <c r="AI1162" s="210"/>
      <c r="AJ1162" s="210"/>
    </row>
    <row r="1163" ht="14.25" customHeight="1">
      <c r="A1163" s="210"/>
      <c r="B1163" s="210"/>
      <c r="C1163" s="210"/>
      <c r="D1163" s="210"/>
      <c r="E1163" s="210"/>
      <c r="F1163" s="210"/>
      <c r="G1163" s="210"/>
      <c r="H1163" s="210"/>
      <c r="I1163" s="210"/>
      <c r="J1163" s="210"/>
      <c r="K1163" s="210"/>
      <c r="L1163" s="210"/>
      <c r="M1163" s="210"/>
      <c r="N1163" s="210"/>
      <c r="O1163" s="210"/>
      <c r="P1163" s="210"/>
      <c r="Q1163" s="210"/>
      <c r="R1163" s="210"/>
      <c r="S1163" s="210"/>
      <c r="T1163" s="210"/>
      <c r="U1163" s="210"/>
      <c r="V1163" s="210"/>
      <c r="W1163" s="210"/>
      <c r="X1163" s="210"/>
      <c r="Y1163" s="210"/>
      <c r="Z1163" s="210"/>
      <c r="AA1163" s="210"/>
      <c r="AB1163" s="210"/>
      <c r="AC1163" s="210"/>
      <c r="AD1163" s="210"/>
      <c r="AE1163" s="210"/>
      <c r="AF1163" s="210"/>
      <c r="AG1163" s="210"/>
      <c r="AH1163" s="210"/>
      <c r="AI1163" s="210"/>
      <c r="AJ1163" s="210"/>
    </row>
    <row r="1164" ht="14.25" customHeight="1">
      <c r="A1164" s="210"/>
      <c r="B1164" s="210"/>
      <c r="C1164" s="210"/>
      <c r="D1164" s="210"/>
      <c r="E1164" s="210"/>
      <c r="F1164" s="210"/>
      <c r="G1164" s="210"/>
      <c r="H1164" s="210"/>
      <c r="I1164" s="210"/>
      <c r="J1164" s="210"/>
      <c r="K1164" s="210"/>
      <c r="L1164" s="210"/>
      <c r="M1164" s="210"/>
      <c r="N1164" s="210"/>
      <c r="O1164" s="210"/>
      <c r="P1164" s="210"/>
      <c r="Q1164" s="210"/>
      <c r="R1164" s="210"/>
      <c r="S1164" s="210"/>
      <c r="T1164" s="210"/>
      <c r="U1164" s="210"/>
      <c r="V1164" s="210"/>
      <c r="W1164" s="210"/>
      <c r="X1164" s="210"/>
      <c r="Y1164" s="210"/>
      <c r="Z1164" s="210"/>
      <c r="AA1164" s="210"/>
      <c r="AB1164" s="210"/>
      <c r="AC1164" s="210"/>
      <c r="AD1164" s="210"/>
      <c r="AE1164" s="210"/>
      <c r="AF1164" s="210"/>
      <c r="AG1164" s="210"/>
      <c r="AH1164" s="210"/>
      <c r="AI1164" s="210"/>
      <c r="AJ1164" s="210"/>
    </row>
    <row r="1165" ht="14.25" customHeight="1">
      <c r="A1165" s="210"/>
      <c r="B1165" s="210"/>
      <c r="C1165" s="210"/>
      <c r="D1165" s="210"/>
      <c r="E1165" s="210"/>
      <c r="F1165" s="210"/>
      <c r="G1165" s="210"/>
      <c r="H1165" s="210"/>
      <c r="I1165" s="210"/>
      <c r="J1165" s="210"/>
      <c r="K1165" s="210"/>
      <c r="L1165" s="210"/>
      <c r="M1165" s="210"/>
      <c r="N1165" s="210"/>
      <c r="O1165" s="210"/>
      <c r="P1165" s="210"/>
      <c r="Q1165" s="210"/>
      <c r="R1165" s="210"/>
      <c r="S1165" s="210"/>
      <c r="T1165" s="210"/>
      <c r="U1165" s="210"/>
      <c r="V1165" s="210"/>
      <c r="W1165" s="210"/>
      <c r="X1165" s="210"/>
      <c r="Y1165" s="210"/>
      <c r="Z1165" s="210"/>
      <c r="AA1165" s="210"/>
      <c r="AB1165" s="210"/>
      <c r="AC1165" s="210"/>
      <c r="AD1165" s="210"/>
      <c r="AE1165" s="210"/>
      <c r="AF1165" s="210"/>
      <c r="AG1165" s="210"/>
      <c r="AH1165" s="210"/>
      <c r="AI1165" s="210"/>
      <c r="AJ1165" s="210"/>
    </row>
    <row r="1166" ht="14.25" customHeight="1">
      <c r="A1166" s="210"/>
      <c r="B1166" s="210"/>
      <c r="C1166" s="210"/>
      <c r="D1166" s="210"/>
      <c r="E1166" s="210"/>
      <c r="F1166" s="210"/>
      <c r="G1166" s="210"/>
      <c r="H1166" s="210"/>
      <c r="I1166" s="210"/>
      <c r="J1166" s="210"/>
      <c r="K1166" s="210"/>
      <c r="L1166" s="210"/>
      <c r="M1166" s="210"/>
      <c r="N1166" s="210"/>
      <c r="O1166" s="210"/>
      <c r="P1166" s="210"/>
      <c r="Q1166" s="210"/>
      <c r="R1166" s="210"/>
      <c r="S1166" s="210"/>
      <c r="T1166" s="210"/>
      <c r="U1166" s="210"/>
      <c r="V1166" s="210"/>
      <c r="W1166" s="210"/>
      <c r="X1166" s="210"/>
      <c r="Y1166" s="210"/>
      <c r="Z1166" s="210"/>
      <c r="AA1166" s="210"/>
      <c r="AB1166" s="210"/>
      <c r="AC1166" s="210"/>
      <c r="AD1166" s="210"/>
      <c r="AE1166" s="210"/>
      <c r="AF1166" s="210"/>
      <c r="AG1166" s="210"/>
      <c r="AH1166" s="210"/>
      <c r="AI1166" s="210"/>
      <c r="AJ1166" s="210"/>
    </row>
    <row r="1167" ht="14.25" customHeight="1">
      <c r="A1167" s="210"/>
      <c r="B1167" s="210"/>
      <c r="C1167" s="210"/>
      <c r="D1167" s="210"/>
      <c r="E1167" s="210"/>
      <c r="F1167" s="210"/>
      <c r="G1167" s="210"/>
      <c r="H1167" s="210"/>
      <c r="I1167" s="210"/>
      <c r="J1167" s="210"/>
      <c r="K1167" s="210"/>
      <c r="L1167" s="210"/>
      <c r="M1167" s="210"/>
      <c r="N1167" s="210"/>
      <c r="O1167" s="210"/>
      <c r="P1167" s="210"/>
      <c r="Q1167" s="210"/>
      <c r="R1167" s="210"/>
      <c r="S1167" s="210"/>
      <c r="T1167" s="210"/>
      <c r="U1167" s="210"/>
      <c r="V1167" s="210"/>
      <c r="W1167" s="210"/>
      <c r="X1167" s="210"/>
      <c r="Y1167" s="210"/>
      <c r="Z1167" s="210"/>
      <c r="AA1167" s="210"/>
      <c r="AB1167" s="210"/>
      <c r="AC1167" s="210"/>
      <c r="AD1167" s="210"/>
      <c r="AE1167" s="210"/>
      <c r="AF1167" s="210"/>
      <c r="AG1167" s="210"/>
      <c r="AH1167" s="210"/>
      <c r="AI1167" s="210"/>
      <c r="AJ1167" s="210"/>
    </row>
    <row r="1168" ht="14.25" customHeight="1">
      <c r="A1168" s="210"/>
      <c r="B1168" s="210"/>
      <c r="C1168" s="210"/>
      <c r="D1168" s="210"/>
      <c r="E1168" s="210"/>
      <c r="F1168" s="210"/>
      <c r="G1168" s="210"/>
      <c r="H1168" s="210"/>
      <c r="I1168" s="210"/>
      <c r="J1168" s="210"/>
      <c r="K1168" s="210"/>
      <c r="L1168" s="210"/>
      <c r="M1168" s="210"/>
      <c r="N1168" s="210"/>
      <c r="O1168" s="210"/>
      <c r="P1168" s="210"/>
      <c r="Q1168" s="210"/>
      <c r="R1168" s="210"/>
      <c r="S1168" s="210"/>
      <c r="T1168" s="210"/>
      <c r="U1168" s="210"/>
      <c r="V1168" s="210"/>
      <c r="W1168" s="210"/>
      <c r="X1168" s="210"/>
      <c r="Y1168" s="210"/>
      <c r="Z1168" s="210"/>
      <c r="AA1168" s="210"/>
      <c r="AB1168" s="210"/>
      <c r="AC1168" s="210"/>
      <c r="AD1168" s="210"/>
      <c r="AE1168" s="210"/>
      <c r="AF1168" s="210"/>
      <c r="AG1168" s="210"/>
      <c r="AH1168" s="210"/>
      <c r="AI1168" s="210"/>
      <c r="AJ1168" s="210"/>
    </row>
    <row r="1169" ht="14.25" customHeight="1">
      <c r="A1169" s="210"/>
      <c r="B1169" s="210"/>
      <c r="C1169" s="210"/>
      <c r="D1169" s="210"/>
      <c r="E1169" s="210"/>
      <c r="F1169" s="210"/>
      <c r="G1169" s="210"/>
      <c r="H1169" s="210"/>
      <c r="I1169" s="210"/>
      <c r="J1169" s="210"/>
      <c r="K1169" s="210"/>
      <c r="L1169" s="210"/>
      <c r="M1169" s="210"/>
      <c r="N1169" s="210"/>
      <c r="O1169" s="210"/>
      <c r="P1169" s="210"/>
      <c r="Q1169" s="210"/>
      <c r="R1169" s="210"/>
      <c r="S1169" s="210"/>
      <c r="T1169" s="210"/>
      <c r="U1169" s="210"/>
      <c r="V1169" s="210"/>
      <c r="W1169" s="210"/>
      <c r="X1169" s="210"/>
      <c r="Y1169" s="210"/>
      <c r="Z1169" s="210"/>
      <c r="AA1169" s="210"/>
      <c r="AB1169" s="210"/>
      <c r="AC1169" s="210"/>
      <c r="AD1169" s="210"/>
      <c r="AE1169" s="210"/>
      <c r="AF1169" s="210"/>
      <c r="AG1169" s="210"/>
      <c r="AH1169" s="210"/>
      <c r="AI1169" s="210"/>
      <c r="AJ1169" s="210"/>
    </row>
    <row r="1170" ht="14.25" customHeight="1">
      <c r="A1170" s="210"/>
      <c r="B1170" s="210"/>
      <c r="C1170" s="210"/>
      <c r="D1170" s="210"/>
      <c r="E1170" s="210"/>
      <c r="F1170" s="210"/>
      <c r="G1170" s="210"/>
      <c r="H1170" s="210"/>
      <c r="I1170" s="210"/>
      <c r="J1170" s="210"/>
      <c r="K1170" s="210"/>
      <c r="L1170" s="210"/>
      <c r="M1170" s="210"/>
      <c r="N1170" s="210"/>
      <c r="O1170" s="210"/>
      <c r="P1170" s="210"/>
      <c r="Q1170" s="210"/>
      <c r="R1170" s="210"/>
      <c r="S1170" s="210"/>
      <c r="T1170" s="210"/>
      <c r="U1170" s="210"/>
      <c r="V1170" s="210"/>
      <c r="W1170" s="210"/>
      <c r="X1170" s="210"/>
      <c r="Y1170" s="210"/>
      <c r="Z1170" s="210"/>
      <c r="AA1170" s="210"/>
      <c r="AB1170" s="210"/>
      <c r="AC1170" s="210"/>
      <c r="AD1170" s="210"/>
      <c r="AE1170" s="210"/>
      <c r="AF1170" s="210"/>
      <c r="AG1170" s="210"/>
      <c r="AH1170" s="210"/>
      <c r="AI1170" s="210"/>
      <c r="AJ1170" s="210"/>
    </row>
    <row r="1171" ht="14.25" customHeight="1">
      <c r="A1171" s="210"/>
      <c r="B1171" s="210"/>
      <c r="C1171" s="210"/>
      <c r="D1171" s="210"/>
      <c r="E1171" s="210"/>
      <c r="F1171" s="210"/>
      <c r="G1171" s="210"/>
      <c r="H1171" s="210"/>
      <c r="I1171" s="210"/>
      <c r="J1171" s="210"/>
      <c r="K1171" s="210"/>
      <c r="L1171" s="210"/>
      <c r="M1171" s="210"/>
      <c r="N1171" s="210"/>
      <c r="O1171" s="210"/>
      <c r="P1171" s="210"/>
      <c r="Q1171" s="210"/>
      <c r="R1171" s="210"/>
      <c r="S1171" s="210"/>
      <c r="T1171" s="210"/>
      <c r="U1171" s="210"/>
      <c r="V1171" s="210"/>
      <c r="W1171" s="210"/>
      <c r="X1171" s="210"/>
      <c r="Y1171" s="210"/>
      <c r="Z1171" s="210"/>
      <c r="AA1171" s="210"/>
      <c r="AB1171" s="210"/>
      <c r="AC1171" s="210"/>
      <c r="AD1171" s="210"/>
      <c r="AE1171" s="210"/>
      <c r="AF1171" s="210"/>
      <c r="AG1171" s="210"/>
      <c r="AH1171" s="210"/>
      <c r="AI1171" s="210"/>
      <c r="AJ1171" s="210"/>
    </row>
    <row r="1172" ht="14.25" customHeight="1">
      <c r="A1172" s="210"/>
      <c r="B1172" s="210"/>
      <c r="C1172" s="210"/>
      <c r="D1172" s="210"/>
      <c r="E1172" s="210"/>
      <c r="F1172" s="210"/>
      <c r="G1172" s="210"/>
      <c r="H1172" s="210"/>
      <c r="I1172" s="210"/>
      <c r="J1172" s="210"/>
      <c r="K1172" s="210"/>
      <c r="L1172" s="210"/>
      <c r="M1172" s="210"/>
      <c r="N1172" s="210"/>
      <c r="O1172" s="210"/>
      <c r="P1172" s="210"/>
      <c r="Q1172" s="210"/>
      <c r="R1172" s="210"/>
      <c r="S1172" s="210"/>
      <c r="T1172" s="210"/>
      <c r="U1172" s="210"/>
      <c r="V1172" s="210"/>
      <c r="W1172" s="210"/>
      <c r="X1172" s="210"/>
      <c r="Y1172" s="210"/>
      <c r="Z1172" s="210"/>
      <c r="AA1172" s="210"/>
      <c r="AB1172" s="210"/>
      <c r="AC1172" s="210"/>
      <c r="AD1172" s="210"/>
      <c r="AE1172" s="210"/>
      <c r="AF1172" s="210"/>
      <c r="AG1172" s="210"/>
      <c r="AH1172" s="210"/>
      <c r="AI1172" s="210"/>
      <c r="AJ1172" s="210"/>
    </row>
    <row r="1173" ht="14.25" customHeight="1">
      <c r="A1173" s="210"/>
      <c r="B1173" s="210"/>
      <c r="C1173" s="210"/>
      <c r="D1173" s="210"/>
      <c r="E1173" s="210"/>
      <c r="F1173" s="210"/>
      <c r="G1173" s="210"/>
      <c r="H1173" s="210"/>
      <c r="I1173" s="210"/>
      <c r="J1173" s="210"/>
      <c r="K1173" s="210"/>
      <c r="L1173" s="210"/>
      <c r="M1173" s="210"/>
      <c r="N1173" s="210"/>
      <c r="O1173" s="210"/>
      <c r="P1173" s="210"/>
      <c r="Q1173" s="210"/>
      <c r="R1173" s="210"/>
      <c r="S1173" s="210"/>
      <c r="T1173" s="210"/>
      <c r="U1173" s="210"/>
      <c r="V1173" s="210"/>
      <c r="W1173" s="210"/>
      <c r="X1173" s="210"/>
      <c r="Y1173" s="210"/>
      <c r="Z1173" s="210"/>
      <c r="AA1173" s="210"/>
      <c r="AB1173" s="210"/>
      <c r="AC1173" s="210"/>
      <c r="AD1173" s="210"/>
      <c r="AE1173" s="210"/>
      <c r="AF1173" s="210"/>
      <c r="AG1173" s="210"/>
      <c r="AH1173" s="210"/>
      <c r="AI1173" s="210"/>
      <c r="AJ1173" s="210"/>
    </row>
    <row r="1174" ht="14.25" customHeight="1">
      <c r="A1174" s="210"/>
      <c r="B1174" s="210"/>
      <c r="C1174" s="210"/>
      <c r="D1174" s="210"/>
      <c r="E1174" s="210"/>
      <c r="F1174" s="210"/>
      <c r="G1174" s="210"/>
      <c r="H1174" s="210"/>
      <c r="I1174" s="210"/>
      <c r="J1174" s="210"/>
      <c r="K1174" s="210"/>
      <c r="L1174" s="210"/>
      <c r="M1174" s="210"/>
      <c r="N1174" s="210"/>
      <c r="O1174" s="210"/>
      <c r="P1174" s="210"/>
      <c r="Q1174" s="210"/>
      <c r="R1174" s="210"/>
      <c r="S1174" s="210"/>
      <c r="T1174" s="210"/>
      <c r="U1174" s="210"/>
      <c r="V1174" s="210"/>
      <c r="W1174" s="210"/>
      <c r="X1174" s="210"/>
      <c r="Y1174" s="210"/>
      <c r="Z1174" s="210"/>
      <c r="AA1174" s="210"/>
      <c r="AB1174" s="210"/>
      <c r="AC1174" s="210"/>
      <c r="AD1174" s="210"/>
      <c r="AE1174" s="210"/>
      <c r="AF1174" s="210"/>
      <c r="AG1174" s="210"/>
      <c r="AH1174" s="210"/>
      <c r="AI1174" s="210"/>
      <c r="AJ1174" s="210"/>
    </row>
    <row r="1175" ht="14.25" customHeight="1">
      <c r="A1175" s="210"/>
      <c r="B1175" s="210"/>
      <c r="C1175" s="210"/>
      <c r="D1175" s="210"/>
      <c r="E1175" s="210"/>
      <c r="F1175" s="210"/>
      <c r="G1175" s="210"/>
      <c r="H1175" s="210"/>
      <c r="I1175" s="210"/>
      <c r="J1175" s="210"/>
      <c r="K1175" s="210"/>
      <c r="L1175" s="210"/>
      <c r="M1175" s="210"/>
      <c r="N1175" s="210"/>
      <c r="O1175" s="210"/>
      <c r="P1175" s="210"/>
      <c r="Q1175" s="210"/>
      <c r="R1175" s="210"/>
      <c r="S1175" s="210"/>
      <c r="T1175" s="210"/>
      <c r="U1175" s="210"/>
      <c r="V1175" s="210"/>
      <c r="W1175" s="210"/>
      <c r="X1175" s="210"/>
      <c r="Y1175" s="210"/>
      <c r="Z1175" s="210"/>
      <c r="AA1175" s="210"/>
      <c r="AB1175" s="210"/>
      <c r="AC1175" s="210"/>
      <c r="AD1175" s="210"/>
      <c r="AE1175" s="210"/>
      <c r="AF1175" s="210"/>
      <c r="AG1175" s="210"/>
      <c r="AH1175" s="210"/>
      <c r="AI1175" s="210"/>
      <c r="AJ1175" s="210"/>
    </row>
    <row r="1176" ht="14.25" customHeight="1">
      <c r="A1176" s="210"/>
      <c r="B1176" s="210"/>
      <c r="C1176" s="210"/>
      <c r="D1176" s="210"/>
      <c r="E1176" s="210"/>
      <c r="F1176" s="210"/>
      <c r="G1176" s="210"/>
      <c r="H1176" s="210"/>
      <c r="I1176" s="210"/>
      <c r="J1176" s="210"/>
      <c r="K1176" s="210"/>
      <c r="L1176" s="210"/>
      <c r="M1176" s="210"/>
      <c r="N1176" s="210"/>
      <c r="O1176" s="210"/>
      <c r="P1176" s="210"/>
      <c r="Q1176" s="210"/>
      <c r="R1176" s="210"/>
      <c r="S1176" s="210"/>
      <c r="T1176" s="210"/>
      <c r="U1176" s="210"/>
      <c r="V1176" s="210"/>
      <c r="W1176" s="210"/>
      <c r="X1176" s="210"/>
      <c r="Y1176" s="210"/>
      <c r="Z1176" s="210"/>
      <c r="AA1176" s="210"/>
      <c r="AB1176" s="210"/>
      <c r="AC1176" s="210"/>
      <c r="AD1176" s="210"/>
      <c r="AE1176" s="210"/>
      <c r="AF1176" s="210"/>
      <c r="AG1176" s="210"/>
      <c r="AH1176" s="210"/>
      <c r="AI1176" s="210"/>
      <c r="AJ1176" s="210"/>
    </row>
    <row r="1177" ht="14.25" customHeight="1">
      <c r="A1177" s="210"/>
      <c r="B1177" s="210"/>
      <c r="C1177" s="210"/>
      <c r="D1177" s="210"/>
      <c r="E1177" s="210"/>
      <c r="F1177" s="210"/>
      <c r="G1177" s="210"/>
      <c r="H1177" s="210"/>
      <c r="I1177" s="210"/>
      <c r="J1177" s="210"/>
      <c r="K1177" s="210"/>
      <c r="L1177" s="210"/>
      <c r="M1177" s="210"/>
      <c r="N1177" s="210"/>
      <c r="O1177" s="210"/>
      <c r="P1177" s="210"/>
      <c r="Q1177" s="210"/>
      <c r="R1177" s="210"/>
      <c r="S1177" s="210"/>
      <c r="T1177" s="210"/>
      <c r="U1177" s="210"/>
      <c r="V1177" s="210"/>
      <c r="W1177" s="210"/>
      <c r="X1177" s="210"/>
      <c r="Y1177" s="210"/>
      <c r="Z1177" s="210"/>
      <c r="AA1177" s="210"/>
      <c r="AB1177" s="210"/>
      <c r="AC1177" s="210"/>
      <c r="AD1177" s="210"/>
      <c r="AE1177" s="210"/>
      <c r="AF1177" s="210"/>
      <c r="AG1177" s="210"/>
      <c r="AH1177" s="210"/>
      <c r="AI1177" s="210"/>
      <c r="AJ1177" s="210"/>
    </row>
    <row r="1178" ht="14.25" customHeight="1">
      <c r="A1178" s="210"/>
      <c r="B1178" s="210"/>
      <c r="C1178" s="210"/>
      <c r="D1178" s="210"/>
      <c r="E1178" s="210"/>
      <c r="F1178" s="210"/>
      <c r="G1178" s="210"/>
      <c r="H1178" s="210"/>
      <c r="I1178" s="210"/>
      <c r="J1178" s="210"/>
      <c r="K1178" s="210"/>
      <c r="L1178" s="210"/>
      <c r="M1178" s="210"/>
      <c r="N1178" s="210"/>
      <c r="O1178" s="210"/>
      <c r="P1178" s="210"/>
      <c r="Q1178" s="210"/>
      <c r="R1178" s="210"/>
      <c r="S1178" s="210"/>
      <c r="T1178" s="210"/>
      <c r="U1178" s="210"/>
      <c r="V1178" s="210"/>
      <c r="W1178" s="210"/>
      <c r="X1178" s="210"/>
      <c r="Y1178" s="210"/>
      <c r="Z1178" s="210"/>
      <c r="AA1178" s="210"/>
      <c r="AB1178" s="210"/>
      <c r="AC1178" s="210"/>
      <c r="AD1178" s="210"/>
      <c r="AE1178" s="210"/>
      <c r="AF1178" s="210"/>
      <c r="AG1178" s="210"/>
      <c r="AH1178" s="210"/>
      <c r="AI1178" s="210"/>
      <c r="AJ1178" s="210"/>
    </row>
    <row r="1179" ht="14.25" customHeight="1">
      <c r="A1179" s="210"/>
      <c r="B1179" s="210"/>
      <c r="C1179" s="210"/>
      <c r="D1179" s="210"/>
      <c r="E1179" s="210"/>
      <c r="F1179" s="210"/>
      <c r="G1179" s="210"/>
      <c r="H1179" s="210"/>
      <c r="I1179" s="210"/>
      <c r="J1179" s="210"/>
      <c r="K1179" s="210"/>
      <c r="L1179" s="210"/>
      <c r="M1179" s="210"/>
      <c r="N1179" s="210"/>
      <c r="O1179" s="210"/>
      <c r="P1179" s="210"/>
      <c r="Q1179" s="210"/>
      <c r="R1179" s="210"/>
      <c r="S1179" s="210"/>
      <c r="T1179" s="210"/>
      <c r="U1179" s="210"/>
      <c r="V1179" s="210"/>
      <c r="W1179" s="210"/>
      <c r="X1179" s="210"/>
      <c r="Y1179" s="210"/>
      <c r="Z1179" s="210"/>
      <c r="AA1179" s="210"/>
      <c r="AB1179" s="210"/>
      <c r="AC1179" s="210"/>
      <c r="AD1179" s="210"/>
      <c r="AE1179" s="210"/>
      <c r="AF1179" s="210"/>
      <c r="AG1179" s="210"/>
      <c r="AH1179" s="210"/>
      <c r="AI1179" s="210"/>
      <c r="AJ1179" s="210"/>
    </row>
    <row r="1180" ht="14.25" customHeight="1">
      <c r="A1180" s="210"/>
      <c r="B1180" s="210"/>
      <c r="C1180" s="210"/>
      <c r="D1180" s="210"/>
      <c r="E1180" s="210"/>
      <c r="F1180" s="210"/>
      <c r="G1180" s="210"/>
      <c r="H1180" s="210"/>
      <c r="I1180" s="210"/>
      <c r="J1180" s="210"/>
      <c r="K1180" s="210"/>
      <c r="L1180" s="210"/>
      <c r="M1180" s="210"/>
      <c r="N1180" s="210"/>
      <c r="O1180" s="210"/>
      <c r="P1180" s="210"/>
      <c r="Q1180" s="210"/>
      <c r="R1180" s="210"/>
      <c r="S1180" s="210"/>
      <c r="T1180" s="210"/>
      <c r="U1180" s="210"/>
      <c r="V1180" s="210"/>
      <c r="W1180" s="210"/>
      <c r="X1180" s="210"/>
      <c r="Y1180" s="210"/>
      <c r="Z1180" s="210"/>
      <c r="AA1180" s="210"/>
      <c r="AB1180" s="210"/>
      <c r="AC1180" s="210"/>
      <c r="AD1180" s="210"/>
      <c r="AE1180" s="210"/>
      <c r="AF1180" s="210"/>
      <c r="AG1180" s="210"/>
      <c r="AH1180" s="210"/>
      <c r="AI1180" s="210"/>
      <c r="AJ1180" s="210"/>
    </row>
    <row r="1181" ht="14.25" customHeight="1">
      <c r="A1181" s="210"/>
      <c r="B1181" s="210"/>
      <c r="C1181" s="210"/>
      <c r="D1181" s="210"/>
      <c r="E1181" s="210"/>
      <c r="F1181" s="210"/>
      <c r="G1181" s="210"/>
      <c r="H1181" s="210"/>
      <c r="I1181" s="210"/>
      <c r="J1181" s="210"/>
      <c r="K1181" s="210"/>
      <c r="L1181" s="210"/>
      <c r="M1181" s="210"/>
      <c r="N1181" s="210"/>
      <c r="O1181" s="210"/>
      <c r="P1181" s="210"/>
      <c r="Q1181" s="210"/>
      <c r="R1181" s="210"/>
      <c r="S1181" s="210"/>
      <c r="T1181" s="210"/>
      <c r="U1181" s="210"/>
      <c r="V1181" s="210"/>
      <c r="W1181" s="210"/>
      <c r="X1181" s="210"/>
      <c r="Y1181" s="210"/>
      <c r="Z1181" s="210"/>
      <c r="AA1181" s="210"/>
      <c r="AB1181" s="210"/>
      <c r="AC1181" s="210"/>
      <c r="AD1181" s="210"/>
      <c r="AE1181" s="210"/>
      <c r="AF1181" s="210"/>
      <c r="AG1181" s="210"/>
      <c r="AH1181" s="210"/>
      <c r="AI1181" s="210"/>
      <c r="AJ1181" s="210"/>
    </row>
    <row r="1182" ht="14.25" customHeight="1">
      <c r="A1182" s="210"/>
      <c r="B1182" s="210"/>
      <c r="C1182" s="210"/>
      <c r="D1182" s="210"/>
      <c r="E1182" s="210"/>
      <c r="F1182" s="210"/>
      <c r="G1182" s="210"/>
      <c r="H1182" s="210"/>
      <c r="I1182" s="210"/>
      <c r="J1182" s="210"/>
      <c r="K1182" s="210"/>
      <c r="L1182" s="210"/>
      <c r="M1182" s="210"/>
      <c r="N1182" s="210"/>
      <c r="O1182" s="210"/>
      <c r="P1182" s="210"/>
      <c r="Q1182" s="210"/>
      <c r="R1182" s="210"/>
      <c r="S1182" s="210"/>
      <c r="T1182" s="210"/>
      <c r="U1182" s="210"/>
      <c r="V1182" s="210"/>
      <c r="W1182" s="210"/>
      <c r="X1182" s="210"/>
      <c r="Y1182" s="210"/>
      <c r="Z1182" s="210"/>
      <c r="AA1182" s="210"/>
      <c r="AB1182" s="210"/>
      <c r="AC1182" s="210"/>
      <c r="AD1182" s="210"/>
      <c r="AE1182" s="210"/>
      <c r="AF1182" s="210"/>
      <c r="AG1182" s="210"/>
      <c r="AH1182" s="210"/>
      <c r="AI1182" s="210"/>
      <c r="AJ1182" s="210"/>
    </row>
    <row r="1183" ht="14.25" customHeight="1">
      <c r="A1183" s="210"/>
      <c r="B1183" s="210"/>
      <c r="C1183" s="210"/>
      <c r="D1183" s="210"/>
      <c r="E1183" s="210"/>
      <c r="F1183" s="210"/>
      <c r="G1183" s="210"/>
      <c r="H1183" s="210"/>
      <c r="I1183" s="210"/>
      <c r="J1183" s="210"/>
      <c r="K1183" s="210"/>
      <c r="L1183" s="210"/>
      <c r="M1183" s="210"/>
      <c r="N1183" s="210"/>
      <c r="O1183" s="210"/>
      <c r="P1183" s="210"/>
      <c r="Q1183" s="210"/>
      <c r="R1183" s="210"/>
      <c r="S1183" s="210"/>
      <c r="T1183" s="210"/>
      <c r="U1183" s="210"/>
      <c r="V1183" s="210"/>
      <c r="W1183" s="210"/>
      <c r="X1183" s="210"/>
      <c r="Y1183" s="210"/>
      <c r="Z1183" s="210"/>
      <c r="AA1183" s="210"/>
      <c r="AB1183" s="210"/>
      <c r="AC1183" s="210"/>
      <c r="AD1183" s="210"/>
      <c r="AE1183" s="210"/>
      <c r="AF1183" s="210"/>
      <c r="AG1183" s="210"/>
      <c r="AH1183" s="210"/>
      <c r="AI1183" s="210"/>
      <c r="AJ1183" s="210"/>
    </row>
    <row r="1184" ht="14.25" customHeight="1">
      <c r="A1184" s="210"/>
      <c r="B1184" s="210"/>
      <c r="C1184" s="210"/>
      <c r="D1184" s="210"/>
      <c r="E1184" s="210"/>
      <c r="F1184" s="210"/>
      <c r="G1184" s="210"/>
      <c r="H1184" s="210"/>
      <c r="I1184" s="210"/>
      <c r="J1184" s="210"/>
      <c r="K1184" s="210"/>
      <c r="L1184" s="210"/>
      <c r="M1184" s="210"/>
      <c r="N1184" s="210"/>
      <c r="O1184" s="210"/>
      <c r="P1184" s="210"/>
      <c r="Q1184" s="210"/>
      <c r="R1184" s="210"/>
      <c r="S1184" s="210"/>
      <c r="T1184" s="210"/>
      <c r="U1184" s="210"/>
      <c r="V1184" s="210"/>
      <c r="W1184" s="210"/>
      <c r="X1184" s="210"/>
      <c r="Y1184" s="210"/>
      <c r="Z1184" s="210"/>
      <c r="AA1184" s="210"/>
      <c r="AB1184" s="210"/>
      <c r="AC1184" s="210"/>
      <c r="AD1184" s="210"/>
      <c r="AE1184" s="210"/>
      <c r="AF1184" s="210"/>
      <c r="AG1184" s="210"/>
      <c r="AH1184" s="210"/>
      <c r="AI1184" s="210"/>
      <c r="AJ1184" s="210"/>
    </row>
    <row r="1185" ht="14.25" customHeight="1">
      <c r="A1185" s="210"/>
      <c r="B1185" s="210"/>
      <c r="C1185" s="210"/>
      <c r="D1185" s="210"/>
      <c r="E1185" s="210"/>
      <c r="F1185" s="210"/>
      <c r="G1185" s="210"/>
      <c r="H1185" s="210"/>
      <c r="I1185" s="210"/>
      <c r="J1185" s="210"/>
      <c r="K1185" s="210"/>
      <c r="L1185" s="210"/>
      <c r="M1185" s="210"/>
      <c r="N1185" s="210"/>
      <c r="O1185" s="210"/>
      <c r="P1185" s="210"/>
      <c r="Q1185" s="210"/>
      <c r="R1185" s="210"/>
      <c r="S1185" s="210"/>
      <c r="T1185" s="210"/>
      <c r="U1185" s="210"/>
      <c r="V1185" s="210"/>
      <c r="W1185" s="210"/>
      <c r="X1185" s="210"/>
      <c r="Y1185" s="210"/>
      <c r="Z1185" s="210"/>
      <c r="AA1185" s="210"/>
      <c r="AB1185" s="210"/>
      <c r="AC1185" s="210"/>
      <c r="AD1185" s="210"/>
      <c r="AE1185" s="210"/>
      <c r="AF1185" s="210"/>
      <c r="AG1185" s="210"/>
      <c r="AH1185" s="210"/>
      <c r="AI1185" s="210"/>
      <c r="AJ1185" s="210"/>
    </row>
    <row r="1186" ht="14.25" customHeight="1">
      <c r="A1186" s="210"/>
      <c r="B1186" s="210"/>
      <c r="C1186" s="210"/>
      <c r="D1186" s="210"/>
      <c r="E1186" s="210"/>
      <c r="F1186" s="210"/>
      <c r="G1186" s="210"/>
      <c r="H1186" s="210"/>
      <c r="I1186" s="210"/>
      <c r="J1186" s="210"/>
      <c r="K1186" s="210"/>
      <c r="L1186" s="210"/>
      <c r="M1186" s="210"/>
      <c r="N1186" s="210"/>
      <c r="O1186" s="210"/>
      <c r="P1186" s="210"/>
      <c r="Q1186" s="210"/>
      <c r="R1186" s="210"/>
      <c r="S1186" s="210"/>
      <c r="T1186" s="210"/>
      <c r="U1186" s="210"/>
      <c r="V1186" s="210"/>
      <c r="W1186" s="210"/>
      <c r="X1186" s="210"/>
      <c r="Y1186" s="210"/>
      <c r="Z1186" s="210"/>
      <c r="AA1186" s="210"/>
      <c r="AB1186" s="210"/>
      <c r="AC1186" s="210"/>
      <c r="AD1186" s="210"/>
      <c r="AE1186" s="210"/>
      <c r="AF1186" s="210"/>
      <c r="AG1186" s="210"/>
      <c r="AH1186" s="210"/>
      <c r="AI1186" s="210"/>
      <c r="AJ1186" s="210"/>
    </row>
    <row r="1187" ht="14.25" customHeight="1">
      <c r="A1187" s="210"/>
      <c r="B1187" s="210"/>
      <c r="C1187" s="210"/>
      <c r="D1187" s="210"/>
      <c r="E1187" s="210"/>
      <c r="F1187" s="210"/>
      <c r="G1187" s="210"/>
      <c r="H1187" s="210"/>
      <c r="I1187" s="210"/>
      <c r="J1187" s="210"/>
      <c r="K1187" s="210"/>
      <c r="L1187" s="210"/>
      <c r="M1187" s="210"/>
      <c r="N1187" s="210"/>
      <c r="O1187" s="210"/>
      <c r="P1187" s="210"/>
      <c r="Q1187" s="210"/>
      <c r="R1187" s="210"/>
      <c r="S1187" s="210"/>
      <c r="T1187" s="210"/>
      <c r="U1187" s="210"/>
      <c r="V1187" s="210"/>
      <c r="W1187" s="210"/>
      <c r="X1187" s="210"/>
      <c r="Y1187" s="210"/>
      <c r="Z1187" s="210"/>
      <c r="AA1187" s="210"/>
      <c r="AB1187" s="210"/>
      <c r="AC1187" s="210"/>
      <c r="AD1187" s="210"/>
      <c r="AE1187" s="210"/>
      <c r="AF1187" s="210"/>
      <c r="AG1187" s="210"/>
      <c r="AH1187" s="210"/>
      <c r="AI1187" s="210"/>
      <c r="AJ1187" s="210"/>
    </row>
    <row r="1188" ht="14.25" customHeight="1">
      <c r="A1188" s="210"/>
      <c r="B1188" s="210"/>
      <c r="C1188" s="210"/>
      <c r="D1188" s="210"/>
      <c r="E1188" s="210"/>
      <c r="F1188" s="210"/>
      <c r="G1188" s="210"/>
      <c r="H1188" s="210"/>
      <c r="I1188" s="210"/>
      <c r="J1188" s="210"/>
      <c r="K1188" s="210"/>
      <c r="L1188" s="210"/>
      <c r="M1188" s="210"/>
      <c r="N1188" s="210"/>
      <c r="O1188" s="210"/>
      <c r="P1188" s="210"/>
      <c r="Q1188" s="210"/>
      <c r="R1188" s="210"/>
      <c r="S1188" s="210"/>
      <c r="T1188" s="210"/>
      <c r="U1188" s="210"/>
      <c r="V1188" s="210"/>
      <c r="W1188" s="210"/>
      <c r="X1188" s="210"/>
      <c r="Y1188" s="210"/>
      <c r="Z1188" s="210"/>
      <c r="AA1188" s="210"/>
      <c r="AB1188" s="210"/>
      <c r="AC1188" s="210"/>
      <c r="AD1188" s="210"/>
      <c r="AE1188" s="210"/>
      <c r="AF1188" s="210"/>
      <c r="AG1188" s="210"/>
      <c r="AH1188" s="210"/>
      <c r="AI1188" s="210"/>
      <c r="AJ1188" s="210"/>
    </row>
    <row r="1189" ht="14.25" customHeight="1">
      <c r="A1189" s="210"/>
      <c r="B1189" s="210"/>
      <c r="C1189" s="210"/>
      <c r="D1189" s="210"/>
      <c r="E1189" s="210"/>
      <c r="F1189" s="210"/>
      <c r="G1189" s="210"/>
      <c r="H1189" s="210"/>
      <c r="I1189" s="210"/>
      <c r="J1189" s="210"/>
      <c r="K1189" s="210"/>
      <c r="L1189" s="210"/>
      <c r="M1189" s="210"/>
      <c r="N1189" s="210"/>
      <c r="O1189" s="210"/>
      <c r="P1189" s="210"/>
      <c r="Q1189" s="210"/>
      <c r="R1189" s="210"/>
      <c r="S1189" s="210"/>
      <c r="T1189" s="210"/>
      <c r="U1189" s="210"/>
      <c r="V1189" s="210"/>
      <c r="W1189" s="210"/>
      <c r="X1189" s="210"/>
      <c r="Y1189" s="210"/>
      <c r="Z1189" s="210"/>
      <c r="AA1189" s="210"/>
      <c r="AB1189" s="210"/>
      <c r="AC1189" s="210"/>
      <c r="AD1189" s="210"/>
      <c r="AE1189" s="210"/>
      <c r="AF1189" s="210"/>
      <c r="AG1189" s="210"/>
      <c r="AH1189" s="210"/>
      <c r="AI1189" s="210"/>
      <c r="AJ1189" s="210"/>
    </row>
    <row r="1190" ht="14.25" customHeight="1">
      <c r="A1190" s="210"/>
      <c r="B1190" s="210"/>
      <c r="C1190" s="210"/>
      <c r="D1190" s="210"/>
      <c r="E1190" s="210"/>
      <c r="F1190" s="210"/>
      <c r="G1190" s="210"/>
      <c r="H1190" s="210"/>
      <c r="I1190" s="210"/>
      <c r="J1190" s="210"/>
      <c r="K1190" s="210"/>
      <c r="L1190" s="210"/>
      <c r="M1190" s="210"/>
      <c r="N1190" s="210"/>
      <c r="O1190" s="210"/>
      <c r="P1190" s="210"/>
      <c r="Q1190" s="210"/>
      <c r="R1190" s="210"/>
      <c r="S1190" s="210"/>
      <c r="T1190" s="210"/>
      <c r="U1190" s="210"/>
      <c r="V1190" s="210"/>
      <c r="W1190" s="210"/>
      <c r="X1190" s="210"/>
      <c r="Y1190" s="210"/>
      <c r="Z1190" s="210"/>
      <c r="AA1190" s="210"/>
      <c r="AB1190" s="210"/>
      <c r="AC1190" s="210"/>
      <c r="AD1190" s="210"/>
      <c r="AE1190" s="210"/>
      <c r="AF1190" s="210"/>
      <c r="AG1190" s="210"/>
      <c r="AH1190" s="210"/>
      <c r="AI1190" s="210"/>
      <c r="AJ1190" s="210"/>
    </row>
    <row r="1191" ht="14.25" customHeight="1">
      <c r="A1191" s="210"/>
      <c r="B1191" s="210"/>
      <c r="C1191" s="210"/>
      <c r="D1191" s="210"/>
      <c r="E1191" s="210"/>
      <c r="F1191" s="210"/>
      <c r="G1191" s="210"/>
      <c r="H1191" s="210"/>
      <c r="I1191" s="210"/>
      <c r="J1191" s="210"/>
      <c r="K1191" s="210"/>
      <c r="L1191" s="210"/>
      <c r="M1191" s="210"/>
      <c r="N1191" s="210"/>
      <c r="O1191" s="210"/>
      <c r="P1191" s="210"/>
      <c r="Q1191" s="210"/>
      <c r="R1191" s="210"/>
      <c r="S1191" s="210"/>
      <c r="T1191" s="210"/>
      <c r="U1191" s="210"/>
      <c r="V1191" s="210"/>
      <c r="W1191" s="210"/>
      <c r="X1191" s="210"/>
      <c r="Y1191" s="210"/>
      <c r="Z1191" s="210"/>
      <c r="AA1191" s="210"/>
      <c r="AB1191" s="210"/>
      <c r="AC1191" s="210"/>
      <c r="AD1191" s="210"/>
      <c r="AE1191" s="210"/>
      <c r="AF1191" s="210"/>
      <c r="AG1191" s="210"/>
      <c r="AH1191" s="210"/>
      <c r="AI1191" s="210"/>
      <c r="AJ1191" s="210"/>
    </row>
    <row r="1192" ht="14.25" customHeight="1">
      <c r="A1192" s="210"/>
      <c r="B1192" s="210"/>
      <c r="C1192" s="210"/>
      <c r="D1192" s="210"/>
      <c r="E1192" s="210"/>
      <c r="F1192" s="210"/>
      <c r="G1192" s="210"/>
      <c r="H1192" s="210"/>
      <c r="I1192" s="210"/>
      <c r="J1192" s="210"/>
      <c r="K1192" s="210"/>
      <c r="L1192" s="210"/>
      <c r="M1192" s="210"/>
      <c r="N1192" s="210"/>
      <c r="O1192" s="210"/>
      <c r="P1192" s="210"/>
      <c r="Q1192" s="210"/>
      <c r="R1192" s="210"/>
      <c r="S1192" s="210"/>
      <c r="T1192" s="210"/>
      <c r="U1192" s="210"/>
      <c r="V1192" s="210"/>
      <c r="W1192" s="210"/>
      <c r="X1192" s="210"/>
      <c r="Y1192" s="210"/>
      <c r="Z1192" s="210"/>
      <c r="AA1192" s="210"/>
      <c r="AB1192" s="210"/>
      <c r="AC1192" s="210"/>
      <c r="AD1192" s="210"/>
      <c r="AE1192" s="210"/>
      <c r="AF1192" s="210"/>
      <c r="AG1192" s="210"/>
      <c r="AH1192" s="210"/>
      <c r="AI1192" s="210"/>
      <c r="AJ1192" s="210"/>
    </row>
    <row r="1193" ht="14.25" customHeight="1">
      <c r="A1193" s="210"/>
      <c r="B1193" s="210"/>
      <c r="C1193" s="210"/>
      <c r="D1193" s="210"/>
      <c r="E1193" s="210"/>
      <c r="F1193" s="210"/>
      <c r="G1193" s="210"/>
      <c r="H1193" s="210"/>
      <c r="I1193" s="210"/>
      <c r="J1193" s="210"/>
      <c r="K1193" s="210"/>
      <c r="L1193" s="210"/>
      <c r="M1193" s="210"/>
      <c r="N1193" s="210"/>
      <c r="O1193" s="210"/>
      <c r="P1193" s="210"/>
      <c r="Q1193" s="210"/>
      <c r="R1193" s="210"/>
      <c r="S1193" s="210"/>
      <c r="T1193" s="210"/>
      <c r="U1193" s="210"/>
      <c r="V1193" s="210"/>
      <c r="W1193" s="210"/>
      <c r="X1193" s="210"/>
      <c r="Y1193" s="210"/>
      <c r="Z1193" s="210"/>
      <c r="AA1193" s="210"/>
      <c r="AB1193" s="210"/>
      <c r="AC1193" s="210"/>
      <c r="AD1193" s="210"/>
      <c r="AE1193" s="210"/>
      <c r="AF1193" s="210"/>
      <c r="AG1193" s="210"/>
      <c r="AH1193" s="210"/>
      <c r="AI1193" s="210"/>
      <c r="AJ1193" s="210"/>
    </row>
    <row r="1194" ht="14.25" customHeight="1">
      <c r="A1194" s="210"/>
      <c r="B1194" s="210"/>
      <c r="C1194" s="210"/>
      <c r="D1194" s="210"/>
      <c r="E1194" s="210"/>
      <c r="F1194" s="210"/>
      <c r="G1194" s="210"/>
      <c r="H1194" s="210"/>
      <c r="I1194" s="210"/>
      <c r="J1194" s="210"/>
      <c r="K1194" s="210"/>
      <c r="L1194" s="210"/>
      <c r="M1194" s="210"/>
      <c r="N1194" s="210"/>
      <c r="O1194" s="210"/>
      <c r="P1194" s="210"/>
      <c r="Q1194" s="210"/>
      <c r="R1194" s="210"/>
      <c r="S1194" s="210"/>
      <c r="T1194" s="210"/>
      <c r="U1194" s="210"/>
      <c r="V1194" s="210"/>
      <c r="W1194" s="210"/>
      <c r="X1194" s="210"/>
      <c r="Y1194" s="210"/>
      <c r="Z1194" s="210"/>
      <c r="AA1194" s="210"/>
      <c r="AB1194" s="210"/>
      <c r="AC1194" s="210"/>
      <c r="AD1194" s="210"/>
      <c r="AE1194" s="210"/>
      <c r="AF1194" s="210"/>
      <c r="AG1194" s="210"/>
      <c r="AH1194" s="210"/>
      <c r="AI1194" s="210"/>
      <c r="AJ1194" s="210"/>
    </row>
    <row r="1195" ht="14.25" customHeight="1">
      <c r="A1195" s="210"/>
      <c r="B1195" s="210"/>
      <c r="C1195" s="210"/>
      <c r="D1195" s="210"/>
      <c r="E1195" s="210"/>
      <c r="F1195" s="210"/>
      <c r="G1195" s="210"/>
      <c r="H1195" s="210"/>
      <c r="I1195" s="210"/>
      <c r="J1195" s="210"/>
      <c r="K1195" s="210"/>
      <c r="L1195" s="210"/>
      <c r="M1195" s="210"/>
      <c r="N1195" s="210"/>
      <c r="O1195" s="210"/>
      <c r="P1195" s="210"/>
      <c r="Q1195" s="210"/>
      <c r="R1195" s="210"/>
      <c r="S1195" s="210"/>
      <c r="T1195" s="210"/>
      <c r="U1195" s="210"/>
      <c r="V1195" s="210"/>
      <c r="W1195" s="210"/>
      <c r="X1195" s="210"/>
      <c r="Y1195" s="210"/>
      <c r="Z1195" s="210"/>
      <c r="AA1195" s="210"/>
      <c r="AB1195" s="210"/>
      <c r="AC1195" s="210"/>
      <c r="AD1195" s="210"/>
      <c r="AE1195" s="210"/>
      <c r="AF1195" s="210"/>
      <c r="AG1195" s="210"/>
      <c r="AH1195" s="210"/>
      <c r="AI1195" s="210"/>
      <c r="AJ1195" s="210"/>
    </row>
    <row r="1196" ht="14.25" customHeight="1">
      <c r="A1196" s="210"/>
      <c r="B1196" s="210"/>
      <c r="C1196" s="210"/>
      <c r="D1196" s="210"/>
      <c r="E1196" s="210"/>
      <c r="F1196" s="210"/>
      <c r="G1196" s="210"/>
      <c r="H1196" s="210"/>
      <c r="I1196" s="210"/>
      <c r="J1196" s="210"/>
      <c r="K1196" s="210"/>
      <c r="L1196" s="210"/>
      <c r="M1196" s="210"/>
      <c r="N1196" s="210"/>
      <c r="O1196" s="210"/>
      <c r="P1196" s="210"/>
      <c r="Q1196" s="210"/>
      <c r="R1196" s="210"/>
      <c r="S1196" s="210"/>
      <c r="T1196" s="210"/>
      <c r="U1196" s="210"/>
      <c r="V1196" s="210"/>
      <c r="W1196" s="210"/>
      <c r="X1196" s="210"/>
      <c r="Y1196" s="210"/>
      <c r="Z1196" s="210"/>
      <c r="AA1196" s="210"/>
      <c r="AB1196" s="210"/>
      <c r="AC1196" s="210"/>
      <c r="AD1196" s="210"/>
      <c r="AE1196" s="210"/>
      <c r="AF1196" s="210"/>
      <c r="AG1196" s="210"/>
      <c r="AH1196" s="210"/>
      <c r="AI1196" s="210"/>
      <c r="AJ1196" s="210"/>
    </row>
    <row r="1197" ht="14.25" customHeight="1">
      <c r="A1197" s="210"/>
      <c r="B1197" s="210"/>
      <c r="C1197" s="210"/>
      <c r="D1197" s="210"/>
      <c r="E1197" s="210"/>
      <c r="F1197" s="210"/>
      <c r="G1197" s="210"/>
      <c r="H1197" s="210"/>
      <c r="I1197" s="210"/>
      <c r="J1197" s="210"/>
      <c r="K1197" s="210"/>
      <c r="L1197" s="210"/>
      <c r="M1197" s="210"/>
      <c r="N1197" s="210"/>
      <c r="O1197" s="210"/>
      <c r="P1197" s="210"/>
      <c r="Q1197" s="210"/>
      <c r="R1197" s="210"/>
      <c r="S1197" s="210"/>
      <c r="T1197" s="210"/>
      <c r="U1197" s="210"/>
      <c r="V1197" s="210"/>
      <c r="W1197" s="210"/>
      <c r="X1197" s="210"/>
      <c r="Y1197" s="210"/>
      <c r="Z1197" s="210"/>
      <c r="AA1197" s="210"/>
      <c r="AB1197" s="210"/>
      <c r="AC1197" s="210"/>
      <c r="AD1197" s="210"/>
      <c r="AE1197" s="210"/>
      <c r="AF1197" s="210"/>
      <c r="AG1197" s="210"/>
      <c r="AH1197" s="210"/>
      <c r="AI1197" s="210"/>
      <c r="AJ1197" s="210"/>
    </row>
    <row r="1198" ht="14.25" customHeight="1">
      <c r="A1198" s="210"/>
      <c r="B1198" s="210"/>
      <c r="C1198" s="210"/>
      <c r="D1198" s="210"/>
      <c r="E1198" s="210"/>
      <c r="F1198" s="210"/>
      <c r="G1198" s="210"/>
      <c r="H1198" s="210"/>
      <c r="I1198" s="210"/>
      <c r="J1198" s="210"/>
      <c r="K1198" s="210"/>
      <c r="L1198" s="210"/>
      <c r="M1198" s="210"/>
      <c r="N1198" s="210"/>
      <c r="O1198" s="210"/>
      <c r="P1198" s="210"/>
      <c r="Q1198" s="210"/>
      <c r="R1198" s="210"/>
      <c r="S1198" s="210"/>
      <c r="T1198" s="210"/>
      <c r="U1198" s="210"/>
      <c r="V1198" s="210"/>
      <c r="W1198" s="210"/>
      <c r="X1198" s="210"/>
      <c r="Y1198" s="210"/>
      <c r="Z1198" s="210"/>
      <c r="AA1198" s="210"/>
      <c r="AB1198" s="210"/>
      <c r="AC1198" s="210"/>
      <c r="AD1198" s="210"/>
      <c r="AE1198" s="210"/>
      <c r="AF1198" s="210"/>
      <c r="AG1198" s="210"/>
      <c r="AH1198" s="210"/>
      <c r="AI1198" s="210"/>
      <c r="AJ1198" s="210"/>
    </row>
    <row r="1199" ht="14.25" customHeight="1">
      <c r="A1199" s="210"/>
      <c r="B1199" s="210"/>
      <c r="C1199" s="210"/>
      <c r="D1199" s="210"/>
      <c r="E1199" s="210"/>
      <c r="F1199" s="210"/>
      <c r="G1199" s="210"/>
      <c r="H1199" s="210"/>
      <c r="I1199" s="210"/>
      <c r="J1199" s="210"/>
      <c r="K1199" s="210"/>
      <c r="L1199" s="210"/>
      <c r="M1199" s="210"/>
      <c r="N1199" s="210"/>
      <c r="O1199" s="210"/>
      <c r="P1199" s="210"/>
      <c r="Q1199" s="210"/>
      <c r="R1199" s="210"/>
      <c r="S1199" s="210"/>
      <c r="T1199" s="210"/>
      <c r="U1199" s="210"/>
      <c r="V1199" s="210"/>
      <c r="W1199" s="210"/>
      <c r="X1199" s="210"/>
      <c r="Y1199" s="210"/>
      <c r="Z1199" s="210"/>
      <c r="AA1199" s="210"/>
      <c r="AB1199" s="210"/>
      <c r="AC1199" s="210"/>
      <c r="AD1199" s="210"/>
      <c r="AE1199" s="210"/>
      <c r="AF1199" s="210"/>
      <c r="AG1199" s="210"/>
      <c r="AH1199" s="210"/>
      <c r="AI1199" s="210"/>
      <c r="AJ1199" s="210"/>
    </row>
    <row r="1200" ht="14.25" customHeight="1">
      <c r="A1200" s="210"/>
      <c r="B1200" s="210"/>
      <c r="C1200" s="210"/>
      <c r="D1200" s="210"/>
      <c r="E1200" s="210"/>
      <c r="F1200" s="210"/>
      <c r="G1200" s="210"/>
      <c r="H1200" s="210"/>
      <c r="I1200" s="210"/>
      <c r="J1200" s="210"/>
      <c r="K1200" s="210"/>
      <c r="L1200" s="210"/>
      <c r="M1200" s="210"/>
      <c r="N1200" s="210"/>
      <c r="O1200" s="210"/>
      <c r="P1200" s="210"/>
      <c r="Q1200" s="210"/>
      <c r="R1200" s="210"/>
      <c r="S1200" s="210"/>
      <c r="T1200" s="210"/>
      <c r="U1200" s="210"/>
      <c r="V1200" s="210"/>
      <c r="W1200" s="210"/>
      <c r="X1200" s="210"/>
      <c r="Y1200" s="210"/>
      <c r="Z1200" s="210"/>
      <c r="AA1200" s="210"/>
      <c r="AB1200" s="210"/>
      <c r="AC1200" s="210"/>
      <c r="AD1200" s="210"/>
      <c r="AE1200" s="210"/>
      <c r="AF1200" s="210"/>
      <c r="AG1200" s="210"/>
      <c r="AH1200" s="210"/>
      <c r="AI1200" s="210"/>
      <c r="AJ1200" s="210"/>
    </row>
    <row r="1201" ht="14.25" customHeight="1">
      <c r="A1201" s="210"/>
      <c r="B1201" s="210"/>
      <c r="C1201" s="210"/>
      <c r="D1201" s="210"/>
      <c r="E1201" s="210"/>
      <c r="F1201" s="210"/>
      <c r="G1201" s="210"/>
      <c r="H1201" s="210"/>
      <c r="I1201" s="210"/>
      <c r="J1201" s="210"/>
      <c r="K1201" s="210"/>
      <c r="L1201" s="210"/>
      <c r="M1201" s="210"/>
      <c r="N1201" s="210"/>
      <c r="O1201" s="210"/>
      <c r="P1201" s="210"/>
      <c r="Q1201" s="210"/>
      <c r="R1201" s="210"/>
      <c r="S1201" s="210"/>
      <c r="T1201" s="210"/>
      <c r="U1201" s="210"/>
      <c r="V1201" s="210"/>
      <c r="W1201" s="210"/>
      <c r="X1201" s="210"/>
      <c r="Y1201" s="210"/>
      <c r="Z1201" s="210"/>
      <c r="AA1201" s="210"/>
      <c r="AB1201" s="210"/>
      <c r="AC1201" s="210"/>
      <c r="AD1201" s="210"/>
      <c r="AE1201" s="210"/>
      <c r="AF1201" s="210"/>
      <c r="AG1201" s="210"/>
      <c r="AH1201" s="210"/>
      <c r="AI1201" s="210"/>
      <c r="AJ1201" s="210"/>
    </row>
    <row r="1202" ht="14.25" customHeight="1">
      <c r="A1202" s="210"/>
      <c r="B1202" s="210"/>
      <c r="C1202" s="210"/>
      <c r="D1202" s="210"/>
      <c r="E1202" s="210"/>
      <c r="F1202" s="210"/>
      <c r="G1202" s="210"/>
      <c r="H1202" s="210"/>
      <c r="I1202" s="210"/>
      <c r="J1202" s="210"/>
      <c r="K1202" s="210"/>
      <c r="L1202" s="210"/>
      <c r="M1202" s="210"/>
      <c r="N1202" s="210"/>
      <c r="O1202" s="210"/>
      <c r="P1202" s="210"/>
      <c r="Q1202" s="210"/>
      <c r="R1202" s="210"/>
      <c r="S1202" s="210"/>
      <c r="T1202" s="210"/>
      <c r="U1202" s="210"/>
      <c r="V1202" s="210"/>
      <c r="W1202" s="210"/>
      <c r="X1202" s="210"/>
      <c r="Y1202" s="210"/>
      <c r="Z1202" s="210"/>
      <c r="AA1202" s="210"/>
      <c r="AB1202" s="210"/>
      <c r="AC1202" s="210"/>
      <c r="AD1202" s="210"/>
      <c r="AE1202" s="210"/>
      <c r="AF1202" s="210"/>
      <c r="AG1202" s="210"/>
      <c r="AH1202" s="210"/>
      <c r="AI1202" s="210"/>
      <c r="AJ1202" s="210"/>
    </row>
    <row r="1203" ht="14.25" customHeight="1">
      <c r="A1203" s="210"/>
      <c r="B1203" s="210"/>
      <c r="C1203" s="210"/>
      <c r="D1203" s="210"/>
      <c r="E1203" s="210"/>
      <c r="F1203" s="210"/>
      <c r="G1203" s="210"/>
      <c r="H1203" s="210"/>
      <c r="I1203" s="210"/>
      <c r="J1203" s="210"/>
      <c r="K1203" s="210"/>
      <c r="L1203" s="210"/>
      <c r="M1203" s="210"/>
      <c r="N1203" s="210"/>
      <c r="O1203" s="210"/>
      <c r="P1203" s="210"/>
      <c r="Q1203" s="210"/>
      <c r="R1203" s="210"/>
      <c r="S1203" s="210"/>
      <c r="T1203" s="210"/>
      <c r="U1203" s="210"/>
      <c r="V1203" s="210"/>
      <c r="W1203" s="210"/>
      <c r="X1203" s="210"/>
      <c r="Y1203" s="210"/>
      <c r="Z1203" s="210"/>
      <c r="AA1203" s="210"/>
      <c r="AB1203" s="210"/>
      <c r="AC1203" s="210"/>
      <c r="AD1203" s="210"/>
      <c r="AE1203" s="210"/>
      <c r="AF1203" s="210"/>
      <c r="AG1203" s="210"/>
      <c r="AH1203" s="210"/>
      <c r="AI1203" s="210"/>
      <c r="AJ1203" s="210"/>
    </row>
    <row r="1204" ht="14.25" customHeight="1">
      <c r="A1204" s="210"/>
      <c r="B1204" s="210"/>
      <c r="C1204" s="210"/>
      <c r="D1204" s="210"/>
      <c r="E1204" s="210"/>
      <c r="F1204" s="210"/>
      <c r="G1204" s="210"/>
      <c r="H1204" s="210"/>
      <c r="I1204" s="210"/>
      <c r="J1204" s="210"/>
      <c r="K1204" s="210"/>
      <c r="L1204" s="210"/>
      <c r="M1204" s="210"/>
      <c r="N1204" s="210"/>
      <c r="O1204" s="210"/>
      <c r="P1204" s="210"/>
      <c r="Q1204" s="210"/>
      <c r="R1204" s="210"/>
      <c r="S1204" s="210"/>
      <c r="T1204" s="210"/>
      <c r="U1204" s="210"/>
      <c r="V1204" s="210"/>
      <c r="W1204" s="210"/>
      <c r="X1204" s="210"/>
      <c r="Y1204" s="210"/>
      <c r="Z1204" s="210"/>
      <c r="AA1204" s="210"/>
      <c r="AB1204" s="210"/>
      <c r="AC1204" s="210"/>
      <c r="AD1204" s="210"/>
      <c r="AE1204" s="210"/>
      <c r="AF1204" s="210"/>
      <c r="AG1204" s="210"/>
      <c r="AH1204" s="210"/>
      <c r="AI1204" s="210"/>
      <c r="AJ1204" s="210"/>
    </row>
    <row r="1205" ht="14.25" customHeight="1">
      <c r="A1205" s="210"/>
      <c r="B1205" s="210"/>
      <c r="C1205" s="210"/>
      <c r="D1205" s="210"/>
      <c r="E1205" s="210"/>
      <c r="F1205" s="210"/>
      <c r="G1205" s="210"/>
      <c r="H1205" s="210"/>
      <c r="I1205" s="210"/>
      <c r="J1205" s="210"/>
      <c r="K1205" s="210"/>
      <c r="L1205" s="210"/>
      <c r="M1205" s="210"/>
      <c r="N1205" s="210"/>
      <c r="O1205" s="210"/>
      <c r="P1205" s="210"/>
      <c r="Q1205" s="210"/>
      <c r="R1205" s="210"/>
      <c r="S1205" s="210"/>
      <c r="T1205" s="210"/>
      <c r="U1205" s="210"/>
      <c r="V1205" s="210"/>
      <c r="W1205" s="210"/>
      <c r="X1205" s="210"/>
      <c r="Y1205" s="210"/>
      <c r="Z1205" s="210"/>
      <c r="AA1205" s="210"/>
      <c r="AB1205" s="210"/>
      <c r="AC1205" s="210"/>
      <c r="AD1205" s="210"/>
      <c r="AE1205" s="210"/>
      <c r="AF1205" s="210"/>
      <c r="AG1205" s="210"/>
      <c r="AH1205" s="210"/>
      <c r="AI1205" s="210"/>
      <c r="AJ1205" s="210"/>
    </row>
    <row r="1206" ht="14.25" customHeight="1">
      <c r="A1206" s="210"/>
      <c r="B1206" s="210"/>
      <c r="C1206" s="210"/>
      <c r="D1206" s="210"/>
      <c r="E1206" s="210"/>
      <c r="F1206" s="210"/>
      <c r="G1206" s="210"/>
      <c r="H1206" s="210"/>
      <c r="I1206" s="210"/>
      <c r="J1206" s="210"/>
      <c r="K1206" s="210"/>
      <c r="L1206" s="210"/>
      <c r="M1206" s="210"/>
      <c r="N1206" s="210"/>
      <c r="O1206" s="210"/>
      <c r="P1206" s="210"/>
      <c r="Q1206" s="210"/>
      <c r="R1206" s="210"/>
      <c r="S1206" s="210"/>
      <c r="T1206" s="210"/>
      <c r="U1206" s="210"/>
      <c r="V1206" s="210"/>
      <c r="W1206" s="210"/>
      <c r="X1206" s="210"/>
      <c r="Y1206" s="210"/>
      <c r="Z1206" s="210"/>
      <c r="AA1206" s="210"/>
      <c r="AB1206" s="210"/>
      <c r="AC1206" s="210"/>
      <c r="AD1206" s="210"/>
      <c r="AE1206" s="210"/>
      <c r="AF1206" s="210"/>
      <c r="AG1206" s="210"/>
      <c r="AH1206" s="210"/>
      <c r="AI1206" s="210"/>
      <c r="AJ1206" s="210"/>
    </row>
    <row r="1207" ht="14.25" customHeight="1">
      <c r="A1207" s="210"/>
      <c r="B1207" s="210"/>
      <c r="C1207" s="210"/>
      <c r="D1207" s="210"/>
      <c r="E1207" s="210"/>
      <c r="F1207" s="210"/>
      <c r="G1207" s="210"/>
      <c r="H1207" s="210"/>
      <c r="I1207" s="210"/>
      <c r="J1207" s="210"/>
      <c r="K1207" s="210"/>
      <c r="L1207" s="210"/>
      <c r="M1207" s="210"/>
      <c r="N1207" s="210"/>
      <c r="O1207" s="210"/>
      <c r="P1207" s="210"/>
      <c r="Q1207" s="210"/>
      <c r="R1207" s="210"/>
      <c r="S1207" s="210"/>
      <c r="T1207" s="210"/>
      <c r="U1207" s="210"/>
      <c r="V1207" s="210"/>
      <c r="W1207" s="210"/>
      <c r="X1207" s="210"/>
      <c r="Y1207" s="210"/>
      <c r="Z1207" s="210"/>
      <c r="AA1207" s="210"/>
      <c r="AB1207" s="210"/>
      <c r="AC1207" s="210"/>
      <c r="AD1207" s="210"/>
      <c r="AE1207" s="210"/>
      <c r="AF1207" s="210"/>
      <c r="AG1207" s="210"/>
      <c r="AH1207" s="210"/>
      <c r="AI1207" s="210"/>
      <c r="AJ1207" s="210"/>
    </row>
    <row r="1208" ht="14.25" customHeight="1">
      <c r="A1208" s="210"/>
      <c r="B1208" s="210"/>
      <c r="C1208" s="210"/>
      <c r="D1208" s="210"/>
      <c r="E1208" s="210"/>
      <c r="F1208" s="210"/>
      <c r="G1208" s="210"/>
      <c r="H1208" s="210"/>
      <c r="I1208" s="210"/>
      <c r="J1208" s="210"/>
      <c r="K1208" s="210"/>
      <c r="L1208" s="210"/>
      <c r="M1208" s="210"/>
      <c r="N1208" s="210"/>
      <c r="O1208" s="210"/>
      <c r="P1208" s="210"/>
      <c r="Q1208" s="210"/>
      <c r="R1208" s="210"/>
      <c r="S1208" s="210"/>
      <c r="T1208" s="210"/>
      <c r="U1208" s="210"/>
      <c r="V1208" s="210"/>
      <c r="W1208" s="210"/>
      <c r="X1208" s="210"/>
      <c r="Y1208" s="210"/>
      <c r="Z1208" s="210"/>
      <c r="AA1208" s="210"/>
      <c r="AB1208" s="210"/>
      <c r="AC1208" s="210"/>
      <c r="AD1208" s="210"/>
      <c r="AE1208" s="210"/>
      <c r="AF1208" s="210"/>
      <c r="AG1208" s="210"/>
      <c r="AH1208" s="210"/>
      <c r="AI1208" s="210"/>
      <c r="AJ1208" s="210"/>
    </row>
    <row r="1209" ht="14.25" customHeight="1">
      <c r="A1209" s="210"/>
      <c r="B1209" s="210"/>
      <c r="C1209" s="210"/>
      <c r="D1209" s="210"/>
      <c r="E1209" s="210"/>
      <c r="F1209" s="210"/>
      <c r="G1209" s="210"/>
      <c r="H1209" s="210"/>
      <c r="I1209" s="210"/>
      <c r="J1209" s="210"/>
      <c r="K1209" s="210"/>
      <c r="L1209" s="210"/>
      <c r="M1209" s="210"/>
      <c r="N1209" s="210"/>
      <c r="O1209" s="210"/>
      <c r="P1209" s="210"/>
      <c r="Q1209" s="210"/>
      <c r="R1209" s="210"/>
      <c r="S1209" s="210"/>
      <c r="T1209" s="210"/>
      <c r="U1209" s="210"/>
      <c r="V1209" s="210"/>
      <c r="W1209" s="210"/>
      <c r="X1209" s="210"/>
      <c r="Y1209" s="210"/>
      <c r="Z1209" s="210"/>
      <c r="AA1209" s="210"/>
      <c r="AB1209" s="210"/>
      <c r="AC1209" s="210"/>
      <c r="AD1209" s="210"/>
      <c r="AE1209" s="210"/>
      <c r="AF1209" s="210"/>
      <c r="AG1209" s="210"/>
      <c r="AH1209" s="210"/>
      <c r="AI1209" s="210"/>
      <c r="AJ1209" s="210"/>
    </row>
    <row r="1210" ht="14.25" customHeight="1">
      <c r="A1210" s="210"/>
      <c r="B1210" s="210"/>
      <c r="C1210" s="210"/>
      <c r="D1210" s="210"/>
      <c r="E1210" s="210"/>
      <c r="F1210" s="210"/>
      <c r="G1210" s="210"/>
      <c r="H1210" s="210"/>
      <c r="I1210" s="210"/>
      <c r="J1210" s="210"/>
      <c r="K1210" s="210"/>
      <c r="L1210" s="210"/>
      <c r="M1210" s="210"/>
      <c r="N1210" s="210"/>
      <c r="O1210" s="210"/>
      <c r="P1210" s="210"/>
      <c r="Q1210" s="210"/>
      <c r="R1210" s="210"/>
      <c r="S1210" s="210"/>
      <c r="T1210" s="210"/>
      <c r="U1210" s="210"/>
      <c r="V1210" s="210"/>
      <c r="W1210" s="210"/>
      <c r="X1210" s="210"/>
      <c r="Y1210" s="210"/>
      <c r="Z1210" s="210"/>
      <c r="AA1210" s="210"/>
      <c r="AB1210" s="210"/>
      <c r="AC1210" s="210"/>
      <c r="AD1210" s="210"/>
      <c r="AE1210" s="210"/>
      <c r="AF1210" s="210"/>
      <c r="AG1210" s="210"/>
      <c r="AH1210" s="210"/>
      <c r="AI1210" s="210"/>
      <c r="AJ1210" s="210"/>
    </row>
    <row r="1211" ht="14.25" customHeight="1">
      <c r="A1211" s="210"/>
      <c r="B1211" s="210"/>
      <c r="C1211" s="210"/>
      <c r="D1211" s="210"/>
      <c r="E1211" s="210"/>
      <c r="F1211" s="210"/>
      <c r="G1211" s="210"/>
      <c r="H1211" s="210"/>
      <c r="I1211" s="210"/>
      <c r="J1211" s="210"/>
      <c r="K1211" s="210"/>
      <c r="L1211" s="210"/>
      <c r="M1211" s="210"/>
      <c r="N1211" s="210"/>
      <c r="O1211" s="210"/>
      <c r="P1211" s="210"/>
      <c r="Q1211" s="210"/>
      <c r="R1211" s="210"/>
      <c r="S1211" s="210"/>
      <c r="T1211" s="210"/>
      <c r="U1211" s="210"/>
      <c r="V1211" s="210"/>
      <c r="W1211" s="210"/>
      <c r="X1211" s="210"/>
      <c r="Y1211" s="210"/>
      <c r="Z1211" s="210"/>
      <c r="AA1211" s="210"/>
      <c r="AB1211" s="210"/>
      <c r="AC1211" s="210"/>
      <c r="AD1211" s="210"/>
      <c r="AE1211" s="210"/>
      <c r="AF1211" s="210"/>
      <c r="AG1211" s="210"/>
      <c r="AH1211" s="210"/>
      <c r="AI1211" s="210"/>
      <c r="AJ1211" s="210"/>
    </row>
    <row r="1212" ht="14.25" customHeight="1">
      <c r="A1212" s="210"/>
      <c r="B1212" s="210"/>
      <c r="C1212" s="210"/>
      <c r="D1212" s="210"/>
      <c r="E1212" s="210"/>
      <c r="F1212" s="210"/>
      <c r="G1212" s="210"/>
      <c r="H1212" s="210"/>
      <c r="I1212" s="210"/>
      <c r="J1212" s="210"/>
      <c r="K1212" s="210"/>
      <c r="L1212" s="210"/>
      <c r="M1212" s="210"/>
      <c r="N1212" s="210"/>
      <c r="O1212" s="210"/>
      <c r="P1212" s="210"/>
      <c r="Q1212" s="210"/>
      <c r="R1212" s="210"/>
      <c r="S1212" s="210"/>
      <c r="T1212" s="210"/>
      <c r="U1212" s="210"/>
      <c r="V1212" s="210"/>
      <c r="W1212" s="210"/>
      <c r="X1212" s="210"/>
      <c r="Y1212" s="210"/>
      <c r="Z1212" s="210"/>
      <c r="AA1212" s="210"/>
      <c r="AB1212" s="210"/>
      <c r="AC1212" s="210"/>
      <c r="AD1212" s="210"/>
      <c r="AE1212" s="210"/>
      <c r="AF1212" s="210"/>
      <c r="AG1212" s="210"/>
      <c r="AH1212" s="210"/>
      <c r="AI1212" s="210"/>
      <c r="AJ1212" s="210"/>
    </row>
    <row r="1213" ht="14.25" customHeight="1">
      <c r="A1213" s="210"/>
      <c r="B1213" s="210"/>
      <c r="C1213" s="210"/>
      <c r="D1213" s="210"/>
      <c r="E1213" s="210"/>
      <c r="F1213" s="210"/>
      <c r="G1213" s="210"/>
      <c r="H1213" s="210"/>
      <c r="I1213" s="210"/>
      <c r="J1213" s="210"/>
      <c r="K1213" s="210"/>
      <c r="L1213" s="210"/>
      <c r="M1213" s="210"/>
      <c r="N1213" s="210"/>
      <c r="O1213" s="210"/>
      <c r="P1213" s="210"/>
      <c r="Q1213" s="210"/>
      <c r="R1213" s="210"/>
      <c r="S1213" s="210"/>
      <c r="T1213" s="210"/>
      <c r="U1213" s="210"/>
      <c r="V1213" s="210"/>
      <c r="W1213" s="210"/>
      <c r="X1213" s="210"/>
      <c r="Y1213" s="210"/>
      <c r="Z1213" s="210"/>
      <c r="AA1213" s="210"/>
      <c r="AB1213" s="210"/>
      <c r="AC1213" s="210"/>
      <c r="AD1213" s="210"/>
      <c r="AE1213" s="210"/>
      <c r="AF1213" s="210"/>
      <c r="AG1213" s="210"/>
      <c r="AH1213" s="210"/>
      <c r="AI1213" s="210"/>
      <c r="AJ1213" s="210"/>
    </row>
    <row r="1214" ht="14.25" customHeight="1">
      <c r="A1214" s="210"/>
      <c r="B1214" s="210"/>
      <c r="C1214" s="210"/>
      <c r="D1214" s="210"/>
      <c r="E1214" s="210"/>
      <c r="F1214" s="210"/>
      <c r="G1214" s="210"/>
      <c r="H1214" s="210"/>
      <c r="I1214" s="210"/>
      <c r="J1214" s="210"/>
      <c r="K1214" s="210"/>
      <c r="L1214" s="210"/>
      <c r="M1214" s="210"/>
      <c r="N1214" s="210"/>
      <c r="O1214" s="210"/>
      <c r="P1214" s="210"/>
      <c r="Q1214" s="210"/>
      <c r="R1214" s="210"/>
      <c r="S1214" s="210"/>
      <c r="T1214" s="210"/>
      <c r="U1214" s="210"/>
      <c r="V1214" s="210"/>
      <c r="W1214" s="210"/>
      <c r="X1214" s="210"/>
      <c r="Y1214" s="210"/>
      <c r="Z1214" s="210"/>
      <c r="AA1214" s="210"/>
      <c r="AB1214" s="210"/>
      <c r="AC1214" s="210"/>
      <c r="AD1214" s="210"/>
      <c r="AE1214" s="210"/>
      <c r="AF1214" s="210"/>
      <c r="AG1214" s="210"/>
      <c r="AH1214" s="210"/>
      <c r="AI1214" s="210"/>
      <c r="AJ1214" s="210"/>
    </row>
    <row r="1215" ht="14.25" customHeight="1">
      <c r="A1215" s="210"/>
      <c r="B1215" s="210"/>
      <c r="C1215" s="210"/>
      <c r="D1215" s="210"/>
      <c r="E1215" s="210"/>
      <c r="F1215" s="210"/>
      <c r="G1215" s="210"/>
      <c r="H1215" s="210"/>
      <c r="I1215" s="210"/>
      <c r="J1215" s="210"/>
      <c r="K1215" s="210"/>
      <c r="L1215" s="210"/>
      <c r="M1215" s="210"/>
      <c r="N1215" s="210"/>
      <c r="O1215" s="210"/>
      <c r="P1215" s="210"/>
      <c r="Q1215" s="210"/>
      <c r="R1215" s="210"/>
      <c r="S1215" s="210"/>
      <c r="T1215" s="210"/>
      <c r="U1215" s="210"/>
      <c r="V1215" s="210"/>
      <c r="W1215" s="210"/>
      <c r="X1215" s="210"/>
      <c r="Y1215" s="210"/>
      <c r="Z1215" s="210"/>
      <c r="AA1215" s="210"/>
      <c r="AB1215" s="210"/>
      <c r="AC1215" s="210"/>
      <c r="AD1215" s="210"/>
      <c r="AE1215" s="210"/>
      <c r="AF1215" s="210"/>
      <c r="AG1215" s="210"/>
      <c r="AH1215" s="210"/>
      <c r="AI1215" s="210"/>
      <c r="AJ1215" s="210"/>
    </row>
    <row r="1216" ht="14.25" customHeight="1">
      <c r="A1216" s="210"/>
      <c r="B1216" s="210"/>
      <c r="C1216" s="210"/>
      <c r="D1216" s="210"/>
      <c r="E1216" s="210"/>
      <c r="F1216" s="210"/>
      <c r="G1216" s="210"/>
      <c r="H1216" s="210"/>
      <c r="I1216" s="210"/>
      <c r="J1216" s="210"/>
      <c r="K1216" s="210"/>
      <c r="L1216" s="210"/>
      <c r="M1216" s="210"/>
      <c r="N1216" s="210"/>
      <c r="O1216" s="210"/>
      <c r="P1216" s="210"/>
      <c r="Q1216" s="210"/>
      <c r="R1216" s="210"/>
      <c r="S1216" s="210"/>
      <c r="T1216" s="210"/>
      <c r="U1216" s="210"/>
      <c r="V1216" s="210"/>
      <c r="W1216" s="210"/>
      <c r="X1216" s="210"/>
      <c r="Y1216" s="210"/>
      <c r="Z1216" s="210"/>
      <c r="AA1216" s="210"/>
      <c r="AB1216" s="210"/>
      <c r="AC1216" s="210"/>
      <c r="AD1216" s="210"/>
      <c r="AE1216" s="210"/>
      <c r="AF1216" s="210"/>
      <c r="AG1216" s="210"/>
      <c r="AH1216" s="210"/>
      <c r="AI1216" s="210"/>
      <c r="AJ1216" s="210"/>
    </row>
    <row r="1217" ht="14.25" customHeight="1">
      <c r="A1217" s="210"/>
      <c r="B1217" s="210"/>
      <c r="C1217" s="210"/>
      <c r="D1217" s="210"/>
      <c r="E1217" s="210"/>
      <c r="F1217" s="210"/>
      <c r="G1217" s="210"/>
      <c r="H1217" s="210"/>
      <c r="I1217" s="210"/>
      <c r="J1217" s="210"/>
      <c r="K1217" s="210"/>
      <c r="L1217" s="210"/>
      <c r="M1217" s="210"/>
      <c r="N1217" s="210"/>
      <c r="O1217" s="210"/>
      <c r="P1217" s="210"/>
      <c r="Q1217" s="210"/>
      <c r="R1217" s="210"/>
      <c r="S1217" s="210"/>
      <c r="T1217" s="210"/>
      <c r="U1217" s="210"/>
      <c r="V1217" s="210"/>
      <c r="W1217" s="210"/>
      <c r="X1217" s="210"/>
      <c r="Y1217" s="210"/>
      <c r="Z1217" s="210"/>
      <c r="AA1217" s="210"/>
      <c r="AB1217" s="210"/>
      <c r="AC1217" s="210"/>
      <c r="AD1217" s="210"/>
      <c r="AE1217" s="210"/>
      <c r="AF1217" s="210"/>
      <c r="AG1217" s="210"/>
      <c r="AH1217" s="210"/>
      <c r="AI1217" s="210"/>
      <c r="AJ1217" s="210"/>
    </row>
    <row r="1218" ht="14.25" customHeight="1">
      <c r="A1218" s="210"/>
      <c r="B1218" s="210"/>
      <c r="C1218" s="210"/>
      <c r="D1218" s="210"/>
      <c r="E1218" s="210"/>
      <c r="F1218" s="210"/>
      <c r="G1218" s="210"/>
      <c r="H1218" s="210"/>
      <c r="I1218" s="210"/>
      <c r="J1218" s="210"/>
      <c r="K1218" s="210"/>
      <c r="L1218" s="210"/>
      <c r="M1218" s="210"/>
      <c r="N1218" s="210"/>
      <c r="O1218" s="210"/>
      <c r="P1218" s="210"/>
      <c r="Q1218" s="210"/>
      <c r="R1218" s="210"/>
      <c r="S1218" s="210"/>
      <c r="T1218" s="210"/>
      <c r="U1218" s="210"/>
      <c r="V1218" s="210"/>
      <c r="W1218" s="210"/>
      <c r="X1218" s="210"/>
      <c r="Y1218" s="210"/>
      <c r="Z1218" s="210"/>
      <c r="AA1218" s="210"/>
      <c r="AB1218" s="210"/>
      <c r="AC1218" s="210"/>
      <c r="AD1218" s="210"/>
      <c r="AE1218" s="210"/>
      <c r="AF1218" s="210"/>
      <c r="AG1218" s="210"/>
      <c r="AH1218" s="210"/>
      <c r="AI1218" s="210"/>
      <c r="AJ1218" s="210"/>
    </row>
    <row r="1219" ht="14.25" customHeight="1">
      <c r="A1219" s="210"/>
      <c r="B1219" s="210"/>
      <c r="C1219" s="210"/>
      <c r="D1219" s="210"/>
      <c r="E1219" s="210"/>
      <c r="F1219" s="210"/>
      <c r="G1219" s="210"/>
      <c r="H1219" s="210"/>
      <c r="I1219" s="210"/>
      <c r="J1219" s="210"/>
      <c r="K1219" s="210"/>
      <c r="L1219" s="210"/>
      <c r="M1219" s="210"/>
      <c r="N1219" s="210"/>
      <c r="O1219" s="210"/>
      <c r="P1219" s="210"/>
      <c r="Q1219" s="210"/>
      <c r="R1219" s="210"/>
      <c r="S1219" s="210"/>
      <c r="T1219" s="210"/>
      <c r="U1219" s="210"/>
      <c r="V1219" s="210"/>
      <c r="W1219" s="210"/>
      <c r="X1219" s="210"/>
      <c r="Y1219" s="210"/>
      <c r="Z1219" s="210"/>
      <c r="AA1219" s="210"/>
      <c r="AB1219" s="210"/>
      <c r="AC1219" s="210"/>
      <c r="AD1219" s="210"/>
      <c r="AE1219" s="210"/>
      <c r="AF1219" s="210"/>
      <c r="AG1219" s="210"/>
      <c r="AH1219" s="210"/>
      <c r="AI1219" s="210"/>
      <c r="AJ1219" s="210"/>
    </row>
    <row r="1220" ht="14.25" customHeight="1">
      <c r="A1220" s="210"/>
      <c r="B1220" s="210"/>
      <c r="C1220" s="210"/>
      <c r="D1220" s="210"/>
      <c r="E1220" s="210"/>
      <c r="F1220" s="210"/>
      <c r="G1220" s="210"/>
      <c r="H1220" s="210"/>
      <c r="I1220" s="210"/>
      <c r="J1220" s="210"/>
      <c r="K1220" s="210"/>
      <c r="L1220" s="210"/>
      <c r="M1220" s="210"/>
      <c r="N1220" s="210"/>
      <c r="O1220" s="210"/>
      <c r="P1220" s="210"/>
      <c r="Q1220" s="210"/>
      <c r="R1220" s="210"/>
      <c r="S1220" s="210"/>
      <c r="T1220" s="210"/>
      <c r="U1220" s="210"/>
      <c r="V1220" s="210"/>
      <c r="W1220" s="210"/>
      <c r="X1220" s="210"/>
      <c r="Y1220" s="210"/>
      <c r="Z1220" s="210"/>
      <c r="AA1220" s="210"/>
      <c r="AB1220" s="210"/>
      <c r="AC1220" s="210"/>
      <c r="AD1220" s="210"/>
      <c r="AE1220" s="210"/>
      <c r="AF1220" s="210"/>
      <c r="AG1220" s="210"/>
      <c r="AH1220" s="210"/>
      <c r="AI1220" s="210"/>
      <c r="AJ1220" s="210"/>
    </row>
    <row r="1221" ht="14.25" customHeight="1">
      <c r="A1221" s="210"/>
      <c r="B1221" s="210"/>
      <c r="C1221" s="210"/>
      <c r="D1221" s="210"/>
      <c r="E1221" s="210"/>
      <c r="F1221" s="210"/>
      <c r="G1221" s="210"/>
      <c r="H1221" s="210"/>
      <c r="I1221" s="210"/>
      <c r="J1221" s="210"/>
      <c r="K1221" s="210"/>
      <c r="L1221" s="210"/>
      <c r="M1221" s="210"/>
      <c r="N1221" s="210"/>
      <c r="O1221" s="210"/>
      <c r="P1221" s="210"/>
      <c r="Q1221" s="210"/>
      <c r="R1221" s="210"/>
      <c r="S1221" s="210"/>
      <c r="T1221" s="210"/>
      <c r="U1221" s="210"/>
      <c r="V1221" s="210"/>
      <c r="W1221" s="210"/>
      <c r="X1221" s="210"/>
      <c r="Y1221" s="210"/>
      <c r="Z1221" s="210"/>
      <c r="AA1221" s="210"/>
      <c r="AB1221" s="210"/>
      <c r="AC1221" s="210"/>
      <c r="AD1221" s="210"/>
      <c r="AE1221" s="210"/>
      <c r="AF1221" s="210"/>
      <c r="AG1221" s="210"/>
      <c r="AH1221" s="210"/>
      <c r="AI1221" s="210"/>
      <c r="AJ1221" s="210"/>
    </row>
    <row r="1222" ht="14.25" customHeight="1">
      <c r="A1222" s="210"/>
      <c r="B1222" s="210"/>
      <c r="C1222" s="210"/>
      <c r="D1222" s="210"/>
      <c r="E1222" s="210"/>
      <c r="F1222" s="210"/>
      <c r="G1222" s="210"/>
      <c r="H1222" s="210"/>
      <c r="I1222" s="210"/>
      <c r="J1222" s="210"/>
      <c r="K1222" s="210"/>
      <c r="L1222" s="210"/>
      <c r="M1222" s="210"/>
      <c r="N1222" s="210"/>
      <c r="O1222" s="210"/>
      <c r="P1222" s="210"/>
      <c r="Q1222" s="210"/>
      <c r="R1222" s="210"/>
      <c r="S1222" s="210"/>
      <c r="T1222" s="210"/>
      <c r="U1222" s="210"/>
      <c r="V1222" s="210"/>
      <c r="W1222" s="210"/>
      <c r="X1222" s="210"/>
      <c r="Y1222" s="210"/>
      <c r="Z1222" s="210"/>
      <c r="AA1222" s="210"/>
      <c r="AB1222" s="210"/>
      <c r="AC1222" s="210"/>
      <c r="AD1222" s="210"/>
      <c r="AE1222" s="210"/>
      <c r="AF1222" s="210"/>
      <c r="AG1222" s="210"/>
      <c r="AH1222" s="210"/>
      <c r="AI1222" s="210"/>
      <c r="AJ1222" s="210"/>
    </row>
    <row r="1223" ht="14.25" customHeight="1">
      <c r="A1223" s="210"/>
      <c r="B1223" s="210"/>
      <c r="C1223" s="210"/>
      <c r="D1223" s="210"/>
      <c r="E1223" s="210"/>
      <c r="F1223" s="210"/>
      <c r="G1223" s="210"/>
      <c r="H1223" s="210"/>
      <c r="I1223" s="210"/>
      <c r="J1223" s="210"/>
      <c r="K1223" s="210"/>
      <c r="L1223" s="210"/>
      <c r="M1223" s="210"/>
      <c r="N1223" s="210"/>
      <c r="O1223" s="210"/>
      <c r="P1223" s="210"/>
      <c r="Q1223" s="210"/>
      <c r="R1223" s="210"/>
      <c r="S1223" s="210"/>
      <c r="T1223" s="210"/>
      <c r="U1223" s="210"/>
      <c r="V1223" s="210"/>
      <c r="W1223" s="210"/>
      <c r="X1223" s="210"/>
      <c r="Y1223" s="210"/>
      <c r="Z1223" s="210"/>
      <c r="AA1223" s="210"/>
      <c r="AB1223" s="210"/>
      <c r="AC1223" s="210"/>
      <c r="AD1223" s="210"/>
      <c r="AE1223" s="210"/>
      <c r="AF1223" s="210"/>
      <c r="AG1223" s="210"/>
      <c r="AH1223" s="210"/>
      <c r="AI1223" s="210"/>
      <c r="AJ1223" s="210"/>
    </row>
    <row r="1224" ht="14.25" customHeight="1">
      <c r="A1224" s="210"/>
      <c r="B1224" s="210"/>
      <c r="C1224" s="210"/>
      <c r="D1224" s="210"/>
      <c r="E1224" s="210"/>
      <c r="F1224" s="210"/>
      <c r="G1224" s="210"/>
      <c r="H1224" s="210"/>
      <c r="I1224" s="210"/>
      <c r="J1224" s="210"/>
      <c r="K1224" s="210"/>
      <c r="L1224" s="210"/>
      <c r="M1224" s="210"/>
      <c r="N1224" s="210"/>
      <c r="O1224" s="210"/>
      <c r="P1224" s="210"/>
      <c r="Q1224" s="210"/>
      <c r="R1224" s="210"/>
      <c r="S1224" s="210"/>
      <c r="T1224" s="210"/>
      <c r="U1224" s="210"/>
      <c r="V1224" s="210"/>
      <c r="W1224" s="210"/>
      <c r="X1224" s="210"/>
      <c r="Y1224" s="210"/>
      <c r="Z1224" s="210"/>
      <c r="AA1224" s="210"/>
      <c r="AB1224" s="210"/>
      <c r="AC1224" s="210"/>
      <c r="AD1224" s="210"/>
      <c r="AE1224" s="210"/>
      <c r="AF1224" s="210"/>
      <c r="AG1224" s="210"/>
      <c r="AH1224" s="210"/>
      <c r="AI1224" s="210"/>
      <c r="AJ1224" s="210"/>
    </row>
    <row r="1225" ht="14.25" customHeight="1">
      <c r="A1225" s="210"/>
      <c r="B1225" s="210"/>
      <c r="C1225" s="210"/>
      <c r="D1225" s="210"/>
      <c r="E1225" s="210"/>
      <c r="F1225" s="210"/>
      <c r="G1225" s="210"/>
      <c r="H1225" s="210"/>
      <c r="I1225" s="210"/>
      <c r="J1225" s="210"/>
      <c r="K1225" s="210"/>
      <c r="L1225" s="210"/>
      <c r="M1225" s="210"/>
      <c r="N1225" s="210"/>
      <c r="O1225" s="210"/>
      <c r="P1225" s="210"/>
      <c r="Q1225" s="210"/>
      <c r="R1225" s="210"/>
      <c r="S1225" s="210"/>
      <c r="T1225" s="210"/>
      <c r="U1225" s="210"/>
      <c r="V1225" s="210"/>
      <c r="W1225" s="210"/>
      <c r="X1225" s="210"/>
      <c r="Y1225" s="210"/>
      <c r="Z1225" s="210"/>
      <c r="AA1225" s="210"/>
      <c r="AB1225" s="210"/>
      <c r="AC1225" s="210"/>
      <c r="AD1225" s="210"/>
      <c r="AE1225" s="210"/>
      <c r="AF1225" s="210"/>
      <c r="AG1225" s="210"/>
      <c r="AH1225" s="210"/>
      <c r="AI1225" s="210"/>
      <c r="AJ1225" s="210"/>
    </row>
    <row r="1226" ht="14.25" customHeight="1">
      <c r="A1226" s="210"/>
      <c r="B1226" s="210"/>
      <c r="C1226" s="210"/>
      <c r="D1226" s="210"/>
      <c r="E1226" s="210"/>
      <c r="F1226" s="210"/>
      <c r="G1226" s="210"/>
      <c r="H1226" s="210"/>
      <c r="I1226" s="210"/>
      <c r="J1226" s="210"/>
      <c r="K1226" s="210"/>
      <c r="L1226" s="210"/>
      <c r="M1226" s="210"/>
      <c r="N1226" s="210"/>
      <c r="O1226" s="210"/>
      <c r="P1226" s="210"/>
      <c r="Q1226" s="210"/>
      <c r="R1226" s="210"/>
      <c r="S1226" s="210"/>
      <c r="T1226" s="210"/>
      <c r="U1226" s="210"/>
      <c r="V1226" s="210"/>
      <c r="W1226" s="210"/>
      <c r="X1226" s="210"/>
      <c r="Y1226" s="210"/>
      <c r="Z1226" s="210"/>
      <c r="AA1226" s="210"/>
      <c r="AB1226" s="210"/>
      <c r="AC1226" s="210"/>
      <c r="AD1226" s="210"/>
      <c r="AE1226" s="210"/>
      <c r="AF1226" s="210"/>
      <c r="AG1226" s="210"/>
      <c r="AH1226" s="210"/>
      <c r="AI1226" s="210"/>
      <c r="AJ1226" s="210"/>
    </row>
    <row r="1227" ht="14.25" customHeight="1">
      <c r="A1227" s="210"/>
      <c r="B1227" s="210"/>
      <c r="C1227" s="210"/>
      <c r="D1227" s="210"/>
      <c r="E1227" s="210"/>
      <c r="F1227" s="210"/>
      <c r="G1227" s="210"/>
      <c r="H1227" s="210"/>
      <c r="I1227" s="210"/>
      <c r="J1227" s="210"/>
      <c r="K1227" s="210"/>
      <c r="L1227" s="210"/>
      <c r="M1227" s="210"/>
      <c r="N1227" s="210"/>
      <c r="O1227" s="210"/>
      <c r="P1227" s="210"/>
      <c r="Q1227" s="210"/>
      <c r="R1227" s="210"/>
      <c r="S1227" s="210"/>
      <c r="T1227" s="210"/>
      <c r="U1227" s="210"/>
      <c r="V1227" s="210"/>
      <c r="W1227" s="210"/>
      <c r="X1227" s="210"/>
      <c r="Y1227" s="210"/>
      <c r="Z1227" s="210"/>
      <c r="AA1227" s="210"/>
      <c r="AB1227" s="210"/>
      <c r="AC1227" s="210"/>
      <c r="AD1227" s="210"/>
      <c r="AE1227" s="210"/>
      <c r="AF1227" s="210"/>
      <c r="AG1227" s="210"/>
      <c r="AH1227" s="210"/>
      <c r="AI1227" s="210"/>
      <c r="AJ1227" s="210"/>
    </row>
    <row r="1228" ht="14.25" customHeight="1">
      <c r="A1228" s="210"/>
      <c r="B1228" s="210"/>
      <c r="C1228" s="210"/>
      <c r="D1228" s="210"/>
      <c r="E1228" s="210"/>
      <c r="F1228" s="210"/>
      <c r="G1228" s="210"/>
      <c r="H1228" s="210"/>
      <c r="I1228" s="210"/>
      <c r="J1228" s="210"/>
      <c r="K1228" s="210"/>
      <c r="L1228" s="210"/>
      <c r="M1228" s="210"/>
      <c r="N1228" s="210"/>
      <c r="O1228" s="210"/>
      <c r="P1228" s="210"/>
      <c r="Q1228" s="210"/>
      <c r="R1228" s="210"/>
      <c r="S1228" s="210"/>
      <c r="T1228" s="210"/>
      <c r="U1228" s="210"/>
      <c r="V1228" s="210"/>
      <c r="W1228" s="210"/>
      <c r="X1228" s="210"/>
      <c r="Y1228" s="210"/>
      <c r="Z1228" s="210"/>
      <c r="AA1228" s="210"/>
      <c r="AB1228" s="210"/>
      <c r="AC1228" s="210"/>
      <c r="AD1228" s="210"/>
      <c r="AE1228" s="210"/>
      <c r="AF1228" s="210"/>
      <c r="AG1228" s="210"/>
      <c r="AH1228" s="210"/>
      <c r="AI1228" s="210"/>
      <c r="AJ1228" s="210"/>
    </row>
    <row r="1229" ht="14.25" customHeight="1">
      <c r="A1229" s="210"/>
      <c r="B1229" s="210"/>
      <c r="C1229" s="210"/>
      <c r="D1229" s="210"/>
      <c r="E1229" s="210"/>
      <c r="F1229" s="210"/>
      <c r="G1229" s="210"/>
      <c r="H1229" s="210"/>
      <c r="I1229" s="210"/>
      <c r="J1229" s="210"/>
      <c r="K1229" s="210"/>
      <c r="L1229" s="210"/>
      <c r="M1229" s="210"/>
      <c r="N1229" s="210"/>
      <c r="O1229" s="210"/>
      <c r="P1229" s="210"/>
      <c r="Q1229" s="210"/>
      <c r="R1229" s="210"/>
      <c r="S1229" s="210"/>
      <c r="T1229" s="210"/>
      <c r="U1229" s="210"/>
      <c r="V1229" s="210"/>
      <c r="W1229" s="210"/>
      <c r="X1229" s="210"/>
      <c r="Y1229" s="210"/>
      <c r="Z1229" s="210"/>
      <c r="AA1229" s="210"/>
      <c r="AB1229" s="210"/>
      <c r="AC1229" s="210"/>
      <c r="AD1229" s="210"/>
      <c r="AE1229" s="210"/>
      <c r="AF1229" s="210"/>
      <c r="AG1229" s="210"/>
      <c r="AH1229" s="210"/>
      <c r="AI1229" s="210"/>
      <c r="AJ1229" s="210"/>
    </row>
    <row r="1230" ht="14.25" customHeight="1">
      <c r="A1230" s="210"/>
      <c r="B1230" s="210"/>
      <c r="C1230" s="210"/>
      <c r="D1230" s="210"/>
      <c r="E1230" s="210"/>
      <c r="F1230" s="210"/>
      <c r="G1230" s="210"/>
      <c r="H1230" s="210"/>
      <c r="I1230" s="210"/>
      <c r="J1230" s="210"/>
      <c r="K1230" s="210"/>
      <c r="L1230" s="210"/>
      <c r="M1230" s="210"/>
      <c r="N1230" s="210"/>
      <c r="O1230" s="210"/>
      <c r="P1230" s="210"/>
      <c r="Q1230" s="210"/>
      <c r="R1230" s="210"/>
      <c r="S1230" s="210"/>
      <c r="T1230" s="210"/>
      <c r="U1230" s="210"/>
      <c r="V1230" s="210"/>
      <c r="W1230" s="210"/>
      <c r="X1230" s="210"/>
      <c r="Y1230" s="210"/>
      <c r="Z1230" s="210"/>
      <c r="AA1230" s="210"/>
      <c r="AB1230" s="210"/>
      <c r="AC1230" s="210"/>
      <c r="AD1230" s="210"/>
      <c r="AE1230" s="210"/>
      <c r="AF1230" s="210"/>
      <c r="AG1230" s="210"/>
      <c r="AH1230" s="210"/>
      <c r="AI1230" s="210"/>
      <c r="AJ1230" s="210"/>
    </row>
    <row r="1231" ht="14.25" customHeight="1">
      <c r="A1231" s="210"/>
      <c r="B1231" s="210"/>
      <c r="C1231" s="210"/>
      <c r="D1231" s="210"/>
      <c r="E1231" s="210"/>
      <c r="F1231" s="210"/>
      <c r="G1231" s="210"/>
      <c r="H1231" s="210"/>
      <c r="I1231" s="210"/>
      <c r="J1231" s="210"/>
      <c r="K1231" s="210"/>
      <c r="L1231" s="210"/>
      <c r="M1231" s="210"/>
      <c r="N1231" s="210"/>
      <c r="O1231" s="210"/>
      <c r="P1231" s="210"/>
      <c r="Q1231" s="210"/>
      <c r="R1231" s="210"/>
      <c r="S1231" s="210"/>
      <c r="T1231" s="210"/>
      <c r="U1231" s="210"/>
      <c r="V1231" s="210"/>
      <c r="W1231" s="210"/>
      <c r="X1231" s="210"/>
      <c r="Y1231" s="210"/>
      <c r="Z1231" s="210"/>
      <c r="AA1231" s="210"/>
      <c r="AB1231" s="210"/>
      <c r="AC1231" s="210"/>
      <c r="AD1231" s="210"/>
      <c r="AE1231" s="210"/>
      <c r="AF1231" s="210"/>
      <c r="AG1231" s="210"/>
      <c r="AH1231" s="210"/>
      <c r="AI1231" s="210"/>
      <c r="AJ1231" s="210"/>
    </row>
    <row r="1232" ht="14.25" customHeight="1">
      <c r="A1232" s="210"/>
      <c r="B1232" s="210"/>
      <c r="C1232" s="210"/>
      <c r="D1232" s="210"/>
      <c r="E1232" s="210"/>
      <c r="F1232" s="210"/>
      <c r="G1232" s="210"/>
      <c r="H1232" s="210"/>
      <c r="I1232" s="210"/>
      <c r="J1232" s="210"/>
      <c r="K1232" s="210"/>
      <c r="L1232" s="210"/>
      <c r="M1232" s="210"/>
      <c r="N1232" s="210"/>
      <c r="O1232" s="210"/>
      <c r="P1232" s="210"/>
      <c r="Q1232" s="210"/>
      <c r="R1232" s="210"/>
      <c r="S1232" s="210"/>
      <c r="T1232" s="210"/>
      <c r="U1232" s="210"/>
      <c r="V1232" s="210"/>
      <c r="W1232" s="210"/>
      <c r="X1232" s="210"/>
      <c r="Y1232" s="210"/>
      <c r="Z1232" s="210"/>
      <c r="AA1232" s="210"/>
      <c r="AB1232" s="210"/>
      <c r="AC1232" s="210"/>
      <c r="AD1232" s="210"/>
      <c r="AE1232" s="210"/>
      <c r="AF1232" s="210"/>
      <c r="AG1232" s="210"/>
      <c r="AH1232" s="210"/>
      <c r="AI1232" s="210"/>
      <c r="AJ1232" s="210"/>
    </row>
    <row r="1233" ht="14.25" customHeight="1">
      <c r="A1233" s="210"/>
      <c r="B1233" s="210"/>
      <c r="C1233" s="210"/>
      <c r="D1233" s="210"/>
      <c r="E1233" s="210"/>
      <c r="F1233" s="210"/>
      <c r="G1233" s="210"/>
      <c r="H1233" s="210"/>
      <c r="I1233" s="210"/>
      <c r="J1233" s="210"/>
      <c r="K1233" s="210"/>
      <c r="L1233" s="210"/>
      <c r="M1233" s="210"/>
      <c r="N1233" s="210"/>
      <c r="O1233" s="210"/>
      <c r="P1233" s="210"/>
      <c r="Q1233" s="210"/>
      <c r="R1233" s="210"/>
      <c r="S1233" s="210"/>
      <c r="T1233" s="210"/>
      <c r="U1233" s="210"/>
      <c r="V1233" s="210"/>
      <c r="W1233" s="210"/>
      <c r="X1233" s="210"/>
      <c r="Y1233" s="210"/>
      <c r="Z1233" s="210"/>
      <c r="AA1233" s="210"/>
      <c r="AB1233" s="210"/>
      <c r="AC1233" s="210"/>
      <c r="AD1233" s="210"/>
      <c r="AE1233" s="210"/>
      <c r="AF1233" s="210"/>
      <c r="AG1233" s="210"/>
      <c r="AH1233" s="210"/>
      <c r="AI1233" s="210"/>
      <c r="AJ1233" s="210"/>
    </row>
    <row r="1234" ht="14.25" customHeight="1">
      <c r="A1234" s="210"/>
      <c r="B1234" s="210"/>
      <c r="C1234" s="210"/>
      <c r="D1234" s="210"/>
      <c r="E1234" s="210"/>
      <c r="F1234" s="210"/>
      <c r="G1234" s="210"/>
      <c r="H1234" s="210"/>
      <c r="I1234" s="210"/>
      <c r="J1234" s="210"/>
      <c r="K1234" s="210"/>
      <c r="L1234" s="210"/>
      <c r="M1234" s="210"/>
      <c r="N1234" s="210"/>
      <c r="O1234" s="210"/>
      <c r="P1234" s="210"/>
      <c r="Q1234" s="210"/>
      <c r="R1234" s="210"/>
      <c r="S1234" s="210"/>
      <c r="T1234" s="210"/>
      <c r="U1234" s="210"/>
      <c r="V1234" s="210"/>
      <c r="W1234" s="210"/>
      <c r="X1234" s="210"/>
      <c r="Y1234" s="210"/>
      <c r="Z1234" s="210"/>
      <c r="AA1234" s="210"/>
      <c r="AB1234" s="210"/>
      <c r="AC1234" s="210"/>
      <c r="AD1234" s="210"/>
      <c r="AE1234" s="210"/>
      <c r="AF1234" s="210"/>
      <c r="AG1234" s="210"/>
      <c r="AH1234" s="210"/>
      <c r="AI1234" s="210"/>
      <c r="AJ1234" s="210"/>
    </row>
    <row r="1235" ht="14.25" customHeight="1">
      <c r="A1235" s="210"/>
      <c r="B1235" s="210"/>
      <c r="C1235" s="210"/>
      <c r="D1235" s="210"/>
      <c r="E1235" s="210"/>
      <c r="F1235" s="210"/>
      <c r="G1235" s="210"/>
      <c r="H1235" s="210"/>
      <c r="I1235" s="210"/>
      <c r="J1235" s="210"/>
      <c r="K1235" s="210"/>
      <c r="L1235" s="210"/>
      <c r="M1235" s="210"/>
      <c r="N1235" s="210"/>
      <c r="O1235" s="210"/>
      <c r="P1235" s="210"/>
      <c r="Q1235" s="210"/>
      <c r="R1235" s="210"/>
      <c r="S1235" s="210"/>
      <c r="T1235" s="210"/>
      <c r="U1235" s="210"/>
      <c r="V1235" s="210"/>
      <c r="W1235" s="210"/>
      <c r="X1235" s="210"/>
      <c r="Y1235" s="210"/>
      <c r="Z1235" s="210"/>
      <c r="AA1235" s="210"/>
      <c r="AB1235" s="210"/>
      <c r="AC1235" s="210"/>
      <c r="AD1235" s="210"/>
      <c r="AE1235" s="210"/>
      <c r="AF1235" s="210"/>
      <c r="AG1235" s="210"/>
      <c r="AH1235" s="210"/>
      <c r="AI1235" s="210"/>
      <c r="AJ1235" s="210"/>
    </row>
    <row r="1236" ht="14.25" customHeight="1">
      <c r="A1236" s="210"/>
      <c r="B1236" s="210"/>
      <c r="C1236" s="210"/>
      <c r="D1236" s="210"/>
      <c r="E1236" s="210"/>
      <c r="F1236" s="210"/>
      <c r="G1236" s="210"/>
      <c r="H1236" s="210"/>
      <c r="I1236" s="210"/>
      <c r="J1236" s="210"/>
      <c r="K1236" s="210"/>
      <c r="L1236" s="210"/>
      <c r="M1236" s="210"/>
      <c r="N1236" s="210"/>
      <c r="O1236" s="210"/>
      <c r="P1236" s="210"/>
      <c r="Q1236" s="210"/>
      <c r="R1236" s="210"/>
      <c r="S1236" s="210"/>
      <c r="T1236" s="210"/>
      <c r="U1236" s="210"/>
      <c r="V1236" s="210"/>
      <c r="W1236" s="210"/>
      <c r="X1236" s="210"/>
      <c r="Y1236" s="210"/>
      <c r="Z1236" s="210"/>
      <c r="AA1236" s="210"/>
      <c r="AB1236" s="210"/>
      <c r="AC1236" s="210"/>
      <c r="AD1236" s="210"/>
      <c r="AE1236" s="210"/>
      <c r="AF1236" s="210"/>
      <c r="AG1236" s="210"/>
      <c r="AH1236" s="210"/>
      <c r="AI1236" s="210"/>
      <c r="AJ1236" s="210"/>
    </row>
    <row r="1237" ht="14.25" customHeight="1">
      <c r="A1237" s="210"/>
      <c r="B1237" s="210"/>
      <c r="C1237" s="210"/>
      <c r="D1237" s="210"/>
      <c r="E1237" s="210"/>
      <c r="F1237" s="210"/>
      <c r="G1237" s="210"/>
      <c r="H1237" s="210"/>
      <c r="I1237" s="210"/>
      <c r="J1237" s="210"/>
      <c r="K1237" s="210"/>
      <c r="L1237" s="210"/>
      <c r="M1237" s="210"/>
      <c r="N1237" s="210"/>
      <c r="O1237" s="210"/>
      <c r="P1237" s="210"/>
      <c r="Q1237" s="210"/>
      <c r="R1237" s="210"/>
      <c r="S1237" s="210"/>
      <c r="T1237" s="210"/>
      <c r="U1237" s="210"/>
      <c r="V1237" s="210"/>
      <c r="W1237" s="210"/>
      <c r="X1237" s="210"/>
      <c r="Y1237" s="210"/>
      <c r="Z1237" s="210"/>
      <c r="AA1237" s="210"/>
      <c r="AB1237" s="210"/>
      <c r="AC1237" s="210"/>
      <c r="AD1237" s="210"/>
      <c r="AE1237" s="210"/>
      <c r="AF1237" s="210"/>
      <c r="AG1237" s="210"/>
      <c r="AH1237" s="210"/>
      <c r="AI1237" s="210"/>
      <c r="AJ1237" s="210"/>
    </row>
    <row r="1238" ht="14.25" customHeight="1">
      <c r="A1238" s="210"/>
      <c r="B1238" s="210"/>
      <c r="C1238" s="210"/>
      <c r="D1238" s="210"/>
      <c r="E1238" s="210"/>
      <c r="F1238" s="210"/>
      <c r="G1238" s="210"/>
      <c r="H1238" s="210"/>
      <c r="I1238" s="210"/>
      <c r="J1238" s="210"/>
      <c r="K1238" s="210"/>
      <c r="L1238" s="210"/>
      <c r="M1238" s="210"/>
      <c r="N1238" s="210"/>
      <c r="O1238" s="210"/>
      <c r="P1238" s="210"/>
      <c r="Q1238" s="210"/>
      <c r="R1238" s="210"/>
      <c r="S1238" s="210"/>
      <c r="T1238" s="210"/>
      <c r="U1238" s="210"/>
      <c r="V1238" s="210"/>
      <c r="W1238" s="210"/>
      <c r="X1238" s="210"/>
      <c r="Y1238" s="210"/>
      <c r="Z1238" s="210"/>
      <c r="AA1238" s="210"/>
      <c r="AB1238" s="210"/>
      <c r="AC1238" s="210"/>
      <c r="AD1238" s="210"/>
      <c r="AE1238" s="210"/>
      <c r="AF1238" s="210"/>
      <c r="AG1238" s="210"/>
      <c r="AH1238" s="210"/>
      <c r="AI1238" s="210"/>
      <c r="AJ1238" s="210"/>
    </row>
    <row r="1239" ht="14.25" customHeight="1">
      <c r="A1239" s="210"/>
      <c r="B1239" s="210"/>
      <c r="C1239" s="210"/>
      <c r="D1239" s="210"/>
      <c r="E1239" s="210"/>
      <c r="F1239" s="210"/>
      <c r="G1239" s="210"/>
      <c r="H1239" s="210"/>
      <c r="I1239" s="210"/>
      <c r="J1239" s="210"/>
      <c r="K1239" s="210"/>
      <c r="L1239" s="210"/>
      <c r="M1239" s="210"/>
      <c r="N1239" s="210"/>
      <c r="O1239" s="210"/>
      <c r="P1239" s="210"/>
      <c r="Q1239" s="210"/>
      <c r="R1239" s="210"/>
      <c r="S1239" s="210"/>
      <c r="T1239" s="210"/>
      <c r="U1239" s="210"/>
      <c r="V1239" s="210"/>
      <c r="W1239" s="210"/>
      <c r="X1239" s="210"/>
      <c r="Y1239" s="210"/>
      <c r="Z1239" s="210"/>
      <c r="AA1239" s="210"/>
      <c r="AB1239" s="210"/>
      <c r="AC1239" s="210"/>
      <c r="AD1239" s="210"/>
      <c r="AE1239" s="210"/>
      <c r="AF1239" s="210"/>
      <c r="AG1239" s="210"/>
      <c r="AH1239" s="210"/>
      <c r="AI1239" s="210"/>
      <c r="AJ1239" s="210"/>
    </row>
    <row r="1240" ht="14.25" customHeight="1">
      <c r="A1240" s="210"/>
      <c r="B1240" s="210"/>
      <c r="C1240" s="210"/>
      <c r="D1240" s="210"/>
      <c r="E1240" s="210"/>
      <c r="F1240" s="210"/>
      <c r="G1240" s="210"/>
      <c r="H1240" s="210"/>
      <c r="I1240" s="210"/>
      <c r="J1240" s="210"/>
      <c r="K1240" s="210"/>
      <c r="L1240" s="210"/>
      <c r="M1240" s="210"/>
      <c r="N1240" s="210"/>
      <c r="O1240" s="210"/>
      <c r="P1240" s="210"/>
      <c r="Q1240" s="210"/>
      <c r="R1240" s="210"/>
      <c r="S1240" s="210"/>
      <c r="T1240" s="210"/>
      <c r="U1240" s="210"/>
      <c r="V1240" s="210"/>
      <c r="W1240" s="210"/>
      <c r="X1240" s="210"/>
      <c r="Y1240" s="210"/>
      <c r="Z1240" s="210"/>
      <c r="AA1240" s="210"/>
      <c r="AB1240" s="210"/>
      <c r="AC1240" s="210"/>
      <c r="AD1240" s="210"/>
      <c r="AE1240" s="210"/>
      <c r="AF1240" s="210"/>
      <c r="AG1240" s="210"/>
      <c r="AH1240" s="210"/>
      <c r="AI1240" s="210"/>
      <c r="AJ1240" s="210"/>
    </row>
    <row r="1241" ht="14.25" customHeight="1">
      <c r="A1241" s="210"/>
      <c r="B1241" s="210"/>
      <c r="C1241" s="210"/>
      <c r="D1241" s="210"/>
      <c r="E1241" s="210"/>
      <c r="F1241" s="210"/>
      <c r="G1241" s="210"/>
      <c r="H1241" s="210"/>
      <c r="I1241" s="210"/>
      <c r="J1241" s="210"/>
      <c r="K1241" s="210"/>
      <c r="L1241" s="210"/>
      <c r="M1241" s="210"/>
      <c r="N1241" s="210"/>
      <c r="O1241" s="210"/>
      <c r="P1241" s="210"/>
      <c r="Q1241" s="210"/>
      <c r="R1241" s="210"/>
      <c r="S1241" s="210"/>
      <c r="T1241" s="210"/>
      <c r="U1241" s="210"/>
      <c r="V1241" s="210"/>
      <c r="W1241" s="210"/>
      <c r="X1241" s="210"/>
      <c r="Y1241" s="210"/>
      <c r="Z1241" s="210"/>
      <c r="AA1241" s="210"/>
      <c r="AB1241" s="210"/>
      <c r="AC1241" s="210"/>
      <c r="AD1241" s="210"/>
      <c r="AE1241" s="210"/>
      <c r="AF1241" s="210"/>
      <c r="AG1241" s="210"/>
      <c r="AH1241" s="210"/>
      <c r="AI1241" s="210"/>
      <c r="AJ1241" s="210"/>
    </row>
    <row r="1242" ht="14.25" customHeight="1">
      <c r="A1242" s="210"/>
      <c r="B1242" s="210"/>
      <c r="C1242" s="210"/>
      <c r="D1242" s="210"/>
      <c r="E1242" s="210"/>
      <c r="F1242" s="210"/>
      <c r="G1242" s="210"/>
      <c r="H1242" s="210"/>
      <c r="I1242" s="210"/>
      <c r="J1242" s="210"/>
      <c r="K1242" s="210"/>
      <c r="L1242" s="210"/>
      <c r="M1242" s="210"/>
      <c r="N1242" s="210"/>
      <c r="O1242" s="210"/>
      <c r="P1242" s="210"/>
      <c r="Q1242" s="210"/>
      <c r="R1242" s="210"/>
      <c r="S1242" s="210"/>
      <c r="T1242" s="210"/>
      <c r="U1242" s="210"/>
      <c r="V1242" s="210"/>
      <c r="W1242" s="210"/>
      <c r="X1242" s="210"/>
      <c r="Y1242" s="210"/>
      <c r="Z1242" s="210"/>
      <c r="AA1242" s="210"/>
      <c r="AB1242" s="210"/>
      <c r="AC1242" s="210"/>
      <c r="AD1242" s="210"/>
      <c r="AE1242" s="210"/>
      <c r="AF1242" s="210"/>
      <c r="AG1242" s="210"/>
      <c r="AH1242" s="210"/>
      <c r="AI1242" s="210"/>
      <c r="AJ1242" s="210"/>
    </row>
    <row r="1243" ht="14.25" customHeight="1">
      <c r="A1243" s="210"/>
      <c r="B1243" s="210"/>
      <c r="C1243" s="210"/>
      <c r="D1243" s="210"/>
      <c r="E1243" s="210"/>
      <c r="F1243" s="210"/>
      <c r="G1243" s="210"/>
      <c r="H1243" s="210"/>
      <c r="I1243" s="210"/>
      <c r="J1243" s="210"/>
      <c r="K1243" s="210"/>
      <c r="L1243" s="210"/>
      <c r="M1243" s="210"/>
      <c r="N1243" s="210"/>
      <c r="O1243" s="210"/>
      <c r="P1243" s="210"/>
      <c r="Q1243" s="210"/>
      <c r="R1243" s="210"/>
      <c r="S1243" s="210"/>
      <c r="T1243" s="210"/>
      <c r="U1243" s="210"/>
      <c r="V1243" s="210"/>
      <c r="W1243" s="210"/>
      <c r="X1243" s="210"/>
      <c r="Y1243" s="210"/>
      <c r="Z1243" s="210"/>
      <c r="AA1243" s="210"/>
      <c r="AB1243" s="210"/>
      <c r="AC1243" s="210"/>
      <c r="AD1243" s="210"/>
      <c r="AE1243" s="210"/>
      <c r="AF1243" s="210"/>
      <c r="AG1243" s="210"/>
      <c r="AH1243" s="210"/>
      <c r="AI1243" s="210"/>
      <c r="AJ1243" s="210"/>
    </row>
    <row r="1244" ht="14.25" customHeight="1">
      <c r="A1244" s="210"/>
      <c r="B1244" s="210"/>
      <c r="C1244" s="210"/>
      <c r="D1244" s="210"/>
      <c r="E1244" s="210"/>
      <c r="F1244" s="210"/>
      <c r="G1244" s="210"/>
      <c r="H1244" s="210"/>
      <c r="I1244" s="210"/>
      <c r="J1244" s="210"/>
      <c r="K1244" s="210"/>
      <c r="L1244" s="210"/>
      <c r="M1244" s="210"/>
      <c r="N1244" s="210"/>
      <c r="O1244" s="210"/>
      <c r="P1244" s="210"/>
      <c r="Q1244" s="210"/>
      <c r="R1244" s="210"/>
      <c r="S1244" s="210"/>
      <c r="T1244" s="210"/>
      <c r="U1244" s="210"/>
      <c r="V1244" s="210"/>
      <c r="W1244" s="210"/>
      <c r="X1244" s="210"/>
      <c r="Y1244" s="210"/>
      <c r="Z1244" s="210"/>
      <c r="AA1244" s="210"/>
      <c r="AB1244" s="210"/>
      <c r="AC1244" s="210"/>
      <c r="AD1244" s="210"/>
      <c r="AE1244" s="210"/>
      <c r="AF1244" s="210"/>
      <c r="AG1244" s="210"/>
      <c r="AH1244" s="210"/>
      <c r="AI1244" s="210"/>
      <c r="AJ1244" s="210"/>
    </row>
    <row r="1245" ht="14.25" customHeight="1">
      <c r="A1245" s="210"/>
      <c r="B1245" s="210"/>
      <c r="C1245" s="210"/>
      <c r="D1245" s="210"/>
      <c r="E1245" s="210"/>
      <c r="F1245" s="210"/>
      <c r="G1245" s="210"/>
      <c r="H1245" s="210"/>
      <c r="I1245" s="210"/>
      <c r="J1245" s="210"/>
      <c r="K1245" s="210"/>
      <c r="L1245" s="210"/>
      <c r="M1245" s="210"/>
      <c r="N1245" s="210"/>
      <c r="O1245" s="210"/>
      <c r="P1245" s="210"/>
      <c r="Q1245" s="210"/>
      <c r="R1245" s="210"/>
      <c r="S1245" s="210"/>
      <c r="T1245" s="210"/>
      <c r="U1245" s="210"/>
      <c r="V1245" s="210"/>
      <c r="W1245" s="210"/>
      <c r="X1245" s="210"/>
      <c r="Y1245" s="210"/>
      <c r="Z1245" s="210"/>
      <c r="AA1245" s="210"/>
      <c r="AB1245" s="210"/>
      <c r="AC1245" s="210"/>
      <c r="AD1245" s="210"/>
      <c r="AE1245" s="210"/>
      <c r="AF1245" s="210"/>
      <c r="AG1245" s="210"/>
      <c r="AH1245" s="210"/>
      <c r="AI1245" s="210"/>
      <c r="AJ1245" s="210"/>
    </row>
    <row r="1246" ht="14.25" customHeight="1">
      <c r="A1246" s="210"/>
      <c r="B1246" s="210"/>
      <c r="C1246" s="210"/>
      <c r="D1246" s="210"/>
      <c r="E1246" s="210"/>
      <c r="F1246" s="210"/>
      <c r="G1246" s="210"/>
      <c r="H1246" s="210"/>
      <c r="I1246" s="210"/>
      <c r="J1246" s="210"/>
      <c r="K1246" s="210"/>
      <c r="L1246" s="210"/>
      <c r="M1246" s="210"/>
      <c r="N1246" s="210"/>
      <c r="O1246" s="210"/>
      <c r="P1246" s="210"/>
      <c r="Q1246" s="210"/>
      <c r="R1246" s="210"/>
      <c r="S1246" s="210"/>
      <c r="T1246" s="210"/>
      <c r="U1246" s="210"/>
      <c r="V1246" s="210"/>
      <c r="W1246" s="210"/>
      <c r="X1246" s="210"/>
      <c r="Y1246" s="210"/>
      <c r="Z1246" s="210"/>
      <c r="AA1246" s="210"/>
      <c r="AB1246" s="210"/>
      <c r="AC1246" s="210"/>
      <c r="AD1246" s="210"/>
      <c r="AE1246" s="210"/>
      <c r="AF1246" s="210"/>
      <c r="AG1246" s="210"/>
      <c r="AH1246" s="210"/>
      <c r="AI1246" s="210"/>
      <c r="AJ1246" s="210"/>
    </row>
    <row r="1247" ht="14.25" customHeight="1">
      <c r="A1247" s="210"/>
      <c r="B1247" s="210"/>
      <c r="C1247" s="210"/>
      <c r="D1247" s="210"/>
      <c r="E1247" s="210"/>
      <c r="F1247" s="210"/>
      <c r="G1247" s="210"/>
      <c r="H1247" s="210"/>
      <c r="I1247" s="210"/>
      <c r="J1247" s="210"/>
      <c r="K1247" s="210"/>
      <c r="L1247" s="210"/>
      <c r="M1247" s="210"/>
      <c r="N1247" s="210"/>
      <c r="O1247" s="210"/>
      <c r="P1247" s="210"/>
      <c r="Q1247" s="210"/>
      <c r="R1247" s="210"/>
      <c r="S1247" s="210"/>
      <c r="T1247" s="210"/>
      <c r="U1247" s="210"/>
      <c r="V1247" s="210"/>
      <c r="W1247" s="210"/>
      <c r="X1247" s="210"/>
      <c r="Y1247" s="210"/>
      <c r="Z1247" s="210"/>
      <c r="AA1247" s="210"/>
      <c r="AB1247" s="210"/>
      <c r="AC1247" s="210"/>
      <c r="AD1247" s="210"/>
      <c r="AE1247" s="210"/>
      <c r="AF1247" s="210"/>
      <c r="AG1247" s="210"/>
      <c r="AH1247" s="210"/>
      <c r="AI1247" s="210"/>
      <c r="AJ1247" s="210"/>
    </row>
    <row r="1248" ht="14.25" customHeight="1">
      <c r="A1248" s="210"/>
      <c r="B1248" s="210"/>
      <c r="C1248" s="210"/>
      <c r="D1248" s="210"/>
      <c r="E1248" s="210"/>
      <c r="F1248" s="210"/>
      <c r="G1248" s="210"/>
      <c r="H1248" s="210"/>
      <c r="I1248" s="210"/>
      <c r="J1248" s="210"/>
      <c r="K1248" s="210"/>
      <c r="L1248" s="210"/>
      <c r="M1248" s="210"/>
      <c r="N1248" s="210"/>
      <c r="O1248" s="210"/>
      <c r="P1248" s="210"/>
      <c r="Q1248" s="210"/>
      <c r="R1248" s="210"/>
      <c r="S1248" s="210"/>
      <c r="T1248" s="210"/>
      <c r="U1248" s="210"/>
      <c r="V1248" s="210"/>
      <c r="W1248" s="210"/>
      <c r="X1248" s="210"/>
      <c r="Y1248" s="210"/>
      <c r="Z1248" s="210"/>
      <c r="AA1248" s="210"/>
      <c r="AB1248" s="210"/>
      <c r="AC1248" s="210"/>
      <c r="AD1248" s="210"/>
      <c r="AE1248" s="210"/>
      <c r="AF1248" s="210"/>
      <c r="AG1248" s="210"/>
      <c r="AH1248" s="210"/>
      <c r="AI1248" s="210"/>
      <c r="AJ1248" s="210"/>
    </row>
    <row r="1249" ht="14.25" customHeight="1">
      <c r="A1249" s="210"/>
      <c r="B1249" s="210"/>
      <c r="C1249" s="210"/>
      <c r="D1249" s="210"/>
      <c r="E1249" s="210"/>
      <c r="F1249" s="210"/>
      <c r="G1249" s="210"/>
      <c r="H1249" s="210"/>
      <c r="I1249" s="210"/>
      <c r="J1249" s="210"/>
      <c r="K1249" s="210"/>
      <c r="L1249" s="210"/>
      <c r="M1249" s="210"/>
      <c r="N1249" s="210"/>
      <c r="O1249" s="210"/>
      <c r="P1249" s="210"/>
      <c r="Q1249" s="210"/>
      <c r="R1249" s="210"/>
      <c r="S1249" s="210"/>
      <c r="T1249" s="210"/>
      <c r="U1249" s="210"/>
      <c r="V1249" s="210"/>
      <c r="W1249" s="210"/>
      <c r="X1249" s="210"/>
      <c r="Y1249" s="210"/>
      <c r="Z1249" s="210"/>
      <c r="AA1249" s="210"/>
      <c r="AB1249" s="210"/>
      <c r="AC1249" s="210"/>
      <c r="AD1249" s="210"/>
      <c r="AE1249" s="210"/>
      <c r="AF1249" s="210"/>
      <c r="AG1249" s="210"/>
      <c r="AH1249" s="210"/>
      <c r="AI1249" s="210"/>
      <c r="AJ1249" s="210"/>
    </row>
    <row r="1250" ht="14.25" customHeight="1">
      <c r="A1250" s="210"/>
      <c r="B1250" s="210"/>
      <c r="C1250" s="210"/>
      <c r="D1250" s="210"/>
      <c r="E1250" s="210"/>
      <c r="F1250" s="210"/>
      <c r="G1250" s="210"/>
      <c r="H1250" s="210"/>
      <c r="I1250" s="210"/>
      <c r="J1250" s="210"/>
      <c r="K1250" s="210"/>
      <c r="L1250" s="210"/>
      <c r="M1250" s="210"/>
      <c r="N1250" s="210"/>
      <c r="O1250" s="210"/>
      <c r="P1250" s="210"/>
      <c r="Q1250" s="210"/>
      <c r="R1250" s="210"/>
      <c r="S1250" s="210"/>
      <c r="T1250" s="210"/>
      <c r="U1250" s="210"/>
      <c r="V1250" s="210"/>
      <c r="W1250" s="210"/>
      <c r="X1250" s="210"/>
      <c r="Y1250" s="210"/>
      <c r="Z1250" s="210"/>
      <c r="AA1250" s="210"/>
      <c r="AB1250" s="210"/>
      <c r="AC1250" s="210"/>
      <c r="AD1250" s="210"/>
      <c r="AE1250" s="210"/>
      <c r="AF1250" s="210"/>
      <c r="AG1250" s="210"/>
      <c r="AH1250" s="210"/>
      <c r="AI1250" s="210"/>
      <c r="AJ1250" s="210"/>
    </row>
    <row r="1251" ht="14.25" customHeight="1">
      <c r="A1251" s="210"/>
      <c r="B1251" s="210"/>
      <c r="C1251" s="210"/>
      <c r="D1251" s="210"/>
      <c r="E1251" s="210"/>
      <c r="F1251" s="210"/>
      <c r="G1251" s="210"/>
      <c r="H1251" s="210"/>
      <c r="I1251" s="210"/>
      <c r="J1251" s="210"/>
      <c r="K1251" s="210"/>
      <c r="L1251" s="210"/>
      <c r="M1251" s="210"/>
      <c r="N1251" s="210"/>
      <c r="O1251" s="210"/>
      <c r="P1251" s="210"/>
      <c r="Q1251" s="210"/>
      <c r="R1251" s="210"/>
      <c r="S1251" s="210"/>
      <c r="T1251" s="210"/>
      <c r="U1251" s="210"/>
      <c r="V1251" s="210"/>
      <c r="W1251" s="210"/>
      <c r="X1251" s="210"/>
      <c r="Y1251" s="210"/>
      <c r="Z1251" s="210"/>
      <c r="AA1251" s="210"/>
      <c r="AB1251" s="210"/>
      <c r="AC1251" s="210"/>
      <c r="AD1251" s="210"/>
      <c r="AE1251" s="210"/>
      <c r="AF1251" s="210"/>
      <c r="AG1251" s="210"/>
      <c r="AH1251" s="210"/>
      <c r="AI1251" s="210"/>
      <c r="AJ1251" s="210"/>
    </row>
    <row r="1252" ht="14.25" customHeight="1">
      <c r="A1252" s="210"/>
      <c r="B1252" s="210"/>
      <c r="C1252" s="210"/>
      <c r="D1252" s="210"/>
      <c r="E1252" s="210"/>
      <c r="F1252" s="210"/>
      <c r="G1252" s="210"/>
      <c r="H1252" s="210"/>
      <c r="I1252" s="210"/>
      <c r="J1252" s="210"/>
      <c r="K1252" s="210"/>
      <c r="L1252" s="210"/>
      <c r="M1252" s="210"/>
      <c r="N1252" s="210"/>
      <c r="O1252" s="210"/>
      <c r="P1252" s="210"/>
      <c r="Q1252" s="210"/>
      <c r="R1252" s="210"/>
      <c r="S1252" s="210"/>
      <c r="T1252" s="210"/>
      <c r="U1252" s="210"/>
      <c r="V1252" s="210"/>
      <c r="W1252" s="210"/>
      <c r="X1252" s="210"/>
      <c r="Y1252" s="210"/>
      <c r="Z1252" s="210"/>
      <c r="AA1252" s="210"/>
      <c r="AB1252" s="210"/>
      <c r="AC1252" s="210"/>
      <c r="AD1252" s="210"/>
      <c r="AE1252" s="210"/>
      <c r="AF1252" s="210"/>
      <c r="AG1252" s="210"/>
      <c r="AH1252" s="210"/>
      <c r="AI1252" s="210"/>
      <c r="AJ1252" s="210"/>
    </row>
    <row r="1253" ht="14.25" customHeight="1">
      <c r="A1253" s="210"/>
      <c r="B1253" s="210"/>
      <c r="C1253" s="210"/>
      <c r="D1253" s="210"/>
      <c r="E1253" s="210"/>
      <c r="F1253" s="210"/>
      <c r="G1253" s="210"/>
      <c r="H1253" s="210"/>
      <c r="I1253" s="210"/>
      <c r="J1253" s="210"/>
      <c r="K1253" s="210"/>
      <c r="L1253" s="210"/>
      <c r="M1253" s="210"/>
      <c r="N1253" s="210"/>
      <c r="O1253" s="210"/>
      <c r="P1253" s="210"/>
      <c r="Q1253" s="210"/>
      <c r="R1253" s="210"/>
      <c r="S1253" s="210"/>
      <c r="T1253" s="210"/>
      <c r="U1253" s="210"/>
      <c r="V1253" s="210"/>
      <c r="W1253" s="210"/>
      <c r="X1253" s="210"/>
      <c r="Y1253" s="210"/>
      <c r="Z1253" s="210"/>
      <c r="AA1253" s="210"/>
      <c r="AB1253" s="210"/>
      <c r="AC1253" s="210"/>
      <c r="AD1253" s="210"/>
      <c r="AE1253" s="210"/>
      <c r="AF1253" s="210"/>
      <c r="AG1253" s="210"/>
      <c r="AH1253" s="210"/>
      <c r="AI1253" s="210"/>
      <c r="AJ1253" s="210"/>
    </row>
    <row r="1254" ht="14.25" customHeight="1">
      <c r="A1254" s="210"/>
      <c r="B1254" s="210"/>
      <c r="C1254" s="210"/>
      <c r="D1254" s="210"/>
      <c r="E1254" s="210"/>
      <c r="F1254" s="210"/>
      <c r="G1254" s="210"/>
      <c r="H1254" s="210"/>
      <c r="I1254" s="210"/>
      <c r="J1254" s="210"/>
      <c r="K1254" s="210"/>
      <c r="L1254" s="210"/>
      <c r="M1254" s="210"/>
      <c r="N1254" s="210"/>
      <c r="O1254" s="210"/>
      <c r="P1254" s="210"/>
      <c r="Q1254" s="210"/>
      <c r="R1254" s="210"/>
      <c r="S1254" s="210"/>
      <c r="T1254" s="210"/>
      <c r="U1254" s="210"/>
      <c r="V1254" s="210"/>
      <c r="W1254" s="210"/>
      <c r="X1254" s="210"/>
      <c r="Y1254" s="210"/>
      <c r="Z1254" s="210"/>
      <c r="AA1254" s="210"/>
      <c r="AB1254" s="210"/>
      <c r="AC1254" s="210"/>
      <c r="AD1254" s="210"/>
      <c r="AE1254" s="210"/>
      <c r="AF1254" s="210"/>
      <c r="AG1254" s="210"/>
      <c r="AH1254" s="210"/>
      <c r="AI1254" s="210"/>
      <c r="AJ1254" s="210"/>
    </row>
    <row r="1255" ht="14.25" customHeight="1">
      <c r="A1255" s="210"/>
      <c r="B1255" s="210"/>
      <c r="C1255" s="210"/>
      <c r="D1255" s="210"/>
      <c r="E1255" s="210"/>
      <c r="F1255" s="210"/>
      <c r="G1255" s="210"/>
      <c r="H1255" s="210"/>
      <c r="I1255" s="210"/>
      <c r="J1255" s="210"/>
      <c r="K1255" s="210"/>
      <c r="L1255" s="210"/>
      <c r="M1255" s="210"/>
      <c r="N1255" s="210"/>
      <c r="O1255" s="210"/>
      <c r="P1255" s="210"/>
      <c r="Q1255" s="210"/>
      <c r="R1255" s="210"/>
      <c r="S1255" s="210"/>
      <c r="T1255" s="210"/>
      <c r="U1255" s="210"/>
      <c r="V1255" s="210"/>
      <c r="W1255" s="210"/>
      <c r="X1255" s="210"/>
      <c r="Y1255" s="210"/>
      <c r="Z1255" s="210"/>
      <c r="AA1255" s="210"/>
      <c r="AB1255" s="210"/>
      <c r="AC1255" s="210"/>
      <c r="AD1255" s="210"/>
      <c r="AE1255" s="210"/>
      <c r="AF1255" s="210"/>
      <c r="AG1255" s="210"/>
      <c r="AH1255" s="210"/>
      <c r="AI1255" s="210"/>
      <c r="AJ1255" s="210"/>
    </row>
    <row r="1256" ht="14.25" customHeight="1">
      <c r="A1256" s="210"/>
      <c r="B1256" s="210"/>
      <c r="C1256" s="210"/>
      <c r="D1256" s="210"/>
      <c r="E1256" s="210"/>
      <c r="F1256" s="210"/>
      <c r="G1256" s="210"/>
      <c r="H1256" s="210"/>
      <c r="I1256" s="210"/>
      <c r="J1256" s="210"/>
      <c r="K1256" s="210"/>
      <c r="L1256" s="210"/>
      <c r="M1256" s="210"/>
      <c r="N1256" s="210"/>
      <c r="O1256" s="210"/>
      <c r="P1256" s="210"/>
      <c r="Q1256" s="210"/>
      <c r="R1256" s="210"/>
      <c r="S1256" s="210"/>
      <c r="T1256" s="210"/>
      <c r="U1256" s="210"/>
      <c r="V1256" s="210"/>
      <c r="W1256" s="210"/>
      <c r="X1256" s="210"/>
      <c r="Y1256" s="210"/>
      <c r="Z1256" s="210"/>
      <c r="AA1256" s="210"/>
      <c r="AB1256" s="210"/>
      <c r="AC1256" s="210"/>
      <c r="AD1256" s="210"/>
      <c r="AE1256" s="210"/>
      <c r="AF1256" s="210"/>
      <c r="AG1256" s="210"/>
      <c r="AH1256" s="210"/>
      <c r="AI1256" s="210"/>
      <c r="AJ1256" s="210"/>
    </row>
    <row r="1257" ht="14.25" customHeight="1">
      <c r="A1257" s="210"/>
      <c r="B1257" s="210"/>
      <c r="C1257" s="210"/>
      <c r="D1257" s="210"/>
      <c r="E1257" s="210"/>
      <c r="F1257" s="210"/>
      <c r="G1257" s="210"/>
      <c r="H1257" s="210"/>
      <c r="I1257" s="210"/>
      <c r="J1257" s="210"/>
      <c r="K1257" s="210"/>
      <c r="L1257" s="210"/>
      <c r="M1257" s="210"/>
      <c r="N1257" s="210"/>
      <c r="O1257" s="210"/>
      <c r="P1257" s="210"/>
      <c r="Q1257" s="210"/>
      <c r="R1257" s="210"/>
      <c r="S1257" s="210"/>
      <c r="T1257" s="210"/>
      <c r="U1257" s="210"/>
      <c r="V1257" s="210"/>
      <c r="W1257" s="210"/>
      <c r="X1257" s="210"/>
      <c r="Y1257" s="210"/>
      <c r="Z1257" s="210"/>
      <c r="AA1257" s="210"/>
      <c r="AB1257" s="210"/>
      <c r="AC1257" s="210"/>
      <c r="AD1257" s="210"/>
      <c r="AE1257" s="210"/>
      <c r="AF1257" s="210"/>
      <c r="AG1257" s="210"/>
      <c r="AH1257" s="210"/>
      <c r="AI1257" s="210"/>
      <c r="AJ1257" s="210"/>
    </row>
    <row r="1258" ht="14.25" customHeight="1">
      <c r="A1258" s="210"/>
      <c r="B1258" s="210"/>
      <c r="C1258" s="210"/>
      <c r="D1258" s="210"/>
      <c r="E1258" s="210"/>
      <c r="F1258" s="210"/>
      <c r="G1258" s="210"/>
      <c r="H1258" s="210"/>
      <c r="I1258" s="210"/>
      <c r="J1258" s="210"/>
      <c r="K1258" s="210"/>
      <c r="L1258" s="210"/>
      <c r="M1258" s="210"/>
      <c r="N1258" s="210"/>
      <c r="O1258" s="210"/>
      <c r="P1258" s="210"/>
      <c r="Q1258" s="210"/>
      <c r="R1258" s="210"/>
      <c r="S1258" s="210"/>
      <c r="T1258" s="210"/>
      <c r="U1258" s="210"/>
      <c r="V1258" s="210"/>
      <c r="W1258" s="210"/>
      <c r="X1258" s="210"/>
      <c r="Y1258" s="210"/>
      <c r="Z1258" s="210"/>
      <c r="AA1258" s="210"/>
      <c r="AB1258" s="210"/>
      <c r="AC1258" s="210"/>
      <c r="AD1258" s="210"/>
      <c r="AE1258" s="210"/>
      <c r="AF1258" s="210"/>
      <c r="AG1258" s="210"/>
      <c r="AH1258" s="210"/>
      <c r="AI1258" s="210"/>
      <c r="AJ1258" s="210"/>
    </row>
    <row r="1259" ht="14.25" customHeight="1">
      <c r="A1259" s="210"/>
      <c r="B1259" s="210"/>
      <c r="C1259" s="210"/>
      <c r="D1259" s="210"/>
      <c r="E1259" s="210"/>
      <c r="F1259" s="210"/>
      <c r="G1259" s="210"/>
      <c r="H1259" s="210"/>
      <c r="I1259" s="210"/>
      <c r="J1259" s="210"/>
      <c r="K1259" s="210"/>
      <c r="L1259" s="210"/>
      <c r="M1259" s="210"/>
      <c r="N1259" s="210"/>
      <c r="O1259" s="210"/>
      <c r="P1259" s="210"/>
      <c r="Q1259" s="210"/>
      <c r="R1259" s="210"/>
      <c r="S1259" s="210"/>
      <c r="T1259" s="210"/>
      <c r="U1259" s="210"/>
      <c r="V1259" s="210"/>
      <c r="W1259" s="210"/>
      <c r="X1259" s="210"/>
      <c r="Y1259" s="210"/>
      <c r="Z1259" s="210"/>
      <c r="AA1259" s="210"/>
      <c r="AB1259" s="210"/>
      <c r="AC1259" s="210"/>
      <c r="AD1259" s="210"/>
      <c r="AE1259" s="210"/>
      <c r="AF1259" s="210"/>
      <c r="AG1259" s="210"/>
      <c r="AH1259" s="210"/>
      <c r="AI1259" s="210"/>
      <c r="AJ1259" s="210"/>
    </row>
    <row r="1260" ht="14.25" customHeight="1">
      <c r="A1260" s="210"/>
      <c r="B1260" s="210"/>
      <c r="C1260" s="210"/>
      <c r="D1260" s="210"/>
      <c r="E1260" s="210"/>
      <c r="F1260" s="210"/>
      <c r="G1260" s="210"/>
      <c r="H1260" s="210"/>
      <c r="I1260" s="210"/>
      <c r="J1260" s="210"/>
      <c r="K1260" s="210"/>
      <c r="L1260" s="210"/>
      <c r="M1260" s="210"/>
      <c r="N1260" s="210"/>
      <c r="O1260" s="210"/>
      <c r="P1260" s="210"/>
      <c r="Q1260" s="210"/>
      <c r="R1260" s="210"/>
      <c r="S1260" s="210"/>
      <c r="T1260" s="210"/>
      <c r="U1260" s="210"/>
      <c r="V1260" s="210"/>
      <c r="W1260" s="210"/>
      <c r="X1260" s="210"/>
      <c r="Y1260" s="210"/>
      <c r="Z1260" s="210"/>
      <c r="AA1260" s="210"/>
      <c r="AB1260" s="210"/>
      <c r="AC1260" s="210"/>
      <c r="AD1260" s="210"/>
      <c r="AE1260" s="210"/>
      <c r="AF1260" s="210"/>
      <c r="AG1260" s="210"/>
      <c r="AH1260" s="210"/>
      <c r="AI1260" s="210"/>
      <c r="AJ1260" s="210"/>
    </row>
    <row r="1261" ht="14.25" customHeight="1">
      <c r="A1261" s="210"/>
      <c r="B1261" s="210"/>
      <c r="C1261" s="210"/>
      <c r="D1261" s="210"/>
      <c r="E1261" s="210"/>
      <c r="F1261" s="210"/>
      <c r="G1261" s="210"/>
      <c r="H1261" s="210"/>
      <c r="I1261" s="210"/>
      <c r="J1261" s="210"/>
      <c r="K1261" s="210"/>
      <c r="L1261" s="210"/>
      <c r="M1261" s="210"/>
      <c r="N1261" s="210"/>
      <c r="O1261" s="210"/>
      <c r="P1261" s="210"/>
      <c r="Q1261" s="210"/>
      <c r="R1261" s="210"/>
      <c r="S1261" s="210"/>
      <c r="T1261" s="210"/>
      <c r="U1261" s="210"/>
      <c r="V1261" s="210"/>
      <c r="W1261" s="210"/>
      <c r="X1261" s="210"/>
      <c r="Y1261" s="210"/>
      <c r="Z1261" s="210"/>
      <c r="AA1261" s="210"/>
      <c r="AB1261" s="210"/>
      <c r="AC1261" s="210"/>
      <c r="AD1261" s="210"/>
      <c r="AE1261" s="210"/>
      <c r="AF1261" s="210"/>
      <c r="AG1261" s="210"/>
      <c r="AH1261" s="210"/>
      <c r="AI1261" s="210"/>
      <c r="AJ1261" s="210"/>
    </row>
    <row r="1262" ht="14.25" customHeight="1">
      <c r="A1262" s="210"/>
      <c r="B1262" s="210"/>
      <c r="C1262" s="210"/>
      <c r="D1262" s="210"/>
      <c r="E1262" s="210"/>
      <c r="F1262" s="210"/>
      <c r="G1262" s="210"/>
      <c r="H1262" s="210"/>
      <c r="I1262" s="210"/>
      <c r="J1262" s="210"/>
      <c r="K1262" s="210"/>
      <c r="L1262" s="210"/>
      <c r="M1262" s="210"/>
      <c r="N1262" s="210"/>
      <c r="O1262" s="210"/>
      <c r="P1262" s="210"/>
      <c r="Q1262" s="210"/>
      <c r="R1262" s="210"/>
      <c r="S1262" s="210"/>
      <c r="T1262" s="210"/>
      <c r="U1262" s="210"/>
      <c r="V1262" s="210"/>
      <c r="W1262" s="210"/>
      <c r="X1262" s="210"/>
      <c r="Y1262" s="210"/>
      <c r="Z1262" s="210"/>
      <c r="AA1262" s="210"/>
      <c r="AB1262" s="210"/>
      <c r="AC1262" s="210"/>
      <c r="AD1262" s="210"/>
      <c r="AE1262" s="210"/>
      <c r="AF1262" s="210"/>
      <c r="AG1262" s="210"/>
      <c r="AH1262" s="210"/>
      <c r="AI1262" s="210"/>
      <c r="AJ1262" s="210"/>
    </row>
    <row r="1263" ht="14.25" customHeight="1">
      <c r="A1263" s="210"/>
      <c r="B1263" s="210"/>
      <c r="C1263" s="210"/>
      <c r="D1263" s="210"/>
      <c r="E1263" s="210"/>
      <c r="F1263" s="210"/>
      <c r="G1263" s="210"/>
      <c r="H1263" s="210"/>
      <c r="I1263" s="210"/>
      <c r="J1263" s="210"/>
      <c r="K1263" s="210"/>
      <c r="L1263" s="210"/>
      <c r="M1263" s="210"/>
      <c r="N1263" s="210"/>
      <c r="O1263" s="210"/>
      <c r="P1263" s="210"/>
      <c r="Q1263" s="210"/>
      <c r="R1263" s="210"/>
      <c r="S1263" s="210"/>
      <c r="T1263" s="210"/>
      <c r="U1263" s="210"/>
      <c r="V1263" s="210"/>
      <c r="W1263" s="210"/>
      <c r="X1263" s="210"/>
      <c r="Y1263" s="210"/>
      <c r="Z1263" s="210"/>
      <c r="AA1263" s="210"/>
      <c r="AB1263" s="210"/>
      <c r="AC1263" s="210"/>
      <c r="AD1263" s="210"/>
      <c r="AE1263" s="210"/>
      <c r="AF1263" s="210"/>
      <c r="AG1263" s="210"/>
      <c r="AH1263" s="210"/>
      <c r="AI1263" s="210"/>
      <c r="AJ1263" s="210"/>
    </row>
    <row r="1264" ht="14.25" customHeight="1">
      <c r="A1264" s="210"/>
      <c r="B1264" s="210"/>
      <c r="C1264" s="210"/>
      <c r="D1264" s="210"/>
      <c r="E1264" s="210"/>
      <c r="F1264" s="210"/>
      <c r="G1264" s="210"/>
      <c r="H1264" s="210"/>
      <c r="I1264" s="210"/>
      <c r="J1264" s="210"/>
      <c r="K1264" s="210"/>
      <c r="L1264" s="210"/>
      <c r="M1264" s="210"/>
      <c r="N1264" s="210"/>
      <c r="O1264" s="210"/>
      <c r="P1264" s="210"/>
      <c r="Q1264" s="210"/>
      <c r="R1264" s="210"/>
      <c r="S1264" s="210"/>
      <c r="T1264" s="210"/>
      <c r="U1264" s="210"/>
      <c r="V1264" s="210"/>
      <c r="W1264" s="210"/>
      <c r="X1264" s="210"/>
      <c r="Y1264" s="210"/>
      <c r="Z1264" s="210"/>
      <c r="AA1264" s="210"/>
      <c r="AB1264" s="210"/>
      <c r="AC1264" s="210"/>
      <c r="AD1264" s="210"/>
      <c r="AE1264" s="210"/>
      <c r="AF1264" s="210"/>
      <c r="AG1264" s="210"/>
      <c r="AH1264" s="210"/>
      <c r="AI1264" s="210"/>
      <c r="AJ1264" s="210"/>
    </row>
    <row r="1265" ht="14.25" customHeight="1">
      <c r="A1265" s="210"/>
      <c r="B1265" s="210"/>
      <c r="C1265" s="210"/>
      <c r="D1265" s="210"/>
      <c r="E1265" s="210"/>
      <c r="F1265" s="210"/>
      <c r="G1265" s="210"/>
      <c r="H1265" s="210"/>
      <c r="I1265" s="210"/>
      <c r="J1265" s="210"/>
      <c r="K1265" s="210"/>
      <c r="L1265" s="210"/>
      <c r="M1265" s="210"/>
      <c r="N1265" s="210"/>
      <c r="O1265" s="210"/>
      <c r="P1265" s="210"/>
      <c r="Q1265" s="210"/>
      <c r="R1265" s="210"/>
      <c r="S1265" s="210"/>
      <c r="T1265" s="210"/>
      <c r="U1265" s="210"/>
      <c r="V1265" s="210"/>
      <c r="W1265" s="210"/>
      <c r="X1265" s="210"/>
      <c r="Y1265" s="210"/>
      <c r="Z1265" s="210"/>
      <c r="AA1265" s="210"/>
      <c r="AB1265" s="210"/>
      <c r="AC1265" s="210"/>
      <c r="AD1265" s="210"/>
      <c r="AE1265" s="210"/>
      <c r="AF1265" s="210"/>
      <c r="AG1265" s="210"/>
      <c r="AH1265" s="210"/>
      <c r="AI1265" s="210"/>
      <c r="AJ1265" s="210"/>
    </row>
    <row r="1266" ht="14.25" customHeight="1">
      <c r="A1266" s="210"/>
      <c r="B1266" s="210"/>
      <c r="C1266" s="210"/>
      <c r="D1266" s="210"/>
      <c r="E1266" s="210"/>
      <c r="F1266" s="210"/>
      <c r="G1266" s="210"/>
      <c r="H1266" s="210"/>
      <c r="I1266" s="210"/>
      <c r="J1266" s="210"/>
      <c r="K1266" s="210"/>
      <c r="L1266" s="210"/>
      <c r="M1266" s="210"/>
      <c r="N1266" s="210"/>
      <c r="O1266" s="210"/>
      <c r="P1266" s="210"/>
      <c r="Q1266" s="210"/>
      <c r="R1266" s="210"/>
      <c r="S1266" s="210"/>
      <c r="T1266" s="210"/>
      <c r="U1266" s="210"/>
      <c r="V1266" s="210"/>
      <c r="W1266" s="210"/>
      <c r="X1266" s="210"/>
      <c r="Y1266" s="210"/>
      <c r="Z1266" s="210"/>
      <c r="AA1266" s="210"/>
      <c r="AB1266" s="210"/>
      <c r="AC1266" s="210"/>
      <c r="AD1266" s="210"/>
      <c r="AE1266" s="210"/>
      <c r="AF1266" s="210"/>
      <c r="AG1266" s="210"/>
      <c r="AH1266" s="210"/>
      <c r="AI1266" s="210"/>
      <c r="AJ1266" s="210"/>
    </row>
    <row r="1267" ht="14.25" customHeight="1">
      <c r="A1267" s="210"/>
      <c r="B1267" s="210"/>
      <c r="C1267" s="210"/>
      <c r="D1267" s="210"/>
      <c r="E1267" s="210"/>
      <c r="F1267" s="210"/>
      <c r="G1267" s="210"/>
      <c r="H1267" s="210"/>
      <c r="I1267" s="210"/>
      <c r="J1267" s="210"/>
      <c r="K1267" s="210"/>
      <c r="L1267" s="210"/>
      <c r="M1267" s="210"/>
      <c r="N1267" s="210"/>
      <c r="O1267" s="210"/>
      <c r="P1267" s="210"/>
      <c r="Q1267" s="210"/>
      <c r="R1267" s="210"/>
      <c r="S1267" s="210"/>
      <c r="T1267" s="210"/>
      <c r="U1267" s="210"/>
      <c r="V1267" s="210"/>
      <c r="W1267" s="210"/>
      <c r="X1267" s="210"/>
      <c r="Y1267" s="210"/>
      <c r="Z1267" s="210"/>
      <c r="AA1267" s="210"/>
      <c r="AB1267" s="210"/>
      <c r="AC1267" s="210"/>
      <c r="AD1267" s="210"/>
      <c r="AE1267" s="210"/>
      <c r="AF1267" s="210"/>
      <c r="AG1267" s="210"/>
      <c r="AH1267" s="210"/>
      <c r="AI1267" s="210"/>
      <c r="AJ1267" s="210"/>
    </row>
    <row r="1268" ht="14.25" customHeight="1">
      <c r="A1268" s="210"/>
      <c r="B1268" s="210"/>
      <c r="C1268" s="210"/>
      <c r="D1268" s="210"/>
      <c r="E1268" s="210"/>
      <c r="F1268" s="210"/>
      <c r="G1268" s="210"/>
      <c r="H1268" s="210"/>
      <c r="I1268" s="210"/>
      <c r="J1268" s="210"/>
      <c r="K1268" s="210"/>
      <c r="L1268" s="210"/>
      <c r="M1268" s="210"/>
      <c r="N1268" s="210"/>
      <c r="O1268" s="210"/>
      <c r="P1268" s="210"/>
      <c r="Q1268" s="210"/>
      <c r="R1268" s="210"/>
      <c r="S1268" s="210"/>
      <c r="T1268" s="210"/>
      <c r="U1268" s="210"/>
      <c r="V1268" s="210"/>
      <c r="W1268" s="210"/>
      <c r="X1268" s="210"/>
      <c r="Y1268" s="210"/>
      <c r="Z1268" s="210"/>
      <c r="AA1268" s="210"/>
      <c r="AB1268" s="210"/>
      <c r="AC1268" s="210"/>
      <c r="AD1268" s="210"/>
      <c r="AE1268" s="210"/>
      <c r="AF1268" s="210"/>
      <c r="AG1268" s="210"/>
      <c r="AH1268" s="210"/>
      <c r="AI1268" s="210"/>
      <c r="AJ1268" s="210"/>
    </row>
    <row r="1269" ht="14.25" customHeight="1">
      <c r="A1269" s="210"/>
      <c r="B1269" s="210"/>
      <c r="C1269" s="210"/>
      <c r="D1269" s="210"/>
      <c r="E1269" s="210"/>
      <c r="F1269" s="210"/>
      <c r="G1269" s="210"/>
      <c r="H1269" s="210"/>
      <c r="I1269" s="210"/>
      <c r="J1269" s="210"/>
      <c r="K1269" s="210"/>
      <c r="L1269" s="210"/>
      <c r="M1269" s="210"/>
      <c r="N1269" s="210"/>
      <c r="O1269" s="210"/>
      <c r="P1269" s="210"/>
      <c r="Q1269" s="210"/>
      <c r="R1269" s="210"/>
      <c r="S1269" s="210"/>
      <c r="T1269" s="210"/>
      <c r="U1269" s="210"/>
      <c r="V1269" s="210"/>
      <c r="W1269" s="210"/>
      <c r="X1269" s="210"/>
      <c r="Y1269" s="210"/>
      <c r="Z1269" s="210"/>
      <c r="AA1269" s="210"/>
      <c r="AB1269" s="210"/>
      <c r="AC1269" s="210"/>
      <c r="AD1269" s="210"/>
      <c r="AE1269" s="210"/>
      <c r="AF1269" s="210"/>
      <c r="AG1269" s="210"/>
      <c r="AH1269" s="210"/>
      <c r="AI1269" s="210"/>
      <c r="AJ1269" s="210"/>
    </row>
    <row r="1270" ht="14.25" customHeight="1">
      <c r="A1270" s="210"/>
      <c r="B1270" s="210"/>
      <c r="C1270" s="210"/>
      <c r="D1270" s="210"/>
      <c r="E1270" s="210"/>
      <c r="F1270" s="210"/>
      <c r="G1270" s="210"/>
      <c r="H1270" s="210"/>
      <c r="I1270" s="210"/>
      <c r="J1270" s="210"/>
      <c r="K1270" s="210"/>
      <c r="L1270" s="210"/>
      <c r="M1270" s="210"/>
      <c r="N1270" s="210"/>
      <c r="O1270" s="210"/>
      <c r="P1270" s="210"/>
      <c r="Q1270" s="210"/>
      <c r="R1270" s="210"/>
      <c r="S1270" s="210"/>
      <c r="T1270" s="210"/>
      <c r="U1270" s="210"/>
      <c r="V1270" s="210"/>
      <c r="W1270" s="210"/>
      <c r="X1270" s="210"/>
      <c r="Y1270" s="210"/>
      <c r="Z1270" s="210"/>
      <c r="AA1270" s="210"/>
      <c r="AB1270" s="210"/>
      <c r="AC1270" s="210"/>
      <c r="AD1270" s="210"/>
      <c r="AE1270" s="210"/>
      <c r="AF1270" s="210"/>
      <c r="AG1270" s="210"/>
      <c r="AH1270" s="210"/>
      <c r="AI1270" s="210"/>
      <c r="AJ1270" s="210"/>
    </row>
    <row r="1271" ht="14.25" customHeight="1">
      <c r="A1271" s="210"/>
      <c r="B1271" s="210"/>
      <c r="C1271" s="210"/>
      <c r="D1271" s="210"/>
      <c r="E1271" s="210"/>
      <c r="F1271" s="210"/>
      <c r="G1271" s="210"/>
      <c r="H1271" s="210"/>
      <c r="I1271" s="210"/>
      <c r="J1271" s="210"/>
      <c r="K1271" s="210"/>
      <c r="L1271" s="210"/>
      <c r="M1271" s="210"/>
      <c r="N1271" s="210"/>
      <c r="O1271" s="210"/>
      <c r="P1271" s="210"/>
      <c r="Q1271" s="210"/>
      <c r="R1271" s="210"/>
      <c r="S1271" s="210"/>
      <c r="T1271" s="210"/>
      <c r="U1271" s="210"/>
      <c r="V1271" s="210"/>
      <c r="W1271" s="210"/>
      <c r="X1271" s="210"/>
      <c r="Y1271" s="210"/>
      <c r="Z1271" s="210"/>
      <c r="AA1271" s="210"/>
      <c r="AB1271" s="210"/>
      <c r="AC1271" s="210"/>
      <c r="AD1271" s="210"/>
      <c r="AE1271" s="210"/>
      <c r="AF1271" s="210"/>
      <c r="AG1271" s="210"/>
      <c r="AH1271" s="210"/>
      <c r="AI1271" s="210"/>
      <c r="AJ1271" s="210"/>
    </row>
    <row r="1272" ht="14.25" customHeight="1">
      <c r="A1272" s="210"/>
      <c r="B1272" s="210"/>
      <c r="C1272" s="210"/>
      <c r="D1272" s="210"/>
      <c r="E1272" s="210"/>
      <c r="F1272" s="210"/>
      <c r="G1272" s="210"/>
      <c r="H1272" s="210"/>
      <c r="I1272" s="210"/>
      <c r="J1272" s="210"/>
      <c r="K1272" s="210"/>
      <c r="L1272" s="210"/>
      <c r="M1272" s="210"/>
      <c r="N1272" s="210"/>
      <c r="O1272" s="210"/>
      <c r="P1272" s="210"/>
      <c r="Q1272" s="210"/>
      <c r="R1272" s="210"/>
      <c r="S1272" s="210"/>
      <c r="T1272" s="210"/>
      <c r="U1272" s="210"/>
      <c r="V1272" s="210"/>
      <c r="W1272" s="210"/>
      <c r="X1272" s="210"/>
      <c r="Y1272" s="210"/>
      <c r="Z1272" s="210"/>
      <c r="AA1272" s="210"/>
      <c r="AB1272" s="210"/>
      <c r="AC1272" s="210"/>
      <c r="AD1272" s="210"/>
      <c r="AE1272" s="210"/>
      <c r="AF1272" s="210"/>
      <c r="AG1272" s="210"/>
      <c r="AH1272" s="210"/>
      <c r="AI1272" s="210"/>
      <c r="AJ1272" s="210"/>
    </row>
    <row r="1273" ht="14.25" customHeight="1">
      <c r="A1273" s="210"/>
      <c r="B1273" s="210"/>
      <c r="C1273" s="210"/>
      <c r="D1273" s="210"/>
      <c r="E1273" s="210"/>
      <c r="F1273" s="210"/>
      <c r="G1273" s="210"/>
      <c r="H1273" s="210"/>
      <c r="I1273" s="210"/>
      <c r="J1273" s="210"/>
      <c r="K1273" s="210"/>
      <c r="L1273" s="210"/>
      <c r="M1273" s="210"/>
      <c r="N1273" s="210"/>
      <c r="O1273" s="210"/>
      <c r="P1273" s="210"/>
      <c r="Q1273" s="210"/>
      <c r="R1273" s="210"/>
      <c r="S1273" s="210"/>
      <c r="T1273" s="210"/>
      <c r="U1273" s="210"/>
      <c r="V1273" s="210"/>
      <c r="W1273" s="210"/>
      <c r="X1273" s="210"/>
      <c r="Y1273" s="210"/>
      <c r="Z1273" s="210"/>
      <c r="AA1273" s="210"/>
      <c r="AB1273" s="210"/>
      <c r="AC1273" s="210"/>
      <c r="AD1273" s="210"/>
      <c r="AE1273" s="210"/>
      <c r="AF1273" s="210"/>
      <c r="AG1273" s="210"/>
      <c r="AH1273" s="210"/>
      <c r="AI1273" s="210"/>
      <c r="AJ1273" s="210"/>
    </row>
    <row r="1274" ht="14.25" customHeight="1">
      <c r="A1274" s="210"/>
      <c r="B1274" s="210"/>
      <c r="C1274" s="210"/>
      <c r="D1274" s="210"/>
      <c r="E1274" s="210"/>
      <c r="F1274" s="210"/>
      <c r="G1274" s="210"/>
      <c r="H1274" s="210"/>
      <c r="I1274" s="210"/>
      <c r="J1274" s="210"/>
      <c r="K1274" s="210"/>
      <c r="L1274" s="210"/>
      <c r="M1274" s="210"/>
      <c r="N1274" s="210"/>
      <c r="O1274" s="210"/>
      <c r="P1274" s="210"/>
      <c r="Q1274" s="210"/>
      <c r="R1274" s="210"/>
      <c r="S1274" s="210"/>
      <c r="T1274" s="210"/>
      <c r="U1274" s="210"/>
      <c r="V1274" s="210"/>
      <c r="W1274" s="210"/>
      <c r="X1274" s="210"/>
      <c r="Y1274" s="210"/>
      <c r="Z1274" s="210"/>
      <c r="AA1274" s="210"/>
      <c r="AB1274" s="210"/>
      <c r="AC1274" s="210"/>
      <c r="AD1274" s="210"/>
      <c r="AE1274" s="210"/>
      <c r="AF1274" s="210"/>
      <c r="AG1274" s="210"/>
      <c r="AH1274" s="210"/>
      <c r="AI1274" s="210"/>
      <c r="AJ1274" s="210"/>
    </row>
    <row r="1275" ht="14.25" customHeight="1">
      <c r="A1275" s="210"/>
      <c r="B1275" s="210"/>
      <c r="C1275" s="210"/>
      <c r="D1275" s="210"/>
      <c r="E1275" s="210"/>
      <c r="F1275" s="210"/>
      <c r="G1275" s="210"/>
      <c r="H1275" s="210"/>
      <c r="I1275" s="210"/>
      <c r="J1275" s="210"/>
      <c r="K1275" s="210"/>
      <c r="L1275" s="210"/>
      <c r="M1275" s="210"/>
      <c r="N1275" s="210"/>
      <c r="O1275" s="210"/>
      <c r="P1275" s="210"/>
      <c r="Q1275" s="210"/>
      <c r="R1275" s="210"/>
      <c r="S1275" s="210"/>
      <c r="T1275" s="210"/>
      <c r="U1275" s="210"/>
      <c r="V1275" s="210"/>
      <c r="W1275" s="210"/>
      <c r="X1275" s="210"/>
      <c r="Y1275" s="210"/>
      <c r="Z1275" s="210"/>
      <c r="AA1275" s="210"/>
      <c r="AB1275" s="210"/>
      <c r="AC1275" s="210"/>
      <c r="AD1275" s="210"/>
      <c r="AE1275" s="210"/>
      <c r="AF1275" s="210"/>
      <c r="AG1275" s="210"/>
      <c r="AH1275" s="210"/>
      <c r="AI1275" s="210"/>
      <c r="AJ1275" s="210"/>
    </row>
    <row r="1276" ht="14.25" customHeight="1">
      <c r="A1276" s="210"/>
      <c r="B1276" s="210"/>
      <c r="C1276" s="210"/>
      <c r="D1276" s="210"/>
      <c r="E1276" s="210"/>
      <c r="F1276" s="210"/>
      <c r="G1276" s="210"/>
      <c r="H1276" s="210"/>
      <c r="I1276" s="210"/>
      <c r="J1276" s="210"/>
      <c r="K1276" s="210"/>
      <c r="L1276" s="210"/>
      <c r="M1276" s="210"/>
      <c r="N1276" s="210"/>
      <c r="O1276" s="210"/>
      <c r="P1276" s="210"/>
      <c r="Q1276" s="210"/>
      <c r="R1276" s="210"/>
      <c r="S1276" s="210"/>
      <c r="T1276" s="210"/>
      <c r="U1276" s="210"/>
      <c r="V1276" s="210"/>
      <c r="W1276" s="210"/>
      <c r="X1276" s="210"/>
      <c r="Y1276" s="210"/>
      <c r="Z1276" s="210"/>
      <c r="AA1276" s="210"/>
      <c r="AB1276" s="210"/>
      <c r="AC1276" s="210"/>
      <c r="AD1276" s="210"/>
      <c r="AE1276" s="210"/>
      <c r="AF1276" s="210"/>
      <c r="AG1276" s="210"/>
      <c r="AH1276" s="210"/>
      <c r="AI1276" s="210"/>
      <c r="AJ1276" s="210"/>
    </row>
    <row r="1277" ht="14.25" customHeight="1">
      <c r="A1277" s="210"/>
      <c r="B1277" s="210"/>
      <c r="C1277" s="210"/>
      <c r="D1277" s="210"/>
      <c r="E1277" s="210"/>
      <c r="F1277" s="210"/>
      <c r="G1277" s="210"/>
      <c r="H1277" s="210"/>
      <c r="I1277" s="210"/>
      <c r="J1277" s="210"/>
      <c r="K1277" s="210"/>
      <c r="L1277" s="210"/>
      <c r="M1277" s="210"/>
      <c r="N1277" s="210"/>
      <c r="O1277" s="210"/>
      <c r="P1277" s="210"/>
      <c r="Q1277" s="210"/>
      <c r="R1277" s="210"/>
      <c r="S1277" s="210"/>
      <c r="T1277" s="210"/>
      <c r="U1277" s="210"/>
      <c r="V1277" s="210"/>
      <c r="W1277" s="210"/>
      <c r="X1277" s="210"/>
      <c r="Y1277" s="210"/>
      <c r="Z1277" s="210"/>
      <c r="AA1277" s="210"/>
      <c r="AB1277" s="210"/>
      <c r="AC1277" s="210"/>
      <c r="AD1277" s="210"/>
      <c r="AE1277" s="210"/>
      <c r="AF1277" s="210"/>
      <c r="AG1277" s="210"/>
      <c r="AH1277" s="210"/>
      <c r="AI1277" s="210"/>
      <c r="AJ1277" s="210"/>
    </row>
    <row r="1278" ht="14.25" customHeight="1">
      <c r="A1278" s="210"/>
      <c r="B1278" s="210"/>
      <c r="C1278" s="210"/>
      <c r="D1278" s="210"/>
      <c r="E1278" s="210"/>
      <c r="F1278" s="210"/>
      <c r="G1278" s="210"/>
      <c r="H1278" s="210"/>
      <c r="I1278" s="210"/>
      <c r="J1278" s="210"/>
      <c r="K1278" s="210"/>
      <c r="L1278" s="210"/>
      <c r="M1278" s="210"/>
      <c r="N1278" s="210"/>
      <c r="O1278" s="210"/>
      <c r="P1278" s="210"/>
      <c r="Q1278" s="210"/>
      <c r="R1278" s="210"/>
      <c r="S1278" s="210"/>
      <c r="T1278" s="210"/>
      <c r="U1278" s="210"/>
      <c r="V1278" s="210"/>
      <c r="W1278" s="210"/>
      <c r="X1278" s="210"/>
      <c r="Y1278" s="210"/>
      <c r="Z1278" s="210"/>
      <c r="AA1278" s="210"/>
      <c r="AB1278" s="210"/>
      <c r="AC1278" s="210"/>
      <c r="AD1278" s="210"/>
      <c r="AE1278" s="210"/>
      <c r="AF1278" s="210"/>
      <c r="AG1278" s="210"/>
      <c r="AH1278" s="210"/>
      <c r="AI1278" s="210"/>
      <c r="AJ1278" s="210"/>
    </row>
    <row r="1279" ht="14.25" customHeight="1">
      <c r="A1279" s="210"/>
      <c r="B1279" s="210"/>
      <c r="C1279" s="210"/>
      <c r="D1279" s="210"/>
      <c r="E1279" s="210"/>
      <c r="F1279" s="210"/>
      <c r="G1279" s="210"/>
      <c r="H1279" s="210"/>
      <c r="I1279" s="210"/>
      <c r="J1279" s="210"/>
      <c r="K1279" s="210"/>
      <c r="L1279" s="210"/>
      <c r="M1279" s="210"/>
      <c r="N1279" s="210"/>
      <c r="O1279" s="210"/>
      <c r="P1279" s="210"/>
      <c r="Q1279" s="210"/>
      <c r="R1279" s="210"/>
      <c r="S1279" s="210"/>
      <c r="T1279" s="210"/>
      <c r="U1279" s="210"/>
      <c r="V1279" s="210"/>
      <c r="W1279" s="210"/>
      <c r="X1279" s="210"/>
      <c r="Y1279" s="210"/>
      <c r="Z1279" s="210"/>
      <c r="AA1279" s="210"/>
      <c r="AB1279" s="210"/>
      <c r="AC1279" s="210"/>
      <c r="AD1279" s="210"/>
      <c r="AE1279" s="210"/>
      <c r="AF1279" s="210"/>
      <c r="AG1279" s="210"/>
      <c r="AH1279" s="210"/>
      <c r="AI1279" s="210"/>
      <c r="AJ1279" s="210"/>
    </row>
    <row r="1280" ht="14.25" customHeight="1">
      <c r="A1280" s="210"/>
      <c r="B1280" s="210"/>
      <c r="C1280" s="210"/>
      <c r="D1280" s="210"/>
      <c r="E1280" s="210"/>
      <c r="F1280" s="210"/>
      <c r="G1280" s="210"/>
      <c r="H1280" s="210"/>
      <c r="I1280" s="210"/>
      <c r="J1280" s="210"/>
      <c r="K1280" s="210"/>
      <c r="L1280" s="210"/>
      <c r="M1280" s="210"/>
      <c r="N1280" s="210"/>
      <c r="O1280" s="210"/>
      <c r="P1280" s="210"/>
      <c r="Q1280" s="210"/>
      <c r="R1280" s="210"/>
      <c r="S1280" s="210"/>
      <c r="T1280" s="210"/>
      <c r="U1280" s="210"/>
      <c r="V1280" s="210"/>
      <c r="W1280" s="210"/>
      <c r="X1280" s="210"/>
      <c r="Y1280" s="210"/>
      <c r="Z1280" s="210"/>
      <c r="AA1280" s="210"/>
      <c r="AB1280" s="210"/>
      <c r="AC1280" s="210"/>
      <c r="AD1280" s="210"/>
      <c r="AE1280" s="210"/>
      <c r="AF1280" s="210"/>
      <c r="AG1280" s="210"/>
      <c r="AH1280" s="210"/>
      <c r="AI1280" s="210"/>
      <c r="AJ1280" s="210"/>
    </row>
    <row r="1281" ht="14.25" customHeight="1">
      <c r="A1281" s="210"/>
      <c r="B1281" s="210"/>
      <c r="C1281" s="210"/>
      <c r="D1281" s="210"/>
      <c r="E1281" s="210"/>
      <c r="F1281" s="210"/>
      <c r="G1281" s="210"/>
      <c r="H1281" s="210"/>
      <c r="I1281" s="210"/>
      <c r="J1281" s="210"/>
      <c r="K1281" s="210"/>
      <c r="L1281" s="210"/>
      <c r="M1281" s="210"/>
      <c r="N1281" s="210"/>
      <c r="O1281" s="210"/>
      <c r="P1281" s="210"/>
      <c r="Q1281" s="210"/>
      <c r="R1281" s="210"/>
      <c r="S1281" s="210"/>
      <c r="T1281" s="210"/>
      <c r="U1281" s="210"/>
      <c r="V1281" s="210"/>
      <c r="W1281" s="210"/>
      <c r="X1281" s="210"/>
      <c r="Y1281" s="210"/>
      <c r="Z1281" s="210"/>
      <c r="AA1281" s="210"/>
      <c r="AB1281" s="210"/>
      <c r="AC1281" s="210"/>
      <c r="AD1281" s="210"/>
      <c r="AE1281" s="210"/>
      <c r="AF1281" s="210"/>
      <c r="AG1281" s="210"/>
      <c r="AH1281" s="210"/>
      <c r="AI1281" s="210"/>
      <c r="AJ1281" s="210"/>
    </row>
    <row r="1282" ht="14.25" customHeight="1">
      <c r="A1282" s="210"/>
      <c r="B1282" s="210"/>
      <c r="C1282" s="210"/>
      <c r="D1282" s="210"/>
      <c r="E1282" s="210"/>
      <c r="F1282" s="210"/>
      <c r="G1282" s="210"/>
      <c r="H1282" s="210"/>
      <c r="I1282" s="210"/>
      <c r="J1282" s="210"/>
      <c r="K1282" s="210"/>
      <c r="L1282" s="210"/>
      <c r="M1282" s="210"/>
      <c r="N1282" s="210"/>
      <c r="O1282" s="210"/>
      <c r="P1282" s="210"/>
      <c r="Q1282" s="210"/>
      <c r="R1282" s="210"/>
      <c r="S1282" s="210"/>
      <c r="T1282" s="210"/>
      <c r="U1282" s="210"/>
      <c r="V1282" s="210"/>
      <c r="W1282" s="210"/>
      <c r="X1282" s="210"/>
      <c r="Y1282" s="210"/>
      <c r="Z1282" s="210"/>
      <c r="AA1282" s="210"/>
      <c r="AB1282" s="210"/>
      <c r="AC1282" s="210"/>
      <c r="AD1282" s="210"/>
      <c r="AE1282" s="210"/>
      <c r="AF1282" s="210"/>
      <c r="AG1282" s="210"/>
      <c r="AH1282" s="210"/>
      <c r="AI1282" s="210"/>
      <c r="AJ1282" s="210"/>
    </row>
    <row r="1283" ht="14.25" customHeight="1">
      <c r="A1283" s="210"/>
      <c r="B1283" s="210"/>
      <c r="C1283" s="210"/>
      <c r="D1283" s="210"/>
      <c r="E1283" s="210"/>
      <c r="F1283" s="210"/>
      <c r="G1283" s="210"/>
      <c r="H1283" s="210"/>
      <c r="I1283" s="210"/>
      <c r="J1283" s="210"/>
      <c r="K1283" s="210"/>
      <c r="L1283" s="210"/>
      <c r="M1283" s="210"/>
      <c r="N1283" s="210"/>
      <c r="O1283" s="210"/>
      <c r="P1283" s="210"/>
      <c r="Q1283" s="210"/>
      <c r="R1283" s="210"/>
      <c r="S1283" s="210"/>
      <c r="T1283" s="210"/>
      <c r="U1283" s="210"/>
      <c r="V1283" s="210"/>
      <c r="W1283" s="210"/>
      <c r="X1283" s="210"/>
      <c r="Y1283" s="210"/>
      <c r="Z1283" s="210"/>
      <c r="AA1283" s="210"/>
      <c r="AB1283" s="210"/>
      <c r="AC1283" s="210"/>
      <c r="AD1283" s="210"/>
      <c r="AE1283" s="210"/>
      <c r="AF1283" s="210"/>
      <c r="AG1283" s="210"/>
      <c r="AH1283" s="210"/>
      <c r="AI1283" s="210"/>
      <c r="AJ1283" s="210"/>
    </row>
    <row r="1284" ht="14.25" customHeight="1">
      <c r="A1284" s="210"/>
      <c r="B1284" s="210"/>
      <c r="C1284" s="210"/>
      <c r="D1284" s="210"/>
      <c r="E1284" s="210"/>
      <c r="F1284" s="210"/>
      <c r="G1284" s="210"/>
      <c r="H1284" s="210"/>
      <c r="I1284" s="210"/>
      <c r="J1284" s="210"/>
      <c r="K1284" s="210"/>
      <c r="L1284" s="210"/>
      <c r="M1284" s="210"/>
      <c r="N1284" s="210"/>
      <c r="O1284" s="210"/>
      <c r="P1284" s="210"/>
      <c r="Q1284" s="210"/>
      <c r="R1284" s="210"/>
      <c r="S1284" s="210"/>
      <c r="T1284" s="210"/>
      <c r="U1284" s="210"/>
      <c r="V1284" s="210"/>
      <c r="W1284" s="210"/>
      <c r="X1284" s="210"/>
      <c r="Y1284" s="210"/>
      <c r="Z1284" s="210"/>
      <c r="AA1284" s="210"/>
      <c r="AB1284" s="210"/>
      <c r="AC1284" s="210"/>
      <c r="AD1284" s="210"/>
      <c r="AE1284" s="210"/>
      <c r="AF1284" s="210"/>
      <c r="AG1284" s="210"/>
      <c r="AH1284" s="210"/>
      <c r="AI1284" s="210"/>
      <c r="AJ1284" s="210"/>
    </row>
    <row r="1285" ht="14.25" customHeight="1">
      <c r="A1285" s="210"/>
      <c r="B1285" s="210"/>
      <c r="C1285" s="210"/>
      <c r="D1285" s="210"/>
      <c r="E1285" s="210"/>
      <c r="F1285" s="210"/>
      <c r="G1285" s="210"/>
      <c r="H1285" s="210"/>
      <c r="I1285" s="210"/>
      <c r="J1285" s="210"/>
      <c r="K1285" s="210"/>
      <c r="L1285" s="210"/>
      <c r="M1285" s="210"/>
      <c r="N1285" s="210"/>
      <c r="O1285" s="210"/>
      <c r="P1285" s="210"/>
      <c r="Q1285" s="210"/>
      <c r="R1285" s="210"/>
      <c r="S1285" s="210"/>
      <c r="T1285" s="210"/>
      <c r="U1285" s="210"/>
      <c r="V1285" s="210"/>
      <c r="W1285" s="210"/>
      <c r="X1285" s="210"/>
      <c r="Y1285" s="210"/>
      <c r="Z1285" s="210"/>
      <c r="AA1285" s="210"/>
      <c r="AB1285" s="210"/>
      <c r="AC1285" s="210"/>
      <c r="AD1285" s="210"/>
      <c r="AE1285" s="210"/>
      <c r="AF1285" s="210"/>
      <c r="AG1285" s="210"/>
      <c r="AH1285" s="210"/>
      <c r="AI1285" s="210"/>
      <c r="AJ1285" s="210"/>
    </row>
    <row r="1286" ht="14.25" customHeight="1">
      <c r="A1286" s="210"/>
      <c r="B1286" s="210"/>
      <c r="C1286" s="210"/>
      <c r="D1286" s="210"/>
      <c r="E1286" s="210"/>
      <c r="F1286" s="210"/>
      <c r="G1286" s="210"/>
      <c r="H1286" s="210"/>
      <c r="I1286" s="210"/>
      <c r="J1286" s="210"/>
      <c r="K1286" s="210"/>
      <c r="L1286" s="210"/>
      <c r="M1286" s="210"/>
      <c r="N1286" s="210"/>
      <c r="O1286" s="210"/>
      <c r="P1286" s="210"/>
      <c r="Q1286" s="210"/>
      <c r="R1286" s="210"/>
      <c r="S1286" s="210"/>
      <c r="T1286" s="210"/>
      <c r="U1286" s="210"/>
      <c r="V1286" s="210"/>
      <c r="W1286" s="210"/>
      <c r="X1286" s="210"/>
      <c r="Y1286" s="210"/>
      <c r="Z1286" s="210"/>
      <c r="AA1286" s="210"/>
      <c r="AB1286" s="210"/>
      <c r="AC1286" s="210"/>
      <c r="AD1286" s="210"/>
      <c r="AE1286" s="210"/>
      <c r="AF1286" s="210"/>
      <c r="AG1286" s="210"/>
      <c r="AH1286" s="210"/>
      <c r="AI1286" s="210"/>
      <c r="AJ1286" s="210"/>
    </row>
    <row r="1287" ht="14.25" customHeight="1">
      <c r="A1287" s="210"/>
      <c r="B1287" s="210"/>
      <c r="C1287" s="210"/>
      <c r="D1287" s="210"/>
      <c r="E1287" s="210"/>
      <c r="F1287" s="210"/>
      <c r="G1287" s="210"/>
      <c r="H1287" s="210"/>
      <c r="I1287" s="210"/>
      <c r="J1287" s="210"/>
      <c r="K1287" s="210"/>
      <c r="L1287" s="210"/>
      <c r="M1287" s="210"/>
      <c r="N1287" s="210"/>
      <c r="O1287" s="210"/>
      <c r="P1287" s="210"/>
      <c r="Q1287" s="210"/>
      <c r="R1287" s="210"/>
      <c r="S1287" s="210"/>
      <c r="T1287" s="210"/>
      <c r="U1287" s="210"/>
      <c r="V1287" s="210"/>
      <c r="W1287" s="210"/>
      <c r="X1287" s="210"/>
      <c r="Y1287" s="210"/>
      <c r="Z1287" s="210"/>
      <c r="AA1287" s="210"/>
      <c r="AB1287" s="210"/>
      <c r="AC1287" s="210"/>
      <c r="AD1287" s="210"/>
      <c r="AE1287" s="210"/>
      <c r="AF1287" s="210"/>
      <c r="AG1287" s="210"/>
      <c r="AH1287" s="210"/>
      <c r="AI1287" s="210"/>
      <c r="AJ1287" s="210"/>
    </row>
    <row r="1288" ht="14.25" customHeight="1">
      <c r="A1288" s="210"/>
      <c r="B1288" s="210"/>
      <c r="C1288" s="210"/>
      <c r="D1288" s="210"/>
      <c r="E1288" s="210"/>
      <c r="F1288" s="210"/>
      <c r="G1288" s="210"/>
      <c r="H1288" s="210"/>
      <c r="I1288" s="210"/>
      <c r="J1288" s="210"/>
      <c r="K1288" s="210"/>
      <c r="L1288" s="210"/>
      <c r="M1288" s="210"/>
      <c r="N1288" s="210"/>
      <c r="O1288" s="210"/>
      <c r="P1288" s="210"/>
      <c r="Q1288" s="210"/>
      <c r="R1288" s="210"/>
      <c r="S1288" s="210"/>
      <c r="T1288" s="210"/>
      <c r="U1288" s="210"/>
      <c r="V1288" s="210"/>
      <c r="W1288" s="210"/>
      <c r="X1288" s="210"/>
      <c r="Y1288" s="210"/>
      <c r="Z1288" s="210"/>
      <c r="AA1288" s="210"/>
      <c r="AB1288" s="210"/>
      <c r="AC1288" s="210"/>
      <c r="AD1288" s="210"/>
      <c r="AE1288" s="210"/>
      <c r="AF1288" s="210"/>
      <c r="AG1288" s="210"/>
      <c r="AH1288" s="210"/>
      <c r="AI1288" s="210"/>
      <c r="AJ1288" s="210"/>
    </row>
    <row r="1289" ht="14.25" customHeight="1">
      <c r="A1289" s="210"/>
      <c r="B1289" s="210"/>
      <c r="C1289" s="210"/>
      <c r="D1289" s="210"/>
      <c r="E1289" s="210"/>
      <c r="F1289" s="210"/>
      <c r="G1289" s="210"/>
      <c r="H1289" s="210"/>
      <c r="I1289" s="210"/>
      <c r="J1289" s="210"/>
      <c r="K1289" s="210"/>
      <c r="L1289" s="210"/>
      <c r="M1289" s="210"/>
      <c r="N1289" s="210"/>
      <c r="O1289" s="210"/>
      <c r="P1289" s="210"/>
      <c r="Q1289" s="210"/>
      <c r="R1289" s="210"/>
      <c r="S1289" s="210"/>
      <c r="T1289" s="210"/>
      <c r="U1289" s="210"/>
      <c r="V1289" s="210"/>
      <c r="W1289" s="210"/>
      <c r="X1289" s="210"/>
      <c r="Y1289" s="210"/>
      <c r="Z1289" s="210"/>
      <c r="AA1289" s="210"/>
      <c r="AB1289" s="210"/>
      <c r="AC1289" s="210"/>
      <c r="AD1289" s="210"/>
      <c r="AE1289" s="210"/>
      <c r="AF1289" s="210"/>
      <c r="AG1289" s="210"/>
      <c r="AH1289" s="210"/>
      <c r="AI1289" s="210"/>
      <c r="AJ1289" s="210"/>
    </row>
    <row r="1290" ht="14.25" customHeight="1">
      <c r="A1290" s="210"/>
      <c r="B1290" s="210"/>
      <c r="C1290" s="210"/>
      <c r="D1290" s="210"/>
      <c r="E1290" s="210"/>
      <c r="F1290" s="210"/>
      <c r="G1290" s="210"/>
      <c r="H1290" s="210"/>
      <c r="I1290" s="210"/>
      <c r="J1290" s="210"/>
      <c r="K1290" s="210"/>
      <c r="L1290" s="210"/>
      <c r="M1290" s="210"/>
      <c r="N1290" s="210"/>
      <c r="O1290" s="210"/>
      <c r="P1290" s="210"/>
      <c r="Q1290" s="210"/>
      <c r="R1290" s="210"/>
      <c r="S1290" s="210"/>
      <c r="T1290" s="210"/>
      <c r="U1290" s="210"/>
      <c r="V1290" s="210"/>
      <c r="W1290" s="210"/>
      <c r="X1290" s="210"/>
      <c r="Y1290" s="210"/>
      <c r="Z1290" s="210"/>
      <c r="AA1290" s="210"/>
      <c r="AB1290" s="210"/>
      <c r="AC1290" s="210"/>
      <c r="AD1290" s="210"/>
      <c r="AE1290" s="210"/>
      <c r="AF1290" s="210"/>
      <c r="AG1290" s="210"/>
      <c r="AH1290" s="210"/>
      <c r="AI1290" s="210"/>
      <c r="AJ1290" s="210"/>
    </row>
    <row r="1291" ht="14.25" customHeight="1">
      <c r="A1291" s="210"/>
      <c r="B1291" s="210"/>
      <c r="C1291" s="210"/>
      <c r="D1291" s="210"/>
      <c r="E1291" s="210"/>
      <c r="F1291" s="210"/>
      <c r="G1291" s="210"/>
      <c r="H1291" s="210"/>
      <c r="I1291" s="210"/>
      <c r="J1291" s="210"/>
      <c r="K1291" s="210"/>
      <c r="L1291" s="210"/>
      <c r="M1291" s="210"/>
      <c r="N1291" s="210"/>
      <c r="O1291" s="210"/>
      <c r="P1291" s="210"/>
      <c r="Q1291" s="210"/>
      <c r="R1291" s="210"/>
      <c r="S1291" s="210"/>
      <c r="T1291" s="210"/>
      <c r="U1291" s="210"/>
      <c r="V1291" s="210"/>
      <c r="W1291" s="210"/>
      <c r="X1291" s="210"/>
      <c r="Y1291" s="210"/>
      <c r="Z1291" s="210"/>
      <c r="AA1291" s="210"/>
      <c r="AB1291" s="210"/>
      <c r="AC1291" s="210"/>
      <c r="AD1291" s="210"/>
      <c r="AE1291" s="210"/>
      <c r="AF1291" s="210"/>
      <c r="AG1291" s="210"/>
      <c r="AH1291" s="210"/>
      <c r="AI1291" s="210"/>
      <c r="AJ1291" s="210"/>
    </row>
    <row r="1292" ht="14.25" customHeight="1">
      <c r="A1292" s="210"/>
      <c r="B1292" s="210"/>
      <c r="C1292" s="210"/>
      <c r="D1292" s="210"/>
      <c r="E1292" s="210"/>
      <c r="F1292" s="210"/>
      <c r="G1292" s="210"/>
      <c r="H1292" s="210"/>
      <c r="I1292" s="210"/>
      <c r="J1292" s="210"/>
      <c r="K1292" s="210"/>
      <c r="L1292" s="210"/>
      <c r="M1292" s="210"/>
      <c r="N1292" s="210"/>
      <c r="O1292" s="210"/>
      <c r="P1292" s="210"/>
      <c r="Q1292" s="210"/>
      <c r="R1292" s="210"/>
      <c r="S1292" s="210"/>
      <c r="T1292" s="210"/>
      <c r="U1292" s="210"/>
      <c r="V1292" s="210"/>
      <c r="W1292" s="210"/>
      <c r="X1292" s="210"/>
      <c r="Y1292" s="210"/>
      <c r="Z1292" s="210"/>
      <c r="AA1292" s="210"/>
      <c r="AB1292" s="210"/>
      <c r="AC1292" s="210"/>
      <c r="AD1292" s="210"/>
      <c r="AE1292" s="210"/>
      <c r="AF1292" s="210"/>
      <c r="AG1292" s="210"/>
      <c r="AH1292" s="210"/>
      <c r="AI1292" s="210"/>
      <c r="AJ1292" s="210"/>
    </row>
    <row r="1293" ht="14.25" customHeight="1">
      <c r="A1293" s="210"/>
      <c r="B1293" s="210"/>
      <c r="C1293" s="210"/>
      <c r="D1293" s="210"/>
      <c r="E1293" s="210"/>
      <c r="F1293" s="210"/>
      <c r="G1293" s="210"/>
      <c r="H1293" s="210"/>
      <c r="I1293" s="210"/>
      <c r="J1293" s="210"/>
      <c r="K1293" s="210"/>
      <c r="L1293" s="210"/>
      <c r="M1293" s="210"/>
      <c r="N1293" s="210"/>
      <c r="O1293" s="210"/>
      <c r="P1293" s="210"/>
      <c r="Q1293" s="210"/>
      <c r="R1293" s="210"/>
      <c r="S1293" s="210"/>
      <c r="T1293" s="210"/>
      <c r="U1293" s="210"/>
      <c r="V1293" s="210"/>
      <c r="W1293" s="210"/>
      <c r="X1293" s="210"/>
      <c r="Y1293" s="210"/>
      <c r="Z1293" s="210"/>
      <c r="AA1293" s="210"/>
      <c r="AB1293" s="210"/>
      <c r="AC1293" s="210"/>
      <c r="AD1293" s="210"/>
      <c r="AE1293" s="210"/>
      <c r="AF1293" s="210"/>
      <c r="AG1293" s="210"/>
      <c r="AH1293" s="210"/>
      <c r="AI1293" s="210"/>
      <c r="AJ1293" s="210"/>
    </row>
    <row r="1294" ht="14.25" customHeight="1">
      <c r="A1294" s="210"/>
      <c r="B1294" s="210"/>
      <c r="C1294" s="210"/>
      <c r="D1294" s="210"/>
      <c r="E1294" s="210"/>
      <c r="F1294" s="210"/>
      <c r="G1294" s="210"/>
      <c r="H1294" s="210"/>
      <c r="I1294" s="210"/>
      <c r="J1294" s="210"/>
      <c r="K1294" s="210"/>
      <c r="L1294" s="210"/>
      <c r="M1294" s="210"/>
      <c r="N1294" s="210"/>
      <c r="O1294" s="210"/>
      <c r="P1294" s="210"/>
      <c r="Q1294" s="210"/>
      <c r="R1294" s="210"/>
      <c r="S1294" s="210"/>
      <c r="T1294" s="210"/>
      <c r="U1294" s="210"/>
      <c r="V1294" s="210"/>
      <c r="W1294" s="210"/>
      <c r="X1294" s="210"/>
      <c r="Y1294" s="210"/>
      <c r="Z1294" s="210"/>
      <c r="AA1294" s="210"/>
      <c r="AB1294" s="210"/>
      <c r="AC1294" s="210"/>
      <c r="AD1294" s="210"/>
      <c r="AE1294" s="210"/>
      <c r="AF1294" s="210"/>
      <c r="AG1294" s="210"/>
      <c r="AH1294" s="210"/>
      <c r="AI1294" s="210"/>
      <c r="AJ1294" s="210"/>
    </row>
    <row r="1295" ht="14.25" customHeight="1">
      <c r="A1295" s="210"/>
      <c r="B1295" s="210"/>
      <c r="C1295" s="210"/>
      <c r="D1295" s="210"/>
      <c r="E1295" s="210"/>
      <c r="F1295" s="210"/>
      <c r="G1295" s="210"/>
      <c r="H1295" s="210"/>
      <c r="I1295" s="210"/>
      <c r="J1295" s="210"/>
      <c r="K1295" s="210"/>
      <c r="L1295" s="210"/>
      <c r="M1295" s="210"/>
      <c r="N1295" s="210"/>
      <c r="O1295" s="210"/>
      <c r="P1295" s="210"/>
      <c r="Q1295" s="210"/>
      <c r="R1295" s="210"/>
      <c r="S1295" s="210"/>
      <c r="T1295" s="210"/>
      <c r="U1295" s="210"/>
      <c r="V1295" s="210"/>
      <c r="W1295" s="210"/>
      <c r="X1295" s="210"/>
      <c r="Y1295" s="210"/>
      <c r="Z1295" s="210"/>
      <c r="AA1295" s="210"/>
      <c r="AB1295" s="210"/>
      <c r="AC1295" s="210"/>
      <c r="AD1295" s="210"/>
      <c r="AE1295" s="210"/>
      <c r="AF1295" s="210"/>
      <c r="AG1295" s="210"/>
      <c r="AH1295" s="210"/>
      <c r="AI1295" s="210"/>
      <c r="AJ1295" s="210"/>
    </row>
    <row r="1296" ht="14.25" customHeight="1">
      <c r="A1296" s="210"/>
      <c r="B1296" s="210"/>
      <c r="C1296" s="210"/>
      <c r="D1296" s="210"/>
      <c r="E1296" s="210"/>
      <c r="F1296" s="210"/>
      <c r="G1296" s="210"/>
      <c r="H1296" s="210"/>
      <c r="I1296" s="210"/>
      <c r="J1296" s="210"/>
      <c r="K1296" s="210"/>
      <c r="L1296" s="210"/>
      <c r="M1296" s="210"/>
      <c r="N1296" s="210"/>
      <c r="O1296" s="210"/>
      <c r="P1296" s="210"/>
      <c r="Q1296" s="210"/>
      <c r="R1296" s="210"/>
      <c r="S1296" s="210"/>
      <c r="T1296" s="210"/>
      <c r="U1296" s="210"/>
      <c r="V1296" s="210"/>
      <c r="W1296" s="210"/>
      <c r="X1296" s="210"/>
      <c r="Y1296" s="210"/>
      <c r="Z1296" s="210"/>
      <c r="AA1296" s="210"/>
      <c r="AB1296" s="210"/>
      <c r="AC1296" s="210"/>
      <c r="AD1296" s="210"/>
      <c r="AE1296" s="210"/>
      <c r="AF1296" s="210"/>
      <c r="AG1296" s="210"/>
      <c r="AH1296" s="210"/>
      <c r="AI1296" s="210"/>
      <c r="AJ1296" s="210"/>
    </row>
    <row r="1297" ht="14.25" customHeight="1">
      <c r="A1297" s="210"/>
      <c r="B1297" s="210"/>
      <c r="C1297" s="210"/>
      <c r="D1297" s="210"/>
      <c r="E1297" s="210"/>
      <c r="F1297" s="210"/>
      <c r="G1297" s="210"/>
      <c r="H1297" s="210"/>
      <c r="I1297" s="210"/>
      <c r="J1297" s="210"/>
      <c r="K1297" s="210"/>
      <c r="L1297" s="210"/>
      <c r="M1297" s="210"/>
      <c r="N1297" s="210"/>
      <c r="O1297" s="210"/>
      <c r="P1297" s="210"/>
      <c r="Q1297" s="210"/>
      <c r="R1297" s="210"/>
      <c r="S1297" s="210"/>
      <c r="T1297" s="210"/>
      <c r="U1297" s="210"/>
      <c r="V1297" s="210"/>
      <c r="W1297" s="210"/>
      <c r="X1297" s="210"/>
      <c r="Y1297" s="210"/>
      <c r="Z1297" s="210"/>
      <c r="AA1297" s="210"/>
      <c r="AB1297" s="210"/>
      <c r="AC1297" s="210"/>
      <c r="AD1297" s="210"/>
      <c r="AE1297" s="210"/>
      <c r="AF1297" s="210"/>
      <c r="AG1297" s="210"/>
      <c r="AH1297" s="210"/>
      <c r="AI1297" s="210"/>
      <c r="AJ1297" s="210"/>
    </row>
    <row r="1298" ht="14.25" customHeight="1">
      <c r="A1298" s="210"/>
      <c r="B1298" s="210"/>
      <c r="C1298" s="210"/>
      <c r="D1298" s="210"/>
      <c r="E1298" s="210"/>
      <c r="F1298" s="210"/>
      <c r="G1298" s="210"/>
      <c r="H1298" s="210"/>
      <c r="I1298" s="210"/>
      <c r="J1298" s="210"/>
      <c r="K1298" s="210"/>
      <c r="L1298" s="210"/>
      <c r="M1298" s="210"/>
      <c r="N1298" s="210"/>
      <c r="O1298" s="210"/>
      <c r="P1298" s="210"/>
      <c r="Q1298" s="210"/>
      <c r="R1298" s="210"/>
      <c r="S1298" s="210"/>
      <c r="T1298" s="210"/>
      <c r="U1298" s="210"/>
      <c r="V1298" s="210"/>
      <c r="W1298" s="210"/>
      <c r="X1298" s="210"/>
      <c r="Y1298" s="210"/>
      <c r="Z1298" s="210"/>
      <c r="AA1298" s="210"/>
      <c r="AB1298" s="210"/>
      <c r="AC1298" s="210"/>
      <c r="AD1298" s="210"/>
      <c r="AE1298" s="210"/>
      <c r="AF1298" s="210"/>
      <c r="AG1298" s="210"/>
      <c r="AH1298" s="210"/>
      <c r="AI1298" s="210"/>
      <c r="AJ1298" s="210"/>
    </row>
    <row r="1299" ht="14.25" customHeight="1">
      <c r="A1299" s="210"/>
      <c r="B1299" s="210"/>
      <c r="C1299" s="210"/>
      <c r="D1299" s="210"/>
      <c r="E1299" s="210"/>
      <c r="F1299" s="210"/>
      <c r="G1299" s="210"/>
      <c r="H1299" s="210"/>
      <c r="I1299" s="210"/>
      <c r="J1299" s="210"/>
      <c r="K1299" s="210"/>
      <c r="L1299" s="210"/>
      <c r="M1299" s="210"/>
      <c r="N1299" s="210"/>
      <c r="O1299" s="210"/>
      <c r="P1299" s="210"/>
      <c r="Q1299" s="210"/>
      <c r="R1299" s="210"/>
      <c r="S1299" s="210"/>
      <c r="T1299" s="210"/>
      <c r="U1299" s="210"/>
      <c r="V1299" s="210"/>
      <c r="W1299" s="210"/>
      <c r="X1299" s="210"/>
      <c r="Y1299" s="210"/>
      <c r="Z1299" s="210"/>
      <c r="AA1299" s="210"/>
      <c r="AB1299" s="210"/>
      <c r="AC1299" s="210"/>
      <c r="AD1299" s="210"/>
      <c r="AE1299" s="210"/>
      <c r="AF1299" s="210"/>
      <c r="AG1299" s="210"/>
      <c r="AH1299" s="210"/>
      <c r="AI1299" s="210"/>
      <c r="AJ1299" s="210"/>
    </row>
    <row r="1300" ht="14.25" customHeight="1">
      <c r="A1300" s="210"/>
      <c r="B1300" s="210"/>
      <c r="C1300" s="210"/>
      <c r="D1300" s="210"/>
      <c r="E1300" s="210"/>
      <c r="F1300" s="210"/>
      <c r="G1300" s="210"/>
      <c r="H1300" s="210"/>
      <c r="I1300" s="210"/>
      <c r="J1300" s="210"/>
      <c r="K1300" s="210"/>
      <c r="L1300" s="210"/>
      <c r="M1300" s="210"/>
      <c r="N1300" s="210"/>
      <c r="O1300" s="210"/>
      <c r="P1300" s="210"/>
      <c r="Q1300" s="210"/>
      <c r="R1300" s="210"/>
      <c r="S1300" s="210"/>
      <c r="T1300" s="210"/>
      <c r="U1300" s="210"/>
      <c r="V1300" s="210"/>
      <c r="W1300" s="210"/>
      <c r="X1300" s="210"/>
      <c r="Y1300" s="210"/>
      <c r="Z1300" s="210"/>
      <c r="AA1300" s="210"/>
      <c r="AB1300" s="210"/>
      <c r="AC1300" s="210"/>
      <c r="AD1300" s="210"/>
      <c r="AE1300" s="210"/>
      <c r="AF1300" s="210"/>
      <c r="AG1300" s="210"/>
      <c r="AH1300" s="210"/>
      <c r="AI1300" s="210"/>
      <c r="AJ1300" s="210"/>
    </row>
    <row r="1301" ht="14.25" customHeight="1">
      <c r="A1301" s="210"/>
      <c r="B1301" s="210"/>
      <c r="C1301" s="210"/>
      <c r="D1301" s="210"/>
      <c r="E1301" s="210"/>
      <c r="F1301" s="210"/>
      <c r="G1301" s="210"/>
      <c r="H1301" s="210"/>
      <c r="I1301" s="210"/>
      <c r="J1301" s="210"/>
      <c r="K1301" s="210"/>
      <c r="L1301" s="210"/>
      <c r="M1301" s="210"/>
      <c r="N1301" s="210"/>
      <c r="O1301" s="210"/>
      <c r="P1301" s="210"/>
      <c r="Q1301" s="210"/>
      <c r="R1301" s="210"/>
      <c r="S1301" s="210"/>
      <c r="T1301" s="210"/>
      <c r="U1301" s="210"/>
      <c r="V1301" s="210"/>
      <c r="W1301" s="210"/>
      <c r="X1301" s="210"/>
      <c r="Y1301" s="210"/>
      <c r="Z1301" s="210"/>
      <c r="AA1301" s="210"/>
      <c r="AB1301" s="210"/>
      <c r="AC1301" s="210"/>
      <c r="AD1301" s="210"/>
      <c r="AE1301" s="210"/>
      <c r="AF1301" s="210"/>
      <c r="AG1301" s="210"/>
      <c r="AH1301" s="210"/>
      <c r="AI1301" s="210"/>
      <c r="AJ1301" s="210"/>
    </row>
    <row r="1302" ht="14.25" customHeight="1">
      <c r="A1302" s="210"/>
      <c r="B1302" s="210"/>
      <c r="C1302" s="210"/>
      <c r="D1302" s="210"/>
      <c r="E1302" s="210"/>
      <c r="F1302" s="210"/>
      <c r="G1302" s="210"/>
      <c r="H1302" s="210"/>
      <c r="I1302" s="210"/>
      <c r="J1302" s="210"/>
      <c r="K1302" s="210"/>
      <c r="L1302" s="210"/>
      <c r="M1302" s="210"/>
      <c r="N1302" s="210"/>
      <c r="O1302" s="210"/>
      <c r="P1302" s="210"/>
      <c r="Q1302" s="210"/>
      <c r="R1302" s="210"/>
      <c r="S1302" s="210"/>
      <c r="T1302" s="210"/>
      <c r="U1302" s="210"/>
      <c r="V1302" s="210"/>
      <c r="W1302" s="210"/>
      <c r="X1302" s="210"/>
      <c r="Y1302" s="210"/>
      <c r="Z1302" s="210"/>
      <c r="AA1302" s="210"/>
      <c r="AB1302" s="210"/>
      <c r="AC1302" s="210"/>
      <c r="AD1302" s="210"/>
      <c r="AE1302" s="210"/>
      <c r="AF1302" s="210"/>
      <c r="AG1302" s="210"/>
      <c r="AH1302" s="210"/>
      <c r="AI1302" s="210"/>
      <c r="AJ1302" s="210"/>
    </row>
    <row r="1303" ht="14.25" customHeight="1">
      <c r="A1303" s="210"/>
      <c r="B1303" s="210"/>
      <c r="C1303" s="210"/>
      <c r="D1303" s="210"/>
      <c r="E1303" s="210"/>
      <c r="F1303" s="210"/>
      <c r="G1303" s="210"/>
      <c r="H1303" s="210"/>
      <c r="I1303" s="210"/>
      <c r="J1303" s="210"/>
      <c r="K1303" s="210"/>
      <c r="L1303" s="210"/>
      <c r="M1303" s="210"/>
      <c r="N1303" s="210"/>
      <c r="O1303" s="210"/>
      <c r="P1303" s="210"/>
      <c r="Q1303" s="210"/>
      <c r="R1303" s="210"/>
      <c r="S1303" s="210"/>
      <c r="T1303" s="210"/>
      <c r="U1303" s="210"/>
      <c r="V1303" s="210"/>
      <c r="W1303" s="210"/>
      <c r="X1303" s="210"/>
      <c r="Y1303" s="210"/>
      <c r="Z1303" s="210"/>
      <c r="AA1303" s="210"/>
      <c r="AB1303" s="210"/>
      <c r="AC1303" s="210"/>
      <c r="AD1303" s="210"/>
      <c r="AE1303" s="210"/>
      <c r="AF1303" s="210"/>
      <c r="AG1303" s="210"/>
      <c r="AH1303" s="210"/>
      <c r="AI1303" s="210"/>
      <c r="AJ1303" s="210"/>
    </row>
    <row r="1304" ht="14.25" customHeight="1">
      <c r="A1304" s="210"/>
      <c r="B1304" s="210"/>
      <c r="C1304" s="210"/>
      <c r="D1304" s="210"/>
      <c r="E1304" s="210"/>
      <c r="F1304" s="210"/>
      <c r="G1304" s="210"/>
      <c r="H1304" s="210"/>
      <c r="I1304" s="210"/>
      <c r="J1304" s="210"/>
      <c r="K1304" s="210"/>
      <c r="L1304" s="210"/>
      <c r="M1304" s="210"/>
      <c r="N1304" s="210"/>
      <c r="O1304" s="210"/>
      <c r="P1304" s="210"/>
      <c r="Q1304" s="210"/>
      <c r="R1304" s="210"/>
      <c r="S1304" s="210"/>
      <c r="T1304" s="210"/>
      <c r="U1304" s="210"/>
      <c r="V1304" s="210"/>
      <c r="W1304" s="210"/>
      <c r="X1304" s="210"/>
      <c r="Y1304" s="210"/>
      <c r="Z1304" s="210"/>
      <c r="AA1304" s="210"/>
      <c r="AB1304" s="210"/>
      <c r="AC1304" s="210"/>
      <c r="AD1304" s="210"/>
      <c r="AE1304" s="210"/>
      <c r="AF1304" s="210"/>
      <c r="AG1304" s="210"/>
      <c r="AH1304" s="210"/>
      <c r="AI1304" s="210"/>
      <c r="AJ1304" s="210"/>
    </row>
    <row r="1305" ht="14.25" customHeight="1">
      <c r="A1305" s="210"/>
      <c r="B1305" s="210"/>
      <c r="C1305" s="210"/>
      <c r="D1305" s="210"/>
      <c r="E1305" s="210"/>
      <c r="F1305" s="210"/>
      <c r="G1305" s="210"/>
      <c r="H1305" s="210"/>
      <c r="I1305" s="210"/>
      <c r="J1305" s="210"/>
      <c r="K1305" s="210"/>
      <c r="L1305" s="210"/>
      <c r="M1305" s="210"/>
      <c r="N1305" s="210"/>
      <c r="O1305" s="210"/>
      <c r="P1305" s="210"/>
      <c r="Q1305" s="210"/>
      <c r="R1305" s="210"/>
      <c r="S1305" s="210"/>
      <c r="T1305" s="210"/>
      <c r="U1305" s="210"/>
      <c r="V1305" s="210"/>
      <c r="W1305" s="210"/>
      <c r="X1305" s="210"/>
      <c r="Y1305" s="210"/>
      <c r="Z1305" s="210"/>
      <c r="AA1305" s="210"/>
      <c r="AB1305" s="210"/>
      <c r="AC1305" s="210"/>
      <c r="AD1305" s="210"/>
      <c r="AE1305" s="210"/>
      <c r="AF1305" s="210"/>
      <c r="AG1305" s="210"/>
      <c r="AH1305" s="210"/>
      <c r="AI1305" s="210"/>
      <c r="AJ1305" s="210"/>
    </row>
    <row r="1306" ht="14.25" customHeight="1">
      <c r="A1306" s="210"/>
      <c r="B1306" s="210"/>
      <c r="C1306" s="210"/>
      <c r="D1306" s="210"/>
      <c r="E1306" s="210"/>
      <c r="F1306" s="210"/>
      <c r="G1306" s="210"/>
      <c r="H1306" s="210"/>
      <c r="I1306" s="210"/>
      <c r="J1306" s="210"/>
      <c r="K1306" s="210"/>
      <c r="L1306" s="210"/>
      <c r="M1306" s="210"/>
      <c r="N1306" s="210"/>
      <c r="O1306" s="210"/>
      <c r="P1306" s="210"/>
      <c r="Q1306" s="210"/>
      <c r="R1306" s="210"/>
      <c r="S1306" s="210"/>
      <c r="T1306" s="210"/>
      <c r="U1306" s="210"/>
      <c r="V1306" s="210"/>
      <c r="W1306" s="210"/>
      <c r="X1306" s="210"/>
      <c r="Y1306" s="210"/>
      <c r="Z1306" s="210"/>
      <c r="AA1306" s="210"/>
      <c r="AB1306" s="210"/>
      <c r="AC1306" s="210"/>
      <c r="AD1306" s="210"/>
      <c r="AE1306" s="210"/>
      <c r="AF1306" s="210"/>
      <c r="AG1306" s="210"/>
      <c r="AH1306" s="210"/>
      <c r="AI1306" s="210"/>
      <c r="AJ1306" s="210"/>
    </row>
    <row r="1307" ht="14.25" customHeight="1">
      <c r="A1307" s="210"/>
      <c r="B1307" s="210"/>
      <c r="C1307" s="210"/>
      <c r="D1307" s="210"/>
      <c r="E1307" s="210"/>
      <c r="F1307" s="210"/>
      <c r="G1307" s="210"/>
      <c r="H1307" s="210"/>
      <c r="I1307" s="210"/>
      <c r="J1307" s="210"/>
      <c r="K1307" s="210"/>
      <c r="L1307" s="210"/>
      <c r="M1307" s="210"/>
      <c r="N1307" s="210"/>
      <c r="O1307" s="210"/>
      <c r="P1307" s="210"/>
      <c r="Q1307" s="210"/>
      <c r="R1307" s="210"/>
      <c r="S1307" s="210"/>
      <c r="T1307" s="210"/>
      <c r="U1307" s="210"/>
      <c r="V1307" s="210"/>
      <c r="W1307" s="210"/>
      <c r="X1307" s="210"/>
      <c r="Y1307" s="210"/>
      <c r="Z1307" s="210"/>
      <c r="AA1307" s="210"/>
      <c r="AB1307" s="210"/>
      <c r="AC1307" s="210"/>
      <c r="AD1307" s="210"/>
      <c r="AE1307" s="210"/>
      <c r="AF1307" s="210"/>
      <c r="AG1307" s="210"/>
      <c r="AH1307" s="210"/>
      <c r="AI1307" s="210"/>
      <c r="AJ1307" s="210"/>
    </row>
    <row r="1308" ht="14.25" customHeight="1">
      <c r="A1308" s="210"/>
      <c r="B1308" s="210"/>
      <c r="C1308" s="210"/>
      <c r="D1308" s="210"/>
      <c r="E1308" s="210"/>
      <c r="F1308" s="210"/>
      <c r="G1308" s="210"/>
      <c r="H1308" s="210"/>
      <c r="I1308" s="210"/>
      <c r="J1308" s="210"/>
      <c r="K1308" s="210"/>
      <c r="L1308" s="210"/>
      <c r="M1308" s="210"/>
      <c r="N1308" s="210"/>
      <c r="O1308" s="210"/>
      <c r="P1308" s="210"/>
      <c r="Q1308" s="210"/>
      <c r="R1308" s="210"/>
      <c r="S1308" s="210"/>
      <c r="T1308" s="210"/>
      <c r="U1308" s="210"/>
      <c r="V1308" s="210"/>
      <c r="W1308" s="210"/>
      <c r="X1308" s="210"/>
      <c r="Y1308" s="210"/>
      <c r="Z1308" s="210"/>
      <c r="AA1308" s="210"/>
      <c r="AB1308" s="210"/>
      <c r="AC1308" s="210"/>
      <c r="AD1308" s="210"/>
      <c r="AE1308" s="210"/>
      <c r="AF1308" s="210"/>
      <c r="AG1308" s="210"/>
      <c r="AH1308" s="210"/>
      <c r="AI1308" s="210"/>
      <c r="AJ1308" s="210"/>
    </row>
    <row r="1309" ht="14.25" customHeight="1">
      <c r="A1309" s="210"/>
      <c r="B1309" s="210"/>
      <c r="C1309" s="210"/>
      <c r="D1309" s="210"/>
      <c r="E1309" s="210"/>
      <c r="F1309" s="210"/>
      <c r="G1309" s="210"/>
      <c r="H1309" s="210"/>
      <c r="I1309" s="210"/>
      <c r="J1309" s="210"/>
      <c r="K1309" s="210"/>
      <c r="L1309" s="210"/>
      <c r="M1309" s="210"/>
      <c r="N1309" s="210"/>
      <c r="O1309" s="210"/>
      <c r="P1309" s="210"/>
      <c r="Q1309" s="210"/>
      <c r="R1309" s="210"/>
      <c r="S1309" s="210"/>
      <c r="T1309" s="210"/>
      <c r="U1309" s="210"/>
      <c r="V1309" s="210"/>
      <c r="W1309" s="210"/>
      <c r="X1309" s="210"/>
      <c r="Y1309" s="210"/>
      <c r="Z1309" s="210"/>
      <c r="AA1309" s="210"/>
      <c r="AB1309" s="210"/>
      <c r="AC1309" s="210"/>
      <c r="AD1309" s="210"/>
      <c r="AE1309" s="210"/>
      <c r="AF1309" s="210"/>
      <c r="AG1309" s="210"/>
      <c r="AH1309" s="210"/>
      <c r="AI1309" s="210"/>
      <c r="AJ1309" s="210"/>
    </row>
    <row r="1310" ht="14.25" customHeight="1">
      <c r="A1310" s="210"/>
      <c r="B1310" s="210"/>
      <c r="C1310" s="210"/>
      <c r="D1310" s="210"/>
      <c r="E1310" s="210"/>
      <c r="F1310" s="210"/>
      <c r="G1310" s="210"/>
      <c r="H1310" s="210"/>
      <c r="I1310" s="210"/>
      <c r="J1310" s="210"/>
      <c r="K1310" s="210"/>
      <c r="L1310" s="210"/>
      <c r="M1310" s="210"/>
      <c r="N1310" s="210"/>
      <c r="O1310" s="210"/>
      <c r="P1310" s="210"/>
      <c r="Q1310" s="210"/>
      <c r="R1310" s="210"/>
      <c r="S1310" s="210"/>
      <c r="T1310" s="210"/>
      <c r="U1310" s="210"/>
      <c r="V1310" s="210"/>
      <c r="W1310" s="210"/>
      <c r="X1310" s="210"/>
      <c r="Y1310" s="210"/>
      <c r="Z1310" s="210"/>
      <c r="AA1310" s="210"/>
      <c r="AB1310" s="210"/>
      <c r="AC1310" s="210"/>
      <c r="AD1310" s="210"/>
      <c r="AE1310" s="210"/>
      <c r="AF1310" s="210"/>
      <c r="AG1310" s="210"/>
      <c r="AH1310" s="210"/>
      <c r="AI1310" s="210"/>
      <c r="AJ1310" s="210"/>
    </row>
    <row r="1311" ht="14.25" customHeight="1">
      <c r="A1311" s="210"/>
      <c r="B1311" s="210"/>
      <c r="C1311" s="210"/>
      <c r="D1311" s="210"/>
      <c r="E1311" s="210"/>
      <c r="F1311" s="210"/>
      <c r="G1311" s="210"/>
      <c r="H1311" s="210"/>
      <c r="I1311" s="210"/>
      <c r="J1311" s="210"/>
      <c r="K1311" s="210"/>
      <c r="L1311" s="210"/>
      <c r="M1311" s="210"/>
      <c r="N1311" s="210"/>
      <c r="O1311" s="210"/>
      <c r="P1311" s="210"/>
      <c r="Q1311" s="210"/>
      <c r="R1311" s="210"/>
      <c r="S1311" s="210"/>
      <c r="T1311" s="210"/>
      <c r="U1311" s="210"/>
      <c r="V1311" s="210"/>
      <c r="W1311" s="210"/>
      <c r="X1311" s="210"/>
      <c r="Y1311" s="210"/>
      <c r="Z1311" s="210"/>
      <c r="AA1311" s="210"/>
      <c r="AB1311" s="210"/>
      <c r="AC1311" s="210"/>
      <c r="AD1311" s="210"/>
      <c r="AE1311" s="210"/>
      <c r="AF1311" s="210"/>
      <c r="AG1311" s="210"/>
      <c r="AH1311" s="210"/>
      <c r="AI1311" s="210"/>
      <c r="AJ1311" s="210"/>
    </row>
    <row r="1312" ht="14.25" customHeight="1">
      <c r="A1312" s="210"/>
      <c r="B1312" s="210"/>
      <c r="C1312" s="210"/>
      <c r="D1312" s="210"/>
      <c r="E1312" s="210"/>
      <c r="F1312" s="210"/>
      <c r="G1312" s="210"/>
      <c r="H1312" s="210"/>
      <c r="I1312" s="210"/>
      <c r="J1312" s="210"/>
      <c r="K1312" s="210"/>
      <c r="L1312" s="210"/>
      <c r="M1312" s="210"/>
      <c r="N1312" s="210"/>
      <c r="O1312" s="210"/>
      <c r="P1312" s="210"/>
      <c r="Q1312" s="210"/>
      <c r="R1312" s="210"/>
      <c r="S1312" s="210"/>
      <c r="T1312" s="210"/>
      <c r="U1312" s="210"/>
      <c r="V1312" s="210"/>
      <c r="W1312" s="210"/>
      <c r="X1312" s="210"/>
      <c r="Y1312" s="210"/>
      <c r="Z1312" s="210"/>
      <c r="AA1312" s="210"/>
      <c r="AB1312" s="210"/>
      <c r="AC1312" s="210"/>
      <c r="AD1312" s="210"/>
      <c r="AE1312" s="210"/>
      <c r="AF1312" s="210"/>
      <c r="AG1312" s="210"/>
      <c r="AH1312" s="210"/>
      <c r="AI1312" s="210"/>
      <c r="AJ1312" s="210"/>
    </row>
    <row r="1313" ht="14.25" customHeight="1">
      <c r="A1313" s="210"/>
      <c r="B1313" s="210"/>
      <c r="C1313" s="210"/>
      <c r="D1313" s="210"/>
      <c r="E1313" s="210"/>
      <c r="F1313" s="210"/>
      <c r="G1313" s="210"/>
      <c r="H1313" s="210"/>
      <c r="I1313" s="210"/>
      <c r="J1313" s="210"/>
      <c r="K1313" s="210"/>
      <c r="L1313" s="210"/>
      <c r="M1313" s="210"/>
      <c r="N1313" s="210"/>
      <c r="O1313" s="210"/>
      <c r="P1313" s="210"/>
      <c r="Q1313" s="210"/>
      <c r="R1313" s="210"/>
      <c r="S1313" s="210"/>
      <c r="T1313" s="210"/>
      <c r="U1313" s="210"/>
      <c r="V1313" s="210"/>
      <c r="W1313" s="210"/>
      <c r="X1313" s="210"/>
      <c r="Y1313" s="210"/>
      <c r="Z1313" s="210"/>
      <c r="AA1313" s="210"/>
      <c r="AB1313" s="210"/>
      <c r="AC1313" s="210"/>
      <c r="AD1313" s="210"/>
      <c r="AE1313" s="210"/>
      <c r="AF1313" s="210"/>
      <c r="AG1313" s="210"/>
      <c r="AH1313" s="210"/>
      <c r="AI1313" s="210"/>
      <c r="AJ1313" s="210"/>
    </row>
    <row r="1314" ht="14.25" customHeight="1">
      <c r="A1314" s="210"/>
      <c r="B1314" s="210"/>
      <c r="C1314" s="210"/>
      <c r="D1314" s="210"/>
      <c r="E1314" s="210"/>
      <c r="F1314" s="210"/>
      <c r="G1314" s="210"/>
      <c r="H1314" s="210"/>
      <c r="I1314" s="210"/>
      <c r="J1314" s="210"/>
      <c r="K1314" s="210"/>
      <c r="L1314" s="210"/>
      <c r="M1314" s="210"/>
      <c r="N1314" s="210"/>
      <c r="O1314" s="210"/>
      <c r="P1314" s="210"/>
      <c r="Q1314" s="210"/>
      <c r="R1314" s="210"/>
      <c r="S1314" s="210"/>
      <c r="T1314" s="210"/>
      <c r="U1314" s="210"/>
      <c r="V1314" s="210"/>
      <c r="W1314" s="210"/>
      <c r="X1314" s="210"/>
      <c r="Y1314" s="210"/>
      <c r="Z1314" s="210"/>
      <c r="AA1314" s="210"/>
      <c r="AB1314" s="210"/>
      <c r="AC1314" s="210"/>
      <c r="AD1314" s="210"/>
      <c r="AE1314" s="210"/>
      <c r="AF1314" s="210"/>
      <c r="AG1314" s="210"/>
      <c r="AH1314" s="210"/>
      <c r="AI1314" s="210"/>
      <c r="AJ1314" s="210"/>
    </row>
    <row r="1315" ht="14.25" customHeight="1">
      <c r="A1315" s="210"/>
      <c r="B1315" s="210"/>
      <c r="C1315" s="210"/>
      <c r="D1315" s="210"/>
      <c r="E1315" s="210"/>
      <c r="F1315" s="210"/>
      <c r="G1315" s="210"/>
      <c r="H1315" s="210"/>
      <c r="I1315" s="210"/>
      <c r="J1315" s="210"/>
      <c r="K1315" s="210"/>
      <c r="L1315" s="210"/>
      <c r="M1315" s="210"/>
      <c r="N1315" s="210"/>
      <c r="O1315" s="210"/>
      <c r="P1315" s="210"/>
      <c r="Q1315" s="210"/>
      <c r="R1315" s="210"/>
      <c r="S1315" s="210"/>
      <c r="T1315" s="210"/>
      <c r="U1315" s="210"/>
      <c r="V1315" s="210"/>
      <c r="W1315" s="210"/>
      <c r="X1315" s="210"/>
      <c r="Y1315" s="210"/>
      <c r="Z1315" s="210"/>
      <c r="AA1315" s="210"/>
      <c r="AB1315" s="210"/>
      <c r="AC1315" s="210"/>
      <c r="AD1315" s="210"/>
      <c r="AE1315" s="210"/>
      <c r="AF1315" s="210"/>
      <c r="AG1315" s="210"/>
      <c r="AH1315" s="210"/>
      <c r="AI1315" s="210"/>
      <c r="AJ1315" s="210"/>
    </row>
    <row r="1316" ht="14.25" customHeight="1">
      <c r="A1316" s="210"/>
      <c r="B1316" s="210"/>
      <c r="C1316" s="210"/>
      <c r="D1316" s="210"/>
      <c r="E1316" s="210"/>
      <c r="F1316" s="210"/>
      <c r="G1316" s="210"/>
      <c r="H1316" s="210"/>
      <c r="I1316" s="210"/>
      <c r="J1316" s="210"/>
      <c r="K1316" s="210"/>
      <c r="L1316" s="210"/>
      <c r="M1316" s="210"/>
      <c r="N1316" s="210"/>
      <c r="O1316" s="210"/>
      <c r="P1316" s="210"/>
      <c r="Q1316" s="210"/>
      <c r="R1316" s="210"/>
      <c r="S1316" s="210"/>
      <c r="T1316" s="210"/>
      <c r="U1316" s="210"/>
      <c r="V1316" s="210"/>
      <c r="W1316" s="210"/>
      <c r="X1316" s="210"/>
      <c r="Y1316" s="210"/>
      <c r="Z1316" s="210"/>
      <c r="AA1316" s="210"/>
      <c r="AB1316" s="210"/>
      <c r="AC1316" s="210"/>
      <c r="AD1316" s="210"/>
      <c r="AE1316" s="210"/>
      <c r="AF1316" s="210"/>
      <c r="AG1316" s="210"/>
      <c r="AH1316" s="210"/>
      <c r="AI1316" s="210"/>
      <c r="AJ1316" s="210"/>
    </row>
    <row r="1317" ht="14.25" customHeight="1">
      <c r="A1317" s="210"/>
      <c r="B1317" s="210"/>
      <c r="C1317" s="210"/>
      <c r="D1317" s="210"/>
      <c r="E1317" s="210"/>
      <c r="F1317" s="210"/>
      <c r="G1317" s="210"/>
      <c r="H1317" s="210"/>
      <c r="I1317" s="210"/>
      <c r="J1317" s="210"/>
      <c r="K1317" s="210"/>
      <c r="L1317" s="210"/>
      <c r="M1317" s="210"/>
      <c r="N1317" s="210"/>
      <c r="O1317" s="210"/>
      <c r="P1317" s="210"/>
      <c r="Q1317" s="210"/>
      <c r="R1317" s="210"/>
      <c r="S1317" s="210"/>
      <c r="T1317" s="210"/>
      <c r="U1317" s="210"/>
      <c r="V1317" s="210"/>
      <c r="W1317" s="210"/>
      <c r="X1317" s="210"/>
      <c r="Y1317" s="210"/>
      <c r="Z1317" s="210"/>
      <c r="AA1317" s="210"/>
      <c r="AB1317" s="210"/>
      <c r="AC1317" s="210"/>
      <c r="AD1317" s="210"/>
      <c r="AE1317" s="210"/>
      <c r="AF1317" s="210"/>
      <c r="AG1317" s="210"/>
      <c r="AH1317" s="210"/>
      <c r="AI1317" s="210"/>
      <c r="AJ1317" s="210"/>
    </row>
    <row r="1318" ht="14.25" customHeight="1">
      <c r="A1318" s="210"/>
      <c r="B1318" s="210"/>
      <c r="C1318" s="210"/>
      <c r="D1318" s="210"/>
      <c r="E1318" s="210"/>
      <c r="F1318" s="210"/>
      <c r="G1318" s="210"/>
      <c r="H1318" s="210"/>
      <c r="I1318" s="210"/>
      <c r="J1318" s="210"/>
      <c r="K1318" s="210"/>
      <c r="L1318" s="210"/>
      <c r="M1318" s="210"/>
      <c r="N1318" s="210"/>
      <c r="O1318" s="210"/>
      <c r="P1318" s="210"/>
      <c r="Q1318" s="210"/>
      <c r="R1318" s="210"/>
      <c r="S1318" s="210"/>
      <c r="T1318" s="210"/>
      <c r="U1318" s="210"/>
      <c r="V1318" s="210"/>
      <c r="W1318" s="210"/>
      <c r="X1318" s="210"/>
      <c r="Y1318" s="210"/>
      <c r="Z1318" s="210"/>
      <c r="AA1318" s="210"/>
      <c r="AB1318" s="210"/>
      <c r="AC1318" s="210"/>
      <c r="AD1318" s="210"/>
      <c r="AE1318" s="210"/>
      <c r="AF1318" s="210"/>
      <c r="AG1318" s="210"/>
      <c r="AH1318" s="210"/>
      <c r="AI1318" s="210"/>
      <c r="AJ1318" s="210"/>
    </row>
    <row r="1319" ht="14.25" customHeight="1">
      <c r="A1319" s="210"/>
      <c r="B1319" s="210"/>
      <c r="C1319" s="210"/>
      <c r="D1319" s="210"/>
      <c r="E1319" s="210"/>
      <c r="F1319" s="210"/>
      <c r="G1319" s="210"/>
      <c r="H1319" s="210"/>
      <c r="I1319" s="210"/>
      <c r="J1319" s="210"/>
      <c r="K1319" s="210"/>
      <c r="L1319" s="210"/>
      <c r="M1319" s="210"/>
      <c r="N1319" s="210"/>
      <c r="O1319" s="210"/>
      <c r="P1319" s="210"/>
      <c r="Q1319" s="210"/>
      <c r="R1319" s="210"/>
      <c r="S1319" s="210"/>
      <c r="T1319" s="210"/>
      <c r="U1319" s="210"/>
      <c r="V1319" s="210"/>
      <c r="W1319" s="210"/>
      <c r="X1319" s="210"/>
      <c r="Y1319" s="210"/>
      <c r="Z1319" s="210"/>
      <c r="AA1319" s="210"/>
      <c r="AB1319" s="210"/>
      <c r="AC1319" s="210"/>
      <c r="AD1319" s="210"/>
      <c r="AE1319" s="210"/>
      <c r="AF1319" s="210"/>
      <c r="AG1319" s="210"/>
      <c r="AH1319" s="210"/>
      <c r="AI1319" s="210"/>
      <c r="AJ1319" s="210"/>
    </row>
    <row r="1320" ht="14.25" customHeight="1">
      <c r="A1320" s="210"/>
      <c r="B1320" s="210"/>
      <c r="C1320" s="210"/>
      <c r="D1320" s="210"/>
      <c r="E1320" s="210"/>
      <c r="F1320" s="210"/>
      <c r="G1320" s="210"/>
      <c r="H1320" s="210"/>
      <c r="I1320" s="210"/>
      <c r="J1320" s="210"/>
      <c r="K1320" s="210"/>
      <c r="L1320" s="210"/>
      <c r="M1320" s="210"/>
      <c r="N1320" s="210"/>
      <c r="O1320" s="210"/>
      <c r="P1320" s="210"/>
      <c r="Q1320" s="210"/>
      <c r="R1320" s="210"/>
      <c r="S1320" s="210"/>
      <c r="T1320" s="210"/>
      <c r="U1320" s="210"/>
      <c r="V1320" s="210"/>
      <c r="W1320" s="210"/>
      <c r="X1320" s="210"/>
      <c r="Y1320" s="210"/>
      <c r="Z1320" s="210"/>
      <c r="AA1320" s="210"/>
      <c r="AB1320" s="210"/>
      <c r="AC1320" s="210"/>
      <c r="AD1320" s="210"/>
      <c r="AE1320" s="210"/>
      <c r="AF1320" s="210"/>
      <c r="AG1320" s="210"/>
      <c r="AH1320" s="210"/>
      <c r="AI1320" s="210"/>
      <c r="AJ1320" s="210"/>
    </row>
    <row r="1321" ht="14.25" customHeight="1">
      <c r="A1321" s="210"/>
      <c r="B1321" s="210"/>
      <c r="C1321" s="210"/>
      <c r="D1321" s="210"/>
      <c r="E1321" s="210"/>
      <c r="F1321" s="210"/>
      <c r="G1321" s="210"/>
      <c r="H1321" s="210"/>
      <c r="I1321" s="210"/>
      <c r="J1321" s="210"/>
      <c r="K1321" s="210"/>
      <c r="L1321" s="210"/>
      <c r="M1321" s="210"/>
      <c r="N1321" s="210"/>
      <c r="O1321" s="210"/>
      <c r="P1321" s="210"/>
      <c r="Q1321" s="210"/>
      <c r="R1321" s="210"/>
      <c r="S1321" s="210"/>
      <c r="T1321" s="210"/>
      <c r="U1321" s="210"/>
      <c r="V1321" s="210"/>
      <c r="W1321" s="210"/>
      <c r="X1321" s="210"/>
      <c r="Y1321" s="210"/>
      <c r="Z1321" s="210"/>
      <c r="AA1321" s="210"/>
      <c r="AB1321" s="210"/>
      <c r="AC1321" s="210"/>
      <c r="AD1321" s="210"/>
      <c r="AE1321" s="210"/>
      <c r="AF1321" s="210"/>
      <c r="AG1321" s="210"/>
      <c r="AH1321" s="210"/>
      <c r="AI1321" s="210"/>
      <c r="AJ1321" s="210"/>
    </row>
    <row r="1322" ht="14.25" customHeight="1">
      <c r="A1322" s="210"/>
      <c r="B1322" s="210"/>
      <c r="C1322" s="210"/>
      <c r="D1322" s="210"/>
      <c r="E1322" s="210"/>
      <c r="F1322" s="210"/>
      <c r="G1322" s="210"/>
      <c r="H1322" s="210"/>
      <c r="I1322" s="210"/>
      <c r="J1322" s="210"/>
      <c r="K1322" s="210"/>
      <c r="L1322" s="210"/>
      <c r="M1322" s="210"/>
      <c r="N1322" s="210"/>
      <c r="O1322" s="210"/>
      <c r="P1322" s="210"/>
      <c r="Q1322" s="210"/>
      <c r="R1322" s="210"/>
      <c r="S1322" s="210"/>
      <c r="T1322" s="210"/>
      <c r="U1322" s="210"/>
      <c r="V1322" s="210"/>
      <c r="W1322" s="210"/>
      <c r="X1322" s="210"/>
      <c r="Y1322" s="210"/>
      <c r="Z1322" s="210"/>
      <c r="AA1322" s="210"/>
      <c r="AB1322" s="210"/>
      <c r="AC1322" s="210"/>
      <c r="AD1322" s="210"/>
      <c r="AE1322" s="210"/>
      <c r="AF1322" s="210"/>
      <c r="AG1322" s="210"/>
      <c r="AH1322" s="210"/>
      <c r="AI1322" s="210"/>
      <c r="AJ1322" s="210"/>
    </row>
    <row r="1323" ht="14.25" customHeight="1">
      <c r="A1323" s="210"/>
      <c r="B1323" s="210"/>
      <c r="C1323" s="210"/>
      <c r="D1323" s="210"/>
      <c r="E1323" s="210"/>
      <c r="F1323" s="210"/>
      <c r="G1323" s="210"/>
      <c r="H1323" s="210"/>
      <c r="I1323" s="210"/>
      <c r="J1323" s="210"/>
      <c r="K1323" s="210"/>
      <c r="L1323" s="210"/>
      <c r="M1323" s="210"/>
      <c r="N1323" s="210"/>
      <c r="O1323" s="210"/>
      <c r="P1323" s="210"/>
      <c r="Q1323" s="210"/>
      <c r="R1323" s="210"/>
      <c r="S1323" s="210"/>
      <c r="T1323" s="210"/>
      <c r="U1323" s="210"/>
      <c r="V1323" s="210"/>
      <c r="W1323" s="210"/>
      <c r="X1323" s="210"/>
      <c r="Y1323" s="210"/>
      <c r="Z1323" s="210"/>
      <c r="AA1323" s="210"/>
      <c r="AB1323" s="210"/>
      <c r="AC1323" s="210"/>
      <c r="AD1323" s="210"/>
      <c r="AE1323" s="210"/>
      <c r="AF1323" s="210"/>
      <c r="AG1323" s="210"/>
      <c r="AH1323" s="210"/>
      <c r="AI1323" s="210"/>
      <c r="AJ1323" s="210"/>
    </row>
    <row r="1324" ht="14.25" customHeight="1">
      <c r="A1324" s="210"/>
      <c r="B1324" s="210"/>
      <c r="C1324" s="210"/>
      <c r="D1324" s="210"/>
      <c r="E1324" s="210"/>
      <c r="F1324" s="210"/>
      <c r="G1324" s="210"/>
      <c r="H1324" s="210"/>
      <c r="I1324" s="210"/>
      <c r="J1324" s="210"/>
      <c r="K1324" s="210"/>
      <c r="L1324" s="210"/>
      <c r="M1324" s="210"/>
      <c r="N1324" s="210"/>
      <c r="O1324" s="210"/>
      <c r="P1324" s="210"/>
      <c r="Q1324" s="210"/>
      <c r="R1324" s="210"/>
      <c r="S1324" s="210"/>
      <c r="T1324" s="210"/>
      <c r="U1324" s="210"/>
      <c r="V1324" s="210"/>
      <c r="W1324" s="210"/>
      <c r="X1324" s="210"/>
      <c r="Y1324" s="210"/>
      <c r="Z1324" s="210"/>
      <c r="AA1324" s="210"/>
      <c r="AB1324" s="210"/>
      <c r="AC1324" s="210"/>
      <c r="AD1324" s="210"/>
      <c r="AE1324" s="210"/>
      <c r="AF1324" s="210"/>
      <c r="AG1324" s="210"/>
      <c r="AH1324" s="210"/>
      <c r="AI1324" s="210"/>
      <c r="AJ1324" s="210"/>
    </row>
    <row r="1325" ht="14.25" customHeight="1">
      <c r="A1325" s="210"/>
      <c r="B1325" s="210"/>
      <c r="C1325" s="210"/>
      <c r="D1325" s="210"/>
      <c r="E1325" s="210"/>
      <c r="F1325" s="210"/>
      <c r="G1325" s="210"/>
      <c r="H1325" s="210"/>
      <c r="I1325" s="210"/>
      <c r="J1325" s="210"/>
      <c r="K1325" s="210"/>
      <c r="L1325" s="210"/>
      <c r="M1325" s="210"/>
      <c r="N1325" s="210"/>
      <c r="O1325" s="210"/>
      <c r="P1325" s="210"/>
      <c r="Q1325" s="210"/>
      <c r="R1325" s="210"/>
      <c r="S1325" s="210"/>
      <c r="T1325" s="210"/>
      <c r="U1325" s="210"/>
      <c r="V1325" s="210"/>
      <c r="W1325" s="210"/>
      <c r="X1325" s="210"/>
      <c r="Y1325" s="210"/>
      <c r="Z1325" s="210"/>
      <c r="AA1325" s="210"/>
      <c r="AB1325" s="210"/>
      <c r="AC1325" s="210"/>
      <c r="AD1325" s="210"/>
      <c r="AE1325" s="210"/>
      <c r="AF1325" s="210"/>
      <c r="AG1325" s="210"/>
      <c r="AH1325" s="210"/>
      <c r="AI1325" s="210"/>
      <c r="AJ1325" s="210"/>
    </row>
    <row r="1326" ht="14.25" customHeight="1">
      <c r="A1326" s="210"/>
      <c r="B1326" s="210"/>
      <c r="C1326" s="210"/>
      <c r="D1326" s="210"/>
      <c r="E1326" s="210"/>
      <c r="F1326" s="210"/>
      <c r="G1326" s="210"/>
      <c r="H1326" s="210"/>
      <c r="I1326" s="210"/>
      <c r="J1326" s="210"/>
      <c r="K1326" s="210"/>
      <c r="L1326" s="210"/>
      <c r="M1326" s="210"/>
      <c r="N1326" s="210"/>
      <c r="O1326" s="210"/>
      <c r="P1326" s="210"/>
      <c r="Q1326" s="210"/>
      <c r="R1326" s="210"/>
      <c r="S1326" s="210"/>
      <c r="T1326" s="210"/>
      <c r="U1326" s="210"/>
      <c r="V1326" s="210"/>
      <c r="W1326" s="210"/>
      <c r="X1326" s="210"/>
      <c r="Y1326" s="210"/>
      <c r="Z1326" s="210"/>
      <c r="AA1326" s="210"/>
      <c r="AB1326" s="210"/>
      <c r="AC1326" s="210"/>
      <c r="AD1326" s="210"/>
      <c r="AE1326" s="210"/>
      <c r="AF1326" s="210"/>
      <c r="AG1326" s="210"/>
      <c r="AH1326" s="210"/>
      <c r="AI1326" s="210"/>
      <c r="AJ1326" s="210"/>
    </row>
    <row r="1327" ht="14.25" customHeight="1">
      <c r="A1327" s="210"/>
      <c r="B1327" s="210"/>
      <c r="C1327" s="210"/>
      <c r="D1327" s="210"/>
      <c r="E1327" s="210"/>
      <c r="F1327" s="210"/>
      <c r="G1327" s="210"/>
      <c r="H1327" s="210"/>
      <c r="I1327" s="210"/>
      <c r="J1327" s="210"/>
      <c r="K1327" s="210"/>
      <c r="L1327" s="210"/>
      <c r="M1327" s="210"/>
      <c r="N1327" s="210"/>
      <c r="O1327" s="210"/>
      <c r="P1327" s="210"/>
      <c r="Q1327" s="210"/>
      <c r="R1327" s="210"/>
      <c r="S1327" s="210"/>
      <c r="T1327" s="210"/>
      <c r="U1327" s="210"/>
      <c r="V1327" s="210"/>
      <c r="W1327" s="210"/>
      <c r="X1327" s="210"/>
      <c r="Y1327" s="210"/>
      <c r="Z1327" s="210"/>
      <c r="AA1327" s="210"/>
      <c r="AB1327" s="210"/>
      <c r="AC1327" s="210"/>
      <c r="AD1327" s="210"/>
      <c r="AE1327" s="210"/>
      <c r="AF1327" s="210"/>
      <c r="AG1327" s="210"/>
      <c r="AH1327" s="210"/>
      <c r="AI1327" s="210"/>
      <c r="AJ1327" s="210"/>
    </row>
    <row r="1328" ht="14.25" customHeight="1">
      <c r="A1328" s="210"/>
      <c r="B1328" s="210"/>
      <c r="C1328" s="210"/>
      <c r="D1328" s="210"/>
      <c r="E1328" s="210"/>
      <c r="F1328" s="210"/>
      <c r="G1328" s="210"/>
      <c r="H1328" s="210"/>
      <c r="I1328" s="210"/>
      <c r="J1328" s="210"/>
      <c r="K1328" s="210"/>
      <c r="L1328" s="210"/>
      <c r="M1328" s="210"/>
      <c r="N1328" s="210"/>
      <c r="O1328" s="210"/>
      <c r="P1328" s="210"/>
      <c r="Q1328" s="210"/>
      <c r="R1328" s="210"/>
      <c r="S1328" s="210"/>
      <c r="T1328" s="210"/>
      <c r="U1328" s="210"/>
      <c r="V1328" s="210"/>
      <c r="W1328" s="210"/>
      <c r="X1328" s="210"/>
      <c r="Y1328" s="210"/>
      <c r="Z1328" s="210"/>
      <c r="AA1328" s="210"/>
      <c r="AB1328" s="210"/>
      <c r="AC1328" s="210"/>
      <c r="AD1328" s="210"/>
      <c r="AE1328" s="210"/>
      <c r="AF1328" s="210"/>
      <c r="AG1328" s="210"/>
      <c r="AH1328" s="210"/>
      <c r="AI1328" s="210"/>
      <c r="AJ1328" s="210"/>
    </row>
    <row r="1329" ht="14.25" customHeight="1">
      <c r="A1329" s="210"/>
      <c r="B1329" s="210"/>
      <c r="C1329" s="210"/>
      <c r="D1329" s="210"/>
      <c r="E1329" s="210"/>
      <c r="F1329" s="210"/>
      <c r="G1329" s="210"/>
      <c r="H1329" s="210"/>
      <c r="I1329" s="210"/>
      <c r="J1329" s="210"/>
      <c r="K1329" s="210"/>
      <c r="L1329" s="210"/>
      <c r="M1329" s="210"/>
      <c r="N1329" s="210"/>
      <c r="O1329" s="210"/>
      <c r="P1329" s="210"/>
      <c r="Q1329" s="210"/>
      <c r="R1329" s="210"/>
      <c r="S1329" s="210"/>
      <c r="T1329" s="210"/>
      <c r="U1329" s="210"/>
      <c r="V1329" s="210"/>
      <c r="W1329" s="210"/>
      <c r="X1329" s="210"/>
      <c r="Y1329" s="210"/>
      <c r="Z1329" s="210"/>
      <c r="AA1329" s="210"/>
      <c r="AB1329" s="210"/>
      <c r="AC1329" s="210"/>
      <c r="AD1329" s="210"/>
      <c r="AE1329" s="210"/>
      <c r="AF1329" s="210"/>
      <c r="AG1329" s="210"/>
      <c r="AH1329" s="210"/>
      <c r="AI1329" s="210"/>
      <c r="AJ1329" s="210"/>
    </row>
    <row r="1330" ht="14.25" customHeight="1">
      <c r="A1330" s="210"/>
      <c r="B1330" s="210"/>
      <c r="C1330" s="210"/>
      <c r="D1330" s="210"/>
      <c r="E1330" s="210"/>
      <c r="F1330" s="210"/>
      <c r="G1330" s="210"/>
      <c r="H1330" s="210"/>
      <c r="I1330" s="210"/>
      <c r="J1330" s="210"/>
      <c r="K1330" s="210"/>
      <c r="L1330" s="210"/>
      <c r="M1330" s="210"/>
      <c r="N1330" s="210"/>
      <c r="O1330" s="210"/>
      <c r="P1330" s="210"/>
      <c r="Q1330" s="210"/>
      <c r="R1330" s="210"/>
      <c r="S1330" s="210"/>
      <c r="T1330" s="210"/>
      <c r="U1330" s="210"/>
      <c r="V1330" s="210"/>
      <c r="W1330" s="210"/>
      <c r="X1330" s="210"/>
      <c r="Y1330" s="210"/>
      <c r="Z1330" s="210"/>
      <c r="AA1330" s="210"/>
      <c r="AB1330" s="210"/>
      <c r="AC1330" s="210"/>
      <c r="AD1330" s="210"/>
      <c r="AE1330" s="210"/>
      <c r="AF1330" s="210"/>
      <c r="AG1330" s="210"/>
      <c r="AH1330" s="210"/>
      <c r="AI1330" s="210"/>
      <c r="AJ1330" s="210"/>
    </row>
    <row r="1331" ht="14.25" customHeight="1">
      <c r="A1331" s="210"/>
      <c r="B1331" s="210"/>
      <c r="C1331" s="210"/>
      <c r="D1331" s="210"/>
      <c r="E1331" s="210"/>
      <c r="F1331" s="210"/>
      <c r="G1331" s="210"/>
      <c r="H1331" s="210"/>
      <c r="I1331" s="210"/>
      <c r="J1331" s="210"/>
      <c r="K1331" s="210"/>
      <c r="L1331" s="210"/>
      <c r="M1331" s="210"/>
      <c r="N1331" s="210"/>
      <c r="O1331" s="210"/>
      <c r="P1331" s="210"/>
      <c r="Q1331" s="210"/>
      <c r="R1331" s="210"/>
      <c r="S1331" s="210"/>
      <c r="T1331" s="210"/>
      <c r="U1331" s="210"/>
      <c r="V1331" s="210"/>
      <c r="W1331" s="210"/>
      <c r="X1331" s="210"/>
      <c r="Y1331" s="210"/>
      <c r="Z1331" s="210"/>
      <c r="AA1331" s="210"/>
      <c r="AB1331" s="210"/>
      <c r="AC1331" s="210"/>
      <c r="AD1331" s="210"/>
      <c r="AE1331" s="210"/>
      <c r="AF1331" s="210"/>
      <c r="AG1331" s="210"/>
      <c r="AH1331" s="210"/>
      <c r="AI1331" s="210"/>
      <c r="AJ1331" s="210"/>
    </row>
    <row r="1332" ht="14.25" customHeight="1">
      <c r="A1332" s="210"/>
      <c r="B1332" s="210"/>
      <c r="C1332" s="210"/>
      <c r="D1332" s="210"/>
      <c r="E1332" s="210"/>
      <c r="F1332" s="210"/>
      <c r="G1332" s="210"/>
      <c r="H1332" s="210"/>
      <c r="I1332" s="210"/>
      <c r="J1332" s="210"/>
      <c r="K1332" s="210"/>
      <c r="L1332" s="210"/>
      <c r="M1332" s="210"/>
      <c r="N1332" s="210"/>
      <c r="O1332" s="210"/>
      <c r="P1332" s="210"/>
      <c r="Q1332" s="210"/>
      <c r="R1332" s="210"/>
      <c r="S1332" s="210"/>
      <c r="T1332" s="210"/>
      <c r="U1332" s="210"/>
      <c r="V1332" s="210"/>
      <c r="W1332" s="210"/>
      <c r="X1332" s="210"/>
      <c r="Y1332" s="210"/>
      <c r="Z1332" s="210"/>
      <c r="AA1332" s="210"/>
      <c r="AB1332" s="210"/>
      <c r="AC1332" s="210"/>
      <c r="AD1332" s="210"/>
      <c r="AE1332" s="210"/>
      <c r="AF1332" s="210"/>
      <c r="AG1332" s="210"/>
      <c r="AH1332" s="210"/>
      <c r="AI1332" s="210"/>
      <c r="AJ1332" s="210"/>
    </row>
    <row r="1333" ht="14.25" customHeight="1">
      <c r="A1333" s="210"/>
      <c r="B1333" s="210"/>
      <c r="C1333" s="210"/>
      <c r="D1333" s="210"/>
      <c r="E1333" s="210"/>
      <c r="F1333" s="210"/>
      <c r="G1333" s="210"/>
      <c r="H1333" s="210"/>
      <c r="I1333" s="210"/>
      <c r="J1333" s="210"/>
      <c r="K1333" s="210"/>
      <c r="L1333" s="210"/>
      <c r="M1333" s="210"/>
      <c r="N1333" s="210"/>
      <c r="O1333" s="210"/>
      <c r="P1333" s="210"/>
      <c r="Q1333" s="210"/>
      <c r="R1333" s="210"/>
      <c r="S1333" s="210"/>
      <c r="T1333" s="210"/>
      <c r="U1333" s="210"/>
      <c r="V1333" s="210"/>
      <c r="W1333" s="210"/>
      <c r="X1333" s="210"/>
      <c r="Y1333" s="210"/>
      <c r="Z1333" s="210"/>
      <c r="AA1333" s="210"/>
      <c r="AB1333" s="210"/>
      <c r="AC1333" s="210"/>
      <c r="AD1333" s="210"/>
      <c r="AE1333" s="210"/>
      <c r="AF1333" s="210"/>
      <c r="AG1333" s="210"/>
      <c r="AH1333" s="210"/>
      <c r="AI1333" s="210"/>
      <c r="AJ1333" s="210"/>
    </row>
    <row r="1334" ht="14.25" customHeight="1">
      <c r="A1334" s="210"/>
      <c r="B1334" s="210"/>
      <c r="C1334" s="210"/>
      <c r="D1334" s="210"/>
      <c r="E1334" s="210"/>
      <c r="F1334" s="210"/>
      <c r="G1334" s="210"/>
      <c r="H1334" s="210"/>
      <c r="I1334" s="210"/>
      <c r="J1334" s="210"/>
      <c r="K1334" s="210"/>
      <c r="L1334" s="210"/>
      <c r="M1334" s="210"/>
      <c r="N1334" s="210"/>
      <c r="O1334" s="210"/>
      <c r="P1334" s="210"/>
      <c r="Q1334" s="210"/>
      <c r="R1334" s="210"/>
      <c r="S1334" s="210"/>
      <c r="T1334" s="210"/>
      <c r="U1334" s="210"/>
      <c r="V1334" s="210"/>
      <c r="W1334" s="210"/>
      <c r="X1334" s="210"/>
      <c r="Y1334" s="210"/>
      <c r="Z1334" s="210"/>
      <c r="AA1334" s="210"/>
      <c r="AB1334" s="210"/>
      <c r="AC1334" s="210"/>
      <c r="AD1334" s="210"/>
      <c r="AE1334" s="210"/>
      <c r="AF1334" s="210"/>
      <c r="AG1334" s="210"/>
      <c r="AH1334" s="210"/>
      <c r="AI1334" s="210"/>
      <c r="AJ1334" s="210"/>
    </row>
    <row r="1335" ht="14.25" customHeight="1">
      <c r="A1335" s="210"/>
      <c r="B1335" s="210"/>
      <c r="C1335" s="210"/>
      <c r="D1335" s="210"/>
      <c r="E1335" s="210"/>
      <c r="F1335" s="210"/>
      <c r="G1335" s="210"/>
      <c r="H1335" s="210"/>
      <c r="I1335" s="210"/>
      <c r="J1335" s="210"/>
      <c r="K1335" s="210"/>
      <c r="L1335" s="210"/>
      <c r="M1335" s="210"/>
      <c r="N1335" s="210"/>
      <c r="O1335" s="210"/>
      <c r="P1335" s="210"/>
      <c r="Q1335" s="210"/>
      <c r="R1335" s="210"/>
      <c r="S1335" s="210"/>
      <c r="T1335" s="210"/>
      <c r="U1335" s="210"/>
      <c r="V1335" s="210"/>
      <c r="W1335" s="210"/>
      <c r="X1335" s="210"/>
      <c r="Y1335" s="210"/>
      <c r="Z1335" s="210"/>
      <c r="AA1335" s="210"/>
      <c r="AB1335" s="210"/>
      <c r="AC1335" s="210"/>
      <c r="AD1335" s="210"/>
      <c r="AE1335" s="210"/>
      <c r="AF1335" s="210"/>
      <c r="AG1335" s="210"/>
      <c r="AH1335" s="210"/>
      <c r="AI1335" s="210"/>
      <c r="AJ1335" s="210"/>
    </row>
    <row r="1336" ht="14.25" customHeight="1">
      <c r="A1336" s="210"/>
      <c r="B1336" s="210"/>
      <c r="C1336" s="210"/>
      <c r="D1336" s="210"/>
      <c r="E1336" s="210"/>
      <c r="F1336" s="210"/>
      <c r="G1336" s="210"/>
      <c r="H1336" s="210"/>
      <c r="I1336" s="210"/>
      <c r="J1336" s="210"/>
      <c r="K1336" s="210"/>
      <c r="L1336" s="210"/>
      <c r="M1336" s="210"/>
      <c r="N1336" s="210"/>
      <c r="O1336" s="210"/>
      <c r="P1336" s="210"/>
      <c r="Q1336" s="210"/>
      <c r="R1336" s="210"/>
      <c r="S1336" s="210"/>
      <c r="T1336" s="210"/>
      <c r="U1336" s="210"/>
      <c r="V1336" s="210"/>
      <c r="W1336" s="210"/>
      <c r="X1336" s="210"/>
      <c r="Y1336" s="210"/>
      <c r="Z1336" s="210"/>
      <c r="AA1336" s="210"/>
      <c r="AB1336" s="210"/>
      <c r="AC1336" s="210"/>
      <c r="AD1336" s="210"/>
      <c r="AE1336" s="210"/>
      <c r="AF1336" s="210"/>
      <c r="AG1336" s="210"/>
      <c r="AH1336" s="210"/>
      <c r="AI1336" s="210"/>
      <c r="AJ1336" s="210"/>
    </row>
    <row r="1337" ht="14.25" customHeight="1">
      <c r="A1337" s="210"/>
      <c r="B1337" s="210"/>
      <c r="C1337" s="210"/>
      <c r="D1337" s="210"/>
      <c r="E1337" s="210"/>
      <c r="F1337" s="210"/>
      <c r="G1337" s="210"/>
      <c r="H1337" s="210"/>
      <c r="I1337" s="210"/>
      <c r="J1337" s="210"/>
      <c r="K1337" s="210"/>
      <c r="L1337" s="210"/>
      <c r="M1337" s="210"/>
      <c r="N1337" s="210"/>
      <c r="O1337" s="210"/>
      <c r="P1337" s="210"/>
      <c r="Q1337" s="210"/>
      <c r="R1337" s="210"/>
      <c r="S1337" s="210"/>
      <c r="T1337" s="210"/>
      <c r="U1337" s="210"/>
      <c r="V1337" s="210"/>
      <c r="W1337" s="210"/>
      <c r="X1337" s="210"/>
      <c r="Y1337" s="210"/>
      <c r="Z1337" s="210"/>
      <c r="AA1337" s="210"/>
      <c r="AB1337" s="210"/>
      <c r="AC1337" s="210"/>
      <c r="AD1337" s="210"/>
      <c r="AE1337" s="210"/>
      <c r="AF1337" s="210"/>
      <c r="AG1337" s="210"/>
      <c r="AH1337" s="210"/>
      <c r="AI1337" s="210"/>
      <c r="AJ1337" s="210"/>
    </row>
    <row r="1338" ht="14.25" customHeight="1">
      <c r="A1338" s="210"/>
      <c r="B1338" s="210"/>
      <c r="C1338" s="210"/>
      <c r="D1338" s="210"/>
      <c r="E1338" s="210"/>
      <c r="F1338" s="210"/>
      <c r="G1338" s="210"/>
      <c r="H1338" s="210"/>
      <c r="I1338" s="210"/>
      <c r="J1338" s="210"/>
      <c r="K1338" s="210"/>
      <c r="L1338" s="210"/>
      <c r="M1338" s="210"/>
      <c r="N1338" s="210"/>
      <c r="O1338" s="210"/>
      <c r="P1338" s="210"/>
      <c r="Q1338" s="210"/>
      <c r="R1338" s="210"/>
      <c r="S1338" s="210"/>
      <c r="T1338" s="210"/>
      <c r="U1338" s="210"/>
      <c r="V1338" s="210"/>
      <c r="W1338" s="210"/>
      <c r="X1338" s="210"/>
      <c r="Y1338" s="210"/>
      <c r="Z1338" s="210"/>
      <c r="AA1338" s="210"/>
      <c r="AB1338" s="210"/>
      <c r="AC1338" s="210"/>
      <c r="AD1338" s="210"/>
      <c r="AE1338" s="210"/>
      <c r="AF1338" s="210"/>
      <c r="AG1338" s="210"/>
      <c r="AH1338" s="210"/>
      <c r="AI1338" s="210"/>
      <c r="AJ1338" s="210"/>
    </row>
    <row r="1339" ht="14.25" customHeight="1">
      <c r="A1339" s="210"/>
      <c r="B1339" s="210"/>
      <c r="C1339" s="210"/>
      <c r="D1339" s="210"/>
      <c r="E1339" s="210"/>
      <c r="F1339" s="210"/>
      <c r="G1339" s="210"/>
      <c r="H1339" s="210"/>
      <c r="I1339" s="210"/>
      <c r="J1339" s="210"/>
      <c r="K1339" s="210"/>
      <c r="L1339" s="210"/>
      <c r="M1339" s="210"/>
      <c r="N1339" s="210"/>
      <c r="O1339" s="210"/>
      <c r="P1339" s="210"/>
      <c r="Q1339" s="210"/>
      <c r="R1339" s="210"/>
      <c r="S1339" s="210"/>
      <c r="T1339" s="210"/>
      <c r="U1339" s="210"/>
      <c r="V1339" s="210"/>
      <c r="W1339" s="210"/>
      <c r="X1339" s="210"/>
      <c r="Y1339" s="210"/>
      <c r="Z1339" s="210"/>
      <c r="AA1339" s="210"/>
      <c r="AB1339" s="210"/>
      <c r="AC1339" s="210"/>
      <c r="AD1339" s="210"/>
      <c r="AE1339" s="210"/>
      <c r="AF1339" s="210"/>
      <c r="AG1339" s="210"/>
      <c r="AH1339" s="210"/>
      <c r="AI1339" s="210"/>
      <c r="AJ1339" s="210"/>
    </row>
    <row r="1340" ht="14.25" customHeight="1">
      <c r="A1340" s="210"/>
      <c r="B1340" s="210"/>
      <c r="C1340" s="210"/>
      <c r="D1340" s="210"/>
      <c r="E1340" s="210"/>
      <c r="F1340" s="210"/>
      <c r="G1340" s="210"/>
      <c r="H1340" s="210"/>
      <c r="I1340" s="210"/>
      <c r="J1340" s="210"/>
      <c r="K1340" s="210"/>
      <c r="L1340" s="210"/>
      <c r="M1340" s="210"/>
      <c r="N1340" s="210"/>
      <c r="O1340" s="210"/>
      <c r="P1340" s="210"/>
      <c r="Q1340" s="210"/>
      <c r="R1340" s="210"/>
      <c r="S1340" s="210"/>
      <c r="T1340" s="210"/>
      <c r="U1340" s="210"/>
      <c r="V1340" s="210"/>
      <c r="W1340" s="210"/>
      <c r="X1340" s="210"/>
      <c r="Y1340" s="210"/>
      <c r="Z1340" s="210"/>
      <c r="AA1340" s="210"/>
      <c r="AB1340" s="210"/>
      <c r="AC1340" s="210"/>
      <c r="AD1340" s="210"/>
      <c r="AE1340" s="210"/>
      <c r="AF1340" s="210"/>
      <c r="AG1340" s="210"/>
      <c r="AH1340" s="210"/>
      <c r="AI1340" s="210"/>
      <c r="AJ1340" s="210"/>
    </row>
    <row r="1341" ht="14.25" customHeight="1">
      <c r="A1341" s="210"/>
      <c r="B1341" s="210"/>
      <c r="C1341" s="210"/>
      <c r="D1341" s="210"/>
      <c r="E1341" s="210"/>
      <c r="F1341" s="210"/>
      <c r="G1341" s="210"/>
      <c r="H1341" s="210"/>
      <c r="I1341" s="210"/>
      <c r="J1341" s="210"/>
      <c r="K1341" s="210"/>
      <c r="L1341" s="210"/>
      <c r="M1341" s="210"/>
      <c r="N1341" s="210"/>
      <c r="O1341" s="210"/>
      <c r="P1341" s="210"/>
      <c r="Q1341" s="210"/>
      <c r="R1341" s="210"/>
      <c r="S1341" s="210"/>
      <c r="T1341" s="210"/>
      <c r="U1341" s="210"/>
      <c r="V1341" s="210"/>
      <c r="W1341" s="210"/>
      <c r="X1341" s="210"/>
      <c r="Y1341" s="210"/>
      <c r="Z1341" s="210"/>
      <c r="AA1341" s="210"/>
      <c r="AB1341" s="210"/>
      <c r="AC1341" s="210"/>
      <c r="AD1341" s="210"/>
      <c r="AE1341" s="210"/>
      <c r="AF1341" s="210"/>
      <c r="AG1341" s="210"/>
      <c r="AH1341" s="210"/>
      <c r="AI1341" s="210"/>
      <c r="AJ1341" s="210"/>
    </row>
    <row r="1342" ht="14.25" customHeight="1">
      <c r="A1342" s="210"/>
      <c r="B1342" s="210"/>
      <c r="C1342" s="210"/>
      <c r="D1342" s="210"/>
      <c r="E1342" s="210"/>
      <c r="F1342" s="210"/>
      <c r="G1342" s="210"/>
      <c r="H1342" s="210"/>
      <c r="I1342" s="210"/>
      <c r="J1342" s="210"/>
      <c r="K1342" s="210"/>
      <c r="L1342" s="210"/>
      <c r="M1342" s="210"/>
      <c r="N1342" s="210"/>
      <c r="O1342" s="210"/>
      <c r="P1342" s="210"/>
      <c r="Q1342" s="210"/>
      <c r="R1342" s="210"/>
      <c r="S1342" s="210"/>
      <c r="T1342" s="210"/>
      <c r="U1342" s="210"/>
      <c r="V1342" s="210"/>
      <c r="W1342" s="210"/>
      <c r="X1342" s="210"/>
      <c r="Y1342" s="210"/>
      <c r="Z1342" s="210"/>
      <c r="AA1342" s="210"/>
      <c r="AB1342" s="210"/>
      <c r="AC1342" s="210"/>
      <c r="AD1342" s="210"/>
      <c r="AE1342" s="210"/>
      <c r="AF1342" s="210"/>
      <c r="AG1342" s="210"/>
      <c r="AH1342" s="210"/>
      <c r="AI1342" s="210"/>
      <c r="AJ1342" s="210"/>
    </row>
    <row r="1343" ht="14.25" customHeight="1">
      <c r="A1343" s="210"/>
      <c r="B1343" s="210"/>
      <c r="C1343" s="210"/>
      <c r="D1343" s="210"/>
      <c r="E1343" s="210"/>
      <c r="F1343" s="210"/>
      <c r="G1343" s="210"/>
      <c r="H1343" s="210"/>
      <c r="I1343" s="210"/>
      <c r="J1343" s="210"/>
      <c r="K1343" s="210"/>
      <c r="L1343" s="210"/>
      <c r="M1343" s="210"/>
      <c r="N1343" s="210"/>
      <c r="O1343" s="210"/>
      <c r="P1343" s="210"/>
      <c r="Q1343" s="210"/>
      <c r="R1343" s="210"/>
      <c r="S1343" s="210"/>
      <c r="T1343" s="210"/>
      <c r="U1343" s="210"/>
      <c r="V1343" s="210"/>
      <c r="W1343" s="210"/>
      <c r="X1343" s="210"/>
      <c r="Y1343" s="210"/>
      <c r="Z1343" s="210"/>
      <c r="AA1343" s="210"/>
      <c r="AB1343" s="210"/>
      <c r="AC1343" s="210"/>
      <c r="AD1343" s="210"/>
      <c r="AE1343" s="210"/>
      <c r="AF1343" s="210"/>
      <c r="AG1343" s="210"/>
      <c r="AH1343" s="210"/>
      <c r="AI1343" s="210"/>
      <c r="AJ1343" s="210"/>
    </row>
    <row r="1344" ht="14.25" customHeight="1">
      <c r="A1344" s="210"/>
      <c r="B1344" s="210"/>
      <c r="C1344" s="210"/>
      <c r="D1344" s="210"/>
      <c r="E1344" s="210"/>
      <c r="F1344" s="210"/>
      <c r="G1344" s="210"/>
      <c r="H1344" s="210"/>
      <c r="I1344" s="210"/>
      <c r="J1344" s="210"/>
      <c r="K1344" s="210"/>
      <c r="L1344" s="210"/>
      <c r="M1344" s="210"/>
      <c r="N1344" s="210"/>
      <c r="O1344" s="210"/>
      <c r="P1344" s="210"/>
      <c r="Q1344" s="210"/>
      <c r="R1344" s="210"/>
      <c r="S1344" s="210"/>
      <c r="T1344" s="210"/>
      <c r="U1344" s="210"/>
      <c r="V1344" s="210"/>
      <c r="W1344" s="210"/>
      <c r="X1344" s="210"/>
      <c r="Y1344" s="210"/>
      <c r="Z1344" s="210"/>
      <c r="AA1344" s="210"/>
      <c r="AB1344" s="210"/>
      <c r="AC1344" s="210"/>
      <c r="AD1344" s="210"/>
      <c r="AE1344" s="210"/>
      <c r="AF1344" s="210"/>
      <c r="AG1344" s="210"/>
      <c r="AH1344" s="210"/>
      <c r="AI1344" s="210"/>
      <c r="AJ1344" s="210"/>
    </row>
    <row r="1345" ht="14.25" customHeight="1">
      <c r="A1345" s="210"/>
      <c r="B1345" s="210"/>
      <c r="C1345" s="210"/>
      <c r="D1345" s="210"/>
      <c r="E1345" s="210"/>
      <c r="F1345" s="210"/>
      <c r="G1345" s="210"/>
      <c r="H1345" s="210"/>
      <c r="I1345" s="210"/>
      <c r="J1345" s="210"/>
      <c r="K1345" s="210"/>
      <c r="L1345" s="210"/>
      <c r="M1345" s="210"/>
      <c r="N1345" s="210"/>
      <c r="O1345" s="210"/>
      <c r="P1345" s="210"/>
      <c r="Q1345" s="210"/>
      <c r="R1345" s="210"/>
      <c r="S1345" s="210"/>
      <c r="T1345" s="210"/>
      <c r="U1345" s="210"/>
      <c r="V1345" s="210"/>
      <c r="W1345" s="210"/>
      <c r="X1345" s="210"/>
      <c r="Y1345" s="210"/>
      <c r="Z1345" s="210"/>
      <c r="AA1345" s="210"/>
      <c r="AB1345" s="210"/>
      <c r="AC1345" s="210"/>
      <c r="AD1345" s="210"/>
      <c r="AE1345" s="210"/>
      <c r="AF1345" s="210"/>
      <c r="AG1345" s="210"/>
      <c r="AH1345" s="210"/>
      <c r="AI1345" s="210"/>
      <c r="AJ1345" s="210"/>
    </row>
    <row r="1346" ht="14.25" customHeight="1">
      <c r="A1346" s="210"/>
      <c r="B1346" s="210"/>
      <c r="C1346" s="210"/>
      <c r="D1346" s="210"/>
      <c r="E1346" s="210"/>
      <c r="F1346" s="210"/>
      <c r="G1346" s="210"/>
      <c r="H1346" s="210"/>
      <c r="I1346" s="210"/>
      <c r="J1346" s="210"/>
      <c r="K1346" s="210"/>
      <c r="L1346" s="210"/>
      <c r="M1346" s="210"/>
      <c r="N1346" s="210"/>
      <c r="O1346" s="210"/>
      <c r="P1346" s="210"/>
      <c r="Q1346" s="210"/>
      <c r="R1346" s="210"/>
      <c r="S1346" s="210"/>
      <c r="T1346" s="210"/>
      <c r="U1346" s="210"/>
      <c r="V1346" s="210"/>
      <c r="W1346" s="210"/>
      <c r="X1346" s="210"/>
      <c r="Y1346" s="210"/>
      <c r="Z1346" s="210"/>
      <c r="AA1346" s="210"/>
      <c r="AB1346" s="210"/>
      <c r="AC1346" s="210"/>
      <c r="AD1346" s="210"/>
      <c r="AE1346" s="210"/>
      <c r="AF1346" s="210"/>
      <c r="AG1346" s="210"/>
      <c r="AH1346" s="210"/>
      <c r="AI1346" s="210"/>
      <c r="AJ1346" s="210"/>
    </row>
    <row r="1347" ht="14.25" customHeight="1">
      <c r="A1347" s="210"/>
      <c r="B1347" s="210"/>
      <c r="C1347" s="210"/>
      <c r="D1347" s="210"/>
      <c r="E1347" s="210"/>
      <c r="F1347" s="210"/>
      <c r="G1347" s="210"/>
      <c r="H1347" s="210"/>
      <c r="I1347" s="210"/>
      <c r="J1347" s="210"/>
      <c r="K1347" s="210"/>
      <c r="L1347" s="210"/>
      <c r="M1347" s="210"/>
      <c r="N1347" s="210"/>
      <c r="O1347" s="210"/>
      <c r="P1347" s="210"/>
      <c r="Q1347" s="210"/>
      <c r="R1347" s="210"/>
      <c r="S1347" s="210"/>
      <c r="T1347" s="210"/>
      <c r="U1347" s="210"/>
      <c r="V1347" s="210"/>
      <c r="W1347" s="210"/>
      <c r="X1347" s="210"/>
      <c r="Y1347" s="210"/>
      <c r="Z1347" s="210"/>
      <c r="AA1347" s="210"/>
      <c r="AB1347" s="210"/>
      <c r="AC1347" s="210"/>
      <c r="AD1347" s="210"/>
      <c r="AE1347" s="210"/>
      <c r="AF1347" s="210"/>
      <c r="AG1347" s="210"/>
      <c r="AH1347" s="210"/>
      <c r="AI1347" s="210"/>
      <c r="AJ1347" s="210"/>
    </row>
    <row r="1348" ht="14.25" customHeight="1">
      <c r="A1348" s="210"/>
      <c r="B1348" s="210"/>
      <c r="C1348" s="210"/>
      <c r="D1348" s="210"/>
      <c r="E1348" s="210"/>
      <c r="F1348" s="210"/>
      <c r="G1348" s="210"/>
      <c r="H1348" s="210"/>
      <c r="I1348" s="210"/>
      <c r="J1348" s="210"/>
      <c r="K1348" s="210"/>
      <c r="L1348" s="210"/>
      <c r="M1348" s="210"/>
      <c r="N1348" s="210"/>
      <c r="O1348" s="210"/>
      <c r="P1348" s="210"/>
      <c r="Q1348" s="210"/>
      <c r="R1348" s="210"/>
      <c r="S1348" s="210"/>
      <c r="T1348" s="210"/>
      <c r="U1348" s="210"/>
      <c r="V1348" s="210"/>
      <c r="W1348" s="210"/>
      <c r="X1348" s="210"/>
      <c r="Y1348" s="210"/>
      <c r="Z1348" s="210"/>
      <c r="AA1348" s="210"/>
      <c r="AB1348" s="210"/>
      <c r="AC1348" s="210"/>
      <c r="AD1348" s="210"/>
      <c r="AE1348" s="210"/>
      <c r="AF1348" s="210"/>
      <c r="AG1348" s="210"/>
      <c r="AH1348" s="210"/>
      <c r="AI1348" s="210"/>
      <c r="AJ1348" s="210"/>
    </row>
    <row r="1349" ht="14.25" customHeight="1">
      <c r="A1349" s="210"/>
      <c r="B1349" s="210"/>
      <c r="C1349" s="210"/>
      <c r="D1349" s="210"/>
      <c r="E1349" s="210"/>
      <c r="F1349" s="210"/>
      <c r="G1349" s="210"/>
      <c r="H1349" s="210"/>
      <c r="I1349" s="210"/>
      <c r="J1349" s="210"/>
      <c r="K1349" s="210"/>
      <c r="L1349" s="210"/>
      <c r="M1349" s="210"/>
      <c r="N1349" s="210"/>
      <c r="O1349" s="210"/>
      <c r="P1349" s="210"/>
      <c r="Q1349" s="210"/>
      <c r="R1349" s="210"/>
      <c r="S1349" s="210"/>
      <c r="T1349" s="210"/>
      <c r="U1349" s="210"/>
      <c r="V1349" s="210"/>
      <c r="W1349" s="210"/>
      <c r="X1349" s="210"/>
      <c r="Y1349" s="210"/>
      <c r="Z1349" s="210"/>
      <c r="AA1349" s="210"/>
      <c r="AB1349" s="210"/>
      <c r="AC1349" s="210"/>
      <c r="AD1349" s="210"/>
      <c r="AE1349" s="210"/>
      <c r="AF1349" s="210"/>
      <c r="AG1349" s="210"/>
      <c r="AH1349" s="210"/>
      <c r="AI1349" s="210"/>
      <c r="AJ1349" s="210"/>
    </row>
    <row r="1350" ht="14.25" customHeight="1">
      <c r="A1350" s="210"/>
      <c r="B1350" s="210"/>
      <c r="C1350" s="210"/>
      <c r="D1350" s="210"/>
      <c r="E1350" s="210"/>
      <c r="F1350" s="210"/>
      <c r="G1350" s="210"/>
      <c r="H1350" s="210"/>
      <c r="I1350" s="210"/>
      <c r="J1350" s="210"/>
      <c r="K1350" s="210"/>
      <c r="L1350" s="210"/>
      <c r="M1350" s="210"/>
      <c r="N1350" s="210"/>
      <c r="O1350" s="210"/>
      <c r="P1350" s="210"/>
      <c r="Q1350" s="210"/>
      <c r="R1350" s="210"/>
      <c r="S1350" s="210"/>
      <c r="T1350" s="210"/>
      <c r="U1350" s="210"/>
      <c r="V1350" s="210"/>
      <c r="W1350" s="210"/>
      <c r="X1350" s="210"/>
      <c r="Y1350" s="210"/>
      <c r="Z1350" s="210"/>
      <c r="AA1350" s="210"/>
      <c r="AB1350" s="210"/>
      <c r="AC1350" s="210"/>
      <c r="AD1350" s="210"/>
      <c r="AE1350" s="210"/>
      <c r="AF1350" s="210"/>
      <c r="AG1350" s="210"/>
      <c r="AH1350" s="210"/>
      <c r="AI1350" s="210"/>
      <c r="AJ1350" s="210"/>
    </row>
    <row r="1351" ht="14.25" customHeight="1">
      <c r="A1351" s="210"/>
      <c r="B1351" s="210"/>
      <c r="C1351" s="210"/>
      <c r="D1351" s="210"/>
      <c r="E1351" s="210"/>
      <c r="F1351" s="210"/>
      <c r="G1351" s="210"/>
      <c r="H1351" s="210"/>
      <c r="I1351" s="210"/>
      <c r="J1351" s="210"/>
      <c r="K1351" s="210"/>
      <c r="L1351" s="210"/>
      <c r="M1351" s="210"/>
      <c r="N1351" s="210"/>
      <c r="O1351" s="210"/>
      <c r="P1351" s="210"/>
      <c r="Q1351" s="210"/>
      <c r="R1351" s="210"/>
      <c r="S1351" s="210"/>
      <c r="T1351" s="210"/>
      <c r="U1351" s="210"/>
      <c r="V1351" s="210"/>
      <c r="W1351" s="210"/>
      <c r="X1351" s="210"/>
      <c r="Y1351" s="210"/>
      <c r="Z1351" s="210"/>
      <c r="AA1351" s="210"/>
      <c r="AB1351" s="210"/>
      <c r="AC1351" s="210"/>
      <c r="AD1351" s="210"/>
      <c r="AE1351" s="210"/>
      <c r="AF1351" s="210"/>
      <c r="AG1351" s="210"/>
      <c r="AH1351" s="210"/>
      <c r="AI1351" s="210"/>
      <c r="AJ1351" s="210"/>
    </row>
    <row r="1352" ht="14.25" customHeight="1">
      <c r="A1352" s="210"/>
      <c r="B1352" s="210"/>
      <c r="C1352" s="210"/>
      <c r="D1352" s="210"/>
      <c r="E1352" s="210"/>
      <c r="F1352" s="210"/>
      <c r="G1352" s="210"/>
      <c r="H1352" s="210"/>
      <c r="I1352" s="210"/>
      <c r="J1352" s="210"/>
      <c r="K1352" s="210"/>
      <c r="L1352" s="210"/>
      <c r="M1352" s="210"/>
      <c r="N1352" s="210"/>
      <c r="O1352" s="210"/>
      <c r="P1352" s="210"/>
      <c r="Q1352" s="210"/>
      <c r="R1352" s="210"/>
      <c r="S1352" s="210"/>
      <c r="T1352" s="210"/>
      <c r="U1352" s="210"/>
      <c r="V1352" s="210"/>
      <c r="W1352" s="210"/>
      <c r="X1352" s="210"/>
      <c r="Y1352" s="210"/>
      <c r="Z1352" s="210"/>
      <c r="AA1352" s="210"/>
      <c r="AB1352" s="210"/>
      <c r="AC1352" s="210"/>
      <c r="AD1352" s="210"/>
      <c r="AE1352" s="210"/>
      <c r="AF1352" s="210"/>
      <c r="AG1352" s="210"/>
      <c r="AH1352" s="210"/>
      <c r="AI1352" s="210"/>
      <c r="AJ1352" s="210"/>
    </row>
    <row r="1353" ht="14.25" customHeight="1">
      <c r="A1353" s="210"/>
      <c r="B1353" s="210"/>
      <c r="C1353" s="210"/>
      <c r="D1353" s="210"/>
      <c r="E1353" s="210"/>
      <c r="F1353" s="210"/>
      <c r="G1353" s="210"/>
      <c r="H1353" s="210"/>
      <c r="I1353" s="210"/>
      <c r="J1353" s="210"/>
      <c r="K1353" s="210"/>
      <c r="L1353" s="210"/>
      <c r="M1353" s="210"/>
      <c r="N1353" s="210"/>
      <c r="O1353" s="210"/>
      <c r="P1353" s="210"/>
      <c r="Q1353" s="210"/>
      <c r="R1353" s="210"/>
      <c r="S1353" s="210"/>
      <c r="T1353" s="210"/>
      <c r="U1353" s="210"/>
      <c r="V1353" s="210"/>
      <c r="W1353" s="210"/>
      <c r="X1353" s="210"/>
      <c r="Y1353" s="210"/>
      <c r="Z1353" s="210"/>
      <c r="AA1353" s="210"/>
      <c r="AB1353" s="210"/>
      <c r="AC1353" s="210"/>
      <c r="AD1353" s="210"/>
      <c r="AE1353" s="210"/>
      <c r="AF1353" s="210"/>
      <c r="AG1353" s="210"/>
      <c r="AH1353" s="210"/>
      <c r="AI1353" s="210"/>
      <c r="AJ1353" s="210"/>
    </row>
    <row r="1354" ht="14.25" customHeight="1">
      <c r="A1354" s="210"/>
      <c r="B1354" s="210"/>
      <c r="C1354" s="210"/>
      <c r="D1354" s="210"/>
      <c r="E1354" s="210"/>
      <c r="F1354" s="210"/>
      <c r="G1354" s="210"/>
      <c r="H1354" s="210"/>
      <c r="I1354" s="210"/>
      <c r="J1354" s="210"/>
      <c r="K1354" s="210"/>
      <c r="L1354" s="210"/>
      <c r="M1354" s="210"/>
      <c r="N1354" s="210"/>
      <c r="O1354" s="210"/>
      <c r="P1354" s="210"/>
      <c r="Q1354" s="210"/>
      <c r="R1354" s="210"/>
      <c r="S1354" s="210"/>
      <c r="T1354" s="210"/>
      <c r="U1354" s="210"/>
      <c r="V1354" s="210"/>
      <c r="W1354" s="210"/>
      <c r="X1354" s="210"/>
      <c r="Y1354" s="210"/>
      <c r="Z1354" s="210"/>
      <c r="AA1354" s="210"/>
      <c r="AB1354" s="210"/>
      <c r="AC1354" s="210"/>
      <c r="AD1354" s="210"/>
      <c r="AE1354" s="210"/>
      <c r="AF1354" s="210"/>
      <c r="AG1354" s="210"/>
      <c r="AH1354" s="210"/>
      <c r="AI1354" s="210"/>
      <c r="AJ1354" s="210"/>
    </row>
    <row r="1355" ht="14.25" customHeight="1">
      <c r="A1355" s="210"/>
      <c r="B1355" s="210"/>
      <c r="C1355" s="210"/>
      <c r="D1355" s="210"/>
      <c r="E1355" s="210"/>
      <c r="F1355" s="210"/>
      <c r="G1355" s="210"/>
      <c r="H1355" s="210"/>
      <c r="I1355" s="210"/>
      <c r="J1355" s="210"/>
      <c r="K1355" s="210"/>
      <c r="L1355" s="210"/>
      <c r="M1355" s="210"/>
      <c r="N1355" s="210"/>
      <c r="O1355" s="210"/>
      <c r="P1355" s="210"/>
      <c r="Q1355" s="210"/>
      <c r="R1355" s="210"/>
      <c r="S1355" s="210"/>
      <c r="T1355" s="210"/>
      <c r="U1355" s="210"/>
      <c r="V1355" s="210"/>
      <c r="W1355" s="210"/>
      <c r="X1355" s="210"/>
      <c r="Y1355" s="210"/>
      <c r="Z1355" s="210"/>
      <c r="AA1355" s="210"/>
      <c r="AB1355" s="210"/>
      <c r="AC1355" s="210"/>
      <c r="AD1355" s="210"/>
      <c r="AE1355" s="210"/>
      <c r="AF1355" s="210"/>
      <c r="AG1355" s="210"/>
      <c r="AH1355" s="210"/>
      <c r="AI1355" s="210"/>
      <c r="AJ1355" s="210"/>
    </row>
    <row r="1356" ht="14.25" customHeight="1">
      <c r="A1356" s="210"/>
      <c r="B1356" s="210"/>
      <c r="C1356" s="210"/>
      <c r="D1356" s="210"/>
      <c r="E1356" s="210"/>
      <c r="F1356" s="210"/>
      <c r="G1356" s="210"/>
      <c r="H1356" s="210"/>
      <c r="I1356" s="210"/>
      <c r="J1356" s="210"/>
      <c r="K1356" s="210"/>
      <c r="L1356" s="210"/>
      <c r="M1356" s="210"/>
      <c r="N1356" s="210"/>
      <c r="O1356" s="210"/>
      <c r="P1356" s="210"/>
      <c r="Q1356" s="210"/>
      <c r="R1356" s="210"/>
      <c r="S1356" s="210"/>
      <c r="T1356" s="210"/>
      <c r="U1356" s="210"/>
      <c r="V1356" s="210"/>
      <c r="W1356" s="210"/>
      <c r="X1356" s="210"/>
      <c r="Y1356" s="210"/>
      <c r="Z1356" s="210"/>
      <c r="AA1356" s="210"/>
      <c r="AB1356" s="210"/>
      <c r="AC1356" s="210"/>
      <c r="AD1356" s="210"/>
      <c r="AE1356" s="210"/>
      <c r="AF1356" s="210"/>
      <c r="AG1356" s="210"/>
      <c r="AH1356" s="210"/>
      <c r="AI1356" s="210"/>
      <c r="AJ1356" s="210"/>
    </row>
    <row r="1357" ht="14.25" customHeight="1">
      <c r="A1357" s="210"/>
      <c r="B1357" s="210"/>
      <c r="C1357" s="210"/>
      <c r="D1357" s="210"/>
      <c r="E1357" s="210"/>
      <c r="F1357" s="210"/>
      <c r="G1357" s="210"/>
      <c r="H1357" s="210"/>
      <c r="I1357" s="210"/>
      <c r="J1357" s="210"/>
      <c r="K1357" s="210"/>
      <c r="L1357" s="210"/>
      <c r="M1357" s="210"/>
      <c r="N1357" s="210"/>
      <c r="O1357" s="210"/>
      <c r="P1357" s="210"/>
      <c r="Q1357" s="210"/>
      <c r="R1357" s="210"/>
      <c r="S1357" s="210"/>
      <c r="T1357" s="210"/>
      <c r="U1357" s="210"/>
      <c r="V1357" s="210"/>
      <c r="W1357" s="210"/>
      <c r="X1357" s="210"/>
      <c r="Y1357" s="210"/>
      <c r="Z1357" s="210"/>
      <c r="AA1357" s="210"/>
      <c r="AB1357" s="210"/>
      <c r="AC1357" s="210"/>
      <c r="AD1357" s="210"/>
      <c r="AE1357" s="210"/>
      <c r="AF1357" s="210"/>
      <c r="AG1357" s="210"/>
      <c r="AH1357" s="210"/>
      <c r="AI1357" s="210"/>
      <c r="AJ1357" s="210"/>
    </row>
    <row r="1358" ht="14.25" customHeight="1">
      <c r="A1358" s="210"/>
      <c r="B1358" s="210"/>
      <c r="C1358" s="210"/>
      <c r="D1358" s="210"/>
      <c r="E1358" s="210"/>
      <c r="F1358" s="210"/>
      <c r="G1358" s="210"/>
      <c r="H1358" s="210"/>
      <c r="I1358" s="210"/>
      <c r="J1358" s="210"/>
      <c r="K1358" s="210"/>
      <c r="L1358" s="210"/>
      <c r="M1358" s="210"/>
      <c r="N1358" s="210"/>
      <c r="O1358" s="210"/>
      <c r="P1358" s="210"/>
      <c r="Q1358" s="210"/>
      <c r="R1358" s="210"/>
      <c r="S1358" s="210"/>
      <c r="T1358" s="210"/>
      <c r="U1358" s="210"/>
      <c r="V1358" s="210"/>
      <c r="W1358" s="210"/>
      <c r="X1358" s="210"/>
      <c r="Y1358" s="210"/>
      <c r="Z1358" s="210"/>
      <c r="AA1358" s="210"/>
      <c r="AB1358" s="210"/>
      <c r="AC1358" s="210"/>
      <c r="AD1358" s="210"/>
      <c r="AE1358" s="210"/>
      <c r="AF1358" s="210"/>
      <c r="AG1358" s="210"/>
      <c r="AH1358" s="210"/>
      <c r="AI1358" s="210"/>
      <c r="AJ1358" s="210"/>
    </row>
    <row r="1359" ht="14.25" customHeight="1">
      <c r="A1359" s="210"/>
      <c r="B1359" s="210"/>
      <c r="C1359" s="210"/>
      <c r="D1359" s="210"/>
      <c r="E1359" s="210"/>
      <c r="F1359" s="210"/>
      <c r="G1359" s="210"/>
      <c r="H1359" s="210"/>
      <c r="I1359" s="210"/>
      <c r="J1359" s="210"/>
      <c r="K1359" s="210"/>
      <c r="L1359" s="210"/>
      <c r="M1359" s="210"/>
      <c r="N1359" s="210"/>
      <c r="O1359" s="210"/>
      <c r="P1359" s="210"/>
      <c r="Q1359" s="210"/>
      <c r="R1359" s="210"/>
      <c r="S1359" s="210"/>
      <c r="T1359" s="210"/>
      <c r="U1359" s="210"/>
      <c r="V1359" s="210"/>
      <c r="W1359" s="210"/>
      <c r="X1359" s="210"/>
      <c r="Y1359" s="210"/>
      <c r="Z1359" s="210"/>
      <c r="AA1359" s="210"/>
      <c r="AB1359" s="210"/>
      <c r="AC1359" s="210"/>
      <c r="AD1359" s="210"/>
      <c r="AE1359" s="210"/>
      <c r="AF1359" s="210"/>
      <c r="AG1359" s="210"/>
      <c r="AH1359" s="210"/>
      <c r="AI1359" s="210"/>
      <c r="AJ1359" s="210"/>
    </row>
    <row r="1360" ht="14.25" customHeight="1">
      <c r="A1360" s="210"/>
      <c r="B1360" s="210"/>
      <c r="C1360" s="210"/>
      <c r="D1360" s="210"/>
      <c r="E1360" s="210"/>
      <c r="F1360" s="210"/>
      <c r="G1360" s="210"/>
      <c r="H1360" s="210"/>
      <c r="I1360" s="210"/>
      <c r="J1360" s="210"/>
      <c r="K1360" s="210"/>
      <c r="L1360" s="210"/>
      <c r="M1360" s="210"/>
      <c r="N1360" s="210"/>
      <c r="O1360" s="210"/>
      <c r="P1360" s="210"/>
      <c r="Q1360" s="210"/>
      <c r="R1360" s="210"/>
      <c r="S1360" s="210"/>
      <c r="T1360" s="210"/>
      <c r="U1360" s="210"/>
      <c r="V1360" s="210"/>
      <c r="W1360" s="210"/>
      <c r="X1360" s="210"/>
      <c r="Y1360" s="210"/>
      <c r="Z1360" s="210"/>
      <c r="AA1360" s="210"/>
      <c r="AB1360" s="210"/>
      <c r="AC1360" s="210"/>
      <c r="AD1360" s="210"/>
      <c r="AE1360" s="210"/>
      <c r="AF1360" s="210"/>
      <c r="AG1360" s="210"/>
      <c r="AH1360" s="210"/>
      <c r="AI1360" s="210"/>
      <c r="AJ1360" s="210"/>
    </row>
    <row r="1361" ht="14.25" customHeight="1">
      <c r="A1361" s="210"/>
      <c r="B1361" s="210"/>
      <c r="C1361" s="210"/>
      <c r="D1361" s="210"/>
      <c r="E1361" s="210"/>
      <c r="F1361" s="210"/>
      <c r="G1361" s="210"/>
      <c r="H1361" s="210"/>
      <c r="I1361" s="210"/>
      <c r="J1361" s="210"/>
      <c r="K1361" s="210"/>
      <c r="L1361" s="210"/>
      <c r="M1361" s="210"/>
      <c r="N1361" s="210"/>
      <c r="O1361" s="210"/>
      <c r="P1361" s="210"/>
      <c r="Q1361" s="210"/>
      <c r="R1361" s="210"/>
      <c r="S1361" s="210"/>
      <c r="T1361" s="210"/>
      <c r="U1361" s="210"/>
      <c r="V1361" s="210"/>
      <c r="W1361" s="210"/>
      <c r="X1361" s="210"/>
      <c r="Y1361" s="210"/>
      <c r="Z1361" s="210"/>
      <c r="AA1361" s="210"/>
      <c r="AB1361" s="210"/>
      <c r="AC1361" s="210"/>
      <c r="AD1361" s="210"/>
      <c r="AE1361" s="210"/>
      <c r="AF1361" s="210"/>
      <c r="AG1361" s="210"/>
      <c r="AH1361" s="210"/>
      <c r="AI1361" s="210"/>
      <c r="AJ1361" s="210"/>
    </row>
    <row r="1362" ht="14.25" customHeight="1">
      <c r="A1362" s="210"/>
      <c r="B1362" s="210"/>
      <c r="C1362" s="210"/>
      <c r="D1362" s="210"/>
      <c r="E1362" s="210"/>
      <c r="F1362" s="210"/>
      <c r="G1362" s="210"/>
      <c r="H1362" s="210"/>
      <c r="I1362" s="210"/>
      <c r="J1362" s="210"/>
      <c r="K1362" s="210"/>
      <c r="L1362" s="210"/>
      <c r="M1362" s="210"/>
      <c r="N1362" s="210"/>
      <c r="O1362" s="210"/>
      <c r="P1362" s="210"/>
      <c r="Q1362" s="210"/>
      <c r="R1362" s="210"/>
      <c r="S1362" s="210"/>
      <c r="T1362" s="210"/>
      <c r="U1362" s="210"/>
      <c r="V1362" s="210"/>
      <c r="W1362" s="210"/>
      <c r="X1362" s="210"/>
      <c r="Y1362" s="210"/>
      <c r="Z1362" s="210"/>
      <c r="AA1362" s="210"/>
      <c r="AB1362" s="210"/>
      <c r="AC1362" s="210"/>
      <c r="AD1362" s="210"/>
      <c r="AE1362" s="210"/>
      <c r="AF1362" s="210"/>
      <c r="AG1362" s="210"/>
      <c r="AH1362" s="210"/>
      <c r="AI1362" s="210"/>
      <c r="AJ1362" s="210"/>
    </row>
    <row r="1363" ht="14.25" customHeight="1">
      <c r="A1363" s="210"/>
      <c r="B1363" s="210"/>
      <c r="C1363" s="210"/>
      <c r="D1363" s="210"/>
      <c r="E1363" s="210"/>
      <c r="F1363" s="210"/>
      <c r="G1363" s="210"/>
      <c r="H1363" s="210"/>
      <c r="I1363" s="210"/>
      <c r="J1363" s="210"/>
      <c r="K1363" s="210"/>
      <c r="L1363" s="210"/>
      <c r="M1363" s="210"/>
      <c r="N1363" s="210"/>
      <c r="O1363" s="210"/>
      <c r="P1363" s="210"/>
      <c r="Q1363" s="210"/>
      <c r="R1363" s="210"/>
      <c r="S1363" s="210"/>
      <c r="T1363" s="210"/>
      <c r="U1363" s="210"/>
      <c r="V1363" s="210"/>
      <c r="W1363" s="210"/>
      <c r="X1363" s="210"/>
      <c r="Y1363" s="210"/>
      <c r="Z1363" s="210"/>
      <c r="AA1363" s="210"/>
      <c r="AB1363" s="210"/>
      <c r="AC1363" s="210"/>
      <c r="AD1363" s="210"/>
      <c r="AE1363" s="210"/>
      <c r="AF1363" s="210"/>
      <c r="AG1363" s="210"/>
      <c r="AH1363" s="210"/>
      <c r="AI1363" s="210"/>
      <c r="AJ1363" s="210"/>
    </row>
    <row r="1364" ht="14.25" customHeight="1">
      <c r="A1364" s="210"/>
      <c r="B1364" s="210"/>
      <c r="C1364" s="210"/>
      <c r="D1364" s="210"/>
      <c r="E1364" s="210"/>
      <c r="F1364" s="210"/>
      <c r="G1364" s="210"/>
      <c r="H1364" s="210"/>
      <c r="I1364" s="210"/>
      <c r="J1364" s="210"/>
      <c r="K1364" s="210"/>
      <c r="L1364" s="210"/>
      <c r="M1364" s="210"/>
      <c r="N1364" s="210"/>
      <c r="O1364" s="210"/>
      <c r="P1364" s="210"/>
      <c r="Q1364" s="210"/>
      <c r="R1364" s="210"/>
      <c r="S1364" s="210"/>
      <c r="T1364" s="210"/>
      <c r="U1364" s="210"/>
      <c r="V1364" s="210"/>
      <c r="W1364" s="210"/>
      <c r="X1364" s="210"/>
      <c r="Y1364" s="210"/>
      <c r="Z1364" s="210"/>
      <c r="AA1364" s="210"/>
      <c r="AB1364" s="210"/>
      <c r="AC1364" s="210"/>
      <c r="AD1364" s="210"/>
      <c r="AE1364" s="210"/>
      <c r="AF1364" s="210"/>
      <c r="AG1364" s="210"/>
      <c r="AH1364" s="210"/>
      <c r="AI1364" s="210"/>
      <c r="AJ1364" s="210"/>
    </row>
    <row r="1365" ht="14.25" customHeight="1">
      <c r="A1365" s="210"/>
      <c r="B1365" s="210"/>
      <c r="C1365" s="210"/>
      <c r="D1365" s="210"/>
      <c r="E1365" s="210"/>
      <c r="F1365" s="210"/>
      <c r="G1365" s="210"/>
      <c r="H1365" s="210"/>
      <c r="I1365" s="210"/>
      <c r="J1365" s="210"/>
      <c r="K1365" s="210"/>
      <c r="L1365" s="210"/>
      <c r="M1365" s="210"/>
      <c r="N1365" s="210"/>
      <c r="O1365" s="210"/>
      <c r="P1365" s="210"/>
      <c r="Q1365" s="210"/>
      <c r="R1365" s="210"/>
      <c r="S1365" s="210"/>
      <c r="T1365" s="210"/>
      <c r="U1365" s="210"/>
      <c r="V1365" s="210"/>
      <c r="W1365" s="210"/>
      <c r="X1365" s="210"/>
      <c r="Y1365" s="210"/>
      <c r="Z1365" s="210"/>
      <c r="AA1365" s="210"/>
      <c r="AB1365" s="210"/>
      <c r="AC1365" s="210"/>
      <c r="AD1365" s="210"/>
      <c r="AE1365" s="210"/>
      <c r="AF1365" s="210"/>
      <c r="AG1365" s="210"/>
      <c r="AH1365" s="210"/>
      <c r="AI1365" s="210"/>
      <c r="AJ1365" s="210"/>
    </row>
    <row r="1366" ht="14.25" customHeight="1">
      <c r="A1366" s="210"/>
      <c r="B1366" s="210"/>
      <c r="C1366" s="210"/>
      <c r="D1366" s="210"/>
      <c r="E1366" s="210"/>
      <c r="F1366" s="210"/>
      <c r="G1366" s="210"/>
      <c r="H1366" s="210"/>
      <c r="I1366" s="210"/>
      <c r="J1366" s="210"/>
      <c r="K1366" s="210"/>
      <c r="L1366" s="210"/>
      <c r="M1366" s="210"/>
      <c r="N1366" s="210"/>
      <c r="O1366" s="210"/>
      <c r="P1366" s="210"/>
      <c r="Q1366" s="210"/>
      <c r="R1366" s="210"/>
      <c r="S1366" s="210"/>
      <c r="T1366" s="210"/>
      <c r="U1366" s="210"/>
      <c r="V1366" s="210"/>
      <c r="W1366" s="210"/>
      <c r="X1366" s="210"/>
      <c r="Y1366" s="210"/>
      <c r="Z1366" s="210"/>
      <c r="AA1366" s="210"/>
      <c r="AB1366" s="210"/>
      <c r="AC1366" s="210"/>
      <c r="AD1366" s="210"/>
      <c r="AE1366" s="210"/>
      <c r="AF1366" s="210"/>
      <c r="AG1366" s="210"/>
      <c r="AH1366" s="210"/>
      <c r="AI1366" s="210"/>
      <c r="AJ1366" s="210"/>
    </row>
    <row r="1367" ht="14.25" customHeight="1">
      <c r="A1367" s="210"/>
      <c r="B1367" s="210"/>
      <c r="C1367" s="210"/>
      <c r="D1367" s="210"/>
      <c r="E1367" s="210"/>
      <c r="F1367" s="210"/>
      <c r="G1367" s="210"/>
      <c r="H1367" s="210"/>
      <c r="I1367" s="210"/>
      <c r="J1367" s="210"/>
      <c r="K1367" s="210"/>
      <c r="L1367" s="210"/>
      <c r="M1367" s="210"/>
      <c r="N1367" s="210"/>
      <c r="O1367" s="210"/>
      <c r="P1367" s="210"/>
      <c r="Q1367" s="210"/>
      <c r="R1367" s="210"/>
      <c r="S1367" s="210"/>
      <c r="T1367" s="210"/>
      <c r="U1367" s="210"/>
      <c r="V1367" s="210"/>
      <c r="W1367" s="210"/>
      <c r="X1367" s="210"/>
      <c r="Y1367" s="210"/>
      <c r="Z1367" s="210"/>
      <c r="AA1367" s="210"/>
      <c r="AB1367" s="210"/>
      <c r="AC1367" s="210"/>
      <c r="AD1367" s="210"/>
      <c r="AE1367" s="210"/>
      <c r="AF1367" s="210"/>
      <c r="AG1367" s="210"/>
      <c r="AH1367" s="210"/>
      <c r="AI1367" s="210"/>
      <c r="AJ1367" s="210"/>
    </row>
    <row r="1368" ht="14.25" customHeight="1">
      <c r="A1368" s="210"/>
      <c r="B1368" s="210"/>
      <c r="C1368" s="210"/>
      <c r="D1368" s="210"/>
      <c r="E1368" s="210"/>
      <c r="F1368" s="210"/>
      <c r="G1368" s="210"/>
      <c r="H1368" s="210"/>
      <c r="I1368" s="210"/>
      <c r="J1368" s="210"/>
      <c r="K1368" s="210"/>
      <c r="L1368" s="210"/>
      <c r="M1368" s="210"/>
      <c r="N1368" s="210"/>
      <c r="O1368" s="210"/>
      <c r="P1368" s="210"/>
      <c r="Q1368" s="210"/>
      <c r="R1368" s="210"/>
      <c r="S1368" s="210"/>
      <c r="T1368" s="210"/>
      <c r="U1368" s="210"/>
      <c r="V1368" s="210"/>
      <c r="W1368" s="210"/>
      <c r="X1368" s="210"/>
      <c r="Y1368" s="210"/>
      <c r="Z1368" s="210"/>
      <c r="AA1368" s="210"/>
      <c r="AB1368" s="210"/>
      <c r="AC1368" s="210"/>
      <c r="AD1368" s="210"/>
      <c r="AE1368" s="210"/>
      <c r="AF1368" s="210"/>
      <c r="AG1368" s="210"/>
      <c r="AH1368" s="210"/>
      <c r="AI1368" s="210"/>
      <c r="AJ1368" s="210"/>
    </row>
    <row r="1369" ht="14.25" customHeight="1">
      <c r="A1369" s="210"/>
      <c r="B1369" s="210"/>
      <c r="C1369" s="210"/>
      <c r="D1369" s="210"/>
      <c r="E1369" s="210"/>
      <c r="F1369" s="210"/>
      <c r="G1369" s="210"/>
      <c r="H1369" s="210"/>
      <c r="I1369" s="210"/>
      <c r="J1369" s="210"/>
      <c r="K1369" s="210"/>
      <c r="L1369" s="210"/>
      <c r="M1369" s="210"/>
      <c r="N1369" s="210"/>
      <c r="O1369" s="210"/>
      <c r="P1369" s="210"/>
      <c r="Q1369" s="210"/>
      <c r="R1369" s="210"/>
      <c r="S1369" s="210"/>
      <c r="T1369" s="210"/>
      <c r="U1369" s="210"/>
      <c r="V1369" s="210"/>
      <c r="W1369" s="210"/>
      <c r="X1369" s="210"/>
      <c r="Y1369" s="210"/>
      <c r="Z1369" s="210"/>
      <c r="AA1369" s="210"/>
      <c r="AB1369" s="210"/>
      <c r="AC1369" s="210"/>
      <c r="AD1369" s="210"/>
      <c r="AE1369" s="210"/>
      <c r="AF1369" s="210"/>
      <c r="AG1369" s="210"/>
      <c r="AH1369" s="210"/>
      <c r="AI1369" s="210"/>
      <c r="AJ1369" s="210"/>
    </row>
    <row r="1370" ht="14.25" customHeight="1">
      <c r="A1370" s="210"/>
      <c r="B1370" s="210"/>
      <c r="C1370" s="210"/>
      <c r="D1370" s="210"/>
      <c r="E1370" s="210"/>
      <c r="F1370" s="210"/>
      <c r="G1370" s="210"/>
      <c r="H1370" s="210"/>
      <c r="I1370" s="210"/>
      <c r="J1370" s="210"/>
      <c r="K1370" s="210"/>
      <c r="L1370" s="210"/>
      <c r="M1370" s="210"/>
      <c r="N1370" s="210"/>
      <c r="O1370" s="210"/>
      <c r="P1370" s="210"/>
      <c r="Q1370" s="210"/>
      <c r="R1370" s="210"/>
      <c r="S1370" s="210"/>
      <c r="T1370" s="210"/>
      <c r="U1370" s="210"/>
      <c r="V1370" s="210"/>
      <c r="W1370" s="210"/>
      <c r="X1370" s="210"/>
      <c r="Y1370" s="210"/>
      <c r="Z1370" s="210"/>
      <c r="AA1370" s="210"/>
      <c r="AB1370" s="210"/>
      <c r="AC1370" s="210"/>
      <c r="AD1370" s="210"/>
      <c r="AE1370" s="210"/>
      <c r="AF1370" s="210"/>
      <c r="AG1370" s="210"/>
      <c r="AH1370" s="210"/>
      <c r="AI1370" s="210"/>
      <c r="AJ1370" s="210"/>
    </row>
    <row r="1371" ht="14.25" customHeight="1">
      <c r="A1371" s="210"/>
      <c r="B1371" s="210"/>
      <c r="C1371" s="210"/>
      <c r="D1371" s="210"/>
      <c r="E1371" s="210"/>
      <c r="F1371" s="210"/>
      <c r="G1371" s="210"/>
      <c r="H1371" s="210"/>
      <c r="I1371" s="210"/>
      <c r="J1371" s="210"/>
      <c r="K1371" s="210"/>
      <c r="L1371" s="210"/>
      <c r="M1371" s="210"/>
      <c r="N1371" s="210"/>
      <c r="O1371" s="210"/>
      <c r="P1371" s="210"/>
      <c r="Q1371" s="210"/>
      <c r="R1371" s="210"/>
      <c r="S1371" s="210"/>
      <c r="T1371" s="210"/>
      <c r="U1371" s="210"/>
      <c r="V1371" s="210"/>
      <c r="W1371" s="210"/>
      <c r="X1371" s="210"/>
      <c r="Y1371" s="210"/>
      <c r="Z1371" s="210"/>
      <c r="AA1371" s="210"/>
      <c r="AB1371" s="210"/>
      <c r="AC1371" s="210"/>
      <c r="AD1371" s="210"/>
      <c r="AE1371" s="210"/>
      <c r="AF1371" s="210"/>
      <c r="AG1371" s="210"/>
      <c r="AH1371" s="210"/>
      <c r="AI1371" s="210"/>
      <c r="AJ1371" s="210"/>
    </row>
    <row r="1372" ht="14.25" customHeight="1">
      <c r="A1372" s="210"/>
      <c r="B1372" s="210"/>
      <c r="C1372" s="210"/>
      <c r="D1372" s="210"/>
      <c r="E1372" s="210"/>
      <c r="F1372" s="210"/>
      <c r="G1372" s="210"/>
      <c r="H1372" s="210"/>
      <c r="I1372" s="210"/>
      <c r="J1372" s="210"/>
      <c r="K1372" s="210"/>
      <c r="L1372" s="210"/>
      <c r="M1372" s="210"/>
      <c r="N1372" s="210"/>
      <c r="O1372" s="210"/>
      <c r="P1372" s="210"/>
      <c r="Q1372" s="210"/>
      <c r="R1372" s="210"/>
      <c r="S1372" s="210"/>
      <c r="T1372" s="210"/>
      <c r="U1372" s="210"/>
      <c r="V1372" s="210"/>
      <c r="W1372" s="210"/>
      <c r="X1372" s="210"/>
      <c r="Y1372" s="210"/>
      <c r="Z1372" s="210"/>
      <c r="AA1372" s="210"/>
      <c r="AB1372" s="210"/>
      <c r="AC1372" s="210"/>
      <c r="AD1372" s="210"/>
      <c r="AE1372" s="210"/>
      <c r="AF1372" s="210"/>
      <c r="AG1372" s="210"/>
      <c r="AH1372" s="210"/>
      <c r="AI1372" s="210"/>
      <c r="AJ1372" s="210"/>
    </row>
    <row r="1373" ht="14.25" customHeight="1">
      <c r="A1373" s="210"/>
      <c r="B1373" s="210"/>
      <c r="C1373" s="210"/>
      <c r="D1373" s="210"/>
      <c r="E1373" s="210"/>
      <c r="F1373" s="210"/>
      <c r="G1373" s="210"/>
      <c r="H1373" s="210"/>
      <c r="I1373" s="210"/>
      <c r="J1373" s="210"/>
      <c r="K1373" s="210"/>
      <c r="L1373" s="210"/>
      <c r="M1373" s="210"/>
      <c r="N1373" s="210"/>
      <c r="O1373" s="210"/>
      <c r="P1373" s="210"/>
      <c r="Q1373" s="210"/>
      <c r="R1373" s="210"/>
      <c r="S1373" s="210"/>
      <c r="T1373" s="210"/>
      <c r="U1373" s="210"/>
      <c r="V1373" s="210"/>
      <c r="W1373" s="210"/>
      <c r="X1373" s="210"/>
      <c r="Y1373" s="210"/>
      <c r="Z1373" s="210"/>
      <c r="AA1373" s="210"/>
      <c r="AB1373" s="210"/>
      <c r="AC1373" s="210"/>
      <c r="AD1373" s="210"/>
      <c r="AE1373" s="210"/>
      <c r="AF1373" s="210"/>
      <c r="AG1373" s="210"/>
      <c r="AH1373" s="210"/>
      <c r="AI1373" s="210"/>
      <c r="AJ1373" s="210"/>
    </row>
    <row r="1374" ht="14.25" customHeight="1">
      <c r="A1374" s="210"/>
      <c r="B1374" s="210"/>
      <c r="C1374" s="210"/>
      <c r="D1374" s="210"/>
      <c r="E1374" s="210"/>
      <c r="F1374" s="210"/>
      <c r="G1374" s="210"/>
      <c r="H1374" s="210"/>
      <c r="I1374" s="210"/>
      <c r="J1374" s="210"/>
      <c r="K1374" s="210"/>
      <c r="L1374" s="210"/>
      <c r="M1374" s="210"/>
      <c r="N1374" s="210"/>
      <c r="O1374" s="210"/>
      <c r="P1374" s="210"/>
      <c r="Q1374" s="210"/>
      <c r="R1374" s="210"/>
      <c r="S1374" s="210"/>
      <c r="T1374" s="210"/>
      <c r="U1374" s="210"/>
      <c r="V1374" s="210"/>
      <c r="W1374" s="210"/>
      <c r="X1374" s="210"/>
      <c r="Y1374" s="210"/>
      <c r="Z1374" s="210"/>
      <c r="AA1374" s="210"/>
      <c r="AB1374" s="210"/>
      <c r="AC1374" s="210"/>
      <c r="AD1374" s="210"/>
      <c r="AE1374" s="210"/>
      <c r="AF1374" s="210"/>
      <c r="AG1374" s="210"/>
      <c r="AH1374" s="210"/>
      <c r="AI1374" s="210"/>
      <c r="AJ1374" s="210"/>
    </row>
    <row r="1375" ht="14.25" customHeight="1">
      <c r="A1375" s="210"/>
      <c r="B1375" s="210"/>
      <c r="C1375" s="210"/>
      <c r="D1375" s="210"/>
      <c r="E1375" s="210"/>
      <c r="F1375" s="210"/>
      <c r="G1375" s="210"/>
      <c r="H1375" s="210"/>
      <c r="I1375" s="210"/>
      <c r="J1375" s="210"/>
      <c r="K1375" s="210"/>
      <c r="L1375" s="210"/>
      <c r="M1375" s="210"/>
      <c r="N1375" s="210"/>
      <c r="O1375" s="210"/>
      <c r="P1375" s="210"/>
      <c r="Q1375" s="210"/>
      <c r="R1375" s="210"/>
      <c r="S1375" s="210"/>
      <c r="T1375" s="210"/>
      <c r="U1375" s="210"/>
      <c r="V1375" s="210"/>
      <c r="W1375" s="210"/>
      <c r="X1375" s="210"/>
      <c r="Y1375" s="210"/>
      <c r="Z1375" s="210"/>
      <c r="AA1375" s="210"/>
      <c r="AB1375" s="210"/>
      <c r="AC1375" s="210"/>
      <c r="AD1375" s="210"/>
      <c r="AE1375" s="210"/>
      <c r="AF1375" s="210"/>
      <c r="AG1375" s="210"/>
      <c r="AH1375" s="210"/>
      <c r="AI1375" s="210"/>
      <c r="AJ1375" s="210"/>
    </row>
    <row r="1376" ht="14.25" customHeight="1">
      <c r="A1376" s="210"/>
      <c r="B1376" s="210"/>
      <c r="C1376" s="210"/>
      <c r="D1376" s="210"/>
      <c r="E1376" s="210"/>
      <c r="F1376" s="210"/>
      <c r="G1376" s="210"/>
      <c r="H1376" s="210"/>
      <c r="I1376" s="210"/>
      <c r="J1376" s="210"/>
      <c r="K1376" s="210"/>
      <c r="L1376" s="210"/>
      <c r="M1376" s="210"/>
      <c r="N1376" s="210"/>
      <c r="O1376" s="210"/>
      <c r="P1376" s="210"/>
      <c r="Q1376" s="210"/>
      <c r="R1376" s="210"/>
      <c r="S1376" s="210"/>
      <c r="T1376" s="210"/>
      <c r="U1376" s="210"/>
      <c r="V1376" s="210"/>
      <c r="W1376" s="210"/>
      <c r="X1376" s="210"/>
      <c r="Y1376" s="210"/>
      <c r="Z1376" s="210"/>
      <c r="AA1376" s="210"/>
      <c r="AB1376" s="210"/>
      <c r="AC1376" s="210"/>
      <c r="AD1376" s="210"/>
      <c r="AE1376" s="210"/>
      <c r="AF1376" s="210"/>
      <c r="AG1376" s="210"/>
      <c r="AH1376" s="210"/>
      <c r="AI1376" s="210"/>
      <c r="AJ1376" s="210"/>
    </row>
    <row r="1377" ht="14.25" customHeight="1">
      <c r="A1377" s="210"/>
      <c r="B1377" s="210"/>
      <c r="C1377" s="210"/>
      <c r="D1377" s="210"/>
      <c r="E1377" s="210"/>
      <c r="F1377" s="210"/>
      <c r="G1377" s="210"/>
      <c r="H1377" s="210"/>
      <c r="I1377" s="210"/>
      <c r="J1377" s="210"/>
      <c r="K1377" s="210"/>
      <c r="L1377" s="210"/>
      <c r="M1377" s="210"/>
      <c r="N1377" s="210"/>
      <c r="O1377" s="210"/>
      <c r="P1377" s="210"/>
      <c r="Q1377" s="210"/>
      <c r="R1377" s="210"/>
      <c r="S1377" s="210"/>
      <c r="T1377" s="210"/>
      <c r="U1377" s="210"/>
      <c r="V1377" s="210"/>
      <c r="W1377" s="210"/>
      <c r="X1377" s="210"/>
      <c r="Y1377" s="210"/>
      <c r="Z1377" s="210"/>
      <c r="AA1377" s="210"/>
      <c r="AB1377" s="210"/>
      <c r="AC1377" s="210"/>
      <c r="AD1377" s="210"/>
      <c r="AE1377" s="210"/>
      <c r="AF1377" s="210"/>
      <c r="AG1377" s="210"/>
      <c r="AH1377" s="210"/>
      <c r="AI1377" s="210"/>
      <c r="AJ1377" s="210"/>
    </row>
    <row r="1378" ht="14.25" customHeight="1">
      <c r="A1378" s="210"/>
      <c r="B1378" s="210"/>
      <c r="C1378" s="210"/>
      <c r="D1378" s="210"/>
      <c r="E1378" s="210"/>
      <c r="F1378" s="210"/>
      <c r="G1378" s="210"/>
      <c r="H1378" s="210"/>
      <c r="I1378" s="210"/>
      <c r="J1378" s="210"/>
      <c r="K1378" s="210"/>
      <c r="L1378" s="210"/>
      <c r="M1378" s="210"/>
      <c r="N1378" s="210"/>
      <c r="O1378" s="210"/>
      <c r="P1378" s="210"/>
      <c r="Q1378" s="210"/>
      <c r="R1378" s="210"/>
      <c r="S1378" s="210"/>
      <c r="T1378" s="210"/>
      <c r="U1378" s="210"/>
      <c r="V1378" s="210"/>
      <c r="W1378" s="210"/>
      <c r="X1378" s="210"/>
      <c r="Y1378" s="210"/>
      <c r="Z1378" s="210"/>
      <c r="AA1378" s="210"/>
      <c r="AB1378" s="210"/>
      <c r="AC1378" s="210"/>
      <c r="AD1378" s="210"/>
      <c r="AE1378" s="210"/>
      <c r="AF1378" s="210"/>
      <c r="AG1378" s="210"/>
      <c r="AH1378" s="210"/>
      <c r="AI1378" s="210"/>
      <c r="AJ1378" s="210"/>
    </row>
    <row r="1379" ht="14.25" customHeight="1">
      <c r="A1379" s="210"/>
      <c r="B1379" s="210"/>
      <c r="C1379" s="210"/>
      <c r="D1379" s="210"/>
      <c r="E1379" s="210"/>
      <c r="F1379" s="210"/>
      <c r="G1379" s="210"/>
      <c r="H1379" s="210"/>
      <c r="I1379" s="210"/>
      <c r="J1379" s="210"/>
      <c r="K1379" s="210"/>
      <c r="L1379" s="210"/>
      <c r="M1379" s="210"/>
      <c r="N1379" s="210"/>
      <c r="O1379" s="210"/>
      <c r="P1379" s="210"/>
      <c r="Q1379" s="210"/>
      <c r="R1379" s="210"/>
      <c r="S1379" s="210"/>
      <c r="T1379" s="210"/>
      <c r="U1379" s="210"/>
      <c r="V1379" s="210"/>
      <c r="W1379" s="210"/>
      <c r="X1379" s="210"/>
      <c r="Y1379" s="210"/>
      <c r="Z1379" s="210"/>
      <c r="AA1379" s="210"/>
      <c r="AB1379" s="210"/>
      <c r="AC1379" s="210"/>
      <c r="AD1379" s="210"/>
      <c r="AE1379" s="210"/>
      <c r="AF1379" s="210"/>
      <c r="AG1379" s="210"/>
      <c r="AH1379" s="210"/>
      <c r="AI1379" s="210"/>
      <c r="AJ1379" s="210"/>
    </row>
    <row r="1380" ht="14.25" customHeight="1">
      <c r="A1380" s="210"/>
      <c r="B1380" s="210"/>
      <c r="C1380" s="210"/>
      <c r="D1380" s="210"/>
      <c r="E1380" s="210"/>
      <c r="F1380" s="210"/>
      <c r="G1380" s="210"/>
      <c r="H1380" s="210"/>
      <c r="I1380" s="210"/>
      <c r="J1380" s="210"/>
      <c r="K1380" s="210"/>
      <c r="L1380" s="210"/>
      <c r="M1380" s="210"/>
      <c r="N1380" s="210"/>
      <c r="O1380" s="210"/>
      <c r="P1380" s="210"/>
      <c r="Q1380" s="210"/>
      <c r="R1380" s="210"/>
      <c r="S1380" s="210"/>
      <c r="T1380" s="210"/>
      <c r="U1380" s="210"/>
      <c r="V1380" s="210"/>
      <c r="W1380" s="210"/>
      <c r="X1380" s="210"/>
      <c r="Y1380" s="210"/>
      <c r="Z1380" s="210"/>
      <c r="AA1380" s="210"/>
      <c r="AB1380" s="210"/>
      <c r="AC1380" s="210"/>
      <c r="AD1380" s="210"/>
      <c r="AE1380" s="210"/>
      <c r="AF1380" s="210"/>
      <c r="AG1380" s="210"/>
      <c r="AH1380" s="210"/>
      <c r="AI1380" s="210"/>
      <c r="AJ1380" s="210"/>
    </row>
    <row r="1381" ht="14.25" customHeight="1">
      <c r="A1381" s="210"/>
      <c r="B1381" s="210"/>
      <c r="C1381" s="210"/>
      <c r="D1381" s="210"/>
      <c r="E1381" s="210"/>
      <c r="F1381" s="210"/>
      <c r="G1381" s="210"/>
      <c r="H1381" s="210"/>
      <c r="I1381" s="210"/>
      <c r="J1381" s="210"/>
      <c r="K1381" s="210"/>
      <c r="L1381" s="210"/>
      <c r="M1381" s="210"/>
      <c r="N1381" s="210"/>
      <c r="O1381" s="210"/>
      <c r="P1381" s="210"/>
      <c r="Q1381" s="210"/>
      <c r="R1381" s="210"/>
      <c r="S1381" s="210"/>
      <c r="T1381" s="210"/>
      <c r="U1381" s="210"/>
      <c r="V1381" s="210"/>
      <c r="W1381" s="210"/>
      <c r="X1381" s="210"/>
      <c r="Y1381" s="210"/>
      <c r="Z1381" s="210"/>
      <c r="AA1381" s="210"/>
      <c r="AB1381" s="210"/>
      <c r="AC1381" s="210"/>
      <c r="AD1381" s="210"/>
      <c r="AE1381" s="210"/>
      <c r="AF1381" s="210"/>
      <c r="AG1381" s="210"/>
      <c r="AH1381" s="210"/>
      <c r="AI1381" s="210"/>
      <c r="AJ1381" s="210"/>
    </row>
    <row r="1382" ht="14.25" customHeight="1">
      <c r="A1382" s="210"/>
      <c r="B1382" s="210"/>
      <c r="C1382" s="210"/>
      <c r="D1382" s="210"/>
      <c r="E1382" s="210"/>
      <c r="F1382" s="210"/>
      <c r="G1382" s="210"/>
      <c r="H1382" s="210"/>
      <c r="I1382" s="210"/>
      <c r="J1382" s="210"/>
      <c r="K1382" s="210"/>
      <c r="L1382" s="210"/>
      <c r="M1382" s="210"/>
      <c r="N1382" s="210"/>
      <c r="O1382" s="210"/>
      <c r="P1382" s="210"/>
      <c r="Q1382" s="210"/>
      <c r="R1382" s="210"/>
      <c r="S1382" s="210"/>
      <c r="T1382" s="210"/>
      <c r="U1382" s="210"/>
      <c r="V1382" s="210"/>
      <c r="W1382" s="210"/>
      <c r="X1382" s="210"/>
      <c r="Y1382" s="210"/>
      <c r="Z1382" s="210"/>
      <c r="AA1382" s="210"/>
      <c r="AB1382" s="210"/>
      <c r="AC1382" s="210"/>
      <c r="AD1382" s="210"/>
      <c r="AE1382" s="210"/>
      <c r="AF1382" s="210"/>
      <c r="AG1382" s="210"/>
      <c r="AH1382" s="210"/>
      <c r="AI1382" s="210"/>
      <c r="AJ1382" s="210"/>
    </row>
    <row r="1383" ht="14.25" customHeight="1">
      <c r="A1383" s="210"/>
      <c r="B1383" s="210"/>
      <c r="C1383" s="210"/>
      <c r="D1383" s="210"/>
      <c r="E1383" s="210"/>
      <c r="F1383" s="210"/>
      <c r="G1383" s="210"/>
      <c r="H1383" s="210"/>
      <c r="I1383" s="210"/>
      <c r="J1383" s="210"/>
      <c r="K1383" s="210"/>
      <c r="L1383" s="210"/>
      <c r="M1383" s="210"/>
      <c r="N1383" s="210"/>
      <c r="O1383" s="210"/>
      <c r="P1383" s="210"/>
      <c r="Q1383" s="210"/>
      <c r="R1383" s="210"/>
      <c r="S1383" s="210"/>
      <c r="T1383" s="210"/>
      <c r="U1383" s="210"/>
      <c r="V1383" s="210"/>
      <c r="W1383" s="210"/>
      <c r="X1383" s="210"/>
      <c r="Y1383" s="210"/>
      <c r="Z1383" s="210"/>
      <c r="AA1383" s="210"/>
      <c r="AB1383" s="210"/>
      <c r="AC1383" s="210"/>
      <c r="AD1383" s="210"/>
      <c r="AE1383" s="210"/>
      <c r="AF1383" s="210"/>
      <c r="AG1383" s="210"/>
      <c r="AH1383" s="210"/>
      <c r="AI1383" s="210"/>
      <c r="AJ1383" s="210"/>
    </row>
    <row r="1384" ht="14.25" customHeight="1">
      <c r="A1384" s="210"/>
      <c r="B1384" s="210"/>
      <c r="C1384" s="210"/>
      <c r="D1384" s="210"/>
      <c r="E1384" s="210"/>
      <c r="F1384" s="210"/>
      <c r="G1384" s="210"/>
      <c r="H1384" s="210"/>
      <c r="I1384" s="210"/>
      <c r="J1384" s="210"/>
      <c r="K1384" s="210"/>
      <c r="L1384" s="210"/>
      <c r="M1384" s="210"/>
      <c r="N1384" s="210"/>
      <c r="O1384" s="210"/>
      <c r="P1384" s="210"/>
      <c r="Q1384" s="210"/>
      <c r="R1384" s="210"/>
      <c r="S1384" s="210"/>
      <c r="T1384" s="210"/>
      <c r="U1384" s="210"/>
      <c r="V1384" s="210"/>
      <c r="W1384" s="210"/>
      <c r="X1384" s="210"/>
      <c r="Y1384" s="210"/>
      <c r="Z1384" s="210"/>
      <c r="AA1384" s="210"/>
      <c r="AB1384" s="210"/>
      <c r="AC1384" s="210"/>
      <c r="AD1384" s="210"/>
      <c r="AE1384" s="210"/>
      <c r="AF1384" s="210"/>
      <c r="AG1384" s="210"/>
      <c r="AH1384" s="210"/>
      <c r="AI1384" s="210"/>
      <c r="AJ1384" s="210"/>
    </row>
    <row r="1385" ht="14.25" customHeight="1">
      <c r="A1385" s="210"/>
      <c r="B1385" s="210"/>
      <c r="C1385" s="210"/>
      <c r="D1385" s="210"/>
      <c r="E1385" s="210"/>
      <c r="F1385" s="210"/>
      <c r="G1385" s="210"/>
      <c r="H1385" s="210"/>
      <c r="I1385" s="210"/>
      <c r="J1385" s="210"/>
      <c r="K1385" s="210"/>
      <c r="L1385" s="210"/>
      <c r="M1385" s="210"/>
      <c r="N1385" s="210"/>
      <c r="O1385" s="210"/>
      <c r="P1385" s="210"/>
      <c r="Q1385" s="210"/>
      <c r="R1385" s="210"/>
      <c r="S1385" s="210"/>
      <c r="T1385" s="210"/>
      <c r="U1385" s="210"/>
      <c r="V1385" s="210"/>
      <c r="W1385" s="210"/>
      <c r="X1385" s="210"/>
      <c r="Y1385" s="210"/>
      <c r="Z1385" s="210"/>
      <c r="AA1385" s="210"/>
      <c r="AB1385" s="210"/>
      <c r="AC1385" s="210"/>
      <c r="AD1385" s="210"/>
      <c r="AE1385" s="210"/>
      <c r="AF1385" s="210"/>
      <c r="AG1385" s="210"/>
      <c r="AH1385" s="210"/>
      <c r="AI1385" s="210"/>
      <c r="AJ1385" s="210"/>
    </row>
    <row r="1386" ht="14.25" customHeight="1">
      <c r="A1386" s="210"/>
      <c r="B1386" s="210"/>
      <c r="C1386" s="210"/>
      <c r="D1386" s="210"/>
      <c r="E1386" s="210"/>
      <c r="F1386" s="210"/>
      <c r="G1386" s="210"/>
      <c r="H1386" s="210"/>
      <c r="I1386" s="210"/>
      <c r="J1386" s="210"/>
      <c r="K1386" s="210"/>
      <c r="L1386" s="210"/>
      <c r="M1386" s="210"/>
      <c r="N1386" s="210"/>
      <c r="O1386" s="210"/>
      <c r="P1386" s="210"/>
      <c r="Q1386" s="210"/>
      <c r="R1386" s="210"/>
      <c r="S1386" s="210"/>
      <c r="T1386" s="210"/>
      <c r="U1386" s="210"/>
      <c r="V1386" s="210"/>
      <c r="W1386" s="210"/>
      <c r="X1386" s="210"/>
      <c r="Y1386" s="210"/>
      <c r="Z1386" s="210"/>
      <c r="AA1386" s="210"/>
      <c r="AB1386" s="210"/>
      <c r="AC1386" s="210"/>
      <c r="AD1386" s="210"/>
      <c r="AE1386" s="210"/>
      <c r="AF1386" s="210"/>
      <c r="AG1386" s="210"/>
      <c r="AH1386" s="210"/>
      <c r="AI1386" s="210"/>
      <c r="AJ1386" s="210"/>
    </row>
    <row r="1387" ht="14.25" customHeight="1">
      <c r="A1387" s="210"/>
      <c r="B1387" s="210"/>
      <c r="C1387" s="210"/>
      <c r="D1387" s="210"/>
      <c r="E1387" s="210"/>
      <c r="F1387" s="210"/>
      <c r="G1387" s="210"/>
      <c r="H1387" s="210"/>
      <c r="I1387" s="210"/>
      <c r="J1387" s="210"/>
      <c r="K1387" s="210"/>
      <c r="L1387" s="210"/>
      <c r="M1387" s="210"/>
      <c r="N1387" s="210"/>
      <c r="O1387" s="210"/>
      <c r="P1387" s="210"/>
      <c r="Q1387" s="210"/>
      <c r="R1387" s="210"/>
      <c r="S1387" s="210"/>
      <c r="T1387" s="210"/>
      <c r="U1387" s="210"/>
      <c r="V1387" s="210"/>
      <c r="W1387" s="210"/>
      <c r="X1387" s="210"/>
      <c r="Y1387" s="210"/>
      <c r="Z1387" s="210"/>
      <c r="AA1387" s="210"/>
      <c r="AB1387" s="210"/>
      <c r="AC1387" s="210"/>
      <c r="AD1387" s="210"/>
      <c r="AE1387" s="210"/>
      <c r="AF1387" s="210"/>
      <c r="AG1387" s="210"/>
      <c r="AH1387" s="210"/>
      <c r="AI1387" s="210"/>
      <c r="AJ1387" s="210"/>
    </row>
    <row r="1388" ht="14.25" customHeight="1">
      <c r="A1388" s="210"/>
      <c r="B1388" s="210"/>
      <c r="C1388" s="210"/>
      <c r="D1388" s="210"/>
      <c r="E1388" s="210"/>
      <c r="F1388" s="210"/>
      <c r="G1388" s="210"/>
      <c r="H1388" s="210"/>
      <c r="I1388" s="210"/>
      <c r="J1388" s="210"/>
      <c r="K1388" s="210"/>
      <c r="L1388" s="210"/>
      <c r="M1388" s="210"/>
      <c r="N1388" s="210"/>
      <c r="O1388" s="210"/>
      <c r="P1388" s="210"/>
      <c r="Q1388" s="210"/>
      <c r="R1388" s="210"/>
      <c r="S1388" s="210"/>
      <c r="T1388" s="210"/>
      <c r="U1388" s="210"/>
      <c r="V1388" s="210"/>
      <c r="W1388" s="210"/>
      <c r="X1388" s="210"/>
      <c r="Y1388" s="210"/>
      <c r="Z1388" s="210"/>
      <c r="AA1388" s="210"/>
      <c r="AB1388" s="210"/>
      <c r="AC1388" s="210"/>
      <c r="AD1388" s="210"/>
      <c r="AE1388" s="210"/>
      <c r="AF1388" s="210"/>
      <c r="AG1388" s="210"/>
      <c r="AH1388" s="210"/>
      <c r="AI1388" s="210"/>
      <c r="AJ1388" s="210"/>
    </row>
    <row r="1389" ht="14.25" customHeight="1">
      <c r="A1389" s="210"/>
      <c r="B1389" s="210"/>
      <c r="C1389" s="210"/>
      <c r="D1389" s="210"/>
      <c r="E1389" s="210"/>
      <c r="F1389" s="210"/>
      <c r="G1389" s="210"/>
      <c r="H1389" s="210"/>
      <c r="I1389" s="210"/>
      <c r="J1389" s="210"/>
      <c r="K1389" s="210"/>
      <c r="L1389" s="210"/>
      <c r="M1389" s="210"/>
      <c r="N1389" s="210"/>
      <c r="O1389" s="210"/>
      <c r="P1389" s="210"/>
      <c r="Q1389" s="210"/>
      <c r="R1389" s="210"/>
      <c r="S1389" s="210"/>
      <c r="T1389" s="210"/>
      <c r="U1389" s="210"/>
      <c r="V1389" s="210"/>
      <c r="W1389" s="210"/>
      <c r="X1389" s="210"/>
      <c r="Y1389" s="210"/>
      <c r="Z1389" s="210"/>
      <c r="AA1389" s="210"/>
      <c r="AB1389" s="210"/>
      <c r="AC1389" s="210"/>
      <c r="AD1389" s="210"/>
      <c r="AE1389" s="210"/>
      <c r="AF1389" s="210"/>
      <c r="AG1389" s="210"/>
      <c r="AH1389" s="210"/>
      <c r="AI1389" s="210"/>
      <c r="AJ1389" s="210"/>
    </row>
    <row r="1390" ht="14.25" customHeight="1">
      <c r="A1390" s="210"/>
      <c r="B1390" s="210"/>
      <c r="C1390" s="210"/>
      <c r="D1390" s="210"/>
      <c r="E1390" s="210"/>
      <c r="F1390" s="210"/>
      <c r="G1390" s="210"/>
      <c r="H1390" s="210"/>
      <c r="I1390" s="210"/>
      <c r="J1390" s="210"/>
      <c r="K1390" s="210"/>
      <c r="L1390" s="210"/>
      <c r="M1390" s="210"/>
      <c r="N1390" s="210"/>
      <c r="O1390" s="210"/>
      <c r="P1390" s="210"/>
      <c r="Q1390" s="210"/>
      <c r="R1390" s="210"/>
      <c r="S1390" s="210"/>
      <c r="T1390" s="210"/>
      <c r="U1390" s="210"/>
      <c r="V1390" s="210"/>
      <c r="W1390" s="210"/>
      <c r="X1390" s="210"/>
      <c r="Y1390" s="210"/>
      <c r="Z1390" s="210"/>
      <c r="AA1390" s="210"/>
      <c r="AB1390" s="210"/>
      <c r="AC1390" s="210"/>
      <c r="AD1390" s="210"/>
      <c r="AE1390" s="210"/>
      <c r="AF1390" s="210"/>
      <c r="AG1390" s="210"/>
      <c r="AH1390" s="210"/>
      <c r="AI1390" s="210"/>
      <c r="AJ1390" s="210"/>
    </row>
    <row r="1391" ht="14.25" customHeight="1">
      <c r="A1391" s="210"/>
      <c r="B1391" s="210"/>
      <c r="C1391" s="210"/>
      <c r="D1391" s="210"/>
      <c r="E1391" s="210"/>
      <c r="F1391" s="210"/>
      <c r="G1391" s="210"/>
      <c r="H1391" s="210"/>
      <c r="I1391" s="210"/>
      <c r="J1391" s="210"/>
      <c r="K1391" s="210"/>
      <c r="L1391" s="210"/>
      <c r="M1391" s="210"/>
      <c r="N1391" s="210"/>
      <c r="O1391" s="210"/>
      <c r="P1391" s="210"/>
      <c r="Q1391" s="210"/>
      <c r="R1391" s="210"/>
      <c r="S1391" s="210"/>
      <c r="T1391" s="210"/>
      <c r="U1391" s="210"/>
      <c r="V1391" s="210"/>
      <c r="W1391" s="210"/>
      <c r="X1391" s="210"/>
      <c r="Y1391" s="210"/>
      <c r="Z1391" s="210"/>
      <c r="AA1391" s="210"/>
      <c r="AB1391" s="210"/>
      <c r="AC1391" s="210"/>
      <c r="AD1391" s="210"/>
      <c r="AE1391" s="210"/>
      <c r="AF1391" s="210"/>
      <c r="AG1391" s="210"/>
      <c r="AH1391" s="210"/>
      <c r="AI1391" s="210"/>
      <c r="AJ1391" s="210"/>
    </row>
    <row r="1392" ht="14.25" customHeight="1">
      <c r="A1392" s="210"/>
      <c r="B1392" s="210"/>
      <c r="C1392" s="210"/>
      <c r="D1392" s="210"/>
      <c r="E1392" s="210"/>
      <c r="F1392" s="210"/>
      <c r="G1392" s="210"/>
      <c r="H1392" s="210"/>
      <c r="I1392" s="210"/>
      <c r="J1392" s="210"/>
      <c r="K1392" s="210"/>
      <c r="L1392" s="210"/>
      <c r="M1392" s="210"/>
      <c r="N1392" s="210"/>
      <c r="O1392" s="210"/>
      <c r="P1392" s="210"/>
      <c r="Q1392" s="210"/>
      <c r="R1392" s="210"/>
      <c r="S1392" s="210"/>
      <c r="T1392" s="210"/>
      <c r="U1392" s="210"/>
      <c r="V1392" s="210"/>
      <c r="W1392" s="210"/>
      <c r="X1392" s="210"/>
      <c r="Y1392" s="210"/>
      <c r="Z1392" s="210"/>
      <c r="AA1392" s="210"/>
      <c r="AB1392" s="210"/>
      <c r="AC1392" s="210"/>
      <c r="AD1392" s="210"/>
      <c r="AE1392" s="210"/>
      <c r="AF1392" s="210"/>
      <c r="AG1392" s="210"/>
      <c r="AH1392" s="210"/>
      <c r="AI1392" s="210"/>
      <c r="AJ1392" s="210"/>
    </row>
    <row r="1393" ht="14.25" customHeight="1">
      <c r="A1393" s="210"/>
      <c r="B1393" s="210"/>
      <c r="C1393" s="210"/>
      <c r="D1393" s="210"/>
      <c r="E1393" s="210"/>
      <c r="F1393" s="210"/>
      <c r="G1393" s="210"/>
      <c r="H1393" s="210"/>
      <c r="I1393" s="210"/>
      <c r="J1393" s="210"/>
      <c r="K1393" s="210"/>
      <c r="L1393" s="210"/>
      <c r="M1393" s="210"/>
      <c r="N1393" s="210"/>
      <c r="O1393" s="210"/>
      <c r="P1393" s="210"/>
      <c r="Q1393" s="210"/>
      <c r="R1393" s="210"/>
      <c r="S1393" s="210"/>
      <c r="T1393" s="210"/>
      <c r="U1393" s="210"/>
      <c r="V1393" s="210"/>
      <c r="W1393" s="210"/>
      <c r="X1393" s="210"/>
      <c r="Y1393" s="210"/>
      <c r="Z1393" s="210"/>
      <c r="AA1393" s="210"/>
      <c r="AB1393" s="210"/>
      <c r="AC1393" s="210"/>
      <c r="AD1393" s="210"/>
      <c r="AE1393" s="210"/>
      <c r="AF1393" s="210"/>
      <c r="AG1393" s="210"/>
      <c r="AH1393" s="210"/>
      <c r="AI1393" s="210"/>
      <c r="AJ1393" s="210"/>
    </row>
    <row r="1394" ht="14.25" customHeight="1">
      <c r="A1394" s="210"/>
      <c r="B1394" s="210"/>
      <c r="C1394" s="210"/>
      <c r="D1394" s="210"/>
      <c r="E1394" s="210"/>
      <c r="F1394" s="210"/>
      <c r="G1394" s="210"/>
      <c r="H1394" s="210"/>
      <c r="I1394" s="210"/>
      <c r="J1394" s="210"/>
      <c r="K1394" s="210"/>
      <c r="L1394" s="210"/>
      <c r="M1394" s="210"/>
      <c r="N1394" s="210"/>
      <c r="O1394" s="210"/>
      <c r="P1394" s="210"/>
      <c r="Q1394" s="210"/>
      <c r="R1394" s="210"/>
      <c r="S1394" s="210"/>
      <c r="T1394" s="210"/>
      <c r="U1394" s="210"/>
      <c r="V1394" s="210"/>
      <c r="W1394" s="210"/>
      <c r="X1394" s="210"/>
      <c r="Y1394" s="210"/>
      <c r="Z1394" s="210"/>
      <c r="AA1394" s="210"/>
      <c r="AB1394" s="210"/>
      <c r="AC1394" s="210"/>
      <c r="AD1394" s="210"/>
      <c r="AE1394" s="210"/>
      <c r="AF1394" s="210"/>
      <c r="AG1394" s="210"/>
      <c r="AH1394" s="210"/>
      <c r="AI1394" s="210"/>
      <c r="AJ1394" s="210"/>
    </row>
    <row r="1395" ht="14.25" customHeight="1">
      <c r="A1395" s="210"/>
      <c r="B1395" s="210"/>
      <c r="C1395" s="210"/>
      <c r="D1395" s="210"/>
      <c r="E1395" s="210"/>
      <c r="F1395" s="210"/>
      <c r="G1395" s="210"/>
      <c r="H1395" s="210"/>
      <c r="I1395" s="210"/>
      <c r="J1395" s="210"/>
      <c r="K1395" s="210"/>
      <c r="L1395" s="210"/>
      <c r="M1395" s="210"/>
      <c r="N1395" s="210"/>
      <c r="O1395" s="210"/>
      <c r="P1395" s="210"/>
      <c r="Q1395" s="210"/>
      <c r="R1395" s="210"/>
      <c r="S1395" s="210"/>
      <c r="T1395" s="210"/>
      <c r="U1395" s="210"/>
      <c r="V1395" s="210"/>
      <c r="W1395" s="210"/>
      <c r="X1395" s="210"/>
      <c r="Y1395" s="210"/>
      <c r="Z1395" s="210"/>
      <c r="AA1395" s="210"/>
      <c r="AB1395" s="210"/>
      <c r="AC1395" s="210"/>
      <c r="AD1395" s="210"/>
      <c r="AE1395" s="210"/>
      <c r="AF1395" s="210"/>
      <c r="AG1395" s="210"/>
      <c r="AH1395" s="210"/>
      <c r="AI1395" s="210"/>
      <c r="AJ1395" s="210"/>
    </row>
    <row r="1396" ht="14.25" customHeight="1">
      <c r="A1396" s="210"/>
      <c r="B1396" s="210"/>
      <c r="C1396" s="210"/>
      <c r="D1396" s="210"/>
      <c r="E1396" s="210"/>
      <c r="F1396" s="210"/>
      <c r="G1396" s="210"/>
      <c r="H1396" s="210"/>
      <c r="I1396" s="210"/>
      <c r="J1396" s="210"/>
      <c r="K1396" s="210"/>
      <c r="L1396" s="210"/>
      <c r="M1396" s="210"/>
      <c r="N1396" s="210"/>
      <c r="O1396" s="210"/>
      <c r="P1396" s="210"/>
      <c r="Q1396" s="210"/>
      <c r="R1396" s="210"/>
      <c r="S1396" s="210"/>
      <c r="T1396" s="210"/>
      <c r="U1396" s="210"/>
      <c r="V1396" s="210"/>
      <c r="W1396" s="210"/>
      <c r="X1396" s="210"/>
      <c r="Y1396" s="210"/>
      <c r="Z1396" s="210"/>
      <c r="AA1396" s="210"/>
      <c r="AB1396" s="210"/>
      <c r="AC1396" s="210"/>
      <c r="AD1396" s="210"/>
      <c r="AE1396" s="210"/>
      <c r="AF1396" s="210"/>
      <c r="AG1396" s="210"/>
      <c r="AH1396" s="210"/>
      <c r="AI1396" s="210"/>
      <c r="AJ1396" s="210"/>
    </row>
    <row r="1397" ht="14.25" customHeight="1">
      <c r="A1397" s="210"/>
      <c r="B1397" s="210"/>
      <c r="C1397" s="210"/>
      <c r="D1397" s="210"/>
      <c r="E1397" s="210"/>
      <c r="F1397" s="210"/>
      <c r="G1397" s="210"/>
      <c r="H1397" s="210"/>
      <c r="I1397" s="210"/>
      <c r="J1397" s="210"/>
      <c r="K1397" s="210"/>
      <c r="L1397" s="210"/>
      <c r="M1397" s="210"/>
      <c r="N1397" s="210"/>
      <c r="O1397" s="210"/>
      <c r="P1397" s="210"/>
      <c r="Q1397" s="210"/>
      <c r="R1397" s="210"/>
      <c r="S1397" s="210"/>
      <c r="T1397" s="210"/>
      <c r="U1397" s="210"/>
      <c r="V1397" s="210"/>
      <c r="W1397" s="210"/>
      <c r="X1397" s="210"/>
      <c r="Y1397" s="210"/>
      <c r="Z1397" s="210"/>
      <c r="AA1397" s="210"/>
      <c r="AB1397" s="210"/>
      <c r="AC1397" s="210"/>
      <c r="AD1397" s="210"/>
      <c r="AE1397" s="210"/>
      <c r="AF1397" s="210"/>
      <c r="AG1397" s="210"/>
      <c r="AH1397" s="210"/>
      <c r="AI1397" s="210"/>
      <c r="AJ1397" s="210"/>
    </row>
    <row r="1398" ht="14.25" customHeight="1">
      <c r="A1398" s="210"/>
      <c r="B1398" s="210"/>
      <c r="C1398" s="210"/>
      <c r="D1398" s="210"/>
      <c r="E1398" s="210"/>
      <c r="F1398" s="210"/>
      <c r="G1398" s="210"/>
      <c r="H1398" s="210"/>
      <c r="I1398" s="210"/>
      <c r="J1398" s="210"/>
      <c r="K1398" s="210"/>
      <c r="L1398" s="210"/>
      <c r="M1398" s="210"/>
      <c r="N1398" s="210"/>
      <c r="O1398" s="210"/>
      <c r="P1398" s="210"/>
      <c r="Q1398" s="210"/>
      <c r="R1398" s="210"/>
      <c r="S1398" s="210"/>
      <c r="T1398" s="210"/>
      <c r="U1398" s="210"/>
      <c r="V1398" s="210"/>
      <c r="W1398" s="210"/>
      <c r="X1398" s="210"/>
      <c r="Y1398" s="210"/>
      <c r="Z1398" s="210"/>
      <c r="AA1398" s="210"/>
      <c r="AB1398" s="210"/>
      <c r="AC1398" s="210"/>
      <c r="AD1398" s="210"/>
      <c r="AE1398" s="210"/>
      <c r="AF1398" s="210"/>
      <c r="AG1398" s="210"/>
      <c r="AH1398" s="210"/>
      <c r="AI1398" s="210"/>
      <c r="AJ1398" s="210"/>
    </row>
    <row r="1399" ht="14.25" customHeight="1">
      <c r="A1399" s="210"/>
      <c r="B1399" s="210"/>
      <c r="C1399" s="210"/>
      <c r="D1399" s="210"/>
      <c r="E1399" s="210"/>
      <c r="F1399" s="210"/>
      <c r="G1399" s="210"/>
      <c r="H1399" s="210"/>
      <c r="I1399" s="210"/>
      <c r="J1399" s="210"/>
      <c r="K1399" s="210"/>
      <c r="L1399" s="210"/>
      <c r="M1399" s="210"/>
      <c r="N1399" s="210"/>
      <c r="O1399" s="210"/>
      <c r="P1399" s="210"/>
      <c r="Q1399" s="210"/>
      <c r="R1399" s="210"/>
      <c r="S1399" s="210"/>
      <c r="T1399" s="210"/>
      <c r="U1399" s="210"/>
      <c r="V1399" s="210"/>
      <c r="W1399" s="210"/>
      <c r="X1399" s="210"/>
      <c r="Y1399" s="210"/>
      <c r="Z1399" s="210"/>
      <c r="AA1399" s="210"/>
      <c r="AB1399" s="210"/>
      <c r="AC1399" s="210"/>
      <c r="AD1399" s="210"/>
      <c r="AE1399" s="210"/>
      <c r="AF1399" s="210"/>
      <c r="AG1399" s="210"/>
      <c r="AH1399" s="210"/>
      <c r="AI1399" s="210"/>
      <c r="AJ1399" s="210"/>
    </row>
    <row r="1400" ht="14.25" customHeight="1">
      <c r="A1400" s="210"/>
      <c r="B1400" s="210"/>
      <c r="C1400" s="210"/>
      <c r="D1400" s="210"/>
      <c r="E1400" s="210"/>
      <c r="F1400" s="210"/>
      <c r="G1400" s="210"/>
      <c r="H1400" s="210"/>
      <c r="I1400" s="210"/>
      <c r="J1400" s="210"/>
      <c r="K1400" s="210"/>
      <c r="L1400" s="210"/>
      <c r="M1400" s="210"/>
      <c r="N1400" s="210"/>
      <c r="O1400" s="210"/>
      <c r="P1400" s="210"/>
      <c r="Q1400" s="210"/>
      <c r="R1400" s="210"/>
      <c r="S1400" s="210"/>
      <c r="T1400" s="210"/>
      <c r="U1400" s="210"/>
      <c r="V1400" s="210"/>
      <c r="W1400" s="210"/>
      <c r="X1400" s="210"/>
      <c r="Y1400" s="210"/>
      <c r="Z1400" s="210"/>
      <c r="AA1400" s="210"/>
      <c r="AB1400" s="210"/>
      <c r="AC1400" s="210"/>
      <c r="AD1400" s="210"/>
      <c r="AE1400" s="210"/>
      <c r="AF1400" s="210"/>
      <c r="AG1400" s="210"/>
      <c r="AH1400" s="210"/>
      <c r="AI1400" s="210"/>
      <c r="AJ1400" s="210"/>
    </row>
    <row r="1401" ht="14.25" customHeight="1">
      <c r="A1401" s="210"/>
      <c r="B1401" s="210"/>
      <c r="C1401" s="210"/>
      <c r="D1401" s="210"/>
      <c r="E1401" s="210"/>
      <c r="F1401" s="210"/>
      <c r="G1401" s="210"/>
      <c r="H1401" s="210"/>
      <c r="I1401" s="210"/>
      <c r="J1401" s="210"/>
      <c r="K1401" s="210"/>
      <c r="L1401" s="210"/>
      <c r="M1401" s="210"/>
      <c r="N1401" s="210"/>
      <c r="O1401" s="210"/>
      <c r="P1401" s="210"/>
      <c r="Q1401" s="210"/>
      <c r="R1401" s="210"/>
      <c r="S1401" s="210"/>
      <c r="T1401" s="210"/>
      <c r="U1401" s="210"/>
      <c r="V1401" s="210"/>
      <c r="W1401" s="210"/>
      <c r="X1401" s="210"/>
      <c r="Y1401" s="210"/>
      <c r="Z1401" s="210"/>
      <c r="AA1401" s="210"/>
      <c r="AB1401" s="210"/>
      <c r="AC1401" s="210"/>
      <c r="AD1401" s="210"/>
      <c r="AE1401" s="210"/>
      <c r="AF1401" s="210"/>
      <c r="AG1401" s="210"/>
      <c r="AH1401" s="210"/>
      <c r="AI1401" s="210"/>
      <c r="AJ1401" s="210"/>
    </row>
    <row r="1402" ht="14.25" customHeight="1">
      <c r="A1402" s="210"/>
      <c r="B1402" s="210"/>
      <c r="C1402" s="210"/>
      <c r="D1402" s="210"/>
      <c r="E1402" s="210"/>
      <c r="F1402" s="210"/>
      <c r="G1402" s="210"/>
      <c r="H1402" s="210"/>
      <c r="I1402" s="210"/>
      <c r="J1402" s="210"/>
      <c r="K1402" s="210"/>
      <c r="L1402" s="210"/>
      <c r="M1402" s="210"/>
      <c r="N1402" s="210"/>
      <c r="O1402" s="210"/>
      <c r="P1402" s="210"/>
      <c r="Q1402" s="210"/>
      <c r="R1402" s="210"/>
      <c r="S1402" s="210"/>
      <c r="T1402" s="210"/>
      <c r="U1402" s="210"/>
      <c r="V1402" s="210"/>
      <c r="W1402" s="210"/>
      <c r="X1402" s="210"/>
      <c r="Y1402" s="210"/>
      <c r="Z1402" s="210"/>
      <c r="AA1402" s="210"/>
      <c r="AB1402" s="210"/>
      <c r="AC1402" s="210"/>
      <c r="AD1402" s="210"/>
      <c r="AE1402" s="210"/>
      <c r="AF1402" s="210"/>
      <c r="AG1402" s="210"/>
      <c r="AH1402" s="210"/>
      <c r="AI1402" s="210"/>
      <c r="AJ1402" s="210"/>
    </row>
    <row r="1403" ht="14.25" customHeight="1">
      <c r="A1403" s="210"/>
      <c r="B1403" s="210"/>
      <c r="C1403" s="210"/>
      <c r="D1403" s="210"/>
      <c r="E1403" s="210"/>
      <c r="F1403" s="210"/>
      <c r="G1403" s="210"/>
      <c r="H1403" s="210"/>
      <c r="I1403" s="210"/>
      <c r="J1403" s="210"/>
      <c r="K1403" s="210"/>
      <c r="L1403" s="210"/>
      <c r="M1403" s="210"/>
      <c r="N1403" s="210"/>
      <c r="O1403" s="210"/>
      <c r="P1403" s="210"/>
      <c r="Q1403" s="210"/>
      <c r="R1403" s="210"/>
      <c r="S1403" s="210"/>
      <c r="T1403" s="210"/>
      <c r="U1403" s="210"/>
      <c r="V1403" s="210"/>
      <c r="W1403" s="210"/>
      <c r="X1403" s="210"/>
      <c r="Y1403" s="210"/>
      <c r="Z1403" s="210"/>
      <c r="AA1403" s="210"/>
      <c r="AB1403" s="210"/>
      <c r="AC1403" s="210"/>
      <c r="AD1403" s="210"/>
      <c r="AE1403" s="210"/>
      <c r="AF1403" s="210"/>
      <c r="AG1403" s="210"/>
      <c r="AH1403" s="210"/>
      <c r="AI1403" s="210"/>
      <c r="AJ1403" s="210"/>
    </row>
    <row r="1404" ht="14.25" customHeight="1">
      <c r="A1404" s="210"/>
      <c r="B1404" s="210"/>
      <c r="C1404" s="210"/>
      <c r="D1404" s="210"/>
      <c r="E1404" s="210"/>
      <c r="F1404" s="210"/>
      <c r="G1404" s="210"/>
      <c r="H1404" s="210"/>
      <c r="I1404" s="210"/>
      <c r="J1404" s="210"/>
      <c r="K1404" s="210"/>
      <c r="L1404" s="210"/>
      <c r="M1404" s="210"/>
      <c r="N1404" s="210"/>
      <c r="O1404" s="210"/>
      <c r="P1404" s="210"/>
      <c r="Q1404" s="210"/>
      <c r="R1404" s="210"/>
      <c r="S1404" s="210"/>
      <c r="T1404" s="210"/>
      <c r="U1404" s="210"/>
      <c r="V1404" s="210"/>
      <c r="W1404" s="210"/>
      <c r="X1404" s="210"/>
      <c r="Y1404" s="210"/>
      <c r="Z1404" s="210"/>
      <c r="AA1404" s="210"/>
      <c r="AB1404" s="210"/>
      <c r="AC1404" s="210"/>
      <c r="AD1404" s="210"/>
      <c r="AE1404" s="210"/>
      <c r="AF1404" s="210"/>
      <c r="AG1404" s="210"/>
      <c r="AH1404" s="210"/>
      <c r="AI1404" s="210"/>
      <c r="AJ1404" s="210"/>
    </row>
    <row r="1405" ht="14.25" customHeight="1">
      <c r="A1405" s="210"/>
      <c r="B1405" s="210"/>
      <c r="C1405" s="210"/>
      <c r="D1405" s="210"/>
      <c r="E1405" s="210"/>
      <c r="F1405" s="210"/>
      <c r="G1405" s="210"/>
      <c r="H1405" s="210"/>
      <c r="I1405" s="210"/>
      <c r="J1405" s="210"/>
      <c r="K1405" s="210"/>
      <c r="L1405" s="210"/>
      <c r="M1405" s="210"/>
      <c r="N1405" s="210"/>
      <c r="O1405" s="210"/>
      <c r="P1405" s="210"/>
      <c r="Q1405" s="210"/>
      <c r="R1405" s="210"/>
      <c r="S1405" s="210"/>
      <c r="T1405" s="210"/>
      <c r="U1405" s="210"/>
      <c r="V1405" s="210"/>
      <c r="W1405" s="210"/>
      <c r="X1405" s="210"/>
      <c r="Y1405" s="210"/>
      <c r="Z1405" s="210"/>
      <c r="AA1405" s="210"/>
      <c r="AB1405" s="210"/>
      <c r="AC1405" s="210"/>
      <c r="AD1405" s="210"/>
      <c r="AE1405" s="210"/>
      <c r="AF1405" s="210"/>
      <c r="AG1405" s="210"/>
      <c r="AH1405" s="210"/>
      <c r="AI1405" s="210"/>
      <c r="AJ1405" s="210"/>
    </row>
    <row r="1406" ht="14.25" customHeight="1">
      <c r="A1406" s="210"/>
      <c r="B1406" s="210"/>
      <c r="C1406" s="210"/>
      <c r="D1406" s="210"/>
      <c r="E1406" s="210"/>
      <c r="F1406" s="210"/>
      <c r="G1406" s="210"/>
      <c r="H1406" s="210"/>
      <c r="I1406" s="210"/>
      <c r="J1406" s="210"/>
      <c r="K1406" s="210"/>
      <c r="L1406" s="210"/>
      <c r="M1406" s="210"/>
      <c r="N1406" s="210"/>
      <c r="O1406" s="210"/>
      <c r="P1406" s="210"/>
      <c r="Q1406" s="210"/>
      <c r="R1406" s="210"/>
      <c r="S1406" s="210"/>
      <c r="T1406" s="210"/>
      <c r="U1406" s="210"/>
      <c r="V1406" s="210"/>
      <c r="W1406" s="210"/>
      <c r="X1406" s="210"/>
      <c r="Y1406" s="210"/>
      <c r="Z1406" s="210"/>
      <c r="AA1406" s="210"/>
      <c r="AB1406" s="210"/>
      <c r="AC1406" s="210"/>
      <c r="AD1406" s="210"/>
      <c r="AE1406" s="210"/>
      <c r="AF1406" s="210"/>
      <c r="AG1406" s="210"/>
      <c r="AH1406" s="210"/>
      <c r="AI1406" s="210"/>
      <c r="AJ1406" s="210"/>
    </row>
    <row r="1407" ht="14.25" customHeight="1">
      <c r="A1407" s="210"/>
      <c r="B1407" s="210"/>
      <c r="C1407" s="210"/>
      <c r="D1407" s="210"/>
      <c r="E1407" s="210"/>
      <c r="F1407" s="210"/>
      <c r="G1407" s="210"/>
      <c r="H1407" s="210"/>
      <c r="I1407" s="210"/>
      <c r="J1407" s="210"/>
      <c r="K1407" s="210"/>
      <c r="L1407" s="210"/>
      <c r="M1407" s="210"/>
      <c r="N1407" s="210"/>
      <c r="O1407" s="210"/>
      <c r="P1407" s="210"/>
      <c r="Q1407" s="210"/>
      <c r="R1407" s="210"/>
      <c r="S1407" s="210"/>
      <c r="T1407" s="210"/>
      <c r="U1407" s="210"/>
      <c r="V1407" s="210"/>
      <c r="W1407" s="210"/>
      <c r="X1407" s="210"/>
      <c r="Y1407" s="210"/>
      <c r="Z1407" s="210"/>
      <c r="AA1407" s="210"/>
      <c r="AB1407" s="210"/>
      <c r="AC1407" s="210"/>
      <c r="AD1407" s="210"/>
      <c r="AE1407" s="210"/>
      <c r="AF1407" s="210"/>
      <c r="AG1407" s="210"/>
      <c r="AH1407" s="210"/>
      <c r="AI1407" s="210"/>
      <c r="AJ1407" s="210"/>
    </row>
    <row r="1408" ht="14.25" customHeight="1">
      <c r="A1408" s="210"/>
      <c r="B1408" s="210"/>
      <c r="C1408" s="210"/>
      <c r="D1408" s="210"/>
      <c r="E1408" s="210"/>
      <c r="F1408" s="210"/>
      <c r="G1408" s="210"/>
      <c r="H1408" s="210"/>
      <c r="I1408" s="210"/>
      <c r="J1408" s="210"/>
      <c r="K1408" s="210"/>
      <c r="L1408" s="210"/>
      <c r="M1408" s="210"/>
      <c r="N1408" s="210"/>
      <c r="O1408" s="210"/>
      <c r="P1408" s="210"/>
      <c r="Q1408" s="210"/>
      <c r="R1408" s="210"/>
      <c r="S1408" s="210"/>
      <c r="T1408" s="210"/>
      <c r="U1408" s="210"/>
      <c r="V1408" s="210"/>
      <c r="W1408" s="210"/>
      <c r="X1408" s="210"/>
      <c r="Y1408" s="210"/>
      <c r="Z1408" s="210"/>
      <c r="AA1408" s="210"/>
      <c r="AB1408" s="210"/>
      <c r="AC1408" s="210"/>
      <c r="AD1408" s="210"/>
      <c r="AE1408" s="210"/>
      <c r="AF1408" s="210"/>
      <c r="AG1408" s="210"/>
      <c r="AH1408" s="210"/>
      <c r="AI1408" s="210"/>
      <c r="AJ1408" s="210"/>
    </row>
    <row r="1409" ht="14.25" customHeight="1">
      <c r="A1409" s="210"/>
      <c r="B1409" s="210"/>
      <c r="C1409" s="210"/>
      <c r="D1409" s="210"/>
      <c r="E1409" s="210"/>
      <c r="F1409" s="210"/>
      <c r="G1409" s="210"/>
      <c r="H1409" s="210"/>
      <c r="I1409" s="210"/>
      <c r="J1409" s="210"/>
      <c r="K1409" s="210"/>
      <c r="L1409" s="210"/>
      <c r="M1409" s="210"/>
      <c r="N1409" s="210"/>
      <c r="O1409" s="210"/>
      <c r="P1409" s="210"/>
      <c r="Q1409" s="210"/>
      <c r="R1409" s="210"/>
      <c r="S1409" s="210"/>
      <c r="T1409" s="210"/>
      <c r="U1409" s="210"/>
      <c r="V1409" s="210"/>
      <c r="W1409" s="210"/>
      <c r="X1409" s="210"/>
      <c r="Y1409" s="210"/>
      <c r="Z1409" s="210"/>
      <c r="AA1409" s="210"/>
      <c r="AB1409" s="210"/>
      <c r="AC1409" s="210"/>
      <c r="AD1409" s="210"/>
      <c r="AE1409" s="210"/>
      <c r="AF1409" s="210"/>
      <c r="AG1409" s="210"/>
      <c r="AH1409" s="210"/>
      <c r="AI1409" s="210"/>
      <c r="AJ1409" s="210"/>
    </row>
    <row r="1410" ht="14.25" customHeight="1">
      <c r="A1410" s="210"/>
      <c r="B1410" s="210"/>
      <c r="C1410" s="210"/>
      <c r="D1410" s="210"/>
      <c r="E1410" s="210"/>
      <c r="F1410" s="210"/>
      <c r="G1410" s="210"/>
      <c r="H1410" s="210"/>
      <c r="I1410" s="210"/>
      <c r="J1410" s="210"/>
      <c r="K1410" s="210"/>
      <c r="L1410" s="210"/>
      <c r="M1410" s="210"/>
      <c r="N1410" s="210"/>
      <c r="O1410" s="210"/>
      <c r="P1410" s="210"/>
      <c r="Q1410" s="210"/>
      <c r="R1410" s="210"/>
      <c r="S1410" s="210"/>
      <c r="T1410" s="210"/>
      <c r="U1410" s="210"/>
      <c r="V1410" s="210"/>
      <c r="W1410" s="210"/>
      <c r="X1410" s="210"/>
      <c r="Y1410" s="210"/>
      <c r="Z1410" s="210"/>
      <c r="AA1410" s="210"/>
      <c r="AB1410" s="210"/>
      <c r="AC1410" s="210"/>
      <c r="AD1410" s="210"/>
      <c r="AE1410" s="210"/>
      <c r="AF1410" s="210"/>
      <c r="AG1410" s="210"/>
      <c r="AH1410" s="210"/>
      <c r="AI1410" s="210"/>
      <c r="AJ1410" s="210"/>
    </row>
    <row r="1411" ht="14.25" customHeight="1">
      <c r="A1411" s="210"/>
      <c r="B1411" s="210"/>
      <c r="C1411" s="210"/>
      <c r="D1411" s="210"/>
      <c r="E1411" s="210"/>
      <c r="F1411" s="210"/>
      <c r="G1411" s="210"/>
      <c r="H1411" s="210"/>
      <c r="I1411" s="210"/>
      <c r="J1411" s="210"/>
      <c r="K1411" s="210"/>
      <c r="L1411" s="210"/>
      <c r="M1411" s="210"/>
      <c r="N1411" s="210"/>
      <c r="O1411" s="210"/>
      <c r="P1411" s="210"/>
      <c r="Q1411" s="210"/>
      <c r="R1411" s="210"/>
      <c r="S1411" s="210"/>
      <c r="T1411" s="210"/>
      <c r="U1411" s="210"/>
      <c r="V1411" s="210"/>
      <c r="W1411" s="210"/>
      <c r="X1411" s="210"/>
      <c r="Y1411" s="210"/>
      <c r="Z1411" s="210"/>
      <c r="AA1411" s="210"/>
      <c r="AB1411" s="210"/>
      <c r="AC1411" s="210"/>
      <c r="AD1411" s="210"/>
      <c r="AE1411" s="210"/>
      <c r="AF1411" s="210"/>
      <c r="AG1411" s="210"/>
      <c r="AH1411" s="210"/>
      <c r="AI1411" s="210"/>
      <c r="AJ1411" s="210"/>
    </row>
    <row r="1412" ht="14.25" customHeight="1">
      <c r="A1412" s="210"/>
      <c r="B1412" s="210"/>
      <c r="C1412" s="210"/>
      <c r="D1412" s="210"/>
      <c r="E1412" s="210"/>
      <c r="F1412" s="210"/>
      <c r="G1412" s="210"/>
      <c r="H1412" s="210"/>
      <c r="I1412" s="210"/>
      <c r="J1412" s="210"/>
      <c r="K1412" s="210"/>
      <c r="L1412" s="210"/>
      <c r="M1412" s="210"/>
      <c r="N1412" s="210"/>
      <c r="O1412" s="210"/>
      <c r="P1412" s="210"/>
      <c r="Q1412" s="210"/>
      <c r="R1412" s="210"/>
      <c r="S1412" s="210"/>
      <c r="T1412" s="210"/>
      <c r="U1412" s="210"/>
      <c r="V1412" s="210"/>
      <c r="W1412" s="210"/>
      <c r="X1412" s="210"/>
      <c r="Y1412" s="210"/>
      <c r="Z1412" s="210"/>
      <c r="AA1412" s="210"/>
      <c r="AB1412" s="210"/>
      <c r="AC1412" s="210"/>
      <c r="AD1412" s="210"/>
      <c r="AE1412" s="210"/>
      <c r="AF1412" s="210"/>
      <c r="AG1412" s="210"/>
      <c r="AH1412" s="210"/>
      <c r="AI1412" s="210"/>
      <c r="AJ1412" s="210"/>
    </row>
    <row r="1413" ht="14.25" customHeight="1">
      <c r="A1413" s="210"/>
      <c r="B1413" s="210"/>
      <c r="C1413" s="210"/>
      <c r="D1413" s="210"/>
      <c r="E1413" s="210"/>
      <c r="F1413" s="210"/>
      <c r="G1413" s="210"/>
      <c r="H1413" s="210"/>
      <c r="I1413" s="210"/>
      <c r="J1413" s="210"/>
      <c r="K1413" s="210"/>
      <c r="L1413" s="210"/>
      <c r="M1413" s="210"/>
      <c r="N1413" s="210"/>
      <c r="O1413" s="210"/>
      <c r="P1413" s="210"/>
      <c r="Q1413" s="210"/>
      <c r="R1413" s="210"/>
      <c r="S1413" s="210"/>
      <c r="T1413" s="210"/>
      <c r="U1413" s="210"/>
      <c r="V1413" s="210"/>
      <c r="W1413" s="210"/>
      <c r="X1413" s="210"/>
      <c r="Y1413" s="210"/>
      <c r="Z1413" s="210"/>
      <c r="AA1413" s="210"/>
      <c r="AB1413" s="210"/>
      <c r="AC1413" s="210"/>
      <c r="AD1413" s="210"/>
      <c r="AE1413" s="210"/>
      <c r="AF1413" s="210"/>
      <c r="AG1413" s="210"/>
      <c r="AH1413" s="210"/>
      <c r="AI1413" s="210"/>
      <c r="AJ1413" s="210"/>
    </row>
    <row r="1414" ht="14.25" customHeight="1">
      <c r="A1414" s="210"/>
      <c r="B1414" s="210"/>
      <c r="C1414" s="210"/>
      <c r="D1414" s="210"/>
      <c r="E1414" s="210"/>
      <c r="F1414" s="210"/>
      <c r="G1414" s="210"/>
      <c r="H1414" s="210"/>
      <c r="I1414" s="210"/>
      <c r="J1414" s="210"/>
      <c r="K1414" s="210"/>
      <c r="L1414" s="210"/>
      <c r="M1414" s="210"/>
      <c r="N1414" s="210"/>
      <c r="O1414" s="210"/>
      <c r="P1414" s="210"/>
      <c r="Q1414" s="210"/>
      <c r="R1414" s="210"/>
      <c r="S1414" s="210"/>
      <c r="T1414" s="210"/>
      <c r="U1414" s="210"/>
      <c r="V1414" s="210"/>
      <c r="W1414" s="210"/>
      <c r="X1414" s="210"/>
      <c r="Y1414" s="210"/>
      <c r="Z1414" s="210"/>
      <c r="AA1414" s="210"/>
      <c r="AB1414" s="210"/>
      <c r="AC1414" s="210"/>
      <c r="AD1414" s="210"/>
      <c r="AE1414" s="210"/>
      <c r="AF1414" s="210"/>
      <c r="AG1414" s="210"/>
      <c r="AH1414" s="210"/>
      <c r="AI1414" s="210"/>
      <c r="AJ1414" s="210"/>
    </row>
    <row r="1415" ht="14.25" customHeight="1">
      <c r="A1415" s="210"/>
      <c r="B1415" s="210"/>
      <c r="C1415" s="210"/>
      <c r="D1415" s="210"/>
      <c r="E1415" s="210"/>
      <c r="F1415" s="210"/>
      <c r="G1415" s="210"/>
      <c r="H1415" s="210"/>
      <c r="I1415" s="210"/>
      <c r="J1415" s="210"/>
      <c r="K1415" s="210"/>
      <c r="L1415" s="210"/>
      <c r="M1415" s="210"/>
      <c r="N1415" s="210"/>
      <c r="O1415" s="210"/>
      <c r="P1415" s="210"/>
      <c r="Q1415" s="210"/>
      <c r="R1415" s="210"/>
      <c r="S1415" s="210"/>
      <c r="T1415" s="210"/>
      <c r="U1415" s="210"/>
      <c r="V1415" s="210"/>
      <c r="W1415" s="210"/>
      <c r="X1415" s="210"/>
      <c r="Y1415" s="210"/>
      <c r="Z1415" s="210"/>
      <c r="AA1415" s="210"/>
      <c r="AB1415" s="210"/>
      <c r="AC1415" s="210"/>
      <c r="AD1415" s="210"/>
      <c r="AE1415" s="210"/>
      <c r="AF1415" s="210"/>
      <c r="AG1415" s="210"/>
      <c r="AH1415" s="210"/>
      <c r="AI1415" s="210"/>
      <c r="AJ1415" s="210"/>
    </row>
    <row r="1416" ht="14.25" customHeight="1">
      <c r="A1416" s="210"/>
      <c r="B1416" s="210"/>
      <c r="C1416" s="210"/>
      <c r="D1416" s="210"/>
      <c r="E1416" s="210"/>
      <c r="F1416" s="210"/>
      <c r="G1416" s="210"/>
      <c r="H1416" s="210"/>
      <c r="I1416" s="210"/>
      <c r="J1416" s="210"/>
      <c r="K1416" s="210"/>
      <c r="L1416" s="210"/>
      <c r="M1416" s="210"/>
      <c r="N1416" s="210"/>
      <c r="O1416" s="210"/>
      <c r="P1416" s="210"/>
      <c r="Q1416" s="210"/>
      <c r="R1416" s="210"/>
      <c r="S1416" s="210"/>
      <c r="T1416" s="210"/>
      <c r="U1416" s="210"/>
      <c r="V1416" s="210"/>
      <c r="W1416" s="210"/>
      <c r="X1416" s="210"/>
      <c r="Y1416" s="210"/>
      <c r="Z1416" s="210"/>
      <c r="AA1416" s="210"/>
      <c r="AB1416" s="210"/>
      <c r="AC1416" s="210"/>
      <c r="AD1416" s="210"/>
      <c r="AE1416" s="210"/>
      <c r="AF1416" s="210"/>
      <c r="AG1416" s="210"/>
      <c r="AH1416" s="210"/>
      <c r="AI1416" s="210"/>
      <c r="AJ1416" s="210"/>
    </row>
    <row r="1417" ht="14.25" customHeight="1">
      <c r="A1417" s="210"/>
      <c r="B1417" s="210"/>
      <c r="C1417" s="210"/>
      <c r="D1417" s="210"/>
      <c r="E1417" s="210"/>
      <c r="F1417" s="210"/>
      <c r="G1417" s="210"/>
      <c r="H1417" s="210"/>
      <c r="I1417" s="210"/>
      <c r="J1417" s="210"/>
      <c r="K1417" s="210"/>
      <c r="L1417" s="210"/>
      <c r="M1417" s="210"/>
      <c r="N1417" s="210"/>
      <c r="O1417" s="210"/>
      <c r="P1417" s="210"/>
      <c r="Q1417" s="210"/>
      <c r="R1417" s="210"/>
      <c r="S1417" s="210"/>
      <c r="T1417" s="210"/>
      <c r="U1417" s="210"/>
      <c r="V1417" s="210"/>
      <c r="W1417" s="210"/>
      <c r="X1417" s="210"/>
      <c r="Y1417" s="210"/>
      <c r="Z1417" s="210"/>
      <c r="AA1417" s="210"/>
      <c r="AB1417" s="210"/>
      <c r="AC1417" s="210"/>
      <c r="AD1417" s="210"/>
      <c r="AE1417" s="210"/>
      <c r="AF1417" s="210"/>
      <c r="AG1417" s="210"/>
      <c r="AH1417" s="210"/>
      <c r="AI1417" s="210"/>
      <c r="AJ1417" s="210"/>
    </row>
    <row r="1418" ht="14.25" customHeight="1">
      <c r="A1418" s="210"/>
      <c r="B1418" s="210"/>
      <c r="C1418" s="210"/>
      <c r="D1418" s="210"/>
      <c r="E1418" s="210"/>
      <c r="F1418" s="210"/>
      <c r="G1418" s="210"/>
      <c r="H1418" s="210"/>
      <c r="I1418" s="210"/>
      <c r="J1418" s="210"/>
      <c r="K1418" s="210"/>
      <c r="L1418" s="210"/>
      <c r="M1418" s="210"/>
      <c r="N1418" s="210"/>
      <c r="O1418" s="210"/>
      <c r="P1418" s="210"/>
      <c r="Q1418" s="210"/>
      <c r="R1418" s="210"/>
      <c r="S1418" s="210"/>
      <c r="T1418" s="210"/>
      <c r="U1418" s="210"/>
      <c r="V1418" s="210"/>
      <c r="W1418" s="210"/>
      <c r="X1418" s="210"/>
      <c r="Y1418" s="210"/>
      <c r="Z1418" s="210"/>
      <c r="AA1418" s="210"/>
      <c r="AB1418" s="210"/>
      <c r="AC1418" s="210"/>
      <c r="AD1418" s="210"/>
      <c r="AE1418" s="210"/>
      <c r="AF1418" s="210"/>
      <c r="AG1418" s="210"/>
      <c r="AH1418" s="210"/>
      <c r="AI1418" s="210"/>
      <c r="AJ1418" s="210"/>
    </row>
    <row r="1419" ht="14.25" customHeight="1">
      <c r="A1419" s="210"/>
      <c r="B1419" s="210"/>
      <c r="C1419" s="210"/>
      <c r="D1419" s="210"/>
      <c r="E1419" s="210"/>
      <c r="F1419" s="210"/>
      <c r="G1419" s="210"/>
      <c r="H1419" s="210"/>
      <c r="I1419" s="210"/>
      <c r="J1419" s="210"/>
      <c r="K1419" s="210"/>
      <c r="L1419" s="210"/>
      <c r="M1419" s="210"/>
      <c r="N1419" s="210"/>
      <c r="O1419" s="210"/>
      <c r="P1419" s="210"/>
      <c r="Q1419" s="210"/>
      <c r="R1419" s="210"/>
      <c r="S1419" s="210"/>
      <c r="T1419" s="210"/>
      <c r="U1419" s="210"/>
      <c r="V1419" s="210"/>
      <c r="W1419" s="210"/>
      <c r="X1419" s="210"/>
      <c r="Y1419" s="210"/>
      <c r="Z1419" s="210"/>
      <c r="AA1419" s="210"/>
      <c r="AB1419" s="210"/>
      <c r="AC1419" s="210"/>
      <c r="AD1419" s="210"/>
      <c r="AE1419" s="210"/>
      <c r="AF1419" s="210"/>
      <c r="AG1419" s="210"/>
      <c r="AH1419" s="210"/>
      <c r="AI1419" s="210"/>
      <c r="AJ1419" s="210"/>
    </row>
    <row r="1420" ht="14.25" customHeight="1">
      <c r="A1420" s="210"/>
      <c r="B1420" s="210"/>
      <c r="C1420" s="210"/>
      <c r="D1420" s="210"/>
      <c r="E1420" s="210"/>
      <c r="F1420" s="210"/>
      <c r="G1420" s="210"/>
      <c r="H1420" s="210"/>
      <c r="I1420" s="210"/>
      <c r="J1420" s="210"/>
      <c r="K1420" s="210"/>
      <c r="L1420" s="210"/>
      <c r="M1420" s="210"/>
      <c r="N1420" s="210"/>
      <c r="O1420" s="210"/>
      <c r="P1420" s="210"/>
      <c r="Q1420" s="210"/>
      <c r="R1420" s="210"/>
      <c r="S1420" s="210"/>
      <c r="T1420" s="210"/>
      <c r="U1420" s="210"/>
      <c r="V1420" s="210"/>
      <c r="W1420" s="210"/>
      <c r="X1420" s="210"/>
      <c r="Y1420" s="210"/>
      <c r="Z1420" s="210"/>
      <c r="AA1420" s="210"/>
      <c r="AB1420" s="210"/>
      <c r="AC1420" s="210"/>
      <c r="AD1420" s="210"/>
      <c r="AE1420" s="210"/>
      <c r="AF1420" s="210"/>
      <c r="AG1420" s="210"/>
      <c r="AH1420" s="210"/>
      <c r="AI1420" s="210"/>
      <c r="AJ1420" s="210"/>
    </row>
    <row r="1421" ht="14.25" customHeight="1">
      <c r="A1421" s="210"/>
      <c r="B1421" s="210"/>
      <c r="C1421" s="210"/>
      <c r="D1421" s="210"/>
      <c r="E1421" s="210"/>
      <c r="F1421" s="210"/>
      <c r="G1421" s="210"/>
      <c r="H1421" s="210"/>
      <c r="I1421" s="210"/>
      <c r="J1421" s="210"/>
      <c r="K1421" s="210"/>
      <c r="L1421" s="210"/>
      <c r="M1421" s="210"/>
      <c r="N1421" s="210"/>
      <c r="O1421" s="210"/>
      <c r="P1421" s="210"/>
      <c r="Q1421" s="210"/>
      <c r="R1421" s="210"/>
      <c r="S1421" s="210"/>
      <c r="T1421" s="210"/>
      <c r="U1421" s="210"/>
      <c r="V1421" s="210"/>
      <c r="W1421" s="210"/>
      <c r="X1421" s="210"/>
      <c r="Y1421" s="210"/>
      <c r="Z1421" s="210"/>
      <c r="AA1421" s="210"/>
      <c r="AB1421" s="210"/>
      <c r="AC1421" s="210"/>
      <c r="AD1421" s="210"/>
      <c r="AE1421" s="210"/>
      <c r="AF1421" s="210"/>
      <c r="AG1421" s="210"/>
      <c r="AH1421" s="210"/>
      <c r="AI1421" s="210"/>
      <c r="AJ1421" s="210"/>
    </row>
    <row r="1422" ht="14.25" customHeight="1">
      <c r="A1422" s="210"/>
      <c r="B1422" s="210"/>
      <c r="C1422" s="210"/>
      <c r="D1422" s="210"/>
      <c r="E1422" s="210"/>
      <c r="F1422" s="210"/>
      <c r="G1422" s="210"/>
      <c r="H1422" s="210"/>
      <c r="I1422" s="210"/>
      <c r="J1422" s="210"/>
      <c r="K1422" s="210"/>
      <c r="L1422" s="210"/>
      <c r="M1422" s="210"/>
      <c r="N1422" s="210"/>
      <c r="O1422" s="210"/>
      <c r="P1422" s="210"/>
      <c r="Q1422" s="210"/>
      <c r="R1422" s="210"/>
      <c r="S1422" s="210"/>
      <c r="T1422" s="210"/>
      <c r="U1422" s="210"/>
      <c r="V1422" s="210"/>
      <c r="W1422" s="210"/>
      <c r="X1422" s="210"/>
      <c r="Y1422" s="210"/>
      <c r="Z1422" s="210"/>
      <c r="AA1422" s="210"/>
      <c r="AB1422" s="210"/>
      <c r="AC1422" s="210"/>
      <c r="AD1422" s="210"/>
      <c r="AE1422" s="210"/>
      <c r="AF1422" s="210"/>
      <c r="AG1422" s="210"/>
      <c r="AH1422" s="210"/>
      <c r="AI1422" s="210"/>
      <c r="AJ1422" s="210"/>
    </row>
    <row r="1423" ht="14.25" customHeight="1">
      <c r="A1423" s="210"/>
      <c r="B1423" s="210"/>
      <c r="C1423" s="210"/>
      <c r="D1423" s="210"/>
      <c r="E1423" s="210"/>
      <c r="F1423" s="210"/>
      <c r="G1423" s="210"/>
      <c r="H1423" s="210"/>
      <c r="I1423" s="210"/>
      <c r="J1423" s="210"/>
      <c r="K1423" s="210"/>
      <c r="L1423" s="210"/>
      <c r="M1423" s="210"/>
      <c r="N1423" s="210"/>
      <c r="O1423" s="210"/>
      <c r="P1423" s="210"/>
      <c r="Q1423" s="210"/>
      <c r="R1423" s="210"/>
      <c r="S1423" s="210"/>
      <c r="T1423" s="210"/>
      <c r="U1423" s="210"/>
      <c r="V1423" s="210"/>
      <c r="W1423" s="210"/>
      <c r="X1423" s="210"/>
      <c r="Y1423" s="210"/>
      <c r="Z1423" s="210"/>
      <c r="AA1423" s="210"/>
      <c r="AB1423" s="210"/>
      <c r="AC1423" s="210"/>
      <c r="AD1423" s="210"/>
      <c r="AE1423" s="210"/>
      <c r="AF1423" s="210"/>
      <c r="AG1423" s="210"/>
      <c r="AH1423" s="210"/>
      <c r="AI1423" s="210"/>
      <c r="AJ1423" s="210"/>
    </row>
    <row r="1424" ht="14.25" customHeight="1">
      <c r="A1424" s="210"/>
      <c r="B1424" s="210"/>
      <c r="C1424" s="210"/>
      <c r="D1424" s="210"/>
      <c r="E1424" s="210"/>
      <c r="F1424" s="210"/>
      <c r="G1424" s="210"/>
      <c r="H1424" s="210"/>
      <c r="I1424" s="210"/>
      <c r="J1424" s="210"/>
      <c r="K1424" s="210"/>
      <c r="L1424" s="210"/>
      <c r="M1424" s="210"/>
      <c r="N1424" s="210"/>
      <c r="O1424" s="210"/>
      <c r="P1424" s="210"/>
      <c r="Q1424" s="210"/>
      <c r="R1424" s="210"/>
      <c r="S1424" s="210"/>
      <c r="T1424" s="210"/>
      <c r="U1424" s="210"/>
      <c r="V1424" s="210"/>
      <c r="W1424" s="210"/>
      <c r="X1424" s="210"/>
      <c r="Y1424" s="210"/>
      <c r="Z1424" s="210"/>
      <c r="AA1424" s="210"/>
      <c r="AB1424" s="210"/>
      <c r="AC1424" s="210"/>
      <c r="AD1424" s="210"/>
      <c r="AE1424" s="210"/>
      <c r="AF1424" s="210"/>
      <c r="AG1424" s="210"/>
      <c r="AH1424" s="210"/>
      <c r="AI1424" s="210"/>
      <c r="AJ1424" s="210"/>
    </row>
    <row r="1425" ht="14.25" customHeight="1">
      <c r="A1425" s="210"/>
      <c r="B1425" s="210"/>
      <c r="C1425" s="210"/>
      <c r="D1425" s="210"/>
      <c r="E1425" s="210"/>
      <c r="F1425" s="210"/>
      <c r="G1425" s="210"/>
      <c r="H1425" s="210"/>
      <c r="I1425" s="210"/>
      <c r="J1425" s="210"/>
      <c r="K1425" s="210"/>
      <c r="L1425" s="210"/>
      <c r="M1425" s="210"/>
      <c r="N1425" s="210"/>
      <c r="O1425" s="210"/>
      <c r="P1425" s="210"/>
      <c r="Q1425" s="210"/>
      <c r="R1425" s="210"/>
      <c r="S1425" s="210"/>
      <c r="T1425" s="210"/>
      <c r="U1425" s="210"/>
      <c r="V1425" s="210"/>
      <c r="W1425" s="210"/>
      <c r="X1425" s="210"/>
      <c r="Y1425" s="210"/>
      <c r="Z1425" s="210"/>
      <c r="AA1425" s="210"/>
      <c r="AB1425" s="210"/>
      <c r="AC1425" s="210"/>
      <c r="AD1425" s="210"/>
      <c r="AE1425" s="210"/>
      <c r="AF1425" s="210"/>
      <c r="AG1425" s="210"/>
      <c r="AH1425" s="210"/>
      <c r="AI1425" s="210"/>
      <c r="AJ1425" s="210"/>
    </row>
    <row r="1426" ht="14.25" customHeight="1">
      <c r="A1426" s="210"/>
      <c r="B1426" s="210"/>
      <c r="C1426" s="210"/>
      <c r="D1426" s="210"/>
      <c r="E1426" s="210"/>
      <c r="F1426" s="210"/>
      <c r="G1426" s="210"/>
      <c r="H1426" s="210"/>
      <c r="I1426" s="210"/>
      <c r="J1426" s="210"/>
      <c r="K1426" s="210"/>
      <c r="L1426" s="210"/>
      <c r="M1426" s="210"/>
      <c r="N1426" s="210"/>
      <c r="O1426" s="210"/>
      <c r="P1426" s="210"/>
      <c r="Q1426" s="210"/>
      <c r="R1426" s="210"/>
      <c r="S1426" s="210"/>
      <c r="T1426" s="210"/>
      <c r="U1426" s="210"/>
      <c r="V1426" s="210"/>
      <c r="W1426" s="210"/>
      <c r="X1426" s="210"/>
      <c r="Y1426" s="210"/>
      <c r="Z1426" s="210"/>
      <c r="AA1426" s="210"/>
      <c r="AB1426" s="210"/>
      <c r="AC1426" s="210"/>
      <c r="AD1426" s="210"/>
      <c r="AE1426" s="210"/>
      <c r="AF1426" s="210"/>
      <c r="AG1426" s="210"/>
      <c r="AH1426" s="210"/>
      <c r="AI1426" s="210"/>
      <c r="AJ1426" s="210"/>
    </row>
    <row r="1427" ht="14.25" customHeight="1">
      <c r="A1427" s="210"/>
      <c r="B1427" s="210"/>
      <c r="C1427" s="210"/>
      <c r="D1427" s="210"/>
      <c r="E1427" s="210"/>
      <c r="F1427" s="210"/>
      <c r="G1427" s="210"/>
      <c r="H1427" s="210"/>
      <c r="I1427" s="210"/>
      <c r="J1427" s="210"/>
      <c r="K1427" s="210"/>
      <c r="L1427" s="210"/>
      <c r="M1427" s="210"/>
      <c r="N1427" s="210"/>
      <c r="O1427" s="210"/>
      <c r="P1427" s="210"/>
      <c r="Q1427" s="210"/>
      <c r="R1427" s="210"/>
      <c r="S1427" s="210"/>
      <c r="T1427" s="210"/>
      <c r="U1427" s="210"/>
      <c r="V1427" s="210"/>
      <c r="W1427" s="210"/>
      <c r="X1427" s="210"/>
      <c r="Y1427" s="210"/>
      <c r="Z1427" s="210"/>
      <c r="AA1427" s="210"/>
      <c r="AB1427" s="210"/>
      <c r="AC1427" s="210"/>
      <c r="AD1427" s="210"/>
      <c r="AE1427" s="210"/>
      <c r="AF1427" s="210"/>
      <c r="AG1427" s="210"/>
      <c r="AH1427" s="210"/>
      <c r="AI1427" s="210"/>
      <c r="AJ1427" s="210"/>
    </row>
    <row r="1428" ht="14.25" customHeight="1">
      <c r="A1428" s="210"/>
      <c r="B1428" s="210"/>
      <c r="C1428" s="210"/>
      <c r="D1428" s="210"/>
      <c r="E1428" s="210"/>
      <c r="F1428" s="210"/>
      <c r="G1428" s="210"/>
      <c r="H1428" s="210"/>
      <c r="I1428" s="210"/>
      <c r="J1428" s="210"/>
      <c r="K1428" s="210"/>
      <c r="L1428" s="210"/>
      <c r="M1428" s="210"/>
      <c r="N1428" s="210"/>
      <c r="O1428" s="210"/>
      <c r="P1428" s="210"/>
      <c r="Q1428" s="210"/>
      <c r="R1428" s="210"/>
      <c r="S1428" s="210"/>
      <c r="T1428" s="210"/>
      <c r="U1428" s="210"/>
      <c r="V1428" s="210"/>
      <c r="W1428" s="210"/>
      <c r="X1428" s="210"/>
      <c r="Y1428" s="210"/>
      <c r="Z1428" s="210"/>
      <c r="AA1428" s="210"/>
      <c r="AB1428" s="210"/>
      <c r="AC1428" s="210"/>
      <c r="AD1428" s="210"/>
      <c r="AE1428" s="210"/>
      <c r="AF1428" s="210"/>
      <c r="AG1428" s="210"/>
      <c r="AH1428" s="210"/>
      <c r="AI1428" s="210"/>
      <c r="AJ1428" s="210"/>
    </row>
    <row r="1429" ht="14.25" customHeight="1">
      <c r="A1429" s="210"/>
      <c r="B1429" s="210"/>
      <c r="C1429" s="210"/>
      <c r="D1429" s="210"/>
      <c r="E1429" s="210"/>
      <c r="F1429" s="210"/>
      <c r="G1429" s="210"/>
      <c r="H1429" s="210"/>
      <c r="I1429" s="210"/>
      <c r="J1429" s="210"/>
      <c r="K1429" s="210"/>
      <c r="L1429" s="210"/>
      <c r="M1429" s="210"/>
      <c r="N1429" s="210"/>
      <c r="O1429" s="210"/>
      <c r="P1429" s="210"/>
      <c r="Q1429" s="210"/>
      <c r="R1429" s="210"/>
      <c r="S1429" s="210"/>
      <c r="T1429" s="210"/>
      <c r="U1429" s="210"/>
      <c r="V1429" s="210"/>
      <c r="W1429" s="210"/>
      <c r="X1429" s="210"/>
      <c r="Y1429" s="210"/>
      <c r="Z1429" s="210"/>
      <c r="AA1429" s="210"/>
      <c r="AB1429" s="210"/>
      <c r="AC1429" s="210"/>
      <c r="AD1429" s="210"/>
      <c r="AE1429" s="210"/>
      <c r="AF1429" s="210"/>
      <c r="AG1429" s="210"/>
      <c r="AH1429" s="210"/>
      <c r="AI1429" s="210"/>
      <c r="AJ1429" s="210"/>
    </row>
    <row r="1430" ht="14.25" customHeight="1">
      <c r="A1430" s="210"/>
      <c r="B1430" s="210"/>
      <c r="C1430" s="210"/>
      <c r="D1430" s="210"/>
      <c r="E1430" s="210"/>
      <c r="F1430" s="210"/>
      <c r="G1430" s="210"/>
      <c r="H1430" s="210"/>
      <c r="I1430" s="210"/>
      <c r="J1430" s="210"/>
      <c r="K1430" s="210"/>
      <c r="L1430" s="210"/>
      <c r="M1430" s="210"/>
      <c r="N1430" s="210"/>
      <c r="O1430" s="210"/>
      <c r="P1430" s="210"/>
      <c r="Q1430" s="210"/>
      <c r="R1430" s="210"/>
      <c r="S1430" s="210"/>
      <c r="T1430" s="210"/>
      <c r="U1430" s="210"/>
      <c r="V1430" s="210"/>
      <c r="W1430" s="210"/>
      <c r="X1430" s="210"/>
      <c r="Y1430" s="210"/>
      <c r="Z1430" s="210"/>
      <c r="AA1430" s="210"/>
      <c r="AB1430" s="210"/>
      <c r="AC1430" s="210"/>
      <c r="AD1430" s="210"/>
      <c r="AE1430" s="210"/>
      <c r="AF1430" s="210"/>
      <c r="AG1430" s="210"/>
      <c r="AH1430" s="210"/>
      <c r="AI1430" s="210"/>
      <c r="AJ1430" s="210"/>
    </row>
    <row r="1431" ht="14.25" customHeight="1">
      <c r="A1431" s="210"/>
      <c r="B1431" s="210"/>
      <c r="C1431" s="210"/>
      <c r="D1431" s="210"/>
      <c r="E1431" s="210"/>
      <c r="F1431" s="210"/>
      <c r="G1431" s="210"/>
      <c r="H1431" s="210"/>
      <c r="I1431" s="210"/>
      <c r="J1431" s="210"/>
      <c r="K1431" s="210"/>
      <c r="L1431" s="210"/>
      <c r="M1431" s="210"/>
      <c r="N1431" s="210"/>
      <c r="O1431" s="210"/>
      <c r="P1431" s="210"/>
      <c r="Q1431" s="210"/>
      <c r="R1431" s="210"/>
      <c r="S1431" s="210"/>
      <c r="T1431" s="210"/>
      <c r="U1431" s="210"/>
      <c r="V1431" s="210"/>
      <c r="W1431" s="210"/>
      <c r="X1431" s="210"/>
      <c r="Y1431" s="210"/>
      <c r="Z1431" s="210"/>
      <c r="AA1431" s="210"/>
      <c r="AB1431" s="210"/>
      <c r="AC1431" s="210"/>
      <c r="AD1431" s="210"/>
      <c r="AE1431" s="210"/>
      <c r="AF1431" s="210"/>
      <c r="AG1431" s="210"/>
      <c r="AH1431" s="210"/>
      <c r="AI1431" s="210"/>
      <c r="AJ1431" s="210"/>
    </row>
    <row r="1432" ht="14.25" customHeight="1">
      <c r="A1432" s="210"/>
      <c r="B1432" s="210"/>
      <c r="C1432" s="210"/>
      <c r="D1432" s="210"/>
      <c r="E1432" s="210"/>
      <c r="F1432" s="210"/>
      <c r="G1432" s="210"/>
      <c r="H1432" s="210"/>
      <c r="I1432" s="210"/>
      <c r="J1432" s="210"/>
      <c r="K1432" s="210"/>
      <c r="L1432" s="210"/>
      <c r="M1432" s="210"/>
      <c r="N1432" s="210"/>
      <c r="O1432" s="210"/>
      <c r="P1432" s="210"/>
      <c r="Q1432" s="210"/>
      <c r="R1432" s="210"/>
      <c r="S1432" s="210"/>
      <c r="T1432" s="210"/>
      <c r="U1432" s="210"/>
      <c r="V1432" s="210"/>
      <c r="W1432" s="210"/>
      <c r="X1432" s="210"/>
      <c r="Y1432" s="210"/>
      <c r="Z1432" s="210"/>
      <c r="AA1432" s="210"/>
      <c r="AB1432" s="210"/>
      <c r="AC1432" s="210"/>
      <c r="AD1432" s="210"/>
      <c r="AE1432" s="210"/>
      <c r="AF1432" s="210"/>
      <c r="AG1432" s="210"/>
      <c r="AH1432" s="210"/>
      <c r="AI1432" s="210"/>
      <c r="AJ1432" s="210"/>
    </row>
    <row r="1433" ht="14.25" customHeight="1">
      <c r="A1433" s="210"/>
      <c r="B1433" s="210"/>
      <c r="C1433" s="210"/>
      <c r="D1433" s="210"/>
      <c r="E1433" s="210"/>
      <c r="F1433" s="210"/>
      <c r="G1433" s="210"/>
      <c r="H1433" s="210"/>
      <c r="I1433" s="210"/>
      <c r="J1433" s="210"/>
      <c r="K1433" s="210"/>
      <c r="L1433" s="210"/>
      <c r="M1433" s="210"/>
      <c r="N1433" s="210"/>
      <c r="O1433" s="210"/>
      <c r="P1433" s="210"/>
      <c r="Q1433" s="210"/>
      <c r="R1433" s="210"/>
      <c r="S1433" s="210"/>
      <c r="T1433" s="210"/>
      <c r="U1433" s="210"/>
      <c r="V1433" s="210"/>
      <c r="W1433" s="210"/>
      <c r="X1433" s="210"/>
      <c r="Y1433" s="210"/>
      <c r="Z1433" s="210"/>
      <c r="AA1433" s="210"/>
      <c r="AB1433" s="210"/>
      <c r="AC1433" s="210"/>
      <c r="AD1433" s="210"/>
      <c r="AE1433" s="210"/>
      <c r="AF1433" s="210"/>
      <c r="AG1433" s="210"/>
      <c r="AH1433" s="210"/>
      <c r="AI1433" s="210"/>
      <c r="AJ1433" s="210"/>
    </row>
    <row r="1434" ht="14.25" customHeight="1">
      <c r="A1434" s="210"/>
      <c r="B1434" s="210"/>
      <c r="C1434" s="210"/>
      <c r="D1434" s="210"/>
      <c r="E1434" s="210"/>
      <c r="F1434" s="210"/>
      <c r="G1434" s="210"/>
      <c r="H1434" s="210"/>
      <c r="I1434" s="210"/>
      <c r="J1434" s="210"/>
      <c r="K1434" s="210"/>
      <c r="L1434" s="210"/>
      <c r="M1434" s="210"/>
      <c r="N1434" s="210"/>
      <c r="O1434" s="210"/>
      <c r="P1434" s="210"/>
      <c r="Q1434" s="210"/>
      <c r="R1434" s="210"/>
      <c r="S1434" s="210"/>
      <c r="T1434" s="210"/>
      <c r="U1434" s="210"/>
      <c r="V1434" s="210"/>
      <c r="W1434" s="210"/>
      <c r="X1434" s="210"/>
      <c r="Y1434" s="210"/>
      <c r="Z1434" s="210"/>
      <c r="AA1434" s="210"/>
      <c r="AB1434" s="210"/>
      <c r="AC1434" s="210"/>
      <c r="AD1434" s="210"/>
      <c r="AE1434" s="210"/>
      <c r="AF1434" s="210"/>
      <c r="AG1434" s="210"/>
      <c r="AH1434" s="210"/>
      <c r="AI1434" s="210"/>
      <c r="AJ1434" s="210"/>
    </row>
    <row r="1435" ht="14.25" customHeight="1">
      <c r="A1435" s="210"/>
      <c r="B1435" s="210"/>
      <c r="C1435" s="210"/>
      <c r="D1435" s="210"/>
      <c r="E1435" s="210"/>
      <c r="F1435" s="210"/>
      <c r="G1435" s="210"/>
      <c r="H1435" s="210"/>
      <c r="I1435" s="210"/>
      <c r="J1435" s="210"/>
      <c r="K1435" s="210"/>
      <c r="L1435" s="210"/>
      <c r="M1435" s="210"/>
      <c r="N1435" s="210"/>
      <c r="O1435" s="210"/>
      <c r="P1435" s="210"/>
      <c r="Q1435" s="210"/>
      <c r="R1435" s="210"/>
      <c r="S1435" s="210"/>
      <c r="T1435" s="210"/>
      <c r="U1435" s="210"/>
      <c r="V1435" s="210"/>
      <c r="W1435" s="210"/>
      <c r="X1435" s="210"/>
      <c r="Y1435" s="210"/>
      <c r="Z1435" s="210"/>
      <c r="AA1435" s="210"/>
      <c r="AB1435" s="210"/>
      <c r="AC1435" s="210"/>
      <c r="AD1435" s="210"/>
      <c r="AE1435" s="210"/>
      <c r="AF1435" s="210"/>
      <c r="AG1435" s="210"/>
      <c r="AH1435" s="210"/>
      <c r="AI1435" s="210"/>
      <c r="AJ1435" s="210"/>
    </row>
    <row r="1436" ht="14.25" customHeight="1">
      <c r="A1436" s="210"/>
      <c r="B1436" s="210"/>
      <c r="C1436" s="210"/>
      <c r="D1436" s="210"/>
      <c r="E1436" s="210"/>
      <c r="F1436" s="210"/>
      <c r="G1436" s="210"/>
      <c r="H1436" s="210"/>
      <c r="I1436" s="210"/>
      <c r="J1436" s="210"/>
      <c r="K1436" s="210"/>
      <c r="L1436" s="210"/>
      <c r="M1436" s="210"/>
      <c r="N1436" s="210"/>
      <c r="O1436" s="210"/>
      <c r="P1436" s="210"/>
      <c r="Q1436" s="210"/>
      <c r="R1436" s="210"/>
      <c r="S1436" s="210"/>
      <c r="T1436" s="210"/>
      <c r="U1436" s="210"/>
      <c r="V1436" s="210"/>
      <c r="W1436" s="210"/>
      <c r="X1436" s="210"/>
      <c r="Y1436" s="210"/>
      <c r="Z1436" s="210"/>
      <c r="AA1436" s="210"/>
      <c r="AB1436" s="210"/>
      <c r="AC1436" s="210"/>
      <c r="AD1436" s="210"/>
      <c r="AE1436" s="210"/>
      <c r="AF1436" s="210"/>
      <c r="AG1436" s="210"/>
      <c r="AH1436" s="210"/>
      <c r="AI1436" s="210"/>
      <c r="AJ1436" s="210"/>
    </row>
    <row r="1437" ht="14.25" customHeight="1">
      <c r="A1437" s="210"/>
      <c r="B1437" s="210"/>
      <c r="C1437" s="210"/>
      <c r="D1437" s="210"/>
      <c r="E1437" s="210"/>
      <c r="F1437" s="210"/>
      <c r="G1437" s="210"/>
      <c r="H1437" s="210"/>
      <c r="I1437" s="210"/>
      <c r="J1437" s="210"/>
      <c r="K1437" s="210"/>
      <c r="L1437" s="210"/>
      <c r="M1437" s="210"/>
      <c r="N1437" s="210"/>
      <c r="O1437" s="210"/>
      <c r="P1437" s="210"/>
      <c r="Q1437" s="210"/>
      <c r="R1437" s="210"/>
      <c r="S1437" s="210"/>
      <c r="T1437" s="210"/>
      <c r="U1437" s="210"/>
      <c r="V1437" s="210"/>
      <c r="W1437" s="210"/>
      <c r="X1437" s="210"/>
      <c r="Y1437" s="210"/>
      <c r="Z1437" s="210"/>
      <c r="AA1437" s="210"/>
      <c r="AB1437" s="210"/>
      <c r="AC1437" s="210"/>
      <c r="AD1437" s="210"/>
      <c r="AE1437" s="210"/>
      <c r="AF1437" s="210"/>
      <c r="AG1437" s="210"/>
      <c r="AH1437" s="210"/>
      <c r="AI1437" s="210"/>
      <c r="AJ1437" s="210"/>
    </row>
    <row r="1438" ht="14.25" customHeight="1">
      <c r="A1438" s="210"/>
      <c r="B1438" s="210"/>
      <c r="C1438" s="210"/>
      <c r="D1438" s="210"/>
      <c r="E1438" s="210"/>
      <c r="F1438" s="210"/>
      <c r="G1438" s="210"/>
      <c r="H1438" s="210"/>
      <c r="I1438" s="210"/>
      <c r="J1438" s="210"/>
      <c r="K1438" s="210"/>
      <c r="L1438" s="210"/>
      <c r="M1438" s="210"/>
      <c r="N1438" s="210"/>
      <c r="O1438" s="210"/>
      <c r="P1438" s="210"/>
      <c r="Q1438" s="210"/>
      <c r="R1438" s="210"/>
      <c r="S1438" s="210"/>
      <c r="T1438" s="210"/>
      <c r="U1438" s="210"/>
      <c r="V1438" s="210"/>
      <c r="W1438" s="210"/>
      <c r="X1438" s="210"/>
      <c r="Y1438" s="210"/>
      <c r="Z1438" s="210"/>
      <c r="AA1438" s="210"/>
      <c r="AB1438" s="210"/>
      <c r="AC1438" s="210"/>
      <c r="AD1438" s="210"/>
      <c r="AE1438" s="210"/>
      <c r="AF1438" s="210"/>
      <c r="AG1438" s="210"/>
      <c r="AH1438" s="210"/>
      <c r="AI1438" s="210"/>
      <c r="AJ1438" s="210"/>
    </row>
    <row r="1439" ht="14.25" customHeight="1">
      <c r="A1439" s="210"/>
      <c r="B1439" s="210"/>
      <c r="C1439" s="210"/>
      <c r="D1439" s="210"/>
      <c r="E1439" s="210"/>
      <c r="F1439" s="210"/>
      <c r="G1439" s="210"/>
      <c r="H1439" s="210"/>
      <c r="I1439" s="210"/>
      <c r="J1439" s="210"/>
      <c r="K1439" s="210"/>
      <c r="L1439" s="210"/>
      <c r="M1439" s="210"/>
      <c r="N1439" s="210"/>
      <c r="O1439" s="210"/>
      <c r="P1439" s="210"/>
      <c r="Q1439" s="210"/>
      <c r="R1439" s="210"/>
      <c r="S1439" s="210"/>
      <c r="T1439" s="210"/>
      <c r="U1439" s="210"/>
      <c r="V1439" s="210"/>
      <c r="W1439" s="210"/>
      <c r="X1439" s="210"/>
      <c r="Y1439" s="210"/>
      <c r="Z1439" s="210"/>
      <c r="AA1439" s="210"/>
      <c r="AB1439" s="210"/>
      <c r="AC1439" s="210"/>
      <c r="AD1439" s="210"/>
      <c r="AE1439" s="210"/>
      <c r="AF1439" s="210"/>
      <c r="AG1439" s="210"/>
      <c r="AH1439" s="210"/>
      <c r="AI1439" s="210"/>
      <c r="AJ1439" s="210"/>
    </row>
    <row r="1440" ht="14.25" customHeight="1">
      <c r="A1440" s="210"/>
      <c r="B1440" s="210"/>
      <c r="C1440" s="210"/>
      <c r="D1440" s="210"/>
      <c r="E1440" s="210"/>
      <c r="F1440" s="210"/>
      <c r="G1440" s="210"/>
      <c r="H1440" s="210"/>
      <c r="I1440" s="210"/>
      <c r="J1440" s="210"/>
      <c r="K1440" s="210"/>
      <c r="L1440" s="210"/>
      <c r="M1440" s="210"/>
      <c r="N1440" s="210"/>
      <c r="O1440" s="210"/>
      <c r="P1440" s="210"/>
      <c r="Q1440" s="210"/>
      <c r="R1440" s="210"/>
      <c r="S1440" s="210"/>
      <c r="T1440" s="210"/>
      <c r="U1440" s="210"/>
      <c r="V1440" s="210"/>
      <c r="W1440" s="210"/>
      <c r="X1440" s="210"/>
      <c r="Y1440" s="210"/>
      <c r="Z1440" s="210"/>
      <c r="AA1440" s="210"/>
      <c r="AB1440" s="210"/>
      <c r="AC1440" s="210"/>
      <c r="AD1440" s="210"/>
      <c r="AE1440" s="210"/>
      <c r="AF1440" s="210"/>
      <c r="AG1440" s="210"/>
      <c r="AH1440" s="210"/>
      <c r="AI1440" s="210"/>
      <c r="AJ1440" s="210"/>
    </row>
    <row r="1441" ht="14.25" customHeight="1">
      <c r="A1441" s="210"/>
      <c r="B1441" s="210"/>
      <c r="C1441" s="210"/>
      <c r="D1441" s="210"/>
      <c r="E1441" s="210"/>
      <c r="F1441" s="210"/>
      <c r="G1441" s="210"/>
      <c r="H1441" s="210"/>
      <c r="I1441" s="210"/>
      <c r="J1441" s="210"/>
      <c r="K1441" s="210"/>
      <c r="L1441" s="210"/>
      <c r="M1441" s="210"/>
      <c r="N1441" s="210"/>
      <c r="O1441" s="210"/>
      <c r="P1441" s="210"/>
      <c r="Q1441" s="210"/>
      <c r="R1441" s="210"/>
      <c r="S1441" s="210"/>
      <c r="T1441" s="210"/>
      <c r="U1441" s="210"/>
      <c r="V1441" s="210"/>
      <c r="W1441" s="210"/>
      <c r="X1441" s="210"/>
      <c r="Y1441" s="210"/>
      <c r="Z1441" s="210"/>
      <c r="AA1441" s="210"/>
      <c r="AB1441" s="210"/>
      <c r="AC1441" s="210"/>
      <c r="AD1441" s="210"/>
      <c r="AE1441" s="210"/>
      <c r="AF1441" s="210"/>
      <c r="AG1441" s="210"/>
      <c r="AH1441" s="210"/>
      <c r="AI1441" s="210"/>
      <c r="AJ1441" s="210"/>
    </row>
    <row r="1442" ht="14.25" customHeight="1">
      <c r="A1442" s="210"/>
      <c r="B1442" s="210"/>
      <c r="C1442" s="210"/>
      <c r="D1442" s="210"/>
      <c r="E1442" s="210"/>
      <c r="F1442" s="210"/>
      <c r="G1442" s="210"/>
      <c r="H1442" s="210"/>
      <c r="I1442" s="210"/>
      <c r="J1442" s="210"/>
      <c r="K1442" s="210"/>
      <c r="L1442" s="210"/>
      <c r="M1442" s="210"/>
      <c r="N1442" s="210"/>
      <c r="O1442" s="210"/>
      <c r="P1442" s="210"/>
      <c r="Q1442" s="210"/>
      <c r="R1442" s="210"/>
      <c r="S1442" s="210"/>
      <c r="T1442" s="210"/>
      <c r="U1442" s="210"/>
      <c r="V1442" s="210"/>
      <c r="W1442" s="210"/>
      <c r="X1442" s="210"/>
      <c r="Y1442" s="210"/>
      <c r="Z1442" s="210"/>
      <c r="AA1442" s="210"/>
      <c r="AB1442" s="210"/>
      <c r="AC1442" s="210"/>
      <c r="AD1442" s="210"/>
      <c r="AE1442" s="210"/>
      <c r="AF1442" s="210"/>
      <c r="AG1442" s="210"/>
      <c r="AH1442" s="210"/>
      <c r="AI1442" s="210"/>
      <c r="AJ1442" s="210"/>
    </row>
    <row r="1443" ht="14.25" customHeight="1">
      <c r="A1443" s="210"/>
      <c r="B1443" s="210"/>
      <c r="C1443" s="210"/>
      <c r="D1443" s="210"/>
      <c r="E1443" s="210"/>
      <c r="F1443" s="210"/>
      <c r="G1443" s="210"/>
      <c r="H1443" s="210"/>
      <c r="I1443" s="210"/>
      <c r="J1443" s="210"/>
      <c r="K1443" s="210"/>
      <c r="L1443" s="210"/>
      <c r="M1443" s="210"/>
      <c r="N1443" s="210"/>
      <c r="O1443" s="210"/>
      <c r="P1443" s="210"/>
      <c r="Q1443" s="210"/>
      <c r="R1443" s="210"/>
      <c r="S1443" s="210"/>
      <c r="T1443" s="210"/>
      <c r="U1443" s="210"/>
      <c r="V1443" s="210"/>
      <c r="W1443" s="210"/>
      <c r="X1443" s="210"/>
      <c r="Y1443" s="210"/>
      <c r="Z1443" s="210"/>
      <c r="AA1443" s="210"/>
      <c r="AB1443" s="210"/>
      <c r="AC1443" s="210"/>
      <c r="AD1443" s="210"/>
      <c r="AE1443" s="210"/>
      <c r="AF1443" s="210"/>
      <c r="AG1443" s="210"/>
      <c r="AH1443" s="210"/>
      <c r="AI1443" s="210"/>
      <c r="AJ1443" s="210"/>
    </row>
    <row r="1444" ht="14.25" customHeight="1">
      <c r="A1444" s="210"/>
      <c r="B1444" s="210"/>
      <c r="C1444" s="210"/>
      <c r="D1444" s="210"/>
      <c r="E1444" s="210"/>
      <c r="F1444" s="210"/>
      <c r="G1444" s="210"/>
      <c r="H1444" s="210"/>
      <c r="I1444" s="210"/>
      <c r="J1444" s="210"/>
      <c r="K1444" s="210"/>
      <c r="L1444" s="210"/>
      <c r="M1444" s="210"/>
      <c r="N1444" s="210"/>
      <c r="O1444" s="210"/>
      <c r="P1444" s="210"/>
      <c r="Q1444" s="210"/>
      <c r="R1444" s="210"/>
      <c r="S1444" s="210"/>
      <c r="T1444" s="210"/>
      <c r="U1444" s="210"/>
      <c r="V1444" s="210"/>
      <c r="W1444" s="210"/>
      <c r="X1444" s="210"/>
      <c r="Y1444" s="210"/>
      <c r="Z1444" s="210"/>
      <c r="AA1444" s="210"/>
      <c r="AB1444" s="210"/>
      <c r="AC1444" s="210"/>
      <c r="AD1444" s="210"/>
      <c r="AE1444" s="210"/>
      <c r="AF1444" s="210"/>
      <c r="AG1444" s="210"/>
      <c r="AH1444" s="210"/>
      <c r="AI1444" s="210"/>
      <c r="AJ1444" s="210"/>
    </row>
    <row r="1445" ht="14.25" customHeight="1">
      <c r="A1445" s="210"/>
      <c r="B1445" s="210"/>
      <c r="C1445" s="210"/>
      <c r="D1445" s="210"/>
      <c r="E1445" s="210"/>
      <c r="F1445" s="210"/>
      <c r="G1445" s="210"/>
      <c r="H1445" s="210"/>
      <c r="I1445" s="210"/>
      <c r="J1445" s="210"/>
      <c r="K1445" s="210"/>
      <c r="L1445" s="210"/>
      <c r="M1445" s="210"/>
      <c r="N1445" s="210"/>
      <c r="O1445" s="210"/>
      <c r="P1445" s="210"/>
      <c r="Q1445" s="210"/>
      <c r="R1445" s="210"/>
      <c r="S1445" s="210"/>
      <c r="T1445" s="210"/>
      <c r="U1445" s="210"/>
      <c r="V1445" s="210"/>
      <c r="W1445" s="210"/>
      <c r="X1445" s="210"/>
      <c r="Y1445" s="210"/>
      <c r="Z1445" s="210"/>
      <c r="AA1445" s="210"/>
      <c r="AB1445" s="210"/>
      <c r="AC1445" s="210"/>
      <c r="AD1445" s="210"/>
      <c r="AE1445" s="210"/>
      <c r="AF1445" s="210"/>
      <c r="AG1445" s="210"/>
      <c r="AH1445" s="210"/>
      <c r="AI1445" s="210"/>
      <c r="AJ1445" s="210"/>
    </row>
    <row r="1446" ht="14.25" customHeight="1">
      <c r="A1446" s="210"/>
      <c r="B1446" s="210"/>
      <c r="C1446" s="210"/>
      <c r="D1446" s="210"/>
      <c r="E1446" s="210"/>
      <c r="F1446" s="210"/>
      <c r="G1446" s="210"/>
      <c r="H1446" s="210"/>
      <c r="I1446" s="210"/>
      <c r="J1446" s="210"/>
      <c r="K1446" s="210"/>
      <c r="L1446" s="210"/>
      <c r="M1446" s="210"/>
      <c r="N1446" s="210"/>
      <c r="O1446" s="210"/>
      <c r="P1446" s="210"/>
      <c r="Q1446" s="210"/>
      <c r="R1446" s="210"/>
      <c r="S1446" s="210"/>
      <c r="T1446" s="210"/>
      <c r="U1446" s="210"/>
      <c r="V1446" s="210"/>
      <c r="W1446" s="210"/>
      <c r="X1446" s="210"/>
      <c r="Y1446" s="210"/>
      <c r="Z1446" s="210"/>
      <c r="AA1446" s="210"/>
      <c r="AB1446" s="210"/>
      <c r="AC1446" s="210"/>
      <c r="AD1446" s="210"/>
      <c r="AE1446" s="210"/>
      <c r="AF1446" s="210"/>
      <c r="AG1446" s="210"/>
      <c r="AH1446" s="210"/>
      <c r="AI1446" s="210"/>
      <c r="AJ1446" s="210"/>
    </row>
    <row r="1447" ht="14.25" customHeight="1">
      <c r="A1447" s="210"/>
      <c r="B1447" s="210"/>
      <c r="C1447" s="210"/>
      <c r="D1447" s="210"/>
      <c r="E1447" s="210"/>
      <c r="F1447" s="210"/>
      <c r="G1447" s="210"/>
      <c r="H1447" s="210"/>
      <c r="I1447" s="210"/>
      <c r="J1447" s="210"/>
      <c r="K1447" s="210"/>
      <c r="L1447" s="210"/>
      <c r="M1447" s="210"/>
      <c r="N1447" s="210"/>
      <c r="O1447" s="210"/>
      <c r="P1447" s="210"/>
      <c r="Q1447" s="210"/>
      <c r="R1447" s="210"/>
      <c r="S1447" s="210"/>
      <c r="T1447" s="210"/>
      <c r="U1447" s="210"/>
      <c r="V1447" s="210"/>
      <c r="W1447" s="210"/>
      <c r="X1447" s="210"/>
      <c r="Y1447" s="210"/>
      <c r="Z1447" s="210"/>
      <c r="AA1447" s="210"/>
      <c r="AB1447" s="210"/>
      <c r="AC1447" s="210"/>
      <c r="AD1447" s="210"/>
      <c r="AE1447" s="210"/>
      <c r="AF1447" s="210"/>
      <c r="AG1447" s="210"/>
      <c r="AH1447" s="210"/>
      <c r="AI1447" s="210"/>
      <c r="AJ1447" s="210"/>
    </row>
    <row r="1448" ht="14.25" customHeight="1">
      <c r="A1448" s="210"/>
      <c r="B1448" s="210"/>
      <c r="C1448" s="210"/>
      <c r="D1448" s="210"/>
      <c r="E1448" s="210"/>
      <c r="F1448" s="210"/>
      <c r="G1448" s="210"/>
      <c r="H1448" s="210"/>
      <c r="I1448" s="210"/>
      <c r="J1448" s="210"/>
      <c r="K1448" s="210"/>
      <c r="L1448" s="210"/>
      <c r="M1448" s="210"/>
      <c r="N1448" s="210"/>
      <c r="O1448" s="210"/>
      <c r="P1448" s="210"/>
      <c r="Q1448" s="210"/>
      <c r="R1448" s="210"/>
      <c r="S1448" s="210"/>
      <c r="T1448" s="210"/>
      <c r="U1448" s="210"/>
      <c r="V1448" s="210"/>
      <c r="W1448" s="210"/>
      <c r="X1448" s="210"/>
      <c r="Y1448" s="210"/>
      <c r="Z1448" s="210"/>
      <c r="AA1448" s="210"/>
      <c r="AB1448" s="210"/>
      <c r="AC1448" s="210"/>
      <c r="AD1448" s="210"/>
      <c r="AE1448" s="210"/>
      <c r="AF1448" s="210"/>
      <c r="AG1448" s="210"/>
      <c r="AH1448" s="210"/>
      <c r="AI1448" s="210"/>
      <c r="AJ1448" s="210"/>
    </row>
    <row r="1449" ht="14.25" customHeight="1">
      <c r="A1449" s="210"/>
      <c r="B1449" s="210"/>
      <c r="C1449" s="210"/>
      <c r="D1449" s="210"/>
      <c r="E1449" s="210"/>
      <c r="F1449" s="210"/>
      <c r="G1449" s="210"/>
      <c r="H1449" s="210"/>
      <c r="I1449" s="210"/>
      <c r="J1449" s="210"/>
      <c r="K1449" s="210"/>
      <c r="L1449" s="210"/>
      <c r="M1449" s="210"/>
      <c r="N1449" s="210"/>
      <c r="O1449" s="210"/>
      <c r="P1449" s="210"/>
      <c r="Q1449" s="210"/>
      <c r="R1449" s="210"/>
      <c r="S1449" s="210"/>
      <c r="T1449" s="210"/>
      <c r="U1449" s="210"/>
      <c r="V1449" s="210"/>
      <c r="W1449" s="210"/>
      <c r="X1449" s="210"/>
      <c r="Y1449" s="210"/>
      <c r="Z1449" s="210"/>
      <c r="AA1449" s="210"/>
      <c r="AB1449" s="210"/>
      <c r="AC1449" s="210"/>
      <c r="AD1449" s="210"/>
      <c r="AE1449" s="210"/>
      <c r="AF1449" s="210"/>
      <c r="AG1449" s="210"/>
      <c r="AH1449" s="210"/>
      <c r="AI1449" s="210"/>
      <c r="AJ1449" s="210"/>
    </row>
    <row r="1450" ht="14.25" customHeight="1">
      <c r="A1450" s="210"/>
      <c r="B1450" s="210"/>
      <c r="C1450" s="210"/>
      <c r="D1450" s="210"/>
      <c r="E1450" s="210"/>
      <c r="F1450" s="210"/>
      <c r="G1450" s="210"/>
      <c r="H1450" s="210"/>
      <c r="I1450" s="210"/>
      <c r="J1450" s="210"/>
      <c r="K1450" s="210"/>
      <c r="L1450" s="210"/>
      <c r="M1450" s="210"/>
      <c r="N1450" s="210"/>
      <c r="O1450" s="210"/>
      <c r="P1450" s="210"/>
      <c r="Q1450" s="210"/>
      <c r="R1450" s="210"/>
      <c r="S1450" s="210"/>
      <c r="T1450" s="210"/>
      <c r="U1450" s="210"/>
      <c r="V1450" s="210"/>
      <c r="W1450" s="210"/>
      <c r="X1450" s="210"/>
      <c r="Y1450" s="210"/>
      <c r="Z1450" s="210"/>
      <c r="AA1450" s="210"/>
      <c r="AB1450" s="210"/>
      <c r="AC1450" s="210"/>
      <c r="AD1450" s="210"/>
      <c r="AE1450" s="210"/>
      <c r="AF1450" s="210"/>
      <c r="AG1450" s="210"/>
      <c r="AH1450" s="210"/>
      <c r="AI1450" s="210"/>
      <c r="AJ1450" s="210"/>
    </row>
    <row r="1451" ht="14.25" customHeight="1">
      <c r="A1451" s="210"/>
      <c r="B1451" s="210"/>
      <c r="C1451" s="210"/>
      <c r="D1451" s="210"/>
      <c r="E1451" s="210"/>
      <c r="F1451" s="210"/>
      <c r="G1451" s="210"/>
      <c r="H1451" s="210"/>
      <c r="I1451" s="210"/>
      <c r="J1451" s="210"/>
      <c r="K1451" s="210"/>
      <c r="L1451" s="210"/>
      <c r="M1451" s="210"/>
      <c r="N1451" s="210"/>
      <c r="O1451" s="210"/>
      <c r="P1451" s="210"/>
      <c r="Q1451" s="210"/>
      <c r="R1451" s="210"/>
      <c r="S1451" s="210"/>
      <c r="T1451" s="210"/>
      <c r="U1451" s="210"/>
      <c r="V1451" s="210"/>
      <c r="W1451" s="210"/>
      <c r="X1451" s="210"/>
      <c r="Y1451" s="210"/>
      <c r="Z1451" s="210"/>
      <c r="AA1451" s="210"/>
      <c r="AB1451" s="210"/>
      <c r="AC1451" s="210"/>
      <c r="AD1451" s="210"/>
      <c r="AE1451" s="210"/>
      <c r="AF1451" s="210"/>
      <c r="AG1451" s="210"/>
      <c r="AH1451" s="210"/>
      <c r="AI1451" s="210"/>
      <c r="AJ1451" s="210"/>
    </row>
    <row r="1452" ht="14.25" customHeight="1">
      <c r="A1452" s="210"/>
      <c r="B1452" s="210"/>
      <c r="C1452" s="210"/>
      <c r="D1452" s="210"/>
      <c r="E1452" s="210"/>
      <c r="F1452" s="210"/>
      <c r="G1452" s="210"/>
      <c r="H1452" s="210"/>
      <c r="I1452" s="210"/>
      <c r="J1452" s="210"/>
      <c r="K1452" s="210"/>
      <c r="L1452" s="210"/>
      <c r="M1452" s="210"/>
      <c r="N1452" s="210"/>
      <c r="O1452" s="210"/>
      <c r="P1452" s="210"/>
      <c r="Q1452" s="210"/>
      <c r="R1452" s="210"/>
      <c r="S1452" s="210"/>
      <c r="T1452" s="210"/>
      <c r="U1452" s="210"/>
      <c r="V1452" s="210"/>
      <c r="W1452" s="210"/>
      <c r="X1452" s="210"/>
      <c r="Y1452" s="210"/>
      <c r="Z1452" s="210"/>
      <c r="AA1452" s="210"/>
      <c r="AB1452" s="210"/>
      <c r="AC1452" s="210"/>
      <c r="AD1452" s="210"/>
      <c r="AE1452" s="210"/>
      <c r="AF1452" s="210"/>
      <c r="AG1452" s="210"/>
      <c r="AH1452" s="210"/>
      <c r="AI1452" s="210"/>
      <c r="AJ1452" s="210"/>
    </row>
    <row r="1453" ht="14.25" customHeight="1">
      <c r="A1453" s="210"/>
      <c r="B1453" s="210"/>
      <c r="C1453" s="210"/>
      <c r="D1453" s="210"/>
      <c r="E1453" s="210"/>
      <c r="F1453" s="210"/>
      <c r="G1453" s="210"/>
      <c r="H1453" s="210"/>
      <c r="I1453" s="210"/>
      <c r="J1453" s="210"/>
      <c r="K1453" s="210"/>
      <c r="L1453" s="210"/>
      <c r="M1453" s="210"/>
      <c r="N1453" s="210"/>
      <c r="O1453" s="210"/>
      <c r="P1453" s="210"/>
      <c r="Q1453" s="210"/>
      <c r="R1453" s="210"/>
      <c r="S1453" s="210"/>
      <c r="T1453" s="210"/>
      <c r="U1453" s="210"/>
      <c r="V1453" s="210"/>
      <c r="W1453" s="210"/>
      <c r="X1453" s="210"/>
      <c r="Y1453" s="210"/>
      <c r="Z1453" s="210"/>
      <c r="AA1453" s="210"/>
      <c r="AB1453" s="210"/>
      <c r="AC1453" s="210"/>
      <c r="AD1453" s="210"/>
      <c r="AE1453" s="210"/>
      <c r="AF1453" s="210"/>
      <c r="AG1453" s="210"/>
      <c r="AH1453" s="210"/>
      <c r="AI1453" s="210"/>
      <c r="AJ1453" s="210"/>
    </row>
    <row r="1454" ht="14.25" customHeight="1">
      <c r="A1454" s="210"/>
      <c r="B1454" s="210"/>
      <c r="C1454" s="210"/>
      <c r="D1454" s="210"/>
      <c r="E1454" s="210"/>
      <c r="F1454" s="210"/>
      <c r="G1454" s="210"/>
      <c r="H1454" s="210"/>
      <c r="I1454" s="210"/>
      <c r="J1454" s="210"/>
      <c r="K1454" s="210"/>
      <c r="L1454" s="210"/>
      <c r="M1454" s="210"/>
      <c r="N1454" s="210"/>
      <c r="O1454" s="210"/>
      <c r="P1454" s="210"/>
      <c r="Q1454" s="210"/>
      <c r="R1454" s="210"/>
      <c r="S1454" s="210"/>
      <c r="T1454" s="210"/>
      <c r="U1454" s="210"/>
      <c r="V1454" s="210"/>
      <c r="W1454" s="210"/>
      <c r="X1454" s="210"/>
      <c r="Y1454" s="210"/>
      <c r="Z1454" s="210"/>
      <c r="AA1454" s="210"/>
      <c r="AB1454" s="210"/>
      <c r="AC1454" s="210"/>
      <c r="AD1454" s="210"/>
      <c r="AE1454" s="210"/>
      <c r="AF1454" s="210"/>
      <c r="AG1454" s="210"/>
      <c r="AH1454" s="210"/>
      <c r="AI1454" s="210"/>
      <c r="AJ1454" s="210"/>
    </row>
    <row r="1455" ht="14.25" customHeight="1">
      <c r="A1455" s="210"/>
      <c r="B1455" s="210"/>
      <c r="C1455" s="210"/>
      <c r="D1455" s="210"/>
      <c r="E1455" s="210"/>
      <c r="F1455" s="210"/>
      <c r="G1455" s="210"/>
      <c r="H1455" s="210"/>
      <c r="I1455" s="210"/>
      <c r="J1455" s="210"/>
      <c r="K1455" s="210"/>
      <c r="L1455" s="210"/>
      <c r="M1455" s="210"/>
      <c r="N1455" s="210"/>
      <c r="O1455" s="210"/>
      <c r="P1455" s="210"/>
      <c r="Q1455" s="210"/>
      <c r="R1455" s="210"/>
      <c r="S1455" s="210"/>
      <c r="T1455" s="210"/>
      <c r="U1455" s="210"/>
      <c r="V1455" s="210"/>
      <c r="W1455" s="210"/>
      <c r="X1455" s="210"/>
      <c r="Y1455" s="210"/>
      <c r="Z1455" s="210"/>
      <c r="AA1455" s="210"/>
      <c r="AB1455" s="210"/>
      <c r="AC1455" s="210"/>
      <c r="AD1455" s="210"/>
      <c r="AE1455" s="210"/>
      <c r="AF1455" s="210"/>
      <c r="AG1455" s="210"/>
      <c r="AH1455" s="210"/>
      <c r="AI1455" s="210"/>
      <c r="AJ1455" s="210"/>
    </row>
    <row r="1456" ht="14.25" customHeight="1">
      <c r="A1456" s="210"/>
      <c r="B1456" s="210"/>
      <c r="C1456" s="210"/>
      <c r="D1456" s="210"/>
      <c r="E1456" s="210"/>
      <c r="F1456" s="210"/>
      <c r="G1456" s="210"/>
      <c r="H1456" s="210"/>
      <c r="I1456" s="210"/>
      <c r="J1456" s="210"/>
      <c r="K1456" s="210"/>
      <c r="L1456" s="210"/>
      <c r="M1456" s="210"/>
      <c r="N1456" s="210"/>
      <c r="O1456" s="210"/>
      <c r="P1456" s="210"/>
      <c r="Q1456" s="210"/>
      <c r="R1456" s="210"/>
      <c r="S1456" s="210"/>
      <c r="T1456" s="210"/>
      <c r="U1456" s="210"/>
      <c r="V1456" s="210"/>
      <c r="W1456" s="210"/>
      <c r="X1456" s="210"/>
      <c r="Y1456" s="210"/>
      <c r="Z1456" s="210"/>
      <c r="AA1456" s="210"/>
      <c r="AB1456" s="210"/>
      <c r="AC1456" s="210"/>
      <c r="AD1456" s="210"/>
      <c r="AE1456" s="210"/>
      <c r="AF1456" s="210"/>
      <c r="AG1456" s="210"/>
      <c r="AH1456" s="210"/>
      <c r="AI1456" s="210"/>
      <c r="AJ1456" s="210"/>
    </row>
    <row r="1457" ht="14.25" customHeight="1">
      <c r="A1457" s="210"/>
      <c r="B1457" s="210"/>
      <c r="C1457" s="210"/>
      <c r="D1457" s="210"/>
      <c r="E1457" s="210"/>
      <c r="F1457" s="210"/>
      <c r="G1457" s="210"/>
      <c r="H1457" s="210"/>
      <c r="I1457" s="210"/>
      <c r="J1457" s="210"/>
      <c r="K1457" s="210"/>
      <c r="L1457" s="210"/>
      <c r="M1457" s="210"/>
      <c r="N1457" s="210"/>
      <c r="O1457" s="210"/>
      <c r="P1457" s="210"/>
      <c r="Q1457" s="210"/>
      <c r="R1457" s="210"/>
      <c r="S1457" s="210"/>
      <c r="T1457" s="210"/>
      <c r="U1457" s="210"/>
      <c r="V1457" s="210"/>
      <c r="W1457" s="210"/>
      <c r="X1457" s="210"/>
      <c r="Y1457" s="210"/>
      <c r="Z1457" s="210"/>
      <c r="AA1457" s="210"/>
      <c r="AB1457" s="210"/>
      <c r="AC1457" s="210"/>
      <c r="AD1457" s="210"/>
      <c r="AE1457" s="210"/>
      <c r="AF1457" s="210"/>
      <c r="AG1457" s="210"/>
      <c r="AH1457" s="210"/>
      <c r="AI1457" s="210"/>
      <c r="AJ1457" s="210"/>
    </row>
    <row r="1458" ht="14.25" customHeight="1">
      <c r="A1458" s="210"/>
      <c r="B1458" s="210"/>
      <c r="C1458" s="210"/>
      <c r="D1458" s="210"/>
      <c r="E1458" s="210"/>
      <c r="F1458" s="210"/>
      <c r="G1458" s="210"/>
      <c r="H1458" s="210"/>
      <c r="I1458" s="210"/>
      <c r="J1458" s="210"/>
      <c r="K1458" s="210"/>
      <c r="L1458" s="210"/>
      <c r="M1458" s="210"/>
      <c r="N1458" s="210"/>
      <c r="O1458" s="210"/>
      <c r="P1458" s="210"/>
      <c r="Q1458" s="210"/>
      <c r="R1458" s="210"/>
      <c r="S1458" s="210"/>
      <c r="T1458" s="210"/>
      <c r="U1458" s="210"/>
      <c r="V1458" s="210"/>
      <c r="W1458" s="210"/>
      <c r="X1458" s="210"/>
      <c r="Y1458" s="210"/>
      <c r="Z1458" s="210"/>
      <c r="AA1458" s="210"/>
      <c r="AB1458" s="210"/>
      <c r="AC1458" s="210"/>
      <c r="AD1458" s="210"/>
      <c r="AE1458" s="210"/>
      <c r="AF1458" s="210"/>
      <c r="AG1458" s="210"/>
      <c r="AH1458" s="210"/>
      <c r="AI1458" s="210"/>
      <c r="AJ1458" s="210"/>
    </row>
    <row r="1459" ht="14.25" customHeight="1">
      <c r="A1459" s="210"/>
      <c r="B1459" s="210"/>
      <c r="C1459" s="210"/>
      <c r="D1459" s="210"/>
      <c r="E1459" s="210"/>
      <c r="F1459" s="210"/>
      <c r="G1459" s="210"/>
      <c r="H1459" s="210"/>
      <c r="I1459" s="210"/>
      <c r="J1459" s="210"/>
      <c r="K1459" s="210"/>
      <c r="L1459" s="210"/>
      <c r="M1459" s="210"/>
      <c r="N1459" s="210"/>
      <c r="O1459" s="210"/>
      <c r="P1459" s="210"/>
      <c r="Q1459" s="210"/>
      <c r="R1459" s="210"/>
      <c r="S1459" s="210"/>
      <c r="T1459" s="210"/>
      <c r="U1459" s="210"/>
      <c r="V1459" s="210"/>
      <c r="W1459" s="210"/>
      <c r="X1459" s="210"/>
      <c r="Y1459" s="210"/>
      <c r="Z1459" s="210"/>
      <c r="AA1459" s="210"/>
      <c r="AB1459" s="210"/>
      <c r="AC1459" s="210"/>
      <c r="AD1459" s="210"/>
      <c r="AE1459" s="210"/>
      <c r="AF1459" s="210"/>
      <c r="AG1459" s="210"/>
      <c r="AH1459" s="210"/>
      <c r="AI1459" s="210"/>
      <c r="AJ1459" s="210"/>
    </row>
    <row r="1460" ht="14.25" customHeight="1">
      <c r="A1460" s="210"/>
      <c r="B1460" s="210"/>
      <c r="C1460" s="210"/>
      <c r="D1460" s="210"/>
      <c r="E1460" s="210"/>
      <c r="F1460" s="210"/>
      <c r="G1460" s="210"/>
      <c r="H1460" s="210"/>
      <c r="I1460" s="210"/>
      <c r="J1460" s="210"/>
      <c r="K1460" s="210"/>
      <c r="L1460" s="210"/>
      <c r="M1460" s="210"/>
      <c r="N1460" s="210"/>
      <c r="O1460" s="210"/>
      <c r="P1460" s="210"/>
      <c r="Q1460" s="210"/>
      <c r="R1460" s="210"/>
      <c r="S1460" s="210"/>
      <c r="T1460" s="210"/>
      <c r="U1460" s="210"/>
      <c r="V1460" s="210"/>
      <c r="W1460" s="210"/>
      <c r="X1460" s="210"/>
      <c r="Y1460" s="210"/>
      <c r="Z1460" s="210"/>
      <c r="AA1460" s="210"/>
      <c r="AB1460" s="210"/>
      <c r="AC1460" s="210"/>
      <c r="AD1460" s="210"/>
      <c r="AE1460" s="210"/>
      <c r="AF1460" s="210"/>
      <c r="AG1460" s="210"/>
      <c r="AH1460" s="210"/>
      <c r="AI1460" s="210"/>
      <c r="AJ1460" s="210"/>
    </row>
    <row r="1461" ht="14.25" customHeight="1">
      <c r="A1461" s="210"/>
      <c r="B1461" s="210"/>
      <c r="C1461" s="210"/>
      <c r="D1461" s="210"/>
      <c r="E1461" s="210"/>
      <c r="F1461" s="210"/>
      <c r="G1461" s="210"/>
      <c r="H1461" s="210"/>
      <c r="I1461" s="210"/>
      <c r="J1461" s="210"/>
      <c r="K1461" s="210"/>
      <c r="L1461" s="210"/>
      <c r="M1461" s="210"/>
      <c r="N1461" s="210"/>
      <c r="O1461" s="210"/>
      <c r="P1461" s="210"/>
      <c r="Q1461" s="210"/>
      <c r="R1461" s="210"/>
      <c r="S1461" s="210"/>
      <c r="T1461" s="210"/>
      <c r="U1461" s="210"/>
      <c r="V1461" s="210"/>
      <c r="W1461" s="210"/>
      <c r="X1461" s="210"/>
      <c r="Y1461" s="210"/>
      <c r="Z1461" s="210"/>
      <c r="AA1461" s="210"/>
      <c r="AB1461" s="210"/>
      <c r="AC1461" s="210"/>
      <c r="AD1461" s="210"/>
      <c r="AE1461" s="210"/>
      <c r="AF1461" s="210"/>
      <c r="AG1461" s="210"/>
      <c r="AH1461" s="210"/>
      <c r="AI1461" s="210"/>
      <c r="AJ1461" s="210"/>
    </row>
    <row r="1462" ht="14.25" customHeight="1">
      <c r="A1462" s="210"/>
      <c r="B1462" s="210"/>
      <c r="C1462" s="210"/>
      <c r="D1462" s="210"/>
      <c r="E1462" s="210"/>
      <c r="F1462" s="210"/>
      <c r="G1462" s="210"/>
      <c r="H1462" s="210"/>
      <c r="I1462" s="210"/>
      <c r="J1462" s="210"/>
      <c r="K1462" s="210"/>
      <c r="L1462" s="210"/>
      <c r="M1462" s="210"/>
      <c r="N1462" s="210"/>
      <c r="O1462" s="210"/>
      <c r="P1462" s="210"/>
      <c r="Q1462" s="210"/>
      <c r="R1462" s="210"/>
      <c r="S1462" s="210"/>
      <c r="T1462" s="210"/>
      <c r="U1462" s="210"/>
      <c r="V1462" s="210"/>
      <c r="W1462" s="210"/>
      <c r="X1462" s="210"/>
      <c r="Y1462" s="210"/>
      <c r="Z1462" s="210"/>
      <c r="AA1462" s="210"/>
      <c r="AB1462" s="210"/>
      <c r="AC1462" s="210"/>
      <c r="AD1462" s="210"/>
      <c r="AE1462" s="210"/>
      <c r="AF1462" s="210"/>
      <c r="AG1462" s="210"/>
      <c r="AH1462" s="210"/>
      <c r="AI1462" s="210"/>
      <c r="AJ1462" s="210"/>
    </row>
    <row r="1463" ht="14.25" customHeight="1">
      <c r="A1463" s="210"/>
      <c r="B1463" s="210"/>
      <c r="C1463" s="210"/>
      <c r="D1463" s="210"/>
      <c r="E1463" s="210"/>
      <c r="F1463" s="210"/>
      <c r="G1463" s="210"/>
      <c r="H1463" s="210"/>
      <c r="I1463" s="210"/>
      <c r="J1463" s="210"/>
      <c r="K1463" s="210"/>
      <c r="L1463" s="210"/>
      <c r="M1463" s="210"/>
      <c r="N1463" s="210"/>
      <c r="O1463" s="210"/>
      <c r="P1463" s="210"/>
      <c r="Q1463" s="210"/>
      <c r="R1463" s="210"/>
      <c r="S1463" s="210"/>
      <c r="T1463" s="210"/>
      <c r="U1463" s="210"/>
      <c r="V1463" s="210"/>
      <c r="W1463" s="210"/>
      <c r="X1463" s="210"/>
      <c r="Y1463" s="210"/>
      <c r="Z1463" s="210"/>
      <c r="AA1463" s="210"/>
      <c r="AB1463" s="210"/>
      <c r="AC1463" s="210"/>
      <c r="AD1463" s="210"/>
      <c r="AE1463" s="210"/>
      <c r="AF1463" s="210"/>
      <c r="AG1463" s="210"/>
      <c r="AH1463" s="210"/>
      <c r="AI1463" s="210"/>
      <c r="AJ1463" s="210"/>
    </row>
    <row r="1464" ht="14.25" customHeight="1">
      <c r="A1464" s="210"/>
      <c r="B1464" s="210"/>
      <c r="C1464" s="210"/>
      <c r="D1464" s="210"/>
      <c r="E1464" s="210"/>
      <c r="F1464" s="210"/>
      <c r="G1464" s="210"/>
      <c r="H1464" s="210"/>
      <c r="I1464" s="210"/>
      <c r="J1464" s="210"/>
      <c r="K1464" s="210"/>
      <c r="L1464" s="210"/>
      <c r="M1464" s="210"/>
      <c r="N1464" s="210"/>
      <c r="O1464" s="210"/>
      <c r="P1464" s="210"/>
      <c r="Q1464" s="210"/>
      <c r="R1464" s="210"/>
      <c r="S1464" s="210"/>
      <c r="T1464" s="210"/>
      <c r="U1464" s="210"/>
      <c r="V1464" s="210"/>
      <c r="W1464" s="210"/>
      <c r="X1464" s="210"/>
      <c r="Y1464" s="210"/>
      <c r="Z1464" s="210"/>
      <c r="AA1464" s="210"/>
      <c r="AB1464" s="210"/>
      <c r="AC1464" s="210"/>
      <c r="AD1464" s="210"/>
      <c r="AE1464" s="210"/>
      <c r="AF1464" s="210"/>
      <c r="AG1464" s="210"/>
      <c r="AH1464" s="210"/>
      <c r="AI1464" s="210"/>
      <c r="AJ1464" s="210"/>
    </row>
    <row r="1465" ht="14.25" customHeight="1">
      <c r="A1465" s="210"/>
      <c r="B1465" s="210"/>
      <c r="C1465" s="210"/>
      <c r="D1465" s="210"/>
      <c r="E1465" s="210"/>
      <c r="F1465" s="210"/>
      <c r="G1465" s="210"/>
      <c r="H1465" s="210"/>
      <c r="I1465" s="210"/>
      <c r="J1465" s="210"/>
      <c r="K1465" s="210"/>
      <c r="L1465" s="210"/>
      <c r="M1465" s="210"/>
      <c r="N1465" s="210"/>
      <c r="O1465" s="210"/>
      <c r="P1465" s="210"/>
      <c r="Q1465" s="210"/>
      <c r="R1465" s="210"/>
      <c r="S1465" s="210"/>
      <c r="T1465" s="210"/>
      <c r="U1465" s="210"/>
      <c r="V1465" s="210"/>
      <c r="W1465" s="210"/>
      <c r="X1465" s="210"/>
      <c r="Y1465" s="210"/>
      <c r="Z1465" s="210"/>
      <c r="AA1465" s="210"/>
      <c r="AB1465" s="210"/>
      <c r="AC1465" s="210"/>
      <c r="AD1465" s="210"/>
      <c r="AE1465" s="210"/>
      <c r="AF1465" s="210"/>
      <c r="AG1465" s="210"/>
      <c r="AH1465" s="210"/>
      <c r="AI1465" s="210"/>
      <c r="AJ1465" s="210"/>
    </row>
    <row r="1466" ht="14.25" customHeight="1">
      <c r="A1466" s="210"/>
      <c r="B1466" s="210"/>
      <c r="C1466" s="210"/>
      <c r="D1466" s="210"/>
      <c r="E1466" s="210"/>
      <c r="F1466" s="210"/>
      <c r="G1466" s="210"/>
      <c r="H1466" s="210"/>
      <c r="I1466" s="210"/>
      <c r="J1466" s="210"/>
      <c r="K1466" s="210"/>
      <c r="L1466" s="210"/>
      <c r="M1466" s="210"/>
      <c r="N1466" s="210"/>
      <c r="O1466" s="210"/>
      <c r="P1466" s="210"/>
      <c r="Q1466" s="210"/>
      <c r="R1466" s="210"/>
      <c r="S1466" s="210"/>
      <c r="T1466" s="210"/>
      <c r="U1466" s="210"/>
      <c r="V1466" s="210"/>
      <c r="W1466" s="210"/>
      <c r="X1466" s="210"/>
      <c r="Y1466" s="210"/>
      <c r="Z1466" s="210"/>
      <c r="AA1466" s="210"/>
      <c r="AB1466" s="210"/>
      <c r="AC1466" s="210"/>
      <c r="AD1466" s="210"/>
      <c r="AE1466" s="210"/>
      <c r="AF1466" s="210"/>
      <c r="AG1466" s="210"/>
      <c r="AH1466" s="210"/>
      <c r="AI1466" s="210"/>
      <c r="AJ1466" s="210"/>
    </row>
    <row r="1467" ht="14.25" customHeight="1">
      <c r="A1467" s="210"/>
      <c r="B1467" s="210"/>
      <c r="C1467" s="210"/>
      <c r="D1467" s="210"/>
      <c r="E1467" s="210"/>
      <c r="F1467" s="210"/>
      <c r="G1467" s="210"/>
      <c r="H1467" s="210"/>
      <c r="I1467" s="210"/>
      <c r="J1467" s="210"/>
      <c r="K1467" s="210"/>
      <c r="L1467" s="210"/>
      <c r="M1467" s="210"/>
      <c r="N1467" s="210"/>
      <c r="O1467" s="210"/>
      <c r="P1467" s="210"/>
      <c r="Q1467" s="210"/>
      <c r="R1467" s="210"/>
      <c r="S1467" s="210"/>
      <c r="T1467" s="210"/>
      <c r="U1467" s="210"/>
      <c r="V1467" s="210"/>
      <c r="W1467" s="210"/>
      <c r="X1467" s="210"/>
      <c r="Y1467" s="210"/>
      <c r="Z1467" s="210"/>
      <c r="AA1467" s="210"/>
      <c r="AB1467" s="210"/>
      <c r="AC1467" s="210"/>
      <c r="AD1467" s="210"/>
      <c r="AE1467" s="210"/>
      <c r="AF1467" s="210"/>
      <c r="AG1467" s="210"/>
      <c r="AH1467" s="210"/>
      <c r="AI1467" s="210"/>
      <c r="AJ1467" s="210"/>
    </row>
    <row r="1468" ht="14.25" customHeight="1">
      <c r="A1468" s="210"/>
      <c r="B1468" s="210"/>
      <c r="C1468" s="210"/>
      <c r="D1468" s="210"/>
      <c r="E1468" s="210"/>
      <c r="F1468" s="210"/>
      <c r="G1468" s="210"/>
      <c r="H1468" s="210"/>
      <c r="I1468" s="210"/>
      <c r="J1468" s="210"/>
      <c r="K1468" s="210"/>
      <c r="L1468" s="210"/>
      <c r="M1468" s="210"/>
      <c r="N1468" s="210"/>
      <c r="O1468" s="210"/>
      <c r="P1468" s="210"/>
      <c r="Q1468" s="210"/>
      <c r="R1468" s="210"/>
      <c r="S1468" s="210"/>
      <c r="T1468" s="210"/>
      <c r="U1468" s="210"/>
      <c r="V1468" s="210"/>
      <c r="W1468" s="210"/>
      <c r="X1468" s="210"/>
      <c r="Y1468" s="210"/>
      <c r="Z1468" s="210"/>
      <c r="AA1468" s="210"/>
      <c r="AB1468" s="210"/>
      <c r="AC1468" s="210"/>
      <c r="AD1468" s="210"/>
      <c r="AE1468" s="210"/>
      <c r="AF1468" s="210"/>
      <c r="AG1468" s="210"/>
      <c r="AH1468" s="210"/>
      <c r="AI1468" s="210"/>
      <c r="AJ1468" s="210"/>
    </row>
    <row r="1469" ht="14.25" customHeight="1">
      <c r="A1469" s="210"/>
      <c r="B1469" s="210"/>
      <c r="C1469" s="210"/>
      <c r="D1469" s="210"/>
      <c r="E1469" s="210"/>
      <c r="F1469" s="210"/>
      <c r="G1469" s="210"/>
      <c r="H1469" s="210"/>
      <c r="I1469" s="210"/>
      <c r="J1469" s="210"/>
      <c r="K1469" s="210"/>
      <c r="L1469" s="210"/>
      <c r="M1469" s="210"/>
      <c r="N1469" s="210"/>
      <c r="O1469" s="210"/>
      <c r="P1469" s="210"/>
      <c r="Q1469" s="210"/>
      <c r="R1469" s="210"/>
      <c r="S1469" s="210"/>
      <c r="T1469" s="210"/>
      <c r="U1469" s="210"/>
      <c r="V1469" s="210"/>
      <c r="W1469" s="210"/>
      <c r="X1469" s="210"/>
      <c r="Y1469" s="210"/>
      <c r="Z1469" s="210"/>
      <c r="AA1469" s="210"/>
      <c r="AB1469" s="210"/>
      <c r="AC1469" s="210"/>
      <c r="AD1469" s="210"/>
      <c r="AE1469" s="210"/>
      <c r="AF1469" s="210"/>
      <c r="AG1469" s="210"/>
      <c r="AH1469" s="210"/>
      <c r="AI1469" s="210"/>
      <c r="AJ1469" s="210"/>
    </row>
    <row r="1470" ht="14.25" customHeight="1">
      <c r="A1470" s="210"/>
      <c r="B1470" s="210"/>
      <c r="C1470" s="210"/>
      <c r="D1470" s="210"/>
      <c r="E1470" s="210"/>
      <c r="F1470" s="210"/>
      <c r="G1470" s="210"/>
      <c r="H1470" s="210"/>
      <c r="I1470" s="210"/>
      <c r="J1470" s="210"/>
      <c r="K1470" s="210"/>
      <c r="L1470" s="210"/>
      <c r="M1470" s="210"/>
      <c r="N1470" s="210"/>
      <c r="O1470" s="210"/>
      <c r="P1470" s="210"/>
      <c r="Q1470" s="210"/>
      <c r="R1470" s="210"/>
      <c r="S1470" s="210"/>
      <c r="T1470" s="210"/>
      <c r="U1470" s="210"/>
      <c r="V1470" s="210"/>
      <c r="W1470" s="210"/>
      <c r="X1470" s="210"/>
      <c r="Y1470" s="210"/>
      <c r="Z1470" s="210"/>
      <c r="AA1470" s="210"/>
      <c r="AB1470" s="210"/>
      <c r="AC1470" s="210"/>
      <c r="AD1470" s="210"/>
      <c r="AE1470" s="210"/>
      <c r="AF1470" s="210"/>
      <c r="AG1470" s="210"/>
      <c r="AH1470" s="210"/>
      <c r="AI1470" s="210"/>
      <c r="AJ1470" s="210"/>
    </row>
    <row r="1471" ht="14.25" customHeight="1">
      <c r="A1471" s="210"/>
      <c r="B1471" s="210"/>
      <c r="C1471" s="210"/>
      <c r="D1471" s="210"/>
      <c r="E1471" s="210"/>
      <c r="F1471" s="210"/>
      <c r="G1471" s="210"/>
      <c r="H1471" s="210"/>
      <c r="I1471" s="210"/>
      <c r="J1471" s="210"/>
      <c r="K1471" s="210"/>
      <c r="L1471" s="210"/>
      <c r="M1471" s="210"/>
      <c r="N1471" s="210"/>
      <c r="O1471" s="210"/>
      <c r="P1471" s="210"/>
      <c r="Q1471" s="210"/>
      <c r="R1471" s="210"/>
      <c r="S1471" s="210"/>
      <c r="T1471" s="210"/>
      <c r="U1471" s="210"/>
      <c r="V1471" s="210"/>
      <c r="W1471" s="210"/>
      <c r="X1471" s="210"/>
      <c r="Y1471" s="210"/>
      <c r="Z1471" s="210"/>
      <c r="AA1471" s="210"/>
      <c r="AB1471" s="210"/>
      <c r="AC1471" s="210"/>
      <c r="AD1471" s="210"/>
      <c r="AE1471" s="210"/>
      <c r="AF1471" s="210"/>
      <c r="AG1471" s="210"/>
      <c r="AH1471" s="210"/>
      <c r="AI1471" s="210"/>
      <c r="AJ1471" s="210"/>
    </row>
    <row r="1472" ht="14.25" customHeight="1">
      <c r="A1472" s="210"/>
      <c r="B1472" s="210"/>
      <c r="C1472" s="210"/>
      <c r="D1472" s="210"/>
      <c r="E1472" s="210"/>
      <c r="F1472" s="210"/>
      <c r="G1472" s="210"/>
      <c r="H1472" s="210"/>
      <c r="I1472" s="210"/>
      <c r="J1472" s="210"/>
      <c r="K1472" s="210"/>
      <c r="L1472" s="210"/>
      <c r="M1472" s="210"/>
      <c r="N1472" s="210"/>
      <c r="O1472" s="210"/>
      <c r="P1472" s="210"/>
      <c r="Q1472" s="210"/>
      <c r="R1472" s="210"/>
      <c r="S1472" s="210"/>
      <c r="T1472" s="210"/>
      <c r="U1472" s="210"/>
      <c r="V1472" s="210"/>
      <c r="W1472" s="210"/>
      <c r="X1472" s="210"/>
      <c r="Y1472" s="210"/>
      <c r="Z1472" s="210"/>
      <c r="AA1472" s="210"/>
      <c r="AB1472" s="210"/>
      <c r="AC1472" s="210"/>
      <c r="AD1472" s="210"/>
      <c r="AE1472" s="210"/>
      <c r="AF1472" s="210"/>
      <c r="AG1472" s="210"/>
      <c r="AH1472" s="210"/>
      <c r="AI1472" s="210"/>
      <c r="AJ1472" s="210"/>
    </row>
    <row r="1473" ht="14.25" customHeight="1">
      <c r="A1473" s="210"/>
      <c r="B1473" s="210"/>
      <c r="C1473" s="210"/>
      <c r="D1473" s="210"/>
      <c r="E1473" s="210"/>
      <c r="F1473" s="210"/>
      <c r="G1473" s="210"/>
      <c r="H1473" s="210"/>
      <c r="I1473" s="210"/>
      <c r="J1473" s="210"/>
      <c r="K1473" s="210"/>
      <c r="L1473" s="210"/>
      <c r="M1473" s="210"/>
      <c r="N1473" s="210"/>
      <c r="O1473" s="210"/>
      <c r="P1473" s="210"/>
      <c r="Q1473" s="210"/>
      <c r="R1473" s="210"/>
      <c r="S1473" s="210"/>
      <c r="T1473" s="210"/>
      <c r="U1473" s="210"/>
      <c r="V1473" s="210"/>
      <c r="W1473" s="210"/>
      <c r="X1473" s="210"/>
      <c r="Y1473" s="210"/>
      <c r="Z1473" s="210"/>
      <c r="AA1473" s="210"/>
      <c r="AB1473" s="210"/>
      <c r="AC1473" s="210"/>
      <c r="AD1473" s="210"/>
      <c r="AE1473" s="210"/>
      <c r="AF1473" s="210"/>
      <c r="AG1473" s="210"/>
      <c r="AH1473" s="210"/>
      <c r="AI1473" s="210"/>
      <c r="AJ1473" s="210"/>
    </row>
    <row r="1474" ht="14.25" customHeight="1">
      <c r="A1474" s="210"/>
      <c r="B1474" s="210"/>
      <c r="C1474" s="210"/>
      <c r="D1474" s="210"/>
      <c r="E1474" s="210"/>
      <c r="F1474" s="210"/>
      <c r="G1474" s="210"/>
      <c r="H1474" s="210"/>
      <c r="I1474" s="210"/>
      <c r="J1474" s="210"/>
      <c r="K1474" s="210"/>
      <c r="L1474" s="210"/>
      <c r="M1474" s="210"/>
      <c r="N1474" s="210"/>
      <c r="O1474" s="210"/>
      <c r="P1474" s="210"/>
      <c r="Q1474" s="210"/>
      <c r="R1474" s="210"/>
      <c r="S1474" s="210"/>
      <c r="T1474" s="210"/>
      <c r="U1474" s="210"/>
      <c r="V1474" s="210"/>
      <c r="W1474" s="210"/>
      <c r="X1474" s="210"/>
      <c r="Y1474" s="210"/>
      <c r="Z1474" s="210"/>
      <c r="AA1474" s="210"/>
      <c r="AB1474" s="210"/>
      <c r="AC1474" s="210"/>
      <c r="AD1474" s="210"/>
      <c r="AE1474" s="210"/>
      <c r="AF1474" s="210"/>
      <c r="AG1474" s="210"/>
      <c r="AH1474" s="210"/>
      <c r="AI1474" s="210"/>
      <c r="AJ1474" s="210"/>
    </row>
    <row r="1475" ht="14.25" customHeight="1">
      <c r="A1475" s="210"/>
      <c r="B1475" s="210"/>
      <c r="C1475" s="210"/>
      <c r="D1475" s="210"/>
      <c r="E1475" s="210"/>
      <c r="F1475" s="210"/>
      <c r="G1475" s="210"/>
      <c r="H1475" s="210"/>
      <c r="I1475" s="210"/>
      <c r="J1475" s="210"/>
      <c r="K1475" s="210"/>
      <c r="L1475" s="210"/>
      <c r="M1475" s="210"/>
      <c r="N1475" s="210"/>
      <c r="O1475" s="210"/>
      <c r="P1475" s="210"/>
      <c r="Q1475" s="210"/>
      <c r="R1475" s="210"/>
      <c r="S1475" s="210"/>
      <c r="T1475" s="210"/>
      <c r="U1475" s="210"/>
      <c r="V1475" s="210"/>
      <c r="W1475" s="210"/>
      <c r="X1475" s="210"/>
      <c r="Y1475" s="210"/>
      <c r="Z1475" s="210"/>
      <c r="AA1475" s="210"/>
      <c r="AB1475" s="210"/>
      <c r="AC1475" s="210"/>
      <c r="AD1475" s="210"/>
      <c r="AE1475" s="210"/>
      <c r="AF1475" s="210"/>
      <c r="AG1475" s="210"/>
      <c r="AH1475" s="210"/>
      <c r="AI1475" s="210"/>
      <c r="AJ1475" s="210"/>
    </row>
    <row r="1476" ht="14.25" customHeight="1">
      <c r="A1476" s="210"/>
      <c r="B1476" s="210"/>
      <c r="C1476" s="210"/>
      <c r="D1476" s="210"/>
      <c r="E1476" s="210"/>
      <c r="F1476" s="210"/>
      <c r="G1476" s="210"/>
      <c r="H1476" s="210"/>
      <c r="I1476" s="210"/>
      <c r="J1476" s="210"/>
      <c r="K1476" s="210"/>
      <c r="L1476" s="210"/>
      <c r="M1476" s="210"/>
      <c r="N1476" s="210"/>
      <c r="O1476" s="210"/>
      <c r="P1476" s="210"/>
      <c r="Q1476" s="210"/>
      <c r="R1476" s="210"/>
      <c r="S1476" s="210"/>
      <c r="T1476" s="210"/>
      <c r="U1476" s="210"/>
      <c r="V1476" s="210"/>
      <c r="W1476" s="210"/>
      <c r="X1476" s="210"/>
      <c r="Y1476" s="210"/>
      <c r="Z1476" s="210"/>
      <c r="AA1476" s="210"/>
      <c r="AB1476" s="210"/>
      <c r="AC1476" s="210"/>
      <c r="AD1476" s="210"/>
      <c r="AE1476" s="210"/>
      <c r="AF1476" s="210"/>
      <c r="AG1476" s="210"/>
      <c r="AH1476" s="210"/>
      <c r="AI1476" s="210"/>
      <c r="AJ1476" s="210"/>
    </row>
    <row r="1477" ht="14.25" customHeight="1">
      <c r="A1477" s="210"/>
      <c r="B1477" s="210"/>
      <c r="C1477" s="210"/>
      <c r="D1477" s="210"/>
      <c r="E1477" s="210"/>
      <c r="F1477" s="210"/>
      <c r="G1477" s="210"/>
      <c r="H1477" s="210"/>
      <c r="I1477" s="210"/>
      <c r="J1477" s="210"/>
      <c r="K1477" s="210"/>
      <c r="L1477" s="210"/>
      <c r="M1477" s="210"/>
      <c r="N1477" s="210"/>
      <c r="O1477" s="210"/>
      <c r="P1477" s="210"/>
      <c r="Q1477" s="210"/>
      <c r="R1477" s="210"/>
      <c r="S1477" s="210"/>
      <c r="T1477" s="210"/>
      <c r="U1477" s="210"/>
      <c r="V1477" s="210"/>
      <c r="W1477" s="210"/>
      <c r="X1477" s="210"/>
      <c r="Y1477" s="210"/>
      <c r="Z1477" s="210"/>
      <c r="AA1477" s="210"/>
      <c r="AB1477" s="210"/>
      <c r="AC1477" s="210"/>
      <c r="AD1477" s="210"/>
      <c r="AE1477" s="210"/>
      <c r="AF1477" s="210"/>
      <c r="AG1477" s="210"/>
      <c r="AH1477" s="210"/>
      <c r="AI1477" s="210"/>
      <c r="AJ1477" s="210"/>
    </row>
    <row r="1478" ht="14.25" customHeight="1">
      <c r="A1478" s="210"/>
      <c r="B1478" s="210"/>
      <c r="C1478" s="210"/>
      <c r="D1478" s="210"/>
      <c r="E1478" s="210"/>
      <c r="F1478" s="210"/>
      <c r="G1478" s="210"/>
      <c r="H1478" s="210"/>
      <c r="I1478" s="210"/>
      <c r="J1478" s="210"/>
      <c r="K1478" s="210"/>
      <c r="L1478" s="210"/>
      <c r="M1478" s="210"/>
      <c r="N1478" s="210"/>
      <c r="O1478" s="210"/>
      <c r="P1478" s="210"/>
      <c r="Q1478" s="210"/>
      <c r="R1478" s="210"/>
      <c r="S1478" s="210"/>
      <c r="T1478" s="210"/>
      <c r="U1478" s="210"/>
      <c r="V1478" s="210"/>
      <c r="W1478" s="210"/>
      <c r="X1478" s="210"/>
      <c r="Y1478" s="210"/>
      <c r="Z1478" s="210"/>
      <c r="AA1478" s="210"/>
      <c r="AB1478" s="210"/>
      <c r="AC1478" s="210"/>
      <c r="AD1478" s="210"/>
      <c r="AE1478" s="210"/>
      <c r="AF1478" s="210"/>
      <c r="AG1478" s="210"/>
      <c r="AH1478" s="210"/>
      <c r="AI1478" s="210"/>
      <c r="AJ1478" s="210"/>
    </row>
    <row r="1479" ht="14.25" customHeight="1">
      <c r="A1479" s="210"/>
      <c r="B1479" s="210"/>
      <c r="C1479" s="210"/>
      <c r="D1479" s="210"/>
      <c r="E1479" s="210"/>
      <c r="F1479" s="210"/>
      <c r="G1479" s="210"/>
      <c r="H1479" s="210"/>
      <c r="I1479" s="210"/>
      <c r="J1479" s="210"/>
      <c r="K1479" s="210"/>
      <c r="L1479" s="210"/>
      <c r="M1479" s="210"/>
      <c r="N1479" s="210"/>
      <c r="O1479" s="210"/>
      <c r="P1479" s="210"/>
      <c r="Q1479" s="210"/>
      <c r="R1479" s="210"/>
      <c r="S1479" s="210"/>
      <c r="T1479" s="210"/>
      <c r="U1479" s="210"/>
      <c r="V1479" s="210"/>
      <c r="W1479" s="210"/>
      <c r="X1479" s="210"/>
      <c r="Y1479" s="210"/>
      <c r="Z1479" s="210"/>
      <c r="AA1479" s="210"/>
      <c r="AB1479" s="210"/>
      <c r="AC1479" s="210"/>
      <c r="AD1479" s="210"/>
      <c r="AE1479" s="210"/>
      <c r="AF1479" s="210"/>
      <c r="AG1479" s="210"/>
      <c r="AH1479" s="210"/>
      <c r="AI1479" s="210"/>
      <c r="AJ1479" s="210"/>
    </row>
    <row r="1480" ht="14.25" customHeight="1">
      <c r="A1480" s="210"/>
      <c r="B1480" s="210"/>
      <c r="C1480" s="210"/>
      <c r="D1480" s="210"/>
      <c r="E1480" s="210"/>
      <c r="F1480" s="210"/>
      <c r="G1480" s="210"/>
      <c r="H1480" s="210"/>
      <c r="I1480" s="210"/>
      <c r="J1480" s="210"/>
      <c r="K1480" s="210"/>
      <c r="L1480" s="210"/>
      <c r="M1480" s="210"/>
      <c r="N1480" s="210"/>
      <c r="O1480" s="210"/>
      <c r="P1480" s="210"/>
      <c r="Q1480" s="210"/>
      <c r="R1480" s="210"/>
      <c r="S1480" s="210"/>
      <c r="T1480" s="210"/>
      <c r="U1480" s="210"/>
      <c r="V1480" s="210"/>
      <c r="W1480" s="210"/>
      <c r="X1480" s="210"/>
      <c r="Y1480" s="210"/>
      <c r="Z1480" s="210"/>
      <c r="AA1480" s="210"/>
      <c r="AB1480" s="210"/>
      <c r="AC1480" s="210"/>
      <c r="AD1480" s="210"/>
      <c r="AE1480" s="210"/>
      <c r="AF1480" s="210"/>
      <c r="AG1480" s="210"/>
      <c r="AH1480" s="210"/>
      <c r="AI1480" s="210"/>
      <c r="AJ1480" s="210"/>
    </row>
    <row r="1481" ht="14.25" customHeight="1">
      <c r="A1481" s="210"/>
      <c r="B1481" s="210"/>
      <c r="C1481" s="210"/>
      <c r="D1481" s="210"/>
      <c r="E1481" s="210"/>
      <c r="F1481" s="210"/>
      <c r="G1481" s="210"/>
      <c r="H1481" s="210"/>
      <c r="I1481" s="210"/>
      <c r="J1481" s="210"/>
      <c r="K1481" s="210"/>
      <c r="L1481" s="210"/>
      <c r="M1481" s="210"/>
      <c r="N1481" s="210"/>
      <c r="O1481" s="210"/>
      <c r="P1481" s="210"/>
      <c r="Q1481" s="210"/>
      <c r="R1481" s="210"/>
      <c r="S1481" s="210"/>
      <c r="T1481" s="210"/>
      <c r="U1481" s="210"/>
      <c r="V1481" s="210"/>
      <c r="W1481" s="210"/>
      <c r="X1481" s="210"/>
      <c r="Y1481" s="210"/>
      <c r="Z1481" s="210"/>
      <c r="AA1481" s="210"/>
      <c r="AB1481" s="210"/>
      <c r="AC1481" s="210"/>
      <c r="AD1481" s="210"/>
      <c r="AE1481" s="210"/>
      <c r="AF1481" s="210"/>
      <c r="AG1481" s="210"/>
      <c r="AH1481" s="210"/>
      <c r="AI1481" s="210"/>
      <c r="AJ1481" s="210"/>
    </row>
    <row r="1482" ht="14.25" customHeight="1">
      <c r="A1482" s="210"/>
      <c r="B1482" s="210"/>
      <c r="C1482" s="210"/>
      <c r="D1482" s="210"/>
      <c r="E1482" s="210"/>
      <c r="F1482" s="210"/>
      <c r="G1482" s="210"/>
      <c r="H1482" s="210"/>
      <c r="I1482" s="210"/>
      <c r="J1482" s="210"/>
      <c r="K1482" s="210"/>
      <c r="L1482" s="210"/>
      <c r="M1482" s="210"/>
      <c r="N1482" s="210"/>
      <c r="O1482" s="210"/>
      <c r="P1482" s="210"/>
      <c r="Q1482" s="210"/>
      <c r="R1482" s="210"/>
      <c r="S1482" s="210"/>
      <c r="T1482" s="210"/>
      <c r="U1482" s="210"/>
      <c r="V1482" s="210"/>
      <c r="W1482" s="210"/>
      <c r="X1482" s="210"/>
      <c r="Y1482" s="210"/>
      <c r="Z1482" s="210"/>
      <c r="AA1482" s="210"/>
      <c r="AB1482" s="210"/>
      <c r="AC1482" s="210"/>
      <c r="AD1482" s="210"/>
      <c r="AE1482" s="210"/>
      <c r="AF1482" s="210"/>
      <c r="AG1482" s="210"/>
      <c r="AH1482" s="210"/>
      <c r="AI1482" s="210"/>
      <c r="AJ1482" s="210"/>
    </row>
    <row r="1483" ht="14.25" customHeight="1">
      <c r="A1483" s="210"/>
      <c r="B1483" s="210"/>
      <c r="C1483" s="210"/>
      <c r="D1483" s="210"/>
      <c r="E1483" s="210"/>
      <c r="F1483" s="210"/>
      <c r="G1483" s="210"/>
      <c r="H1483" s="210"/>
      <c r="I1483" s="210"/>
      <c r="J1483" s="210"/>
      <c r="K1483" s="210"/>
      <c r="L1483" s="210"/>
      <c r="M1483" s="210"/>
      <c r="N1483" s="210"/>
      <c r="O1483" s="210"/>
      <c r="P1483" s="210"/>
      <c r="Q1483" s="210"/>
      <c r="R1483" s="210"/>
      <c r="S1483" s="210"/>
      <c r="T1483" s="210"/>
      <c r="U1483" s="210"/>
      <c r="V1483" s="210"/>
      <c r="W1483" s="210"/>
      <c r="X1483" s="210"/>
      <c r="Y1483" s="210"/>
      <c r="Z1483" s="210"/>
      <c r="AA1483" s="210"/>
      <c r="AB1483" s="210"/>
      <c r="AC1483" s="210"/>
      <c r="AD1483" s="210"/>
      <c r="AE1483" s="210"/>
      <c r="AF1483" s="210"/>
      <c r="AG1483" s="210"/>
      <c r="AH1483" s="210"/>
      <c r="AI1483" s="210"/>
      <c r="AJ1483" s="210"/>
    </row>
    <row r="1484" ht="14.25" customHeight="1">
      <c r="A1484" s="210"/>
      <c r="B1484" s="210"/>
      <c r="C1484" s="210"/>
      <c r="D1484" s="210"/>
      <c r="E1484" s="210"/>
      <c r="F1484" s="210"/>
      <c r="G1484" s="210"/>
      <c r="H1484" s="210"/>
      <c r="I1484" s="210"/>
      <c r="J1484" s="210"/>
      <c r="K1484" s="210"/>
      <c r="L1484" s="210"/>
      <c r="M1484" s="210"/>
      <c r="N1484" s="210"/>
      <c r="O1484" s="210"/>
      <c r="P1484" s="210"/>
      <c r="Q1484" s="210"/>
      <c r="R1484" s="210"/>
      <c r="S1484" s="210"/>
      <c r="T1484" s="210"/>
      <c r="U1484" s="210"/>
      <c r="V1484" s="210"/>
      <c r="W1484" s="210"/>
      <c r="X1484" s="210"/>
      <c r="Y1484" s="210"/>
      <c r="Z1484" s="210"/>
      <c r="AA1484" s="210"/>
      <c r="AB1484" s="210"/>
      <c r="AC1484" s="210"/>
      <c r="AD1484" s="210"/>
      <c r="AE1484" s="210"/>
      <c r="AF1484" s="210"/>
      <c r="AG1484" s="210"/>
      <c r="AH1484" s="210"/>
      <c r="AI1484" s="210"/>
      <c r="AJ1484" s="210"/>
    </row>
    <row r="1485" ht="14.25" customHeight="1">
      <c r="A1485" s="210"/>
      <c r="B1485" s="210"/>
      <c r="C1485" s="210"/>
      <c r="D1485" s="210"/>
      <c r="E1485" s="210"/>
      <c r="F1485" s="210"/>
      <c r="G1485" s="210"/>
      <c r="H1485" s="210"/>
      <c r="I1485" s="210"/>
      <c r="J1485" s="210"/>
      <c r="K1485" s="210"/>
      <c r="L1485" s="210"/>
      <c r="M1485" s="210"/>
      <c r="N1485" s="210"/>
      <c r="O1485" s="210"/>
      <c r="P1485" s="210"/>
      <c r="Q1485" s="210"/>
      <c r="R1485" s="210"/>
      <c r="S1485" s="210"/>
      <c r="T1485" s="210"/>
      <c r="U1485" s="210"/>
      <c r="V1485" s="210"/>
      <c r="W1485" s="210"/>
      <c r="X1485" s="210"/>
      <c r="Y1485" s="210"/>
      <c r="Z1485" s="210"/>
      <c r="AA1485" s="210"/>
      <c r="AB1485" s="210"/>
      <c r="AC1485" s="210"/>
      <c r="AD1485" s="210"/>
      <c r="AE1485" s="210"/>
      <c r="AF1485" s="210"/>
      <c r="AG1485" s="210"/>
      <c r="AH1485" s="210"/>
      <c r="AI1485" s="210"/>
      <c r="AJ1485" s="210"/>
    </row>
    <row r="1486" ht="14.25" customHeight="1">
      <c r="A1486" s="210"/>
      <c r="B1486" s="210"/>
      <c r="C1486" s="210"/>
      <c r="D1486" s="210"/>
      <c r="E1486" s="210"/>
      <c r="F1486" s="210"/>
      <c r="G1486" s="210"/>
      <c r="H1486" s="210"/>
      <c r="I1486" s="210"/>
      <c r="J1486" s="210"/>
      <c r="K1486" s="210"/>
      <c r="L1486" s="210"/>
      <c r="M1486" s="210"/>
      <c r="N1486" s="210"/>
      <c r="O1486" s="210"/>
      <c r="P1486" s="210"/>
      <c r="Q1486" s="210"/>
      <c r="R1486" s="210"/>
      <c r="S1486" s="210"/>
      <c r="T1486" s="210"/>
      <c r="U1486" s="210"/>
      <c r="V1486" s="210"/>
      <c r="W1486" s="210"/>
      <c r="X1486" s="210"/>
      <c r="Y1486" s="210"/>
      <c r="Z1486" s="210"/>
      <c r="AA1486" s="210"/>
      <c r="AB1486" s="210"/>
      <c r="AC1486" s="210"/>
      <c r="AD1486" s="210"/>
      <c r="AE1486" s="210"/>
      <c r="AF1486" s="210"/>
      <c r="AG1486" s="210"/>
      <c r="AH1486" s="210"/>
      <c r="AI1486" s="210"/>
      <c r="AJ1486" s="210"/>
    </row>
    <row r="1487" ht="14.25" customHeight="1">
      <c r="A1487" s="210"/>
      <c r="B1487" s="210"/>
      <c r="C1487" s="210"/>
      <c r="D1487" s="210"/>
      <c r="E1487" s="210"/>
      <c r="F1487" s="210"/>
      <c r="G1487" s="210"/>
      <c r="H1487" s="210"/>
      <c r="I1487" s="210"/>
      <c r="J1487" s="210"/>
      <c r="K1487" s="210"/>
      <c r="L1487" s="210"/>
      <c r="M1487" s="210"/>
      <c r="N1487" s="210"/>
      <c r="O1487" s="210"/>
      <c r="P1487" s="210"/>
      <c r="Q1487" s="210"/>
      <c r="R1487" s="210"/>
      <c r="S1487" s="210"/>
      <c r="T1487" s="210"/>
      <c r="U1487" s="210"/>
      <c r="V1487" s="210"/>
      <c r="W1487" s="210"/>
      <c r="X1487" s="210"/>
      <c r="Y1487" s="210"/>
      <c r="Z1487" s="210"/>
      <c r="AA1487" s="210"/>
      <c r="AB1487" s="210"/>
      <c r="AC1487" s="210"/>
      <c r="AD1487" s="210"/>
      <c r="AE1487" s="210"/>
      <c r="AF1487" s="210"/>
      <c r="AG1487" s="210"/>
      <c r="AH1487" s="210"/>
      <c r="AI1487" s="210"/>
      <c r="AJ1487" s="210"/>
    </row>
    <row r="1488" ht="14.25" customHeight="1">
      <c r="A1488" s="210"/>
      <c r="B1488" s="210"/>
      <c r="C1488" s="210"/>
      <c r="D1488" s="210"/>
      <c r="E1488" s="210"/>
      <c r="F1488" s="210"/>
      <c r="G1488" s="210"/>
      <c r="H1488" s="210"/>
      <c r="I1488" s="210"/>
      <c r="J1488" s="210"/>
      <c r="K1488" s="210"/>
      <c r="L1488" s="210"/>
      <c r="M1488" s="210"/>
      <c r="N1488" s="210"/>
      <c r="O1488" s="210"/>
      <c r="P1488" s="210"/>
      <c r="Q1488" s="210"/>
      <c r="R1488" s="210"/>
      <c r="S1488" s="210"/>
      <c r="T1488" s="210"/>
      <c r="U1488" s="210"/>
      <c r="V1488" s="210"/>
      <c r="W1488" s="210"/>
      <c r="X1488" s="210"/>
      <c r="Y1488" s="210"/>
      <c r="Z1488" s="210"/>
      <c r="AA1488" s="210"/>
      <c r="AB1488" s="210"/>
      <c r="AC1488" s="210"/>
      <c r="AD1488" s="210"/>
      <c r="AE1488" s="210"/>
      <c r="AF1488" s="210"/>
      <c r="AG1488" s="210"/>
      <c r="AH1488" s="210"/>
      <c r="AI1488" s="210"/>
      <c r="AJ1488" s="210"/>
    </row>
    <row r="1489" ht="14.25" customHeight="1">
      <c r="A1489" s="210"/>
      <c r="B1489" s="210"/>
      <c r="C1489" s="210"/>
      <c r="D1489" s="210"/>
      <c r="E1489" s="210"/>
      <c r="F1489" s="210"/>
      <c r="G1489" s="210"/>
      <c r="H1489" s="210"/>
      <c r="I1489" s="210"/>
      <c r="J1489" s="210"/>
      <c r="K1489" s="210"/>
      <c r="L1489" s="210"/>
      <c r="M1489" s="210"/>
      <c r="N1489" s="210"/>
      <c r="O1489" s="210"/>
      <c r="P1489" s="210"/>
      <c r="Q1489" s="210"/>
      <c r="R1489" s="210"/>
      <c r="S1489" s="210"/>
      <c r="T1489" s="210"/>
      <c r="U1489" s="210"/>
      <c r="V1489" s="210"/>
      <c r="W1489" s="210"/>
      <c r="X1489" s="210"/>
      <c r="Y1489" s="210"/>
      <c r="Z1489" s="210"/>
      <c r="AA1489" s="210"/>
      <c r="AB1489" s="210"/>
      <c r="AC1489" s="210"/>
      <c r="AD1489" s="210"/>
      <c r="AE1489" s="210"/>
      <c r="AF1489" s="210"/>
      <c r="AG1489" s="210"/>
      <c r="AH1489" s="210"/>
      <c r="AI1489" s="210"/>
      <c r="AJ1489" s="210"/>
    </row>
    <row r="1490" ht="14.25" customHeight="1">
      <c r="A1490" s="210"/>
      <c r="B1490" s="210"/>
      <c r="C1490" s="210"/>
      <c r="D1490" s="210"/>
      <c r="E1490" s="210"/>
      <c r="F1490" s="210"/>
      <c r="G1490" s="210"/>
      <c r="H1490" s="210"/>
      <c r="I1490" s="210"/>
      <c r="J1490" s="210"/>
      <c r="K1490" s="210"/>
      <c r="L1490" s="210"/>
      <c r="M1490" s="210"/>
      <c r="N1490" s="210"/>
      <c r="O1490" s="210"/>
      <c r="P1490" s="210"/>
      <c r="Q1490" s="210"/>
      <c r="R1490" s="210"/>
      <c r="S1490" s="210"/>
      <c r="T1490" s="210"/>
      <c r="U1490" s="210"/>
      <c r="V1490" s="210"/>
      <c r="W1490" s="210"/>
      <c r="X1490" s="210"/>
      <c r="Y1490" s="210"/>
      <c r="Z1490" s="210"/>
      <c r="AA1490" s="210"/>
      <c r="AB1490" s="210"/>
      <c r="AC1490" s="210"/>
      <c r="AD1490" s="210"/>
      <c r="AE1490" s="210"/>
      <c r="AF1490" s="210"/>
      <c r="AG1490" s="210"/>
      <c r="AH1490" s="210"/>
      <c r="AI1490" s="210"/>
      <c r="AJ1490" s="210"/>
    </row>
    <row r="1491" ht="14.25" customHeight="1">
      <c r="A1491" s="210"/>
      <c r="B1491" s="210"/>
      <c r="C1491" s="210"/>
      <c r="D1491" s="210"/>
      <c r="E1491" s="210"/>
      <c r="F1491" s="210"/>
      <c r="G1491" s="210"/>
      <c r="H1491" s="210"/>
      <c r="I1491" s="210"/>
      <c r="J1491" s="210"/>
      <c r="K1491" s="210"/>
      <c r="L1491" s="210"/>
      <c r="M1491" s="210"/>
      <c r="N1491" s="210"/>
      <c r="O1491" s="210"/>
      <c r="P1491" s="210"/>
      <c r="Q1491" s="210"/>
      <c r="R1491" s="210"/>
      <c r="S1491" s="210"/>
      <c r="T1491" s="210"/>
      <c r="U1491" s="210"/>
      <c r="V1491" s="210"/>
      <c r="W1491" s="210"/>
      <c r="X1491" s="210"/>
      <c r="Y1491" s="210"/>
      <c r="Z1491" s="210"/>
      <c r="AA1491" s="210"/>
      <c r="AB1491" s="210"/>
      <c r="AC1491" s="210"/>
      <c r="AD1491" s="210"/>
      <c r="AE1491" s="210"/>
      <c r="AF1491" s="210"/>
      <c r="AG1491" s="210"/>
      <c r="AH1491" s="210"/>
      <c r="AI1491" s="210"/>
      <c r="AJ1491" s="210"/>
    </row>
    <row r="1492" ht="14.25" customHeight="1">
      <c r="A1492" s="210"/>
      <c r="B1492" s="210"/>
      <c r="C1492" s="210"/>
      <c r="D1492" s="210"/>
      <c r="E1492" s="210"/>
      <c r="F1492" s="210"/>
      <c r="G1492" s="210"/>
      <c r="H1492" s="210"/>
      <c r="I1492" s="210"/>
      <c r="J1492" s="210"/>
      <c r="K1492" s="210"/>
      <c r="L1492" s="210"/>
      <c r="M1492" s="210"/>
      <c r="N1492" s="210"/>
      <c r="O1492" s="210"/>
      <c r="P1492" s="210"/>
      <c r="Q1492" s="210"/>
      <c r="R1492" s="210"/>
      <c r="S1492" s="210"/>
      <c r="T1492" s="210"/>
      <c r="U1492" s="210"/>
      <c r="V1492" s="210"/>
      <c r="W1492" s="210"/>
      <c r="X1492" s="210"/>
      <c r="Y1492" s="210"/>
      <c r="Z1492" s="210"/>
      <c r="AA1492" s="210"/>
      <c r="AB1492" s="210"/>
      <c r="AC1492" s="210"/>
      <c r="AD1492" s="210"/>
      <c r="AE1492" s="210"/>
      <c r="AF1492" s="210"/>
      <c r="AG1492" s="210"/>
      <c r="AH1492" s="210"/>
      <c r="AI1492" s="210"/>
      <c r="AJ1492" s="210"/>
    </row>
    <row r="1493" ht="14.25" customHeight="1">
      <c r="A1493" s="210"/>
      <c r="B1493" s="210"/>
      <c r="C1493" s="210"/>
      <c r="D1493" s="210"/>
      <c r="E1493" s="210"/>
      <c r="F1493" s="210"/>
      <c r="G1493" s="210"/>
      <c r="H1493" s="210"/>
      <c r="I1493" s="210"/>
      <c r="J1493" s="210"/>
      <c r="K1493" s="210"/>
      <c r="L1493" s="210"/>
      <c r="M1493" s="210"/>
      <c r="N1493" s="210"/>
      <c r="O1493" s="210"/>
      <c r="P1493" s="210"/>
      <c r="Q1493" s="210"/>
      <c r="R1493" s="210"/>
      <c r="S1493" s="210"/>
      <c r="T1493" s="210"/>
      <c r="U1493" s="210"/>
      <c r="V1493" s="210"/>
      <c r="W1493" s="210"/>
      <c r="X1493" s="210"/>
      <c r="Y1493" s="210"/>
      <c r="Z1493" s="210"/>
      <c r="AA1493" s="210"/>
      <c r="AB1493" s="210"/>
      <c r="AC1493" s="210"/>
      <c r="AD1493" s="210"/>
      <c r="AE1493" s="210"/>
      <c r="AF1493" s="210"/>
      <c r="AG1493" s="210"/>
      <c r="AH1493" s="210"/>
      <c r="AI1493" s="210"/>
      <c r="AJ1493" s="210"/>
    </row>
    <row r="1494" ht="14.25" customHeight="1">
      <c r="A1494" s="210"/>
      <c r="B1494" s="210"/>
      <c r="C1494" s="210"/>
      <c r="D1494" s="210"/>
      <c r="E1494" s="210"/>
      <c r="F1494" s="210"/>
      <c r="G1494" s="210"/>
      <c r="H1494" s="210"/>
      <c r="I1494" s="210"/>
      <c r="J1494" s="210"/>
      <c r="K1494" s="210"/>
      <c r="L1494" s="210"/>
      <c r="M1494" s="210"/>
      <c r="N1494" s="210"/>
      <c r="O1494" s="210"/>
      <c r="P1494" s="210"/>
      <c r="Q1494" s="210"/>
      <c r="R1494" s="210"/>
      <c r="S1494" s="210"/>
      <c r="T1494" s="210"/>
      <c r="U1494" s="210"/>
      <c r="V1494" s="210"/>
      <c r="W1494" s="210"/>
      <c r="X1494" s="210"/>
      <c r="Y1494" s="210"/>
      <c r="Z1494" s="210"/>
      <c r="AA1494" s="210"/>
      <c r="AB1494" s="210"/>
      <c r="AC1494" s="210"/>
      <c r="AD1494" s="210"/>
      <c r="AE1494" s="210"/>
      <c r="AF1494" s="210"/>
      <c r="AG1494" s="210"/>
      <c r="AH1494" s="210"/>
      <c r="AI1494" s="210"/>
      <c r="AJ1494" s="210"/>
    </row>
    <row r="1495" ht="14.25" customHeight="1">
      <c r="A1495" s="210"/>
      <c r="B1495" s="210"/>
      <c r="C1495" s="210"/>
      <c r="D1495" s="210"/>
      <c r="E1495" s="210"/>
      <c r="F1495" s="210"/>
      <c r="G1495" s="210"/>
      <c r="H1495" s="210"/>
      <c r="I1495" s="210"/>
      <c r="J1495" s="210"/>
      <c r="K1495" s="210"/>
      <c r="L1495" s="210"/>
      <c r="M1495" s="210"/>
      <c r="N1495" s="210"/>
      <c r="O1495" s="210"/>
      <c r="P1495" s="210"/>
      <c r="Q1495" s="210"/>
      <c r="R1495" s="210"/>
      <c r="S1495" s="210"/>
      <c r="T1495" s="210"/>
      <c r="U1495" s="210"/>
      <c r="V1495" s="210"/>
      <c r="W1495" s="210"/>
      <c r="X1495" s="210"/>
      <c r="Y1495" s="210"/>
      <c r="Z1495" s="210"/>
      <c r="AA1495" s="210"/>
      <c r="AB1495" s="210"/>
      <c r="AC1495" s="210"/>
      <c r="AD1495" s="210"/>
      <c r="AE1495" s="210"/>
      <c r="AF1495" s="210"/>
      <c r="AG1495" s="210"/>
      <c r="AH1495" s="210"/>
      <c r="AI1495" s="210"/>
      <c r="AJ1495" s="210"/>
    </row>
    <row r="1496" ht="14.25" customHeight="1">
      <c r="A1496" s="210"/>
      <c r="B1496" s="210"/>
      <c r="C1496" s="210"/>
      <c r="D1496" s="210"/>
      <c r="E1496" s="210"/>
      <c r="F1496" s="210"/>
      <c r="G1496" s="210"/>
      <c r="H1496" s="210"/>
      <c r="I1496" s="210"/>
      <c r="J1496" s="210"/>
      <c r="K1496" s="210"/>
      <c r="L1496" s="210"/>
      <c r="M1496" s="210"/>
      <c r="N1496" s="210"/>
      <c r="O1496" s="210"/>
      <c r="P1496" s="210"/>
      <c r="Q1496" s="210"/>
      <c r="R1496" s="210"/>
      <c r="S1496" s="210"/>
      <c r="T1496" s="210"/>
      <c r="U1496" s="210"/>
      <c r="V1496" s="210"/>
      <c r="W1496" s="210"/>
      <c r="X1496" s="210"/>
      <c r="Y1496" s="210"/>
      <c r="Z1496" s="210"/>
      <c r="AA1496" s="210"/>
      <c r="AB1496" s="210"/>
      <c r="AC1496" s="210"/>
      <c r="AD1496" s="210"/>
      <c r="AE1496" s="210"/>
      <c r="AF1496" s="210"/>
      <c r="AG1496" s="210"/>
      <c r="AH1496" s="210"/>
      <c r="AI1496" s="210"/>
      <c r="AJ1496" s="210"/>
    </row>
    <row r="1497" ht="14.25" customHeight="1">
      <c r="A1497" s="210"/>
      <c r="B1497" s="210"/>
      <c r="C1497" s="210"/>
      <c r="D1497" s="210"/>
      <c r="E1497" s="210"/>
      <c r="F1497" s="210"/>
      <c r="G1497" s="210"/>
      <c r="H1497" s="210"/>
      <c r="I1497" s="210"/>
      <c r="J1497" s="210"/>
      <c r="K1497" s="210"/>
      <c r="L1497" s="210"/>
      <c r="M1497" s="210"/>
      <c r="N1497" s="210"/>
      <c r="O1497" s="210"/>
      <c r="P1497" s="210"/>
      <c r="Q1497" s="210"/>
      <c r="R1497" s="210"/>
      <c r="S1497" s="210"/>
      <c r="T1497" s="210"/>
      <c r="U1497" s="210"/>
      <c r="V1497" s="210"/>
      <c r="W1497" s="210"/>
      <c r="X1497" s="210"/>
      <c r="Y1497" s="210"/>
      <c r="Z1497" s="210"/>
      <c r="AA1497" s="210"/>
      <c r="AB1497" s="210"/>
      <c r="AC1497" s="210"/>
      <c r="AD1497" s="210"/>
      <c r="AE1497" s="210"/>
      <c r="AF1497" s="210"/>
      <c r="AG1497" s="210"/>
      <c r="AH1497" s="210"/>
      <c r="AI1497" s="210"/>
      <c r="AJ1497" s="210"/>
    </row>
    <row r="1498" ht="14.25" customHeight="1">
      <c r="A1498" s="210"/>
      <c r="B1498" s="210"/>
      <c r="C1498" s="210"/>
      <c r="D1498" s="210"/>
      <c r="E1498" s="210"/>
      <c r="F1498" s="210"/>
      <c r="G1498" s="210"/>
      <c r="H1498" s="210"/>
      <c r="I1498" s="210"/>
      <c r="J1498" s="210"/>
      <c r="K1498" s="210"/>
      <c r="L1498" s="210"/>
      <c r="M1498" s="210"/>
      <c r="N1498" s="210"/>
      <c r="O1498" s="210"/>
      <c r="P1498" s="210"/>
      <c r="Q1498" s="210"/>
      <c r="R1498" s="210"/>
      <c r="S1498" s="210"/>
      <c r="T1498" s="210"/>
      <c r="U1498" s="210"/>
      <c r="V1498" s="210"/>
      <c r="W1498" s="210"/>
      <c r="X1498" s="210"/>
      <c r="Y1498" s="210"/>
      <c r="Z1498" s="210"/>
      <c r="AA1498" s="210"/>
      <c r="AB1498" s="210"/>
      <c r="AC1498" s="210"/>
      <c r="AD1498" s="210"/>
      <c r="AE1498" s="210"/>
      <c r="AF1498" s="210"/>
      <c r="AG1498" s="210"/>
      <c r="AH1498" s="210"/>
      <c r="AI1498" s="210"/>
      <c r="AJ1498" s="210"/>
    </row>
    <row r="1499" ht="14.25" customHeight="1">
      <c r="A1499" s="210"/>
      <c r="B1499" s="210"/>
      <c r="C1499" s="210"/>
      <c r="D1499" s="210"/>
      <c r="E1499" s="210"/>
      <c r="F1499" s="210"/>
      <c r="G1499" s="210"/>
      <c r="H1499" s="210"/>
      <c r="I1499" s="210"/>
      <c r="J1499" s="210"/>
      <c r="K1499" s="210"/>
      <c r="L1499" s="210"/>
      <c r="M1499" s="210"/>
      <c r="N1499" s="210"/>
      <c r="O1499" s="210"/>
      <c r="P1499" s="210"/>
      <c r="Q1499" s="210"/>
      <c r="R1499" s="210"/>
      <c r="S1499" s="210"/>
      <c r="T1499" s="210"/>
      <c r="U1499" s="210"/>
      <c r="V1499" s="210"/>
      <c r="W1499" s="210"/>
      <c r="X1499" s="210"/>
      <c r="Y1499" s="210"/>
      <c r="Z1499" s="210"/>
      <c r="AA1499" s="210"/>
      <c r="AB1499" s="210"/>
      <c r="AC1499" s="210"/>
      <c r="AD1499" s="210"/>
      <c r="AE1499" s="210"/>
      <c r="AF1499" s="210"/>
      <c r="AG1499" s="210"/>
      <c r="AH1499" s="210"/>
      <c r="AI1499" s="210"/>
      <c r="AJ1499" s="210"/>
    </row>
    <row r="1500" ht="14.25" customHeight="1">
      <c r="A1500" s="210"/>
      <c r="B1500" s="210"/>
      <c r="C1500" s="210"/>
      <c r="D1500" s="210"/>
      <c r="E1500" s="210"/>
      <c r="F1500" s="210"/>
      <c r="G1500" s="210"/>
      <c r="H1500" s="210"/>
      <c r="I1500" s="210"/>
      <c r="J1500" s="210"/>
      <c r="K1500" s="210"/>
      <c r="L1500" s="210"/>
      <c r="M1500" s="210"/>
      <c r="N1500" s="210"/>
      <c r="O1500" s="210"/>
      <c r="P1500" s="210"/>
      <c r="Q1500" s="210"/>
      <c r="R1500" s="210"/>
      <c r="S1500" s="210"/>
      <c r="T1500" s="210"/>
      <c r="U1500" s="210"/>
      <c r="V1500" s="210"/>
      <c r="W1500" s="210"/>
      <c r="X1500" s="210"/>
      <c r="Y1500" s="210"/>
      <c r="Z1500" s="210"/>
      <c r="AA1500" s="210"/>
      <c r="AB1500" s="210"/>
      <c r="AC1500" s="210"/>
      <c r="AD1500" s="210"/>
      <c r="AE1500" s="210"/>
      <c r="AF1500" s="210"/>
      <c r="AG1500" s="210"/>
      <c r="AH1500" s="210"/>
      <c r="AI1500" s="210"/>
      <c r="AJ1500" s="210"/>
    </row>
    <row r="1501" ht="14.25" customHeight="1">
      <c r="A1501" s="210"/>
      <c r="B1501" s="210"/>
      <c r="C1501" s="210"/>
      <c r="D1501" s="210"/>
      <c r="E1501" s="210"/>
      <c r="F1501" s="210"/>
      <c r="G1501" s="210"/>
      <c r="H1501" s="210"/>
      <c r="I1501" s="210"/>
      <c r="J1501" s="210"/>
      <c r="K1501" s="210"/>
      <c r="L1501" s="210"/>
      <c r="M1501" s="210"/>
      <c r="N1501" s="210"/>
      <c r="O1501" s="210"/>
      <c r="P1501" s="210"/>
      <c r="Q1501" s="210"/>
      <c r="R1501" s="210"/>
      <c r="S1501" s="210"/>
      <c r="T1501" s="210"/>
      <c r="U1501" s="210"/>
      <c r="V1501" s="210"/>
      <c r="W1501" s="210"/>
      <c r="X1501" s="210"/>
      <c r="Y1501" s="210"/>
      <c r="Z1501" s="210"/>
      <c r="AA1501" s="210"/>
      <c r="AB1501" s="210"/>
      <c r="AC1501" s="210"/>
      <c r="AD1501" s="210"/>
      <c r="AE1501" s="210"/>
      <c r="AF1501" s="210"/>
      <c r="AG1501" s="210"/>
      <c r="AH1501" s="210"/>
      <c r="AI1501" s="210"/>
      <c r="AJ1501" s="210"/>
    </row>
    <row r="1502" ht="14.25" customHeight="1">
      <c r="A1502" s="210"/>
      <c r="B1502" s="210"/>
      <c r="C1502" s="210"/>
      <c r="D1502" s="210"/>
      <c r="E1502" s="210"/>
      <c r="F1502" s="210"/>
      <c r="G1502" s="210"/>
      <c r="H1502" s="210"/>
      <c r="I1502" s="210"/>
      <c r="J1502" s="210"/>
      <c r="K1502" s="210"/>
      <c r="L1502" s="210"/>
      <c r="M1502" s="210"/>
      <c r="N1502" s="210"/>
      <c r="O1502" s="210"/>
      <c r="P1502" s="210"/>
      <c r="Q1502" s="210"/>
      <c r="R1502" s="210"/>
      <c r="S1502" s="210"/>
      <c r="T1502" s="210"/>
      <c r="U1502" s="210"/>
      <c r="V1502" s="210"/>
      <c r="W1502" s="210"/>
      <c r="X1502" s="210"/>
      <c r="Y1502" s="210"/>
      <c r="Z1502" s="210"/>
      <c r="AA1502" s="210"/>
      <c r="AB1502" s="210"/>
      <c r="AC1502" s="210"/>
      <c r="AD1502" s="210"/>
      <c r="AE1502" s="210"/>
      <c r="AF1502" s="210"/>
      <c r="AG1502" s="210"/>
      <c r="AH1502" s="210"/>
      <c r="AI1502" s="210"/>
      <c r="AJ1502" s="210"/>
    </row>
    <row r="1503" ht="14.25" customHeight="1">
      <c r="A1503" s="210"/>
      <c r="B1503" s="210"/>
      <c r="C1503" s="210"/>
      <c r="D1503" s="210"/>
      <c r="E1503" s="210"/>
      <c r="F1503" s="210"/>
      <c r="G1503" s="210"/>
      <c r="H1503" s="210"/>
      <c r="I1503" s="210"/>
      <c r="J1503" s="210"/>
      <c r="K1503" s="210"/>
      <c r="L1503" s="210"/>
      <c r="M1503" s="210"/>
      <c r="N1503" s="210"/>
      <c r="O1503" s="210"/>
      <c r="P1503" s="210"/>
      <c r="Q1503" s="210"/>
      <c r="R1503" s="210"/>
      <c r="S1503" s="210"/>
      <c r="T1503" s="210"/>
      <c r="U1503" s="210"/>
      <c r="V1503" s="210"/>
      <c r="W1503" s="210"/>
      <c r="X1503" s="210"/>
      <c r="Y1503" s="210"/>
      <c r="Z1503" s="210"/>
      <c r="AA1503" s="210"/>
      <c r="AB1503" s="210"/>
      <c r="AC1503" s="210"/>
      <c r="AD1503" s="210"/>
      <c r="AE1503" s="210"/>
      <c r="AF1503" s="210"/>
      <c r="AG1503" s="210"/>
      <c r="AH1503" s="210"/>
      <c r="AI1503" s="210"/>
      <c r="AJ1503" s="210"/>
    </row>
    <row r="1504" ht="14.25" customHeight="1">
      <c r="A1504" s="210"/>
      <c r="B1504" s="210"/>
      <c r="C1504" s="210"/>
      <c r="D1504" s="210"/>
      <c r="E1504" s="210"/>
      <c r="F1504" s="210"/>
      <c r="G1504" s="210"/>
      <c r="H1504" s="210"/>
      <c r="I1504" s="210"/>
      <c r="J1504" s="210"/>
      <c r="K1504" s="210"/>
      <c r="L1504" s="210"/>
      <c r="M1504" s="210"/>
      <c r="N1504" s="210"/>
      <c r="O1504" s="210"/>
      <c r="P1504" s="210"/>
      <c r="Q1504" s="210"/>
      <c r="R1504" s="210"/>
      <c r="S1504" s="210"/>
      <c r="T1504" s="210"/>
      <c r="U1504" s="210"/>
      <c r="V1504" s="210"/>
      <c r="W1504" s="210"/>
      <c r="X1504" s="210"/>
      <c r="Y1504" s="210"/>
      <c r="Z1504" s="210"/>
      <c r="AA1504" s="210"/>
      <c r="AB1504" s="210"/>
      <c r="AC1504" s="210"/>
      <c r="AD1504" s="210"/>
      <c r="AE1504" s="210"/>
      <c r="AF1504" s="210"/>
      <c r="AG1504" s="210"/>
      <c r="AH1504" s="210"/>
      <c r="AI1504" s="210"/>
      <c r="AJ1504" s="210"/>
    </row>
    <row r="1505" ht="14.25" customHeight="1">
      <c r="A1505" s="210"/>
      <c r="B1505" s="210"/>
      <c r="C1505" s="210"/>
      <c r="D1505" s="210"/>
      <c r="E1505" s="210"/>
      <c r="F1505" s="210"/>
      <c r="G1505" s="210"/>
      <c r="H1505" s="210"/>
      <c r="I1505" s="210"/>
      <c r="J1505" s="210"/>
      <c r="K1505" s="210"/>
      <c r="L1505" s="210"/>
      <c r="M1505" s="210"/>
      <c r="N1505" s="210"/>
      <c r="O1505" s="210"/>
      <c r="P1505" s="210"/>
      <c r="Q1505" s="210"/>
      <c r="R1505" s="210"/>
      <c r="S1505" s="210"/>
      <c r="T1505" s="210"/>
      <c r="U1505" s="210"/>
      <c r="V1505" s="210"/>
      <c r="W1505" s="210"/>
      <c r="X1505" s="210"/>
      <c r="Y1505" s="210"/>
      <c r="Z1505" s="210"/>
      <c r="AA1505" s="210"/>
      <c r="AB1505" s="210"/>
      <c r="AC1505" s="210"/>
      <c r="AD1505" s="210"/>
      <c r="AE1505" s="210"/>
      <c r="AF1505" s="210"/>
      <c r="AG1505" s="210"/>
      <c r="AH1505" s="210"/>
      <c r="AI1505" s="210"/>
      <c r="AJ1505" s="210"/>
    </row>
    <row r="1506" ht="14.25" customHeight="1">
      <c r="A1506" s="210"/>
      <c r="B1506" s="210"/>
      <c r="C1506" s="210"/>
      <c r="D1506" s="210"/>
      <c r="E1506" s="210"/>
      <c r="F1506" s="210"/>
      <c r="G1506" s="210"/>
      <c r="H1506" s="210"/>
      <c r="I1506" s="210"/>
      <c r="J1506" s="210"/>
      <c r="K1506" s="210"/>
      <c r="L1506" s="210"/>
      <c r="M1506" s="210"/>
      <c r="N1506" s="210"/>
      <c r="O1506" s="210"/>
      <c r="P1506" s="210"/>
      <c r="Q1506" s="210"/>
      <c r="R1506" s="210"/>
      <c r="S1506" s="210"/>
      <c r="T1506" s="210"/>
      <c r="U1506" s="210"/>
      <c r="V1506" s="210"/>
      <c r="W1506" s="210"/>
      <c r="X1506" s="210"/>
      <c r="Y1506" s="210"/>
      <c r="Z1506" s="210"/>
      <c r="AA1506" s="210"/>
      <c r="AB1506" s="210"/>
      <c r="AC1506" s="210"/>
      <c r="AD1506" s="210"/>
      <c r="AE1506" s="210"/>
      <c r="AF1506" s="210"/>
      <c r="AG1506" s="210"/>
      <c r="AH1506" s="210"/>
      <c r="AI1506" s="210"/>
      <c r="AJ1506" s="210"/>
    </row>
    <row r="1507" ht="14.25" customHeight="1">
      <c r="A1507" s="210"/>
      <c r="B1507" s="210"/>
      <c r="C1507" s="210"/>
      <c r="D1507" s="210"/>
      <c r="E1507" s="210"/>
      <c r="F1507" s="210"/>
      <c r="G1507" s="210"/>
      <c r="H1507" s="210"/>
      <c r="I1507" s="210"/>
      <c r="J1507" s="210"/>
      <c r="K1507" s="210"/>
      <c r="L1507" s="210"/>
      <c r="M1507" s="210"/>
      <c r="N1507" s="210"/>
      <c r="O1507" s="210"/>
      <c r="P1507" s="210"/>
      <c r="Q1507" s="210"/>
      <c r="R1507" s="210"/>
      <c r="S1507" s="210"/>
      <c r="T1507" s="210"/>
      <c r="U1507" s="210"/>
      <c r="V1507" s="210"/>
      <c r="W1507" s="210"/>
      <c r="X1507" s="210"/>
      <c r="Y1507" s="210"/>
      <c r="Z1507" s="210"/>
      <c r="AA1507" s="210"/>
      <c r="AB1507" s="210"/>
      <c r="AC1507" s="210"/>
      <c r="AD1507" s="210"/>
      <c r="AE1507" s="210"/>
      <c r="AF1507" s="210"/>
      <c r="AG1507" s="210"/>
      <c r="AH1507" s="210"/>
      <c r="AI1507" s="210"/>
      <c r="AJ1507" s="210"/>
    </row>
    <row r="1508" ht="14.25" customHeight="1">
      <c r="A1508" s="210"/>
      <c r="B1508" s="210"/>
      <c r="C1508" s="210"/>
      <c r="D1508" s="210"/>
      <c r="E1508" s="210"/>
      <c r="F1508" s="210"/>
      <c r="G1508" s="210"/>
      <c r="H1508" s="210"/>
      <c r="I1508" s="210"/>
      <c r="J1508" s="210"/>
      <c r="K1508" s="210"/>
      <c r="L1508" s="210"/>
      <c r="M1508" s="210"/>
      <c r="N1508" s="210"/>
      <c r="O1508" s="210"/>
      <c r="P1508" s="210"/>
      <c r="Q1508" s="210"/>
      <c r="R1508" s="210"/>
      <c r="S1508" s="210"/>
      <c r="T1508" s="210"/>
      <c r="U1508" s="210"/>
      <c r="V1508" s="210"/>
      <c r="W1508" s="210"/>
      <c r="X1508" s="210"/>
      <c r="Y1508" s="210"/>
      <c r="Z1508" s="210"/>
      <c r="AA1508" s="210"/>
      <c r="AB1508" s="210"/>
      <c r="AC1508" s="210"/>
      <c r="AD1508" s="210"/>
      <c r="AE1508" s="210"/>
      <c r="AF1508" s="210"/>
      <c r="AG1508" s="210"/>
      <c r="AH1508" s="210"/>
      <c r="AI1508" s="210"/>
      <c r="AJ1508" s="210"/>
    </row>
    <row r="1509" ht="14.25" customHeight="1">
      <c r="A1509" s="210"/>
      <c r="B1509" s="210"/>
      <c r="C1509" s="210"/>
      <c r="D1509" s="210"/>
      <c r="E1509" s="210"/>
      <c r="F1509" s="210"/>
      <c r="G1509" s="210"/>
      <c r="H1509" s="210"/>
      <c r="I1509" s="210"/>
      <c r="J1509" s="210"/>
      <c r="K1509" s="210"/>
      <c r="L1509" s="210"/>
      <c r="M1509" s="210"/>
      <c r="N1509" s="210"/>
      <c r="O1509" s="210"/>
      <c r="P1509" s="210"/>
      <c r="Q1509" s="210"/>
      <c r="R1509" s="210"/>
      <c r="S1509" s="210"/>
      <c r="T1509" s="210"/>
      <c r="U1509" s="210"/>
      <c r="V1509" s="210"/>
      <c r="W1509" s="210"/>
      <c r="X1509" s="210"/>
      <c r="Y1509" s="210"/>
      <c r="Z1509" s="210"/>
      <c r="AA1509" s="210"/>
      <c r="AB1509" s="210"/>
      <c r="AC1509" s="210"/>
      <c r="AD1509" s="210"/>
      <c r="AE1509" s="210"/>
      <c r="AF1509" s="210"/>
      <c r="AG1509" s="210"/>
      <c r="AH1509" s="210"/>
      <c r="AI1509" s="210"/>
      <c r="AJ1509" s="210"/>
    </row>
    <row r="1510" ht="14.25" customHeight="1">
      <c r="A1510" s="210"/>
      <c r="B1510" s="210"/>
      <c r="C1510" s="210"/>
      <c r="D1510" s="210"/>
      <c r="E1510" s="210"/>
      <c r="F1510" s="210"/>
      <c r="G1510" s="210"/>
      <c r="H1510" s="210"/>
      <c r="I1510" s="210"/>
      <c r="J1510" s="210"/>
      <c r="K1510" s="210"/>
      <c r="L1510" s="210"/>
      <c r="M1510" s="210"/>
      <c r="N1510" s="210"/>
      <c r="O1510" s="210"/>
      <c r="P1510" s="210"/>
      <c r="Q1510" s="210"/>
      <c r="R1510" s="210"/>
      <c r="S1510" s="210"/>
      <c r="T1510" s="210"/>
      <c r="U1510" s="210"/>
      <c r="V1510" s="210"/>
      <c r="W1510" s="210"/>
      <c r="X1510" s="210"/>
      <c r="Y1510" s="210"/>
      <c r="Z1510" s="210"/>
      <c r="AA1510" s="210"/>
      <c r="AB1510" s="210"/>
      <c r="AC1510" s="210"/>
      <c r="AD1510" s="210"/>
      <c r="AE1510" s="210"/>
      <c r="AF1510" s="210"/>
      <c r="AG1510" s="210"/>
      <c r="AH1510" s="210"/>
      <c r="AI1510" s="210"/>
      <c r="AJ1510" s="210"/>
    </row>
    <row r="1511" ht="14.25" customHeight="1">
      <c r="A1511" s="210"/>
      <c r="B1511" s="210"/>
      <c r="C1511" s="210"/>
      <c r="D1511" s="210"/>
      <c r="E1511" s="210"/>
      <c r="F1511" s="210"/>
      <c r="G1511" s="210"/>
      <c r="H1511" s="210"/>
      <c r="I1511" s="210"/>
      <c r="J1511" s="210"/>
      <c r="K1511" s="210"/>
      <c r="L1511" s="210"/>
      <c r="M1511" s="210"/>
      <c r="N1511" s="210"/>
      <c r="O1511" s="210"/>
      <c r="P1511" s="210"/>
      <c r="Q1511" s="210"/>
      <c r="R1511" s="210"/>
      <c r="S1511" s="210"/>
      <c r="T1511" s="210"/>
      <c r="U1511" s="210"/>
      <c r="V1511" s="210"/>
      <c r="W1511" s="210"/>
      <c r="X1511" s="210"/>
      <c r="Y1511" s="210"/>
      <c r="Z1511" s="210"/>
      <c r="AA1511" s="210"/>
      <c r="AB1511" s="210"/>
      <c r="AC1511" s="210"/>
      <c r="AD1511" s="210"/>
      <c r="AE1511" s="210"/>
      <c r="AF1511" s="210"/>
      <c r="AG1511" s="210"/>
      <c r="AH1511" s="210"/>
      <c r="AI1511" s="210"/>
      <c r="AJ1511" s="210"/>
    </row>
    <row r="1512" ht="14.25" customHeight="1">
      <c r="A1512" s="210"/>
      <c r="B1512" s="210"/>
      <c r="C1512" s="210"/>
      <c r="D1512" s="210"/>
      <c r="E1512" s="210"/>
      <c r="F1512" s="210"/>
      <c r="G1512" s="210"/>
      <c r="H1512" s="210"/>
      <c r="I1512" s="210"/>
      <c r="J1512" s="210"/>
      <c r="K1512" s="210"/>
      <c r="L1512" s="210"/>
      <c r="M1512" s="210"/>
      <c r="N1512" s="210"/>
      <c r="O1512" s="210"/>
      <c r="P1512" s="210"/>
      <c r="Q1512" s="210"/>
      <c r="R1512" s="210"/>
      <c r="S1512" s="210"/>
      <c r="T1512" s="210"/>
      <c r="U1512" s="210"/>
      <c r="V1512" s="210"/>
      <c r="W1512" s="210"/>
      <c r="X1512" s="210"/>
      <c r="Y1512" s="210"/>
      <c r="Z1512" s="210"/>
      <c r="AA1512" s="210"/>
      <c r="AB1512" s="210"/>
      <c r="AC1512" s="210"/>
      <c r="AD1512" s="210"/>
      <c r="AE1512" s="210"/>
      <c r="AF1512" s="210"/>
      <c r="AG1512" s="210"/>
      <c r="AH1512" s="210"/>
      <c r="AI1512" s="210"/>
      <c r="AJ1512" s="210"/>
    </row>
    <row r="1513" ht="14.25" customHeight="1">
      <c r="A1513" s="210"/>
      <c r="B1513" s="210"/>
      <c r="C1513" s="210"/>
      <c r="D1513" s="210"/>
      <c r="E1513" s="210"/>
      <c r="F1513" s="210"/>
      <c r="G1513" s="210"/>
      <c r="H1513" s="210"/>
      <c r="I1513" s="210"/>
      <c r="J1513" s="210"/>
      <c r="K1513" s="210"/>
      <c r="L1513" s="210"/>
      <c r="M1513" s="210"/>
      <c r="N1513" s="210"/>
      <c r="O1513" s="210"/>
      <c r="P1513" s="210"/>
      <c r="Q1513" s="210"/>
      <c r="R1513" s="210"/>
      <c r="S1513" s="210"/>
      <c r="T1513" s="210"/>
      <c r="U1513" s="210"/>
      <c r="V1513" s="210"/>
      <c r="W1513" s="210"/>
      <c r="X1513" s="210"/>
      <c r="Y1513" s="210"/>
      <c r="Z1513" s="210"/>
      <c r="AA1513" s="210"/>
      <c r="AB1513" s="210"/>
      <c r="AC1513" s="210"/>
      <c r="AD1513" s="210"/>
      <c r="AE1513" s="210"/>
      <c r="AF1513" s="210"/>
      <c r="AG1513" s="210"/>
      <c r="AH1513" s="210"/>
      <c r="AI1513" s="210"/>
      <c r="AJ1513" s="210"/>
    </row>
    <row r="1514" ht="14.25" customHeight="1">
      <c r="A1514" s="210"/>
      <c r="B1514" s="210"/>
      <c r="C1514" s="210"/>
      <c r="D1514" s="210"/>
      <c r="E1514" s="210"/>
      <c r="F1514" s="210"/>
      <c r="G1514" s="210"/>
      <c r="H1514" s="210"/>
      <c r="I1514" s="210"/>
      <c r="J1514" s="210"/>
      <c r="K1514" s="210"/>
      <c r="L1514" s="210"/>
      <c r="M1514" s="210"/>
      <c r="N1514" s="210"/>
      <c r="O1514" s="210"/>
      <c r="P1514" s="210"/>
      <c r="Q1514" s="210"/>
      <c r="R1514" s="210"/>
      <c r="S1514" s="210"/>
      <c r="T1514" s="210"/>
      <c r="U1514" s="210"/>
      <c r="V1514" s="210"/>
      <c r="W1514" s="210"/>
      <c r="X1514" s="210"/>
      <c r="Y1514" s="210"/>
      <c r="Z1514" s="210"/>
      <c r="AA1514" s="210"/>
      <c r="AB1514" s="210"/>
      <c r="AC1514" s="210"/>
      <c r="AD1514" s="210"/>
      <c r="AE1514" s="210"/>
      <c r="AF1514" s="210"/>
      <c r="AG1514" s="210"/>
      <c r="AH1514" s="210"/>
      <c r="AI1514" s="210"/>
      <c r="AJ1514" s="210"/>
    </row>
    <row r="1515" ht="14.25" customHeight="1">
      <c r="A1515" s="210"/>
      <c r="B1515" s="210"/>
      <c r="C1515" s="210"/>
      <c r="D1515" s="210"/>
      <c r="E1515" s="210"/>
      <c r="F1515" s="210"/>
      <c r="G1515" s="210"/>
      <c r="H1515" s="210"/>
      <c r="I1515" s="210"/>
      <c r="J1515" s="210"/>
      <c r="K1515" s="210"/>
      <c r="L1515" s="210"/>
      <c r="M1515" s="210"/>
      <c r="N1515" s="210"/>
      <c r="O1515" s="210"/>
      <c r="P1515" s="210"/>
      <c r="Q1515" s="210"/>
      <c r="R1515" s="210"/>
      <c r="S1515" s="210"/>
      <c r="T1515" s="210"/>
      <c r="U1515" s="210"/>
      <c r="V1515" s="210"/>
      <c r="W1515" s="210"/>
      <c r="X1515" s="210"/>
      <c r="Y1515" s="210"/>
      <c r="Z1515" s="210"/>
      <c r="AA1515" s="210"/>
      <c r="AB1515" s="210"/>
      <c r="AC1515" s="210"/>
      <c r="AD1515" s="210"/>
      <c r="AE1515" s="210"/>
      <c r="AF1515" s="210"/>
      <c r="AG1515" s="210"/>
      <c r="AH1515" s="210"/>
      <c r="AI1515" s="210"/>
      <c r="AJ1515" s="210"/>
    </row>
    <row r="1516" ht="14.25" customHeight="1">
      <c r="A1516" s="210"/>
      <c r="B1516" s="210"/>
      <c r="C1516" s="210"/>
      <c r="D1516" s="210"/>
      <c r="E1516" s="210"/>
      <c r="F1516" s="210"/>
      <c r="G1516" s="210"/>
      <c r="H1516" s="210"/>
      <c r="I1516" s="210"/>
      <c r="J1516" s="210"/>
      <c r="K1516" s="210"/>
      <c r="L1516" s="210"/>
      <c r="M1516" s="210"/>
      <c r="N1516" s="210"/>
      <c r="O1516" s="210"/>
      <c r="P1516" s="210"/>
      <c r="Q1516" s="210"/>
      <c r="R1516" s="210"/>
      <c r="S1516" s="210"/>
      <c r="T1516" s="210"/>
      <c r="U1516" s="210"/>
      <c r="V1516" s="210"/>
      <c r="W1516" s="210"/>
      <c r="X1516" s="210"/>
      <c r="Y1516" s="210"/>
      <c r="Z1516" s="210"/>
      <c r="AA1516" s="210"/>
      <c r="AB1516" s="210"/>
      <c r="AC1516" s="210"/>
      <c r="AD1516" s="210"/>
      <c r="AE1516" s="210"/>
      <c r="AF1516" s="210"/>
      <c r="AG1516" s="210"/>
      <c r="AH1516" s="210"/>
      <c r="AI1516" s="210"/>
      <c r="AJ1516" s="210"/>
    </row>
    <row r="1517" ht="14.25" customHeight="1">
      <c r="A1517" s="210"/>
      <c r="B1517" s="210"/>
      <c r="C1517" s="210"/>
      <c r="D1517" s="210"/>
      <c r="E1517" s="210"/>
      <c r="F1517" s="210"/>
      <c r="G1517" s="210"/>
      <c r="H1517" s="210"/>
      <c r="I1517" s="210"/>
      <c r="J1517" s="210"/>
      <c r="K1517" s="210"/>
      <c r="L1517" s="210"/>
      <c r="M1517" s="210"/>
      <c r="N1517" s="210"/>
      <c r="O1517" s="210"/>
      <c r="P1517" s="210"/>
      <c r="Q1517" s="210"/>
      <c r="R1517" s="210"/>
      <c r="S1517" s="210"/>
      <c r="T1517" s="210"/>
      <c r="U1517" s="210"/>
      <c r="V1517" s="210"/>
      <c r="W1517" s="210"/>
      <c r="X1517" s="210"/>
      <c r="Y1517" s="210"/>
      <c r="Z1517" s="210"/>
      <c r="AA1517" s="210"/>
      <c r="AB1517" s="210"/>
      <c r="AC1517" s="210"/>
      <c r="AD1517" s="210"/>
      <c r="AE1517" s="210"/>
      <c r="AF1517" s="210"/>
      <c r="AG1517" s="210"/>
      <c r="AH1517" s="210"/>
      <c r="AI1517" s="210"/>
      <c r="AJ1517" s="210"/>
    </row>
    <row r="1518" ht="14.25" customHeight="1">
      <c r="A1518" s="210"/>
      <c r="B1518" s="210"/>
      <c r="C1518" s="210"/>
      <c r="D1518" s="210"/>
      <c r="E1518" s="210"/>
      <c r="F1518" s="210"/>
      <c r="G1518" s="210"/>
      <c r="H1518" s="210"/>
      <c r="I1518" s="210"/>
      <c r="J1518" s="210"/>
      <c r="K1518" s="210"/>
      <c r="L1518" s="210"/>
      <c r="M1518" s="210"/>
      <c r="N1518" s="210"/>
      <c r="O1518" s="210"/>
      <c r="P1518" s="210"/>
      <c r="Q1518" s="210"/>
      <c r="R1518" s="210"/>
      <c r="S1518" s="210"/>
      <c r="T1518" s="210"/>
      <c r="U1518" s="210"/>
      <c r="V1518" s="210"/>
      <c r="W1518" s="210"/>
      <c r="X1518" s="210"/>
      <c r="Y1518" s="210"/>
      <c r="Z1518" s="210"/>
      <c r="AA1518" s="210"/>
      <c r="AB1518" s="210"/>
      <c r="AC1518" s="210"/>
      <c r="AD1518" s="210"/>
      <c r="AE1518" s="210"/>
      <c r="AF1518" s="210"/>
      <c r="AG1518" s="210"/>
      <c r="AH1518" s="210"/>
      <c r="AI1518" s="210"/>
      <c r="AJ1518" s="210"/>
    </row>
    <row r="1519" ht="14.25" customHeight="1">
      <c r="A1519" s="210"/>
      <c r="B1519" s="210"/>
      <c r="C1519" s="210"/>
      <c r="D1519" s="210"/>
      <c r="E1519" s="210"/>
      <c r="F1519" s="210"/>
      <c r="G1519" s="210"/>
      <c r="H1519" s="210"/>
      <c r="I1519" s="210"/>
      <c r="J1519" s="210"/>
      <c r="K1519" s="210"/>
      <c r="L1519" s="210"/>
      <c r="M1519" s="210"/>
      <c r="N1519" s="210"/>
      <c r="O1519" s="210"/>
      <c r="P1519" s="210"/>
      <c r="Q1519" s="210"/>
      <c r="R1519" s="210"/>
      <c r="S1519" s="210"/>
      <c r="T1519" s="210"/>
      <c r="U1519" s="210"/>
      <c r="V1519" s="210"/>
      <c r="W1519" s="210"/>
      <c r="X1519" s="210"/>
      <c r="Y1519" s="210"/>
      <c r="Z1519" s="210"/>
      <c r="AA1519" s="210"/>
      <c r="AB1519" s="210"/>
      <c r="AC1519" s="210"/>
      <c r="AD1519" s="210"/>
      <c r="AE1519" s="210"/>
      <c r="AF1519" s="210"/>
      <c r="AG1519" s="210"/>
      <c r="AH1519" s="210"/>
      <c r="AI1519" s="210"/>
      <c r="AJ1519" s="210"/>
    </row>
    <row r="1520" ht="14.25" customHeight="1">
      <c r="A1520" s="210"/>
      <c r="B1520" s="210"/>
      <c r="C1520" s="210"/>
      <c r="D1520" s="210"/>
      <c r="E1520" s="210"/>
      <c r="F1520" s="210"/>
      <c r="G1520" s="210"/>
      <c r="H1520" s="210"/>
      <c r="I1520" s="210"/>
      <c r="J1520" s="210"/>
      <c r="K1520" s="210"/>
      <c r="L1520" s="210"/>
      <c r="M1520" s="210"/>
      <c r="N1520" s="210"/>
      <c r="O1520" s="210"/>
      <c r="P1520" s="210"/>
      <c r="Q1520" s="210"/>
      <c r="R1520" s="210"/>
      <c r="S1520" s="210"/>
      <c r="T1520" s="210"/>
      <c r="U1520" s="210"/>
      <c r="V1520" s="210"/>
      <c r="W1520" s="210"/>
      <c r="X1520" s="210"/>
      <c r="Y1520" s="210"/>
      <c r="Z1520" s="210"/>
      <c r="AA1520" s="210"/>
      <c r="AB1520" s="210"/>
      <c r="AC1520" s="210"/>
      <c r="AD1520" s="210"/>
      <c r="AE1520" s="210"/>
      <c r="AF1520" s="210"/>
      <c r="AG1520" s="210"/>
      <c r="AH1520" s="210"/>
      <c r="AI1520" s="210"/>
      <c r="AJ1520" s="210"/>
    </row>
    <row r="1521" ht="14.25" customHeight="1">
      <c r="A1521" s="210"/>
      <c r="B1521" s="210"/>
      <c r="C1521" s="210"/>
      <c r="D1521" s="210"/>
      <c r="E1521" s="210"/>
      <c r="F1521" s="210"/>
      <c r="G1521" s="210"/>
      <c r="H1521" s="210"/>
      <c r="I1521" s="210"/>
      <c r="J1521" s="210"/>
      <c r="K1521" s="210"/>
      <c r="L1521" s="210"/>
      <c r="M1521" s="210"/>
      <c r="N1521" s="210"/>
      <c r="O1521" s="210"/>
      <c r="P1521" s="210"/>
      <c r="Q1521" s="210"/>
      <c r="R1521" s="210"/>
      <c r="S1521" s="210"/>
      <c r="T1521" s="210"/>
      <c r="U1521" s="210"/>
      <c r="V1521" s="210"/>
      <c r="W1521" s="210"/>
      <c r="X1521" s="210"/>
      <c r="Y1521" s="210"/>
      <c r="Z1521" s="210"/>
      <c r="AA1521" s="210"/>
      <c r="AB1521" s="210"/>
      <c r="AC1521" s="210"/>
      <c r="AD1521" s="210"/>
      <c r="AE1521" s="210"/>
      <c r="AF1521" s="210"/>
      <c r="AG1521" s="210"/>
      <c r="AH1521" s="210"/>
      <c r="AI1521" s="210"/>
      <c r="AJ1521" s="210"/>
    </row>
    <row r="1522" ht="14.25" customHeight="1">
      <c r="A1522" s="210"/>
      <c r="B1522" s="210"/>
      <c r="C1522" s="210"/>
      <c r="D1522" s="210"/>
      <c r="E1522" s="210"/>
      <c r="F1522" s="210"/>
      <c r="G1522" s="210"/>
      <c r="H1522" s="210"/>
      <c r="I1522" s="210"/>
      <c r="J1522" s="210"/>
      <c r="K1522" s="210"/>
      <c r="L1522" s="210"/>
      <c r="M1522" s="210"/>
      <c r="N1522" s="210"/>
      <c r="O1522" s="210"/>
      <c r="P1522" s="210"/>
      <c r="Q1522" s="210"/>
      <c r="R1522" s="210"/>
      <c r="S1522" s="210"/>
      <c r="T1522" s="210"/>
      <c r="U1522" s="210"/>
      <c r="V1522" s="210"/>
      <c r="W1522" s="210"/>
      <c r="X1522" s="210"/>
      <c r="Y1522" s="210"/>
      <c r="Z1522" s="210"/>
      <c r="AA1522" s="210"/>
      <c r="AB1522" s="210"/>
      <c r="AC1522" s="210"/>
      <c r="AD1522" s="210"/>
      <c r="AE1522" s="210"/>
      <c r="AF1522" s="210"/>
      <c r="AG1522" s="210"/>
      <c r="AH1522" s="210"/>
      <c r="AI1522" s="210"/>
      <c r="AJ1522" s="210"/>
    </row>
    <row r="1523" ht="14.25" customHeight="1">
      <c r="A1523" s="210"/>
      <c r="B1523" s="210"/>
      <c r="C1523" s="210"/>
      <c r="D1523" s="210"/>
      <c r="E1523" s="210"/>
      <c r="F1523" s="210"/>
      <c r="G1523" s="210"/>
      <c r="H1523" s="210"/>
      <c r="I1523" s="210"/>
      <c r="J1523" s="210"/>
      <c r="K1523" s="210"/>
      <c r="L1523" s="210"/>
      <c r="M1523" s="210"/>
      <c r="N1523" s="210"/>
      <c r="O1523" s="210"/>
      <c r="P1523" s="210"/>
      <c r="Q1523" s="210"/>
      <c r="R1523" s="210"/>
      <c r="S1523" s="210"/>
      <c r="T1523" s="210"/>
      <c r="U1523" s="210"/>
      <c r="V1523" s="210"/>
      <c r="W1523" s="210"/>
      <c r="X1523" s="210"/>
      <c r="Y1523" s="210"/>
      <c r="Z1523" s="210"/>
      <c r="AA1523" s="210"/>
      <c r="AB1523" s="210"/>
      <c r="AC1523" s="210"/>
      <c r="AD1523" s="210"/>
      <c r="AE1523" s="210"/>
      <c r="AF1523" s="210"/>
      <c r="AG1523" s="210"/>
      <c r="AH1523" s="210"/>
      <c r="AI1523" s="210"/>
      <c r="AJ1523" s="210"/>
    </row>
    <row r="1524" ht="14.25" customHeight="1">
      <c r="A1524" s="210"/>
      <c r="B1524" s="210"/>
      <c r="C1524" s="210"/>
      <c r="D1524" s="210"/>
      <c r="E1524" s="210"/>
      <c r="F1524" s="210"/>
      <c r="G1524" s="210"/>
      <c r="H1524" s="210"/>
      <c r="I1524" s="210"/>
      <c r="J1524" s="210"/>
      <c r="K1524" s="210"/>
      <c r="L1524" s="210"/>
      <c r="M1524" s="210"/>
      <c r="N1524" s="210"/>
      <c r="O1524" s="210"/>
      <c r="P1524" s="210"/>
      <c r="Q1524" s="210"/>
      <c r="R1524" s="210"/>
      <c r="S1524" s="210"/>
      <c r="T1524" s="210"/>
      <c r="U1524" s="210"/>
      <c r="V1524" s="210"/>
      <c r="W1524" s="210"/>
      <c r="X1524" s="210"/>
      <c r="Y1524" s="210"/>
      <c r="Z1524" s="210"/>
      <c r="AA1524" s="210"/>
      <c r="AB1524" s="210"/>
      <c r="AC1524" s="210"/>
      <c r="AD1524" s="210"/>
      <c r="AE1524" s="210"/>
      <c r="AF1524" s="210"/>
      <c r="AG1524" s="210"/>
      <c r="AH1524" s="210"/>
      <c r="AI1524" s="210"/>
      <c r="AJ1524" s="210"/>
    </row>
    <row r="1525" ht="14.25" customHeight="1">
      <c r="A1525" s="210"/>
      <c r="B1525" s="210"/>
      <c r="C1525" s="210"/>
      <c r="D1525" s="210"/>
      <c r="E1525" s="210"/>
      <c r="F1525" s="210"/>
      <c r="G1525" s="210"/>
      <c r="H1525" s="210"/>
      <c r="I1525" s="210"/>
      <c r="J1525" s="210"/>
      <c r="K1525" s="210"/>
      <c r="L1525" s="210"/>
      <c r="M1525" s="210"/>
      <c r="N1525" s="210"/>
      <c r="O1525" s="210"/>
      <c r="P1525" s="210"/>
      <c r="Q1525" s="210"/>
      <c r="R1525" s="210"/>
      <c r="S1525" s="210"/>
      <c r="T1525" s="210"/>
      <c r="U1525" s="210"/>
      <c r="V1525" s="210"/>
      <c r="W1525" s="210"/>
      <c r="X1525" s="210"/>
      <c r="Y1525" s="210"/>
      <c r="Z1525" s="210"/>
      <c r="AA1525" s="210"/>
      <c r="AB1525" s="210"/>
      <c r="AC1525" s="210"/>
      <c r="AD1525" s="210"/>
      <c r="AE1525" s="210"/>
      <c r="AF1525" s="210"/>
      <c r="AG1525" s="210"/>
      <c r="AH1525" s="210"/>
      <c r="AI1525" s="210"/>
      <c r="AJ1525" s="210"/>
    </row>
    <row r="1526" ht="14.25" customHeight="1">
      <c r="A1526" s="210"/>
      <c r="B1526" s="210"/>
      <c r="C1526" s="210"/>
      <c r="D1526" s="210"/>
      <c r="E1526" s="210"/>
      <c r="F1526" s="210"/>
      <c r="G1526" s="210"/>
      <c r="H1526" s="210"/>
      <c r="I1526" s="210"/>
      <c r="J1526" s="210"/>
      <c r="K1526" s="210"/>
      <c r="L1526" s="210"/>
      <c r="M1526" s="210"/>
      <c r="N1526" s="210"/>
      <c r="O1526" s="210"/>
      <c r="P1526" s="210"/>
      <c r="Q1526" s="210"/>
      <c r="R1526" s="210"/>
      <c r="S1526" s="210"/>
      <c r="T1526" s="210"/>
      <c r="U1526" s="210"/>
      <c r="V1526" s="210"/>
      <c r="W1526" s="210"/>
      <c r="X1526" s="210"/>
      <c r="Y1526" s="210"/>
      <c r="Z1526" s="210"/>
      <c r="AA1526" s="210"/>
      <c r="AB1526" s="210"/>
      <c r="AC1526" s="210"/>
      <c r="AD1526" s="210"/>
      <c r="AE1526" s="210"/>
      <c r="AF1526" s="210"/>
      <c r="AG1526" s="210"/>
      <c r="AH1526" s="210"/>
      <c r="AI1526" s="210"/>
      <c r="AJ1526" s="210"/>
    </row>
    <row r="1527" ht="14.25" customHeight="1">
      <c r="A1527" s="210"/>
      <c r="B1527" s="210"/>
      <c r="C1527" s="210"/>
      <c r="D1527" s="210"/>
      <c r="E1527" s="210"/>
      <c r="F1527" s="210"/>
      <c r="G1527" s="210"/>
      <c r="H1527" s="210"/>
      <c r="I1527" s="210"/>
      <c r="J1527" s="210"/>
      <c r="K1527" s="210"/>
      <c r="L1527" s="210"/>
      <c r="M1527" s="210"/>
      <c r="N1527" s="210"/>
      <c r="O1527" s="210"/>
      <c r="P1527" s="210"/>
      <c r="Q1527" s="210"/>
      <c r="R1527" s="210"/>
      <c r="S1527" s="210"/>
      <c r="T1527" s="210"/>
      <c r="U1527" s="210"/>
      <c r="V1527" s="210"/>
      <c r="W1527" s="210"/>
      <c r="X1527" s="210"/>
      <c r="Y1527" s="210"/>
      <c r="Z1527" s="210"/>
      <c r="AA1527" s="210"/>
      <c r="AB1527" s="210"/>
      <c r="AC1527" s="210"/>
      <c r="AD1527" s="210"/>
      <c r="AE1527" s="210"/>
      <c r="AF1527" s="210"/>
      <c r="AG1527" s="210"/>
      <c r="AH1527" s="210"/>
      <c r="AI1527" s="210"/>
      <c r="AJ1527" s="210"/>
    </row>
    <row r="1528" ht="14.25" customHeight="1">
      <c r="A1528" s="210"/>
      <c r="B1528" s="210"/>
      <c r="C1528" s="210"/>
      <c r="D1528" s="210"/>
      <c r="E1528" s="210"/>
      <c r="F1528" s="210"/>
      <c r="G1528" s="210"/>
      <c r="H1528" s="210"/>
      <c r="I1528" s="210"/>
      <c r="J1528" s="210"/>
      <c r="K1528" s="210"/>
      <c r="L1528" s="210"/>
      <c r="M1528" s="210"/>
      <c r="N1528" s="210"/>
      <c r="O1528" s="210"/>
      <c r="P1528" s="210"/>
      <c r="Q1528" s="210"/>
      <c r="R1528" s="210"/>
      <c r="S1528" s="210"/>
      <c r="T1528" s="210"/>
      <c r="U1528" s="210"/>
      <c r="V1528" s="210"/>
      <c r="W1528" s="210"/>
      <c r="X1528" s="210"/>
      <c r="Y1528" s="210"/>
      <c r="Z1528" s="210"/>
      <c r="AA1528" s="210"/>
      <c r="AB1528" s="210"/>
      <c r="AC1528" s="210"/>
      <c r="AD1528" s="210"/>
      <c r="AE1528" s="210"/>
      <c r="AF1528" s="210"/>
      <c r="AG1528" s="210"/>
      <c r="AH1528" s="210"/>
      <c r="AI1528" s="210"/>
      <c r="AJ1528" s="210"/>
    </row>
    <row r="1529" ht="14.25" customHeight="1">
      <c r="A1529" s="210"/>
      <c r="B1529" s="210"/>
      <c r="C1529" s="210"/>
      <c r="D1529" s="210"/>
      <c r="E1529" s="210"/>
      <c r="F1529" s="210"/>
      <c r="G1529" s="210"/>
      <c r="H1529" s="210"/>
      <c r="I1529" s="210"/>
      <c r="J1529" s="210"/>
      <c r="K1529" s="210"/>
      <c r="L1529" s="210"/>
      <c r="M1529" s="210"/>
      <c r="N1529" s="210"/>
      <c r="O1529" s="210"/>
      <c r="P1529" s="210"/>
      <c r="Q1529" s="210"/>
      <c r="R1529" s="210"/>
      <c r="S1529" s="210"/>
      <c r="T1529" s="210"/>
      <c r="U1529" s="210"/>
      <c r="V1529" s="210"/>
      <c r="W1529" s="210"/>
      <c r="X1529" s="210"/>
      <c r="Y1529" s="210"/>
      <c r="Z1529" s="210"/>
      <c r="AA1529" s="210"/>
      <c r="AB1529" s="210"/>
      <c r="AC1529" s="210"/>
      <c r="AD1529" s="210"/>
      <c r="AE1529" s="210"/>
      <c r="AF1529" s="210"/>
      <c r="AG1529" s="210"/>
      <c r="AH1529" s="210"/>
      <c r="AI1529" s="210"/>
      <c r="AJ1529" s="210"/>
    </row>
    <row r="1530" ht="14.25" customHeight="1">
      <c r="A1530" s="210"/>
      <c r="B1530" s="210"/>
      <c r="C1530" s="210"/>
      <c r="D1530" s="210"/>
      <c r="E1530" s="210"/>
      <c r="F1530" s="210"/>
      <c r="G1530" s="210"/>
      <c r="H1530" s="210"/>
      <c r="I1530" s="210"/>
      <c r="J1530" s="210"/>
      <c r="K1530" s="210"/>
      <c r="L1530" s="210"/>
      <c r="M1530" s="210"/>
      <c r="N1530" s="210"/>
      <c r="O1530" s="210"/>
      <c r="P1530" s="210"/>
      <c r="Q1530" s="210"/>
      <c r="R1530" s="210"/>
      <c r="S1530" s="210"/>
      <c r="T1530" s="210"/>
      <c r="U1530" s="210"/>
      <c r="V1530" s="210"/>
      <c r="W1530" s="210"/>
      <c r="X1530" s="210"/>
      <c r="Y1530" s="210"/>
      <c r="Z1530" s="210"/>
      <c r="AA1530" s="210"/>
      <c r="AB1530" s="210"/>
      <c r="AC1530" s="210"/>
      <c r="AD1530" s="210"/>
      <c r="AE1530" s="210"/>
      <c r="AF1530" s="210"/>
      <c r="AG1530" s="210"/>
      <c r="AH1530" s="210"/>
      <c r="AI1530" s="210"/>
      <c r="AJ1530" s="210"/>
    </row>
    <row r="1531" ht="14.25" customHeight="1">
      <c r="A1531" s="210"/>
      <c r="B1531" s="210"/>
      <c r="C1531" s="210"/>
      <c r="D1531" s="210"/>
      <c r="E1531" s="210"/>
      <c r="F1531" s="210"/>
      <c r="G1531" s="210"/>
      <c r="H1531" s="210"/>
      <c r="I1531" s="210"/>
      <c r="J1531" s="210"/>
      <c r="K1531" s="210"/>
      <c r="L1531" s="210"/>
      <c r="M1531" s="210"/>
      <c r="N1531" s="210"/>
      <c r="O1531" s="210"/>
      <c r="P1531" s="210"/>
      <c r="Q1531" s="210"/>
      <c r="R1531" s="210"/>
      <c r="S1531" s="210"/>
      <c r="T1531" s="210"/>
      <c r="U1531" s="210"/>
      <c r="V1531" s="210"/>
      <c r="W1531" s="210"/>
      <c r="X1531" s="210"/>
      <c r="Y1531" s="210"/>
      <c r="Z1531" s="210"/>
      <c r="AA1531" s="210"/>
      <c r="AB1531" s="210"/>
      <c r="AC1531" s="210"/>
      <c r="AD1531" s="210"/>
      <c r="AE1531" s="210"/>
      <c r="AF1531" s="210"/>
      <c r="AG1531" s="210"/>
      <c r="AH1531" s="210"/>
      <c r="AI1531" s="210"/>
      <c r="AJ1531" s="210"/>
    </row>
    <row r="1532" ht="14.25" customHeight="1">
      <c r="A1532" s="210"/>
      <c r="B1532" s="210"/>
      <c r="C1532" s="210"/>
      <c r="D1532" s="210"/>
      <c r="E1532" s="210"/>
      <c r="F1532" s="210"/>
      <c r="G1532" s="210"/>
      <c r="H1532" s="210"/>
      <c r="I1532" s="210"/>
      <c r="J1532" s="210"/>
      <c r="K1532" s="210"/>
      <c r="L1532" s="210"/>
      <c r="M1532" s="210"/>
      <c r="N1532" s="210"/>
      <c r="O1532" s="210"/>
      <c r="P1532" s="210"/>
      <c r="Q1532" s="210"/>
      <c r="R1532" s="210"/>
      <c r="S1532" s="210"/>
      <c r="T1532" s="210"/>
      <c r="U1532" s="210"/>
      <c r="V1532" s="210"/>
      <c r="W1532" s="210"/>
      <c r="X1532" s="210"/>
      <c r="Y1532" s="210"/>
      <c r="Z1532" s="210"/>
      <c r="AA1532" s="210"/>
      <c r="AB1532" s="210"/>
      <c r="AC1532" s="210"/>
      <c r="AD1532" s="210"/>
      <c r="AE1532" s="210"/>
      <c r="AF1532" s="210"/>
      <c r="AG1532" s="210"/>
      <c r="AH1532" s="210"/>
      <c r="AI1532" s="210"/>
      <c r="AJ1532" s="210"/>
    </row>
    <row r="1533" ht="14.25" customHeight="1">
      <c r="A1533" s="210"/>
      <c r="B1533" s="210"/>
      <c r="C1533" s="210"/>
      <c r="D1533" s="210"/>
      <c r="E1533" s="210"/>
      <c r="F1533" s="210"/>
      <c r="G1533" s="210"/>
      <c r="H1533" s="210"/>
      <c r="I1533" s="210"/>
      <c r="J1533" s="210"/>
      <c r="K1533" s="210"/>
      <c r="L1533" s="210"/>
      <c r="M1533" s="210"/>
      <c r="N1533" s="210"/>
      <c r="O1533" s="210"/>
      <c r="P1533" s="210"/>
      <c r="Q1533" s="210"/>
      <c r="R1533" s="210"/>
      <c r="S1533" s="210"/>
      <c r="T1533" s="210"/>
      <c r="U1533" s="210"/>
      <c r="V1533" s="210"/>
      <c r="W1533" s="210"/>
      <c r="X1533" s="210"/>
      <c r="Y1533" s="210"/>
      <c r="Z1533" s="210"/>
      <c r="AA1533" s="210"/>
      <c r="AB1533" s="210"/>
      <c r="AC1533" s="210"/>
      <c r="AD1533" s="210"/>
      <c r="AE1533" s="210"/>
      <c r="AF1533" s="210"/>
      <c r="AG1533" s="210"/>
      <c r="AH1533" s="210"/>
      <c r="AI1533" s="210"/>
      <c r="AJ1533" s="210"/>
    </row>
    <row r="1534" ht="14.25" customHeight="1">
      <c r="A1534" s="210"/>
      <c r="B1534" s="210"/>
      <c r="C1534" s="210"/>
      <c r="D1534" s="210"/>
      <c r="E1534" s="210"/>
      <c r="F1534" s="210"/>
      <c r="G1534" s="210"/>
      <c r="H1534" s="210"/>
      <c r="I1534" s="210"/>
      <c r="J1534" s="210"/>
      <c r="K1534" s="210"/>
      <c r="L1534" s="210"/>
      <c r="M1534" s="210"/>
      <c r="N1534" s="210"/>
      <c r="O1534" s="210"/>
      <c r="P1534" s="210"/>
      <c r="Q1534" s="210"/>
      <c r="R1534" s="210"/>
      <c r="S1534" s="210"/>
      <c r="T1534" s="210"/>
      <c r="U1534" s="210"/>
      <c r="V1534" s="210"/>
      <c r="W1534" s="210"/>
      <c r="X1534" s="210"/>
      <c r="Y1534" s="210"/>
      <c r="Z1534" s="210"/>
      <c r="AA1534" s="210"/>
      <c r="AB1534" s="210"/>
      <c r="AC1534" s="210"/>
      <c r="AD1534" s="210"/>
      <c r="AE1534" s="210"/>
      <c r="AF1534" s="210"/>
      <c r="AG1534" s="210"/>
      <c r="AH1534" s="210"/>
      <c r="AI1534" s="210"/>
      <c r="AJ1534" s="210"/>
    </row>
    <row r="1535" ht="14.25" customHeight="1">
      <c r="A1535" s="210"/>
      <c r="B1535" s="210"/>
      <c r="C1535" s="210"/>
      <c r="D1535" s="210"/>
      <c r="E1535" s="210"/>
      <c r="F1535" s="210"/>
      <c r="G1535" s="210"/>
      <c r="H1535" s="210"/>
      <c r="I1535" s="210"/>
      <c r="J1535" s="210"/>
      <c r="K1535" s="210"/>
      <c r="L1535" s="210"/>
      <c r="M1535" s="210"/>
      <c r="N1535" s="210"/>
      <c r="O1535" s="210"/>
      <c r="P1535" s="210"/>
      <c r="Q1535" s="210"/>
      <c r="R1535" s="210"/>
      <c r="S1535" s="210"/>
      <c r="T1535" s="210"/>
      <c r="U1535" s="210"/>
      <c r="V1535" s="210"/>
      <c r="W1535" s="210"/>
      <c r="X1535" s="210"/>
      <c r="Y1535" s="210"/>
      <c r="Z1535" s="210"/>
      <c r="AA1535" s="210"/>
      <c r="AB1535" s="210"/>
      <c r="AC1535" s="210"/>
      <c r="AD1535" s="210"/>
      <c r="AE1535" s="210"/>
      <c r="AF1535" s="210"/>
      <c r="AG1535" s="210"/>
      <c r="AH1535" s="210"/>
      <c r="AI1535" s="210"/>
      <c r="AJ1535" s="210"/>
    </row>
    <row r="1536" ht="14.25" customHeight="1">
      <c r="A1536" s="210"/>
      <c r="B1536" s="210"/>
      <c r="C1536" s="210"/>
      <c r="D1536" s="210"/>
      <c r="E1536" s="210"/>
      <c r="F1536" s="210"/>
      <c r="G1536" s="210"/>
      <c r="H1536" s="210"/>
      <c r="I1536" s="210"/>
      <c r="J1536" s="210"/>
      <c r="K1536" s="210"/>
      <c r="L1536" s="210"/>
      <c r="M1536" s="210"/>
      <c r="N1536" s="210"/>
      <c r="O1536" s="210"/>
      <c r="P1536" s="210"/>
      <c r="Q1536" s="210"/>
      <c r="R1536" s="210"/>
      <c r="S1536" s="210"/>
      <c r="T1536" s="210"/>
      <c r="U1536" s="210"/>
      <c r="V1536" s="210"/>
      <c r="W1536" s="210"/>
      <c r="X1536" s="210"/>
      <c r="Y1536" s="210"/>
      <c r="Z1536" s="210"/>
      <c r="AA1536" s="210"/>
      <c r="AB1536" s="210"/>
      <c r="AC1536" s="210"/>
      <c r="AD1536" s="210"/>
      <c r="AE1536" s="210"/>
      <c r="AF1536" s="210"/>
      <c r="AG1536" s="210"/>
      <c r="AH1536" s="210"/>
      <c r="AI1536" s="210"/>
      <c r="AJ1536" s="210"/>
    </row>
    <row r="1537" ht="14.25" customHeight="1">
      <c r="A1537" s="210"/>
      <c r="B1537" s="210"/>
      <c r="C1537" s="210"/>
      <c r="D1537" s="210"/>
      <c r="E1537" s="210"/>
      <c r="F1537" s="210"/>
      <c r="G1537" s="210"/>
      <c r="H1537" s="210"/>
      <c r="I1537" s="210"/>
      <c r="J1537" s="210"/>
      <c r="K1537" s="210"/>
      <c r="L1537" s="210"/>
      <c r="M1537" s="210"/>
      <c r="N1537" s="210"/>
      <c r="O1537" s="210"/>
      <c r="P1537" s="210"/>
      <c r="Q1537" s="210"/>
      <c r="R1537" s="210"/>
      <c r="S1537" s="210"/>
      <c r="T1537" s="210"/>
      <c r="U1537" s="210"/>
      <c r="V1537" s="210"/>
      <c r="W1537" s="210"/>
      <c r="X1537" s="210"/>
      <c r="Y1537" s="210"/>
      <c r="Z1537" s="210"/>
      <c r="AA1537" s="210"/>
      <c r="AB1537" s="210"/>
      <c r="AC1537" s="210"/>
      <c r="AD1537" s="210"/>
      <c r="AE1537" s="210"/>
      <c r="AF1537" s="210"/>
      <c r="AG1537" s="210"/>
      <c r="AH1537" s="210"/>
      <c r="AI1537" s="210"/>
      <c r="AJ1537" s="210"/>
    </row>
    <row r="1538" ht="14.25" customHeight="1">
      <c r="A1538" s="210"/>
      <c r="B1538" s="210"/>
      <c r="C1538" s="210"/>
      <c r="D1538" s="210"/>
      <c r="E1538" s="210"/>
      <c r="F1538" s="210"/>
      <c r="G1538" s="210"/>
      <c r="H1538" s="210"/>
      <c r="I1538" s="210"/>
      <c r="J1538" s="210"/>
      <c r="K1538" s="210"/>
      <c r="L1538" s="210"/>
      <c r="M1538" s="210"/>
      <c r="N1538" s="210"/>
      <c r="O1538" s="210"/>
      <c r="P1538" s="210"/>
      <c r="Q1538" s="210"/>
      <c r="R1538" s="210"/>
      <c r="S1538" s="210"/>
      <c r="T1538" s="210"/>
      <c r="U1538" s="210"/>
      <c r="V1538" s="210"/>
      <c r="W1538" s="210"/>
      <c r="X1538" s="210"/>
      <c r="Y1538" s="210"/>
      <c r="Z1538" s="210"/>
      <c r="AA1538" s="210"/>
      <c r="AB1538" s="210"/>
      <c r="AC1538" s="210"/>
      <c r="AD1538" s="210"/>
      <c r="AE1538" s="210"/>
      <c r="AF1538" s="210"/>
      <c r="AG1538" s="210"/>
      <c r="AH1538" s="210"/>
      <c r="AI1538" s="210"/>
      <c r="AJ1538" s="210"/>
    </row>
    <row r="1539" ht="14.25" customHeight="1">
      <c r="A1539" s="210"/>
      <c r="B1539" s="210"/>
      <c r="C1539" s="210"/>
      <c r="D1539" s="210"/>
      <c r="E1539" s="210"/>
      <c r="F1539" s="210"/>
      <c r="G1539" s="210"/>
      <c r="H1539" s="210"/>
      <c r="I1539" s="210"/>
      <c r="J1539" s="210"/>
      <c r="K1539" s="210"/>
      <c r="L1539" s="210"/>
      <c r="M1539" s="210"/>
      <c r="N1539" s="210"/>
      <c r="O1539" s="210"/>
      <c r="P1539" s="210"/>
      <c r="Q1539" s="210"/>
      <c r="R1539" s="210"/>
      <c r="S1539" s="210"/>
      <c r="T1539" s="210"/>
      <c r="U1539" s="210"/>
      <c r="V1539" s="210"/>
      <c r="W1539" s="210"/>
      <c r="X1539" s="210"/>
      <c r="Y1539" s="210"/>
      <c r="Z1539" s="210"/>
      <c r="AA1539" s="210"/>
      <c r="AB1539" s="210"/>
      <c r="AC1539" s="210"/>
      <c r="AD1539" s="210"/>
      <c r="AE1539" s="210"/>
      <c r="AF1539" s="210"/>
      <c r="AG1539" s="210"/>
      <c r="AH1539" s="210"/>
      <c r="AI1539" s="210"/>
      <c r="AJ1539" s="210"/>
    </row>
    <row r="1540" ht="14.25" customHeight="1">
      <c r="A1540" s="210"/>
      <c r="B1540" s="210"/>
      <c r="C1540" s="210"/>
      <c r="D1540" s="210"/>
      <c r="E1540" s="210"/>
      <c r="F1540" s="210"/>
      <c r="G1540" s="210"/>
      <c r="H1540" s="210"/>
      <c r="I1540" s="210"/>
      <c r="J1540" s="210"/>
      <c r="K1540" s="210"/>
      <c r="L1540" s="210"/>
      <c r="M1540" s="210"/>
      <c r="N1540" s="210"/>
      <c r="O1540" s="210"/>
      <c r="P1540" s="210"/>
      <c r="Q1540" s="210"/>
      <c r="R1540" s="210"/>
      <c r="S1540" s="210"/>
      <c r="T1540" s="210"/>
      <c r="U1540" s="210"/>
      <c r="V1540" s="210"/>
      <c r="W1540" s="210"/>
      <c r="X1540" s="210"/>
      <c r="Y1540" s="210"/>
      <c r="Z1540" s="210"/>
      <c r="AA1540" s="210"/>
      <c r="AB1540" s="210"/>
      <c r="AC1540" s="210"/>
      <c r="AD1540" s="210"/>
      <c r="AE1540" s="210"/>
      <c r="AF1540" s="210"/>
      <c r="AG1540" s="210"/>
      <c r="AH1540" s="210"/>
      <c r="AI1540" s="210"/>
      <c r="AJ1540" s="210"/>
    </row>
    <row r="1541" ht="14.25" customHeight="1">
      <c r="A1541" s="210"/>
      <c r="B1541" s="210"/>
      <c r="C1541" s="210"/>
      <c r="D1541" s="210"/>
      <c r="E1541" s="210"/>
      <c r="F1541" s="210"/>
      <c r="G1541" s="210"/>
      <c r="H1541" s="210"/>
      <c r="I1541" s="210"/>
      <c r="J1541" s="210"/>
      <c r="K1541" s="210"/>
      <c r="L1541" s="210"/>
      <c r="M1541" s="210"/>
      <c r="N1541" s="210"/>
      <c r="O1541" s="210"/>
      <c r="P1541" s="210"/>
      <c r="Q1541" s="210"/>
      <c r="R1541" s="210"/>
      <c r="S1541" s="210"/>
      <c r="T1541" s="210"/>
      <c r="U1541" s="210"/>
      <c r="V1541" s="210"/>
      <c r="W1541" s="210"/>
      <c r="X1541" s="210"/>
      <c r="Y1541" s="210"/>
      <c r="Z1541" s="210"/>
      <c r="AA1541" s="210"/>
      <c r="AB1541" s="210"/>
      <c r="AC1541" s="210"/>
      <c r="AD1541" s="210"/>
      <c r="AE1541" s="210"/>
      <c r="AF1541" s="210"/>
      <c r="AG1541" s="210"/>
      <c r="AH1541" s="210"/>
      <c r="AI1541" s="210"/>
      <c r="AJ1541" s="210"/>
    </row>
    <row r="1542" ht="14.25" customHeight="1">
      <c r="A1542" s="210"/>
      <c r="B1542" s="210"/>
      <c r="C1542" s="210"/>
      <c r="D1542" s="210"/>
      <c r="E1542" s="210"/>
      <c r="F1542" s="210"/>
      <c r="G1542" s="210"/>
      <c r="H1542" s="210"/>
      <c r="I1542" s="210"/>
      <c r="J1542" s="210"/>
      <c r="K1542" s="210"/>
      <c r="L1542" s="210"/>
      <c r="M1542" s="210"/>
      <c r="N1542" s="210"/>
      <c r="O1542" s="210"/>
      <c r="P1542" s="210"/>
      <c r="Q1542" s="210"/>
      <c r="R1542" s="210"/>
      <c r="S1542" s="210"/>
      <c r="T1542" s="210"/>
      <c r="U1542" s="210"/>
      <c r="V1542" s="210"/>
      <c r="W1542" s="210"/>
      <c r="X1542" s="210"/>
      <c r="Y1542" s="210"/>
      <c r="Z1542" s="210"/>
      <c r="AA1542" s="210"/>
      <c r="AB1542" s="210"/>
      <c r="AC1542" s="210"/>
      <c r="AD1542" s="210"/>
      <c r="AE1542" s="210"/>
      <c r="AF1542" s="210"/>
      <c r="AG1542" s="210"/>
      <c r="AH1542" s="210"/>
      <c r="AI1542" s="210"/>
      <c r="AJ1542" s="210"/>
    </row>
    <row r="1543" ht="14.25" customHeight="1">
      <c r="A1543" s="210"/>
      <c r="B1543" s="210"/>
      <c r="C1543" s="210"/>
      <c r="D1543" s="210"/>
      <c r="E1543" s="210"/>
      <c r="F1543" s="210"/>
      <c r="G1543" s="210"/>
      <c r="H1543" s="210"/>
      <c r="I1543" s="210"/>
      <c r="J1543" s="210"/>
      <c r="K1543" s="210"/>
      <c r="L1543" s="210"/>
      <c r="M1543" s="210"/>
      <c r="N1543" s="210"/>
      <c r="O1543" s="210"/>
      <c r="P1543" s="210"/>
      <c r="Q1543" s="210"/>
      <c r="R1543" s="210"/>
      <c r="S1543" s="210"/>
      <c r="T1543" s="210"/>
      <c r="U1543" s="210"/>
      <c r="V1543" s="210"/>
      <c r="W1543" s="210"/>
      <c r="X1543" s="210"/>
      <c r="Y1543" s="210"/>
      <c r="Z1543" s="210"/>
      <c r="AA1543" s="210"/>
      <c r="AB1543" s="210"/>
      <c r="AC1543" s="210"/>
      <c r="AD1543" s="210"/>
      <c r="AE1543" s="210"/>
      <c r="AF1543" s="210"/>
      <c r="AG1543" s="210"/>
      <c r="AH1543" s="210"/>
      <c r="AI1543" s="210"/>
      <c r="AJ1543" s="210"/>
    </row>
    <row r="1544" ht="14.25" customHeight="1">
      <c r="A1544" s="210"/>
      <c r="B1544" s="210"/>
      <c r="C1544" s="210"/>
      <c r="D1544" s="210"/>
      <c r="E1544" s="210"/>
      <c r="F1544" s="210"/>
      <c r="G1544" s="210"/>
      <c r="H1544" s="210"/>
      <c r="I1544" s="210"/>
      <c r="J1544" s="210"/>
      <c r="K1544" s="210"/>
      <c r="L1544" s="210"/>
      <c r="M1544" s="210"/>
      <c r="N1544" s="210"/>
      <c r="O1544" s="210"/>
      <c r="P1544" s="210"/>
      <c r="Q1544" s="210"/>
      <c r="R1544" s="210"/>
      <c r="S1544" s="210"/>
      <c r="T1544" s="210"/>
      <c r="U1544" s="210"/>
      <c r="V1544" s="210"/>
      <c r="W1544" s="210"/>
      <c r="X1544" s="210"/>
      <c r="Y1544" s="210"/>
      <c r="Z1544" s="210"/>
      <c r="AA1544" s="210"/>
      <c r="AB1544" s="210"/>
      <c r="AC1544" s="210"/>
      <c r="AD1544" s="210"/>
      <c r="AE1544" s="210"/>
      <c r="AF1544" s="210"/>
      <c r="AG1544" s="210"/>
      <c r="AH1544" s="210"/>
      <c r="AI1544" s="210"/>
      <c r="AJ1544" s="210"/>
    </row>
    <row r="1545" ht="14.25" customHeight="1">
      <c r="A1545" s="210"/>
      <c r="B1545" s="210"/>
      <c r="C1545" s="210"/>
      <c r="D1545" s="210"/>
      <c r="E1545" s="210"/>
      <c r="F1545" s="210"/>
      <c r="G1545" s="210"/>
      <c r="H1545" s="210"/>
      <c r="I1545" s="210"/>
      <c r="J1545" s="210"/>
      <c r="K1545" s="210"/>
      <c r="L1545" s="210"/>
      <c r="M1545" s="210"/>
      <c r="N1545" s="210"/>
      <c r="O1545" s="210"/>
      <c r="P1545" s="210"/>
      <c r="Q1545" s="210"/>
      <c r="R1545" s="210"/>
      <c r="S1545" s="210"/>
      <c r="T1545" s="210"/>
      <c r="U1545" s="210"/>
      <c r="V1545" s="210"/>
      <c r="W1545" s="210"/>
      <c r="X1545" s="210"/>
      <c r="Y1545" s="210"/>
      <c r="Z1545" s="210"/>
      <c r="AA1545" s="210"/>
      <c r="AB1545" s="210"/>
      <c r="AC1545" s="210"/>
      <c r="AD1545" s="210"/>
      <c r="AE1545" s="210"/>
      <c r="AF1545" s="210"/>
      <c r="AG1545" s="210"/>
      <c r="AH1545" s="210"/>
      <c r="AI1545" s="210"/>
      <c r="AJ1545" s="210"/>
    </row>
    <row r="1546" ht="14.25" customHeight="1">
      <c r="A1546" s="210"/>
      <c r="B1546" s="210"/>
      <c r="C1546" s="210"/>
      <c r="D1546" s="210"/>
      <c r="E1546" s="210"/>
      <c r="F1546" s="210"/>
      <c r="G1546" s="210"/>
      <c r="H1546" s="210"/>
      <c r="I1546" s="210"/>
      <c r="J1546" s="210"/>
      <c r="K1546" s="210"/>
      <c r="L1546" s="210"/>
      <c r="M1546" s="210"/>
      <c r="N1546" s="210"/>
      <c r="O1546" s="210"/>
      <c r="P1546" s="210"/>
      <c r="Q1546" s="210"/>
      <c r="R1546" s="210"/>
      <c r="S1546" s="210"/>
      <c r="T1546" s="210"/>
      <c r="U1546" s="210"/>
      <c r="V1546" s="210"/>
      <c r="W1546" s="210"/>
      <c r="X1546" s="210"/>
      <c r="Y1546" s="210"/>
      <c r="Z1546" s="210"/>
      <c r="AA1546" s="210"/>
      <c r="AB1546" s="210"/>
      <c r="AC1546" s="210"/>
      <c r="AD1546" s="210"/>
      <c r="AE1546" s="210"/>
      <c r="AF1546" s="210"/>
      <c r="AG1546" s="210"/>
      <c r="AH1546" s="210"/>
      <c r="AI1546" s="210"/>
      <c r="AJ1546" s="210"/>
    </row>
    <row r="1547" ht="14.25" customHeight="1">
      <c r="A1547" s="210"/>
      <c r="B1547" s="210"/>
      <c r="C1547" s="210"/>
      <c r="D1547" s="210"/>
      <c r="E1547" s="210"/>
      <c r="F1547" s="210"/>
      <c r="G1547" s="210"/>
      <c r="H1547" s="210"/>
      <c r="I1547" s="210"/>
      <c r="J1547" s="210"/>
      <c r="K1547" s="210"/>
      <c r="L1547" s="210"/>
      <c r="M1547" s="210"/>
      <c r="N1547" s="210"/>
      <c r="O1547" s="210"/>
      <c r="P1547" s="210"/>
      <c r="Q1547" s="210"/>
      <c r="R1547" s="210"/>
      <c r="S1547" s="210"/>
      <c r="T1547" s="210"/>
      <c r="U1547" s="210"/>
      <c r="V1547" s="210"/>
      <c r="W1547" s="210"/>
      <c r="X1547" s="210"/>
      <c r="Y1547" s="210"/>
      <c r="Z1547" s="210"/>
      <c r="AA1547" s="210"/>
      <c r="AB1547" s="210"/>
      <c r="AC1547" s="210"/>
      <c r="AD1547" s="210"/>
      <c r="AE1547" s="210"/>
      <c r="AF1547" s="210"/>
      <c r="AG1547" s="210"/>
      <c r="AH1547" s="210"/>
      <c r="AI1547" s="210"/>
      <c r="AJ1547" s="210"/>
    </row>
    <row r="1548" ht="14.25" customHeight="1">
      <c r="A1548" s="210"/>
      <c r="B1548" s="210"/>
      <c r="C1548" s="210"/>
      <c r="D1548" s="210"/>
      <c r="E1548" s="210"/>
      <c r="F1548" s="210"/>
      <c r="G1548" s="210"/>
      <c r="H1548" s="210"/>
      <c r="I1548" s="210"/>
      <c r="J1548" s="210"/>
      <c r="K1548" s="210"/>
      <c r="L1548" s="210"/>
      <c r="M1548" s="210"/>
      <c r="N1548" s="210"/>
      <c r="O1548" s="210"/>
      <c r="P1548" s="210"/>
      <c r="Q1548" s="210"/>
      <c r="R1548" s="210"/>
      <c r="S1548" s="210"/>
      <c r="T1548" s="210"/>
      <c r="U1548" s="210"/>
      <c r="V1548" s="210"/>
      <c r="W1548" s="210"/>
      <c r="X1548" s="210"/>
      <c r="Y1548" s="210"/>
      <c r="Z1548" s="210"/>
      <c r="AA1548" s="210"/>
      <c r="AB1548" s="210"/>
      <c r="AC1548" s="210"/>
      <c r="AD1548" s="210"/>
      <c r="AE1548" s="210"/>
      <c r="AF1548" s="210"/>
      <c r="AG1548" s="210"/>
      <c r="AH1548" s="210"/>
      <c r="AI1548" s="210"/>
      <c r="AJ1548" s="210"/>
    </row>
    <row r="1549" ht="14.25" customHeight="1">
      <c r="A1549" s="210"/>
      <c r="B1549" s="210"/>
      <c r="C1549" s="210"/>
      <c r="D1549" s="210"/>
      <c r="E1549" s="210"/>
      <c r="F1549" s="210"/>
      <c r="G1549" s="210"/>
      <c r="H1549" s="210"/>
      <c r="I1549" s="210"/>
      <c r="J1549" s="210"/>
      <c r="K1549" s="210"/>
      <c r="L1549" s="210"/>
      <c r="M1549" s="210"/>
      <c r="N1549" s="210"/>
      <c r="O1549" s="210"/>
      <c r="P1549" s="210"/>
      <c r="Q1549" s="210"/>
      <c r="R1549" s="210"/>
      <c r="S1549" s="210"/>
      <c r="T1549" s="210"/>
      <c r="U1549" s="210"/>
      <c r="V1549" s="210"/>
      <c r="W1549" s="210"/>
      <c r="X1549" s="210"/>
      <c r="Y1549" s="210"/>
      <c r="Z1549" s="210"/>
      <c r="AA1549" s="210"/>
      <c r="AB1549" s="210"/>
      <c r="AC1549" s="210"/>
      <c r="AD1549" s="210"/>
      <c r="AE1549" s="210"/>
      <c r="AF1549" s="210"/>
      <c r="AG1549" s="210"/>
      <c r="AH1549" s="210"/>
      <c r="AI1549" s="210"/>
      <c r="AJ1549" s="210"/>
    </row>
    <row r="1550" ht="14.25" customHeight="1">
      <c r="A1550" s="210"/>
      <c r="B1550" s="210"/>
      <c r="C1550" s="210"/>
      <c r="D1550" s="210"/>
      <c r="E1550" s="210"/>
      <c r="F1550" s="210"/>
      <c r="G1550" s="210"/>
      <c r="H1550" s="210"/>
      <c r="I1550" s="210"/>
      <c r="J1550" s="210"/>
      <c r="K1550" s="210"/>
      <c r="L1550" s="210"/>
      <c r="M1550" s="210"/>
      <c r="N1550" s="210"/>
      <c r="O1550" s="210"/>
      <c r="P1550" s="210"/>
      <c r="Q1550" s="210"/>
      <c r="R1550" s="210"/>
      <c r="S1550" s="210"/>
      <c r="T1550" s="210"/>
      <c r="U1550" s="210"/>
      <c r="V1550" s="210"/>
      <c r="W1550" s="210"/>
      <c r="X1550" s="210"/>
      <c r="Y1550" s="210"/>
      <c r="Z1550" s="210"/>
      <c r="AA1550" s="210"/>
      <c r="AB1550" s="210"/>
      <c r="AC1550" s="210"/>
      <c r="AD1550" s="210"/>
      <c r="AE1550" s="210"/>
      <c r="AF1550" s="210"/>
      <c r="AG1550" s="210"/>
      <c r="AH1550" s="210"/>
      <c r="AI1550" s="210"/>
      <c r="AJ1550" s="210"/>
    </row>
    <row r="1551" ht="14.25" customHeight="1">
      <c r="A1551" s="210"/>
      <c r="B1551" s="210"/>
      <c r="C1551" s="210"/>
      <c r="D1551" s="210"/>
      <c r="E1551" s="210"/>
      <c r="F1551" s="210"/>
      <c r="G1551" s="210"/>
      <c r="H1551" s="210"/>
      <c r="I1551" s="210"/>
      <c r="J1551" s="210"/>
      <c r="K1551" s="210"/>
      <c r="L1551" s="210"/>
      <c r="M1551" s="210"/>
      <c r="N1551" s="210"/>
      <c r="O1551" s="210"/>
      <c r="P1551" s="210"/>
      <c r="Q1551" s="210"/>
      <c r="R1551" s="210"/>
      <c r="S1551" s="210"/>
      <c r="T1551" s="210"/>
      <c r="U1551" s="210"/>
      <c r="V1551" s="210"/>
      <c r="W1551" s="210"/>
      <c r="X1551" s="210"/>
      <c r="Y1551" s="210"/>
      <c r="Z1551" s="210"/>
      <c r="AA1551" s="210"/>
      <c r="AB1551" s="210"/>
      <c r="AC1551" s="210"/>
      <c r="AD1551" s="210"/>
      <c r="AE1551" s="210"/>
      <c r="AF1551" s="210"/>
      <c r="AG1551" s="210"/>
      <c r="AH1551" s="210"/>
      <c r="AI1551" s="210"/>
      <c r="AJ1551" s="210"/>
    </row>
    <row r="1552" ht="14.25" customHeight="1">
      <c r="A1552" s="210"/>
      <c r="B1552" s="210"/>
      <c r="C1552" s="210"/>
      <c r="D1552" s="210"/>
      <c r="E1552" s="210"/>
      <c r="F1552" s="210"/>
      <c r="G1552" s="210"/>
      <c r="H1552" s="210"/>
      <c r="I1552" s="210"/>
      <c r="J1552" s="210"/>
      <c r="K1552" s="210"/>
      <c r="L1552" s="210"/>
      <c r="M1552" s="210"/>
      <c r="N1552" s="210"/>
      <c r="O1552" s="210"/>
      <c r="P1552" s="210"/>
      <c r="Q1552" s="210"/>
      <c r="R1552" s="210"/>
      <c r="S1552" s="210"/>
      <c r="T1552" s="210"/>
      <c r="U1552" s="210"/>
      <c r="V1552" s="210"/>
      <c r="W1552" s="210"/>
      <c r="X1552" s="210"/>
      <c r="Y1552" s="210"/>
      <c r="Z1552" s="210"/>
      <c r="AA1552" s="210"/>
      <c r="AB1552" s="210"/>
      <c r="AC1552" s="210"/>
      <c r="AD1552" s="210"/>
      <c r="AE1552" s="210"/>
      <c r="AF1552" s="210"/>
      <c r="AG1552" s="210"/>
      <c r="AH1552" s="210"/>
      <c r="AI1552" s="210"/>
      <c r="AJ1552" s="210"/>
    </row>
    <row r="1553" ht="14.25" customHeight="1">
      <c r="A1553" s="210"/>
      <c r="B1553" s="210"/>
      <c r="C1553" s="210"/>
      <c r="D1553" s="210"/>
      <c r="E1553" s="210"/>
      <c r="F1553" s="210"/>
      <c r="G1553" s="210"/>
      <c r="H1553" s="210"/>
      <c r="I1553" s="210"/>
      <c r="J1553" s="210"/>
      <c r="K1553" s="210"/>
      <c r="L1553" s="210"/>
      <c r="M1553" s="210"/>
      <c r="N1553" s="210"/>
      <c r="O1553" s="210"/>
      <c r="P1553" s="210"/>
      <c r="Q1553" s="210"/>
      <c r="R1553" s="210"/>
      <c r="S1553" s="210"/>
      <c r="T1553" s="210"/>
      <c r="U1553" s="210"/>
      <c r="V1553" s="210"/>
      <c r="W1553" s="210"/>
      <c r="X1553" s="210"/>
      <c r="Y1553" s="210"/>
      <c r="Z1553" s="210"/>
      <c r="AA1553" s="210"/>
      <c r="AB1553" s="210"/>
      <c r="AC1553" s="210"/>
      <c r="AD1553" s="210"/>
      <c r="AE1553" s="210"/>
      <c r="AF1553" s="210"/>
      <c r="AG1553" s="210"/>
      <c r="AH1553" s="210"/>
      <c r="AI1553" s="210"/>
      <c r="AJ1553" s="210"/>
    </row>
    <row r="1554" ht="14.25" customHeight="1">
      <c r="A1554" s="210"/>
      <c r="B1554" s="210"/>
      <c r="C1554" s="210"/>
      <c r="D1554" s="210"/>
      <c r="E1554" s="210"/>
      <c r="F1554" s="210"/>
      <c r="G1554" s="210"/>
      <c r="H1554" s="210"/>
      <c r="I1554" s="210"/>
      <c r="J1554" s="210"/>
      <c r="K1554" s="210"/>
      <c r="L1554" s="210"/>
      <c r="M1554" s="210"/>
      <c r="N1554" s="210"/>
      <c r="O1554" s="210"/>
      <c r="P1554" s="210"/>
      <c r="Q1554" s="210"/>
      <c r="R1554" s="210"/>
      <c r="S1554" s="210"/>
      <c r="T1554" s="210"/>
      <c r="U1554" s="210"/>
      <c r="V1554" s="210"/>
      <c r="W1554" s="210"/>
      <c r="X1554" s="210"/>
      <c r="Y1554" s="210"/>
      <c r="Z1554" s="210"/>
      <c r="AA1554" s="210"/>
      <c r="AB1554" s="210"/>
      <c r="AC1554" s="210"/>
      <c r="AD1554" s="210"/>
      <c r="AE1554" s="210"/>
      <c r="AF1554" s="210"/>
      <c r="AG1554" s="210"/>
      <c r="AH1554" s="210"/>
      <c r="AI1554" s="210"/>
      <c r="AJ1554" s="210"/>
    </row>
    <row r="1555" ht="14.25" customHeight="1">
      <c r="A1555" s="210"/>
      <c r="B1555" s="210"/>
      <c r="C1555" s="210"/>
      <c r="D1555" s="210"/>
      <c r="E1555" s="210"/>
      <c r="F1555" s="210"/>
      <c r="G1555" s="210"/>
      <c r="H1555" s="210"/>
      <c r="I1555" s="210"/>
      <c r="J1555" s="210"/>
      <c r="K1555" s="210"/>
      <c r="L1555" s="210"/>
      <c r="M1555" s="210"/>
      <c r="N1555" s="210"/>
      <c r="O1555" s="210"/>
      <c r="P1555" s="210"/>
      <c r="Q1555" s="210"/>
      <c r="R1555" s="210"/>
      <c r="S1555" s="210"/>
      <c r="T1555" s="210"/>
      <c r="U1555" s="210"/>
      <c r="V1555" s="210"/>
      <c r="W1555" s="210"/>
      <c r="X1555" s="210"/>
      <c r="Y1555" s="210"/>
      <c r="Z1555" s="210"/>
      <c r="AA1555" s="210"/>
      <c r="AB1555" s="210"/>
      <c r="AC1555" s="210"/>
      <c r="AD1555" s="210"/>
      <c r="AE1555" s="210"/>
      <c r="AF1555" s="210"/>
      <c r="AG1555" s="210"/>
      <c r="AH1555" s="210"/>
      <c r="AI1555" s="210"/>
      <c r="AJ1555" s="210"/>
    </row>
    <row r="1556" ht="14.25" customHeight="1">
      <c r="A1556" s="210"/>
      <c r="B1556" s="210"/>
      <c r="C1556" s="210"/>
      <c r="D1556" s="210"/>
      <c r="E1556" s="210"/>
      <c r="F1556" s="210"/>
      <c r="G1556" s="210"/>
      <c r="H1556" s="210"/>
      <c r="I1556" s="210"/>
      <c r="J1556" s="210"/>
      <c r="K1556" s="210"/>
      <c r="L1556" s="210"/>
      <c r="M1556" s="210"/>
      <c r="N1556" s="210"/>
      <c r="O1556" s="210"/>
      <c r="P1556" s="210"/>
      <c r="Q1556" s="210"/>
      <c r="R1556" s="210"/>
      <c r="S1556" s="210"/>
      <c r="T1556" s="210"/>
      <c r="U1556" s="210"/>
      <c r="V1556" s="210"/>
      <c r="W1556" s="210"/>
      <c r="X1556" s="210"/>
      <c r="Y1556" s="210"/>
      <c r="Z1556" s="210"/>
      <c r="AA1556" s="210"/>
      <c r="AB1556" s="210"/>
      <c r="AC1556" s="210"/>
      <c r="AD1556" s="210"/>
      <c r="AE1556" s="210"/>
      <c r="AF1556" s="210"/>
      <c r="AG1556" s="210"/>
      <c r="AH1556" s="210"/>
      <c r="AI1556" s="210"/>
      <c r="AJ1556" s="210"/>
    </row>
    <row r="1557" ht="14.25" customHeight="1">
      <c r="A1557" s="210"/>
      <c r="B1557" s="210"/>
      <c r="C1557" s="210"/>
      <c r="D1557" s="210"/>
      <c r="E1557" s="210"/>
      <c r="F1557" s="210"/>
      <c r="G1557" s="210"/>
      <c r="H1557" s="210"/>
      <c r="I1557" s="210"/>
      <c r="J1557" s="210"/>
      <c r="K1557" s="210"/>
      <c r="L1557" s="210"/>
      <c r="M1557" s="210"/>
      <c r="N1557" s="210"/>
      <c r="O1557" s="210"/>
      <c r="P1557" s="210"/>
      <c r="Q1557" s="210"/>
      <c r="R1557" s="210"/>
      <c r="S1557" s="210"/>
      <c r="T1557" s="210"/>
      <c r="U1557" s="210"/>
      <c r="V1557" s="210"/>
      <c r="W1557" s="210"/>
      <c r="X1557" s="210"/>
      <c r="Y1557" s="210"/>
      <c r="Z1557" s="210"/>
      <c r="AA1557" s="210"/>
      <c r="AB1557" s="210"/>
      <c r="AC1557" s="210"/>
      <c r="AD1557" s="210"/>
      <c r="AE1557" s="210"/>
      <c r="AF1557" s="210"/>
      <c r="AG1557" s="210"/>
      <c r="AH1557" s="210"/>
      <c r="AI1557" s="210"/>
      <c r="AJ1557" s="210"/>
    </row>
    <row r="1558" ht="14.25" customHeight="1">
      <c r="A1558" s="210"/>
      <c r="B1558" s="210"/>
      <c r="C1558" s="210"/>
      <c r="D1558" s="210"/>
      <c r="E1558" s="210"/>
      <c r="F1558" s="210"/>
      <c r="G1558" s="210"/>
      <c r="H1558" s="210"/>
      <c r="I1558" s="210"/>
      <c r="J1558" s="210"/>
      <c r="K1558" s="210"/>
      <c r="L1558" s="210"/>
      <c r="M1558" s="210"/>
      <c r="N1558" s="210"/>
      <c r="O1558" s="210"/>
      <c r="P1558" s="210"/>
      <c r="Q1558" s="210"/>
      <c r="R1558" s="210"/>
      <c r="S1558" s="210"/>
      <c r="T1558" s="210"/>
      <c r="U1558" s="210"/>
      <c r="V1558" s="210"/>
      <c r="W1558" s="210"/>
      <c r="X1558" s="210"/>
      <c r="Y1558" s="210"/>
      <c r="Z1558" s="210"/>
      <c r="AA1558" s="210"/>
      <c r="AB1558" s="210"/>
      <c r="AC1558" s="210"/>
      <c r="AD1558" s="210"/>
      <c r="AE1558" s="210"/>
      <c r="AF1558" s="210"/>
      <c r="AG1558" s="210"/>
      <c r="AH1558" s="210"/>
      <c r="AI1558" s="210"/>
      <c r="AJ1558" s="210"/>
    </row>
    <row r="1559" ht="14.25" customHeight="1">
      <c r="A1559" s="210"/>
      <c r="B1559" s="210"/>
      <c r="C1559" s="210"/>
      <c r="D1559" s="210"/>
      <c r="E1559" s="210"/>
      <c r="F1559" s="210"/>
      <c r="G1559" s="210"/>
      <c r="H1559" s="210"/>
      <c r="I1559" s="210"/>
      <c r="J1559" s="210"/>
      <c r="K1559" s="210"/>
      <c r="L1559" s="210"/>
      <c r="M1559" s="210"/>
      <c r="N1559" s="210"/>
      <c r="O1559" s="210"/>
      <c r="P1559" s="210"/>
      <c r="Q1559" s="210"/>
      <c r="R1559" s="210"/>
      <c r="S1559" s="210"/>
      <c r="T1559" s="210"/>
      <c r="U1559" s="210"/>
      <c r="V1559" s="210"/>
      <c r="W1559" s="210"/>
      <c r="X1559" s="210"/>
      <c r="Y1559" s="210"/>
      <c r="Z1559" s="210"/>
      <c r="AA1559" s="210"/>
      <c r="AB1559" s="210"/>
      <c r="AC1559" s="210"/>
      <c r="AD1559" s="210"/>
      <c r="AE1559" s="210"/>
      <c r="AF1559" s="210"/>
      <c r="AG1559" s="210"/>
      <c r="AH1559" s="210"/>
      <c r="AI1559" s="210"/>
      <c r="AJ1559" s="210"/>
    </row>
    <row r="1560" ht="14.25" customHeight="1">
      <c r="A1560" s="210"/>
      <c r="B1560" s="210"/>
      <c r="C1560" s="210"/>
      <c r="D1560" s="210"/>
      <c r="E1560" s="210"/>
      <c r="F1560" s="210"/>
      <c r="G1560" s="210"/>
      <c r="H1560" s="210"/>
      <c r="I1560" s="210"/>
      <c r="J1560" s="210"/>
      <c r="K1560" s="210"/>
      <c r="L1560" s="210"/>
      <c r="M1560" s="210"/>
      <c r="N1560" s="210"/>
      <c r="O1560" s="210"/>
      <c r="P1560" s="210"/>
      <c r="Q1560" s="210"/>
      <c r="R1560" s="210"/>
      <c r="S1560" s="210"/>
      <c r="T1560" s="210"/>
      <c r="U1560" s="210"/>
      <c r="V1560" s="210"/>
      <c r="W1560" s="210"/>
      <c r="X1560" s="210"/>
      <c r="Y1560" s="210"/>
      <c r="Z1560" s="210"/>
      <c r="AA1560" s="210"/>
      <c r="AB1560" s="210"/>
      <c r="AC1560" s="210"/>
      <c r="AD1560" s="210"/>
      <c r="AE1560" s="210"/>
      <c r="AF1560" s="210"/>
      <c r="AG1560" s="210"/>
      <c r="AH1560" s="210"/>
      <c r="AI1560" s="210"/>
      <c r="AJ1560" s="210"/>
    </row>
    <row r="1561" ht="14.25" customHeight="1">
      <c r="A1561" s="210"/>
      <c r="B1561" s="210"/>
      <c r="C1561" s="210"/>
      <c r="D1561" s="210"/>
      <c r="E1561" s="210"/>
      <c r="F1561" s="210"/>
      <c r="G1561" s="210"/>
      <c r="H1561" s="210"/>
      <c r="I1561" s="210"/>
      <c r="J1561" s="210"/>
      <c r="K1561" s="210"/>
      <c r="L1561" s="210"/>
      <c r="M1561" s="210"/>
      <c r="N1561" s="210"/>
      <c r="O1561" s="210"/>
      <c r="P1561" s="210"/>
      <c r="Q1561" s="210"/>
      <c r="R1561" s="210"/>
      <c r="S1561" s="210"/>
      <c r="T1561" s="210"/>
      <c r="U1561" s="210"/>
      <c r="V1561" s="210"/>
      <c r="W1561" s="210"/>
      <c r="X1561" s="210"/>
      <c r="Y1561" s="210"/>
      <c r="Z1561" s="210"/>
      <c r="AA1561" s="210"/>
      <c r="AB1561" s="210"/>
      <c r="AC1561" s="210"/>
      <c r="AD1561" s="210"/>
      <c r="AE1561" s="210"/>
      <c r="AF1561" s="210"/>
      <c r="AG1561" s="210"/>
      <c r="AH1561" s="210"/>
      <c r="AI1561" s="210"/>
      <c r="AJ1561" s="210"/>
    </row>
    <row r="1562" ht="14.25" customHeight="1">
      <c r="A1562" s="210"/>
      <c r="B1562" s="210"/>
      <c r="C1562" s="210"/>
      <c r="D1562" s="210"/>
      <c r="E1562" s="210"/>
      <c r="F1562" s="210"/>
      <c r="G1562" s="210"/>
      <c r="H1562" s="210"/>
      <c r="I1562" s="210"/>
      <c r="J1562" s="210"/>
      <c r="K1562" s="210"/>
      <c r="L1562" s="210"/>
      <c r="M1562" s="210"/>
      <c r="N1562" s="210"/>
      <c r="O1562" s="210"/>
      <c r="P1562" s="210"/>
      <c r="Q1562" s="210"/>
      <c r="R1562" s="210"/>
      <c r="S1562" s="210"/>
      <c r="T1562" s="210"/>
      <c r="U1562" s="210"/>
      <c r="V1562" s="210"/>
      <c r="W1562" s="210"/>
      <c r="X1562" s="210"/>
      <c r="Y1562" s="210"/>
      <c r="Z1562" s="210"/>
      <c r="AA1562" s="210"/>
      <c r="AB1562" s="210"/>
      <c r="AC1562" s="210"/>
      <c r="AD1562" s="210"/>
      <c r="AE1562" s="210"/>
      <c r="AF1562" s="210"/>
      <c r="AG1562" s="210"/>
      <c r="AH1562" s="210"/>
      <c r="AI1562" s="210"/>
      <c r="AJ1562" s="210"/>
    </row>
    <row r="1563" ht="14.25" customHeight="1">
      <c r="A1563" s="210"/>
      <c r="B1563" s="210"/>
      <c r="C1563" s="210"/>
      <c r="D1563" s="210"/>
      <c r="E1563" s="210"/>
      <c r="F1563" s="210"/>
      <c r="G1563" s="210"/>
      <c r="H1563" s="210"/>
      <c r="I1563" s="210"/>
      <c r="J1563" s="210"/>
      <c r="K1563" s="210"/>
      <c r="L1563" s="210"/>
      <c r="M1563" s="210"/>
      <c r="N1563" s="210"/>
      <c r="O1563" s="210"/>
      <c r="P1563" s="210"/>
      <c r="Q1563" s="210"/>
      <c r="R1563" s="210"/>
      <c r="S1563" s="210"/>
      <c r="T1563" s="210"/>
      <c r="U1563" s="210"/>
      <c r="V1563" s="210"/>
      <c r="W1563" s="210"/>
      <c r="X1563" s="210" t="s">
        <v>131</v>
      </c>
      <c r="Y1563" s="210"/>
      <c r="Z1563" s="210"/>
      <c r="AA1563" s="210"/>
      <c r="AB1563" s="210"/>
      <c r="AC1563" s="210"/>
      <c r="AD1563" s="210"/>
      <c r="AE1563" s="210"/>
      <c r="AF1563" s="210"/>
      <c r="AG1563" s="210"/>
      <c r="AH1563" s="210"/>
      <c r="AI1563" s="210"/>
      <c r="AJ1563" s="210"/>
    </row>
    <row r="1564" ht="14.25" customHeight="1">
      <c r="A1564" s="210"/>
      <c r="B1564" s="210"/>
      <c r="C1564" s="210"/>
      <c r="D1564" s="210"/>
      <c r="E1564" s="210"/>
      <c r="F1564" s="210"/>
      <c r="G1564" s="210"/>
      <c r="H1564" s="210"/>
      <c r="I1564" s="210"/>
      <c r="J1564" s="210"/>
      <c r="K1564" s="210"/>
      <c r="L1564" s="210"/>
      <c r="M1564" s="210"/>
      <c r="N1564" s="210"/>
      <c r="O1564" s="210"/>
      <c r="P1564" s="210"/>
      <c r="Q1564" s="210"/>
      <c r="R1564" s="210"/>
      <c r="S1564" s="210"/>
      <c r="T1564" s="210"/>
      <c r="U1564" s="210"/>
      <c r="V1564" s="210"/>
      <c r="W1564" s="210"/>
      <c r="X1564" s="210"/>
      <c r="Y1564" s="210"/>
      <c r="Z1564" s="210"/>
      <c r="AA1564" s="210"/>
      <c r="AB1564" s="210"/>
      <c r="AC1564" s="210"/>
      <c r="AD1564" s="210"/>
      <c r="AE1564" s="210"/>
      <c r="AF1564" s="210"/>
      <c r="AG1564" s="210"/>
      <c r="AH1564" s="210"/>
      <c r="AI1564" s="210"/>
      <c r="AJ1564" s="210"/>
    </row>
    <row r="1565" ht="14.25" customHeight="1">
      <c r="A1565" s="210"/>
      <c r="B1565" s="210"/>
      <c r="C1565" s="210"/>
      <c r="D1565" s="210"/>
      <c r="E1565" s="210"/>
      <c r="F1565" s="210"/>
      <c r="G1565" s="210"/>
      <c r="H1565" s="210"/>
      <c r="I1565" s="210"/>
      <c r="J1565" s="210"/>
      <c r="K1565" s="210"/>
      <c r="L1565" s="210"/>
      <c r="M1565" s="210"/>
      <c r="N1565" s="210"/>
      <c r="O1565" s="210"/>
      <c r="P1565" s="210"/>
      <c r="Q1565" s="210"/>
      <c r="R1565" s="210"/>
      <c r="S1565" s="210"/>
      <c r="T1565" s="210"/>
      <c r="U1565" s="210"/>
      <c r="V1565" s="210"/>
      <c r="W1565" s="210"/>
      <c r="X1565" s="210"/>
      <c r="Y1565" s="210"/>
      <c r="Z1565" s="210"/>
      <c r="AA1565" s="210"/>
      <c r="AB1565" s="210"/>
      <c r="AC1565" s="210"/>
      <c r="AD1565" s="210"/>
      <c r="AE1565" s="210"/>
      <c r="AF1565" s="210"/>
      <c r="AG1565" s="210"/>
      <c r="AH1565" s="210"/>
      <c r="AI1565" s="210"/>
      <c r="AJ1565" s="210"/>
    </row>
    <row r="1566" ht="14.25" customHeight="1">
      <c r="A1566" s="210"/>
      <c r="B1566" s="210"/>
      <c r="C1566" s="210"/>
      <c r="D1566" s="210"/>
      <c r="E1566" s="210"/>
      <c r="F1566" s="210"/>
      <c r="G1566" s="210"/>
      <c r="H1566" s="210"/>
      <c r="I1566" s="210"/>
      <c r="J1566" s="210"/>
      <c r="K1566" s="210"/>
      <c r="L1566" s="210"/>
      <c r="M1566" s="210"/>
      <c r="N1566" s="210"/>
      <c r="O1566" s="210"/>
      <c r="P1566" s="210"/>
      <c r="Q1566" s="210"/>
      <c r="R1566" s="210"/>
      <c r="S1566" s="210"/>
      <c r="T1566" s="210"/>
      <c r="U1566" s="210"/>
      <c r="V1566" s="210"/>
      <c r="W1566" s="210"/>
      <c r="X1566" s="210"/>
      <c r="Y1566" s="210"/>
      <c r="Z1566" s="210"/>
      <c r="AA1566" s="210"/>
      <c r="AB1566" s="210"/>
      <c r="AC1566" s="210"/>
      <c r="AD1566" s="210"/>
      <c r="AE1566" s="210"/>
      <c r="AF1566" s="210"/>
      <c r="AG1566" s="210"/>
      <c r="AH1566" s="210"/>
      <c r="AI1566" s="210"/>
      <c r="AJ1566" s="210"/>
    </row>
    <row r="1567" ht="14.25" customHeight="1">
      <c r="A1567" s="210"/>
      <c r="B1567" s="210"/>
      <c r="C1567" s="210"/>
      <c r="D1567" s="210"/>
      <c r="E1567" s="210"/>
      <c r="F1567" s="210"/>
      <c r="G1567" s="210"/>
      <c r="H1567" s="210"/>
      <c r="I1567" s="210"/>
      <c r="J1567" s="210"/>
      <c r="K1567" s="210"/>
      <c r="L1567" s="210"/>
      <c r="M1567" s="210"/>
      <c r="N1567" s="210"/>
      <c r="O1567" s="210"/>
      <c r="P1567" s="210"/>
      <c r="Q1567" s="210"/>
      <c r="R1567" s="210"/>
      <c r="S1567" s="210"/>
      <c r="T1567" s="210"/>
      <c r="U1567" s="210"/>
      <c r="V1567" s="210"/>
      <c r="W1567" s="210"/>
      <c r="X1567" s="210"/>
      <c r="Y1567" s="210"/>
      <c r="Z1567" s="210"/>
      <c r="AA1567" s="210"/>
      <c r="AB1567" s="210"/>
      <c r="AC1567" s="210"/>
      <c r="AD1567" s="210"/>
      <c r="AE1567" s="210"/>
      <c r="AF1567" s="210"/>
      <c r="AG1567" s="210"/>
      <c r="AH1567" s="210"/>
      <c r="AI1567" s="210"/>
      <c r="AJ1567" s="210"/>
    </row>
    <row r="1568" ht="14.25" customHeight="1">
      <c r="A1568" s="210"/>
      <c r="B1568" s="210"/>
      <c r="C1568" s="210"/>
      <c r="D1568" s="210"/>
      <c r="E1568" s="210"/>
      <c r="F1568" s="210"/>
      <c r="G1568" s="210"/>
      <c r="H1568" s="210"/>
      <c r="I1568" s="210"/>
      <c r="J1568" s="210"/>
      <c r="K1568" s="210"/>
      <c r="L1568" s="210"/>
      <c r="M1568" s="210"/>
      <c r="N1568" s="210"/>
      <c r="O1568" s="210"/>
      <c r="P1568" s="210"/>
      <c r="Q1568" s="210"/>
      <c r="R1568" s="210"/>
      <c r="S1568" s="210"/>
      <c r="T1568" s="210"/>
      <c r="U1568" s="210"/>
      <c r="V1568" s="210"/>
      <c r="W1568" s="210"/>
      <c r="X1568" s="210"/>
      <c r="Y1568" s="210"/>
      <c r="Z1568" s="210"/>
      <c r="AA1568" s="210"/>
      <c r="AB1568" s="210"/>
      <c r="AC1568" s="210"/>
      <c r="AD1568" s="210"/>
      <c r="AE1568" s="210"/>
      <c r="AF1568" s="210"/>
      <c r="AG1568" s="210"/>
      <c r="AH1568" s="210"/>
      <c r="AI1568" s="210"/>
      <c r="AJ1568" s="210"/>
    </row>
    <row r="1569" ht="14.25" customHeight="1">
      <c r="A1569" s="210"/>
      <c r="B1569" s="210"/>
      <c r="C1569" s="210"/>
      <c r="D1569" s="210"/>
      <c r="E1569" s="210"/>
      <c r="F1569" s="210"/>
      <c r="G1569" s="210"/>
      <c r="H1569" s="210"/>
      <c r="I1569" s="210"/>
      <c r="J1569" s="210"/>
      <c r="K1569" s="210"/>
      <c r="L1569" s="210"/>
      <c r="M1569" s="210"/>
      <c r="N1569" s="210"/>
      <c r="O1569" s="210"/>
      <c r="P1569" s="210"/>
      <c r="Q1569" s="210"/>
      <c r="R1569" s="210"/>
      <c r="S1569" s="210"/>
      <c r="T1569" s="210"/>
      <c r="U1569" s="210"/>
      <c r="V1569" s="210"/>
      <c r="W1569" s="210"/>
      <c r="X1569" s="210"/>
      <c r="Y1569" s="210"/>
      <c r="Z1569" s="210"/>
      <c r="AA1569" s="210"/>
      <c r="AB1569" s="210"/>
      <c r="AC1569" s="210"/>
      <c r="AD1569" s="210"/>
      <c r="AE1569" s="210"/>
      <c r="AF1569" s="210"/>
      <c r="AG1569" s="210"/>
      <c r="AH1569" s="210"/>
      <c r="AI1569" s="210"/>
      <c r="AJ1569" s="210"/>
    </row>
    <row r="1570" ht="14.25" customHeight="1">
      <c r="A1570" s="210"/>
      <c r="B1570" s="210"/>
      <c r="C1570" s="210"/>
      <c r="D1570" s="210"/>
      <c r="E1570" s="210"/>
      <c r="F1570" s="210"/>
      <c r="G1570" s="210"/>
      <c r="H1570" s="210"/>
      <c r="I1570" s="210"/>
      <c r="J1570" s="210"/>
      <c r="K1570" s="210"/>
      <c r="L1570" s="210"/>
      <c r="M1570" s="210"/>
      <c r="N1570" s="210"/>
      <c r="O1570" s="210"/>
      <c r="P1570" s="210"/>
      <c r="Q1570" s="210"/>
      <c r="R1570" s="210"/>
      <c r="S1570" s="210"/>
      <c r="T1570" s="210"/>
      <c r="U1570" s="210"/>
      <c r="V1570" s="210"/>
      <c r="W1570" s="210"/>
      <c r="X1570" s="210"/>
      <c r="Y1570" s="210"/>
      <c r="Z1570" s="210"/>
      <c r="AA1570" s="210"/>
      <c r="AB1570" s="210"/>
      <c r="AC1570" s="210"/>
      <c r="AD1570" s="210"/>
      <c r="AE1570" s="210"/>
      <c r="AF1570" s="210"/>
      <c r="AG1570" s="210"/>
      <c r="AH1570" s="210"/>
      <c r="AI1570" s="210"/>
      <c r="AJ1570" s="210"/>
    </row>
    <row r="1571" ht="14.25" customHeight="1">
      <c r="A1571" s="210"/>
      <c r="B1571" s="210"/>
      <c r="C1571" s="210"/>
      <c r="D1571" s="210"/>
      <c r="E1571" s="210"/>
      <c r="F1571" s="210"/>
      <c r="G1571" s="210"/>
      <c r="H1571" s="210"/>
      <c r="I1571" s="210"/>
      <c r="J1571" s="210"/>
      <c r="K1571" s="210"/>
      <c r="L1571" s="210"/>
      <c r="M1571" s="210"/>
      <c r="N1571" s="210"/>
      <c r="O1571" s="210"/>
      <c r="P1571" s="210"/>
      <c r="Q1571" s="210"/>
      <c r="R1571" s="210"/>
      <c r="S1571" s="210"/>
      <c r="T1571" s="210"/>
      <c r="U1571" s="210"/>
      <c r="V1571" s="210"/>
      <c r="W1571" s="210"/>
      <c r="X1571" s="210"/>
      <c r="Y1571" s="210"/>
      <c r="Z1571" s="210"/>
      <c r="AA1571" s="210"/>
      <c r="AB1571" s="210"/>
      <c r="AC1571" s="210"/>
      <c r="AD1571" s="210"/>
      <c r="AE1571" s="210"/>
      <c r="AF1571" s="210"/>
      <c r="AG1571" s="210"/>
      <c r="AH1571" s="210"/>
      <c r="AI1571" s="210"/>
      <c r="AJ1571" s="210"/>
    </row>
    <row r="1572" ht="14.25" customHeight="1">
      <c r="A1572" s="210"/>
      <c r="B1572" s="210"/>
      <c r="C1572" s="210"/>
      <c r="D1572" s="210"/>
      <c r="E1572" s="210"/>
      <c r="F1572" s="210"/>
      <c r="G1572" s="210"/>
      <c r="H1572" s="210"/>
      <c r="I1572" s="210"/>
      <c r="J1572" s="210"/>
      <c r="K1572" s="210"/>
      <c r="L1572" s="210"/>
      <c r="M1572" s="210"/>
      <c r="N1572" s="210"/>
      <c r="O1572" s="210"/>
      <c r="P1572" s="210"/>
      <c r="Q1572" s="210"/>
      <c r="R1572" s="210"/>
      <c r="S1572" s="210"/>
      <c r="T1572" s="210"/>
      <c r="U1572" s="210"/>
      <c r="V1572" s="210"/>
      <c r="W1572" s="210"/>
      <c r="X1572" s="210"/>
      <c r="Y1572" s="210"/>
      <c r="Z1572" s="210"/>
      <c r="AA1572" s="210"/>
      <c r="AB1572" s="210"/>
      <c r="AC1572" s="210"/>
      <c r="AD1572" s="210"/>
      <c r="AE1572" s="210"/>
      <c r="AF1572" s="210"/>
      <c r="AG1572" s="210"/>
      <c r="AH1572" s="210"/>
      <c r="AI1572" s="210"/>
      <c r="AJ1572" s="210"/>
    </row>
    <row r="1573" ht="14.25" customHeight="1">
      <c r="A1573" s="210"/>
      <c r="B1573" s="210"/>
      <c r="C1573" s="210"/>
      <c r="D1573" s="210"/>
      <c r="E1573" s="210"/>
      <c r="F1573" s="210"/>
      <c r="G1573" s="210"/>
      <c r="H1573" s="210"/>
      <c r="I1573" s="210"/>
      <c r="J1573" s="210"/>
      <c r="K1573" s="210"/>
      <c r="L1573" s="210"/>
      <c r="M1573" s="210"/>
      <c r="N1573" s="210"/>
      <c r="O1573" s="210"/>
      <c r="P1573" s="210"/>
      <c r="Q1573" s="210"/>
      <c r="R1573" s="210"/>
      <c r="S1573" s="210"/>
      <c r="T1573" s="210"/>
      <c r="U1573" s="210"/>
      <c r="V1573" s="210"/>
      <c r="W1573" s="210"/>
      <c r="X1573" s="210"/>
      <c r="Y1573" s="210"/>
      <c r="Z1573" s="210"/>
      <c r="AA1573" s="210"/>
      <c r="AB1573" s="210"/>
      <c r="AC1573" s="210"/>
      <c r="AD1573" s="210"/>
      <c r="AE1573" s="210"/>
      <c r="AF1573" s="210"/>
      <c r="AG1573" s="210"/>
      <c r="AH1573" s="210"/>
      <c r="AI1573" s="210"/>
      <c r="AJ1573" s="210"/>
    </row>
    <row r="1574" ht="14.25" customHeight="1">
      <c r="A1574" s="210"/>
      <c r="B1574" s="210"/>
      <c r="C1574" s="210"/>
      <c r="D1574" s="210"/>
      <c r="E1574" s="210"/>
      <c r="F1574" s="210"/>
      <c r="G1574" s="210"/>
      <c r="H1574" s="210"/>
      <c r="I1574" s="210"/>
      <c r="J1574" s="210"/>
      <c r="K1574" s="210"/>
      <c r="L1574" s="210"/>
      <c r="M1574" s="210"/>
      <c r="N1574" s="210"/>
      <c r="O1574" s="210"/>
      <c r="P1574" s="210"/>
      <c r="Q1574" s="210"/>
      <c r="R1574" s="210"/>
      <c r="S1574" s="210"/>
      <c r="T1574" s="210"/>
      <c r="U1574" s="210"/>
      <c r="V1574" s="210"/>
      <c r="W1574" s="210"/>
      <c r="X1574" s="210"/>
      <c r="Y1574" s="210"/>
      <c r="Z1574" s="210"/>
      <c r="AA1574" s="210"/>
      <c r="AB1574" s="210"/>
      <c r="AC1574" s="210"/>
      <c r="AD1574" s="210"/>
      <c r="AE1574" s="210"/>
      <c r="AF1574" s="210"/>
      <c r="AG1574" s="210"/>
      <c r="AH1574" s="210"/>
      <c r="AI1574" s="210"/>
      <c r="AJ1574" s="210"/>
    </row>
    <row r="1575" ht="14.25" customHeight="1">
      <c r="A1575" s="210"/>
      <c r="B1575" s="210"/>
      <c r="C1575" s="210"/>
      <c r="D1575" s="210"/>
      <c r="E1575" s="210"/>
      <c r="F1575" s="210"/>
      <c r="G1575" s="210"/>
      <c r="H1575" s="210"/>
      <c r="I1575" s="210"/>
      <c r="J1575" s="210"/>
      <c r="K1575" s="210"/>
      <c r="L1575" s="210"/>
      <c r="M1575" s="210"/>
      <c r="N1575" s="210"/>
      <c r="O1575" s="210"/>
      <c r="P1575" s="210"/>
      <c r="Q1575" s="210"/>
      <c r="R1575" s="210"/>
      <c r="S1575" s="210"/>
      <c r="T1575" s="210"/>
      <c r="U1575" s="210"/>
      <c r="V1575" s="210"/>
      <c r="W1575" s="210"/>
      <c r="X1575" s="210"/>
      <c r="Y1575" s="210"/>
      <c r="Z1575" s="210"/>
      <c r="AA1575" s="210"/>
      <c r="AB1575" s="210"/>
      <c r="AC1575" s="210"/>
      <c r="AD1575" s="210"/>
      <c r="AE1575" s="210"/>
      <c r="AF1575" s="210"/>
      <c r="AG1575" s="210"/>
      <c r="AH1575" s="210"/>
      <c r="AI1575" s="210"/>
      <c r="AJ1575" s="210"/>
    </row>
    <row r="1576" ht="14.25" customHeight="1">
      <c r="A1576" s="210"/>
      <c r="B1576" s="210"/>
      <c r="C1576" s="210"/>
      <c r="D1576" s="210"/>
      <c r="E1576" s="210"/>
      <c r="F1576" s="210"/>
      <c r="G1576" s="210"/>
      <c r="H1576" s="210"/>
      <c r="I1576" s="210"/>
      <c r="J1576" s="210"/>
      <c r="K1576" s="210"/>
      <c r="L1576" s="210"/>
      <c r="M1576" s="210"/>
      <c r="N1576" s="210"/>
      <c r="O1576" s="210"/>
      <c r="P1576" s="210"/>
      <c r="Q1576" s="210"/>
      <c r="R1576" s="210"/>
      <c r="S1576" s="210"/>
      <c r="T1576" s="210"/>
      <c r="U1576" s="210"/>
      <c r="V1576" s="210"/>
      <c r="W1576" s="210"/>
      <c r="X1576" s="210"/>
      <c r="Y1576" s="210"/>
      <c r="Z1576" s="210"/>
      <c r="AA1576" s="210"/>
      <c r="AB1576" s="210"/>
      <c r="AC1576" s="210"/>
      <c r="AD1576" s="210"/>
      <c r="AE1576" s="210"/>
      <c r="AF1576" s="210"/>
      <c r="AG1576" s="210"/>
      <c r="AH1576" s="210"/>
      <c r="AI1576" s="210"/>
      <c r="AJ1576" s="210"/>
    </row>
    <row r="1577" ht="14.25" customHeight="1">
      <c r="A1577" s="210"/>
      <c r="B1577" s="210"/>
      <c r="C1577" s="210"/>
      <c r="D1577" s="210"/>
      <c r="E1577" s="210"/>
      <c r="F1577" s="210"/>
      <c r="G1577" s="210"/>
      <c r="H1577" s="210"/>
      <c r="I1577" s="210"/>
      <c r="J1577" s="210"/>
      <c r="K1577" s="210"/>
      <c r="L1577" s="210"/>
      <c r="M1577" s="210"/>
      <c r="N1577" s="210"/>
      <c r="O1577" s="210"/>
      <c r="P1577" s="210"/>
      <c r="Q1577" s="210"/>
      <c r="R1577" s="210"/>
      <c r="S1577" s="210"/>
      <c r="T1577" s="210"/>
      <c r="U1577" s="210"/>
      <c r="V1577" s="210"/>
      <c r="W1577" s="210"/>
      <c r="X1577" s="210"/>
      <c r="Y1577" s="210"/>
      <c r="Z1577" s="210"/>
      <c r="AA1577" s="210"/>
      <c r="AB1577" s="210"/>
      <c r="AC1577" s="210"/>
      <c r="AD1577" s="210"/>
      <c r="AE1577" s="210"/>
      <c r="AF1577" s="210"/>
      <c r="AG1577" s="210"/>
      <c r="AH1577" s="210"/>
      <c r="AI1577" s="210"/>
      <c r="AJ1577" s="210"/>
    </row>
    <row r="1578" ht="14.25" customHeight="1">
      <c r="A1578" s="210"/>
      <c r="B1578" s="210"/>
      <c r="C1578" s="210"/>
      <c r="D1578" s="210"/>
      <c r="E1578" s="210"/>
      <c r="F1578" s="210"/>
      <c r="G1578" s="210"/>
      <c r="H1578" s="210"/>
      <c r="I1578" s="210"/>
      <c r="J1578" s="210"/>
      <c r="K1578" s="210"/>
      <c r="L1578" s="210"/>
      <c r="M1578" s="210"/>
      <c r="N1578" s="210"/>
      <c r="O1578" s="210"/>
      <c r="P1578" s="210"/>
      <c r="Q1578" s="210"/>
      <c r="R1578" s="210"/>
      <c r="S1578" s="210"/>
      <c r="T1578" s="210"/>
      <c r="U1578" s="210"/>
      <c r="V1578" s="210"/>
      <c r="W1578" s="210"/>
      <c r="X1578" s="210"/>
      <c r="Y1578" s="210"/>
      <c r="Z1578" s="210"/>
      <c r="AA1578" s="210"/>
      <c r="AB1578" s="210"/>
      <c r="AC1578" s="210"/>
      <c r="AD1578" s="210"/>
      <c r="AE1578" s="210"/>
      <c r="AF1578" s="210"/>
      <c r="AG1578" s="210"/>
      <c r="AH1578" s="210"/>
      <c r="AI1578" s="210"/>
      <c r="AJ1578" s="210"/>
    </row>
    <row r="1579" ht="14.25" customHeight="1">
      <c r="A1579" s="210"/>
      <c r="B1579" s="210"/>
      <c r="C1579" s="210"/>
      <c r="D1579" s="210"/>
      <c r="E1579" s="210"/>
      <c r="F1579" s="210"/>
      <c r="G1579" s="210"/>
      <c r="H1579" s="210"/>
      <c r="I1579" s="210"/>
      <c r="J1579" s="210"/>
      <c r="K1579" s="210"/>
      <c r="L1579" s="210"/>
      <c r="M1579" s="210"/>
      <c r="N1579" s="210"/>
      <c r="O1579" s="210"/>
      <c r="P1579" s="210"/>
      <c r="Q1579" s="210"/>
      <c r="R1579" s="210"/>
      <c r="S1579" s="210"/>
      <c r="T1579" s="210"/>
      <c r="U1579" s="210"/>
      <c r="V1579" s="210"/>
      <c r="W1579" s="210"/>
      <c r="X1579" s="210"/>
      <c r="Y1579" s="210"/>
      <c r="Z1579" s="210"/>
      <c r="AA1579" s="210"/>
      <c r="AB1579" s="210"/>
      <c r="AC1579" s="210"/>
      <c r="AD1579" s="210"/>
      <c r="AE1579" s="210"/>
      <c r="AF1579" s="210"/>
      <c r="AG1579" s="210"/>
      <c r="AH1579" s="210"/>
      <c r="AI1579" s="210"/>
      <c r="AJ1579" s="210"/>
    </row>
    <row r="1580" ht="14.25" customHeight="1">
      <c r="A1580" s="210"/>
      <c r="B1580" s="210"/>
      <c r="C1580" s="210"/>
      <c r="D1580" s="210"/>
      <c r="E1580" s="210"/>
      <c r="F1580" s="210"/>
      <c r="G1580" s="210"/>
      <c r="H1580" s="210"/>
      <c r="I1580" s="210"/>
      <c r="J1580" s="210"/>
      <c r="K1580" s="210"/>
      <c r="L1580" s="210"/>
      <c r="M1580" s="210"/>
      <c r="N1580" s="210"/>
      <c r="O1580" s="210"/>
      <c r="P1580" s="210"/>
      <c r="Q1580" s="210"/>
      <c r="R1580" s="210"/>
      <c r="S1580" s="210"/>
      <c r="T1580" s="210"/>
      <c r="U1580" s="210"/>
      <c r="V1580" s="210"/>
      <c r="W1580" s="210"/>
      <c r="X1580" s="210"/>
      <c r="Y1580" s="210"/>
      <c r="Z1580" s="210"/>
      <c r="AA1580" s="210"/>
      <c r="AB1580" s="210"/>
      <c r="AC1580" s="210"/>
      <c r="AD1580" s="210"/>
      <c r="AE1580" s="210"/>
      <c r="AF1580" s="210"/>
      <c r="AG1580" s="210"/>
      <c r="AH1580" s="210"/>
      <c r="AI1580" s="210"/>
      <c r="AJ1580" s="210"/>
    </row>
    <row r="1581" ht="14.25" customHeight="1">
      <c r="A1581" s="210"/>
      <c r="B1581" s="210"/>
      <c r="C1581" s="210"/>
      <c r="D1581" s="210"/>
      <c r="E1581" s="210"/>
      <c r="F1581" s="210"/>
      <c r="G1581" s="210"/>
      <c r="H1581" s="210"/>
      <c r="I1581" s="210"/>
      <c r="J1581" s="210"/>
      <c r="K1581" s="210"/>
      <c r="L1581" s="210"/>
      <c r="M1581" s="210"/>
      <c r="N1581" s="210"/>
      <c r="O1581" s="210"/>
      <c r="P1581" s="210"/>
      <c r="Q1581" s="210"/>
      <c r="R1581" s="210"/>
      <c r="S1581" s="210"/>
      <c r="T1581" s="210"/>
      <c r="U1581" s="210"/>
      <c r="V1581" s="210"/>
      <c r="W1581" s="210"/>
      <c r="X1581" s="210"/>
      <c r="Y1581" s="210"/>
      <c r="Z1581" s="210"/>
      <c r="AA1581" s="210"/>
      <c r="AB1581" s="210"/>
      <c r="AC1581" s="210"/>
      <c r="AD1581" s="210"/>
      <c r="AE1581" s="210"/>
      <c r="AF1581" s="210"/>
      <c r="AG1581" s="210"/>
      <c r="AH1581" s="210"/>
      <c r="AI1581" s="210"/>
      <c r="AJ1581" s="210"/>
    </row>
    <row r="1582" ht="14.25" customHeight="1">
      <c r="A1582" s="210"/>
      <c r="B1582" s="210"/>
      <c r="C1582" s="210"/>
      <c r="D1582" s="210"/>
      <c r="E1582" s="210"/>
      <c r="F1582" s="210"/>
      <c r="G1582" s="210"/>
      <c r="H1582" s="210"/>
      <c r="I1582" s="210"/>
      <c r="J1582" s="210"/>
      <c r="K1582" s="210"/>
      <c r="L1582" s="210"/>
      <c r="M1582" s="210"/>
      <c r="N1582" s="210"/>
      <c r="O1582" s="210"/>
      <c r="P1582" s="210"/>
      <c r="Q1582" s="210"/>
      <c r="R1582" s="210"/>
      <c r="S1582" s="210"/>
      <c r="T1582" s="210"/>
      <c r="U1582" s="210"/>
      <c r="V1582" s="210"/>
      <c r="W1582" s="210"/>
      <c r="X1582" s="210"/>
      <c r="Y1582" s="210"/>
      <c r="Z1582" s="210"/>
      <c r="AA1582" s="210"/>
      <c r="AB1582" s="210"/>
      <c r="AC1582" s="210"/>
      <c r="AD1582" s="210"/>
      <c r="AE1582" s="210"/>
      <c r="AF1582" s="210"/>
      <c r="AG1582" s="210"/>
      <c r="AH1582" s="210"/>
      <c r="AI1582" s="210"/>
      <c r="AJ1582" s="210"/>
    </row>
    <row r="1583" ht="14.25" customHeight="1">
      <c r="A1583" s="210"/>
      <c r="B1583" s="210"/>
      <c r="C1583" s="210"/>
      <c r="D1583" s="210"/>
      <c r="E1583" s="210"/>
      <c r="F1583" s="210"/>
      <c r="G1583" s="210"/>
      <c r="H1583" s="210"/>
      <c r="I1583" s="210"/>
      <c r="J1583" s="210"/>
      <c r="K1583" s="210"/>
      <c r="L1583" s="210"/>
      <c r="M1583" s="210"/>
      <c r="N1583" s="210"/>
      <c r="O1583" s="210"/>
      <c r="P1583" s="210"/>
      <c r="Q1583" s="210"/>
      <c r="R1583" s="210"/>
      <c r="S1583" s="210"/>
      <c r="T1583" s="210"/>
      <c r="U1583" s="210"/>
      <c r="V1583" s="210"/>
      <c r="W1583" s="210"/>
      <c r="X1583" s="210"/>
      <c r="Y1583" s="210"/>
      <c r="Z1583" s="210"/>
      <c r="AA1583" s="210"/>
      <c r="AB1583" s="210"/>
      <c r="AC1583" s="210"/>
      <c r="AD1583" s="210"/>
      <c r="AE1583" s="210"/>
      <c r="AF1583" s="210"/>
      <c r="AG1583" s="210"/>
      <c r="AH1583" s="210"/>
      <c r="AI1583" s="210"/>
      <c r="AJ1583" s="210"/>
    </row>
    <row r="1584" ht="14.25" customHeight="1">
      <c r="A1584" s="210"/>
      <c r="B1584" s="210"/>
      <c r="C1584" s="210"/>
      <c r="D1584" s="210"/>
      <c r="E1584" s="210"/>
      <c r="F1584" s="210"/>
      <c r="G1584" s="210"/>
      <c r="H1584" s="210"/>
      <c r="I1584" s="210"/>
      <c r="J1584" s="210"/>
      <c r="K1584" s="210"/>
      <c r="L1584" s="210"/>
      <c r="M1584" s="210"/>
      <c r="N1584" s="210"/>
      <c r="O1584" s="210"/>
      <c r="P1584" s="210"/>
      <c r="Q1584" s="210"/>
      <c r="R1584" s="210"/>
      <c r="S1584" s="210"/>
      <c r="T1584" s="210"/>
      <c r="U1584" s="210"/>
      <c r="V1584" s="210"/>
      <c r="W1584" s="210"/>
      <c r="X1584" s="210"/>
      <c r="Y1584" s="210"/>
      <c r="Z1584" s="210"/>
      <c r="AA1584" s="210"/>
      <c r="AB1584" s="210"/>
      <c r="AC1584" s="210"/>
      <c r="AD1584" s="210"/>
      <c r="AE1584" s="210"/>
      <c r="AF1584" s="210"/>
      <c r="AG1584" s="210"/>
      <c r="AH1584" s="210"/>
      <c r="AI1584" s="210"/>
      <c r="AJ1584" s="210"/>
    </row>
    <row r="1585" ht="14.25" customHeight="1">
      <c r="A1585" s="210"/>
      <c r="B1585" s="210"/>
      <c r="C1585" s="210"/>
      <c r="D1585" s="210"/>
      <c r="E1585" s="210"/>
      <c r="F1585" s="210"/>
      <c r="G1585" s="210"/>
      <c r="H1585" s="210"/>
      <c r="I1585" s="210"/>
      <c r="J1585" s="210"/>
      <c r="K1585" s="210"/>
      <c r="L1585" s="210"/>
      <c r="M1585" s="210"/>
      <c r="N1585" s="210"/>
      <c r="O1585" s="210"/>
      <c r="P1585" s="210"/>
      <c r="Q1585" s="210"/>
      <c r="R1585" s="210"/>
      <c r="S1585" s="210"/>
      <c r="T1585" s="210"/>
      <c r="U1585" s="210"/>
      <c r="V1585" s="210"/>
      <c r="W1585" s="210"/>
      <c r="X1585" s="210"/>
      <c r="Y1585" s="210"/>
      <c r="Z1585" s="210"/>
      <c r="AA1585" s="210"/>
      <c r="AB1585" s="210"/>
      <c r="AC1585" s="210"/>
      <c r="AD1585" s="210"/>
      <c r="AE1585" s="210"/>
      <c r="AF1585" s="210"/>
      <c r="AG1585" s="210"/>
      <c r="AH1585" s="210"/>
      <c r="AI1585" s="210"/>
      <c r="AJ1585" s="210"/>
    </row>
    <row r="1586" ht="14.25" customHeight="1">
      <c r="A1586" s="210"/>
      <c r="B1586" s="210"/>
      <c r="C1586" s="210"/>
      <c r="D1586" s="210"/>
      <c r="E1586" s="210"/>
      <c r="F1586" s="210"/>
      <c r="G1586" s="210"/>
      <c r="H1586" s="210"/>
      <c r="I1586" s="210"/>
      <c r="J1586" s="210"/>
      <c r="K1586" s="210"/>
      <c r="L1586" s="210"/>
      <c r="M1586" s="210"/>
      <c r="N1586" s="210"/>
      <c r="O1586" s="210"/>
      <c r="P1586" s="210"/>
      <c r="Q1586" s="210"/>
      <c r="R1586" s="210"/>
      <c r="S1586" s="210"/>
      <c r="T1586" s="210"/>
      <c r="U1586" s="210"/>
      <c r="V1586" s="210"/>
      <c r="W1586" s="210"/>
      <c r="X1586" s="210"/>
      <c r="Y1586" s="210"/>
      <c r="Z1586" s="210"/>
      <c r="AA1586" s="210"/>
      <c r="AB1586" s="210"/>
      <c r="AC1586" s="210"/>
      <c r="AD1586" s="210"/>
      <c r="AE1586" s="210"/>
      <c r="AF1586" s="210"/>
      <c r="AG1586" s="210"/>
      <c r="AH1586" s="210"/>
      <c r="AI1586" s="210"/>
      <c r="AJ1586" s="210"/>
    </row>
    <row r="1587" ht="14.25" customHeight="1">
      <c r="A1587" s="210"/>
      <c r="B1587" s="210"/>
      <c r="C1587" s="210"/>
      <c r="D1587" s="210"/>
      <c r="E1587" s="210"/>
      <c r="F1587" s="210"/>
      <c r="G1587" s="210"/>
      <c r="H1587" s="210"/>
      <c r="I1587" s="210"/>
      <c r="J1587" s="210"/>
      <c r="K1587" s="210"/>
      <c r="L1587" s="210"/>
      <c r="M1587" s="210"/>
      <c r="N1587" s="210"/>
      <c r="O1587" s="210"/>
      <c r="P1587" s="210"/>
      <c r="Q1587" s="210"/>
      <c r="R1587" s="210"/>
      <c r="S1587" s="210"/>
      <c r="T1587" s="210"/>
      <c r="U1587" s="210"/>
      <c r="V1587" s="210"/>
      <c r="W1587" s="210"/>
      <c r="X1587" s="210"/>
      <c r="Y1587" s="210"/>
      <c r="Z1587" s="210"/>
      <c r="AA1587" s="210"/>
      <c r="AB1587" s="210"/>
      <c r="AC1587" s="210"/>
      <c r="AD1587" s="210"/>
      <c r="AE1587" s="210"/>
      <c r="AF1587" s="210"/>
      <c r="AG1587" s="210"/>
      <c r="AH1587" s="210"/>
      <c r="AI1587" s="210"/>
      <c r="AJ1587" s="210"/>
    </row>
    <row r="1588" ht="14.25" customHeight="1">
      <c r="A1588" s="210"/>
      <c r="B1588" s="210"/>
      <c r="C1588" s="210"/>
      <c r="D1588" s="210"/>
      <c r="E1588" s="210"/>
      <c r="F1588" s="210"/>
      <c r="G1588" s="210"/>
      <c r="H1588" s="210"/>
      <c r="I1588" s="210"/>
      <c r="J1588" s="210"/>
      <c r="K1588" s="210"/>
      <c r="L1588" s="210"/>
      <c r="M1588" s="210"/>
      <c r="N1588" s="210"/>
      <c r="O1588" s="210"/>
      <c r="P1588" s="210"/>
      <c r="Q1588" s="210"/>
      <c r="R1588" s="210"/>
      <c r="S1588" s="210"/>
      <c r="T1588" s="210"/>
      <c r="U1588" s="210"/>
      <c r="V1588" s="210"/>
      <c r="W1588" s="210"/>
      <c r="X1588" s="210"/>
      <c r="Y1588" s="210"/>
      <c r="Z1588" s="210"/>
      <c r="AA1588" s="210"/>
      <c r="AB1588" s="210"/>
      <c r="AC1588" s="210"/>
      <c r="AD1588" s="210"/>
      <c r="AE1588" s="210"/>
      <c r="AF1588" s="210"/>
      <c r="AG1588" s="210"/>
      <c r="AH1588" s="210"/>
      <c r="AI1588" s="210"/>
      <c r="AJ1588" s="210"/>
    </row>
    <row r="1589" ht="14.25" customHeight="1">
      <c r="A1589" s="210"/>
      <c r="B1589" s="210"/>
      <c r="C1589" s="210"/>
      <c r="D1589" s="210"/>
      <c r="E1589" s="210"/>
      <c r="F1589" s="210"/>
      <c r="G1589" s="210"/>
      <c r="H1589" s="210"/>
      <c r="I1589" s="210"/>
      <c r="J1589" s="210"/>
      <c r="K1589" s="210"/>
      <c r="L1589" s="210"/>
      <c r="M1589" s="210"/>
      <c r="N1589" s="210"/>
      <c r="O1589" s="210"/>
      <c r="P1589" s="210"/>
      <c r="Q1589" s="210"/>
      <c r="R1589" s="210"/>
      <c r="S1589" s="210"/>
      <c r="T1589" s="210"/>
      <c r="U1589" s="210"/>
      <c r="V1589" s="210"/>
      <c r="W1589" s="210"/>
      <c r="X1589" s="210"/>
      <c r="Y1589" s="210"/>
      <c r="Z1589" s="210"/>
      <c r="AA1589" s="210"/>
      <c r="AB1589" s="210"/>
      <c r="AC1589" s="210"/>
      <c r="AD1589" s="210"/>
      <c r="AE1589" s="210"/>
      <c r="AF1589" s="210"/>
      <c r="AG1589" s="210"/>
      <c r="AH1589" s="210"/>
      <c r="AI1589" s="210"/>
      <c r="AJ1589" s="210"/>
    </row>
    <row r="1590" ht="14.25" customHeight="1">
      <c r="A1590" s="210"/>
      <c r="B1590" s="210"/>
      <c r="C1590" s="210"/>
      <c r="D1590" s="210"/>
      <c r="E1590" s="210"/>
      <c r="F1590" s="210"/>
      <c r="G1590" s="210"/>
      <c r="H1590" s="210"/>
      <c r="I1590" s="210"/>
      <c r="J1590" s="210"/>
      <c r="K1590" s="210"/>
      <c r="L1590" s="210"/>
      <c r="M1590" s="210"/>
      <c r="N1590" s="210"/>
      <c r="O1590" s="210"/>
      <c r="P1590" s="210"/>
      <c r="Q1590" s="210"/>
      <c r="R1590" s="210"/>
      <c r="S1590" s="210"/>
      <c r="T1590" s="210"/>
      <c r="U1590" s="210"/>
      <c r="V1590" s="210"/>
      <c r="W1590" s="210"/>
      <c r="X1590" s="210"/>
      <c r="Y1590" s="210"/>
      <c r="Z1590" s="210"/>
      <c r="AA1590" s="210"/>
      <c r="AB1590" s="210"/>
      <c r="AC1590" s="210"/>
      <c r="AD1590" s="210"/>
      <c r="AE1590" s="210"/>
      <c r="AF1590" s="210"/>
      <c r="AG1590" s="210"/>
      <c r="AH1590" s="210"/>
      <c r="AI1590" s="210"/>
      <c r="AJ1590" s="210"/>
    </row>
    <row r="1591" ht="14.25" customHeight="1">
      <c r="A1591" s="210"/>
      <c r="B1591" s="210"/>
      <c r="C1591" s="210"/>
      <c r="D1591" s="210"/>
      <c r="E1591" s="210"/>
      <c r="F1591" s="210"/>
      <c r="G1591" s="210"/>
      <c r="H1591" s="210"/>
      <c r="I1591" s="210"/>
      <c r="J1591" s="210"/>
      <c r="K1591" s="210"/>
      <c r="L1591" s="210"/>
      <c r="M1591" s="210"/>
      <c r="N1591" s="210"/>
      <c r="O1591" s="210"/>
      <c r="P1591" s="210"/>
      <c r="Q1591" s="210"/>
      <c r="R1591" s="210"/>
      <c r="S1591" s="210"/>
      <c r="T1591" s="210"/>
      <c r="U1591" s="210"/>
      <c r="V1591" s="210"/>
      <c r="W1591" s="210"/>
      <c r="X1591" s="210"/>
      <c r="Y1591" s="210"/>
      <c r="Z1591" s="210"/>
      <c r="AA1591" s="210"/>
      <c r="AB1591" s="210"/>
      <c r="AC1591" s="210"/>
      <c r="AD1591" s="210"/>
      <c r="AE1591" s="210"/>
      <c r="AF1591" s="210"/>
      <c r="AG1591" s="210"/>
      <c r="AH1591" s="210"/>
      <c r="AI1591" s="210"/>
      <c r="AJ1591" s="210"/>
    </row>
    <row r="1592" ht="14.25" customHeight="1">
      <c r="A1592" s="210"/>
      <c r="B1592" s="210"/>
      <c r="C1592" s="210"/>
      <c r="D1592" s="210"/>
      <c r="E1592" s="210"/>
      <c r="F1592" s="210"/>
      <c r="G1592" s="210"/>
      <c r="H1592" s="210"/>
      <c r="I1592" s="210"/>
      <c r="J1592" s="210"/>
      <c r="K1592" s="210"/>
      <c r="L1592" s="210"/>
      <c r="M1592" s="210"/>
      <c r="N1592" s="210"/>
      <c r="O1592" s="210"/>
      <c r="P1592" s="210"/>
      <c r="Q1592" s="210"/>
      <c r="R1592" s="210"/>
      <c r="S1592" s="210"/>
      <c r="T1592" s="210"/>
      <c r="U1592" s="210"/>
      <c r="V1592" s="210"/>
      <c r="W1592" s="210"/>
      <c r="X1592" s="210"/>
      <c r="Y1592" s="210"/>
      <c r="Z1592" s="210"/>
      <c r="AA1592" s="210"/>
      <c r="AB1592" s="210"/>
      <c r="AC1592" s="210"/>
      <c r="AD1592" s="210"/>
      <c r="AE1592" s="210"/>
      <c r="AF1592" s="210"/>
      <c r="AG1592" s="210"/>
      <c r="AH1592" s="210"/>
      <c r="AI1592" s="210"/>
      <c r="AJ1592" s="210"/>
    </row>
    <row r="1593" ht="14.25" customHeight="1">
      <c r="A1593" s="210"/>
      <c r="B1593" s="210"/>
      <c r="C1593" s="210"/>
      <c r="D1593" s="210"/>
      <c r="E1593" s="210"/>
      <c r="F1593" s="210"/>
      <c r="G1593" s="210"/>
      <c r="H1593" s="210"/>
      <c r="I1593" s="210"/>
      <c r="J1593" s="210"/>
      <c r="K1593" s="210"/>
      <c r="L1593" s="210"/>
      <c r="M1593" s="210"/>
      <c r="N1593" s="210"/>
      <c r="O1593" s="210"/>
      <c r="P1593" s="210"/>
      <c r="Q1593" s="210"/>
      <c r="R1593" s="210"/>
      <c r="S1593" s="210"/>
      <c r="T1593" s="210"/>
      <c r="U1593" s="210"/>
      <c r="V1593" s="210"/>
      <c r="W1593" s="210"/>
      <c r="X1593" s="210"/>
      <c r="Y1593" s="210"/>
      <c r="Z1593" s="210"/>
      <c r="AA1593" s="210"/>
      <c r="AB1593" s="210"/>
      <c r="AC1593" s="210"/>
      <c r="AD1593" s="210"/>
      <c r="AE1593" s="210"/>
      <c r="AF1593" s="210"/>
      <c r="AG1593" s="210"/>
      <c r="AH1593" s="210"/>
      <c r="AI1593" s="210"/>
      <c r="AJ1593" s="210"/>
    </row>
    <row r="1594" ht="14.25" customHeight="1">
      <c r="A1594" s="210"/>
      <c r="B1594" s="210"/>
      <c r="C1594" s="210"/>
      <c r="D1594" s="210"/>
      <c r="E1594" s="210"/>
      <c r="F1594" s="210"/>
      <c r="G1594" s="210"/>
      <c r="H1594" s="210"/>
      <c r="I1594" s="210"/>
      <c r="J1594" s="210"/>
      <c r="K1594" s="210"/>
      <c r="L1594" s="210"/>
      <c r="M1594" s="210"/>
      <c r="N1594" s="210"/>
      <c r="O1594" s="210"/>
      <c r="P1594" s="210"/>
      <c r="Q1594" s="210"/>
      <c r="R1594" s="210"/>
      <c r="S1594" s="210"/>
      <c r="T1594" s="210"/>
      <c r="U1594" s="210"/>
      <c r="V1594" s="210"/>
      <c r="W1594" s="210"/>
      <c r="X1594" s="210"/>
      <c r="Y1594" s="210"/>
      <c r="Z1594" s="210"/>
      <c r="AA1594" s="210"/>
      <c r="AB1594" s="210"/>
      <c r="AC1594" s="210"/>
      <c r="AD1594" s="210"/>
      <c r="AE1594" s="210"/>
      <c r="AF1594" s="210"/>
      <c r="AG1594" s="210"/>
      <c r="AH1594" s="210"/>
      <c r="AI1594" s="210"/>
      <c r="AJ1594" s="210"/>
    </row>
    <row r="1595" ht="14.25" customHeight="1">
      <c r="A1595" s="210"/>
      <c r="B1595" s="210"/>
      <c r="C1595" s="210"/>
      <c r="D1595" s="210"/>
      <c r="E1595" s="210"/>
      <c r="F1595" s="210"/>
      <c r="G1595" s="210"/>
      <c r="H1595" s="210"/>
      <c r="I1595" s="210"/>
      <c r="J1595" s="210"/>
      <c r="K1595" s="210"/>
      <c r="L1595" s="210"/>
      <c r="M1595" s="210"/>
      <c r="N1595" s="210"/>
      <c r="O1595" s="210"/>
      <c r="P1595" s="210"/>
      <c r="Q1595" s="210"/>
      <c r="R1595" s="210"/>
      <c r="S1595" s="210"/>
      <c r="T1595" s="210"/>
      <c r="U1595" s="210"/>
      <c r="V1595" s="210"/>
      <c r="W1595" s="210"/>
      <c r="X1595" s="210"/>
      <c r="Y1595" s="210"/>
      <c r="Z1595" s="210"/>
      <c r="AA1595" s="210"/>
      <c r="AB1595" s="210"/>
      <c r="AC1595" s="210"/>
      <c r="AD1595" s="210"/>
      <c r="AE1595" s="210"/>
      <c r="AF1595" s="210"/>
      <c r="AG1595" s="210"/>
      <c r="AH1595" s="210"/>
      <c r="AI1595" s="210"/>
      <c r="AJ1595" s="210"/>
    </row>
    <row r="1596" ht="14.25" customHeight="1">
      <c r="A1596" s="210"/>
      <c r="B1596" s="210"/>
      <c r="C1596" s="210"/>
      <c r="D1596" s="210"/>
      <c r="E1596" s="210"/>
      <c r="F1596" s="210"/>
      <c r="G1596" s="210"/>
      <c r="H1596" s="210"/>
      <c r="I1596" s="210"/>
      <c r="J1596" s="210"/>
      <c r="K1596" s="210"/>
      <c r="L1596" s="210"/>
      <c r="M1596" s="210"/>
      <c r="N1596" s="210"/>
      <c r="O1596" s="210"/>
      <c r="P1596" s="210"/>
      <c r="Q1596" s="210"/>
      <c r="R1596" s="210"/>
      <c r="S1596" s="210"/>
      <c r="T1596" s="210"/>
      <c r="U1596" s="210"/>
      <c r="V1596" s="210"/>
      <c r="W1596" s="210"/>
      <c r="X1596" s="210"/>
      <c r="Y1596" s="210"/>
      <c r="Z1596" s="210"/>
      <c r="AA1596" s="210"/>
      <c r="AB1596" s="210"/>
      <c r="AC1596" s="210"/>
      <c r="AD1596" s="210"/>
      <c r="AE1596" s="210"/>
      <c r="AF1596" s="210"/>
      <c r="AG1596" s="210"/>
      <c r="AH1596" s="210"/>
      <c r="AI1596" s="210"/>
      <c r="AJ1596" s="210"/>
    </row>
    <row r="1597" ht="14.25" customHeight="1">
      <c r="A1597" s="210"/>
      <c r="B1597" s="210"/>
      <c r="C1597" s="210"/>
      <c r="D1597" s="210"/>
      <c r="E1597" s="210"/>
      <c r="F1597" s="210"/>
      <c r="G1597" s="210"/>
      <c r="H1597" s="210"/>
      <c r="I1597" s="210"/>
      <c r="J1597" s="210"/>
      <c r="K1597" s="210"/>
      <c r="L1597" s="210"/>
      <c r="M1597" s="210"/>
      <c r="N1597" s="210"/>
      <c r="O1597" s="210"/>
      <c r="P1597" s="210"/>
      <c r="Q1597" s="210"/>
      <c r="R1597" s="210"/>
      <c r="S1597" s="210"/>
      <c r="T1597" s="210"/>
      <c r="U1597" s="210"/>
      <c r="V1597" s="210"/>
      <c r="W1597" s="210"/>
      <c r="X1597" s="210"/>
      <c r="Y1597" s="210"/>
      <c r="Z1597" s="210"/>
      <c r="AA1597" s="210"/>
      <c r="AB1597" s="210"/>
      <c r="AC1597" s="210"/>
      <c r="AD1597" s="210"/>
      <c r="AE1597" s="210"/>
      <c r="AF1597" s="210"/>
      <c r="AG1597" s="210"/>
      <c r="AH1597" s="210"/>
      <c r="AI1597" s="210"/>
      <c r="AJ1597" s="210"/>
    </row>
    <row r="1598" ht="14.25" customHeight="1">
      <c r="A1598" s="210"/>
      <c r="B1598" s="210"/>
      <c r="C1598" s="210"/>
      <c r="D1598" s="210"/>
      <c r="E1598" s="210"/>
      <c r="F1598" s="210"/>
      <c r="G1598" s="210"/>
      <c r="H1598" s="210"/>
      <c r="I1598" s="210"/>
      <c r="J1598" s="210"/>
      <c r="K1598" s="210"/>
      <c r="L1598" s="210"/>
      <c r="M1598" s="210"/>
      <c r="N1598" s="210"/>
      <c r="O1598" s="210"/>
      <c r="P1598" s="210"/>
      <c r="Q1598" s="210"/>
      <c r="R1598" s="210"/>
      <c r="S1598" s="210"/>
      <c r="T1598" s="210"/>
      <c r="U1598" s="210"/>
      <c r="V1598" s="210"/>
      <c r="W1598" s="210"/>
      <c r="X1598" s="210"/>
      <c r="Y1598" s="210"/>
      <c r="Z1598" s="210"/>
      <c r="AA1598" s="210"/>
      <c r="AB1598" s="210"/>
      <c r="AC1598" s="210"/>
      <c r="AD1598" s="210"/>
      <c r="AE1598" s="210"/>
      <c r="AF1598" s="210"/>
      <c r="AG1598" s="210"/>
      <c r="AH1598" s="210"/>
      <c r="AI1598" s="210"/>
      <c r="AJ1598" s="210"/>
    </row>
    <row r="1599" ht="14.25" customHeight="1">
      <c r="A1599" s="210"/>
      <c r="B1599" s="210"/>
      <c r="C1599" s="210"/>
      <c r="D1599" s="210"/>
      <c r="E1599" s="210"/>
      <c r="F1599" s="210"/>
      <c r="G1599" s="210"/>
      <c r="H1599" s="210"/>
      <c r="I1599" s="210"/>
      <c r="J1599" s="210"/>
      <c r="K1599" s="210"/>
      <c r="L1599" s="210"/>
      <c r="M1599" s="210"/>
      <c r="N1599" s="210"/>
      <c r="O1599" s="210"/>
      <c r="P1599" s="210"/>
      <c r="Q1599" s="210"/>
      <c r="R1599" s="210"/>
      <c r="S1599" s="210"/>
      <c r="T1599" s="210"/>
      <c r="U1599" s="210"/>
      <c r="V1599" s="210"/>
      <c r="W1599" s="210"/>
      <c r="X1599" s="210"/>
      <c r="Y1599" s="210"/>
      <c r="Z1599" s="210"/>
      <c r="AA1599" s="210"/>
      <c r="AB1599" s="210"/>
      <c r="AC1599" s="210"/>
      <c r="AD1599" s="210"/>
      <c r="AE1599" s="210"/>
      <c r="AF1599" s="210"/>
      <c r="AG1599" s="210"/>
      <c r="AH1599" s="210"/>
      <c r="AI1599" s="210"/>
      <c r="AJ1599" s="210"/>
    </row>
    <row r="1600" ht="14.25" customHeight="1">
      <c r="A1600" s="210"/>
      <c r="B1600" s="210"/>
      <c r="C1600" s="210"/>
      <c r="D1600" s="210"/>
      <c r="E1600" s="210"/>
      <c r="F1600" s="210"/>
      <c r="G1600" s="210"/>
      <c r="H1600" s="210"/>
      <c r="I1600" s="210"/>
      <c r="J1600" s="210"/>
      <c r="K1600" s="210"/>
      <c r="L1600" s="210"/>
      <c r="M1600" s="210"/>
      <c r="N1600" s="210"/>
      <c r="O1600" s="210"/>
      <c r="P1600" s="210"/>
      <c r="Q1600" s="210"/>
      <c r="R1600" s="210"/>
      <c r="S1600" s="210"/>
      <c r="T1600" s="210"/>
      <c r="U1600" s="210"/>
      <c r="V1600" s="210"/>
      <c r="W1600" s="210"/>
      <c r="X1600" s="210"/>
      <c r="Y1600" s="210"/>
      <c r="Z1600" s="210"/>
      <c r="AA1600" s="210"/>
      <c r="AB1600" s="210"/>
      <c r="AC1600" s="210"/>
      <c r="AD1600" s="210"/>
      <c r="AE1600" s="210"/>
      <c r="AF1600" s="210"/>
      <c r="AG1600" s="210"/>
      <c r="AH1600" s="210"/>
      <c r="AI1600" s="210"/>
      <c r="AJ1600" s="210"/>
    </row>
    <row r="1601" ht="14.25" customHeight="1">
      <c r="A1601" s="210"/>
      <c r="B1601" s="210"/>
      <c r="C1601" s="210"/>
      <c r="D1601" s="210"/>
      <c r="E1601" s="210"/>
      <c r="F1601" s="210"/>
      <c r="G1601" s="210"/>
      <c r="H1601" s="210"/>
      <c r="I1601" s="210"/>
      <c r="J1601" s="210"/>
      <c r="K1601" s="210"/>
      <c r="L1601" s="210"/>
      <c r="M1601" s="210"/>
      <c r="N1601" s="210"/>
      <c r="O1601" s="210"/>
      <c r="P1601" s="210"/>
      <c r="Q1601" s="210"/>
      <c r="R1601" s="210"/>
      <c r="S1601" s="210"/>
      <c r="T1601" s="210"/>
      <c r="U1601" s="210"/>
      <c r="V1601" s="210"/>
      <c r="W1601" s="210"/>
      <c r="X1601" s="210"/>
      <c r="Y1601" s="210"/>
      <c r="Z1601" s="210"/>
      <c r="AA1601" s="210"/>
      <c r="AB1601" s="210"/>
      <c r="AC1601" s="210"/>
      <c r="AD1601" s="210"/>
      <c r="AE1601" s="210"/>
      <c r="AF1601" s="210"/>
      <c r="AG1601" s="210"/>
      <c r="AH1601" s="210"/>
      <c r="AI1601" s="210"/>
      <c r="AJ1601" s="210"/>
    </row>
    <row r="1602" ht="14.25" customHeight="1">
      <c r="A1602" s="210"/>
      <c r="B1602" s="210"/>
      <c r="C1602" s="210"/>
      <c r="D1602" s="210"/>
      <c r="E1602" s="210"/>
      <c r="F1602" s="210"/>
      <c r="G1602" s="210"/>
      <c r="H1602" s="210"/>
      <c r="I1602" s="210"/>
      <c r="J1602" s="210"/>
      <c r="K1602" s="210"/>
      <c r="L1602" s="210"/>
      <c r="M1602" s="210"/>
      <c r="N1602" s="210"/>
      <c r="O1602" s="210"/>
      <c r="P1602" s="210"/>
      <c r="Q1602" s="210"/>
      <c r="R1602" s="210"/>
      <c r="S1602" s="210"/>
      <c r="T1602" s="210"/>
      <c r="U1602" s="210"/>
      <c r="V1602" s="210"/>
      <c r="W1602" s="210"/>
      <c r="X1602" s="210"/>
      <c r="Y1602" s="210"/>
      <c r="Z1602" s="210"/>
      <c r="AA1602" s="210"/>
      <c r="AB1602" s="210"/>
      <c r="AC1602" s="210"/>
      <c r="AD1602" s="210"/>
      <c r="AE1602" s="210"/>
      <c r="AF1602" s="210"/>
      <c r="AG1602" s="210"/>
      <c r="AH1602" s="210"/>
      <c r="AI1602" s="210"/>
      <c r="AJ1602" s="210"/>
    </row>
    <row r="1603" ht="14.25" customHeight="1">
      <c r="A1603" s="210"/>
      <c r="B1603" s="210"/>
      <c r="C1603" s="210"/>
      <c r="D1603" s="210"/>
      <c r="E1603" s="210"/>
      <c r="F1603" s="210"/>
      <c r="G1603" s="210"/>
      <c r="H1603" s="210"/>
      <c r="I1603" s="210"/>
      <c r="J1603" s="210"/>
      <c r="K1603" s="210"/>
      <c r="L1603" s="210"/>
      <c r="M1603" s="210"/>
      <c r="N1603" s="210"/>
      <c r="O1603" s="210"/>
      <c r="P1603" s="210"/>
      <c r="Q1603" s="210"/>
      <c r="R1603" s="210"/>
      <c r="S1603" s="210"/>
      <c r="T1603" s="210"/>
      <c r="U1603" s="210"/>
      <c r="V1603" s="210"/>
      <c r="W1603" s="210"/>
      <c r="X1603" s="210"/>
      <c r="Y1603" s="210"/>
      <c r="Z1603" s="210"/>
      <c r="AA1603" s="210"/>
      <c r="AB1603" s="210"/>
      <c r="AC1603" s="210"/>
      <c r="AD1603" s="210"/>
      <c r="AE1603" s="210"/>
      <c r="AF1603" s="210"/>
      <c r="AG1603" s="210"/>
      <c r="AH1603" s="210"/>
      <c r="AI1603" s="210"/>
      <c r="AJ1603" s="210"/>
    </row>
    <row r="1604" ht="14.25" customHeight="1">
      <c r="A1604" s="210"/>
      <c r="B1604" s="210"/>
      <c r="C1604" s="210"/>
      <c r="D1604" s="210"/>
      <c r="E1604" s="210"/>
      <c r="F1604" s="210"/>
      <c r="G1604" s="210"/>
      <c r="H1604" s="210"/>
      <c r="I1604" s="210"/>
      <c r="J1604" s="210"/>
      <c r="K1604" s="210"/>
      <c r="L1604" s="210"/>
      <c r="M1604" s="210"/>
      <c r="N1604" s="210"/>
      <c r="O1604" s="210"/>
      <c r="P1604" s="210"/>
      <c r="Q1604" s="210"/>
      <c r="R1604" s="210"/>
      <c r="S1604" s="210"/>
      <c r="T1604" s="210"/>
      <c r="U1604" s="210"/>
      <c r="V1604" s="210"/>
      <c r="W1604" s="210"/>
      <c r="X1604" s="210"/>
      <c r="Y1604" s="210"/>
      <c r="Z1604" s="210"/>
      <c r="AA1604" s="210"/>
      <c r="AB1604" s="210"/>
      <c r="AC1604" s="210"/>
      <c r="AD1604" s="210"/>
      <c r="AE1604" s="210"/>
      <c r="AF1604" s="210"/>
      <c r="AG1604" s="210"/>
      <c r="AH1604" s="210"/>
      <c r="AI1604" s="210"/>
      <c r="AJ1604" s="210"/>
    </row>
    <row r="1605" ht="14.25" customHeight="1">
      <c r="A1605" s="210"/>
      <c r="B1605" s="210"/>
      <c r="C1605" s="210"/>
      <c r="D1605" s="210"/>
      <c r="E1605" s="210"/>
      <c r="F1605" s="210"/>
      <c r="G1605" s="210"/>
      <c r="H1605" s="210"/>
      <c r="I1605" s="210"/>
      <c r="J1605" s="210"/>
      <c r="K1605" s="210"/>
      <c r="L1605" s="210"/>
      <c r="M1605" s="210"/>
      <c r="N1605" s="210"/>
      <c r="O1605" s="210"/>
      <c r="P1605" s="210"/>
      <c r="Q1605" s="210"/>
      <c r="R1605" s="210"/>
      <c r="S1605" s="210"/>
      <c r="T1605" s="210"/>
      <c r="U1605" s="210"/>
      <c r="V1605" s="210"/>
      <c r="W1605" s="210"/>
      <c r="X1605" s="210"/>
      <c r="Y1605" s="210"/>
      <c r="Z1605" s="210"/>
      <c r="AA1605" s="210"/>
      <c r="AB1605" s="210"/>
      <c r="AC1605" s="210"/>
      <c r="AD1605" s="210"/>
      <c r="AE1605" s="210"/>
      <c r="AF1605" s="210"/>
      <c r="AG1605" s="210"/>
      <c r="AH1605" s="210"/>
      <c r="AI1605" s="210"/>
      <c r="AJ1605" s="210"/>
    </row>
    <row r="1606" ht="14.25" customHeight="1">
      <c r="A1606" s="210"/>
      <c r="B1606" s="210"/>
      <c r="C1606" s="210"/>
      <c r="D1606" s="210"/>
      <c r="E1606" s="210"/>
      <c r="F1606" s="210"/>
      <c r="G1606" s="210"/>
      <c r="H1606" s="210"/>
      <c r="I1606" s="210"/>
      <c r="J1606" s="210"/>
      <c r="K1606" s="210"/>
      <c r="L1606" s="210"/>
      <c r="M1606" s="210"/>
      <c r="N1606" s="210"/>
      <c r="O1606" s="210"/>
      <c r="P1606" s="210"/>
      <c r="Q1606" s="210"/>
      <c r="R1606" s="210"/>
      <c r="S1606" s="210"/>
      <c r="T1606" s="210"/>
      <c r="U1606" s="210"/>
      <c r="V1606" s="210"/>
      <c r="W1606" s="210"/>
      <c r="X1606" s="210"/>
      <c r="Y1606" s="210"/>
      <c r="Z1606" s="210"/>
      <c r="AA1606" s="210"/>
      <c r="AB1606" s="210"/>
      <c r="AC1606" s="210"/>
      <c r="AD1606" s="210"/>
      <c r="AE1606" s="210"/>
      <c r="AF1606" s="210"/>
      <c r="AG1606" s="210"/>
      <c r="AH1606" s="210"/>
      <c r="AI1606" s="210"/>
      <c r="AJ1606" s="210"/>
    </row>
    <row r="1607" ht="14.25" customHeight="1">
      <c r="A1607" s="210"/>
      <c r="B1607" s="210"/>
      <c r="C1607" s="210"/>
      <c r="D1607" s="210"/>
      <c r="E1607" s="210"/>
      <c r="F1607" s="210"/>
      <c r="G1607" s="210"/>
      <c r="H1607" s="210"/>
      <c r="I1607" s="210"/>
      <c r="J1607" s="210"/>
      <c r="K1607" s="210"/>
      <c r="L1607" s="210"/>
      <c r="M1607" s="210"/>
      <c r="N1607" s="210"/>
      <c r="O1607" s="210"/>
      <c r="P1607" s="210"/>
      <c r="Q1607" s="210"/>
      <c r="R1607" s="210"/>
      <c r="S1607" s="210"/>
      <c r="T1607" s="210"/>
      <c r="U1607" s="210"/>
      <c r="V1607" s="210"/>
      <c r="W1607" s="210"/>
      <c r="X1607" s="210"/>
      <c r="Y1607" s="210"/>
      <c r="Z1607" s="210"/>
      <c r="AA1607" s="210"/>
      <c r="AB1607" s="210"/>
      <c r="AC1607" s="210"/>
      <c r="AD1607" s="210"/>
      <c r="AE1607" s="210"/>
      <c r="AF1607" s="210"/>
      <c r="AG1607" s="210"/>
      <c r="AH1607" s="210"/>
      <c r="AI1607" s="210"/>
      <c r="AJ1607" s="210"/>
    </row>
    <row r="1608" ht="14.25" customHeight="1">
      <c r="A1608" s="210"/>
      <c r="B1608" s="210"/>
      <c r="C1608" s="210"/>
      <c r="D1608" s="210"/>
      <c r="E1608" s="210"/>
      <c r="F1608" s="210"/>
      <c r="G1608" s="210"/>
      <c r="H1608" s="210"/>
      <c r="I1608" s="210"/>
      <c r="J1608" s="210"/>
      <c r="K1608" s="210"/>
      <c r="L1608" s="210"/>
      <c r="M1608" s="210"/>
      <c r="N1608" s="210"/>
      <c r="O1608" s="210"/>
      <c r="P1608" s="210"/>
      <c r="Q1608" s="210"/>
      <c r="R1608" s="210"/>
      <c r="S1608" s="210"/>
      <c r="T1608" s="210"/>
      <c r="U1608" s="210"/>
      <c r="V1608" s="210"/>
      <c r="W1608" s="210"/>
      <c r="X1608" s="210"/>
      <c r="Y1608" s="210"/>
      <c r="Z1608" s="210"/>
      <c r="AA1608" s="210"/>
      <c r="AB1608" s="210"/>
      <c r="AC1608" s="210"/>
      <c r="AD1608" s="210"/>
      <c r="AE1608" s="210"/>
      <c r="AF1608" s="210"/>
      <c r="AG1608" s="210"/>
      <c r="AH1608" s="210"/>
      <c r="AI1608" s="210"/>
      <c r="AJ1608" s="210"/>
    </row>
    <row r="1609" ht="14.25" customHeight="1">
      <c r="A1609" s="210"/>
      <c r="B1609" s="210"/>
      <c r="C1609" s="210"/>
      <c r="D1609" s="210"/>
      <c r="E1609" s="210"/>
      <c r="F1609" s="210"/>
      <c r="G1609" s="210"/>
      <c r="H1609" s="210"/>
      <c r="I1609" s="210"/>
      <c r="J1609" s="210"/>
      <c r="K1609" s="210"/>
      <c r="L1609" s="210"/>
      <c r="M1609" s="210"/>
      <c r="N1609" s="210"/>
      <c r="O1609" s="210"/>
      <c r="P1609" s="210"/>
      <c r="Q1609" s="210"/>
      <c r="R1609" s="210"/>
      <c r="S1609" s="210"/>
      <c r="T1609" s="210"/>
      <c r="U1609" s="210"/>
      <c r="V1609" s="210"/>
      <c r="W1609" s="210"/>
      <c r="X1609" s="210"/>
      <c r="Y1609" s="210"/>
      <c r="Z1609" s="210"/>
      <c r="AA1609" s="210"/>
      <c r="AB1609" s="210"/>
      <c r="AC1609" s="210"/>
      <c r="AD1609" s="210"/>
      <c r="AE1609" s="210"/>
      <c r="AF1609" s="210"/>
      <c r="AG1609" s="210"/>
      <c r="AH1609" s="210"/>
      <c r="AI1609" s="210"/>
      <c r="AJ1609" s="210"/>
    </row>
    <row r="1610" ht="14.25" customHeight="1">
      <c r="A1610" s="210"/>
      <c r="B1610" s="210"/>
      <c r="C1610" s="210"/>
      <c r="D1610" s="210"/>
      <c r="E1610" s="210"/>
      <c r="F1610" s="210"/>
      <c r="G1610" s="210"/>
      <c r="H1610" s="210"/>
      <c r="I1610" s="210"/>
      <c r="J1610" s="210"/>
      <c r="K1610" s="210"/>
      <c r="L1610" s="210"/>
      <c r="M1610" s="210"/>
      <c r="N1610" s="210"/>
      <c r="O1610" s="210"/>
      <c r="P1610" s="210"/>
      <c r="Q1610" s="210"/>
      <c r="R1610" s="210"/>
      <c r="S1610" s="210"/>
      <c r="T1610" s="210"/>
      <c r="U1610" s="210"/>
      <c r="V1610" s="210"/>
      <c r="W1610" s="210"/>
      <c r="X1610" s="210"/>
      <c r="Y1610" s="210"/>
      <c r="Z1610" s="210"/>
      <c r="AA1610" s="210"/>
      <c r="AB1610" s="210"/>
      <c r="AC1610" s="210"/>
      <c r="AD1610" s="210"/>
      <c r="AE1610" s="210"/>
      <c r="AF1610" s="210"/>
      <c r="AG1610" s="210"/>
      <c r="AH1610" s="210"/>
      <c r="AI1610" s="210"/>
      <c r="AJ1610" s="210"/>
    </row>
    <row r="1611" ht="14.25" customHeight="1">
      <c r="A1611" s="210"/>
      <c r="B1611" s="210"/>
      <c r="C1611" s="210"/>
      <c r="D1611" s="210"/>
      <c r="E1611" s="210"/>
      <c r="F1611" s="210"/>
      <c r="G1611" s="210"/>
      <c r="H1611" s="210"/>
      <c r="I1611" s="210"/>
      <c r="J1611" s="210"/>
      <c r="K1611" s="210"/>
      <c r="L1611" s="210"/>
      <c r="M1611" s="210"/>
      <c r="N1611" s="210"/>
      <c r="O1611" s="210"/>
      <c r="P1611" s="210"/>
      <c r="Q1611" s="210"/>
      <c r="R1611" s="210"/>
      <c r="S1611" s="210"/>
      <c r="T1611" s="210"/>
      <c r="U1611" s="210"/>
      <c r="V1611" s="210"/>
      <c r="W1611" s="210"/>
      <c r="X1611" s="210"/>
      <c r="Y1611" s="210"/>
      <c r="Z1611" s="210"/>
      <c r="AA1611" s="210"/>
      <c r="AB1611" s="210"/>
      <c r="AC1611" s="210"/>
      <c r="AD1611" s="210"/>
      <c r="AE1611" s="210"/>
      <c r="AF1611" s="210"/>
      <c r="AG1611" s="210"/>
      <c r="AH1611" s="210"/>
      <c r="AI1611" s="210"/>
      <c r="AJ1611" s="210"/>
    </row>
    <row r="1612" ht="14.25" customHeight="1">
      <c r="A1612" s="210"/>
      <c r="B1612" s="210"/>
      <c r="C1612" s="210"/>
      <c r="D1612" s="210"/>
      <c r="E1612" s="210"/>
      <c r="F1612" s="210"/>
      <c r="G1612" s="210"/>
      <c r="H1612" s="210"/>
      <c r="I1612" s="210"/>
      <c r="J1612" s="210"/>
      <c r="K1612" s="210"/>
      <c r="L1612" s="210"/>
      <c r="M1612" s="210"/>
      <c r="N1612" s="210"/>
      <c r="O1612" s="210"/>
      <c r="P1612" s="210"/>
      <c r="Q1612" s="210"/>
      <c r="R1612" s="210"/>
      <c r="S1612" s="210"/>
      <c r="T1612" s="210"/>
      <c r="U1612" s="210"/>
      <c r="V1612" s="210"/>
      <c r="W1612" s="210"/>
      <c r="X1612" s="210"/>
      <c r="Y1612" s="210"/>
      <c r="Z1612" s="210"/>
      <c r="AA1612" s="210"/>
      <c r="AB1612" s="210"/>
      <c r="AC1612" s="210"/>
      <c r="AD1612" s="210"/>
      <c r="AE1612" s="210"/>
      <c r="AF1612" s="210"/>
      <c r="AG1612" s="210"/>
      <c r="AH1612" s="210"/>
      <c r="AI1612" s="210"/>
      <c r="AJ1612" s="210"/>
    </row>
    <row r="1613" ht="14.25" customHeight="1">
      <c r="A1613" s="210"/>
      <c r="B1613" s="210"/>
      <c r="C1613" s="210"/>
      <c r="D1613" s="210"/>
      <c r="E1613" s="210"/>
      <c r="F1613" s="210"/>
      <c r="G1613" s="210"/>
      <c r="H1613" s="210"/>
      <c r="I1613" s="210"/>
      <c r="J1613" s="210"/>
      <c r="K1613" s="210"/>
      <c r="L1613" s="210"/>
      <c r="M1613" s="210"/>
      <c r="N1613" s="210"/>
      <c r="O1613" s="210"/>
      <c r="P1613" s="210"/>
      <c r="Q1613" s="210"/>
      <c r="R1613" s="210"/>
      <c r="S1613" s="210"/>
      <c r="T1613" s="210"/>
      <c r="U1613" s="210"/>
      <c r="V1613" s="210"/>
      <c r="W1613" s="210"/>
      <c r="X1613" s="210"/>
      <c r="Y1613" s="210"/>
      <c r="Z1613" s="210"/>
      <c r="AA1613" s="210"/>
      <c r="AB1613" s="210"/>
      <c r="AC1613" s="210"/>
      <c r="AD1613" s="210"/>
      <c r="AE1613" s="210"/>
      <c r="AF1613" s="210"/>
      <c r="AG1613" s="210"/>
      <c r="AH1613" s="210"/>
      <c r="AI1613" s="210"/>
      <c r="AJ1613" s="210"/>
    </row>
    <row r="1614" ht="14.25" customHeight="1">
      <c r="A1614" s="210"/>
      <c r="B1614" s="210"/>
      <c r="C1614" s="210"/>
      <c r="D1614" s="210"/>
      <c r="E1614" s="210"/>
      <c r="F1614" s="210"/>
      <c r="G1614" s="210"/>
      <c r="H1614" s="210"/>
      <c r="I1614" s="210"/>
      <c r="J1614" s="210"/>
      <c r="K1614" s="210"/>
      <c r="L1614" s="210"/>
      <c r="M1614" s="210"/>
      <c r="N1614" s="210"/>
      <c r="O1614" s="210"/>
      <c r="P1614" s="210"/>
      <c r="Q1614" s="210"/>
      <c r="R1614" s="210"/>
      <c r="S1614" s="210"/>
      <c r="T1614" s="210"/>
      <c r="U1614" s="210"/>
      <c r="V1614" s="210"/>
      <c r="W1614" s="210"/>
      <c r="X1614" s="210"/>
      <c r="Y1614" s="210"/>
      <c r="Z1614" s="210"/>
      <c r="AA1614" s="210"/>
      <c r="AB1614" s="210"/>
      <c r="AC1614" s="210"/>
      <c r="AD1614" s="210"/>
      <c r="AE1614" s="210"/>
      <c r="AF1614" s="210"/>
      <c r="AG1614" s="210"/>
      <c r="AH1614" s="210"/>
      <c r="AI1614" s="210"/>
      <c r="AJ1614" s="210"/>
    </row>
    <row r="1615" ht="14.25" customHeight="1">
      <c r="A1615" s="210"/>
      <c r="B1615" s="210"/>
      <c r="C1615" s="210"/>
      <c r="D1615" s="210"/>
      <c r="E1615" s="210"/>
      <c r="F1615" s="210"/>
      <c r="G1615" s="210"/>
      <c r="H1615" s="210"/>
      <c r="I1615" s="210"/>
      <c r="J1615" s="210"/>
      <c r="K1615" s="210"/>
      <c r="L1615" s="210"/>
      <c r="M1615" s="210"/>
      <c r="N1615" s="210"/>
      <c r="O1615" s="210"/>
      <c r="P1615" s="210"/>
      <c r="Q1615" s="210"/>
      <c r="R1615" s="210"/>
      <c r="S1615" s="210"/>
      <c r="T1615" s="210"/>
      <c r="U1615" s="210"/>
      <c r="V1615" s="210"/>
      <c r="W1615" s="210"/>
      <c r="X1615" s="210"/>
      <c r="Y1615" s="210"/>
      <c r="Z1615" s="210"/>
      <c r="AA1615" s="210"/>
      <c r="AB1615" s="210"/>
      <c r="AC1615" s="210"/>
      <c r="AD1615" s="210"/>
      <c r="AE1615" s="210"/>
      <c r="AF1615" s="210"/>
      <c r="AG1615" s="210"/>
      <c r="AH1615" s="210"/>
      <c r="AI1615" s="210"/>
      <c r="AJ1615" s="210"/>
    </row>
    <row r="1616" ht="14.25" customHeight="1">
      <c r="A1616" s="210"/>
      <c r="B1616" s="210"/>
      <c r="C1616" s="210"/>
      <c r="D1616" s="210"/>
      <c r="E1616" s="210"/>
      <c r="F1616" s="210"/>
      <c r="G1616" s="210"/>
      <c r="H1616" s="210"/>
      <c r="I1616" s="210"/>
      <c r="J1616" s="210"/>
      <c r="K1616" s="210"/>
      <c r="L1616" s="210"/>
      <c r="M1616" s="210"/>
      <c r="N1616" s="210"/>
      <c r="O1616" s="210"/>
      <c r="P1616" s="210"/>
      <c r="Q1616" s="210"/>
      <c r="R1616" s="210"/>
      <c r="S1616" s="210"/>
      <c r="T1616" s="210"/>
      <c r="U1616" s="210"/>
      <c r="V1616" s="210"/>
      <c r="W1616" s="210"/>
      <c r="X1616" s="210"/>
      <c r="Y1616" s="210"/>
      <c r="Z1616" s="210"/>
      <c r="AA1616" s="210"/>
      <c r="AB1616" s="210"/>
      <c r="AC1616" s="210"/>
      <c r="AD1616" s="210"/>
      <c r="AE1616" s="210"/>
      <c r="AF1616" s="210"/>
      <c r="AG1616" s="210"/>
      <c r="AH1616" s="210"/>
      <c r="AI1616" s="210"/>
      <c r="AJ1616" s="210"/>
    </row>
    <row r="1617" ht="14.25" customHeight="1">
      <c r="A1617" s="210"/>
      <c r="B1617" s="210"/>
      <c r="C1617" s="210"/>
      <c r="D1617" s="210"/>
      <c r="E1617" s="210"/>
      <c r="F1617" s="210"/>
      <c r="G1617" s="210"/>
      <c r="H1617" s="210"/>
      <c r="I1617" s="210"/>
      <c r="J1617" s="210"/>
      <c r="K1617" s="210"/>
      <c r="L1617" s="210"/>
      <c r="M1617" s="210"/>
      <c r="N1617" s="210"/>
      <c r="O1617" s="210"/>
      <c r="P1617" s="210"/>
      <c r="Q1617" s="210"/>
      <c r="R1617" s="210"/>
      <c r="S1617" s="210"/>
      <c r="T1617" s="210"/>
      <c r="U1617" s="210"/>
      <c r="V1617" s="210"/>
      <c r="W1617" s="210"/>
      <c r="X1617" s="210"/>
      <c r="Y1617" s="210"/>
      <c r="Z1617" s="210"/>
      <c r="AA1617" s="210"/>
      <c r="AB1617" s="210"/>
      <c r="AC1617" s="210"/>
      <c r="AD1617" s="210"/>
      <c r="AE1617" s="210"/>
      <c r="AF1617" s="210"/>
      <c r="AG1617" s="210"/>
      <c r="AH1617" s="210"/>
      <c r="AI1617" s="210"/>
      <c r="AJ1617" s="210"/>
    </row>
    <row r="1618" ht="14.25" customHeight="1">
      <c r="A1618" s="210"/>
      <c r="B1618" s="210"/>
      <c r="C1618" s="210"/>
      <c r="D1618" s="210"/>
      <c r="E1618" s="210"/>
      <c r="F1618" s="210"/>
      <c r="G1618" s="210"/>
      <c r="H1618" s="210"/>
      <c r="I1618" s="210"/>
      <c r="J1618" s="210"/>
      <c r="K1618" s="210"/>
      <c r="L1618" s="210"/>
      <c r="M1618" s="210"/>
      <c r="N1618" s="210"/>
      <c r="O1618" s="210"/>
      <c r="P1618" s="210"/>
      <c r="Q1618" s="210"/>
      <c r="R1618" s="210"/>
      <c r="S1618" s="210"/>
      <c r="T1618" s="210"/>
      <c r="U1618" s="210"/>
      <c r="V1618" s="210"/>
      <c r="W1618" s="210"/>
      <c r="X1618" s="210"/>
      <c r="Y1618" s="210"/>
      <c r="Z1618" s="210"/>
      <c r="AA1618" s="210"/>
      <c r="AB1618" s="210"/>
      <c r="AC1618" s="210"/>
      <c r="AD1618" s="210"/>
      <c r="AE1618" s="210"/>
      <c r="AF1618" s="210"/>
      <c r="AG1618" s="210"/>
      <c r="AH1618" s="210"/>
      <c r="AI1618" s="210"/>
      <c r="AJ1618" s="210"/>
    </row>
    <row r="1619" ht="14.25" customHeight="1">
      <c r="A1619" s="210"/>
      <c r="B1619" s="210"/>
      <c r="C1619" s="210"/>
      <c r="D1619" s="210"/>
      <c r="E1619" s="210"/>
      <c r="F1619" s="210"/>
      <c r="G1619" s="210"/>
      <c r="H1619" s="210"/>
      <c r="I1619" s="210"/>
      <c r="J1619" s="210"/>
      <c r="K1619" s="210"/>
      <c r="L1619" s="210"/>
      <c r="M1619" s="210"/>
      <c r="N1619" s="210"/>
      <c r="O1619" s="210"/>
      <c r="P1619" s="210"/>
      <c r="Q1619" s="210"/>
      <c r="R1619" s="210"/>
      <c r="S1619" s="210"/>
      <c r="T1619" s="210"/>
      <c r="U1619" s="210"/>
      <c r="V1619" s="210"/>
      <c r="W1619" s="210"/>
      <c r="X1619" s="210"/>
      <c r="Y1619" s="210"/>
      <c r="Z1619" s="210"/>
      <c r="AA1619" s="210"/>
      <c r="AB1619" s="210"/>
      <c r="AC1619" s="210"/>
      <c r="AD1619" s="210"/>
      <c r="AE1619" s="210"/>
      <c r="AF1619" s="210"/>
      <c r="AG1619" s="210"/>
      <c r="AH1619" s="210"/>
      <c r="AI1619" s="210"/>
      <c r="AJ1619" s="210"/>
    </row>
    <row r="1620" ht="14.25" customHeight="1">
      <c r="A1620" s="210"/>
      <c r="B1620" s="210"/>
      <c r="C1620" s="210"/>
      <c r="D1620" s="210"/>
      <c r="E1620" s="210"/>
      <c r="F1620" s="210"/>
      <c r="G1620" s="210"/>
      <c r="H1620" s="210"/>
      <c r="I1620" s="210"/>
      <c r="J1620" s="210"/>
      <c r="K1620" s="210"/>
      <c r="L1620" s="210"/>
      <c r="M1620" s="210"/>
      <c r="N1620" s="210"/>
      <c r="O1620" s="210"/>
      <c r="P1620" s="210"/>
      <c r="Q1620" s="210"/>
      <c r="R1620" s="210"/>
      <c r="S1620" s="210"/>
      <c r="T1620" s="210"/>
      <c r="U1620" s="210"/>
      <c r="V1620" s="210"/>
      <c r="W1620" s="210"/>
      <c r="X1620" s="210"/>
      <c r="Y1620" s="210"/>
      <c r="Z1620" s="210"/>
      <c r="AA1620" s="210"/>
      <c r="AB1620" s="210"/>
      <c r="AC1620" s="210"/>
      <c r="AD1620" s="210"/>
      <c r="AE1620" s="210"/>
      <c r="AF1620" s="210"/>
      <c r="AG1620" s="210"/>
      <c r="AH1620" s="210"/>
      <c r="AI1620" s="210"/>
      <c r="AJ1620" s="210"/>
    </row>
    <row r="1621" ht="14.25" customHeight="1">
      <c r="A1621" s="210"/>
      <c r="B1621" s="210"/>
      <c r="C1621" s="210"/>
      <c r="D1621" s="210"/>
      <c r="E1621" s="210"/>
      <c r="F1621" s="210"/>
      <c r="G1621" s="210"/>
      <c r="H1621" s="210"/>
      <c r="I1621" s="210"/>
      <c r="J1621" s="210"/>
      <c r="K1621" s="210"/>
      <c r="L1621" s="210"/>
      <c r="M1621" s="210"/>
      <c r="N1621" s="210"/>
      <c r="O1621" s="210"/>
      <c r="P1621" s="210"/>
      <c r="Q1621" s="210"/>
      <c r="R1621" s="210"/>
      <c r="S1621" s="210"/>
      <c r="T1621" s="210"/>
      <c r="U1621" s="210"/>
      <c r="V1621" s="210"/>
      <c r="W1621" s="210"/>
      <c r="X1621" s="210"/>
      <c r="Y1621" s="210"/>
      <c r="Z1621" s="210"/>
      <c r="AA1621" s="210"/>
      <c r="AB1621" s="210"/>
      <c r="AC1621" s="210"/>
      <c r="AD1621" s="210"/>
      <c r="AE1621" s="210"/>
      <c r="AF1621" s="210"/>
      <c r="AG1621" s="210"/>
      <c r="AH1621" s="210"/>
      <c r="AI1621" s="210"/>
      <c r="AJ1621" s="210"/>
    </row>
    <row r="1622" ht="14.25" customHeight="1">
      <c r="A1622" s="210"/>
      <c r="B1622" s="210"/>
      <c r="C1622" s="210"/>
      <c r="D1622" s="210"/>
      <c r="E1622" s="210"/>
      <c r="F1622" s="210"/>
      <c r="G1622" s="210"/>
      <c r="H1622" s="210"/>
      <c r="I1622" s="210"/>
      <c r="J1622" s="210"/>
      <c r="K1622" s="210"/>
      <c r="L1622" s="210"/>
      <c r="M1622" s="210"/>
      <c r="N1622" s="210"/>
      <c r="O1622" s="210"/>
      <c r="P1622" s="210"/>
      <c r="Q1622" s="210"/>
      <c r="R1622" s="210"/>
      <c r="S1622" s="210"/>
      <c r="T1622" s="210"/>
      <c r="U1622" s="210"/>
      <c r="V1622" s="210"/>
      <c r="W1622" s="210"/>
      <c r="X1622" s="210"/>
      <c r="Y1622" s="210"/>
      <c r="Z1622" s="210"/>
      <c r="AA1622" s="210"/>
      <c r="AB1622" s="210"/>
      <c r="AC1622" s="210"/>
      <c r="AD1622" s="210"/>
      <c r="AE1622" s="210"/>
      <c r="AF1622" s="210"/>
      <c r="AG1622" s="210"/>
      <c r="AH1622" s="210"/>
      <c r="AI1622" s="210"/>
      <c r="AJ1622" s="210"/>
    </row>
    <row r="1623" ht="14.25" customHeight="1">
      <c r="A1623" s="210"/>
      <c r="B1623" s="210"/>
      <c r="C1623" s="210"/>
      <c r="D1623" s="210"/>
      <c r="E1623" s="210"/>
      <c r="F1623" s="210"/>
      <c r="G1623" s="210"/>
      <c r="H1623" s="210"/>
      <c r="I1623" s="210"/>
      <c r="J1623" s="210"/>
      <c r="K1623" s="210"/>
      <c r="L1623" s="210"/>
      <c r="M1623" s="210"/>
      <c r="N1623" s="210"/>
      <c r="O1623" s="210"/>
      <c r="P1623" s="210"/>
      <c r="Q1623" s="210"/>
      <c r="R1623" s="210"/>
      <c r="S1623" s="210"/>
      <c r="T1623" s="210"/>
      <c r="U1623" s="210"/>
      <c r="V1623" s="210"/>
      <c r="W1623" s="210"/>
      <c r="X1623" s="210"/>
      <c r="Y1623" s="210"/>
      <c r="Z1623" s="210"/>
      <c r="AA1623" s="210"/>
      <c r="AB1623" s="210"/>
      <c r="AC1623" s="210"/>
      <c r="AD1623" s="210"/>
      <c r="AE1623" s="210"/>
      <c r="AF1623" s="210"/>
      <c r="AG1623" s="210"/>
      <c r="AH1623" s="210"/>
      <c r="AI1623" s="210"/>
      <c r="AJ1623" s="210"/>
    </row>
    <row r="1624" ht="14.25" customHeight="1">
      <c r="A1624" s="210"/>
      <c r="B1624" s="210"/>
      <c r="C1624" s="210"/>
      <c r="D1624" s="210"/>
      <c r="E1624" s="210"/>
      <c r="F1624" s="210"/>
      <c r="G1624" s="210"/>
      <c r="H1624" s="210"/>
      <c r="I1624" s="210"/>
      <c r="J1624" s="210"/>
      <c r="K1624" s="210"/>
      <c r="L1624" s="210"/>
      <c r="M1624" s="210"/>
      <c r="N1624" s="210"/>
      <c r="O1624" s="210"/>
      <c r="P1624" s="210"/>
      <c r="Q1624" s="210"/>
      <c r="R1624" s="210"/>
      <c r="S1624" s="210"/>
      <c r="T1624" s="210"/>
      <c r="U1624" s="210"/>
      <c r="V1624" s="210"/>
      <c r="W1624" s="210"/>
      <c r="X1624" s="210"/>
      <c r="Y1624" s="210"/>
      <c r="Z1624" s="210"/>
      <c r="AA1624" s="210"/>
      <c r="AB1624" s="210"/>
      <c r="AC1624" s="210"/>
      <c r="AD1624" s="210"/>
      <c r="AE1624" s="210"/>
      <c r="AF1624" s="210"/>
      <c r="AG1624" s="210"/>
      <c r="AH1624" s="210"/>
      <c r="AI1624" s="210"/>
      <c r="AJ1624" s="210"/>
    </row>
    <row r="1625" ht="14.25" customHeight="1">
      <c r="A1625" s="210"/>
      <c r="B1625" s="210"/>
      <c r="C1625" s="210"/>
      <c r="D1625" s="210"/>
      <c r="E1625" s="210"/>
      <c r="F1625" s="210"/>
      <c r="G1625" s="210"/>
      <c r="H1625" s="210"/>
      <c r="I1625" s="210"/>
      <c r="J1625" s="210"/>
      <c r="K1625" s="210"/>
      <c r="L1625" s="210"/>
      <c r="M1625" s="210"/>
      <c r="N1625" s="210"/>
      <c r="O1625" s="210"/>
      <c r="P1625" s="210"/>
      <c r="Q1625" s="210"/>
      <c r="R1625" s="210"/>
      <c r="S1625" s="210"/>
      <c r="T1625" s="210"/>
      <c r="U1625" s="210"/>
      <c r="V1625" s="210"/>
      <c r="W1625" s="210"/>
      <c r="X1625" s="210"/>
      <c r="Y1625" s="210"/>
      <c r="Z1625" s="210"/>
      <c r="AA1625" s="210"/>
      <c r="AB1625" s="210"/>
      <c r="AC1625" s="210"/>
      <c r="AD1625" s="210"/>
      <c r="AE1625" s="210"/>
      <c r="AF1625" s="210"/>
      <c r="AG1625" s="210"/>
      <c r="AH1625" s="210"/>
      <c r="AI1625" s="210"/>
      <c r="AJ1625" s="210"/>
    </row>
    <row r="1626" ht="14.25" customHeight="1">
      <c r="A1626" s="210"/>
      <c r="B1626" s="210"/>
      <c r="C1626" s="210"/>
      <c r="D1626" s="210"/>
      <c r="E1626" s="210"/>
      <c r="F1626" s="210"/>
      <c r="G1626" s="210"/>
      <c r="H1626" s="210"/>
      <c r="I1626" s="210"/>
      <c r="J1626" s="210"/>
      <c r="K1626" s="210"/>
      <c r="L1626" s="210"/>
      <c r="M1626" s="210"/>
      <c r="N1626" s="210"/>
      <c r="O1626" s="210"/>
      <c r="P1626" s="210"/>
      <c r="Q1626" s="210"/>
      <c r="R1626" s="210"/>
      <c r="S1626" s="210"/>
      <c r="T1626" s="210"/>
      <c r="U1626" s="210"/>
      <c r="V1626" s="210"/>
      <c r="W1626" s="210"/>
      <c r="X1626" s="210"/>
      <c r="Y1626" s="210"/>
      <c r="Z1626" s="210"/>
      <c r="AA1626" s="210"/>
      <c r="AB1626" s="210"/>
      <c r="AC1626" s="210"/>
      <c r="AD1626" s="210"/>
      <c r="AE1626" s="210"/>
      <c r="AF1626" s="210"/>
      <c r="AG1626" s="210"/>
      <c r="AH1626" s="210"/>
      <c r="AI1626" s="210"/>
      <c r="AJ1626" s="210"/>
    </row>
    <row r="1627" ht="14.25" customHeight="1">
      <c r="A1627" s="210"/>
      <c r="B1627" s="210"/>
      <c r="C1627" s="210"/>
      <c r="D1627" s="210"/>
      <c r="E1627" s="210"/>
      <c r="F1627" s="210"/>
      <c r="G1627" s="210"/>
      <c r="H1627" s="210"/>
      <c r="I1627" s="210"/>
      <c r="J1627" s="210"/>
      <c r="K1627" s="210"/>
      <c r="L1627" s="210"/>
      <c r="M1627" s="210"/>
      <c r="N1627" s="210"/>
      <c r="O1627" s="210"/>
      <c r="P1627" s="210"/>
      <c r="Q1627" s="210"/>
      <c r="R1627" s="210"/>
      <c r="S1627" s="210"/>
      <c r="T1627" s="210"/>
      <c r="U1627" s="210"/>
      <c r="V1627" s="210"/>
      <c r="W1627" s="210"/>
      <c r="X1627" s="210"/>
      <c r="Y1627" s="210"/>
      <c r="Z1627" s="210"/>
      <c r="AA1627" s="210"/>
      <c r="AB1627" s="210"/>
      <c r="AC1627" s="210"/>
      <c r="AD1627" s="210"/>
      <c r="AE1627" s="210"/>
      <c r="AF1627" s="210"/>
      <c r="AG1627" s="210"/>
      <c r="AH1627" s="210"/>
      <c r="AI1627" s="210"/>
      <c r="AJ1627" s="210"/>
    </row>
    <row r="1628" ht="14.25" customHeight="1">
      <c r="A1628" s="210"/>
      <c r="B1628" s="210"/>
      <c r="C1628" s="210"/>
      <c r="D1628" s="210"/>
      <c r="E1628" s="210"/>
      <c r="F1628" s="210"/>
      <c r="G1628" s="210"/>
      <c r="H1628" s="210"/>
      <c r="I1628" s="210"/>
      <c r="J1628" s="210"/>
      <c r="K1628" s="210"/>
      <c r="L1628" s="210"/>
      <c r="M1628" s="210"/>
      <c r="N1628" s="210"/>
      <c r="O1628" s="210"/>
      <c r="P1628" s="210"/>
      <c r="Q1628" s="210"/>
      <c r="R1628" s="210"/>
      <c r="S1628" s="210"/>
      <c r="T1628" s="210"/>
      <c r="U1628" s="210"/>
      <c r="V1628" s="210"/>
      <c r="W1628" s="210"/>
      <c r="X1628" s="210"/>
      <c r="Y1628" s="210"/>
      <c r="Z1628" s="210"/>
      <c r="AA1628" s="210"/>
      <c r="AB1628" s="210"/>
      <c r="AC1628" s="210"/>
      <c r="AD1628" s="210"/>
      <c r="AE1628" s="210"/>
      <c r="AF1628" s="210"/>
      <c r="AG1628" s="210"/>
      <c r="AH1628" s="210"/>
      <c r="AI1628" s="210"/>
      <c r="AJ1628" s="210"/>
    </row>
    <row r="1629" ht="14.25" customHeight="1">
      <c r="A1629" s="210"/>
      <c r="B1629" s="210"/>
      <c r="C1629" s="210"/>
      <c r="D1629" s="210"/>
      <c r="E1629" s="210"/>
      <c r="F1629" s="210"/>
      <c r="G1629" s="210"/>
      <c r="H1629" s="210"/>
      <c r="I1629" s="210"/>
      <c r="J1629" s="210"/>
      <c r="K1629" s="210"/>
      <c r="L1629" s="210"/>
      <c r="M1629" s="210"/>
      <c r="N1629" s="210"/>
      <c r="O1629" s="210"/>
      <c r="P1629" s="210"/>
      <c r="Q1629" s="210"/>
      <c r="R1629" s="210"/>
      <c r="S1629" s="210"/>
      <c r="T1629" s="210"/>
      <c r="U1629" s="210"/>
      <c r="V1629" s="210"/>
      <c r="W1629" s="210"/>
      <c r="X1629" s="210"/>
      <c r="Y1629" s="210"/>
      <c r="Z1629" s="210"/>
      <c r="AA1629" s="210"/>
      <c r="AB1629" s="210"/>
      <c r="AC1629" s="210"/>
      <c r="AD1629" s="210"/>
      <c r="AE1629" s="210"/>
      <c r="AF1629" s="210"/>
      <c r="AG1629" s="210"/>
      <c r="AH1629" s="210"/>
      <c r="AI1629" s="210"/>
      <c r="AJ1629" s="210"/>
    </row>
    <row r="1630" ht="14.25" customHeight="1">
      <c r="A1630" s="210"/>
      <c r="B1630" s="210"/>
      <c r="C1630" s="210"/>
      <c r="D1630" s="210"/>
      <c r="E1630" s="210"/>
      <c r="F1630" s="210"/>
      <c r="G1630" s="210"/>
      <c r="H1630" s="210"/>
      <c r="I1630" s="210"/>
      <c r="J1630" s="210"/>
      <c r="K1630" s="210"/>
      <c r="L1630" s="210"/>
      <c r="M1630" s="210"/>
      <c r="N1630" s="210"/>
      <c r="O1630" s="210"/>
      <c r="P1630" s="210"/>
      <c r="Q1630" s="210"/>
      <c r="R1630" s="210"/>
      <c r="S1630" s="210"/>
      <c r="T1630" s="210"/>
      <c r="U1630" s="210"/>
      <c r="V1630" s="210"/>
      <c r="W1630" s="210"/>
      <c r="X1630" s="210"/>
      <c r="Y1630" s="210"/>
      <c r="Z1630" s="210"/>
      <c r="AA1630" s="210"/>
      <c r="AB1630" s="210"/>
      <c r="AC1630" s="210"/>
      <c r="AD1630" s="210"/>
      <c r="AE1630" s="210"/>
      <c r="AF1630" s="210"/>
      <c r="AG1630" s="210"/>
      <c r="AH1630" s="210"/>
      <c r="AI1630" s="210"/>
      <c r="AJ1630" s="210"/>
    </row>
    <row r="1631" ht="14.25" customHeight="1">
      <c r="A1631" s="210"/>
      <c r="B1631" s="210"/>
      <c r="C1631" s="210"/>
      <c r="D1631" s="210"/>
      <c r="E1631" s="210"/>
      <c r="F1631" s="210"/>
      <c r="G1631" s="210"/>
      <c r="H1631" s="210"/>
      <c r="I1631" s="210"/>
      <c r="J1631" s="210"/>
      <c r="K1631" s="210"/>
      <c r="L1631" s="210"/>
      <c r="M1631" s="210"/>
      <c r="N1631" s="210"/>
      <c r="O1631" s="210"/>
      <c r="P1631" s="210"/>
      <c r="Q1631" s="210"/>
      <c r="R1631" s="210"/>
      <c r="S1631" s="210"/>
      <c r="T1631" s="210"/>
      <c r="U1631" s="210"/>
      <c r="V1631" s="210"/>
      <c r="W1631" s="210"/>
      <c r="X1631" s="210"/>
      <c r="Y1631" s="210"/>
      <c r="Z1631" s="210"/>
      <c r="AA1631" s="210"/>
      <c r="AB1631" s="210"/>
      <c r="AC1631" s="210"/>
      <c r="AD1631" s="210"/>
      <c r="AE1631" s="210"/>
      <c r="AF1631" s="210"/>
      <c r="AG1631" s="210"/>
      <c r="AH1631" s="210"/>
      <c r="AI1631" s="210"/>
      <c r="AJ1631" s="210"/>
    </row>
    <row r="1632" ht="14.25" customHeight="1">
      <c r="A1632" s="210"/>
      <c r="B1632" s="210"/>
      <c r="C1632" s="210"/>
      <c r="D1632" s="210"/>
      <c r="E1632" s="210"/>
      <c r="F1632" s="210"/>
      <c r="G1632" s="210"/>
      <c r="H1632" s="210"/>
      <c r="I1632" s="210"/>
      <c r="J1632" s="210"/>
      <c r="K1632" s="210"/>
      <c r="L1632" s="210"/>
      <c r="M1632" s="210"/>
      <c r="N1632" s="210"/>
      <c r="O1632" s="210"/>
      <c r="P1632" s="210"/>
      <c r="Q1632" s="210"/>
      <c r="R1632" s="210"/>
      <c r="S1632" s="210"/>
      <c r="T1632" s="210"/>
      <c r="U1632" s="210"/>
      <c r="V1632" s="210"/>
      <c r="W1632" s="210"/>
      <c r="X1632" s="210"/>
      <c r="Y1632" s="210"/>
      <c r="Z1632" s="210"/>
      <c r="AA1632" s="210"/>
      <c r="AB1632" s="210"/>
      <c r="AC1632" s="210"/>
      <c r="AD1632" s="210"/>
      <c r="AE1632" s="210"/>
      <c r="AF1632" s="210"/>
      <c r="AG1632" s="210"/>
      <c r="AH1632" s="210"/>
      <c r="AI1632" s="210"/>
      <c r="AJ1632" s="210"/>
    </row>
    <row r="1633" ht="14.25" customHeight="1">
      <c r="A1633" s="210"/>
      <c r="B1633" s="210"/>
      <c r="C1633" s="210"/>
      <c r="D1633" s="210"/>
      <c r="E1633" s="210"/>
      <c r="F1633" s="210"/>
      <c r="G1633" s="210"/>
      <c r="H1633" s="210"/>
      <c r="I1633" s="210"/>
      <c r="J1633" s="210"/>
      <c r="K1633" s="210"/>
      <c r="L1633" s="210"/>
      <c r="M1633" s="210"/>
      <c r="N1633" s="210"/>
      <c r="O1633" s="210"/>
      <c r="P1633" s="210"/>
      <c r="Q1633" s="210"/>
      <c r="R1633" s="210"/>
      <c r="S1633" s="210"/>
      <c r="T1633" s="210"/>
      <c r="U1633" s="210"/>
      <c r="V1633" s="210"/>
      <c r="W1633" s="210"/>
      <c r="X1633" s="210"/>
      <c r="Y1633" s="210"/>
      <c r="Z1633" s="210"/>
      <c r="AA1633" s="210"/>
      <c r="AB1633" s="210"/>
      <c r="AC1633" s="210"/>
      <c r="AD1633" s="210"/>
      <c r="AE1633" s="210"/>
      <c r="AF1633" s="210"/>
      <c r="AG1633" s="210"/>
      <c r="AH1633" s="210"/>
      <c r="AI1633" s="210"/>
      <c r="AJ1633" s="210"/>
    </row>
    <row r="1634" ht="14.25" customHeight="1">
      <c r="A1634" s="210"/>
      <c r="B1634" s="210"/>
      <c r="C1634" s="210"/>
      <c r="D1634" s="210"/>
      <c r="E1634" s="210"/>
      <c r="F1634" s="210"/>
      <c r="G1634" s="210"/>
      <c r="H1634" s="210"/>
      <c r="I1634" s="210"/>
      <c r="J1634" s="210"/>
      <c r="K1634" s="210"/>
      <c r="L1634" s="210"/>
      <c r="M1634" s="210"/>
      <c r="N1634" s="210"/>
      <c r="O1634" s="210"/>
      <c r="P1634" s="210"/>
      <c r="Q1634" s="210"/>
      <c r="R1634" s="210"/>
      <c r="S1634" s="210"/>
      <c r="T1634" s="210"/>
      <c r="U1634" s="210"/>
      <c r="V1634" s="210"/>
      <c r="W1634" s="210"/>
      <c r="X1634" s="210"/>
      <c r="Y1634" s="210"/>
      <c r="Z1634" s="210"/>
      <c r="AA1634" s="210"/>
      <c r="AB1634" s="210"/>
      <c r="AC1634" s="210"/>
      <c r="AD1634" s="210"/>
      <c r="AE1634" s="210"/>
      <c r="AF1634" s="210"/>
      <c r="AG1634" s="210"/>
      <c r="AH1634" s="210"/>
      <c r="AI1634" s="210"/>
      <c r="AJ1634" s="210"/>
    </row>
    <row r="1635" ht="14.25" customHeight="1">
      <c r="A1635" s="210"/>
      <c r="B1635" s="210"/>
      <c r="C1635" s="210"/>
      <c r="D1635" s="210"/>
      <c r="E1635" s="210"/>
      <c r="F1635" s="210"/>
      <c r="G1635" s="210"/>
      <c r="H1635" s="210"/>
      <c r="I1635" s="210"/>
      <c r="J1635" s="210"/>
      <c r="K1635" s="210"/>
      <c r="L1635" s="210"/>
      <c r="M1635" s="210"/>
      <c r="N1635" s="210"/>
      <c r="O1635" s="210"/>
      <c r="P1635" s="210"/>
      <c r="Q1635" s="210"/>
      <c r="R1635" s="210"/>
      <c r="S1635" s="210"/>
      <c r="T1635" s="210"/>
      <c r="U1635" s="210"/>
      <c r="V1635" s="210"/>
      <c r="W1635" s="210"/>
      <c r="X1635" s="210"/>
      <c r="Y1635" s="210"/>
      <c r="Z1635" s="210"/>
      <c r="AA1635" s="210"/>
      <c r="AB1635" s="210"/>
      <c r="AC1635" s="210"/>
      <c r="AD1635" s="210"/>
      <c r="AE1635" s="210"/>
      <c r="AF1635" s="210"/>
      <c r="AG1635" s="210"/>
      <c r="AH1635" s="210"/>
      <c r="AI1635" s="210"/>
      <c r="AJ1635" s="210"/>
    </row>
    <row r="1636" ht="14.25" customHeight="1">
      <c r="A1636" s="210"/>
      <c r="B1636" s="210"/>
      <c r="C1636" s="210"/>
      <c r="D1636" s="210"/>
      <c r="E1636" s="210"/>
      <c r="F1636" s="210"/>
      <c r="G1636" s="210"/>
      <c r="H1636" s="210"/>
      <c r="I1636" s="210"/>
      <c r="J1636" s="210"/>
      <c r="K1636" s="210"/>
      <c r="L1636" s="210"/>
      <c r="M1636" s="210"/>
      <c r="N1636" s="210"/>
      <c r="O1636" s="210"/>
      <c r="P1636" s="210"/>
      <c r="Q1636" s="210"/>
      <c r="R1636" s="210"/>
      <c r="S1636" s="210"/>
      <c r="T1636" s="210"/>
      <c r="U1636" s="210"/>
      <c r="V1636" s="210"/>
      <c r="W1636" s="210"/>
      <c r="X1636" s="210"/>
      <c r="Y1636" s="210"/>
      <c r="Z1636" s="210"/>
      <c r="AA1636" s="210"/>
      <c r="AB1636" s="210"/>
      <c r="AC1636" s="210"/>
      <c r="AD1636" s="210"/>
      <c r="AE1636" s="210"/>
      <c r="AF1636" s="210"/>
      <c r="AG1636" s="210"/>
      <c r="AH1636" s="210"/>
      <c r="AI1636" s="210"/>
      <c r="AJ1636" s="210"/>
    </row>
    <row r="1637" ht="14.25" customHeight="1">
      <c r="A1637" s="210"/>
      <c r="B1637" s="210"/>
      <c r="C1637" s="210"/>
      <c r="D1637" s="210"/>
      <c r="E1637" s="210"/>
      <c r="F1637" s="210"/>
      <c r="G1637" s="210"/>
      <c r="H1637" s="210"/>
      <c r="I1637" s="210"/>
      <c r="J1637" s="210"/>
      <c r="K1637" s="210"/>
      <c r="L1637" s="210"/>
      <c r="M1637" s="210"/>
      <c r="N1637" s="210"/>
      <c r="O1637" s="210"/>
      <c r="P1637" s="210"/>
      <c r="Q1637" s="210"/>
      <c r="R1637" s="210"/>
      <c r="S1637" s="210"/>
      <c r="T1637" s="210"/>
      <c r="U1637" s="210"/>
      <c r="V1637" s="210"/>
      <c r="W1637" s="210"/>
      <c r="X1637" s="210"/>
      <c r="Y1637" s="210"/>
      <c r="Z1637" s="210"/>
      <c r="AA1637" s="210"/>
      <c r="AB1637" s="210"/>
      <c r="AC1637" s="210"/>
      <c r="AD1637" s="210"/>
      <c r="AE1637" s="210"/>
      <c r="AF1637" s="210"/>
      <c r="AG1637" s="210"/>
      <c r="AH1637" s="210"/>
      <c r="AI1637" s="210"/>
      <c r="AJ1637" s="210"/>
    </row>
    <row r="1638" ht="14.25" customHeight="1">
      <c r="A1638" s="210"/>
      <c r="B1638" s="210"/>
      <c r="C1638" s="210"/>
      <c r="D1638" s="210"/>
      <c r="E1638" s="210"/>
      <c r="F1638" s="210"/>
      <c r="G1638" s="210"/>
      <c r="H1638" s="210"/>
      <c r="I1638" s="210"/>
      <c r="J1638" s="210"/>
      <c r="K1638" s="210"/>
      <c r="L1638" s="210"/>
      <c r="M1638" s="210"/>
      <c r="N1638" s="210"/>
      <c r="O1638" s="210"/>
      <c r="P1638" s="210"/>
      <c r="Q1638" s="210"/>
      <c r="R1638" s="210"/>
      <c r="S1638" s="210"/>
      <c r="T1638" s="210"/>
      <c r="U1638" s="210"/>
      <c r="V1638" s="210"/>
      <c r="W1638" s="210"/>
      <c r="X1638" s="210"/>
      <c r="Y1638" s="210"/>
      <c r="Z1638" s="210"/>
      <c r="AA1638" s="210"/>
      <c r="AB1638" s="210"/>
      <c r="AC1638" s="210"/>
      <c r="AD1638" s="210"/>
      <c r="AE1638" s="210"/>
      <c r="AF1638" s="210"/>
      <c r="AG1638" s="210"/>
      <c r="AH1638" s="210"/>
      <c r="AI1638" s="210"/>
      <c r="AJ1638" s="210"/>
    </row>
    <row r="1639" ht="14.25" customHeight="1">
      <c r="A1639" s="210"/>
      <c r="B1639" s="210"/>
      <c r="C1639" s="210"/>
      <c r="D1639" s="210"/>
      <c r="E1639" s="210"/>
      <c r="F1639" s="210"/>
      <c r="G1639" s="210"/>
      <c r="H1639" s="210"/>
      <c r="I1639" s="210"/>
      <c r="J1639" s="210"/>
      <c r="K1639" s="210"/>
      <c r="L1639" s="210"/>
      <c r="M1639" s="210"/>
      <c r="N1639" s="210"/>
      <c r="O1639" s="210"/>
      <c r="P1639" s="210"/>
      <c r="Q1639" s="210"/>
      <c r="R1639" s="210"/>
      <c r="S1639" s="210"/>
      <c r="T1639" s="210"/>
      <c r="U1639" s="210"/>
      <c r="V1639" s="210"/>
      <c r="W1639" s="210"/>
      <c r="X1639" s="210"/>
      <c r="Y1639" s="210"/>
      <c r="Z1639" s="210"/>
      <c r="AA1639" s="210"/>
      <c r="AB1639" s="210"/>
      <c r="AC1639" s="210"/>
      <c r="AD1639" s="210"/>
      <c r="AE1639" s="210"/>
      <c r="AF1639" s="210"/>
      <c r="AG1639" s="210"/>
      <c r="AH1639" s="210"/>
      <c r="AI1639" s="210"/>
      <c r="AJ1639" s="210"/>
    </row>
    <row r="1640" ht="14.25" customHeight="1">
      <c r="A1640" s="210"/>
      <c r="B1640" s="210"/>
      <c r="C1640" s="210"/>
      <c r="D1640" s="210"/>
      <c r="E1640" s="210"/>
      <c r="F1640" s="210"/>
      <c r="G1640" s="210"/>
      <c r="H1640" s="210"/>
      <c r="I1640" s="210"/>
      <c r="J1640" s="210"/>
      <c r="K1640" s="210"/>
      <c r="L1640" s="210"/>
      <c r="M1640" s="210"/>
      <c r="N1640" s="210"/>
      <c r="O1640" s="210"/>
      <c r="P1640" s="210"/>
      <c r="Q1640" s="210"/>
      <c r="R1640" s="210"/>
      <c r="S1640" s="210"/>
      <c r="T1640" s="210"/>
      <c r="U1640" s="210"/>
      <c r="V1640" s="210"/>
      <c r="W1640" s="210"/>
      <c r="X1640" s="210"/>
      <c r="Y1640" s="210"/>
      <c r="Z1640" s="210"/>
      <c r="AA1640" s="210"/>
      <c r="AB1640" s="210"/>
      <c r="AC1640" s="210"/>
      <c r="AD1640" s="210"/>
      <c r="AE1640" s="210"/>
      <c r="AF1640" s="210"/>
      <c r="AG1640" s="210"/>
      <c r="AH1640" s="210"/>
      <c r="AI1640" s="210"/>
      <c r="AJ1640" s="210"/>
    </row>
    <row r="1641" ht="14.25" customHeight="1">
      <c r="A1641" s="210"/>
      <c r="B1641" s="210"/>
      <c r="C1641" s="210"/>
      <c r="D1641" s="210"/>
      <c r="E1641" s="210"/>
      <c r="F1641" s="210"/>
      <c r="G1641" s="210"/>
      <c r="H1641" s="210"/>
      <c r="I1641" s="210"/>
      <c r="J1641" s="210"/>
      <c r="K1641" s="210"/>
      <c r="L1641" s="210"/>
      <c r="M1641" s="210"/>
      <c r="N1641" s="210"/>
      <c r="O1641" s="210"/>
      <c r="P1641" s="210"/>
      <c r="Q1641" s="210"/>
      <c r="R1641" s="210"/>
      <c r="S1641" s="210"/>
      <c r="T1641" s="210"/>
      <c r="U1641" s="210"/>
      <c r="V1641" s="210"/>
      <c r="W1641" s="210"/>
      <c r="X1641" s="210"/>
      <c r="Y1641" s="210"/>
      <c r="Z1641" s="210"/>
      <c r="AA1641" s="210"/>
      <c r="AB1641" s="210"/>
      <c r="AC1641" s="210"/>
      <c r="AD1641" s="210"/>
      <c r="AE1641" s="210"/>
      <c r="AF1641" s="210"/>
      <c r="AG1641" s="210"/>
      <c r="AH1641" s="210"/>
      <c r="AI1641" s="210"/>
      <c r="AJ1641" s="210"/>
    </row>
    <row r="1642" ht="14.25" customHeight="1">
      <c r="A1642" s="210"/>
      <c r="B1642" s="210"/>
      <c r="C1642" s="210"/>
      <c r="D1642" s="210"/>
      <c r="E1642" s="210"/>
      <c r="F1642" s="210"/>
      <c r="G1642" s="210"/>
      <c r="H1642" s="210"/>
      <c r="I1642" s="210"/>
      <c r="J1642" s="210"/>
      <c r="K1642" s="210"/>
      <c r="L1642" s="210"/>
      <c r="M1642" s="210"/>
      <c r="N1642" s="210"/>
      <c r="O1642" s="210"/>
      <c r="P1642" s="210"/>
      <c r="Q1642" s="210"/>
      <c r="R1642" s="210"/>
      <c r="S1642" s="210"/>
      <c r="T1642" s="210"/>
      <c r="U1642" s="210"/>
      <c r="V1642" s="210"/>
      <c r="W1642" s="210"/>
      <c r="X1642" s="210"/>
      <c r="Y1642" s="210"/>
      <c r="Z1642" s="210"/>
      <c r="AA1642" s="210"/>
      <c r="AB1642" s="210"/>
      <c r="AC1642" s="210"/>
      <c r="AD1642" s="210"/>
      <c r="AE1642" s="210"/>
      <c r="AF1642" s="210"/>
      <c r="AG1642" s="210"/>
      <c r="AH1642" s="210"/>
      <c r="AI1642" s="210"/>
      <c r="AJ1642" s="210"/>
    </row>
    <row r="1643" ht="14.25" customHeight="1">
      <c r="A1643" s="210"/>
      <c r="B1643" s="210"/>
      <c r="C1643" s="210"/>
      <c r="D1643" s="210"/>
      <c r="E1643" s="210"/>
      <c r="F1643" s="210"/>
      <c r="G1643" s="210"/>
      <c r="H1643" s="210"/>
      <c r="I1643" s="210"/>
      <c r="J1643" s="210"/>
      <c r="K1643" s="210"/>
      <c r="L1643" s="210"/>
      <c r="M1643" s="210"/>
      <c r="N1643" s="210"/>
      <c r="O1643" s="210"/>
      <c r="P1643" s="210"/>
      <c r="Q1643" s="210"/>
      <c r="R1643" s="210"/>
      <c r="S1643" s="210"/>
      <c r="T1643" s="210"/>
      <c r="U1643" s="210"/>
      <c r="V1643" s="210"/>
      <c r="W1643" s="210"/>
      <c r="X1643" s="210"/>
      <c r="Y1643" s="210"/>
      <c r="Z1643" s="210"/>
      <c r="AA1643" s="210"/>
      <c r="AB1643" s="210"/>
      <c r="AC1643" s="210"/>
      <c r="AD1643" s="210"/>
      <c r="AE1643" s="210"/>
      <c r="AF1643" s="210"/>
      <c r="AG1643" s="210"/>
      <c r="AH1643" s="210"/>
      <c r="AI1643" s="210"/>
      <c r="AJ1643" s="210"/>
    </row>
    <row r="1644" ht="14.25" customHeight="1">
      <c r="A1644" s="210"/>
      <c r="B1644" s="210"/>
      <c r="C1644" s="210"/>
      <c r="D1644" s="210"/>
      <c r="E1644" s="210"/>
      <c r="F1644" s="210"/>
      <c r="G1644" s="210"/>
      <c r="H1644" s="210"/>
      <c r="I1644" s="210"/>
      <c r="J1644" s="210"/>
      <c r="K1644" s="210"/>
      <c r="L1644" s="210"/>
      <c r="M1644" s="210"/>
      <c r="N1644" s="210"/>
      <c r="O1644" s="210"/>
      <c r="P1644" s="210"/>
      <c r="Q1644" s="210"/>
      <c r="R1644" s="210"/>
      <c r="S1644" s="210"/>
      <c r="T1644" s="210"/>
      <c r="U1644" s="210"/>
      <c r="V1644" s="210"/>
      <c r="W1644" s="210"/>
      <c r="X1644" s="210"/>
      <c r="Y1644" s="210"/>
      <c r="Z1644" s="210"/>
      <c r="AA1644" s="210"/>
      <c r="AB1644" s="210"/>
      <c r="AC1644" s="210"/>
      <c r="AD1644" s="210"/>
      <c r="AE1644" s="210"/>
      <c r="AF1644" s="210"/>
      <c r="AG1644" s="210"/>
      <c r="AH1644" s="210"/>
      <c r="AI1644" s="210"/>
      <c r="AJ1644" s="210"/>
    </row>
    <row r="1645" ht="14.25" customHeight="1">
      <c r="A1645" s="210"/>
      <c r="B1645" s="210"/>
      <c r="C1645" s="210"/>
      <c r="D1645" s="210"/>
      <c r="E1645" s="210"/>
      <c r="F1645" s="210"/>
      <c r="G1645" s="210"/>
      <c r="H1645" s="210"/>
      <c r="I1645" s="210"/>
      <c r="J1645" s="210"/>
      <c r="K1645" s="210"/>
      <c r="L1645" s="210"/>
      <c r="M1645" s="210"/>
      <c r="N1645" s="210"/>
      <c r="O1645" s="210"/>
      <c r="P1645" s="210"/>
      <c r="Q1645" s="210"/>
      <c r="R1645" s="210"/>
      <c r="S1645" s="210"/>
      <c r="T1645" s="210"/>
      <c r="U1645" s="210"/>
      <c r="V1645" s="210"/>
      <c r="W1645" s="210"/>
      <c r="X1645" s="210"/>
      <c r="Y1645" s="210"/>
      <c r="Z1645" s="210"/>
      <c r="AA1645" s="210"/>
      <c r="AB1645" s="210"/>
      <c r="AC1645" s="210"/>
      <c r="AD1645" s="210"/>
      <c r="AE1645" s="210"/>
      <c r="AF1645" s="210"/>
      <c r="AG1645" s="210"/>
      <c r="AH1645" s="210"/>
      <c r="AI1645" s="210"/>
      <c r="AJ1645" s="210"/>
    </row>
    <row r="1646" ht="14.25" customHeight="1">
      <c r="A1646" s="210"/>
      <c r="B1646" s="210"/>
      <c r="C1646" s="210"/>
      <c r="D1646" s="210"/>
      <c r="E1646" s="210"/>
      <c r="F1646" s="210"/>
      <c r="G1646" s="210"/>
      <c r="H1646" s="210"/>
      <c r="I1646" s="210"/>
      <c r="J1646" s="210"/>
      <c r="K1646" s="210"/>
      <c r="L1646" s="210"/>
      <c r="M1646" s="210"/>
      <c r="N1646" s="210"/>
      <c r="O1646" s="210"/>
      <c r="P1646" s="210"/>
      <c r="Q1646" s="210"/>
      <c r="R1646" s="210"/>
      <c r="S1646" s="210"/>
      <c r="T1646" s="210"/>
      <c r="U1646" s="210"/>
      <c r="V1646" s="210"/>
      <c r="W1646" s="210"/>
      <c r="X1646" s="210"/>
      <c r="Y1646" s="210"/>
      <c r="Z1646" s="210"/>
      <c r="AA1646" s="210"/>
      <c r="AB1646" s="210"/>
      <c r="AC1646" s="210"/>
      <c r="AD1646" s="210"/>
      <c r="AE1646" s="210"/>
      <c r="AF1646" s="210"/>
      <c r="AG1646" s="210"/>
      <c r="AH1646" s="210"/>
      <c r="AI1646" s="210"/>
      <c r="AJ1646" s="210"/>
    </row>
    <row r="1647" ht="14.25" customHeight="1">
      <c r="A1647" s="210"/>
      <c r="B1647" s="210"/>
      <c r="C1647" s="210"/>
      <c r="D1647" s="210"/>
      <c r="E1647" s="210"/>
      <c r="F1647" s="210"/>
      <c r="G1647" s="210"/>
      <c r="H1647" s="210"/>
      <c r="I1647" s="210"/>
      <c r="J1647" s="210"/>
      <c r="K1647" s="210"/>
      <c r="L1647" s="210"/>
      <c r="M1647" s="210"/>
      <c r="N1647" s="210"/>
      <c r="O1647" s="210"/>
      <c r="P1647" s="210"/>
      <c r="Q1647" s="210"/>
      <c r="R1647" s="210"/>
      <c r="S1647" s="210"/>
      <c r="T1647" s="210"/>
      <c r="U1647" s="210"/>
      <c r="V1647" s="210"/>
      <c r="W1647" s="210"/>
      <c r="X1647" s="210"/>
      <c r="Y1647" s="210"/>
      <c r="Z1647" s="210"/>
      <c r="AA1647" s="210"/>
      <c r="AB1647" s="210"/>
      <c r="AC1647" s="210"/>
      <c r="AD1647" s="210"/>
      <c r="AE1647" s="210"/>
      <c r="AF1647" s="210"/>
      <c r="AG1647" s="210"/>
      <c r="AH1647" s="210"/>
      <c r="AI1647" s="210"/>
      <c r="AJ1647" s="210"/>
    </row>
    <row r="1648" ht="14.25" customHeight="1">
      <c r="A1648" s="210"/>
      <c r="B1648" s="210"/>
      <c r="C1648" s="210"/>
      <c r="D1648" s="210"/>
      <c r="E1648" s="210"/>
      <c r="F1648" s="210"/>
      <c r="G1648" s="210"/>
      <c r="H1648" s="210"/>
      <c r="I1648" s="210"/>
      <c r="J1648" s="210"/>
      <c r="K1648" s="210"/>
      <c r="L1648" s="210"/>
      <c r="M1648" s="210"/>
      <c r="N1648" s="210"/>
      <c r="O1648" s="210"/>
      <c r="P1648" s="210"/>
      <c r="Q1648" s="210"/>
      <c r="R1648" s="210"/>
      <c r="S1648" s="210"/>
      <c r="T1648" s="210"/>
      <c r="U1648" s="210"/>
      <c r="V1648" s="210"/>
      <c r="W1648" s="210"/>
      <c r="X1648" s="210"/>
      <c r="Y1648" s="210"/>
      <c r="Z1648" s="210"/>
      <c r="AA1648" s="210"/>
      <c r="AB1648" s="210"/>
      <c r="AC1648" s="210"/>
      <c r="AD1648" s="210"/>
      <c r="AE1648" s="210"/>
      <c r="AF1648" s="210"/>
      <c r="AG1648" s="210"/>
      <c r="AH1648" s="210"/>
      <c r="AI1648" s="210"/>
      <c r="AJ1648" s="210"/>
    </row>
    <row r="1649" ht="14.25" customHeight="1">
      <c r="A1649" s="210"/>
      <c r="B1649" s="210"/>
      <c r="C1649" s="210"/>
      <c r="D1649" s="210"/>
      <c r="E1649" s="210"/>
      <c r="F1649" s="210"/>
      <c r="G1649" s="210"/>
      <c r="H1649" s="210"/>
      <c r="I1649" s="210"/>
      <c r="J1649" s="210"/>
      <c r="K1649" s="210"/>
      <c r="L1649" s="210"/>
      <c r="M1649" s="210"/>
      <c r="N1649" s="210"/>
      <c r="O1649" s="210"/>
      <c r="P1649" s="210"/>
      <c r="Q1649" s="210"/>
      <c r="R1649" s="210"/>
      <c r="S1649" s="210"/>
      <c r="T1649" s="210"/>
      <c r="U1649" s="210"/>
      <c r="V1649" s="210"/>
      <c r="W1649" s="210"/>
      <c r="X1649" s="210"/>
      <c r="Y1649" s="210"/>
      <c r="Z1649" s="210"/>
      <c r="AA1649" s="210"/>
      <c r="AB1649" s="210"/>
      <c r="AC1649" s="210"/>
      <c r="AD1649" s="210"/>
      <c r="AE1649" s="210"/>
      <c r="AF1649" s="210"/>
      <c r="AG1649" s="210"/>
      <c r="AH1649" s="210"/>
      <c r="AI1649" s="210"/>
      <c r="AJ1649" s="210"/>
    </row>
    <row r="1650" ht="14.25" customHeight="1">
      <c r="A1650" s="210"/>
      <c r="B1650" s="210"/>
      <c r="C1650" s="210"/>
      <c r="D1650" s="210"/>
      <c r="E1650" s="210"/>
      <c r="F1650" s="210"/>
      <c r="G1650" s="210"/>
      <c r="H1650" s="210"/>
      <c r="I1650" s="210"/>
      <c r="J1650" s="210"/>
      <c r="K1650" s="210"/>
      <c r="L1650" s="210"/>
      <c r="M1650" s="210"/>
      <c r="N1650" s="210"/>
      <c r="O1650" s="210"/>
      <c r="P1650" s="210"/>
      <c r="Q1650" s="210"/>
      <c r="R1650" s="210"/>
      <c r="S1650" s="210"/>
      <c r="T1650" s="210"/>
      <c r="U1650" s="210"/>
      <c r="V1650" s="210"/>
      <c r="W1650" s="210"/>
      <c r="X1650" s="210"/>
      <c r="Y1650" s="210"/>
      <c r="Z1650" s="210"/>
      <c r="AA1650" s="210"/>
      <c r="AB1650" s="210"/>
      <c r="AC1650" s="210"/>
      <c r="AD1650" s="210"/>
      <c r="AE1650" s="210"/>
      <c r="AF1650" s="210"/>
      <c r="AG1650" s="210"/>
      <c r="AH1650" s="210"/>
      <c r="AI1650" s="210"/>
      <c r="AJ1650" s="210"/>
    </row>
    <row r="1651" ht="14.25" customHeight="1">
      <c r="A1651" s="210"/>
      <c r="B1651" s="210"/>
      <c r="C1651" s="210"/>
      <c r="D1651" s="210"/>
      <c r="E1651" s="210"/>
      <c r="F1651" s="210"/>
      <c r="G1651" s="210"/>
      <c r="H1651" s="210"/>
      <c r="I1651" s="210"/>
      <c r="J1651" s="210"/>
      <c r="K1651" s="210"/>
      <c r="L1651" s="210"/>
      <c r="M1651" s="210"/>
      <c r="N1651" s="210"/>
      <c r="O1651" s="210"/>
      <c r="P1651" s="210"/>
      <c r="Q1651" s="210"/>
      <c r="R1651" s="210"/>
      <c r="S1651" s="210"/>
      <c r="T1651" s="210"/>
      <c r="U1651" s="210"/>
      <c r="V1651" s="210"/>
      <c r="W1651" s="210"/>
      <c r="X1651" s="210"/>
      <c r="Y1651" s="210"/>
      <c r="Z1651" s="210"/>
      <c r="AA1651" s="210"/>
      <c r="AB1651" s="210"/>
      <c r="AC1651" s="210"/>
      <c r="AD1651" s="210"/>
      <c r="AE1651" s="210"/>
      <c r="AF1651" s="210"/>
      <c r="AG1651" s="210"/>
      <c r="AH1651" s="210"/>
      <c r="AI1651" s="210"/>
      <c r="AJ1651" s="210"/>
    </row>
    <row r="1652" ht="14.25" customHeight="1">
      <c r="A1652" s="210"/>
      <c r="B1652" s="210"/>
      <c r="C1652" s="210"/>
      <c r="D1652" s="210"/>
      <c r="E1652" s="210"/>
      <c r="F1652" s="210"/>
      <c r="G1652" s="210"/>
      <c r="H1652" s="210"/>
      <c r="I1652" s="210"/>
      <c r="J1652" s="210"/>
      <c r="K1652" s="210"/>
      <c r="L1652" s="210"/>
      <c r="M1652" s="210"/>
      <c r="N1652" s="210"/>
      <c r="O1652" s="210"/>
      <c r="P1652" s="210"/>
      <c r="Q1652" s="210"/>
      <c r="R1652" s="210"/>
      <c r="S1652" s="210"/>
      <c r="T1652" s="210"/>
      <c r="U1652" s="210"/>
      <c r="V1652" s="210"/>
      <c r="W1652" s="210"/>
      <c r="X1652" s="210"/>
      <c r="Y1652" s="210"/>
      <c r="Z1652" s="210"/>
      <c r="AA1652" s="210"/>
      <c r="AB1652" s="210"/>
      <c r="AC1652" s="210"/>
      <c r="AD1652" s="210"/>
      <c r="AE1652" s="210"/>
      <c r="AF1652" s="210"/>
      <c r="AG1652" s="210"/>
      <c r="AH1652" s="210"/>
      <c r="AI1652" s="210"/>
      <c r="AJ1652" s="210"/>
    </row>
    <row r="1653" ht="14.25" customHeight="1">
      <c r="A1653" s="210"/>
      <c r="B1653" s="210"/>
      <c r="C1653" s="210"/>
      <c r="D1653" s="210"/>
      <c r="E1653" s="210"/>
      <c r="F1653" s="210"/>
      <c r="G1653" s="210"/>
      <c r="H1653" s="210"/>
      <c r="I1653" s="210"/>
      <c r="J1653" s="210"/>
      <c r="K1653" s="210"/>
      <c r="L1653" s="210"/>
      <c r="M1653" s="210"/>
      <c r="N1653" s="210"/>
      <c r="O1653" s="210"/>
      <c r="P1653" s="210"/>
      <c r="Q1653" s="210"/>
      <c r="R1653" s="210"/>
      <c r="S1653" s="210"/>
      <c r="T1653" s="210"/>
      <c r="U1653" s="210"/>
      <c r="V1653" s="210"/>
      <c r="W1653" s="210"/>
      <c r="X1653" s="210"/>
      <c r="Y1653" s="210"/>
      <c r="Z1653" s="210"/>
      <c r="AA1653" s="210"/>
      <c r="AB1653" s="210"/>
      <c r="AC1653" s="210"/>
      <c r="AD1653" s="210"/>
      <c r="AE1653" s="210"/>
      <c r="AF1653" s="210"/>
      <c r="AG1653" s="210"/>
      <c r="AH1653" s="210"/>
      <c r="AI1653" s="210"/>
      <c r="AJ1653" s="210"/>
    </row>
    <row r="1654" ht="14.25" customHeight="1">
      <c r="A1654" s="210"/>
      <c r="B1654" s="210"/>
      <c r="C1654" s="210"/>
      <c r="D1654" s="210"/>
      <c r="E1654" s="210"/>
      <c r="F1654" s="210"/>
      <c r="G1654" s="210"/>
      <c r="H1654" s="210"/>
      <c r="I1654" s="210"/>
      <c r="J1654" s="210"/>
      <c r="K1654" s="210"/>
      <c r="L1654" s="210"/>
      <c r="M1654" s="210"/>
      <c r="N1654" s="210"/>
      <c r="O1654" s="210"/>
      <c r="P1654" s="210"/>
      <c r="Q1654" s="210"/>
      <c r="R1654" s="210"/>
      <c r="S1654" s="210"/>
      <c r="T1654" s="210"/>
      <c r="U1654" s="210"/>
      <c r="V1654" s="210"/>
      <c r="W1654" s="210"/>
      <c r="X1654" s="210"/>
      <c r="Y1654" s="210"/>
      <c r="Z1654" s="210"/>
      <c r="AA1654" s="210"/>
      <c r="AB1654" s="210"/>
      <c r="AC1654" s="210"/>
      <c r="AD1654" s="210"/>
      <c r="AE1654" s="210"/>
      <c r="AF1654" s="210"/>
      <c r="AG1654" s="210"/>
      <c r="AH1654" s="210"/>
      <c r="AI1654" s="210"/>
      <c r="AJ1654" s="210"/>
    </row>
    <row r="1655" ht="14.25" customHeight="1">
      <c r="A1655" s="210"/>
      <c r="B1655" s="210"/>
      <c r="C1655" s="210"/>
      <c r="D1655" s="210"/>
      <c r="E1655" s="210"/>
      <c r="F1655" s="210"/>
      <c r="G1655" s="210"/>
      <c r="H1655" s="210"/>
      <c r="I1655" s="210"/>
      <c r="J1655" s="210"/>
      <c r="K1655" s="210"/>
      <c r="L1655" s="210"/>
      <c r="M1655" s="210"/>
      <c r="N1655" s="210"/>
      <c r="O1655" s="210"/>
      <c r="P1655" s="210"/>
      <c r="Q1655" s="210"/>
      <c r="R1655" s="210"/>
      <c r="S1655" s="210"/>
      <c r="T1655" s="210"/>
      <c r="U1655" s="210"/>
      <c r="V1655" s="210"/>
      <c r="W1655" s="210"/>
      <c r="X1655" s="210"/>
      <c r="Y1655" s="210"/>
      <c r="Z1655" s="210"/>
      <c r="AA1655" s="210"/>
      <c r="AB1655" s="210"/>
      <c r="AC1655" s="210"/>
      <c r="AD1655" s="210"/>
      <c r="AE1655" s="210"/>
      <c r="AF1655" s="210"/>
      <c r="AG1655" s="210"/>
      <c r="AH1655" s="210"/>
      <c r="AI1655" s="210"/>
      <c r="AJ1655" s="210"/>
    </row>
    <row r="1656" ht="14.25" customHeight="1">
      <c r="A1656" s="210"/>
      <c r="B1656" s="210"/>
      <c r="C1656" s="210"/>
      <c r="D1656" s="210"/>
      <c r="E1656" s="210"/>
      <c r="F1656" s="210"/>
      <c r="G1656" s="210"/>
      <c r="H1656" s="210"/>
      <c r="I1656" s="210"/>
      <c r="J1656" s="210"/>
      <c r="K1656" s="210"/>
      <c r="L1656" s="210"/>
      <c r="M1656" s="210"/>
      <c r="N1656" s="210"/>
      <c r="O1656" s="210"/>
      <c r="P1656" s="210"/>
      <c r="Q1656" s="210"/>
      <c r="R1656" s="210"/>
      <c r="S1656" s="210"/>
      <c r="T1656" s="210"/>
      <c r="U1656" s="210"/>
      <c r="V1656" s="210"/>
      <c r="W1656" s="210"/>
      <c r="X1656" s="210"/>
      <c r="Y1656" s="210"/>
      <c r="Z1656" s="210"/>
      <c r="AA1656" s="210"/>
      <c r="AB1656" s="210"/>
      <c r="AC1656" s="210"/>
      <c r="AD1656" s="210"/>
      <c r="AE1656" s="210"/>
      <c r="AF1656" s="210"/>
      <c r="AG1656" s="210"/>
      <c r="AH1656" s="210"/>
      <c r="AI1656" s="210"/>
      <c r="AJ1656" s="210"/>
    </row>
    <row r="1657" ht="14.25" customHeight="1">
      <c r="A1657" s="210"/>
      <c r="B1657" s="210"/>
      <c r="C1657" s="210"/>
      <c r="D1657" s="210"/>
      <c r="E1657" s="210"/>
      <c r="F1657" s="210"/>
      <c r="G1657" s="210"/>
      <c r="H1657" s="210"/>
      <c r="I1657" s="210"/>
      <c r="J1657" s="210"/>
      <c r="K1657" s="210"/>
      <c r="L1657" s="210"/>
      <c r="M1657" s="210"/>
      <c r="N1657" s="210"/>
      <c r="O1657" s="210"/>
      <c r="P1657" s="210"/>
      <c r="Q1657" s="210"/>
      <c r="R1657" s="210"/>
      <c r="S1657" s="210"/>
      <c r="T1657" s="210"/>
      <c r="U1657" s="210"/>
      <c r="V1657" s="210"/>
      <c r="W1657" s="210"/>
      <c r="X1657" s="210"/>
      <c r="Y1657" s="210"/>
      <c r="Z1657" s="210"/>
      <c r="AA1657" s="210"/>
      <c r="AB1657" s="210"/>
      <c r="AC1657" s="210"/>
      <c r="AD1657" s="210"/>
      <c r="AE1657" s="210"/>
      <c r="AF1657" s="210"/>
      <c r="AG1657" s="210"/>
      <c r="AH1657" s="210"/>
      <c r="AI1657" s="210"/>
      <c r="AJ1657" s="210"/>
    </row>
    <row r="1658" ht="14.25" customHeight="1">
      <c r="A1658" s="210"/>
      <c r="B1658" s="210"/>
      <c r="C1658" s="210"/>
      <c r="D1658" s="210"/>
      <c r="E1658" s="210"/>
      <c r="F1658" s="210"/>
      <c r="G1658" s="210"/>
      <c r="H1658" s="210"/>
      <c r="I1658" s="210"/>
      <c r="J1658" s="210"/>
      <c r="K1658" s="210"/>
      <c r="L1658" s="210"/>
      <c r="M1658" s="210"/>
      <c r="N1658" s="210"/>
      <c r="O1658" s="210"/>
      <c r="P1658" s="210"/>
      <c r="Q1658" s="210"/>
      <c r="R1658" s="210"/>
      <c r="S1658" s="210"/>
      <c r="T1658" s="210"/>
      <c r="U1658" s="210"/>
      <c r="V1658" s="210"/>
      <c r="W1658" s="210"/>
      <c r="X1658" s="210"/>
      <c r="Y1658" s="210"/>
      <c r="Z1658" s="210"/>
      <c r="AA1658" s="210"/>
      <c r="AB1658" s="210"/>
      <c r="AC1658" s="210"/>
      <c r="AD1658" s="210"/>
      <c r="AE1658" s="210"/>
      <c r="AF1658" s="210"/>
      <c r="AG1658" s="210"/>
      <c r="AH1658" s="210"/>
      <c r="AI1658" s="210"/>
      <c r="AJ1658" s="210"/>
    </row>
    <row r="1659" ht="14.25" customHeight="1">
      <c r="A1659" s="210"/>
      <c r="B1659" s="210"/>
      <c r="C1659" s="210"/>
      <c r="D1659" s="210"/>
      <c r="E1659" s="210"/>
      <c r="F1659" s="210"/>
      <c r="G1659" s="210"/>
      <c r="H1659" s="210"/>
      <c r="I1659" s="210"/>
      <c r="J1659" s="210"/>
      <c r="K1659" s="210"/>
      <c r="L1659" s="210"/>
      <c r="M1659" s="210"/>
      <c r="N1659" s="210"/>
      <c r="O1659" s="210"/>
      <c r="P1659" s="210"/>
      <c r="Q1659" s="210"/>
      <c r="R1659" s="210"/>
      <c r="S1659" s="210"/>
      <c r="T1659" s="210"/>
      <c r="U1659" s="210"/>
      <c r="V1659" s="210"/>
      <c r="W1659" s="210"/>
      <c r="X1659" s="210"/>
      <c r="Y1659" s="210"/>
      <c r="Z1659" s="210"/>
      <c r="AA1659" s="210"/>
      <c r="AB1659" s="210"/>
      <c r="AC1659" s="210"/>
      <c r="AD1659" s="210"/>
      <c r="AE1659" s="210"/>
      <c r="AF1659" s="210"/>
      <c r="AG1659" s="210"/>
      <c r="AH1659" s="210"/>
      <c r="AI1659" s="210"/>
      <c r="AJ1659" s="210"/>
    </row>
    <row r="1660" ht="14.25" customHeight="1">
      <c r="A1660" s="210"/>
      <c r="B1660" s="210"/>
      <c r="C1660" s="210"/>
      <c r="D1660" s="210"/>
      <c r="E1660" s="210"/>
      <c r="F1660" s="210"/>
      <c r="G1660" s="210"/>
      <c r="H1660" s="210"/>
      <c r="I1660" s="210"/>
      <c r="J1660" s="210"/>
      <c r="K1660" s="210"/>
      <c r="L1660" s="210"/>
      <c r="M1660" s="210"/>
      <c r="N1660" s="210"/>
      <c r="O1660" s="210"/>
      <c r="P1660" s="210"/>
      <c r="Q1660" s="210"/>
      <c r="R1660" s="210"/>
      <c r="S1660" s="210"/>
      <c r="T1660" s="210"/>
      <c r="U1660" s="210"/>
      <c r="V1660" s="210"/>
      <c r="W1660" s="210"/>
      <c r="X1660" s="210"/>
      <c r="Y1660" s="210"/>
      <c r="Z1660" s="210"/>
      <c r="AA1660" s="210"/>
      <c r="AB1660" s="210"/>
      <c r="AC1660" s="210"/>
      <c r="AD1660" s="210"/>
      <c r="AE1660" s="210"/>
      <c r="AF1660" s="210"/>
      <c r="AG1660" s="210"/>
      <c r="AH1660" s="210"/>
      <c r="AI1660" s="210"/>
      <c r="AJ1660" s="210"/>
    </row>
    <row r="1661" ht="14.25" customHeight="1">
      <c r="A1661" s="210"/>
      <c r="B1661" s="210"/>
      <c r="C1661" s="210"/>
      <c r="D1661" s="210"/>
      <c r="E1661" s="210"/>
      <c r="F1661" s="210"/>
      <c r="G1661" s="210"/>
      <c r="H1661" s="210"/>
      <c r="I1661" s="210"/>
      <c r="J1661" s="210"/>
      <c r="K1661" s="210"/>
      <c r="L1661" s="210"/>
      <c r="M1661" s="210"/>
      <c r="N1661" s="210"/>
      <c r="O1661" s="210"/>
      <c r="P1661" s="210"/>
      <c r="Q1661" s="210"/>
      <c r="R1661" s="210"/>
      <c r="S1661" s="210"/>
      <c r="T1661" s="210"/>
      <c r="U1661" s="210"/>
      <c r="V1661" s="210"/>
      <c r="W1661" s="210"/>
      <c r="X1661" s="210"/>
      <c r="Y1661" s="210"/>
      <c r="Z1661" s="210"/>
      <c r="AA1661" s="210"/>
      <c r="AB1661" s="210"/>
      <c r="AC1661" s="210"/>
      <c r="AD1661" s="210"/>
      <c r="AE1661" s="210"/>
      <c r="AF1661" s="210"/>
      <c r="AG1661" s="210"/>
      <c r="AH1661" s="210"/>
      <c r="AI1661" s="210"/>
      <c r="AJ1661" s="210"/>
    </row>
    <row r="1662" ht="14.25" customHeight="1">
      <c r="A1662" s="210"/>
      <c r="B1662" s="210"/>
      <c r="C1662" s="210"/>
      <c r="D1662" s="210"/>
      <c r="E1662" s="210"/>
      <c r="F1662" s="210"/>
      <c r="G1662" s="210"/>
      <c r="H1662" s="210"/>
      <c r="I1662" s="210"/>
      <c r="J1662" s="210"/>
      <c r="K1662" s="210"/>
      <c r="L1662" s="210"/>
      <c r="M1662" s="210"/>
      <c r="N1662" s="210"/>
      <c r="O1662" s="210"/>
      <c r="P1662" s="210"/>
      <c r="Q1662" s="210"/>
      <c r="R1662" s="210"/>
      <c r="S1662" s="210"/>
      <c r="T1662" s="210"/>
      <c r="U1662" s="210"/>
      <c r="V1662" s="210"/>
      <c r="W1662" s="210"/>
      <c r="X1662" s="210"/>
      <c r="Y1662" s="210"/>
      <c r="Z1662" s="210"/>
      <c r="AA1662" s="210"/>
      <c r="AB1662" s="210"/>
      <c r="AC1662" s="210"/>
      <c r="AD1662" s="210"/>
      <c r="AE1662" s="210"/>
      <c r="AF1662" s="210"/>
      <c r="AG1662" s="210"/>
      <c r="AH1662" s="210"/>
      <c r="AI1662" s="210"/>
      <c r="AJ1662" s="210"/>
    </row>
    <row r="1663" ht="14.25" customHeight="1">
      <c r="A1663" s="210"/>
      <c r="B1663" s="210"/>
      <c r="C1663" s="210"/>
      <c r="D1663" s="210"/>
      <c r="E1663" s="210"/>
      <c r="F1663" s="210"/>
      <c r="G1663" s="210"/>
      <c r="H1663" s="210"/>
      <c r="I1663" s="210"/>
      <c r="J1663" s="210"/>
      <c r="K1663" s="210"/>
      <c r="L1663" s="210"/>
      <c r="M1663" s="210"/>
      <c r="N1663" s="210"/>
      <c r="O1663" s="210"/>
      <c r="P1663" s="210"/>
      <c r="Q1663" s="210"/>
      <c r="R1663" s="210"/>
      <c r="S1663" s="210"/>
      <c r="T1663" s="210"/>
      <c r="U1663" s="210"/>
      <c r="V1663" s="210"/>
      <c r="W1663" s="210"/>
      <c r="X1663" s="210"/>
      <c r="Y1663" s="210"/>
      <c r="Z1663" s="210"/>
      <c r="AA1663" s="210"/>
      <c r="AB1663" s="210"/>
      <c r="AC1663" s="210"/>
      <c r="AD1663" s="210"/>
      <c r="AE1663" s="210"/>
      <c r="AF1663" s="210"/>
      <c r="AG1663" s="210"/>
      <c r="AH1663" s="210"/>
      <c r="AI1663" s="210"/>
      <c r="AJ1663" s="210"/>
    </row>
    <row r="1664" ht="14.25" customHeight="1">
      <c r="A1664" s="210"/>
      <c r="B1664" s="210"/>
      <c r="C1664" s="210"/>
      <c r="D1664" s="210"/>
      <c r="E1664" s="210"/>
      <c r="F1664" s="210"/>
      <c r="G1664" s="210"/>
      <c r="H1664" s="210"/>
      <c r="I1664" s="210"/>
      <c r="J1664" s="210"/>
      <c r="K1664" s="210"/>
      <c r="L1664" s="210"/>
      <c r="M1664" s="210"/>
      <c r="N1664" s="210"/>
      <c r="O1664" s="210"/>
      <c r="P1664" s="210"/>
      <c r="Q1664" s="210"/>
      <c r="R1664" s="210"/>
      <c r="S1664" s="210"/>
      <c r="T1664" s="210"/>
      <c r="U1664" s="210"/>
      <c r="V1664" s="210"/>
      <c r="W1664" s="210"/>
      <c r="X1664" s="210"/>
      <c r="Y1664" s="210"/>
      <c r="Z1664" s="210"/>
      <c r="AA1664" s="210"/>
      <c r="AB1664" s="210"/>
      <c r="AC1664" s="210"/>
      <c r="AD1664" s="210"/>
      <c r="AE1664" s="210"/>
      <c r="AF1664" s="210"/>
      <c r="AG1664" s="210"/>
      <c r="AH1664" s="210"/>
      <c r="AI1664" s="210"/>
      <c r="AJ1664" s="210"/>
    </row>
    <row r="1665" ht="14.25" customHeight="1">
      <c r="A1665" s="210"/>
      <c r="B1665" s="210"/>
      <c r="C1665" s="210"/>
      <c r="D1665" s="210"/>
      <c r="E1665" s="210"/>
      <c r="F1665" s="210"/>
      <c r="G1665" s="210"/>
      <c r="H1665" s="210"/>
      <c r="I1665" s="210"/>
      <c r="J1665" s="210"/>
      <c r="K1665" s="210"/>
      <c r="L1665" s="210"/>
      <c r="M1665" s="210"/>
      <c r="N1665" s="210"/>
      <c r="O1665" s="210"/>
      <c r="P1665" s="210"/>
      <c r="Q1665" s="210"/>
      <c r="R1665" s="210"/>
      <c r="S1665" s="210"/>
      <c r="T1665" s="210"/>
      <c r="U1665" s="210"/>
      <c r="V1665" s="210"/>
      <c r="W1665" s="210"/>
      <c r="X1665" s="210"/>
      <c r="Y1665" s="210"/>
      <c r="Z1665" s="210"/>
      <c r="AA1665" s="210"/>
      <c r="AB1665" s="210"/>
      <c r="AC1665" s="210"/>
      <c r="AD1665" s="210"/>
      <c r="AE1665" s="210"/>
      <c r="AF1665" s="210"/>
      <c r="AG1665" s="210"/>
      <c r="AH1665" s="210"/>
      <c r="AI1665" s="210"/>
      <c r="AJ1665" s="210"/>
    </row>
    <row r="1666" ht="14.25" customHeight="1">
      <c r="A1666" s="210"/>
      <c r="B1666" s="210"/>
      <c r="C1666" s="210"/>
      <c r="D1666" s="210"/>
      <c r="E1666" s="210"/>
      <c r="F1666" s="210"/>
      <c r="G1666" s="210"/>
      <c r="H1666" s="210"/>
      <c r="I1666" s="210"/>
      <c r="J1666" s="210"/>
      <c r="K1666" s="210"/>
      <c r="L1666" s="210"/>
      <c r="M1666" s="210"/>
      <c r="N1666" s="210"/>
      <c r="O1666" s="210"/>
      <c r="P1666" s="210"/>
      <c r="Q1666" s="210"/>
      <c r="R1666" s="210"/>
      <c r="S1666" s="210"/>
      <c r="T1666" s="210"/>
      <c r="U1666" s="210"/>
      <c r="V1666" s="210"/>
      <c r="W1666" s="210"/>
      <c r="X1666" s="210"/>
      <c r="Y1666" s="210"/>
      <c r="Z1666" s="210"/>
      <c r="AA1666" s="210"/>
      <c r="AB1666" s="210"/>
      <c r="AC1666" s="210"/>
      <c r="AD1666" s="210"/>
      <c r="AE1666" s="210"/>
      <c r="AF1666" s="210"/>
      <c r="AG1666" s="210"/>
      <c r="AH1666" s="210"/>
      <c r="AI1666" s="210"/>
      <c r="AJ1666" s="210"/>
    </row>
    <row r="1667" ht="14.25" customHeight="1">
      <c r="A1667" s="210"/>
      <c r="B1667" s="210"/>
      <c r="C1667" s="210"/>
      <c r="D1667" s="210"/>
      <c r="E1667" s="210"/>
      <c r="F1667" s="210"/>
      <c r="G1667" s="210"/>
      <c r="H1667" s="210"/>
      <c r="I1667" s="210"/>
      <c r="J1667" s="210"/>
      <c r="K1667" s="210"/>
      <c r="L1667" s="210"/>
      <c r="M1667" s="210"/>
      <c r="N1667" s="210"/>
      <c r="O1667" s="210"/>
      <c r="P1667" s="210"/>
      <c r="Q1667" s="210"/>
      <c r="R1667" s="210"/>
      <c r="S1667" s="210"/>
      <c r="T1667" s="210"/>
      <c r="U1667" s="210"/>
      <c r="V1667" s="210"/>
      <c r="W1667" s="210"/>
      <c r="X1667" s="210"/>
      <c r="Y1667" s="210"/>
      <c r="Z1667" s="210"/>
      <c r="AA1667" s="210"/>
      <c r="AB1667" s="210"/>
      <c r="AC1667" s="210"/>
      <c r="AD1667" s="210"/>
      <c r="AE1667" s="210"/>
      <c r="AF1667" s="210"/>
      <c r="AG1667" s="210"/>
      <c r="AH1667" s="210"/>
      <c r="AI1667" s="210"/>
      <c r="AJ1667" s="210"/>
    </row>
    <row r="1668" ht="14.25" customHeight="1">
      <c r="A1668" s="210"/>
      <c r="B1668" s="210"/>
      <c r="C1668" s="210"/>
      <c r="D1668" s="210"/>
      <c r="E1668" s="210"/>
      <c r="F1668" s="210"/>
      <c r="G1668" s="210"/>
      <c r="H1668" s="210"/>
      <c r="I1668" s="210"/>
      <c r="J1668" s="210"/>
      <c r="K1668" s="210"/>
      <c r="L1668" s="210"/>
      <c r="M1668" s="210"/>
      <c r="N1668" s="210"/>
      <c r="O1668" s="210"/>
      <c r="P1668" s="210"/>
      <c r="Q1668" s="210"/>
      <c r="R1668" s="210"/>
      <c r="S1668" s="210"/>
      <c r="T1668" s="210"/>
      <c r="U1668" s="210"/>
      <c r="V1668" s="210"/>
      <c r="W1668" s="210"/>
      <c r="X1668" s="210"/>
      <c r="Y1668" s="210"/>
      <c r="Z1668" s="210"/>
      <c r="AA1668" s="210"/>
      <c r="AB1668" s="210"/>
      <c r="AC1668" s="210"/>
      <c r="AD1668" s="210"/>
      <c r="AE1668" s="210"/>
      <c r="AF1668" s="210"/>
      <c r="AG1668" s="210"/>
      <c r="AH1668" s="210"/>
      <c r="AI1668" s="210"/>
      <c r="AJ1668" s="210"/>
    </row>
    <row r="1669" ht="14.25" customHeight="1">
      <c r="A1669" s="210"/>
      <c r="B1669" s="210"/>
      <c r="C1669" s="210"/>
      <c r="D1669" s="210"/>
      <c r="E1669" s="210"/>
      <c r="F1669" s="210"/>
      <c r="G1669" s="210"/>
      <c r="H1669" s="210"/>
      <c r="I1669" s="210"/>
      <c r="J1669" s="210"/>
      <c r="K1669" s="210"/>
      <c r="L1669" s="210"/>
      <c r="M1669" s="210"/>
      <c r="N1669" s="210"/>
      <c r="O1669" s="210"/>
      <c r="P1669" s="210"/>
      <c r="Q1669" s="210"/>
      <c r="R1669" s="210"/>
      <c r="S1669" s="210"/>
      <c r="T1669" s="210"/>
      <c r="U1669" s="210"/>
      <c r="V1669" s="210"/>
      <c r="W1669" s="210"/>
      <c r="X1669" s="210"/>
      <c r="Y1669" s="210"/>
      <c r="Z1669" s="210"/>
      <c r="AA1669" s="210"/>
      <c r="AB1669" s="210"/>
      <c r="AC1669" s="210"/>
      <c r="AD1669" s="210"/>
      <c r="AE1669" s="210"/>
      <c r="AF1669" s="210"/>
      <c r="AG1669" s="210"/>
      <c r="AH1669" s="210"/>
      <c r="AI1669" s="210"/>
      <c r="AJ1669" s="210"/>
    </row>
    <row r="1670" ht="14.25" customHeight="1">
      <c r="A1670" s="210"/>
      <c r="B1670" s="210"/>
      <c r="C1670" s="210"/>
      <c r="D1670" s="210"/>
      <c r="E1670" s="210"/>
      <c r="F1670" s="210"/>
      <c r="G1670" s="210"/>
      <c r="H1670" s="210"/>
      <c r="I1670" s="210"/>
      <c r="J1670" s="210"/>
      <c r="K1670" s="210"/>
      <c r="L1670" s="210"/>
      <c r="M1670" s="210"/>
      <c r="N1670" s="210"/>
      <c r="O1670" s="210"/>
      <c r="P1670" s="210"/>
      <c r="Q1670" s="210"/>
      <c r="R1670" s="210"/>
      <c r="S1670" s="210"/>
      <c r="T1670" s="210"/>
      <c r="U1670" s="210"/>
      <c r="V1670" s="210"/>
      <c r="W1670" s="210"/>
      <c r="X1670" s="210"/>
      <c r="Y1670" s="210"/>
      <c r="Z1670" s="210"/>
      <c r="AA1670" s="210"/>
      <c r="AB1670" s="210"/>
      <c r="AC1670" s="210"/>
      <c r="AD1670" s="210"/>
      <c r="AE1670" s="210"/>
      <c r="AF1670" s="210"/>
      <c r="AG1670" s="210"/>
      <c r="AH1670" s="210"/>
      <c r="AI1670" s="210"/>
      <c r="AJ1670" s="210"/>
    </row>
    <row r="1671" ht="14.25" customHeight="1">
      <c r="A1671" s="210"/>
      <c r="B1671" s="210"/>
      <c r="C1671" s="210"/>
      <c r="D1671" s="210"/>
      <c r="E1671" s="210"/>
      <c r="F1671" s="210"/>
      <c r="G1671" s="210"/>
      <c r="H1671" s="210"/>
      <c r="I1671" s="210"/>
      <c r="J1671" s="210"/>
      <c r="K1671" s="210"/>
      <c r="L1671" s="210"/>
      <c r="M1671" s="210"/>
      <c r="N1671" s="210"/>
      <c r="O1671" s="210"/>
      <c r="P1671" s="210"/>
      <c r="Q1671" s="210"/>
      <c r="R1671" s="210"/>
      <c r="S1671" s="210"/>
      <c r="T1671" s="210"/>
      <c r="U1671" s="210"/>
      <c r="V1671" s="210"/>
      <c r="W1671" s="210"/>
      <c r="X1671" s="210"/>
      <c r="Y1671" s="210"/>
      <c r="Z1671" s="210"/>
      <c r="AA1671" s="210"/>
      <c r="AB1671" s="210"/>
      <c r="AC1671" s="210"/>
      <c r="AD1671" s="210"/>
      <c r="AE1671" s="210"/>
      <c r="AF1671" s="210"/>
      <c r="AG1671" s="210"/>
      <c r="AH1671" s="210"/>
      <c r="AI1671" s="210"/>
      <c r="AJ1671" s="210"/>
    </row>
    <row r="1672" ht="14.25" customHeight="1">
      <c r="A1672" s="210"/>
      <c r="B1672" s="210"/>
      <c r="C1672" s="210"/>
      <c r="D1672" s="210"/>
      <c r="E1672" s="210"/>
      <c r="F1672" s="210"/>
      <c r="G1672" s="210"/>
      <c r="H1672" s="210"/>
      <c r="I1672" s="210"/>
      <c r="J1672" s="210"/>
      <c r="K1672" s="210"/>
      <c r="L1672" s="210"/>
      <c r="M1672" s="210"/>
      <c r="N1672" s="210"/>
      <c r="O1672" s="210"/>
      <c r="P1672" s="210"/>
      <c r="Q1672" s="210"/>
      <c r="R1672" s="210"/>
      <c r="S1672" s="210"/>
      <c r="T1672" s="210"/>
      <c r="U1672" s="210"/>
      <c r="V1672" s="210"/>
      <c r="W1672" s="210"/>
      <c r="X1672" s="210"/>
      <c r="Y1672" s="210"/>
      <c r="Z1672" s="210"/>
      <c r="AA1672" s="210"/>
      <c r="AB1672" s="210"/>
      <c r="AC1672" s="210"/>
      <c r="AD1672" s="210"/>
      <c r="AE1672" s="210"/>
      <c r="AF1672" s="210"/>
      <c r="AG1672" s="210"/>
      <c r="AH1672" s="210"/>
      <c r="AI1672" s="210"/>
      <c r="AJ1672" s="210"/>
    </row>
    <row r="1673" ht="14.25" customHeight="1">
      <c r="A1673" s="210"/>
      <c r="B1673" s="210"/>
      <c r="C1673" s="210"/>
      <c r="D1673" s="210"/>
      <c r="E1673" s="210"/>
      <c r="F1673" s="210"/>
      <c r="G1673" s="210"/>
      <c r="H1673" s="210"/>
      <c r="I1673" s="210"/>
      <c r="J1673" s="210"/>
      <c r="K1673" s="210"/>
      <c r="L1673" s="210"/>
      <c r="M1673" s="210"/>
      <c r="N1673" s="210"/>
      <c r="O1673" s="210"/>
      <c r="P1673" s="210"/>
      <c r="Q1673" s="210"/>
      <c r="R1673" s="210"/>
      <c r="S1673" s="210"/>
      <c r="T1673" s="210"/>
      <c r="U1673" s="210"/>
      <c r="V1673" s="210"/>
      <c r="W1673" s="210"/>
      <c r="X1673" s="210"/>
      <c r="Y1673" s="210"/>
      <c r="Z1673" s="210"/>
      <c r="AA1673" s="210"/>
      <c r="AB1673" s="210"/>
      <c r="AC1673" s="210"/>
      <c r="AD1673" s="210"/>
      <c r="AE1673" s="210"/>
      <c r="AF1673" s="210"/>
      <c r="AG1673" s="210"/>
      <c r="AH1673" s="210"/>
      <c r="AI1673" s="210"/>
      <c r="AJ1673" s="210"/>
    </row>
    <row r="1674" ht="14.25" customHeight="1">
      <c r="A1674" s="210"/>
      <c r="B1674" s="210"/>
      <c r="C1674" s="210"/>
      <c r="D1674" s="210"/>
      <c r="E1674" s="210"/>
      <c r="F1674" s="210"/>
      <c r="G1674" s="210"/>
      <c r="H1674" s="210"/>
      <c r="I1674" s="210"/>
      <c r="J1674" s="210"/>
      <c r="K1674" s="210"/>
      <c r="L1674" s="210"/>
      <c r="M1674" s="210"/>
      <c r="N1674" s="210"/>
      <c r="O1674" s="210"/>
      <c r="P1674" s="210"/>
      <c r="Q1674" s="210"/>
      <c r="R1674" s="210"/>
      <c r="S1674" s="210"/>
      <c r="T1674" s="210"/>
      <c r="U1674" s="210"/>
      <c r="V1674" s="210"/>
      <c r="W1674" s="210"/>
      <c r="X1674" s="210"/>
      <c r="Y1674" s="210"/>
      <c r="Z1674" s="210"/>
      <c r="AA1674" s="210"/>
      <c r="AB1674" s="210"/>
      <c r="AC1674" s="210"/>
      <c r="AD1674" s="210"/>
      <c r="AE1674" s="210"/>
      <c r="AF1674" s="210"/>
      <c r="AG1674" s="210"/>
      <c r="AH1674" s="210"/>
      <c r="AI1674" s="210"/>
      <c r="AJ1674" s="210"/>
    </row>
    <row r="1675" ht="14.25" customHeight="1">
      <c r="A1675" s="210"/>
      <c r="B1675" s="210"/>
      <c r="C1675" s="210"/>
      <c r="D1675" s="210"/>
      <c r="E1675" s="210"/>
      <c r="F1675" s="210"/>
      <c r="G1675" s="210"/>
      <c r="H1675" s="210"/>
      <c r="I1675" s="210"/>
      <c r="J1675" s="210"/>
      <c r="K1675" s="210"/>
      <c r="L1675" s="210"/>
      <c r="M1675" s="210"/>
      <c r="N1675" s="210"/>
      <c r="O1675" s="210"/>
      <c r="P1675" s="210"/>
      <c r="Q1675" s="210"/>
      <c r="R1675" s="210"/>
      <c r="S1675" s="210"/>
      <c r="T1675" s="210"/>
      <c r="U1675" s="210"/>
      <c r="V1675" s="210"/>
      <c r="W1675" s="210"/>
      <c r="X1675" s="210"/>
      <c r="Y1675" s="210"/>
      <c r="Z1675" s="210"/>
      <c r="AA1675" s="210"/>
      <c r="AB1675" s="210"/>
      <c r="AC1675" s="210"/>
      <c r="AD1675" s="210"/>
      <c r="AE1675" s="210"/>
      <c r="AF1675" s="210"/>
      <c r="AG1675" s="210"/>
      <c r="AH1675" s="210"/>
      <c r="AI1675" s="210"/>
      <c r="AJ1675" s="210"/>
    </row>
    <row r="1676" ht="14.25" customHeight="1">
      <c r="A1676" s="210"/>
      <c r="B1676" s="210"/>
      <c r="C1676" s="210"/>
      <c r="D1676" s="210"/>
      <c r="E1676" s="210"/>
      <c r="F1676" s="210"/>
      <c r="G1676" s="210"/>
      <c r="H1676" s="210"/>
      <c r="I1676" s="210"/>
      <c r="J1676" s="210"/>
      <c r="K1676" s="210"/>
      <c r="L1676" s="210"/>
      <c r="M1676" s="210"/>
      <c r="N1676" s="210"/>
      <c r="O1676" s="210"/>
      <c r="P1676" s="210"/>
      <c r="Q1676" s="210"/>
      <c r="R1676" s="210"/>
      <c r="S1676" s="210"/>
      <c r="T1676" s="210"/>
      <c r="U1676" s="210"/>
      <c r="V1676" s="210"/>
      <c r="W1676" s="210"/>
      <c r="X1676" s="210"/>
      <c r="Y1676" s="210"/>
      <c r="Z1676" s="210"/>
      <c r="AA1676" s="210"/>
      <c r="AB1676" s="210"/>
      <c r="AC1676" s="210"/>
      <c r="AD1676" s="210"/>
      <c r="AE1676" s="210"/>
      <c r="AF1676" s="210"/>
      <c r="AG1676" s="210"/>
      <c r="AH1676" s="210"/>
      <c r="AI1676" s="210"/>
      <c r="AJ1676" s="210"/>
    </row>
    <row r="1677" ht="14.25" customHeight="1">
      <c r="A1677" s="210"/>
      <c r="B1677" s="210"/>
      <c r="C1677" s="210"/>
      <c r="D1677" s="210"/>
      <c r="E1677" s="210"/>
      <c r="F1677" s="210"/>
      <c r="G1677" s="210"/>
      <c r="H1677" s="210"/>
      <c r="I1677" s="210"/>
      <c r="J1677" s="210"/>
      <c r="K1677" s="210"/>
      <c r="L1677" s="210"/>
      <c r="M1677" s="210"/>
      <c r="N1677" s="210"/>
      <c r="O1677" s="210"/>
      <c r="P1677" s="210"/>
      <c r="Q1677" s="210"/>
      <c r="R1677" s="210"/>
      <c r="S1677" s="210"/>
      <c r="T1677" s="210"/>
      <c r="U1677" s="210"/>
      <c r="V1677" s="210"/>
      <c r="W1677" s="210"/>
      <c r="X1677" s="210"/>
      <c r="Y1677" s="210"/>
      <c r="Z1677" s="210"/>
      <c r="AA1677" s="210"/>
      <c r="AB1677" s="210"/>
      <c r="AC1677" s="210"/>
      <c r="AD1677" s="210"/>
      <c r="AE1677" s="210"/>
      <c r="AF1677" s="210"/>
      <c r="AG1677" s="210"/>
      <c r="AH1677" s="210"/>
      <c r="AI1677" s="210"/>
      <c r="AJ1677" s="210"/>
    </row>
    <row r="1678" ht="14.25" customHeight="1">
      <c r="A1678" s="210"/>
      <c r="B1678" s="210"/>
      <c r="C1678" s="210"/>
      <c r="D1678" s="210"/>
      <c r="E1678" s="210"/>
      <c r="F1678" s="210"/>
      <c r="G1678" s="210"/>
      <c r="H1678" s="210"/>
      <c r="I1678" s="210"/>
      <c r="J1678" s="210"/>
      <c r="K1678" s="210"/>
      <c r="L1678" s="210"/>
      <c r="M1678" s="210"/>
      <c r="N1678" s="210"/>
      <c r="O1678" s="210"/>
      <c r="P1678" s="210"/>
      <c r="Q1678" s="210"/>
      <c r="R1678" s="210"/>
      <c r="S1678" s="210"/>
      <c r="T1678" s="210"/>
      <c r="U1678" s="210"/>
      <c r="V1678" s="210"/>
      <c r="W1678" s="210"/>
      <c r="X1678" s="210"/>
      <c r="Y1678" s="210"/>
      <c r="Z1678" s="210"/>
      <c r="AA1678" s="210"/>
      <c r="AB1678" s="210"/>
      <c r="AC1678" s="210"/>
      <c r="AD1678" s="210"/>
      <c r="AE1678" s="210"/>
      <c r="AF1678" s="210"/>
      <c r="AG1678" s="210"/>
      <c r="AH1678" s="210"/>
      <c r="AI1678" s="210"/>
      <c r="AJ1678" s="210"/>
    </row>
    <row r="1679" ht="14.25" customHeight="1">
      <c r="A1679" s="210"/>
      <c r="B1679" s="210"/>
      <c r="C1679" s="210"/>
      <c r="D1679" s="210"/>
      <c r="E1679" s="210"/>
      <c r="F1679" s="210"/>
      <c r="G1679" s="210"/>
      <c r="H1679" s="210"/>
      <c r="I1679" s="210"/>
      <c r="J1679" s="210"/>
      <c r="K1679" s="210"/>
      <c r="L1679" s="210"/>
      <c r="M1679" s="210"/>
      <c r="N1679" s="210"/>
      <c r="O1679" s="210"/>
      <c r="P1679" s="210"/>
      <c r="Q1679" s="210"/>
      <c r="R1679" s="210"/>
      <c r="S1679" s="210"/>
      <c r="T1679" s="210"/>
      <c r="U1679" s="210"/>
      <c r="V1679" s="210"/>
      <c r="W1679" s="210"/>
      <c r="X1679" s="210"/>
      <c r="Y1679" s="210"/>
      <c r="Z1679" s="210"/>
      <c r="AA1679" s="210"/>
      <c r="AB1679" s="210"/>
      <c r="AC1679" s="210"/>
      <c r="AD1679" s="210"/>
      <c r="AE1679" s="210"/>
      <c r="AF1679" s="210"/>
      <c r="AG1679" s="210"/>
      <c r="AH1679" s="210"/>
      <c r="AI1679" s="210"/>
      <c r="AJ1679" s="210"/>
    </row>
    <row r="1680" ht="14.25" customHeight="1">
      <c r="A1680" s="210"/>
      <c r="B1680" s="210"/>
      <c r="C1680" s="210"/>
      <c r="D1680" s="210"/>
      <c r="E1680" s="210"/>
      <c r="F1680" s="210"/>
      <c r="G1680" s="210"/>
      <c r="H1680" s="210"/>
      <c r="I1680" s="210"/>
      <c r="J1680" s="210"/>
      <c r="K1680" s="210"/>
      <c r="L1680" s="210"/>
      <c r="M1680" s="210"/>
      <c r="N1680" s="210"/>
      <c r="O1680" s="210"/>
      <c r="P1680" s="210"/>
      <c r="Q1680" s="210"/>
      <c r="R1680" s="210"/>
      <c r="S1680" s="210"/>
      <c r="T1680" s="210"/>
      <c r="U1680" s="210"/>
      <c r="V1680" s="210"/>
      <c r="W1680" s="210"/>
      <c r="X1680" s="210"/>
      <c r="Y1680" s="210"/>
      <c r="Z1680" s="210"/>
      <c r="AA1680" s="210"/>
      <c r="AB1680" s="210"/>
      <c r="AC1680" s="210"/>
      <c r="AD1680" s="210"/>
      <c r="AE1680" s="210"/>
      <c r="AF1680" s="210"/>
      <c r="AG1680" s="210"/>
      <c r="AH1680" s="210"/>
      <c r="AI1680" s="210"/>
      <c r="AJ1680" s="210"/>
    </row>
    <row r="1681" ht="14.25" customHeight="1">
      <c r="A1681" s="210"/>
      <c r="B1681" s="210"/>
      <c r="C1681" s="210"/>
      <c r="D1681" s="210"/>
      <c r="E1681" s="210"/>
      <c r="F1681" s="210"/>
      <c r="G1681" s="210"/>
      <c r="H1681" s="210"/>
      <c r="I1681" s="210"/>
      <c r="J1681" s="210"/>
      <c r="K1681" s="210"/>
      <c r="L1681" s="210"/>
      <c r="M1681" s="210"/>
      <c r="N1681" s="210"/>
      <c r="O1681" s="210"/>
      <c r="P1681" s="210"/>
      <c r="Q1681" s="210"/>
      <c r="R1681" s="210"/>
      <c r="S1681" s="210"/>
      <c r="T1681" s="210"/>
      <c r="U1681" s="210"/>
      <c r="V1681" s="210"/>
      <c r="W1681" s="210"/>
      <c r="X1681" s="210"/>
      <c r="Y1681" s="210"/>
      <c r="Z1681" s="210"/>
      <c r="AA1681" s="210"/>
      <c r="AB1681" s="210"/>
      <c r="AC1681" s="210"/>
      <c r="AD1681" s="210"/>
      <c r="AE1681" s="210"/>
      <c r="AF1681" s="210"/>
      <c r="AG1681" s="210"/>
      <c r="AH1681" s="210"/>
      <c r="AI1681" s="210"/>
      <c r="AJ1681" s="210"/>
    </row>
    <row r="1682" ht="14.25" customHeight="1">
      <c r="A1682" s="210"/>
      <c r="B1682" s="210"/>
      <c r="C1682" s="210"/>
      <c r="D1682" s="210"/>
      <c r="E1682" s="210"/>
      <c r="F1682" s="210"/>
      <c r="G1682" s="210"/>
      <c r="H1682" s="210"/>
      <c r="I1682" s="210"/>
      <c r="J1682" s="210"/>
      <c r="K1682" s="210"/>
      <c r="L1682" s="210"/>
      <c r="M1682" s="210"/>
      <c r="N1682" s="210"/>
      <c r="O1682" s="210"/>
      <c r="P1682" s="210"/>
      <c r="Q1682" s="210"/>
      <c r="R1682" s="210"/>
      <c r="S1682" s="210"/>
      <c r="T1682" s="210"/>
      <c r="U1682" s="210"/>
      <c r="V1682" s="210"/>
      <c r="W1682" s="210"/>
      <c r="X1682" s="210"/>
      <c r="Y1682" s="210"/>
      <c r="Z1682" s="210"/>
      <c r="AA1682" s="210"/>
      <c r="AB1682" s="210"/>
      <c r="AC1682" s="210"/>
      <c r="AD1682" s="210"/>
      <c r="AE1682" s="210"/>
      <c r="AF1682" s="210"/>
      <c r="AG1682" s="210"/>
      <c r="AH1682" s="210"/>
      <c r="AI1682" s="210"/>
      <c r="AJ1682" s="210"/>
    </row>
    <row r="1683" ht="14.25" customHeight="1">
      <c r="A1683" s="210"/>
      <c r="B1683" s="210"/>
      <c r="C1683" s="210"/>
      <c r="D1683" s="210"/>
      <c r="E1683" s="210"/>
      <c r="F1683" s="210"/>
      <c r="G1683" s="210"/>
      <c r="H1683" s="210"/>
      <c r="I1683" s="210"/>
      <c r="J1683" s="210"/>
      <c r="K1683" s="210"/>
      <c r="L1683" s="210"/>
      <c r="M1683" s="210"/>
      <c r="N1683" s="210"/>
      <c r="O1683" s="210"/>
      <c r="P1683" s="210"/>
      <c r="Q1683" s="210"/>
      <c r="R1683" s="210"/>
      <c r="S1683" s="210"/>
      <c r="T1683" s="210"/>
      <c r="U1683" s="210"/>
      <c r="V1683" s="210"/>
      <c r="W1683" s="210"/>
      <c r="X1683" s="210"/>
      <c r="Y1683" s="210"/>
      <c r="Z1683" s="210"/>
      <c r="AA1683" s="210"/>
      <c r="AB1683" s="210"/>
      <c r="AC1683" s="210"/>
      <c r="AD1683" s="210"/>
      <c r="AE1683" s="210"/>
      <c r="AF1683" s="210"/>
      <c r="AG1683" s="210"/>
      <c r="AH1683" s="210"/>
      <c r="AI1683" s="210"/>
      <c r="AJ1683" s="210"/>
    </row>
    <row r="1684" ht="14.25" customHeight="1">
      <c r="A1684" s="210"/>
      <c r="B1684" s="210"/>
      <c r="C1684" s="210"/>
      <c r="D1684" s="210"/>
      <c r="E1684" s="210"/>
      <c r="F1684" s="210"/>
      <c r="G1684" s="210"/>
      <c r="H1684" s="210"/>
      <c r="I1684" s="210"/>
      <c r="J1684" s="210"/>
      <c r="K1684" s="210"/>
      <c r="L1684" s="210"/>
      <c r="M1684" s="210"/>
      <c r="N1684" s="210"/>
      <c r="O1684" s="210"/>
      <c r="P1684" s="210"/>
      <c r="Q1684" s="210"/>
      <c r="R1684" s="210"/>
      <c r="S1684" s="210"/>
      <c r="T1684" s="210"/>
      <c r="U1684" s="210"/>
      <c r="V1684" s="210"/>
      <c r="W1684" s="210"/>
      <c r="X1684" s="210"/>
      <c r="Y1684" s="210"/>
      <c r="Z1684" s="210"/>
      <c r="AA1684" s="210"/>
      <c r="AB1684" s="210"/>
      <c r="AC1684" s="210"/>
      <c r="AD1684" s="210"/>
      <c r="AE1684" s="210"/>
      <c r="AF1684" s="210"/>
      <c r="AG1684" s="210"/>
      <c r="AH1684" s="210"/>
      <c r="AI1684" s="210"/>
      <c r="AJ1684" s="210"/>
    </row>
    <row r="1685" ht="14.25" customHeight="1">
      <c r="A1685" s="210"/>
      <c r="B1685" s="210"/>
      <c r="C1685" s="210"/>
      <c r="D1685" s="210"/>
      <c r="E1685" s="210"/>
      <c r="F1685" s="210"/>
      <c r="G1685" s="210"/>
      <c r="H1685" s="210"/>
      <c r="I1685" s="210"/>
      <c r="J1685" s="210"/>
      <c r="K1685" s="210"/>
      <c r="L1685" s="210"/>
      <c r="M1685" s="210"/>
      <c r="N1685" s="210"/>
      <c r="O1685" s="210"/>
      <c r="P1685" s="210"/>
      <c r="Q1685" s="210"/>
      <c r="R1685" s="210"/>
      <c r="S1685" s="210"/>
      <c r="T1685" s="210"/>
      <c r="U1685" s="210"/>
      <c r="V1685" s="210"/>
      <c r="W1685" s="210"/>
      <c r="X1685" s="210"/>
      <c r="Y1685" s="210"/>
      <c r="Z1685" s="210"/>
      <c r="AA1685" s="210"/>
      <c r="AB1685" s="210"/>
      <c r="AC1685" s="210"/>
      <c r="AD1685" s="210"/>
      <c r="AE1685" s="210"/>
      <c r="AF1685" s="210"/>
      <c r="AG1685" s="210"/>
      <c r="AH1685" s="210"/>
      <c r="AI1685" s="210"/>
      <c r="AJ1685" s="210"/>
    </row>
    <row r="1686" ht="14.25" customHeight="1">
      <c r="A1686" s="210"/>
      <c r="B1686" s="210"/>
      <c r="C1686" s="210"/>
      <c r="D1686" s="210"/>
      <c r="E1686" s="210"/>
      <c r="F1686" s="210"/>
      <c r="G1686" s="210"/>
      <c r="H1686" s="210"/>
      <c r="I1686" s="210"/>
      <c r="J1686" s="210"/>
      <c r="K1686" s="210"/>
      <c r="L1686" s="210"/>
      <c r="M1686" s="210"/>
      <c r="N1686" s="210"/>
      <c r="O1686" s="210"/>
      <c r="P1686" s="210"/>
      <c r="Q1686" s="210"/>
      <c r="R1686" s="210"/>
      <c r="S1686" s="210"/>
      <c r="T1686" s="210"/>
      <c r="U1686" s="210"/>
      <c r="V1686" s="210"/>
      <c r="W1686" s="210"/>
      <c r="X1686" s="210"/>
      <c r="Y1686" s="210"/>
      <c r="Z1686" s="210"/>
      <c r="AA1686" s="210"/>
      <c r="AB1686" s="210"/>
      <c r="AC1686" s="210"/>
      <c r="AD1686" s="210"/>
      <c r="AE1686" s="210"/>
      <c r="AF1686" s="210"/>
      <c r="AG1686" s="210"/>
      <c r="AH1686" s="210"/>
      <c r="AI1686" s="210"/>
      <c r="AJ1686" s="210"/>
    </row>
    <row r="1687" ht="14.25" customHeight="1">
      <c r="A1687" s="210"/>
      <c r="B1687" s="210"/>
      <c r="C1687" s="210"/>
      <c r="D1687" s="210"/>
      <c r="E1687" s="210"/>
      <c r="F1687" s="210"/>
      <c r="G1687" s="210"/>
      <c r="H1687" s="210"/>
      <c r="I1687" s="210"/>
      <c r="J1687" s="210"/>
      <c r="K1687" s="210"/>
      <c r="L1687" s="210"/>
      <c r="M1687" s="210"/>
      <c r="N1687" s="210"/>
      <c r="O1687" s="210"/>
      <c r="P1687" s="210"/>
      <c r="Q1687" s="210"/>
      <c r="R1687" s="210"/>
      <c r="S1687" s="210"/>
      <c r="T1687" s="210"/>
      <c r="U1687" s="210"/>
      <c r="V1687" s="210"/>
      <c r="W1687" s="210"/>
      <c r="X1687" s="210"/>
      <c r="Y1687" s="210"/>
      <c r="Z1687" s="210"/>
      <c r="AA1687" s="210"/>
      <c r="AB1687" s="210"/>
      <c r="AC1687" s="210"/>
      <c r="AD1687" s="210"/>
      <c r="AE1687" s="210"/>
      <c r="AF1687" s="210"/>
      <c r="AG1687" s="210"/>
      <c r="AH1687" s="210"/>
      <c r="AI1687" s="210"/>
      <c r="AJ1687" s="210"/>
    </row>
    <row r="1688" ht="14.25" customHeight="1">
      <c r="A1688" s="210"/>
      <c r="B1688" s="210"/>
      <c r="C1688" s="210"/>
      <c r="D1688" s="210"/>
      <c r="E1688" s="210"/>
      <c r="F1688" s="210"/>
      <c r="G1688" s="210"/>
      <c r="H1688" s="210"/>
      <c r="I1688" s="210"/>
      <c r="J1688" s="210"/>
      <c r="K1688" s="210"/>
      <c r="L1688" s="210"/>
      <c r="M1688" s="210"/>
      <c r="N1688" s="210"/>
      <c r="O1688" s="210"/>
      <c r="P1688" s="210"/>
      <c r="Q1688" s="210"/>
      <c r="R1688" s="210"/>
      <c r="S1688" s="210"/>
      <c r="T1688" s="210"/>
      <c r="U1688" s="210"/>
      <c r="V1688" s="210"/>
      <c r="W1688" s="210"/>
      <c r="X1688" s="210"/>
      <c r="Y1688" s="210"/>
      <c r="Z1688" s="210"/>
      <c r="AA1688" s="210"/>
      <c r="AB1688" s="210"/>
      <c r="AC1688" s="210"/>
      <c r="AD1688" s="210"/>
      <c r="AE1688" s="210"/>
      <c r="AF1688" s="210"/>
      <c r="AG1688" s="210"/>
      <c r="AH1688" s="210"/>
      <c r="AI1688" s="210"/>
      <c r="AJ1688" s="210"/>
    </row>
    <row r="1689" ht="14.25" customHeight="1">
      <c r="A1689" s="210"/>
      <c r="B1689" s="210"/>
      <c r="C1689" s="210"/>
      <c r="D1689" s="210"/>
      <c r="E1689" s="210"/>
      <c r="F1689" s="210"/>
      <c r="G1689" s="210"/>
      <c r="H1689" s="210"/>
      <c r="I1689" s="210"/>
      <c r="J1689" s="210"/>
      <c r="K1689" s="210"/>
      <c r="L1689" s="210"/>
      <c r="M1689" s="210"/>
      <c r="N1689" s="210"/>
      <c r="O1689" s="210"/>
      <c r="P1689" s="210"/>
      <c r="Q1689" s="210"/>
      <c r="R1689" s="210"/>
      <c r="S1689" s="210"/>
      <c r="T1689" s="210"/>
      <c r="U1689" s="210"/>
      <c r="V1689" s="210"/>
      <c r="W1689" s="210"/>
      <c r="X1689" s="210"/>
      <c r="Y1689" s="210"/>
      <c r="Z1689" s="210"/>
      <c r="AA1689" s="210"/>
      <c r="AB1689" s="210"/>
      <c r="AC1689" s="210"/>
      <c r="AD1689" s="210"/>
      <c r="AE1689" s="210"/>
      <c r="AF1689" s="210"/>
      <c r="AG1689" s="210"/>
      <c r="AH1689" s="210"/>
      <c r="AI1689" s="210"/>
      <c r="AJ1689" s="210"/>
    </row>
    <row r="1690" ht="14.25" customHeight="1">
      <c r="A1690" s="210"/>
      <c r="B1690" s="210"/>
      <c r="C1690" s="210"/>
      <c r="D1690" s="210"/>
      <c r="E1690" s="210"/>
      <c r="F1690" s="210"/>
      <c r="G1690" s="210"/>
      <c r="H1690" s="210"/>
      <c r="I1690" s="210"/>
      <c r="J1690" s="210"/>
      <c r="K1690" s="210"/>
      <c r="L1690" s="210"/>
      <c r="M1690" s="210"/>
      <c r="N1690" s="210"/>
      <c r="O1690" s="210"/>
      <c r="P1690" s="210"/>
      <c r="Q1690" s="210"/>
      <c r="R1690" s="210"/>
      <c r="S1690" s="210"/>
      <c r="T1690" s="210"/>
      <c r="U1690" s="210"/>
      <c r="V1690" s="210"/>
      <c r="W1690" s="210"/>
      <c r="X1690" s="210"/>
      <c r="Y1690" s="210"/>
      <c r="Z1690" s="210"/>
      <c r="AA1690" s="210"/>
      <c r="AB1690" s="210"/>
      <c r="AC1690" s="210"/>
      <c r="AD1690" s="210"/>
      <c r="AE1690" s="210"/>
      <c r="AF1690" s="210"/>
      <c r="AG1690" s="210"/>
      <c r="AH1690" s="210"/>
      <c r="AI1690" s="210"/>
      <c r="AJ1690" s="210"/>
    </row>
    <row r="1691" ht="14.25" customHeight="1">
      <c r="A1691" s="210"/>
      <c r="B1691" s="210"/>
      <c r="C1691" s="210"/>
      <c r="D1691" s="210"/>
      <c r="E1691" s="210"/>
      <c r="F1691" s="210"/>
      <c r="G1691" s="210"/>
      <c r="H1691" s="210"/>
      <c r="I1691" s="210"/>
      <c r="J1691" s="210"/>
      <c r="K1691" s="210"/>
      <c r="L1691" s="210"/>
      <c r="M1691" s="210"/>
      <c r="N1691" s="210"/>
      <c r="O1691" s="210"/>
      <c r="P1691" s="210"/>
      <c r="Q1691" s="210"/>
      <c r="R1691" s="210"/>
      <c r="S1691" s="210"/>
      <c r="T1691" s="210"/>
      <c r="U1691" s="210"/>
      <c r="V1691" s="210"/>
      <c r="W1691" s="210"/>
      <c r="X1691" s="210"/>
      <c r="Y1691" s="210"/>
      <c r="Z1691" s="210"/>
      <c r="AA1691" s="210"/>
      <c r="AB1691" s="210"/>
      <c r="AC1691" s="210"/>
      <c r="AD1691" s="210"/>
      <c r="AE1691" s="210"/>
      <c r="AF1691" s="210"/>
      <c r="AG1691" s="210"/>
      <c r="AH1691" s="210"/>
      <c r="AI1691" s="210"/>
      <c r="AJ1691" s="210"/>
    </row>
    <row r="1692" ht="14.25" customHeight="1">
      <c r="A1692" s="210"/>
      <c r="B1692" s="210"/>
      <c r="C1692" s="210"/>
      <c r="D1692" s="210"/>
      <c r="E1692" s="210"/>
      <c r="F1692" s="210"/>
      <c r="G1692" s="210"/>
      <c r="H1692" s="210"/>
      <c r="I1692" s="210"/>
      <c r="J1692" s="210"/>
      <c r="K1692" s="210"/>
      <c r="L1692" s="210"/>
      <c r="M1692" s="210"/>
      <c r="N1692" s="210"/>
      <c r="O1692" s="210"/>
      <c r="P1692" s="210"/>
      <c r="Q1692" s="210"/>
      <c r="R1692" s="210"/>
      <c r="S1692" s="210"/>
      <c r="T1692" s="210"/>
      <c r="U1692" s="210"/>
      <c r="V1692" s="210"/>
      <c r="W1692" s="210"/>
      <c r="X1692" s="210"/>
      <c r="Y1692" s="210"/>
      <c r="Z1692" s="210"/>
      <c r="AA1692" s="210"/>
      <c r="AB1692" s="210"/>
      <c r="AC1692" s="210"/>
      <c r="AD1692" s="210"/>
      <c r="AE1692" s="210"/>
      <c r="AF1692" s="210"/>
      <c r="AG1692" s="210"/>
      <c r="AH1692" s="210"/>
      <c r="AI1692" s="210"/>
      <c r="AJ1692" s="210"/>
    </row>
    <row r="1693" ht="14.25" customHeight="1">
      <c r="A1693" s="210"/>
      <c r="B1693" s="210"/>
      <c r="C1693" s="210"/>
      <c r="D1693" s="210"/>
      <c r="E1693" s="210"/>
      <c r="F1693" s="210"/>
      <c r="G1693" s="210"/>
      <c r="H1693" s="210"/>
      <c r="I1693" s="210"/>
      <c r="J1693" s="210"/>
      <c r="K1693" s="210"/>
      <c r="L1693" s="210"/>
      <c r="M1693" s="210"/>
      <c r="N1693" s="210"/>
      <c r="O1693" s="210"/>
      <c r="P1693" s="210"/>
      <c r="Q1693" s="210"/>
      <c r="R1693" s="210"/>
      <c r="S1693" s="210"/>
      <c r="T1693" s="210"/>
      <c r="U1693" s="210"/>
      <c r="V1693" s="210"/>
      <c r="W1693" s="210"/>
      <c r="X1693" s="210"/>
      <c r="Y1693" s="210"/>
      <c r="Z1693" s="210"/>
      <c r="AA1693" s="210"/>
      <c r="AB1693" s="210"/>
      <c r="AC1693" s="210"/>
      <c r="AD1693" s="210"/>
      <c r="AE1693" s="210"/>
      <c r="AF1693" s="210"/>
      <c r="AG1693" s="210"/>
      <c r="AH1693" s="210"/>
      <c r="AI1693" s="210"/>
      <c r="AJ1693" s="210"/>
    </row>
    <row r="1694" ht="14.25" customHeight="1">
      <c r="A1694" s="210"/>
      <c r="B1694" s="210"/>
      <c r="C1694" s="210"/>
      <c r="D1694" s="210"/>
      <c r="E1694" s="210"/>
      <c r="F1694" s="210"/>
      <c r="G1694" s="210"/>
      <c r="H1694" s="210"/>
      <c r="I1694" s="210"/>
      <c r="J1694" s="210"/>
      <c r="K1694" s="210"/>
      <c r="L1694" s="210"/>
      <c r="M1694" s="210"/>
      <c r="N1694" s="210"/>
      <c r="O1694" s="210"/>
      <c r="P1694" s="210"/>
      <c r="Q1694" s="210"/>
      <c r="R1694" s="210"/>
      <c r="S1694" s="210"/>
      <c r="T1694" s="210"/>
      <c r="U1694" s="210"/>
      <c r="V1694" s="210"/>
      <c r="W1694" s="210"/>
      <c r="X1694" s="210"/>
      <c r="Y1694" s="210"/>
      <c r="Z1694" s="210"/>
      <c r="AA1694" s="210"/>
      <c r="AB1694" s="210"/>
      <c r="AC1694" s="210"/>
      <c r="AD1694" s="210"/>
      <c r="AE1694" s="210"/>
      <c r="AF1694" s="210"/>
      <c r="AG1694" s="210"/>
      <c r="AH1694" s="210"/>
      <c r="AI1694" s="210"/>
      <c r="AJ1694" s="210"/>
    </row>
    <row r="1695" ht="14.25" customHeight="1">
      <c r="A1695" s="210"/>
      <c r="B1695" s="210"/>
      <c r="C1695" s="210"/>
      <c r="D1695" s="210"/>
      <c r="E1695" s="210"/>
      <c r="F1695" s="210"/>
      <c r="G1695" s="210"/>
      <c r="H1695" s="210"/>
      <c r="I1695" s="210"/>
      <c r="J1695" s="210"/>
      <c r="K1695" s="210"/>
      <c r="L1695" s="210"/>
      <c r="M1695" s="210"/>
      <c r="N1695" s="210"/>
      <c r="O1695" s="210"/>
      <c r="P1695" s="210"/>
      <c r="Q1695" s="210"/>
      <c r="R1695" s="210"/>
      <c r="S1695" s="210"/>
      <c r="T1695" s="210"/>
      <c r="U1695" s="210"/>
      <c r="V1695" s="210"/>
      <c r="W1695" s="210"/>
      <c r="X1695" s="210"/>
      <c r="Y1695" s="210"/>
      <c r="Z1695" s="210"/>
      <c r="AA1695" s="210"/>
      <c r="AB1695" s="210"/>
      <c r="AC1695" s="210"/>
      <c r="AD1695" s="210"/>
      <c r="AE1695" s="210"/>
      <c r="AF1695" s="210"/>
      <c r="AG1695" s="210"/>
      <c r="AH1695" s="210"/>
      <c r="AI1695" s="210"/>
      <c r="AJ1695" s="210"/>
    </row>
    <row r="1696" ht="14.25" customHeight="1">
      <c r="A1696" s="210"/>
      <c r="B1696" s="210"/>
      <c r="C1696" s="210"/>
      <c r="D1696" s="210"/>
      <c r="E1696" s="210"/>
      <c r="F1696" s="210"/>
      <c r="G1696" s="210"/>
      <c r="H1696" s="210"/>
      <c r="I1696" s="210"/>
      <c r="J1696" s="210"/>
      <c r="K1696" s="210"/>
      <c r="L1696" s="210"/>
      <c r="M1696" s="210"/>
      <c r="N1696" s="210"/>
      <c r="O1696" s="210"/>
      <c r="P1696" s="210"/>
      <c r="Q1696" s="210"/>
      <c r="R1696" s="210"/>
      <c r="S1696" s="210"/>
      <c r="T1696" s="210"/>
      <c r="U1696" s="210"/>
      <c r="V1696" s="210"/>
      <c r="W1696" s="210"/>
      <c r="X1696" s="210"/>
      <c r="Y1696" s="210"/>
      <c r="Z1696" s="210"/>
      <c r="AA1696" s="210"/>
      <c r="AB1696" s="210"/>
      <c r="AC1696" s="210"/>
      <c r="AD1696" s="210"/>
      <c r="AE1696" s="210"/>
      <c r="AF1696" s="210"/>
      <c r="AG1696" s="210"/>
      <c r="AH1696" s="210"/>
      <c r="AI1696" s="210"/>
      <c r="AJ1696" s="210"/>
    </row>
    <row r="1697" ht="14.25" customHeight="1">
      <c r="A1697" s="210"/>
      <c r="B1697" s="210"/>
      <c r="C1697" s="210"/>
      <c r="D1697" s="210"/>
      <c r="E1697" s="210"/>
      <c r="F1697" s="210"/>
      <c r="G1697" s="210"/>
      <c r="H1697" s="210"/>
      <c r="I1697" s="210"/>
      <c r="J1697" s="210"/>
      <c r="K1697" s="210"/>
      <c r="L1697" s="210"/>
      <c r="M1697" s="210"/>
      <c r="N1697" s="210"/>
      <c r="O1697" s="210"/>
      <c r="P1697" s="210"/>
      <c r="Q1697" s="210"/>
      <c r="R1697" s="210"/>
      <c r="S1697" s="210"/>
      <c r="T1697" s="210"/>
      <c r="U1697" s="210"/>
      <c r="V1697" s="210"/>
      <c r="W1697" s="210"/>
      <c r="X1697" s="210"/>
      <c r="Y1697" s="210"/>
      <c r="Z1697" s="210"/>
      <c r="AA1697" s="210"/>
      <c r="AB1697" s="210"/>
      <c r="AC1697" s="210"/>
      <c r="AD1697" s="210"/>
      <c r="AE1697" s="210"/>
      <c r="AF1697" s="210"/>
      <c r="AG1697" s="210"/>
      <c r="AH1697" s="210"/>
      <c r="AI1697" s="210"/>
      <c r="AJ1697" s="210"/>
    </row>
    <row r="1698" ht="14.25" customHeight="1">
      <c r="A1698" s="210"/>
      <c r="B1698" s="210"/>
      <c r="C1698" s="210"/>
      <c r="D1698" s="210"/>
      <c r="E1698" s="210"/>
      <c r="F1698" s="210"/>
      <c r="G1698" s="210"/>
      <c r="H1698" s="210"/>
      <c r="I1698" s="210"/>
      <c r="J1698" s="210"/>
      <c r="K1698" s="210"/>
      <c r="L1698" s="210"/>
      <c r="M1698" s="210"/>
      <c r="N1698" s="210"/>
      <c r="O1698" s="210"/>
      <c r="P1698" s="210"/>
      <c r="Q1698" s="210"/>
      <c r="R1698" s="210"/>
      <c r="S1698" s="210"/>
      <c r="T1698" s="210"/>
      <c r="U1698" s="210"/>
      <c r="V1698" s="210"/>
      <c r="W1698" s="210"/>
      <c r="X1698" s="210"/>
      <c r="Y1698" s="210"/>
      <c r="Z1698" s="210"/>
      <c r="AA1698" s="210"/>
      <c r="AB1698" s="210"/>
      <c r="AC1698" s="210"/>
      <c r="AD1698" s="210"/>
      <c r="AE1698" s="210"/>
      <c r="AF1698" s="210"/>
      <c r="AG1698" s="210"/>
      <c r="AH1698" s="210"/>
      <c r="AI1698" s="210"/>
      <c r="AJ1698" s="210"/>
    </row>
    <row r="1699" ht="14.25" customHeight="1">
      <c r="A1699" s="210"/>
      <c r="B1699" s="210"/>
      <c r="C1699" s="210"/>
      <c r="D1699" s="210"/>
      <c r="E1699" s="210"/>
      <c r="F1699" s="210"/>
      <c r="G1699" s="210"/>
      <c r="H1699" s="210"/>
      <c r="I1699" s="210"/>
      <c r="J1699" s="210"/>
      <c r="K1699" s="210"/>
      <c r="L1699" s="210"/>
      <c r="M1699" s="210"/>
      <c r="N1699" s="210"/>
      <c r="O1699" s="210"/>
      <c r="P1699" s="210"/>
      <c r="Q1699" s="210"/>
      <c r="R1699" s="210"/>
      <c r="S1699" s="210"/>
      <c r="T1699" s="210"/>
      <c r="U1699" s="210"/>
      <c r="V1699" s="210"/>
      <c r="W1699" s="210"/>
      <c r="X1699" s="210"/>
      <c r="Y1699" s="210"/>
      <c r="Z1699" s="210"/>
      <c r="AA1699" s="210"/>
      <c r="AB1699" s="210"/>
      <c r="AC1699" s="210"/>
      <c r="AD1699" s="210"/>
      <c r="AE1699" s="210"/>
      <c r="AF1699" s="210"/>
      <c r="AG1699" s="210"/>
      <c r="AH1699" s="210"/>
      <c r="AI1699" s="210"/>
      <c r="AJ1699" s="210"/>
    </row>
    <row r="1700" ht="14.25" customHeight="1">
      <c r="A1700" s="210"/>
      <c r="B1700" s="210"/>
      <c r="C1700" s="210"/>
      <c r="D1700" s="210"/>
      <c r="E1700" s="210"/>
      <c r="F1700" s="210"/>
      <c r="G1700" s="210"/>
      <c r="H1700" s="210"/>
      <c r="I1700" s="210"/>
      <c r="J1700" s="210"/>
      <c r="K1700" s="210"/>
      <c r="L1700" s="210"/>
      <c r="M1700" s="210"/>
      <c r="N1700" s="210"/>
      <c r="O1700" s="210"/>
      <c r="P1700" s="210"/>
      <c r="Q1700" s="210"/>
      <c r="R1700" s="210"/>
      <c r="S1700" s="210"/>
      <c r="T1700" s="210"/>
      <c r="U1700" s="210"/>
      <c r="V1700" s="210"/>
      <c r="W1700" s="210"/>
      <c r="X1700" s="210"/>
      <c r="Y1700" s="210"/>
      <c r="Z1700" s="210"/>
      <c r="AA1700" s="210"/>
      <c r="AB1700" s="210"/>
      <c r="AC1700" s="210"/>
      <c r="AD1700" s="210"/>
      <c r="AE1700" s="210"/>
      <c r="AF1700" s="210"/>
      <c r="AG1700" s="210"/>
      <c r="AH1700" s="210"/>
      <c r="AI1700" s="210"/>
      <c r="AJ1700" s="210"/>
    </row>
    <row r="1701" ht="14.25" customHeight="1">
      <c r="A1701" s="210"/>
      <c r="B1701" s="210"/>
      <c r="C1701" s="210"/>
      <c r="D1701" s="210"/>
      <c r="E1701" s="210"/>
      <c r="F1701" s="210"/>
      <c r="G1701" s="210"/>
      <c r="H1701" s="210"/>
      <c r="I1701" s="210"/>
      <c r="J1701" s="210"/>
      <c r="K1701" s="210"/>
      <c r="L1701" s="210"/>
      <c r="M1701" s="210"/>
      <c r="N1701" s="210"/>
      <c r="O1701" s="210"/>
      <c r="P1701" s="210"/>
      <c r="Q1701" s="210"/>
      <c r="R1701" s="210"/>
      <c r="S1701" s="210"/>
      <c r="T1701" s="210"/>
      <c r="U1701" s="210"/>
      <c r="V1701" s="210"/>
      <c r="W1701" s="210"/>
      <c r="X1701" s="210"/>
      <c r="Y1701" s="210"/>
      <c r="Z1701" s="210"/>
      <c r="AA1701" s="210"/>
      <c r="AB1701" s="210"/>
      <c r="AC1701" s="210"/>
      <c r="AD1701" s="210"/>
      <c r="AE1701" s="210"/>
      <c r="AF1701" s="210"/>
      <c r="AG1701" s="210"/>
      <c r="AH1701" s="210"/>
      <c r="AI1701" s="210"/>
      <c r="AJ1701" s="210"/>
    </row>
    <row r="1702" ht="14.25" customHeight="1">
      <c r="A1702" s="210"/>
      <c r="B1702" s="210"/>
      <c r="C1702" s="210"/>
      <c r="D1702" s="210"/>
      <c r="E1702" s="210"/>
      <c r="F1702" s="210"/>
      <c r="G1702" s="210"/>
      <c r="H1702" s="210"/>
      <c r="I1702" s="210"/>
      <c r="J1702" s="210"/>
      <c r="K1702" s="210"/>
      <c r="L1702" s="210"/>
      <c r="M1702" s="210"/>
      <c r="N1702" s="210"/>
      <c r="O1702" s="210"/>
      <c r="P1702" s="210"/>
      <c r="Q1702" s="210"/>
      <c r="R1702" s="210"/>
      <c r="S1702" s="210"/>
      <c r="T1702" s="210"/>
      <c r="U1702" s="210"/>
      <c r="V1702" s="210"/>
      <c r="W1702" s="210"/>
      <c r="X1702" s="210"/>
      <c r="Y1702" s="210"/>
      <c r="Z1702" s="210"/>
      <c r="AA1702" s="210"/>
      <c r="AB1702" s="210"/>
      <c r="AC1702" s="210"/>
      <c r="AD1702" s="210"/>
      <c r="AE1702" s="210"/>
      <c r="AF1702" s="210"/>
      <c r="AG1702" s="210"/>
      <c r="AH1702" s="210"/>
      <c r="AI1702" s="210"/>
      <c r="AJ1702" s="210"/>
    </row>
    <row r="1703" ht="14.25" customHeight="1">
      <c r="A1703" s="210"/>
      <c r="B1703" s="210"/>
      <c r="C1703" s="210"/>
      <c r="D1703" s="210"/>
      <c r="E1703" s="210"/>
      <c r="F1703" s="210"/>
      <c r="G1703" s="210"/>
      <c r="H1703" s="210"/>
      <c r="I1703" s="210"/>
      <c r="J1703" s="210"/>
      <c r="K1703" s="210"/>
      <c r="L1703" s="210"/>
      <c r="M1703" s="210"/>
      <c r="N1703" s="210"/>
      <c r="O1703" s="210"/>
      <c r="P1703" s="210"/>
      <c r="Q1703" s="210"/>
      <c r="R1703" s="210"/>
      <c r="S1703" s="210"/>
      <c r="T1703" s="210"/>
      <c r="U1703" s="210"/>
      <c r="V1703" s="210"/>
      <c r="W1703" s="210"/>
      <c r="X1703" s="210"/>
      <c r="Y1703" s="210"/>
      <c r="Z1703" s="210"/>
      <c r="AA1703" s="210"/>
      <c r="AB1703" s="210"/>
      <c r="AC1703" s="210"/>
      <c r="AD1703" s="210"/>
      <c r="AE1703" s="210"/>
      <c r="AF1703" s="210"/>
      <c r="AG1703" s="210"/>
      <c r="AH1703" s="210"/>
      <c r="AI1703" s="210"/>
      <c r="AJ1703" s="210"/>
    </row>
    <row r="1704" ht="14.25" customHeight="1">
      <c r="A1704" s="210"/>
      <c r="B1704" s="210"/>
      <c r="C1704" s="210"/>
      <c r="D1704" s="210"/>
      <c r="E1704" s="210"/>
      <c r="F1704" s="210"/>
      <c r="G1704" s="210"/>
      <c r="H1704" s="210"/>
      <c r="I1704" s="210"/>
      <c r="J1704" s="210"/>
      <c r="K1704" s="210"/>
      <c r="L1704" s="210"/>
      <c r="M1704" s="210"/>
      <c r="N1704" s="210"/>
      <c r="O1704" s="210"/>
      <c r="P1704" s="210"/>
      <c r="Q1704" s="210"/>
      <c r="R1704" s="210"/>
      <c r="S1704" s="210"/>
      <c r="T1704" s="210"/>
      <c r="U1704" s="210"/>
      <c r="V1704" s="210"/>
      <c r="W1704" s="210"/>
      <c r="X1704" s="210"/>
      <c r="Y1704" s="210"/>
      <c r="Z1704" s="210"/>
      <c r="AA1704" s="210"/>
      <c r="AB1704" s="210"/>
      <c r="AC1704" s="210"/>
      <c r="AD1704" s="210"/>
      <c r="AE1704" s="210"/>
      <c r="AF1704" s="210"/>
      <c r="AG1704" s="210"/>
      <c r="AH1704" s="210"/>
      <c r="AI1704" s="210"/>
      <c r="AJ1704" s="210"/>
    </row>
    <row r="1705" ht="14.25" customHeight="1">
      <c r="A1705" s="210"/>
      <c r="B1705" s="210"/>
      <c r="C1705" s="210"/>
      <c r="D1705" s="210"/>
      <c r="E1705" s="210"/>
      <c r="F1705" s="210"/>
      <c r="G1705" s="210"/>
      <c r="H1705" s="210"/>
      <c r="I1705" s="210"/>
      <c r="J1705" s="210"/>
      <c r="K1705" s="210"/>
      <c r="L1705" s="210"/>
      <c r="M1705" s="210"/>
      <c r="N1705" s="210"/>
      <c r="O1705" s="210"/>
      <c r="P1705" s="210"/>
      <c r="Q1705" s="210"/>
      <c r="R1705" s="210"/>
      <c r="S1705" s="210"/>
      <c r="T1705" s="210"/>
      <c r="U1705" s="210"/>
      <c r="V1705" s="210"/>
      <c r="W1705" s="210"/>
      <c r="X1705" s="210"/>
      <c r="Y1705" s="210"/>
      <c r="Z1705" s="210"/>
      <c r="AA1705" s="210"/>
      <c r="AB1705" s="210"/>
      <c r="AC1705" s="210"/>
      <c r="AD1705" s="210"/>
      <c r="AE1705" s="210"/>
      <c r="AF1705" s="210"/>
      <c r="AG1705" s="210"/>
      <c r="AH1705" s="210"/>
      <c r="AI1705" s="210"/>
      <c r="AJ1705" s="210"/>
    </row>
    <row r="1706" ht="14.25" customHeight="1">
      <c r="A1706" s="210"/>
      <c r="B1706" s="210"/>
      <c r="C1706" s="210"/>
      <c r="D1706" s="210"/>
      <c r="E1706" s="210"/>
      <c r="F1706" s="210"/>
      <c r="G1706" s="210"/>
      <c r="H1706" s="210"/>
      <c r="I1706" s="210"/>
      <c r="J1706" s="210"/>
      <c r="K1706" s="210"/>
      <c r="L1706" s="210"/>
      <c r="M1706" s="210"/>
      <c r="N1706" s="210"/>
      <c r="O1706" s="210"/>
      <c r="P1706" s="210"/>
      <c r="Q1706" s="210"/>
      <c r="R1706" s="210"/>
      <c r="S1706" s="210"/>
      <c r="T1706" s="210"/>
      <c r="U1706" s="210"/>
      <c r="V1706" s="210"/>
      <c r="W1706" s="210"/>
      <c r="X1706" s="210"/>
      <c r="Y1706" s="210"/>
      <c r="Z1706" s="210"/>
      <c r="AA1706" s="210"/>
      <c r="AB1706" s="210"/>
      <c r="AC1706" s="210"/>
      <c r="AD1706" s="210"/>
      <c r="AE1706" s="210"/>
      <c r="AF1706" s="210"/>
      <c r="AG1706" s="210"/>
      <c r="AH1706" s="210"/>
      <c r="AI1706" s="210"/>
      <c r="AJ1706" s="210"/>
    </row>
    <row r="1707" ht="14.25" customHeight="1">
      <c r="A1707" s="210"/>
      <c r="B1707" s="210"/>
      <c r="C1707" s="210"/>
      <c r="D1707" s="210"/>
      <c r="E1707" s="210"/>
      <c r="F1707" s="210"/>
      <c r="G1707" s="210"/>
      <c r="H1707" s="210"/>
      <c r="I1707" s="210"/>
      <c r="J1707" s="210"/>
      <c r="K1707" s="210"/>
      <c r="L1707" s="210"/>
      <c r="M1707" s="210"/>
      <c r="N1707" s="210"/>
      <c r="O1707" s="210"/>
      <c r="P1707" s="210"/>
      <c r="Q1707" s="210"/>
      <c r="R1707" s="210"/>
      <c r="S1707" s="210"/>
      <c r="T1707" s="210"/>
      <c r="U1707" s="210"/>
      <c r="V1707" s="210"/>
      <c r="W1707" s="210"/>
      <c r="X1707" s="210"/>
      <c r="Y1707" s="210"/>
      <c r="Z1707" s="210"/>
      <c r="AA1707" s="210"/>
      <c r="AB1707" s="210"/>
      <c r="AC1707" s="210"/>
      <c r="AD1707" s="210"/>
      <c r="AE1707" s="210"/>
      <c r="AF1707" s="210"/>
      <c r="AG1707" s="210"/>
      <c r="AH1707" s="210"/>
      <c r="AI1707" s="210"/>
      <c r="AJ1707" s="210"/>
    </row>
    <row r="1708" ht="14.25" customHeight="1">
      <c r="A1708" s="210"/>
      <c r="B1708" s="210"/>
      <c r="C1708" s="210"/>
      <c r="D1708" s="210"/>
      <c r="E1708" s="210"/>
      <c r="F1708" s="210"/>
      <c r="G1708" s="210"/>
      <c r="H1708" s="210"/>
      <c r="I1708" s="210"/>
      <c r="J1708" s="210"/>
      <c r="K1708" s="210"/>
      <c r="L1708" s="210"/>
      <c r="M1708" s="210"/>
      <c r="N1708" s="210"/>
      <c r="O1708" s="210"/>
      <c r="P1708" s="210"/>
      <c r="Q1708" s="210"/>
      <c r="R1708" s="210"/>
      <c r="S1708" s="210"/>
      <c r="T1708" s="210"/>
      <c r="U1708" s="210"/>
      <c r="V1708" s="210"/>
      <c r="W1708" s="210"/>
      <c r="X1708" s="210"/>
      <c r="Y1708" s="210"/>
      <c r="Z1708" s="210"/>
      <c r="AA1708" s="210"/>
      <c r="AB1708" s="210"/>
      <c r="AC1708" s="210"/>
      <c r="AD1708" s="210"/>
      <c r="AE1708" s="210"/>
      <c r="AF1708" s="210"/>
      <c r="AG1708" s="210"/>
      <c r="AH1708" s="210"/>
      <c r="AI1708" s="210"/>
      <c r="AJ1708" s="210"/>
    </row>
    <row r="1709" ht="14.25" customHeight="1">
      <c r="A1709" s="210"/>
      <c r="B1709" s="210"/>
      <c r="C1709" s="210"/>
      <c r="D1709" s="210"/>
      <c r="E1709" s="210"/>
      <c r="F1709" s="210"/>
      <c r="G1709" s="210"/>
      <c r="H1709" s="210"/>
      <c r="I1709" s="210"/>
      <c r="J1709" s="210"/>
      <c r="K1709" s="210"/>
      <c r="L1709" s="210"/>
      <c r="M1709" s="210"/>
      <c r="N1709" s="210"/>
      <c r="O1709" s="210"/>
      <c r="P1709" s="210"/>
      <c r="Q1709" s="210"/>
      <c r="R1709" s="210"/>
      <c r="S1709" s="210"/>
      <c r="T1709" s="210"/>
      <c r="U1709" s="210"/>
      <c r="V1709" s="210"/>
      <c r="W1709" s="210"/>
      <c r="X1709" s="210"/>
      <c r="Y1709" s="210"/>
      <c r="Z1709" s="210"/>
      <c r="AA1709" s="210"/>
      <c r="AB1709" s="210"/>
      <c r="AC1709" s="210"/>
      <c r="AD1709" s="210"/>
      <c r="AE1709" s="210"/>
      <c r="AF1709" s="210"/>
      <c r="AG1709" s="210"/>
      <c r="AH1709" s="210"/>
      <c r="AI1709" s="210"/>
      <c r="AJ1709" s="210"/>
    </row>
    <row r="1710" ht="14.25" customHeight="1">
      <c r="A1710" s="210"/>
      <c r="B1710" s="210"/>
      <c r="C1710" s="210"/>
      <c r="D1710" s="210"/>
      <c r="E1710" s="210"/>
      <c r="F1710" s="210"/>
      <c r="G1710" s="210"/>
      <c r="H1710" s="210"/>
      <c r="I1710" s="210"/>
      <c r="J1710" s="210"/>
      <c r="K1710" s="210"/>
      <c r="L1710" s="210"/>
      <c r="M1710" s="210"/>
      <c r="N1710" s="210"/>
      <c r="O1710" s="210"/>
      <c r="P1710" s="210"/>
      <c r="Q1710" s="210"/>
      <c r="R1710" s="210"/>
      <c r="S1710" s="210"/>
      <c r="T1710" s="210"/>
      <c r="U1710" s="210"/>
      <c r="V1710" s="210"/>
      <c r="W1710" s="210"/>
      <c r="X1710" s="210"/>
      <c r="Y1710" s="210"/>
      <c r="Z1710" s="210"/>
      <c r="AA1710" s="210"/>
      <c r="AB1710" s="210"/>
      <c r="AC1710" s="210"/>
      <c r="AD1710" s="210"/>
      <c r="AE1710" s="210"/>
      <c r="AF1710" s="210"/>
      <c r="AG1710" s="210"/>
      <c r="AH1710" s="210"/>
      <c r="AI1710" s="210"/>
      <c r="AJ1710" s="210"/>
    </row>
    <row r="1711" ht="14.25" customHeight="1">
      <c r="A1711" s="210"/>
      <c r="B1711" s="210"/>
      <c r="C1711" s="210"/>
      <c r="D1711" s="210"/>
      <c r="E1711" s="210"/>
      <c r="F1711" s="210"/>
      <c r="G1711" s="210"/>
      <c r="H1711" s="210"/>
      <c r="I1711" s="210"/>
      <c r="J1711" s="210"/>
      <c r="K1711" s="210"/>
      <c r="L1711" s="210"/>
      <c r="M1711" s="210"/>
      <c r="N1711" s="210"/>
      <c r="O1711" s="210"/>
      <c r="P1711" s="210"/>
      <c r="Q1711" s="210"/>
      <c r="R1711" s="210"/>
      <c r="S1711" s="210"/>
      <c r="T1711" s="210"/>
      <c r="U1711" s="210"/>
      <c r="V1711" s="210"/>
      <c r="W1711" s="210"/>
      <c r="X1711" s="210"/>
      <c r="Y1711" s="210"/>
      <c r="Z1711" s="210"/>
      <c r="AA1711" s="210"/>
      <c r="AB1711" s="210"/>
      <c r="AC1711" s="210"/>
      <c r="AD1711" s="210"/>
      <c r="AE1711" s="210"/>
      <c r="AF1711" s="210"/>
      <c r="AG1711" s="210"/>
      <c r="AH1711" s="210"/>
      <c r="AI1711" s="210"/>
      <c r="AJ1711" s="210"/>
    </row>
    <row r="1712" ht="14.25" customHeight="1">
      <c r="A1712" s="210"/>
      <c r="B1712" s="210"/>
      <c r="C1712" s="210"/>
      <c r="D1712" s="210"/>
      <c r="E1712" s="210"/>
      <c r="F1712" s="210"/>
      <c r="G1712" s="210"/>
      <c r="H1712" s="210"/>
      <c r="I1712" s="210"/>
      <c r="J1712" s="210"/>
      <c r="K1712" s="210"/>
      <c r="L1712" s="210"/>
      <c r="M1712" s="210"/>
      <c r="N1712" s="210"/>
      <c r="O1712" s="210"/>
      <c r="P1712" s="210"/>
      <c r="Q1712" s="210"/>
      <c r="R1712" s="210"/>
      <c r="S1712" s="210"/>
      <c r="T1712" s="210"/>
      <c r="U1712" s="210"/>
      <c r="V1712" s="210"/>
      <c r="W1712" s="210"/>
      <c r="X1712" s="210"/>
      <c r="Y1712" s="210"/>
      <c r="Z1712" s="210"/>
      <c r="AA1712" s="210"/>
      <c r="AB1712" s="210"/>
      <c r="AC1712" s="210"/>
      <c r="AD1712" s="210"/>
      <c r="AE1712" s="210"/>
      <c r="AF1712" s="210"/>
      <c r="AG1712" s="210"/>
      <c r="AH1712" s="210"/>
      <c r="AI1712" s="210"/>
      <c r="AJ1712" s="210"/>
    </row>
    <row r="1713" ht="14.25" customHeight="1">
      <c r="A1713" s="210"/>
      <c r="B1713" s="210"/>
      <c r="C1713" s="210"/>
      <c r="D1713" s="210"/>
      <c r="E1713" s="210"/>
      <c r="F1713" s="210"/>
      <c r="G1713" s="210"/>
      <c r="H1713" s="210"/>
      <c r="I1713" s="210"/>
      <c r="J1713" s="210"/>
      <c r="K1713" s="210"/>
      <c r="L1713" s="210"/>
      <c r="M1713" s="210"/>
      <c r="N1713" s="210"/>
      <c r="O1713" s="210"/>
      <c r="P1713" s="210"/>
      <c r="Q1713" s="210"/>
      <c r="R1713" s="210"/>
      <c r="S1713" s="210"/>
      <c r="T1713" s="210"/>
      <c r="U1713" s="210"/>
      <c r="V1713" s="210"/>
      <c r="W1713" s="210"/>
      <c r="X1713" s="210"/>
      <c r="Y1713" s="210"/>
      <c r="Z1713" s="210"/>
      <c r="AA1713" s="210"/>
      <c r="AB1713" s="210"/>
      <c r="AC1713" s="210"/>
      <c r="AD1713" s="210"/>
      <c r="AE1713" s="210"/>
      <c r="AF1713" s="210"/>
      <c r="AG1713" s="210"/>
      <c r="AH1713" s="210"/>
      <c r="AI1713" s="210"/>
      <c r="AJ1713" s="210"/>
    </row>
    <row r="1714" ht="14.25" customHeight="1">
      <c r="A1714" s="210"/>
      <c r="B1714" s="210"/>
      <c r="C1714" s="210"/>
      <c r="D1714" s="210"/>
      <c r="E1714" s="210"/>
      <c r="F1714" s="210"/>
      <c r="G1714" s="210"/>
      <c r="H1714" s="210"/>
      <c r="I1714" s="210"/>
      <c r="J1714" s="210"/>
      <c r="K1714" s="210"/>
      <c r="L1714" s="210"/>
      <c r="M1714" s="210"/>
      <c r="N1714" s="210"/>
      <c r="O1714" s="210"/>
      <c r="P1714" s="210"/>
      <c r="Q1714" s="210"/>
      <c r="R1714" s="210"/>
      <c r="S1714" s="210"/>
      <c r="T1714" s="210"/>
      <c r="U1714" s="210"/>
      <c r="V1714" s="210"/>
      <c r="W1714" s="210"/>
      <c r="X1714" s="210"/>
      <c r="Y1714" s="210"/>
      <c r="Z1714" s="210"/>
      <c r="AA1714" s="210"/>
      <c r="AB1714" s="210"/>
      <c r="AC1714" s="210"/>
      <c r="AD1714" s="210"/>
      <c r="AE1714" s="210"/>
      <c r="AF1714" s="210"/>
      <c r="AG1714" s="210"/>
      <c r="AH1714" s="210"/>
      <c r="AI1714" s="210"/>
      <c r="AJ1714" s="210"/>
    </row>
    <row r="1715" ht="14.25" customHeight="1">
      <c r="A1715" s="210"/>
      <c r="B1715" s="210"/>
      <c r="C1715" s="210"/>
      <c r="D1715" s="210"/>
      <c r="E1715" s="210"/>
      <c r="F1715" s="210"/>
      <c r="G1715" s="210"/>
      <c r="H1715" s="210"/>
      <c r="I1715" s="210"/>
      <c r="J1715" s="210"/>
      <c r="K1715" s="210"/>
      <c r="L1715" s="210"/>
      <c r="M1715" s="210"/>
      <c r="N1715" s="210"/>
      <c r="O1715" s="210"/>
      <c r="P1715" s="210"/>
      <c r="Q1715" s="210"/>
      <c r="R1715" s="210"/>
      <c r="S1715" s="210"/>
      <c r="T1715" s="210"/>
      <c r="U1715" s="210"/>
      <c r="V1715" s="210"/>
      <c r="W1715" s="210"/>
      <c r="X1715" s="210"/>
      <c r="Y1715" s="210"/>
      <c r="Z1715" s="210"/>
      <c r="AA1715" s="210"/>
      <c r="AB1715" s="210"/>
      <c r="AC1715" s="210"/>
      <c r="AD1715" s="210"/>
      <c r="AE1715" s="210"/>
      <c r="AF1715" s="210"/>
      <c r="AG1715" s="210"/>
      <c r="AH1715" s="210"/>
      <c r="AI1715" s="210"/>
      <c r="AJ1715" s="210"/>
    </row>
    <row r="1716" ht="14.25" customHeight="1">
      <c r="A1716" s="210"/>
      <c r="B1716" s="210"/>
      <c r="C1716" s="210"/>
      <c r="D1716" s="210"/>
      <c r="E1716" s="210"/>
      <c r="F1716" s="210"/>
      <c r="G1716" s="210"/>
      <c r="H1716" s="210"/>
      <c r="I1716" s="210"/>
      <c r="J1716" s="210"/>
      <c r="K1716" s="210"/>
      <c r="L1716" s="210"/>
      <c r="M1716" s="210"/>
      <c r="N1716" s="210"/>
      <c r="O1716" s="210"/>
      <c r="P1716" s="210"/>
      <c r="Q1716" s="210"/>
      <c r="R1716" s="210"/>
      <c r="S1716" s="210"/>
      <c r="T1716" s="210"/>
      <c r="U1716" s="210"/>
      <c r="V1716" s="210"/>
      <c r="W1716" s="210"/>
      <c r="X1716" s="210"/>
      <c r="Y1716" s="210"/>
      <c r="Z1716" s="210"/>
      <c r="AA1716" s="210"/>
      <c r="AB1716" s="210"/>
      <c r="AC1716" s="210"/>
      <c r="AD1716" s="210"/>
      <c r="AE1716" s="210"/>
      <c r="AF1716" s="210"/>
      <c r="AG1716" s="210"/>
      <c r="AH1716" s="210"/>
      <c r="AI1716" s="210"/>
      <c r="AJ1716" s="210"/>
    </row>
    <row r="1717" ht="14.25" customHeight="1">
      <c r="A1717" s="210"/>
      <c r="B1717" s="210"/>
      <c r="C1717" s="210"/>
      <c r="D1717" s="210"/>
      <c r="E1717" s="210"/>
      <c r="F1717" s="210"/>
      <c r="G1717" s="210"/>
      <c r="H1717" s="210"/>
      <c r="I1717" s="210"/>
      <c r="J1717" s="210"/>
      <c r="K1717" s="210"/>
      <c r="L1717" s="210"/>
      <c r="M1717" s="210"/>
      <c r="N1717" s="210"/>
      <c r="O1717" s="210"/>
      <c r="P1717" s="210"/>
      <c r="Q1717" s="210"/>
      <c r="R1717" s="210"/>
      <c r="S1717" s="210"/>
      <c r="T1717" s="210"/>
      <c r="U1717" s="210"/>
      <c r="V1717" s="210"/>
      <c r="W1717" s="210"/>
      <c r="X1717" s="210"/>
      <c r="Y1717" s="210"/>
      <c r="Z1717" s="210"/>
      <c r="AA1717" s="210"/>
      <c r="AB1717" s="210"/>
      <c r="AC1717" s="210"/>
      <c r="AD1717" s="210"/>
      <c r="AE1717" s="210"/>
      <c r="AF1717" s="210"/>
      <c r="AG1717" s="210"/>
      <c r="AH1717" s="210"/>
      <c r="AI1717" s="210"/>
      <c r="AJ1717" s="210"/>
    </row>
    <row r="1718" ht="14.25" customHeight="1">
      <c r="A1718" s="210"/>
      <c r="B1718" s="210"/>
      <c r="C1718" s="210"/>
      <c r="D1718" s="210"/>
      <c r="E1718" s="210"/>
      <c r="F1718" s="210"/>
      <c r="G1718" s="210"/>
      <c r="H1718" s="210"/>
      <c r="I1718" s="210"/>
      <c r="J1718" s="210"/>
      <c r="K1718" s="210"/>
      <c r="L1718" s="210"/>
      <c r="M1718" s="210"/>
      <c r="N1718" s="210"/>
      <c r="O1718" s="210"/>
      <c r="P1718" s="210"/>
      <c r="Q1718" s="210"/>
      <c r="R1718" s="210"/>
      <c r="S1718" s="210"/>
      <c r="T1718" s="210"/>
      <c r="U1718" s="210"/>
      <c r="V1718" s="210"/>
      <c r="W1718" s="210"/>
      <c r="X1718" s="210"/>
      <c r="Y1718" s="210"/>
      <c r="Z1718" s="210"/>
      <c r="AA1718" s="210"/>
      <c r="AB1718" s="210"/>
      <c r="AC1718" s="210"/>
      <c r="AD1718" s="210"/>
      <c r="AE1718" s="210"/>
      <c r="AF1718" s="210"/>
      <c r="AG1718" s="210"/>
      <c r="AH1718" s="210"/>
      <c r="AI1718" s="210"/>
      <c r="AJ1718" s="210"/>
    </row>
    <row r="1719" ht="14.25" customHeight="1">
      <c r="A1719" s="210"/>
      <c r="B1719" s="210"/>
      <c r="C1719" s="210"/>
      <c r="D1719" s="210"/>
      <c r="E1719" s="210"/>
      <c r="F1719" s="210"/>
      <c r="G1719" s="210"/>
      <c r="H1719" s="210"/>
      <c r="I1719" s="210"/>
      <c r="J1719" s="210"/>
      <c r="K1719" s="210"/>
      <c r="L1719" s="210"/>
      <c r="M1719" s="210"/>
      <c r="N1719" s="210"/>
      <c r="O1719" s="210"/>
      <c r="P1719" s="210"/>
      <c r="Q1719" s="210"/>
      <c r="R1719" s="210"/>
      <c r="S1719" s="210"/>
      <c r="T1719" s="210"/>
      <c r="U1719" s="210"/>
      <c r="V1719" s="210"/>
      <c r="W1719" s="210"/>
      <c r="X1719" s="210"/>
      <c r="Y1719" s="210"/>
      <c r="Z1719" s="210"/>
      <c r="AA1719" s="210"/>
      <c r="AB1719" s="210"/>
      <c r="AC1719" s="210"/>
      <c r="AD1719" s="210"/>
      <c r="AE1719" s="210"/>
      <c r="AF1719" s="210"/>
      <c r="AG1719" s="210"/>
      <c r="AH1719" s="210"/>
      <c r="AI1719" s="210"/>
      <c r="AJ1719" s="210"/>
    </row>
    <row r="1720" ht="14.25" customHeight="1">
      <c r="A1720" s="210"/>
      <c r="B1720" s="210"/>
      <c r="C1720" s="210"/>
      <c r="D1720" s="210"/>
      <c r="E1720" s="210"/>
      <c r="F1720" s="210"/>
      <c r="G1720" s="210"/>
      <c r="H1720" s="210"/>
      <c r="I1720" s="210"/>
      <c r="J1720" s="210"/>
      <c r="K1720" s="210"/>
      <c r="L1720" s="210"/>
      <c r="M1720" s="210"/>
      <c r="N1720" s="210"/>
      <c r="O1720" s="210"/>
      <c r="P1720" s="210"/>
      <c r="Q1720" s="210"/>
      <c r="R1720" s="210"/>
      <c r="S1720" s="210"/>
      <c r="T1720" s="210"/>
      <c r="U1720" s="210"/>
      <c r="V1720" s="210"/>
      <c r="W1720" s="210"/>
      <c r="X1720" s="210"/>
      <c r="Y1720" s="210"/>
      <c r="Z1720" s="210"/>
      <c r="AA1720" s="210"/>
      <c r="AB1720" s="210"/>
      <c r="AC1720" s="210"/>
      <c r="AD1720" s="210"/>
      <c r="AE1720" s="210"/>
      <c r="AF1720" s="210"/>
      <c r="AG1720" s="210"/>
      <c r="AH1720" s="210"/>
      <c r="AI1720" s="210"/>
      <c r="AJ1720" s="210"/>
    </row>
    <row r="1721" ht="14.25" customHeight="1">
      <c r="A1721" s="210"/>
      <c r="B1721" s="210"/>
      <c r="C1721" s="210"/>
      <c r="D1721" s="210"/>
      <c r="E1721" s="210"/>
      <c r="F1721" s="210"/>
      <c r="G1721" s="210"/>
      <c r="H1721" s="210"/>
      <c r="I1721" s="210"/>
      <c r="J1721" s="210"/>
      <c r="K1721" s="210"/>
      <c r="L1721" s="210"/>
      <c r="M1721" s="210"/>
      <c r="N1721" s="210"/>
      <c r="O1721" s="210"/>
      <c r="P1721" s="210"/>
      <c r="Q1721" s="210"/>
      <c r="R1721" s="210"/>
      <c r="S1721" s="210"/>
      <c r="T1721" s="210"/>
      <c r="U1721" s="210"/>
      <c r="V1721" s="210"/>
      <c r="W1721" s="210"/>
      <c r="X1721" s="210"/>
      <c r="Y1721" s="210"/>
      <c r="Z1721" s="210"/>
      <c r="AA1721" s="210"/>
      <c r="AB1721" s="210"/>
      <c r="AC1721" s="210"/>
      <c r="AD1721" s="210"/>
      <c r="AE1721" s="210"/>
      <c r="AF1721" s="210"/>
      <c r="AG1721" s="210"/>
      <c r="AH1721" s="210"/>
      <c r="AI1721" s="210"/>
      <c r="AJ1721" s="210"/>
    </row>
    <row r="1722" ht="14.25" customHeight="1">
      <c r="A1722" s="210"/>
      <c r="B1722" s="210"/>
      <c r="C1722" s="210"/>
      <c r="D1722" s="210"/>
      <c r="E1722" s="210"/>
      <c r="F1722" s="210"/>
      <c r="G1722" s="210"/>
      <c r="H1722" s="210"/>
      <c r="I1722" s="210"/>
      <c r="J1722" s="210"/>
      <c r="K1722" s="210"/>
      <c r="L1722" s="210"/>
      <c r="M1722" s="210"/>
      <c r="N1722" s="210"/>
      <c r="O1722" s="210"/>
      <c r="P1722" s="210"/>
      <c r="Q1722" s="210"/>
      <c r="R1722" s="210"/>
      <c r="S1722" s="210"/>
      <c r="T1722" s="210"/>
      <c r="U1722" s="210"/>
      <c r="V1722" s="210"/>
      <c r="W1722" s="210"/>
      <c r="X1722" s="210"/>
      <c r="Y1722" s="210"/>
      <c r="Z1722" s="210"/>
      <c r="AA1722" s="210"/>
      <c r="AB1722" s="210"/>
      <c r="AC1722" s="210"/>
      <c r="AD1722" s="210"/>
      <c r="AE1722" s="210"/>
      <c r="AF1722" s="210"/>
      <c r="AG1722" s="210"/>
      <c r="AH1722" s="210"/>
      <c r="AI1722" s="210"/>
      <c r="AJ1722" s="210"/>
    </row>
    <row r="1723" ht="14.25" customHeight="1">
      <c r="A1723" s="210"/>
      <c r="B1723" s="210"/>
      <c r="C1723" s="210"/>
      <c r="D1723" s="210"/>
      <c r="E1723" s="210"/>
      <c r="F1723" s="210"/>
      <c r="G1723" s="210"/>
      <c r="H1723" s="210"/>
      <c r="I1723" s="210"/>
      <c r="J1723" s="210"/>
      <c r="K1723" s="210"/>
      <c r="L1723" s="210"/>
      <c r="M1723" s="210"/>
      <c r="N1723" s="210"/>
      <c r="O1723" s="210"/>
      <c r="P1723" s="210"/>
      <c r="Q1723" s="210"/>
      <c r="R1723" s="210"/>
      <c r="S1723" s="210"/>
      <c r="T1723" s="210"/>
      <c r="U1723" s="210"/>
      <c r="V1723" s="210"/>
      <c r="W1723" s="210"/>
      <c r="X1723" s="210"/>
      <c r="Y1723" s="210"/>
      <c r="Z1723" s="210"/>
      <c r="AA1723" s="210"/>
      <c r="AB1723" s="210"/>
      <c r="AC1723" s="210"/>
      <c r="AD1723" s="210"/>
      <c r="AE1723" s="210"/>
      <c r="AF1723" s="210"/>
      <c r="AG1723" s="210"/>
      <c r="AH1723" s="210"/>
      <c r="AI1723" s="210"/>
      <c r="AJ1723" s="210"/>
    </row>
    <row r="1724" ht="14.25" customHeight="1">
      <c r="A1724" s="210"/>
      <c r="B1724" s="210"/>
      <c r="C1724" s="210"/>
      <c r="D1724" s="210"/>
      <c r="E1724" s="210"/>
      <c r="F1724" s="210"/>
      <c r="G1724" s="210"/>
      <c r="H1724" s="210"/>
      <c r="I1724" s="210"/>
      <c r="J1724" s="210"/>
      <c r="K1724" s="210"/>
      <c r="L1724" s="210"/>
      <c r="M1724" s="210"/>
      <c r="N1724" s="210"/>
      <c r="O1724" s="210"/>
      <c r="P1724" s="210"/>
      <c r="Q1724" s="210"/>
      <c r="R1724" s="210"/>
      <c r="S1724" s="210"/>
      <c r="T1724" s="210"/>
      <c r="U1724" s="210"/>
      <c r="V1724" s="210"/>
      <c r="W1724" s="210"/>
      <c r="X1724" s="210"/>
      <c r="Y1724" s="210"/>
      <c r="Z1724" s="210"/>
      <c r="AA1724" s="210"/>
      <c r="AB1724" s="210"/>
      <c r="AC1724" s="210"/>
      <c r="AD1724" s="210"/>
      <c r="AE1724" s="210"/>
      <c r="AF1724" s="210"/>
      <c r="AG1724" s="210"/>
      <c r="AH1724" s="210"/>
      <c r="AI1724" s="210"/>
      <c r="AJ1724" s="210"/>
    </row>
    <row r="1725" ht="14.25" customHeight="1">
      <c r="A1725" s="210"/>
      <c r="B1725" s="210"/>
      <c r="C1725" s="210"/>
      <c r="D1725" s="210"/>
      <c r="E1725" s="210"/>
      <c r="F1725" s="210"/>
      <c r="G1725" s="210"/>
      <c r="H1725" s="210"/>
      <c r="I1725" s="210"/>
      <c r="J1725" s="210"/>
      <c r="K1725" s="210"/>
      <c r="L1725" s="210"/>
      <c r="M1725" s="210"/>
      <c r="N1725" s="210"/>
      <c r="O1725" s="210"/>
      <c r="P1725" s="210"/>
      <c r="Q1725" s="210"/>
      <c r="R1725" s="210"/>
      <c r="S1725" s="210"/>
      <c r="T1725" s="210"/>
      <c r="U1725" s="210"/>
      <c r="V1725" s="210"/>
      <c r="W1725" s="210"/>
      <c r="X1725" s="210"/>
      <c r="Y1725" s="210"/>
      <c r="Z1725" s="210"/>
      <c r="AA1725" s="210"/>
      <c r="AB1725" s="210"/>
      <c r="AC1725" s="210"/>
      <c r="AD1725" s="210"/>
      <c r="AE1725" s="210"/>
      <c r="AF1725" s="210"/>
      <c r="AG1725" s="210"/>
      <c r="AH1725" s="210"/>
      <c r="AI1725" s="210"/>
      <c r="AJ1725" s="210"/>
    </row>
    <row r="1726" ht="14.25" customHeight="1">
      <c r="A1726" s="210"/>
      <c r="B1726" s="210"/>
      <c r="C1726" s="210"/>
      <c r="D1726" s="210"/>
      <c r="E1726" s="210"/>
      <c r="F1726" s="210"/>
      <c r="G1726" s="210"/>
      <c r="H1726" s="210"/>
      <c r="I1726" s="210"/>
      <c r="J1726" s="210"/>
      <c r="K1726" s="210"/>
      <c r="L1726" s="210"/>
      <c r="M1726" s="210"/>
      <c r="N1726" s="210"/>
      <c r="O1726" s="210"/>
      <c r="P1726" s="210"/>
      <c r="Q1726" s="210"/>
      <c r="R1726" s="210"/>
      <c r="S1726" s="210"/>
      <c r="T1726" s="210"/>
      <c r="U1726" s="210"/>
      <c r="V1726" s="210"/>
      <c r="W1726" s="210"/>
      <c r="X1726" s="210"/>
      <c r="Y1726" s="210"/>
      <c r="Z1726" s="210"/>
      <c r="AA1726" s="210"/>
      <c r="AB1726" s="210"/>
      <c r="AC1726" s="210"/>
      <c r="AD1726" s="210"/>
      <c r="AE1726" s="210"/>
      <c r="AF1726" s="210"/>
      <c r="AG1726" s="210"/>
      <c r="AH1726" s="210"/>
      <c r="AI1726" s="210"/>
      <c r="AJ1726" s="210"/>
    </row>
    <row r="1727" ht="14.25" customHeight="1">
      <c r="A1727" s="210"/>
      <c r="B1727" s="210"/>
      <c r="C1727" s="210"/>
      <c r="D1727" s="210"/>
      <c r="E1727" s="210"/>
      <c r="F1727" s="210"/>
      <c r="G1727" s="210"/>
      <c r="H1727" s="210"/>
      <c r="I1727" s="210"/>
      <c r="J1727" s="210"/>
      <c r="K1727" s="210"/>
      <c r="L1727" s="210"/>
      <c r="M1727" s="210"/>
      <c r="N1727" s="210"/>
      <c r="O1727" s="210"/>
      <c r="P1727" s="210"/>
      <c r="Q1727" s="210"/>
      <c r="R1727" s="210"/>
      <c r="S1727" s="210"/>
      <c r="T1727" s="210"/>
      <c r="U1727" s="210"/>
      <c r="V1727" s="210"/>
      <c r="W1727" s="210"/>
      <c r="X1727" s="210"/>
      <c r="Y1727" s="210"/>
      <c r="Z1727" s="210"/>
      <c r="AA1727" s="210"/>
      <c r="AB1727" s="210"/>
      <c r="AC1727" s="210"/>
      <c r="AD1727" s="210"/>
      <c r="AE1727" s="210"/>
      <c r="AF1727" s="210"/>
      <c r="AG1727" s="210"/>
      <c r="AH1727" s="210"/>
      <c r="AI1727" s="210"/>
      <c r="AJ1727" s="210"/>
    </row>
    <row r="1728" ht="14.25" customHeight="1">
      <c r="A1728" s="210"/>
      <c r="B1728" s="210"/>
      <c r="C1728" s="210"/>
      <c r="D1728" s="210"/>
      <c r="E1728" s="210"/>
      <c r="F1728" s="210"/>
      <c r="G1728" s="210"/>
      <c r="H1728" s="210"/>
      <c r="I1728" s="210"/>
      <c r="J1728" s="210"/>
      <c r="K1728" s="210"/>
      <c r="L1728" s="210"/>
      <c r="M1728" s="210"/>
      <c r="N1728" s="210"/>
      <c r="O1728" s="210"/>
      <c r="P1728" s="210"/>
      <c r="Q1728" s="210"/>
      <c r="R1728" s="210"/>
      <c r="S1728" s="210"/>
      <c r="T1728" s="210"/>
      <c r="U1728" s="210"/>
      <c r="V1728" s="210"/>
      <c r="W1728" s="210"/>
      <c r="X1728" s="210"/>
      <c r="Y1728" s="210"/>
      <c r="Z1728" s="210"/>
      <c r="AA1728" s="210"/>
      <c r="AB1728" s="210"/>
      <c r="AC1728" s="210"/>
      <c r="AD1728" s="210"/>
      <c r="AE1728" s="210"/>
      <c r="AF1728" s="210"/>
      <c r="AG1728" s="210"/>
      <c r="AH1728" s="210"/>
      <c r="AI1728" s="210"/>
      <c r="AJ1728" s="210"/>
    </row>
    <row r="1729" ht="14.25" customHeight="1">
      <c r="A1729" s="210"/>
      <c r="B1729" s="210"/>
      <c r="C1729" s="210"/>
      <c r="D1729" s="210"/>
      <c r="E1729" s="210"/>
      <c r="F1729" s="210"/>
      <c r="G1729" s="210"/>
      <c r="H1729" s="210"/>
      <c r="I1729" s="210"/>
      <c r="J1729" s="210"/>
      <c r="K1729" s="210"/>
      <c r="L1729" s="210"/>
      <c r="M1729" s="210"/>
      <c r="N1729" s="210"/>
      <c r="O1729" s="210"/>
      <c r="P1729" s="210"/>
      <c r="Q1729" s="210"/>
      <c r="R1729" s="210"/>
      <c r="S1729" s="210"/>
      <c r="T1729" s="210"/>
      <c r="U1729" s="210"/>
      <c r="V1729" s="210"/>
      <c r="W1729" s="210"/>
      <c r="X1729" s="210"/>
      <c r="Y1729" s="210"/>
      <c r="Z1729" s="210"/>
      <c r="AA1729" s="210"/>
      <c r="AB1729" s="210"/>
      <c r="AC1729" s="210"/>
      <c r="AD1729" s="210"/>
      <c r="AE1729" s="210"/>
      <c r="AF1729" s="210"/>
      <c r="AG1729" s="210"/>
      <c r="AH1729" s="210"/>
      <c r="AI1729" s="210"/>
      <c r="AJ1729" s="210"/>
    </row>
    <row r="1730" ht="14.25" customHeight="1">
      <c r="A1730" s="210"/>
      <c r="B1730" s="210"/>
      <c r="C1730" s="210"/>
      <c r="D1730" s="210"/>
      <c r="E1730" s="210"/>
      <c r="F1730" s="210"/>
      <c r="G1730" s="210"/>
      <c r="H1730" s="210"/>
      <c r="I1730" s="210"/>
      <c r="J1730" s="210"/>
      <c r="K1730" s="210"/>
      <c r="L1730" s="210"/>
      <c r="M1730" s="210"/>
      <c r="N1730" s="210"/>
      <c r="O1730" s="210"/>
      <c r="P1730" s="210"/>
      <c r="Q1730" s="210"/>
      <c r="R1730" s="210"/>
      <c r="S1730" s="210"/>
      <c r="T1730" s="210"/>
      <c r="U1730" s="210"/>
      <c r="V1730" s="210"/>
      <c r="W1730" s="210"/>
      <c r="X1730" s="210"/>
      <c r="Y1730" s="210"/>
      <c r="Z1730" s="210"/>
      <c r="AA1730" s="210"/>
      <c r="AB1730" s="210"/>
      <c r="AC1730" s="210"/>
      <c r="AD1730" s="210"/>
      <c r="AE1730" s="210"/>
      <c r="AF1730" s="210"/>
      <c r="AG1730" s="210"/>
      <c r="AH1730" s="210"/>
      <c r="AI1730" s="210"/>
      <c r="AJ1730" s="210"/>
    </row>
    <row r="1731" ht="14.25" customHeight="1">
      <c r="A1731" s="210"/>
      <c r="B1731" s="210"/>
      <c r="C1731" s="210"/>
      <c r="D1731" s="210"/>
      <c r="E1731" s="210"/>
      <c r="F1731" s="210"/>
      <c r="G1731" s="210"/>
      <c r="H1731" s="210"/>
      <c r="I1731" s="210"/>
      <c r="J1731" s="210"/>
      <c r="K1731" s="210"/>
      <c r="L1731" s="210"/>
      <c r="M1731" s="210"/>
      <c r="N1731" s="210"/>
      <c r="O1731" s="210"/>
      <c r="P1731" s="210"/>
      <c r="Q1731" s="210"/>
      <c r="R1731" s="210"/>
      <c r="S1731" s="210"/>
      <c r="T1731" s="210"/>
      <c r="U1731" s="210"/>
      <c r="V1731" s="210"/>
      <c r="W1731" s="210"/>
      <c r="X1731" s="210"/>
      <c r="Y1731" s="210"/>
      <c r="Z1731" s="210"/>
      <c r="AA1731" s="210"/>
      <c r="AB1731" s="210"/>
      <c r="AC1731" s="210"/>
      <c r="AD1731" s="210"/>
      <c r="AE1731" s="210"/>
      <c r="AF1731" s="210"/>
      <c r="AG1731" s="210"/>
      <c r="AH1731" s="210"/>
      <c r="AI1731" s="210"/>
      <c r="AJ1731" s="210"/>
    </row>
    <row r="1732" ht="14.25" customHeight="1">
      <c r="A1732" s="210"/>
      <c r="B1732" s="210"/>
      <c r="C1732" s="210"/>
      <c r="D1732" s="210"/>
      <c r="E1732" s="210"/>
      <c r="F1732" s="210"/>
      <c r="G1732" s="210"/>
      <c r="H1732" s="210"/>
      <c r="I1732" s="210"/>
      <c r="J1732" s="210"/>
      <c r="K1732" s="210"/>
      <c r="L1732" s="210"/>
      <c r="M1732" s="210"/>
      <c r="N1732" s="210"/>
      <c r="O1732" s="210"/>
      <c r="P1732" s="210"/>
      <c r="Q1732" s="210"/>
      <c r="R1732" s="210"/>
      <c r="S1732" s="210"/>
      <c r="T1732" s="210"/>
      <c r="U1732" s="210"/>
      <c r="V1732" s="210"/>
      <c r="W1732" s="210"/>
      <c r="X1732" s="210"/>
      <c r="Y1732" s="210"/>
      <c r="Z1732" s="210"/>
      <c r="AA1732" s="210"/>
      <c r="AB1732" s="210"/>
      <c r="AC1732" s="210"/>
      <c r="AD1732" s="210"/>
      <c r="AE1732" s="210"/>
      <c r="AF1732" s="210"/>
      <c r="AG1732" s="210"/>
      <c r="AH1732" s="210"/>
      <c r="AI1732" s="210"/>
      <c r="AJ1732" s="210"/>
    </row>
    <row r="1733" ht="14.25" customHeight="1">
      <c r="A1733" s="210"/>
      <c r="B1733" s="210"/>
      <c r="C1733" s="210"/>
      <c r="D1733" s="210"/>
      <c r="E1733" s="210"/>
      <c r="F1733" s="210"/>
      <c r="G1733" s="210"/>
      <c r="H1733" s="210"/>
      <c r="I1733" s="210"/>
      <c r="J1733" s="210"/>
      <c r="K1733" s="210"/>
      <c r="L1733" s="210"/>
      <c r="M1733" s="210"/>
      <c r="N1733" s="210"/>
      <c r="O1733" s="210"/>
      <c r="P1733" s="210"/>
      <c r="Q1733" s="210"/>
      <c r="R1733" s="210"/>
      <c r="S1733" s="210"/>
      <c r="T1733" s="210"/>
      <c r="U1733" s="210"/>
      <c r="V1733" s="210"/>
      <c r="W1733" s="210"/>
      <c r="X1733" s="210"/>
      <c r="Y1733" s="210"/>
      <c r="Z1733" s="210"/>
      <c r="AA1733" s="210"/>
      <c r="AB1733" s="210"/>
      <c r="AC1733" s="210"/>
      <c r="AD1733" s="210"/>
      <c r="AE1733" s="210"/>
      <c r="AF1733" s="210"/>
      <c r="AG1733" s="210"/>
      <c r="AH1733" s="210"/>
      <c r="AI1733" s="210"/>
      <c r="AJ1733" s="210"/>
    </row>
    <row r="1734" ht="14.25" customHeight="1">
      <c r="A1734" s="210"/>
      <c r="B1734" s="210"/>
      <c r="C1734" s="210"/>
      <c r="D1734" s="210"/>
      <c r="E1734" s="210"/>
      <c r="F1734" s="210"/>
      <c r="G1734" s="210"/>
      <c r="H1734" s="210"/>
      <c r="I1734" s="210"/>
      <c r="J1734" s="210"/>
      <c r="K1734" s="210"/>
      <c r="L1734" s="210"/>
      <c r="M1734" s="210"/>
      <c r="N1734" s="210"/>
      <c r="O1734" s="210"/>
      <c r="P1734" s="210"/>
      <c r="Q1734" s="210"/>
      <c r="R1734" s="210"/>
      <c r="S1734" s="210"/>
      <c r="T1734" s="210"/>
      <c r="U1734" s="210"/>
      <c r="V1734" s="210"/>
      <c r="W1734" s="210"/>
      <c r="X1734" s="210"/>
      <c r="Y1734" s="210"/>
      <c r="Z1734" s="210"/>
      <c r="AA1734" s="210"/>
      <c r="AB1734" s="210"/>
      <c r="AC1734" s="210"/>
      <c r="AD1734" s="210"/>
      <c r="AE1734" s="210"/>
      <c r="AF1734" s="210"/>
      <c r="AG1734" s="210"/>
      <c r="AH1734" s="210"/>
      <c r="AI1734" s="210"/>
      <c r="AJ1734" s="210"/>
    </row>
    <row r="1735" ht="14.25" customHeight="1">
      <c r="A1735" s="210"/>
      <c r="B1735" s="210"/>
      <c r="C1735" s="210"/>
      <c r="D1735" s="210"/>
      <c r="E1735" s="210"/>
      <c r="F1735" s="210"/>
      <c r="G1735" s="210"/>
      <c r="H1735" s="210"/>
      <c r="I1735" s="210"/>
      <c r="J1735" s="210"/>
      <c r="K1735" s="210"/>
      <c r="L1735" s="210"/>
      <c r="M1735" s="210"/>
      <c r="N1735" s="210"/>
      <c r="O1735" s="210"/>
      <c r="P1735" s="210"/>
      <c r="Q1735" s="210"/>
      <c r="R1735" s="210"/>
      <c r="S1735" s="210"/>
      <c r="T1735" s="210"/>
      <c r="U1735" s="210"/>
      <c r="V1735" s="210"/>
      <c r="W1735" s="210"/>
      <c r="X1735" s="210"/>
      <c r="Y1735" s="210"/>
      <c r="Z1735" s="210"/>
      <c r="AA1735" s="210"/>
      <c r="AB1735" s="210"/>
      <c r="AC1735" s="210"/>
      <c r="AD1735" s="210"/>
      <c r="AE1735" s="210"/>
      <c r="AF1735" s="210"/>
      <c r="AG1735" s="210"/>
      <c r="AH1735" s="210"/>
      <c r="AI1735" s="210"/>
      <c r="AJ1735" s="210"/>
    </row>
    <row r="1736" ht="14.25" customHeight="1">
      <c r="A1736" s="210"/>
      <c r="B1736" s="210"/>
      <c r="C1736" s="210"/>
      <c r="D1736" s="210"/>
      <c r="E1736" s="210"/>
      <c r="F1736" s="210"/>
      <c r="G1736" s="210"/>
      <c r="H1736" s="210"/>
      <c r="I1736" s="210"/>
      <c r="J1736" s="210"/>
      <c r="K1736" s="210"/>
      <c r="L1736" s="210"/>
      <c r="M1736" s="210"/>
      <c r="N1736" s="210"/>
      <c r="O1736" s="210"/>
      <c r="P1736" s="210"/>
      <c r="Q1736" s="210"/>
      <c r="R1736" s="210"/>
      <c r="S1736" s="210"/>
      <c r="T1736" s="210"/>
      <c r="U1736" s="210"/>
      <c r="V1736" s="210"/>
      <c r="W1736" s="210"/>
      <c r="X1736" s="210"/>
      <c r="Y1736" s="210"/>
      <c r="Z1736" s="210"/>
      <c r="AA1736" s="210"/>
      <c r="AB1736" s="210"/>
      <c r="AC1736" s="210"/>
      <c r="AD1736" s="210"/>
      <c r="AE1736" s="210"/>
      <c r="AF1736" s="210"/>
      <c r="AG1736" s="210"/>
      <c r="AH1736" s="210"/>
      <c r="AI1736" s="210"/>
      <c r="AJ1736" s="210"/>
    </row>
    <row r="1737" ht="14.25" customHeight="1">
      <c r="A1737" s="210"/>
      <c r="B1737" s="210"/>
      <c r="C1737" s="210"/>
      <c r="D1737" s="210"/>
      <c r="E1737" s="210"/>
      <c r="F1737" s="210"/>
      <c r="G1737" s="210"/>
      <c r="H1737" s="210"/>
      <c r="I1737" s="210"/>
      <c r="J1737" s="210"/>
      <c r="K1737" s="210"/>
      <c r="L1737" s="210"/>
      <c r="M1737" s="210"/>
      <c r="N1737" s="210"/>
      <c r="O1737" s="210"/>
      <c r="P1737" s="210"/>
      <c r="Q1737" s="210"/>
      <c r="R1737" s="210"/>
      <c r="S1737" s="210"/>
      <c r="T1737" s="210"/>
      <c r="U1737" s="210"/>
      <c r="V1737" s="210"/>
      <c r="W1737" s="210"/>
      <c r="X1737" s="210"/>
      <c r="Y1737" s="210"/>
      <c r="Z1737" s="210"/>
      <c r="AA1737" s="210"/>
      <c r="AB1737" s="210"/>
      <c r="AC1737" s="210"/>
      <c r="AD1737" s="210"/>
      <c r="AE1737" s="210"/>
      <c r="AF1737" s="210"/>
      <c r="AG1737" s="210"/>
      <c r="AH1737" s="210"/>
      <c r="AI1737" s="210"/>
      <c r="AJ1737" s="210"/>
    </row>
    <row r="1738" ht="14.25" customHeight="1">
      <c r="A1738" s="210"/>
      <c r="B1738" s="210"/>
      <c r="C1738" s="210"/>
      <c r="D1738" s="210"/>
      <c r="E1738" s="210"/>
      <c r="F1738" s="210"/>
      <c r="G1738" s="210"/>
      <c r="H1738" s="210"/>
      <c r="I1738" s="210"/>
      <c r="J1738" s="210"/>
      <c r="K1738" s="210"/>
      <c r="L1738" s="210"/>
      <c r="M1738" s="210"/>
      <c r="N1738" s="210"/>
      <c r="O1738" s="210"/>
      <c r="P1738" s="210"/>
      <c r="Q1738" s="210"/>
      <c r="R1738" s="210"/>
      <c r="S1738" s="210"/>
      <c r="T1738" s="210"/>
      <c r="U1738" s="210"/>
      <c r="V1738" s="210"/>
      <c r="W1738" s="210"/>
      <c r="X1738" s="210"/>
      <c r="Y1738" s="210"/>
      <c r="Z1738" s="210"/>
      <c r="AA1738" s="210"/>
      <c r="AB1738" s="210"/>
      <c r="AC1738" s="210"/>
      <c r="AD1738" s="210"/>
      <c r="AE1738" s="210"/>
      <c r="AF1738" s="210"/>
      <c r="AG1738" s="210"/>
      <c r="AH1738" s="210"/>
      <c r="AI1738" s="210"/>
      <c r="AJ1738" s="210"/>
    </row>
    <row r="1739" ht="14.25" customHeight="1">
      <c r="A1739" s="210"/>
      <c r="B1739" s="210"/>
      <c r="C1739" s="210"/>
      <c r="D1739" s="210"/>
      <c r="E1739" s="210"/>
      <c r="F1739" s="210"/>
      <c r="G1739" s="210"/>
      <c r="H1739" s="210"/>
      <c r="I1739" s="210"/>
      <c r="J1739" s="210"/>
      <c r="K1739" s="210"/>
      <c r="L1739" s="210"/>
      <c r="M1739" s="210"/>
      <c r="N1739" s="210"/>
      <c r="O1739" s="210"/>
      <c r="P1739" s="210"/>
      <c r="Q1739" s="210"/>
      <c r="R1739" s="210"/>
      <c r="S1739" s="210"/>
      <c r="T1739" s="210"/>
      <c r="U1739" s="210"/>
      <c r="V1739" s="210"/>
      <c r="W1739" s="210"/>
      <c r="X1739" s="210"/>
      <c r="Y1739" s="210"/>
      <c r="Z1739" s="210"/>
      <c r="AA1739" s="210"/>
      <c r="AB1739" s="210"/>
      <c r="AC1739" s="210"/>
      <c r="AD1739" s="210"/>
      <c r="AE1739" s="210"/>
      <c r="AF1739" s="210"/>
      <c r="AG1739" s="210"/>
      <c r="AH1739" s="210"/>
      <c r="AI1739" s="210"/>
      <c r="AJ1739" s="210"/>
    </row>
    <row r="1740" ht="14.25" customHeight="1">
      <c r="A1740" s="210"/>
      <c r="B1740" s="210"/>
      <c r="C1740" s="210"/>
      <c r="D1740" s="210"/>
      <c r="E1740" s="210"/>
      <c r="F1740" s="210"/>
      <c r="G1740" s="210"/>
      <c r="H1740" s="210"/>
      <c r="I1740" s="210"/>
      <c r="J1740" s="210"/>
      <c r="K1740" s="210"/>
      <c r="L1740" s="210"/>
      <c r="M1740" s="210"/>
      <c r="N1740" s="210"/>
      <c r="O1740" s="210"/>
      <c r="P1740" s="210"/>
      <c r="Q1740" s="210"/>
      <c r="R1740" s="210"/>
      <c r="S1740" s="210"/>
      <c r="T1740" s="210"/>
      <c r="U1740" s="210"/>
      <c r="V1740" s="210"/>
      <c r="W1740" s="210"/>
      <c r="X1740" s="210"/>
      <c r="Y1740" s="210"/>
      <c r="Z1740" s="210"/>
      <c r="AA1740" s="210"/>
      <c r="AB1740" s="210"/>
      <c r="AC1740" s="210"/>
      <c r="AD1740" s="210"/>
      <c r="AE1740" s="210"/>
      <c r="AF1740" s="210"/>
      <c r="AG1740" s="210"/>
      <c r="AH1740" s="210"/>
      <c r="AI1740" s="210"/>
      <c r="AJ1740" s="210"/>
    </row>
    <row r="1741" ht="14.25" customHeight="1">
      <c r="A1741" s="210"/>
      <c r="B1741" s="210"/>
      <c r="C1741" s="210"/>
      <c r="D1741" s="210"/>
      <c r="E1741" s="210"/>
      <c r="F1741" s="210"/>
      <c r="G1741" s="210"/>
      <c r="H1741" s="210"/>
      <c r="I1741" s="210"/>
      <c r="J1741" s="210"/>
      <c r="K1741" s="210"/>
      <c r="L1741" s="210"/>
      <c r="M1741" s="210"/>
      <c r="N1741" s="210"/>
      <c r="O1741" s="210"/>
      <c r="P1741" s="210"/>
      <c r="Q1741" s="210"/>
      <c r="R1741" s="210"/>
      <c r="S1741" s="210"/>
      <c r="T1741" s="210"/>
      <c r="U1741" s="210"/>
      <c r="V1741" s="210"/>
      <c r="W1741" s="210"/>
      <c r="X1741" s="210"/>
      <c r="Y1741" s="210"/>
      <c r="Z1741" s="210"/>
      <c r="AA1741" s="210"/>
      <c r="AB1741" s="210"/>
      <c r="AC1741" s="210"/>
      <c r="AD1741" s="210"/>
      <c r="AE1741" s="210"/>
      <c r="AF1741" s="210"/>
      <c r="AG1741" s="210"/>
      <c r="AH1741" s="210"/>
      <c r="AI1741" s="210"/>
      <c r="AJ1741" s="210"/>
    </row>
    <row r="1742" ht="14.25" customHeight="1">
      <c r="A1742" s="210"/>
      <c r="B1742" s="210"/>
      <c r="C1742" s="210"/>
      <c r="D1742" s="210"/>
      <c r="E1742" s="210"/>
      <c r="F1742" s="210"/>
      <c r="G1742" s="210"/>
      <c r="H1742" s="210"/>
      <c r="I1742" s="210"/>
      <c r="J1742" s="210"/>
      <c r="K1742" s="210"/>
      <c r="L1742" s="210"/>
      <c r="M1742" s="210"/>
      <c r="N1742" s="210"/>
      <c r="O1742" s="210"/>
      <c r="P1742" s="210"/>
      <c r="Q1742" s="210"/>
      <c r="R1742" s="210"/>
      <c r="S1742" s="210"/>
      <c r="T1742" s="210"/>
      <c r="U1742" s="210"/>
      <c r="V1742" s="210"/>
      <c r="W1742" s="210"/>
      <c r="X1742" s="210"/>
      <c r="Y1742" s="210"/>
      <c r="Z1742" s="210"/>
      <c r="AA1742" s="210"/>
      <c r="AB1742" s="210"/>
      <c r="AC1742" s="210"/>
      <c r="AD1742" s="210"/>
      <c r="AE1742" s="210"/>
      <c r="AF1742" s="210"/>
      <c r="AG1742" s="210"/>
      <c r="AH1742" s="210"/>
      <c r="AI1742" s="210"/>
      <c r="AJ1742" s="210"/>
    </row>
    <row r="1743" ht="14.25" customHeight="1">
      <c r="A1743" s="210"/>
      <c r="B1743" s="210"/>
      <c r="C1743" s="210"/>
      <c r="D1743" s="210"/>
      <c r="E1743" s="210"/>
      <c r="F1743" s="210"/>
      <c r="G1743" s="210"/>
      <c r="H1743" s="210"/>
      <c r="I1743" s="210"/>
      <c r="J1743" s="210"/>
      <c r="K1743" s="210"/>
      <c r="L1743" s="210"/>
      <c r="M1743" s="210"/>
      <c r="N1743" s="210"/>
      <c r="O1743" s="210"/>
      <c r="P1743" s="210"/>
      <c r="Q1743" s="210"/>
      <c r="R1743" s="210"/>
      <c r="S1743" s="210"/>
      <c r="T1743" s="210"/>
      <c r="U1743" s="210"/>
      <c r="V1743" s="210"/>
      <c r="W1743" s="210"/>
      <c r="X1743" s="210"/>
      <c r="Y1743" s="210"/>
      <c r="Z1743" s="210"/>
      <c r="AA1743" s="210"/>
      <c r="AB1743" s="210"/>
      <c r="AC1743" s="210"/>
      <c r="AD1743" s="210"/>
      <c r="AE1743" s="210"/>
      <c r="AF1743" s="210"/>
      <c r="AG1743" s="210"/>
      <c r="AH1743" s="210"/>
      <c r="AI1743" s="210"/>
      <c r="AJ1743" s="210"/>
    </row>
    <row r="1744" ht="14.25" customHeight="1">
      <c r="A1744" s="210"/>
      <c r="B1744" s="210"/>
      <c r="C1744" s="210"/>
      <c r="D1744" s="210"/>
      <c r="E1744" s="210"/>
      <c r="F1744" s="210"/>
      <c r="G1744" s="210"/>
      <c r="H1744" s="210"/>
      <c r="I1744" s="210"/>
      <c r="J1744" s="210"/>
      <c r="K1744" s="210"/>
      <c r="L1744" s="210"/>
      <c r="M1744" s="210"/>
      <c r="N1744" s="210"/>
      <c r="O1744" s="210"/>
      <c r="P1744" s="210"/>
      <c r="Q1744" s="210"/>
      <c r="R1744" s="210"/>
      <c r="S1744" s="210"/>
      <c r="T1744" s="210"/>
      <c r="U1744" s="210"/>
      <c r="V1744" s="210"/>
      <c r="W1744" s="210"/>
      <c r="X1744" s="210"/>
      <c r="Y1744" s="210"/>
      <c r="Z1744" s="210"/>
      <c r="AA1744" s="210"/>
      <c r="AB1744" s="210"/>
      <c r="AC1744" s="210"/>
      <c r="AD1744" s="210"/>
      <c r="AE1744" s="210"/>
      <c r="AF1744" s="210"/>
      <c r="AG1744" s="210"/>
      <c r="AH1744" s="210"/>
      <c r="AI1744" s="210"/>
      <c r="AJ1744" s="210"/>
    </row>
    <row r="1745" ht="14.25" customHeight="1">
      <c r="A1745" s="210"/>
      <c r="B1745" s="210"/>
      <c r="C1745" s="210"/>
      <c r="D1745" s="210"/>
      <c r="E1745" s="210"/>
      <c r="F1745" s="210"/>
      <c r="G1745" s="210"/>
      <c r="H1745" s="210"/>
      <c r="I1745" s="210"/>
      <c r="J1745" s="210"/>
      <c r="K1745" s="210"/>
      <c r="L1745" s="210"/>
      <c r="M1745" s="210"/>
      <c r="N1745" s="210"/>
      <c r="O1745" s="210"/>
      <c r="P1745" s="210"/>
      <c r="Q1745" s="210"/>
      <c r="R1745" s="210"/>
      <c r="S1745" s="210"/>
      <c r="T1745" s="210"/>
      <c r="U1745" s="210"/>
      <c r="V1745" s="210"/>
      <c r="W1745" s="210"/>
      <c r="X1745" s="210"/>
      <c r="Y1745" s="210"/>
      <c r="Z1745" s="210"/>
      <c r="AA1745" s="210"/>
      <c r="AB1745" s="210"/>
      <c r="AC1745" s="210"/>
      <c r="AD1745" s="210"/>
      <c r="AE1745" s="210"/>
      <c r="AF1745" s="210"/>
      <c r="AG1745" s="210"/>
      <c r="AH1745" s="210"/>
      <c r="AI1745" s="210"/>
      <c r="AJ1745" s="210"/>
    </row>
    <row r="1746" ht="14.25" customHeight="1">
      <c r="A1746" s="210"/>
      <c r="B1746" s="210"/>
      <c r="C1746" s="210"/>
      <c r="D1746" s="210"/>
      <c r="E1746" s="210"/>
      <c r="F1746" s="210"/>
      <c r="G1746" s="210"/>
      <c r="H1746" s="210"/>
      <c r="I1746" s="210"/>
      <c r="J1746" s="210"/>
      <c r="K1746" s="210"/>
      <c r="L1746" s="210"/>
      <c r="M1746" s="210"/>
      <c r="N1746" s="210"/>
      <c r="O1746" s="210"/>
      <c r="P1746" s="210"/>
      <c r="Q1746" s="210"/>
      <c r="R1746" s="210"/>
      <c r="S1746" s="210"/>
      <c r="T1746" s="210"/>
      <c r="U1746" s="210"/>
      <c r="V1746" s="210"/>
      <c r="W1746" s="210"/>
      <c r="X1746" s="210"/>
      <c r="Y1746" s="210"/>
      <c r="Z1746" s="210"/>
      <c r="AA1746" s="210"/>
      <c r="AB1746" s="210"/>
      <c r="AC1746" s="210"/>
      <c r="AD1746" s="210"/>
      <c r="AE1746" s="210"/>
      <c r="AF1746" s="210"/>
      <c r="AG1746" s="210"/>
      <c r="AH1746" s="210"/>
      <c r="AI1746" s="210"/>
      <c r="AJ1746" s="210"/>
    </row>
    <row r="1747" ht="14.25" customHeight="1">
      <c r="A1747" s="210"/>
      <c r="B1747" s="210"/>
      <c r="C1747" s="210"/>
      <c r="D1747" s="210"/>
      <c r="E1747" s="210"/>
      <c r="F1747" s="210"/>
      <c r="G1747" s="210"/>
      <c r="H1747" s="210"/>
      <c r="I1747" s="210"/>
      <c r="J1747" s="210"/>
      <c r="K1747" s="210"/>
      <c r="L1747" s="210"/>
      <c r="M1747" s="210"/>
      <c r="N1747" s="210"/>
      <c r="O1747" s="210"/>
      <c r="P1747" s="210"/>
      <c r="Q1747" s="210"/>
      <c r="R1747" s="210"/>
      <c r="S1747" s="210"/>
      <c r="T1747" s="210"/>
      <c r="U1747" s="210"/>
      <c r="V1747" s="210"/>
      <c r="W1747" s="210"/>
      <c r="X1747" s="210"/>
      <c r="Y1747" s="210"/>
      <c r="Z1747" s="210"/>
      <c r="AA1747" s="210"/>
      <c r="AB1747" s="210"/>
      <c r="AC1747" s="210"/>
      <c r="AD1747" s="210"/>
      <c r="AE1747" s="210"/>
      <c r="AF1747" s="210"/>
      <c r="AG1747" s="210"/>
      <c r="AH1747" s="210"/>
      <c r="AI1747" s="210"/>
      <c r="AJ1747" s="210"/>
    </row>
    <row r="1748" ht="14.25" customHeight="1">
      <c r="A1748" s="210"/>
      <c r="B1748" s="210"/>
      <c r="C1748" s="210"/>
      <c r="D1748" s="210"/>
      <c r="E1748" s="210"/>
      <c r="F1748" s="210"/>
      <c r="G1748" s="210"/>
      <c r="H1748" s="210"/>
      <c r="I1748" s="210"/>
      <c r="J1748" s="210"/>
      <c r="K1748" s="210"/>
      <c r="L1748" s="210"/>
      <c r="M1748" s="210"/>
      <c r="N1748" s="210"/>
      <c r="O1748" s="210"/>
      <c r="P1748" s="210"/>
      <c r="Q1748" s="210"/>
      <c r="R1748" s="210"/>
      <c r="S1748" s="210"/>
      <c r="T1748" s="210"/>
      <c r="U1748" s="210"/>
      <c r="V1748" s="210"/>
      <c r="W1748" s="210"/>
      <c r="X1748" s="210"/>
      <c r="Y1748" s="210"/>
      <c r="Z1748" s="210"/>
      <c r="AA1748" s="210"/>
      <c r="AB1748" s="210"/>
      <c r="AC1748" s="210"/>
      <c r="AD1748" s="210"/>
      <c r="AE1748" s="210"/>
      <c r="AF1748" s="210"/>
      <c r="AG1748" s="210"/>
      <c r="AH1748" s="210"/>
      <c r="AI1748" s="210"/>
      <c r="AJ1748" s="210"/>
    </row>
    <row r="1749" ht="14.25" customHeight="1">
      <c r="A1749" s="210"/>
      <c r="B1749" s="210"/>
      <c r="C1749" s="210"/>
      <c r="D1749" s="210"/>
      <c r="E1749" s="210"/>
      <c r="F1749" s="210"/>
      <c r="G1749" s="210"/>
      <c r="H1749" s="210"/>
      <c r="I1749" s="210"/>
      <c r="J1749" s="210"/>
      <c r="K1749" s="210"/>
      <c r="L1749" s="210"/>
      <c r="M1749" s="210"/>
      <c r="N1749" s="210"/>
      <c r="O1749" s="210"/>
      <c r="P1749" s="210"/>
      <c r="Q1749" s="210"/>
      <c r="R1749" s="210"/>
      <c r="S1749" s="210"/>
      <c r="T1749" s="210"/>
      <c r="U1749" s="210"/>
      <c r="V1749" s="210"/>
      <c r="W1749" s="210"/>
      <c r="X1749" s="210"/>
      <c r="Y1749" s="210"/>
      <c r="Z1749" s="210"/>
      <c r="AA1749" s="210"/>
      <c r="AB1749" s="210"/>
      <c r="AC1749" s="210"/>
      <c r="AD1749" s="210"/>
      <c r="AE1749" s="210"/>
      <c r="AF1749" s="210"/>
      <c r="AG1749" s="210"/>
      <c r="AH1749" s="210"/>
      <c r="AI1749" s="210"/>
      <c r="AJ1749" s="210"/>
    </row>
    <row r="1750" ht="14.25" customHeight="1">
      <c r="A1750" s="210"/>
      <c r="B1750" s="210"/>
      <c r="C1750" s="210"/>
      <c r="D1750" s="210"/>
      <c r="E1750" s="210"/>
      <c r="F1750" s="210"/>
      <c r="G1750" s="210"/>
      <c r="H1750" s="210"/>
      <c r="I1750" s="210"/>
      <c r="J1750" s="210"/>
      <c r="K1750" s="210"/>
      <c r="L1750" s="210"/>
      <c r="M1750" s="210"/>
      <c r="N1750" s="210"/>
      <c r="O1750" s="210"/>
      <c r="P1750" s="210"/>
      <c r="Q1750" s="210"/>
      <c r="R1750" s="210"/>
      <c r="S1750" s="210"/>
      <c r="T1750" s="210"/>
      <c r="U1750" s="210"/>
      <c r="V1750" s="210"/>
      <c r="W1750" s="210"/>
      <c r="X1750" s="210"/>
      <c r="Y1750" s="210"/>
      <c r="Z1750" s="210"/>
      <c r="AA1750" s="210"/>
      <c r="AB1750" s="210"/>
      <c r="AC1750" s="210"/>
      <c r="AD1750" s="210"/>
      <c r="AE1750" s="210"/>
      <c r="AF1750" s="210"/>
      <c r="AG1750" s="210"/>
      <c r="AH1750" s="210"/>
      <c r="AI1750" s="210"/>
      <c r="AJ1750" s="210"/>
    </row>
    <row r="1751" ht="14.25" customHeight="1">
      <c r="A1751" s="210"/>
      <c r="B1751" s="210"/>
      <c r="C1751" s="210"/>
      <c r="D1751" s="210"/>
      <c r="E1751" s="210"/>
      <c r="F1751" s="210"/>
      <c r="G1751" s="210"/>
      <c r="H1751" s="210"/>
      <c r="I1751" s="210"/>
      <c r="J1751" s="210"/>
      <c r="K1751" s="210"/>
      <c r="L1751" s="210"/>
      <c r="M1751" s="210"/>
      <c r="N1751" s="210"/>
      <c r="O1751" s="210"/>
      <c r="P1751" s="210"/>
      <c r="Q1751" s="210"/>
      <c r="R1751" s="210"/>
      <c r="S1751" s="210"/>
      <c r="T1751" s="210"/>
      <c r="U1751" s="210"/>
      <c r="V1751" s="210"/>
      <c r="W1751" s="210"/>
      <c r="X1751" s="210"/>
      <c r="Y1751" s="210"/>
      <c r="Z1751" s="210"/>
      <c r="AA1751" s="210"/>
      <c r="AB1751" s="210"/>
      <c r="AC1751" s="210"/>
      <c r="AD1751" s="210"/>
      <c r="AE1751" s="210"/>
      <c r="AF1751" s="210"/>
      <c r="AG1751" s="210"/>
      <c r="AH1751" s="210"/>
      <c r="AI1751" s="210"/>
      <c r="AJ1751" s="210"/>
    </row>
    <row r="1752" ht="14.25" customHeight="1">
      <c r="A1752" s="210"/>
      <c r="B1752" s="210"/>
      <c r="C1752" s="210"/>
      <c r="D1752" s="210"/>
      <c r="E1752" s="210"/>
      <c r="F1752" s="210"/>
      <c r="G1752" s="210"/>
      <c r="H1752" s="210"/>
      <c r="I1752" s="210"/>
      <c r="J1752" s="210"/>
      <c r="K1752" s="210"/>
      <c r="L1752" s="210"/>
      <c r="M1752" s="210"/>
      <c r="N1752" s="210"/>
      <c r="O1752" s="210"/>
      <c r="P1752" s="210"/>
      <c r="Q1752" s="210"/>
      <c r="R1752" s="210"/>
      <c r="S1752" s="210"/>
      <c r="T1752" s="210"/>
      <c r="U1752" s="210"/>
      <c r="V1752" s="210"/>
      <c r="W1752" s="210"/>
      <c r="X1752" s="210"/>
      <c r="Y1752" s="210"/>
      <c r="Z1752" s="210"/>
      <c r="AA1752" s="210"/>
      <c r="AB1752" s="210"/>
      <c r="AC1752" s="210"/>
      <c r="AD1752" s="210"/>
      <c r="AE1752" s="210"/>
      <c r="AF1752" s="210"/>
      <c r="AG1752" s="210"/>
      <c r="AH1752" s="210"/>
      <c r="AI1752" s="210"/>
      <c r="AJ1752" s="210"/>
    </row>
    <row r="1753" ht="14.25" customHeight="1">
      <c r="A1753" s="210"/>
      <c r="B1753" s="210"/>
      <c r="C1753" s="210"/>
      <c r="D1753" s="210"/>
      <c r="E1753" s="210"/>
      <c r="F1753" s="210"/>
      <c r="G1753" s="210"/>
      <c r="H1753" s="210"/>
      <c r="I1753" s="210"/>
      <c r="J1753" s="210"/>
      <c r="K1753" s="210"/>
      <c r="L1753" s="210"/>
      <c r="M1753" s="210"/>
      <c r="N1753" s="210"/>
      <c r="O1753" s="210"/>
      <c r="P1753" s="210"/>
      <c r="Q1753" s="210"/>
      <c r="R1753" s="210"/>
      <c r="S1753" s="210"/>
      <c r="T1753" s="210"/>
      <c r="U1753" s="210"/>
      <c r="V1753" s="210"/>
      <c r="W1753" s="210"/>
      <c r="X1753" s="210"/>
      <c r="Y1753" s="210"/>
      <c r="Z1753" s="210"/>
      <c r="AA1753" s="210"/>
      <c r="AB1753" s="210"/>
      <c r="AC1753" s="210"/>
      <c r="AD1753" s="210"/>
      <c r="AE1753" s="210"/>
      <c r="AF1753" s="210"/>
      <c r="AG1753" s="210"/>
      <c r="AH1753" s="210"/>
      <c r="AI1753" s="210"/>
      <c r="AJ1753" s="210"/>
    </row>
    <row r="1754" ht="14.25" customHeight="1">
      <c r="A1754" s="210"/>
      <c r="B1754" s="210"/>
      <c r="C1754" s="210"/>
      <c r="D1754" s="210"/>
      <c r="E1754" s="210"/>
      <c r="F1754" s="210"/>
      <c r="G1754" s="210"/>
      <c r="H1754" s="210"/>
      <c r="I1754" s="210"/>
      <c r="J1754" s="210"/>
      <c r="K1754" s="210"/>
      <c r="L1754" s="210"/>
      <c r="M1754" s="210"/>
      <c r="N1754" s="210"/>
      <c r="O1754" s="210"/>
      <c r="P1754" s="210"/>
      <c r="Q1754" s="210"/>
      <c r="R1754" s="210"/>
      <c r="S1754" s="210"/>
      <c r="T1754" s="210"/>
      <c r="U1754" s="210"/>
      <c r="V1754" s="210"/>
      <c r="W1754" s="210"/>
      <c r="X1754" s="210"/>
      <c r="Y1754" s="210"/>
      <c r="Z1754" s="210"/>
      <c r="AA1754" s="210"/>
      <c r="AB1754" s="210"/>
      <c r="AC1754" s="210"/>
      <c r="AD1754" s="210"/>
      <c r="AE1754" s="210"/>
      <c r="AF1754" s="210"/>
      <c r="AG1754" s="210"/>
      <c r="AH1754" s="210"/>
      <c r="AI1754" s="210"/>
      <c r="AJ1754" s="210"/>
    </row>
    <row r="1755" ht="14.25" customHeight="1">
      <c r="A1755" s="210"/>
      <c r="B1755" s="210"/>
      <c r="C1755" s="210"/>
      <c r="D1755" s="210"/>
      <c r="E1755" s="210"/>
      <c r="F1755" s="210"/>
      <c r="G1755" s="210"/>
      <c r="H1755" s="210"/>
      <c r="I1755" s="210"/>
      <c r="J1755" s="210"/>
      <c r="K1755" s="210"/>
      <c r="L1755" s="210"/>
      <c r="M1755" s="210"/>
      <c r="N1755" s="210"/>
      <c r="O1755" s="210"/>
      <c r="P1755" s="210"/>
      <c r="Q1755" s="210"/>
      <c r="R1755" s="210"/>
      <c r="S1755" s="210"/>
      <c r="T1755" s="210"/>
      <c r="U1755" s="210"/>
      <c r="V1755" s="210"/>
      <c r="W1755" s="210"/>
      <c r="X1755" s="210"/>
      <c r="Y1755" s="210"/>
      <c r="Z1755" s="210"/>
      <c r="AA1755" s="210"/>
      <c r="AB1755" s="210"/>
      <c r="AC1755" s="210"/>
      <c r="AD1755" s="210"/>
      <c r="AE1755" s="210"/>
      <c r="AF1755" s="210"/>
      <c r="AG1755" s="210"/>
      <c r="AH1755" s="210"/>
      <c r="AI1755" s="210"/>
      <c r="AJ1755" s="210"/>
    </row>
    <row r="1756" ht="14.25" customHeight="1">
      <c r="A1756" s="210"/>
      <c r="B1756" s="210"/>
      <c r="C1756" s="210"/>
      <c r="D1756" s="210"/>
      <c r="E1756" s="210"/>
      <c r="F1756" s="210"/>
      <c r="G1756" s="210"/>
      <c r="H1756" s="210"/>
      <c r="I1756" s="210"/>
      <c r="J1756" s="210"/>
      <c r="K1756" s="210"/>
      <c r="L1756" s="210"/>
      <c r="M1756" s="210"/>
      <c r="N1756" s="210"/>
      <c r="O1756" s="210"/>
      <c r="P1756" s="210"/>
      <c r="Q1756" s="210"/>
      <c r="R1756" s="210"/>
      <c r="S1756" s="210"/>
      <c r="T1756" s="210"/>
      <c r="U1756" s="210"/>
      <c r="V1756" s="210"/>
      <c r="W1756" s="210"/>
      <c r="X1756" s="210"/>
      <c r="Y1756" s="210"/>
      <c r="Z1756" s="210"/>
      <c r="AA1756" s="210"/>
      <c r="AB1756" s="210"/>
      <c r="AC1756" s="210"/>
      <c r="AD1756" s="210"/>
      <c r="AE1756" s="210"/>
      <c r="AF1756" s="210"/>
      <c r="AG1756" s="210"/>
      <c r="AH1756" s="210"/>
      <c r="AI1756" s="210"/>
      <c r="AJ1756" s="210"/>
    </row>
    <row r="1757" ht="14.25" customHeight="1">
      <c r="A1757" s="210"/>
      <c r="B1757" s="210"/>
      <c r="C1757" s="210"/>
      <c r="D1757" s="210"/>
      <c r="E1757" s="210"/>
      <c r="F1757" s="210"/>
      <c r="G1757" s="210"/>
      <c r="H1757" s="210"/>
      <c r="I1757" s="210"/>
      <c r="J1757" s="210"/>
      <c r="K1757" s="210"/>
      <c r="L1757" s="210"/>
      <c r="M1757" s="210"/>
      <c r="N1757" s="210"/>
      <c r="O1757" s="210"/>
      <c r="P1757" s="210"/>
      <c r="Q1757" s="210"/>
      <c r="R1757" s="210"/>
      <c r="S1757" s="210"/>
      <c r="T1757" s="210"/>
      <c r="U1757" s="210"/>
      <c r="V1757" s="210"/>
      <c r="W1757" s="210"/>
      <c r="X1757" s="210"/>
      <c r="Y1757" s="210"/>
      <c r="Z1757" s="210"/>
      <c r="AA1757" s="210"/>
      <c r="AB1757" s="210"/>
      <c r="AC1757" s="210"/>
      <c r="AD1757" s="210"/>
      <c r="AE1757" s="210"/>
      <c r="AF1757" s="210"/>
      <c r="AG1757" s="210"/>
      <c r="AH1757" s="210"/>
      <c r="AI1757" s="210"/>
      <c r="AJ1757" s="210"/>
    </row>
    <row r="1758" ht="14.25" customHeight="1">
      <c r="A1758" s="210"/>
      <c r="B1758" s="210"/>
      <c r="C1758" s="210"/>
      <c r="D1758" s="210"/>
      <c r="E1758" s="210"/>
      <c r="F1758" s="210"/>
      <c r="G1758" s="210"/>
      <c r="H1758" s="210"/>
      <c r="I1758" s="210"/>
      <c r="J1758" s="210"/>
      <c r="K1758" s="210"/>
      <c r="L1758" s="210"/>
      <c r="M1758" s="210"/>
      <c r="N1758" s="210"/>
      <c r="O1758" s="210"/>
      <c r="P1758" s="210"/>
      <c r="Q1758" s="210"/>
      <c r="R1758" s="210"/>
      <c r="S1758" s="210"/>
      <c r="T1758" s="210"/>
      <c r="U1758" s="210"/>
      <c r="V1758" s="210"/>
      <c r="W1758" s="210"/>
      <c r="X1758" s="210"/>
      <c r="Y1758" s="210"/>
      <c r="Z1758" s="210"/>
      <c r="AA1758" s="210"/>
      <c r="AB1758" s="210"/>
      <c r="AC1758" s="210"/>
      <c r="AD1758" s="210"/>
      <c r="AE1758" s="210"/>
      <c r="AF1758" s="210"/>
      <c r="AG1758" s="210"/>
      <c r="AH1758" s="210"/>
      <c r="AI1758" s="210"/>
      <c r="AJ1758" s="210"/>
    </row>
    <row r="1759" ht="14.25" customHeight="1">
      <c r="A1759" s="210"/>
      <c r="B1759" s="210"/>
      <c r="C1759" s="210"/>
      <c r="D1759" s="210"/>
      <c r="E1759" s="210"/>
      <c r="F1759" s="210"/>
      <c r="G1759" s="210"/>
      <c r="H1759" s="210"/>
      <c r="I1759" s="210"/>
      <c r="J1759" s="210"/>
      <c r="K1759" s="210"/>
      <c r="L1759" s="210"/>
      <c r="M1759" s="210"/>
      <c r="N1759" s="210"/>
      <c r="O1759" s="210"/>
      <c r="P1759" s="210"/>
      <c r="Q1759" s="210"/>
      <c r="R1759" s="210"/>
      <c r="S1759" s="210"/>
      <c r="T1759" s="210"/>
      <c r="U1759" s="210"/>
      <c r="V1759" s="210"/>
      <c r="W1759" s="210"/>
      <c r="X1759" s="210"/>
      <c r="Y1759" s="210"/>
      <c r="Z1759" s="210"/>
      <c r="AA1759" s="210"/>
      <c r="AB1759" s="210"/>
      <c r="AC1759" s="210"/>
      <c r="AD1759" s="210"/>
      <c r="AE1759" s="210"/>
      <c r="AF1759" s="210"/>
      <c r="AG1759" s="210"/>
      <c r="AH1759" s="210"/>
      <c r="AI1759" s="210"/>
      <c r="AJ1759" s="210"/>
    </row>
    <row r="1760" ht="14.25" customHeight="1">
      <c r="A1760" s="210"/>
      <c r="B1760" s="210"/>
      <c r="C1760" s="210"/>
      <c r="D1760" s="210"/>
      <c r="E1760" s="210"/>
      <c r="F1760" s="210"/>
      <c r="G1760" s="210"/>
      <c r="H1760" s="210"/>
      <c r="I1760" s="210"/>
      <c r="J1760" s="210"/>
      <c r="K1760" s="210"/>
      <c r="L1760" s="210"/>
      <c r="M1760" s="210"/>
      <c r="N1760" s="210"/>
      <c r="O1760" s="210"/>
      <c r="P1760" s="210"/>
      <c r="Q1760" s="210"/>
      <c r="R1760" s="210"/>
      <c r="S1760" s="210"/>
      <c r="T1760" s="210"/>
      <c r="U1760" s="210"/>
      <c r="V1760" s="210"/>
      <c r="W1760" s="210"/>
      <c r="X1760" s="210"/>
      <c r="Y1760" s="210"/>
      <c r="Z1760" s="210"/>
      <c r="AA1760" s="210"/>
      <c r="AB1760" s="210"/>
      <c r="AC1760" s="210"/>
      <c r="AD1760" s="210"/>
      <c r="AE1760" s="210"/>
      <c r="AF1760" s="210"/>
      <c r="AG1760" s="210"/>
      <c r="AH1760" s="210"/>
      <c r="AI1760" s="210"/>
      <c r="AJ1760" s="210"/>
    </row>
    <row r="1761" ht="14.25" customHeight="1">
      <c r="A1761" s="210"/>
      <c r="B1761" s="210"/>
      <c r="C1761" s="210"/>
      <c r="D1761" s="210"/>
      <c r="E1761" s="210"/>
      <c r="F1761" s="210"/>
      <c r="G1761" s="210"/>
      <c r="H1761" s="210"/>
      <c r="I1761" s="210"/>
      <c r="J1761" s="210"/>
      <c r="K1761" s="210"/>
      <c r="L1761" s="210"/>
      <c r="M1761" s="210"/>
      <c r="N1761" s="210"/>
      <c r="O1761" s="210"/>
      <c r="P1761" s="210"/>
      <c r="Q1761" s="210"/>
      <c r="R1761" s="210"/>
      <c r="S1761" s="210"/>
      <c r="T1761" s="210"/>
      <c r="U1761" s="210"/>
      <c r="V1761" s="210"/>
      <c r="W1761" s="210"/>
      <c r="X1761" s="210"/>
      <c r="Y1761" s="210"/>
      <c r="Z1761" s="210"/>
      <c r="AA1761" s="210"/>
      <c r="AB1761" s="210"/>
      <c r="AC1761" s="210"/>
      <c r="AD1761" s="210"/>
      <c r="AE1761" s="210"/>
      <c r="AF1761" s="210"/>
      <c r="AG1761" s="210"/>
      <c r="AH1761" s="210"/>
      <c r="AI1761" s="210"/>
      <c r="AJ1761" s="210"/>
    </row>
    <row r="1762" ht="14.25" customHeight="1">
      <c r="A1762" s="210"/>
      <c r="B1762" s="210"/>
      <c r="C1762" s="210"/>
      <c r="D1762" s="210"/>
      <c r="E1762" s="210"/>
      <c r="F1762" s="210"/>
      <c r="G1762" s="210"/>
      <c r="H1762" s="210"/>
      <c r="I1762" s="210"/>
      <c r="J1762" s="210"/>
      <c r="K1762" s="210"/>
      <c r="L1762" s="210"/>
      <c r="M1762" s="210"/>
      <c r="N1762" s="210"/>
      <c r="O1762" s="210"/>
      <c r="P1762" s="210"/>
      <c r="Q1762" s="210"/>
      <c r="R1762" s="210"/>
      <c r="S1762" s="210"/>
      <c r="T1762" s="210"/>
      <c r="U1762" s="210"/>
      <c r="V1762" s="210"/>
      <c r="W1762" s="210"/>
      <c r="X1762" s="210"/>
      <c r="Y1762" s="210"/>
      <c r="Z1762" s="210"/>
      <c r="AA1762" s="210"/>
      <c r="AB1762" s="210"/>
      <c r="AC1762" s="210"/>
      <c r="AD1762" s="210"/>
      <c r="AE1762" s="210"/>
      <c r="AF1762" s="210"/>
      <c r="AG1762" s="210"/>
      <c r="AH1762" s="210"/>
      <c r="AI1762" s="210"/>
      <c r="AJ1762" s="210"/>
    </row>
    <row r="1763" ht="14.25" customHeight="1">
      <c r="A1763" s="210"/>
      <c r="B1763" s="210"/>
      <c r="C1763" s="210"/>
      <c r="D1763" s="210"/>
      <c r="E1763" s="210"/>
      <c r="F1763" s="210"/>
      <c r="G1763" s="210"/>
      <c r="H1763" s="210"/>
      <c r="I1763" s="210"/>
      <c r="J1763" s="210"/>
      <c r="K1763" s="210"/>
      <c r="L1763" s="210"/>
      <c r="M1763" s="210"/>
      <c r="N1763" s="210"/>
      <c r="O1763" s="210"/>
      <c r="P1763" s="210"/>
      <c r="Q1763" s="210"/>
      <c r="R1763" s="210"/>
      <c r="S1763" s="210"/>
      <c r="T1763" s="210"/>
      <c r="U1763" s="210"/>
      <c r="V1763" s="210"/>
      <c r="W1763" s="210"/>
      <c r="X1763" s="210"/>
      <c r="Y1763" s="210"/>
      <c r="Z1763" s="210"/>
      <c r="AA1763" s="210"/>
      <c r="AB1763" s="210"/>
      <c r="AC1763" s="210"/>
      <c r="AD1763" s="210"/>
      <c r="AE1763" s="210"/>
      <c r="AF1763" s="210"/>
      <c r="AG1763" s="210"/>
      <c r="AH1763" s="210"/>
      <c r="AI1763" s="210"/>
      <c r="AJ1763" s="210"/>
    </row>
    <row r="1764" ht="14.25" customHeight="1">
      <c r="A1764" s="210"/>
      <c r="B1764" s="210"/>
      <c r="C1764" s="210"/>
      <c r="D1764" s="210"/>
      <c r="E1764" s="210"/>
      <c r="F1764" s="210"/>
      <c r="G1764" s="210"/>
      <c r="H1764" s="210"/>
      <c r="I1764" s="210"/>
      <c r="J1764" s="210"/>
      <c r="K1764" s="210"/>
      <c r="L1764" s="210"/>
      <c r="M1764" s="210"/>
      <c r="N1764" s="210"/>
      <c r="O1764" s="210"/>
      <c r="P1764" s="210"/>
      <c r="Q1764" s="210"/>
      <c r="R1764" s="210"/>
      <c r="S1764" s="210"/>
      <c r="T1764" s="210"/>
      <c r="U1764" s="210"/>
      <c r="V1764" s="210"/>
      <c r="W1764" s="210"/>
      <c r="X1764" s="210"/>
      <c r="Y1764" s="210"/>
      <c r="Z1764" s="210"/>
      <c r="AA1764" s="210"/>
      <c r="AB1764" s="210"/>
      <c r="AC1764" s="210"/>
      <c r="AD1764" s="210"/>
      <c r="AE1764" s="210"/>
      <c r="AF1764" s="210"/>
      <c r="AG1764" s="210"/>
      <c r="AH1764" s="210"/>
      <c r="AI1764" s="210"/>
      <c r="AJ1764" s="210"/>
    </row>
    <row r="1765" ht="14.25" customHeight="1">
      <c r="A1765" s="210"/>
      <c r="B1765" s="210"/>
      <c r="C1765" s="210"/>
      <c r="D1765" s="210"/>
      <c r="E1765" s="210"/>
      <c r="F1765" s="210"/>
      <c r="G1765" s="210"/>
      <c r="H1765" s="210"/>
      <c r="I1765" s="210"/>
      <c r="J1765" s="210"/>
      <c r="K1765" s="210"/>
      <c r="L1765" s="210"/>
      <c r="M1765" s="210"/>
      <c r="N1765" s="210"/>
      <c r="O1765" s="210"/>
      <c r="P1765" s="210"/>
      <c r="Q1765" s="210"/>
      <c r="R1765" s="210"/>
      <c r="S1765" s="210"/>
      <c r="T1765" s="210"/>
      <c r="U1765" s="210"/>
      <c r="V1765" s="210"/>
      <c r="W1765" s="210"/>
      <c r="X1765" s="210"/>
      <c r="Y1765" s="210"/>
      <c r="Z1765" s="210"/>
      <c r="AA1765" s="210"/>
      <c r="AB1765" s="210"/>
      <c r="AC1765" s="210"/>
      <c r="AD1765" s="210"/>
      <c r="AE1765" s="210"/>
      <c r="AF1765" s="210"/>
      <c r="AG1765" s="210"/>
      <c r="AH1765" s="210"/>
      <c r="AI1765" s="210"/>
      <c r="AJ1765" s="210"/>
    </row>
    <row r="1766" ht="14.25" customHeight="1">
      <c r="A1766" s="210"/>
      <c r="B1766" s="210"/>
      <c r="C1766" s="210"/>
      <c r="D1766" s="210"/>
      <c r="E1766" s="210"/>
      <c r="F1766" s="210"/>
      <c r="G1766" s="210"/>
      <c r="H1766" s="210"/>
      <c r="I1766" s="210"/>
      <c r="J1766" s="210"/>
      <c r="K1766" s="210"/>
      <c r="L1766" s="210"/>
      <c r="M1766" s="210"/>
      <c r="N1766" s="210"/>
      <c r="O1766" s="210"/>
      <c r="P1766" s="210"/>
      <c r="Q1766" s="210"/>
      <c r="R1766" s="210"/>
      <c r="S1766" s="210"/>
      <c r="T1766" s="210"/>
      <c r="U1766" s="210"/>
      <c r="V1766" s="210"/>
      <c r="W1766" s="210"/>
      <c r="X1766" s="210"/>
      <c r="Y1766" s="210"/>
      <c r="Z1766" s="210"/>
      <c r="AA1766" s="210"/>
      <c r="AB1766" s="210"/>
      <c r="AC1766" s="210"/>
      <c r="AD1766" s="210"/>
      <c r="AE1766" s="210"/>
      <c r="AF1766" s="210"/>
      <c r="AG1766" s="210"/>
      <c r="AH1766" s="210"/>
      <c r="AI1766" s="210"/>
      <c r="AJ1766" s="210"/>
    </row>
    <row r="1767" ht="14.25" customHeight="1">
      <c r="A1767" s="210"/>
      <c r="B1767" s="210"/>
      <c r="C1767" s="210"/>
      <c r="D1767" s="210"/>
      <c r="E1767" s="210"/>
      <c r="F1767" s="210"/>
      <c r="G1767" s="210"/>
      <c r="H1767" s="210"/>
      <c r="I1767" s="210"/>
      <c r="J1767" s="210"/>
      <c r="K1767" s="210"/>
      <c r="L1767" s="210"/>
      <c r="M1767" s="210"/>
      <c r="N1767" s="210"/>
      <c r="O1767" s="210"/>
      <c r="P1767" s="210"/>
      <c r="Q1767" s="210"/>
      <c r="R1767" s="210"/>
      <c r="S1767" s="210"/>
      <c r="T1767" s="210"/>
      <c r="U1767" s="210"/>
      <c r="V1767" s="210"/>
      <c r="W1767" s="210"/>
      <c r="X1767" s="210"/>
      <c r="Y1767" s="210"/>
      <c r="Z1767" s="210"/>
      <c r="AA1767" s="210"/>
      <c r="AB1767" s="210"/>
      <c r="AC1767" s="210"/>
      <c r="AD1767" s="210"/>
      <c r="AE1767" s="210"/>
      <c r="AF1767" s="210"/>
      <c r="AG1767" s="210"/>
      <c r="AH1767" s="210"/>
      <c r="AI1767" s="210"/>
      <c r="AJ1767" s="210"/>
    </row>
    <row r="1768" ht="14.25" customHeight="1">
      <c r="A1768" s="210"/>
      <c r="B1768" s="210"/>
      <c r="C1768" s="210"/>
      <c r="D1768" s="210"/>
      <c r="E1768" s="210"/>
      <c r="F1768" s="210"/>
      <c r="G1768" s="210"/>
      <c r="H1768" s="210"/>
      <c r="I1768" s="210"/>
      <c r="J1768" s="210"/>
      <c r="K1768" s="210"/>
      <c r="L1768" s="210"/>
      <c r="M1768" s="210"/>
      <c r="N1768" s="210"/>
      <c r="O1768" s="210"/>
      <c r="P1768" s="210"/>
      <c r="Q1768" s="210"/>
      <c r="R1768" s="210"/>
      <c r="S1768" s="210"/>
      <c r="T1768" s="210"/>
      <c r="U1768" s="210"/>
      <c r="V1768" s="210"/>
      <c r="W1768" s="210"/>
      <c r="X1768" s="210"/>
      <c r="Y1768" s="210"/>
      <c r="Z1768" s="210"/>
      <c r="AA1768" s="210"/>
      <c r="AB1768" s="210"/>
      <c r="AC1768" s="210"/>
      <c r="AD1768" s="210"/>
      <c r="AE1768" s="210"/>
      <c r="AF1768" s="210"/>
      <c r="AG1768" s="210"/>
      <c r="AH1768" s="210"/>
      <c r="AI1768" s="210"/>
      <c r="AJ1768" s="210"/>
    </row>
    <row r="1769" ht="14.25" customHeight="1">
      <c r="A1769" s="210"/>
      <c r="B1769" s="210"/>
      <c r="C1769" s="210"/>
      <c r="D1769" s="210"/>
      <c r="E1769" s="210"/>
      <c r="F1769" s="210"/>
      <c r="G1769" s="210"/>
      <c r="H1769" s="210"/>
      <c r="I1769" s="210"/>
      <c r="J1769" s="210"/>
      <c r="K1769" s="210"/>
      <c r="L1769" s="210"/>
      <c r="M1769" s="210"/>
      <c r="N1769" s="210"/>
      <c r="O1769" s="210"/>
      <c r="P1769" s="210"/>
      <c r="Q1769" s="210"/>
      <c r="R1769" s="210"/>
      <c r="S1769" s="210"/>
      <c r="T1769" s="210"/>
      <c r="U1769" s="210"/>
      <c r="V1769" s="210"/>
      <c r="W1769" s="210"/>
      <c r="X1769" s="210"/>
      <c r="Y1769" s="210"/>
      <c r="Z1769" s="210"/>
      <c r="AA1769" s="210"/>
      <c r="AB1769" s="210"/>
      <c r="AC1769" s="210"/>
      <c r="AD1769" s="210"/>
      <c r="AE1769" s="210"/>
      <c r="AF1769" s="210"/>
      <c r="AG1769" s="210"/>
      <c r="AH1769" s="210"/>
      <c r="AI1769" s="210"/>
      <c r="AJ1769" s="210"/>
    </row>
    <row r="1770" ht="14.25" customHeight="1">
      <c r="A1770" s="210"/>
      <c r="B1770" s="210"/>
      <c r="C1770" s="210"/>
      <c r="D1770" s="210"/>
      <c r="E1770" s="210"/>
      <c r="F1770" s="210"/>
      <c r="G1770" s="210"/>
      <c r="H1770" s="210"/>
      <c r="I1770" s="210"/>
      <c r="J1770" s="210"/>
      <c r="K1770" s="210"/>
      <c r="L1770" s="210"/>
      <c r="M1770" s="210"/>
      <c r="N1770" s="210"/>
      <c r="O1770" s="210"/>
      <c r="P1770" s="210"/>
      <c r="Q1770" s="210"/>
      <c r="R1770" s="210"/>
      <c r="S1770" s="210"/>
      <c r="T1770" s="210"/>
      <c r="U1770" s="210"/>
      <c r="V1770" s="210"/>
      <c r="W1770" s="210"/>
      <c r="X1770" s="210"/>
      <c r="Y1770" s="210"/>
      <c r="Z1770" s="210"/>
      <c r="AA1770" s="210"/>
      <c r="AB1770" s="210"/>
      <c r="AC1770" s="210"/>
      <c r="AD1770" s="210"/>
      <c r="AE1770" s="210"/>
      <c r="AF1770" s="210"/>
      <c r="AG1770" s="210"/>
      <c r="AH1770" s="210"/>
      <c r="AI1770" s="210"/>
      <c r="AJ1770" s="210"/>
    </row>
    <row r="1771" ht="14.25" customHeight="1">
      <c r="A1771" s="210"/>
      <c r="B1771" s="210"/>
      <c r="C1771" s="210"/>
      <c r="D1771" s="210"/>
      <c r="E1771" s="210"/>
      <c r="F1771" s="210"/>
      <c r="G1771" s="210"/>
      <c r="H1771" s="210"/>
      <c r="I1771" s="210"/>
      <c r="J1771" s="210"/>
      <c r="K1771" s="210"/>
      <c r="L1771" s="210"/>
      <c r="M1771" s="210"/>
      <c r="N1771" s="210"/>
      <c r="O1771" s="210"/>
      <c r="P1771" s="210"/>
      <c r="Q1771" s="210"/>
      <c r="R1771" s="210"/>
      <c r="S1771" s="210"/>
      <c r="T1771" s="210"/>
      <c r="U1771" s="210"/>
      <c r="V1771" s="210"/>
      <c r="W1771" s="210"/>
      <c r="X1771" s="210"/>
      <c r="Y1771" s="210"/>
      <c r="Z1771" s="210"/>
      <c r="AA1771" s="210"/>
      <c r="AB1771" s="210"/>
      <c r="AC1771" s="210"/>
      <c r="AD1771" s="210"/>
      <c r="AE1771" s="210"/>
      <c r="AF1771" s="210"/>
      <c r="AG1771" s="210"/>
      <c r="AH1771" s="210"/>
      <c r="AI1771" s="210"/>
      <c r="AJ1771" s="210"/>
    </row>
    <row r="1772" ht="14.25" customHeight="1">
      <c r="A1772" s="210"/>
      <c r="B1772" s="210"/>
      <c r="C1772" s="210"/>
      <c r="D1772" s="210"/>
      <c r="E1772" s="210"/>
      <c r="F1772" s="210"/>
      <c r="G1772" s="210"/>
      <c r="H1772" s="210"/>
      <c r="I1772" s="210"/>
      <c r="J1772" s="210"/>
      <c r="K1772" s="210"/>
      <c r="L1772" s="210"/>
      <c r="M1772" s="210"/>
      <c r="N1772" s="210"/>
      <c r="O1772" s="210"/>
      <c r="P1772" s="210"/>
      <c r="Q1772" s="210"/>
      <c r="R1772" s="210"/>
      <c r="S1772" s="210"/>
      <c r="T1772" s="210"/>
      <c r="U1772" s="210"/>
      <c r="V1772" s="210"/>
      <c r="W1772" s="210"/>
      <c r="X1772" s="210"/>
      <c r="Y1772" s="210"/>
      <c r="Z1772" s="210"/>
      <c r="AA1772" s="210"/>
      <c r="AB1772" s="210"/>
      <c r="AC1772" s="210"/>
      <c r="AD1772" s="210"/>
      <c r="AE1772" s="210"/>
      <c r="AF1772" s="210"/>
      <c r="AG1772" s="210"/>
      <c r="AH1772" s="210"/>
      <c r="AI1772" s="210"/>
      <c r="AJ1772" s="210"/>
    </row>
    <row r="1773" ht="14.25" customHeight="1">
      <c r="A1773" s="210"/>
      <c r="B1773" s="210"/>
      <c r="C1773" s="210"/>
      <c r="D1773" s="210"/>
      <c r="E1773" s="210"/>
      <c r="F1773" s="210"/>
      <c r="G1773" s="210"/>
      <c r="H1773" s="210"/>
      <c r="I1773" s="210"/>
      <c r="J1773" s="210"/>
      <c r="K1773" s="210"/>
      <c r="L1773" s="210"/>
      <c r="M1773" s="210"/>
      <c r="N1773" s="210"/>
      <c r="O1773" s="210"/>
      <c r="P1773" s="210"/>
      <c r="Q1773" s="210"/>
      <c r="R1773" s="210"/>
      <c r="S1773" s="210"/>
      <c r="T1773" s="210"/>
      <c r="U1773" s="210"/>
      <c r="V1773" s="210"/>
      <c r="W1773" s="210"/>
      <c r="X1773" s="210"/>
      <c r="Y1773" s="210"/>
      <c r="Z1773" s="210"/>
      <c r="AA1773" s="210"/>
      <c r="AB1773" s="210"/>
      <c r="AC1773" s="210"/>
      <c r="AD1773" s="210"/>
      <c r="AE1773" s="210"/>
      <c r="AF1773" s="210"/>
      <c r="AG1773" s="210"/>
      <c r="AH1773" s="210"/>
      <c r="AI1773" s="210"/>
      <c r="AJ1773" s="210"/>
    </row>
    <row r="1774" ht="14.25" customHeight="1">
      <c r="A1774" s="210"/>
      <c r="B1774" s="210"/>
      <c r="C1774" s="210"/>
      <c r="D1774" s="210"/>
      <c r="E1774" s="210"/>
      <c r="F1774" s="210"/>
      <c r="G1774" s="210"/>
      <c r="H1774" s="210"/>
      <c r="I1774" s="210"/>
      <c r="J1774" s="210"/>
      <c r="K1774" s="210"/>
      <c r="L1774" s="210"/>
      <c r="M1774" s="210"/>
      <c r="N1774" s="210"/>
      <c r="O1774" s="210"/>
      <c r="P1774" s="210"/>
      <c r="Q1774" s="210"/>
      <c r="R1774" s="210"/>
      <c r="S1774" s="210"/>
      <c r="T1774" s="210"/>
      <c r="U1774" s="210"/>
      <c r="V1774" s="210"/>
      <c r="W1774" s="210"/>
      <c r="X1774" s="210"/>
      <c r="Y1774" s="210"/>
      <c r="Z1774" s="210"/>
      <c r="AA1774" s="210"/>
      <c r="AB1774" s="210"/>
      <c r="AC1774" s="210"/>
      <c r="AD1774" s="210"/>
      <c r="AE1774" s="210"/>
      <c r="AF1774" s="210"/>
      <c r="AG1774" s="210"/>
      <c r="AH1774" s="210"/>
      <c r="AI1774" s="210"/>
      <c r="AJ1774" s="210"/>
    </row>
    <row r="1775" ht="14.25" customHeight="1">
      <c r="A1775" s="210"/>
      <c r="B1775" s="210"/>
      <c r="C1775" s="210"/>
      <c r="D1775" s="210"/>
      <c r="E1775" s="210"/>
      <c r="F1775" s="210"/>
      <c r="G1775" s="210"/>
      <c r="H1775" s="210"/>
      <c r="I1775" s="210"/>
      <c r="J1775" s="210"/>
      <c r="K1775" s="210"/>
      <c r="L1775" s="210"/>
      <c r="M1775" s="210"/>
      <c r="N1775" s="210"/>
      <c r="O1775" s="210"/>
      <c r="P1775" s="210"/>
      <c r="Q1775" s="210"/>
      <c r="R1775" s="210"/>
      <c r="S1775" s="210"/>
      <c r="T1775" s="210"/>
      <c r="U1775" s="210"/>
      <c r="V1775" s="210"/>
      <c r="W1775" s="210"/>
      <c r="X1775" s="210"/>
      <c r="Y1775" s="210"/>
      <c r="Z1775" s="210"/>
      <c r="AA1775" s="210"/>
      <c r="AB1775" s="210"/>
      <c r="AC1775" s="210"/>
      <c r="AD1775" s="210"/>
      <c r="AE1775" s="210"/>
      <c r="AF1775" s="210"/>
      <c r="AG1775" s="210"/>
      <c r="AH1775" s="210"/>
      <c r="AI1775" s="210"/>
      <c r="AJ1775" s="210"/>
    </row>
    <row r="1776" ht="14.25" customHeight="1">
      <c r="A1776" s="210"/>
      <c r="B1776" s="210"/>
      <c r="C1776" s="210"/>
      <c r="D1776" s="210"/>
      <c r="E1776" s="210"/>
      <c r="F1776" s="210"/>
      <c r="G1776" s="210"/>
      <c r="H1776" s="210"/>
      <c r="I1776" s="210"/>
      <c r="J1776" s="210"/>
      <c r="K1776" s="210"/>
      <c r="L1776" s="210"/>
      <c r="M1776" s="210"/>
      <c r="N1776" s="210"/>
      <c r="O1776" s="210"/>
      <c r="P1776" s="210"/>
      <c r="Q1776" s="210"/>
      <c r="R1776" s="210"/>
      <c r="S1776" s="210"/>
      <c r="T1776" s="210"/>
      <c r="U1776" s="210"/>
      <c r="V1776" s="210"/>
      <c r="W1776" s="210"/>
      <c r="X1776" s="210"/>
      <c r="Y1776" s="210"/>
      <c r="Z1776" s="210"/>
      <c r="AA1776" s="210"/>
      <c r="AB1776" s="210"/>
      <c r="AC1776" s="210"/>
      <c r="AD1776" s="210"/>
      <c r="AE1776" s="210"/>
      <c r="AF1776" s="210"/>
      <c r="AG1776" s="210"/>
      <c r="AH1776" s="210"/>
      <c r="AI1776" s="210"/>
      <c r="AJ1776" s="210"/>
    </row>
    <row r="1777" ht="14.25" customHeight="1">
      <c r="A1777" s="210"/>
      <c r="B1777" s="210"/>
      <c r="C1777" s="210"/>
      <c r="D1777" s="210"/>
      <c r="E1777" s="210"/>
      <c r="F1777" s="210"/>
      <c r="G1777" s="210"/>
      <c r="H1777" s="210"/>
      <c r="I1777" s="210"/>
      <c r="J1777" s="210"/>
      <c r="K1777" s="210"/>
      <c r="L1777" s="210"/>
      <c r="M1777" s="210"/>
      <c r="N1777" s="210"/>
      <c r="O1777" s="210"/>
      <c r="P1777" s="210"/>
      <c r="Q1777" s="210"/>
      <c r="R1777" s="210"/>
      <c r="S1777" s="210"/>
      <c r="T1777" s="210"/>
      <c r="U1777" s="210"/>
      <c r="V1777" s="210"/>
      <c r="W1777" s="210"/>
      <c r="X1777" s="210"/>
      <c r="Y1777" s="210"/>
      <c r="Z1777" s="210"/>
      <c r="AA1777" s="210"/>
      <c r="AB1777" s="210"/>
      <c r="AC1777" s="210"/>
      <c r="AD1777" s="210"/>
      <c r="AE1777" s="210"/>
      <c r="AF1777" s="210"/>
      <c r="AG1777" s="210"/>
      <c r="AH1777" s="210"/>
      <c r="AI1777" s="210"/>
      <c r="AJ1777" s="210"/>
    </row>
    <row r="1778" ht="14.25" customHeight="1">
      <c r="A1778" s="210"/>
      <c r="B1778" s="210"/>
      <c r="C1778" s="210"/>
      <c r="D1778" s="210"/>
      <c r="E1778" s="210"/>
      <c r="F1778" s="210"/>
      <c r="G1778" s="210"/>
      <c r="H1778" s="210"/>
      <c r="I1778" s="210"/>
      <c r="J1778" s="210"/>
      <c r="K1778" s="210"/>
      <c r="L1778" s="210"/>
      <c r="M1778" s="210"/>
      <c r="N1778" s="210"/>
      <c r="O1778" s="210"/>
      <c r="P1778" s="210"/>
      <c r="Q1778" s="210"/>
      <c r="R1778" s="210"/>
      <c r="S1778" s="210"/>
      <c r="T1778" s="210"/>
      <c r="U1778" s="210"/>
      <c r="V1778" s="210"/>
      <c r="W1778" s="210"/>
      <c r="X1778" s="210"/>
      <c r="Y1778" s="210"/>
      <c r="Z1778" s="210"/>
      <c r="AA1778" s="210"/>
      <c r="AB1778" s="210"/>
      <c r="AC1778" s="210"/>
      <c r="AD1778" s="210"/>
      <c r="AE1778" s="210"/>
      <c r="AF1778" s="210"/>
      <c r="AG1778" s="210"/>
      <c r="AH1778" s="210"/>
      <c r="AI1778" s="210"/>
      <c r="AJ1778" s="210"/>
    </row>
    <row r="1779" ht="14.25" customHeight="1">
      <c r="A1779" s="210"/>
      <c r="B1779" s="210"/>
      <c r="C1779" s="210"/>
      <c r="D1779" s="210"/>
      <c r="E1779" s="210"/>
      <c r="F1779" s="210"/>
      <c r="G1779" s="210"/>
      <c r="H1779" s="210"/>
      <c r="I1779" s="210"/>
      <c r="J1779" s="210"/>
      <c r="K1779" s="210"/>
      <c r="L1779" s="210"/>
      <c r="M1779" s="210"/>
      <c r="N1779" s="210"/>
      <c r="O1779" s="210"/>
      <c r="P1779" s="210"/>
      <c r="Q1779" s="210"/>
      <c r="R1779" s="210"/>
      <c r="S1779" s="210"/>
      <c r="T1779" s="210"/>
      <c r="U1779" s="210"/>
      <c r="V1779" s="210"/>
      <c r="W1779" s="210"/>
      <c r="X1779" s="210"/>
      <c r="Y1779" s="210"/>
      <c r="Z1779" s="210"/>
      <c r="AA1779" s="210"/>
      <c r="AB1779" s="210"/>
      <c r="AC1779" s="210"/>
      <c r="AD1779" s="210"/>
      <c r="AE1779" s="210"/>
      <c r="AF1779" s="210"/>
      <c r="AG1779" s="210"/>
      <c r="AH1779" s="210"/>
      <c r="AI1779" s="210"/>
      <c r="AJ1779" s="210"/>
    </row>
    <row r="1780" ht="14.25" customHeight="1">
      <c r="A1780" s="210"/>
      <c r="B1780" s="210"/>
      <c r="C1780" s="210"/>
      <c r="D1780" s="210"/>
      <c r="E1780" s="210"/>
      <c r="F1780" s="210"/>
      <c r="G1780" s="210"/>
      <c r="H1780" s="210"/>
      <c r="I1780" s="210"/>
      <c r="J1780" s="210"/>
      <c r="K1780" s="210"/>
      <c r="L1780" s="210"/>
      <c r="M1780" s="210"/>
      <c r="N1780" s="210"/>
      <c r="O1780" s="210"/>
      <c r="P1780" s="210"/>
      <c r="Q1780" s="210"/>
      <c r="R1780" s="210"/>
      <c r="S1780" s="210"/>
      <c r="T1780" s="210"/>
      <c r="U1780" s="210"/>
      <c r="V1780" s="210"/>
      <c r="W1780" s="210"/>
      <c r="X1780" s="210"/>
      <c r="Y1780" s="210"/>
      <c r="Z1780" s="210"/>
      <c r="AA1780" s="210"/>
      <c r="AB1780" s="210"/>
      <c r="AC1780" s="210"/>
      <c r="AD1780" s="210"/>
      <c r="AE1780" s="210"/>
      <c r="AF1780" s="210"/>
      <c r="AG1780" s="210"/>
      <c r="AH1780" s="210"/>
      <c r="AI1780" s="210"/>
      <c r="AJ1780" s="210"/>
    </row>
    <row r="1781" ht="14.25" customHeight="1">
      <c r="A1781" s="210"/>
      <c r="B1781" s="210"/>
      <c r="C1781" s="210"/>
      <c r="D1781" s="210"/>
      <c r="E1781" s="210"/>
      <c r="F1781" s="210"/>
      <c r="G1781" s="210"/>
      <c r="H1781" s="210"/>
      <c r="I1781" s="210"/>
      <c r="J1781" s="210"/>
      <c r="K1781" s="210"/>
      <c r="L1781" s="210"/>
      <c r="M1781" s="210"/>
      <c r="N1781" s="210"/>
      <c r="O1781" s="210"/>
      <c r="P1781" s="210"/>
      <c r="Q1781" s="210"/>
      <c r="R1781" s="210"/>
      <c r="S1781" s="210"/>
      <c r="T1781" s="210"/>
      <c r="U1781" s="210"/>
      <c r="V1781" s="210"/>
      <c r="W1781" s="210"/>
      <c r="X1781" s="210"/>
      <c r="Y1781" s="210"/>
      <c r="Z1781" s="210"/>
      <c r="AA1781" s="210"/>
      <c r="AB1781" s="210"/>
      <c r="AC1781" s="210"/>
      <c r="AD1781" s="210"/>
      <c r="AE1781" s="210"/>
      <c r="AF1781" s="210"/>
      <c r="AG1781" s="210"/>
      <c r="AH1781" s="210"/>
      <c r="AI1781" s="210"/>
      <c r="AJ1781" s="210"/>
    </row>
    <row r="1782" ht="14.25" customHeight="1">
      <c r="A1782" s="210"/>
      <c r="B1782" s="210"/>
      <c r="C1782" s="210"/>
      <c r="D1782" s="210"/>
      <c r="E1782" s="210"/>
      <c r="F1782" s="210"/>
      <c r="G1782" s="210"/>
      <c r="H1782" s="210"/>
      <c r="I1782" s="210"/>
      <c r="J1782" s="210"/>
      <c r="K1782" s="210"/>
      <c r="L1782" s="210"/>
      <c r="M1782" s="210"/>
      <c r="N1782" s="210"/>
      <c r="O1782" s="210"/>
      <c r="P1782" s="210"/>
      <c r="Q1782" s="210"/>
      <c r="R1782" s="210"/>
      <c r="S1782" s="210"/>
      <c r="T1782" s="210"/>
      <c r="U1782" s="210"/>
      <c r="V1782" s="210"/>
      <c r="W1782" s="210"/>
      <c r="X1782" s="210"/>
      <c r="Y1782" s="210"/>
      <c r="Z1782" s="210"/>
      <c r="AA1782" s="210"/>
      <c r="AB1782" s="210"/>
      <c r="AC1782" s="210"/>
      <c r="AD1782" s="210"/>
      <c r="AE1782" s="210"/>
      <c r="AF1782" s="210"/>
      <c r="AG1782" s="210"/>
      <c r="AH1782" s="210"/>
      <c r="AI1782" s="210"/>
      <c r="AJ1782" s="210"/>
    </row>
    <row r="1783" ht="14.25" customHeight="1">
      <c r="A1783" s="210"/>
      <c r="B1783" s="210"/>
      <c r="C1783" s="210"/>
      <c r="D1783" s="210"/>
      <c r="E1783" s="210"/>
      <c r="F1783" s="210"/>
      <c r="G1783" s="210"/>
      <c r="H1783" s="210"/>
      <c r="I1783" s="210"/>
      <c r="J1783" s="210"/>
      <c r="K1783" s="210"/>
      <c r="L1783" s="210"/>
      <c r="M1783" s="210"/>
      <c r="N1783" s="210"/>
      <c r="O1783" s="210"/>
      <c r="P1783" s="210"/>
      <c r="Q1783" s="210"/>
      <c r="R1783" s="210"/>
      <c r="S1783" s="210"/>
      <c r="T1783" s="210"/>
      <c r="U1783" s="210"/>
      <c r="V1783" s="210"/>
      <c r="W1783" s="210"/>
      <c r="X1783" s="210"/>
      <c r="Y1783" s="210"/>
      <c r="Z1783" s="210"/>
      <c r="AA1783" s="210"/>
      <c r="AB1783" s="210"/>
      <c r="AC1783" s="210"/>
      <c r="AD1783" s="210"/>
      <c r="AE1783" s="210"/>
      <c r="AF1783" s="210"/>
      <c r="AG1783" s="210"/>
      <c r="AH1783" s="210"/>
      <c r="AI1783" s="210"/>
      <c r="AJ1783" s="210"/>
    </row>
    <row r="1784" ht="14.25" customHeight="1">
      <c r="A1784" s="210"/>
      <c r="B1784" s="210"/>
      <c r="C1784" s="210"/>
      <c r="D1784" s="210"/>
      <c r="E1784" s="210"/>
      <c r="F1784" s="210"/>
      <c r="G1784" s="210"/>
      <c r="H1784" s="210"/>
      <c r="I1784" s="210"/>
      <c r="J1784" s="210"/>
      <c r="K1784" s="210"/>
      <c r="L1784" s="210"/>
      <c r="M1784" s="210"/>
      <c r="N1784" s="210"/>
      <c r="O1784" s="210"/>
      <c r="P1784" s="210"/>
      <c r="Q1784" s="210"/>
      <c r="R1784" s="210"/>
      <c r="S1784" s="210"/>
      <c r="T1784" s="210"/>
      <c r="U1784" s="210"/>
      <c r="V1784" s="210"/>
      <c r="W1784" s="210"/>
      <c r="X1784" s="210"/>
      <c r="Y1784" s="210"/>
      <c r="Z1784" s="210"/>
      <c r="AA1784" s="210"/>
      <c r="AB1784" s="210"/>
      <c r="AC1784" s="210"/>
      <c r="AD1784" s="210"/>
      <c r="AE1784" s="210"/>
      <c r="AF1784" s="210"/>
      <c r="AG1784" s="210"/>
      <c r="AH1784" s="210"/>
      <c r="AI1784" s="210"/>
      <c r="AJ1784" s="210"/>
    </row>
    <row r="1785" ht="14.25" customHeight="1">
      <c r="A1785" s="210"/>
      <c r="B1785" s="210"/>
      <c r="C1785" s="210"/>
      <c r="D1785" s="210"/>
      <c r="E1785" s="210"/>
      <c r="F1785" s="210"/>
      <c r="G1785" s="210"/>
      <c r="H1785" s="210"/>
      <c r="I1785" s="210"/>
      <c r="J1785" s="210"/>
      <c r="K1785" s="210"/>
      <c r="L1785" s="210"/>
      <c r="M1785" s="210"/>
      <c r="N1785" s="210"/>
      <c r="O1785" s="210"/>
      <c r="P1785" s="210"/>
      <c r="Q1785" s="210"/>
      <c r="R1785" s="210"/>
      <c r="S1785" s="210"/>
      <c r="T1785" s="210"/>
      <c r="U1785" s="210"/>
      <c r="V1785" s="210"/>
      <c r="W1785" s="210"/>
      <c r="X1785" s="210"/>
      <c r="Y1785" s="210"/>
      <c r="Z1785" s="210"/>
      <c r="AA1785" s="210"/>
      <c r="AB1785" s="210"/>
      <c r="AC1785" s="210"/>
      <c r="AD1785" s="210"/>
      <c r="AE1785" s="210"/>
      <c r="AF1785" s="210"/>
      <c r="AG1785" s="210"/>
      <c r="AH1785" s="210"/>
      <c r="AI1785" s="210"/>
      <c r="AJ1785" s="210"/>
    </row>
    <row r="1786" ht="14.25" customHeight="1">
      <c r="A1786" s="210"/>
      <c r="B1786" s="210"/>
      <c r="C1786" s="210"/>
      <c r="D1786" s="210"/>
      <c r="E1786" s="210"/>
      <c r="F1786" s="210"/>
      <c r="G1786" s="210"/>
      <c r="H1786" s="210"/>
      <c r="I1786" s="210"/>
      <c r="J1786" s="210"/>
      <c r="K1786" s="210"/>
      <c r="L1786" s="210"/>
      <c r="M1786" s="210"/>
      <c r="N1786" s="210"/>
      <c r="O1786" s="210"/>
      <c r="P1786" s="210"/>
      <c r="Q1786" s="210"/>
      <c r="R1786" s="210"/>
      <c r="S1786" s="210"/>
      <c r="T1786" s="210"/>
      <c r="U1786" s="210"/>
      <c r="V1786" s="210"/>
      <c r="W1786" s="210"/>
      <c r="X1786" s="210"/>
      <c r="Y1786" s="210"/>
      <c r="Z1786" s="210"/>
      <c r="AA1786" s="210"/>
      <c r="AB1786" s="210"/>
      <c r="AC1786" s="210"/>
      <c r="AD1786" s="210"/>
      <c r="AE1786" s="210"/>
      <c r="AF1786" s="210"/>
      <c r="AG1786" s="210"/>
      <c r="AH1786" s="210"/>
      <c r="AI1786" s="210"/>
      <c r="AJ1786" s="210"/>
    </row>
    <row r="1787" ht="14.25" customHeight="1">
      <c r="A1787" s="210"/>
      <c r="B1787" s="210"/>
      <c r="C1787" s="210"/>
      <c r="D1787" s="210"/>
      <c r="E1787" s="210"/>
      <c r="F1787" s="210"/>
      <c r="G1787" s="210"/>
      <c r="H1787" s="210"/>
      <c r="I1787" s="210"/>
      <c r="J1787" s="210"/>
      <c r="K1787" s="210"/>
      <c r="L1787" s="210"/>
      <c r="M1787" s="210"/>
      <c r="N1787" s="210"/>
      <c r="O1787" s="210"/>
      <c r="P1787" s="210"/>
      <c r="Q1787" s="210"/>
      <c r="R1787" s="210"/>
      <c r="S1787" s="210"/>
      <c r="T1787" s="210"/>
      <c r="U1787" s="210"/>
      <c r="V1787" s="210"/>
      <c r="W1787" s="210"/>
      <c r="X1787" s="210"/>
      <c r="Y1787" s="210"/>
      <c r="Z1787" s="210"/>
      <c r="AA1787" s="210"/>
      <c r="AB1787" s="210"/>
      <c r="AC1787" s="210"/>
      <c r="AD1787" s="210"/>
      <c r="AE1787" s="210"/>
      <c r="AF1787" s="210"/>
      <c r="AG1787" s="210"/>
      <c r="AH1787" s="210"/>
      <c r="AI1787" s="210"/>
      <c r="AJ1787" s="210"/>
    </row>
    <row r="1788" ht="14.25" customHeight="1">
      <c r="A1788" s="210"/>
      <c r="B1788" s="210"/>
      <c r="C1788" s="210"/>
      <c r="D1788" s="210"/>
      <c r="E1788" s="210"/>
      <c r="F1788" s="210"/>
      <c r="G1788" s="210"/>
      <c r="H1788" s="210"/>
      <c r="I1788" s="210"/>
      <c r="J1788" s="210"/>
      <c r="K1788" s="210"/>
      <c r="L1788" s="210"/>
      <c r="M1788" s="210"/>
      <c r="N1788" s="210"/>
      <c r="O1788" s="210"/>
      <c r="P1788" s="210"/>
      <c r="Q1788" s="210"/>
      <c r="R1788" s="210"/>
      <c r="S1788" s="210"/>
      <c r="T1788" s="210"/>
      <c r="U1788" s="210"/>
      <c r="V1788" s="210"/>
      <c r="W1788" s="210"/>
      <c r="X1788" s="210"/>
      <c r="Y1788" s="210"/>
      <c r="Z1788" s="210"/>
      <c r="AA1788" s="210"/>
      <c r="AB1788" s="210"/>
      <c r="AC1788" s="210"/>
      <c r="AD1788" s="210"/>
      <c r="AE1788" s="210"/>
      <c r="AF1788" s="210"/>
      <c r="AG1788" s="210"/>
      <c r="AH1788" s="210"/>
      <c r="AI1788" s="210"/>
      <c r="AJ1788" s="210"/>
    </row>
    <row r="1789" ht="14.25" customHeight="1">
      <c r="A1789" s="210"/>
      <c r="B1789" s="210"/>
      <c r="C1789" s="210"/>
      <c r="D1789" s="210"/>
      <c r="E1789" s="210"/>
      <c r="F1789" s="210"/>
      <c r="G1789" s="210"/>
      <c r="H1789" s="210"/>
      <c r="I1789" s="210"/>
      <c r="J1789" s="210"/>
      <c r="K1789" s="210"/>
      <c r="L1789" s="210"/>
      <c r="M1789" s="210"/>
      <c r="N1789" s="210"/>
      <c r="O1789" s="210"/>
      <c r="P1789" s="210"/>
      <c r="Q1789" s="210"/>
      <c r="R1789" s="210"/>
      <c r="S1789" s="210"/>
      <c r="T1789" s="210"/>
      <c r="U1789" s="210"/>
      <c r="V1789" s="210"/>
      <c r="W1789" s="210"/>
      <c r="X1789" s="210"/>
      <c r="Y1789" s="210"/>
      <c r="Z1789" s="210"/>
      <c r="AA1789" s="210"/>
      <c r="AB1789" s="210"/>
      <c r="AC1789" s="210"/>
      <c r="AD1789" s="210"/>
      <c r="AE1789" s="210"/>
      <c r="AF1789" s="210"/>
      <c r="AG1789" s="210"/>
      <c r="AH1789" s="210"/>
      <c r="AI1789" s="210"/>
      <c r="AJ1789" s="210"/>
    </row>
    <row r="1790" ht="14.25" customHeight="1">
      <c r="A1790" s="210"/>
      <c r="B1790" s="210"/>
      <c r="C1790" s="210"/>
      <c r="D1790" s="210"/>
      <c r="E1790" s="210"/>
      <c r="F1790" s="210"/>
      <c r="G1790" s="210"/>
      <c r="H1790" s="210"/>
      <c r="I1790" s="210"/>
      <c r="J1790" s="210"/>
      <c r="K1790" s="210"/>
      <c r="L1790" s="210"/>
      <c r="M1790" s="210"/>
      <c r="N1790" s="210"/>
      <c r="O1790" s="210"/>
      <c r="P1790" s="210"/>
      <c r="Q1790" s="210"/>
      <c r="R1790" s="210"/>
      <c r="S1790" s="210"/>
      <c r="T1790" s="210"/>
      <c r="U1790" s="210"/>
      <c r="V1790" s="210"/>
      <c r="W1790" s="210"/>
      <c r="X1790" s="210"/>
      <c r="Y1790" s="210"/>
      <c r="Z1790" s="210"/>
      <c r="AA1790" s="210"/>
      <c r="AB1790" s="210"/>
      <c r="AC1790" s="210"/>
      <c r="AD1790" s="210"/>
      <c r="AE1790" s="210"/>
      <c r="AF1790" s="210"/>
      <c r="AG1790" s="210"/>
      <c r="AH1790" s="210"/>
      <c r="AI1790" s="210"/>
      <c r="AJ1790" s="210"/>
    </row>
    <row r="1791" ht="14.25" customHeight="1">
      <c r="A1791" s="210"/>
      <c r="B1791" s="210"/>
      <c r="C1791" s="210"/>
      <c r="D1791" s="210"/>
      <c r="E1791" s="210"/>
      <c r="F1791" s="210"/>
      <c r="G1791" s="210"/>
      <c r="H1791" s="210"/>
      <c r="I1791" s="210"/>
      <c r="J1791" s="210"/>
      <c r="K1791" s="210"/>
      <c r="L1791" s="210"/>
      <c r="M1791" s="210"/>
      <c r="N1791" s="210"/>
      <c r="O1791" s="210"/>
      <c r="P1791" s="210"/>
      <c r="Q1791" s="210"/>
      <c r="R1791" s="210"/>
      <c r="S1791" s="210"/>
      <c r="T1791" s="210"/>
      <c r="U1791" s="210"/>
      <c r="V1791" s="210"/>
      <c r="W1791" s="210"/>
      <c r="X1791" s="210"/>
      <c r="Y1791" s="210"/>
      <c r="Z1791" s="210"/>
      <c r="AA1791" s="210"/>
      <c r="AB1791" s="210"/>
      <c r="AC1791" s="210"/>
      <c r="AD1791" s="210"/>
      <c r="AE1791" s="210"/>
      <c r="AF1791" s="210"/>
      <c r="AG1791" s="210"/>
      <c r="AH1791" s="210"/>
      <c r="AI1791" s="210"/>
      <c r="AJ1791" s="210"/>
    </row>
    <row r="1792" ht="14.25" customHeight="1">
      <c r="A1792" s="210"/>
      <c r="B1792" s="210"/>
      <c r="C1792" s="210"/>
      <c r="D1792" s="210"/>
      <c r="E1792" s="210"/>
      <c r="F1792" s="210"/>
      <c r="G1792" s="210"/>
      <c r="H1792" s="210"/>
      <c r="I1792" s="210"/>
      <c r="J1792" s="210"/>
      <c r="K1792" s="210"/>
      <c r="L1792" s="210"/>
      <c r="M1792" s="210"/>
      <c r="N1792" s="210"/>
      <c r="O1792" s="210"/>
      <c r="P1792" s="210"/>
      <c r="Q1792" s="210"/>
      <c r="R1792" s="210"/>
      <c r="S1792" s="210"/>
      <c r="T1792" s="210"/>
      <c r="U1792" s="210"/>
      <c r="V1792" s="210"/>
      <c r="W1792" s="210"/>
      <c r="X1792" s="210"/>
      <c r="Y1792" s="210"/>
      <c r="Z1792" s="210"/>
      <c r="AA1792" s="210"/>
      <c r="AB1792" s="210"/>
      <c r="AC1792" s="210"/>
      <c r="AD1792" s="210"/>
      <c r="AE1792" s="210"/>
      <c r="AF1792" s="210"/>
      <c r="AG1792" s="210"/>
      <c r="AH1792" s="210"/>
      <c r="AI1792" s="210"/>
      <c r="AJ1792" s="210"/>
    </row>
    <row r="1793" ht="14.25" customHeight="1">
      <c r="A1793" s="210"/>
      <c r="B1793" s="210"/>
      <c r="C1793" s="210"/>
      <c r="D1793" s="210"/>
      <c r="E1793" s="210"/>
      <c r="F1793" s="210"/>
      <c r="G1793" s="210"/>
      <c r="H1793" s="210"/>
      <c r="I1793" s="210"/>
      <c r="J1793" s="210"/>
      <c r="K1793" s="210"/>
      <c r="L1793" s="210"/>
      <c r="M1793" s="210"/>
      <c r="N1793" s="210"/>
      <c r="O1793" s="210"/>
      <c r="P1793" s="210"/>
      <c r="Q1793" s="210"/>
      <c r="R1793" s="210"/>
      <c r="S1793" s="210"/>
      <c r="T1793" s="210"/>
      <c r="U1793" s="210"/>
      <c r="V1793" s="210"/>
      <c r="W1793" s="210"/>
      <c r="X1793" s="210"/>
      <c r="Y1793" s="210"/>
      <c r="Z1793" s="210"/>
      <c r="AA1793" s="210"/>
      <c r="AB1793" s="210"/>
      <c r="AC1793" s="210"/>
      <c r="AD1793" s="210"/>
      <c r="AE1793" s="210"/>
      <c r="AF1793" s="210"/>
      <c r="AG1793" s="210"/>
      <c r="AH1793" s="210"/>
      <c r="AI1793" s="210"/>
      <c r="AJ1793" s="210"/>
    </row>
    <row r="1794" ht="14.25" customHeight="1">
      <c r="A1794" s="210"/>
      <c r="B1794" s="210"/>
      <c r="C1794" s="210"/>
      <c r="D1794" s="210"/>
      <c r="E1794" s="210"/>
      <c r="F1794" s="210"/>
      <c r="G1794" s="210"/>
      <c r="H1794" s="210"/>
      <c r="I1794" s="210"/>
      <c r="J1794" s="210"/>
      <c r="K1794" s="210"/>
      <c r="L1794" s="210"/>
      <c r="M1794" s="210"/>
      <c r="N1794" s="210"/>
      <c r="O1794" s="210"/>
      <c r="P1794" s="210"/>
      <c r="Q1794" s="210"/>
      <c r="R1794" s="210"/>
      <c r="S1794" s="210"/>
      <c r="T1794" s="210"/>
      <c r="U1794" s="210"/>
      <c r="V1794" s="210"/>
      <c r="W1794" s="210"/>
      <c r="X1794" s="210"/>
      <c r="Y1794" s="210"/>
      <c r="Z1794" s="210"/>
      <c r="AA1794" s="210"/>
      <c r="AB1794" s="210"/>
      <c r="AC1794" s="210"/>
      <c r="AD1794" s="210"/>
      <c r="AE1794" s="210"/>
      <c r="AF1794" s="210"/>
      <c r="AG1794" s="210"/>
      <c r="AH1794" s="210"/>
      <c r="AI1794" s="210"/>
      <c r="AJ1794" s="210"/>
    </row>
    <row r="1795" ht="14.25" customHeight="1">
      <c r="A1795" s="210"/>
      <c r="B1795" s="210"/>
      <c r="C1795" s="210"/>
      <c r="D1795" s="210"/>
      <c r="E1795" s="210"/>
      <c r="F1795" s="210"/>
      <c r="G1795" s="210"/>
      <c r="H1795" s="210"/>
      <c r="I1795" s="210"/>
      <c r="J1795" s="210"/>
      <c r="K1795" s="210"/>
      <c r="L1795" s="210"/>
      <c r="M1795" s="210"/>
      <c r="N1795" s="210"/>
      <c r="O1795" s="210"/>
      <c r="P1795" s="210"/>
      <c r="Q1795" s="210"/>
      <c r="R1795" s="210"/>
      <c r="S1795" s="210"/>
      <c r="T1795" s="210"/>
      <c r="U1795" s="210"/>
      <c r="V1795" s="210"/>
      <c r="W1795" s="210"/>
      <c r="X1795" s="210"/>
      <c r="Y1795" s="210"/>
      <c r="Z1795" s="210"/>
      <c r="AA1795" s="210"/>
      <c r="AB1795" s="210"/>
      <c r="AC1795" s="210"/>
      <c r="AD1795" s="210"/>
      <c r="AE1795" s="210"/>
      <c r="AF1795" s="210"/>
      <c r="AG1795" s="210"/>
      <c r="AH1795" s="210"/>
      <c r="AI1795" s="210"/>
      <c r="AJ1795" s="210"/>
    </row>
    <row r="1796" ht="14.25" customHeight="1">
      <c r="A1796" s="210"/>
      <c r="B1796" s="210"/>
      <c r="C1796" s="210"/>
      <c r="D1796" s="210"/>
      <c r="E1796" s="210"/>
      <c r="F1796" s="210"/>
      <c r="G1796" s="210"/>
      <c r="H1796" s="210"/>
      <c r="I1796" s="210"/>
      <c r="J1796" s="210"/>
      <c r="K1796" s="210"/>
      <c r="L1796" s="210"/>
      <c r="M1796" s="210"/>
      <c r="N1796" s="210"/>
      <c r="O1796" s="210"/>
      <c r="P1796" s="210"/>
      <c r="Q1796" s="210"/>
      <c r="R1796" s="210"/>
      <c r="S1796" s="210"/>
      <c r="T1796" s="210"/>
      <c r="U1796" s="210"/>
      <c r="V1796" s="210"/>
      <c r="W1796" s="210"/>
      <c r="X1796" s="210"/>
      <c r="Y1796" s="210"/>
      <c r="Z1796" s="210"/>
      <c r="AA1796" s="210"/>
      <c r="AB1796" s="210"/>
      <c r="AC1796" s="210"/>
      <c r="AD1796" s="210"/>
      <c r="AE1796" s="210"/>
      <c r="AF1796" s="210"/>
      <c r="AG1796" s="210"/>
      <c r="AH1796" s="210"/>
      <c r="AI1796" s="210"/>
      <c r="AJ1796" s="210"/>
    </row>
    <row r="1797" ht="14.25" customHeight="1">
      <c r="A1797" s="210"/>
      <c r="B1797" s="210"/>
      <c r="C1797" s="210"/>
      <c r="D1797" s="210"/>
      <c r="E1797" s="210"/>
      <c r="F1797" s="210"/>
      <c r="G1797" s="210"/>
      <c r="H1797" s="210"/>
      <c r="I1797" s="210"/>
      <c r="J1797" s="210"/>
      <c r="K1797" s="210"/>
      <c r="L1797" s="210"/>
      <c r="M1797" s="210"/>
      <c r="N1797" s="210"/>
      <c r="O1797" s="210"/>
      <c r="P1797" s="210"/>
      <c r="Q1797" s="210"/>
      <c r="R1797" s="210"/>
      <c r="S1797" s="210"/>
      <c r="T1797" s="210"/>
      <c r="U1797" s="210"/>
      <c r="V1797" s="210"/>
      <c r="W1797" s="210"/>
      <c r="X1797" s="210"/>
      <c r="Y1797" s="210"/>
      <c r="Z1797" s="210"/>
      <c r="AA1797" s="210"/>
      <c r="AB1797" s="210"/>
      <c r="AC1797" s="210"/>
      <c r="AD1797" s="210"/>
      <c r="AE1797" s="210"/>
      <c r="AF1797" s="210"/>
      <c r="AG1797" s="210"/>
      <c r="AH1797" s="210"/>
      <c r="AI1797" s="210"/>
      <c r="AJ1797" s="210"/>
    </row>
    <row r="1798" ht="14.25" customHeight="1">
      <c r="A1798" s="210"/>
      <c r="B1798" s="210"/>
      <c r="C1798" s="210"/>
      <c r="D1798" s="210"/>
      <c r="E1798" s="210"/>
      <c r="F1798" s="210"/>
      <c r="G1798" s="210"/>
      <c r="H1798" s="210"/>
      <c r="I1798" s="210"/>
      <c r="J1798" s="210"/>
      <c r="K1798" s="210"/>
      <c r="L1798" s="210"/>
      <c r="M1798" s="210"/>
      <c r="N1798" s="210"/>
      <c r="O1798" s="210"/>
      <c r="P1798" s="210"/>
      <c r="Q1798" s="210"/>
      <c r="R1798" s="210"/>
      <c r="S1798" s="210"/>
      <c r="T1798" s="210"/>
      <c r="U1798" s="210"/>
      <c r="V1798" s="210"/>
      <c r="W1798" s="210"/>
      <c r="X1798" s="210"/>
      <c r="Y1798" s="210"/>
      <c r="Z1798" s="210"/>
      <c r="AA1798" s="210"/>
      <c r="AB1798" s="210"/>
      <c r="AC1798" s="210"/>
      <c r="AD1798" s="210"/>
      <c r="AE1798" s="210"/>
      <c r="AF1798" s="210"/>
      <c r="AG1798" s="210"/>
      <c r="AH1798" s="210"/>
      <c r="AI1798" s="210"/>
      <c r="AJ1798" s="210"/>
    </row>
    <row r="1799" ht="14.25" customHeight="1">
      <c r="A1799" s="210"/>
      <c r="B1799" s="210"/>
      <c r="C1799" s="210"/>
      <c r="D1799" s="210"/>
      <c r="E1799" s="210"/>
      <c r="F1799" s="210"/>
      <c r="G1799" s="210"/>
      <c r="H1799" s="210"/>
      <c r="I1799" s="210"/>
      <c r="J1799" s="210"/>
      <c r="K1799" s="210"/>
      <c r="L1799" s="210"/>
      <c r="M1799" s="210"/>
      <c r="N1799" s="210"/>
      <c r="O1799" s="210"/>
      <c r="P1799" s="210"/>
      <c r="Q1799" s="210"/>
      <c r="R1799" s="210"/>
      <c r="S1799" s="210"/>
      <c r="T1799" s="210"/>
      <c r="U1799" s="210"/>
      <c r="V1799" s="210"/>
      <c r="W1799" s="210"/>
      <c r="X1799" s="210"/>
      <c r="Y1799" s="210"/>
      <c r="Z1799" s="210"/>
      <c r="AA1799" s="210"/>
      <c r="AB1799" s="210"/>
      <c r="AC1799" s="210"/>
      <c r="AD1799" s="210"/>
      <c r="AE1799" s="210"/>
      <c r="AF1799" s="210"/>
      <c r="AG1799" s="210"/>
      <c r="AH1799" s="210"/>
      <c r="AI1799" s="210"/>
      <c r="AJ1799" s="210"/>
    </row>
    <row r="1800" ht="14.25" customHeight="1">
      <c r="A1800" s="210"/>
      <c r="B1800" s="210"/>
      <c r="C1800" s="210"/>
      <c r="D1800" s="210"/>
      <c r="E1800" s="210"/>
      <c r="F1800" s="210"/>
      <c r="G1800" s="210"/>
      <c r="H1800" s="210"/>
      <c r="I1800" s="210"/>
      <c r="J1800" s="210"/>
      <c r="K1800" s="210"/>
      <c r="L1800" s="210"/>
      <c r="M1800" s="210"/>
      <c r="N1800" s="210"/>
      <c r="O1800" s="210"/>
      <c r="P1800" s="210"/>
      <c r="Q1800" s="210"/>
      <c r="R1800" s="210"/>
      <c r="S1800" s="210"/>
      <c r="T1800" s="210"/>
      <c r="U1800" s="210"/>
      <c r="V1800" s="210"/>
      <c r="W1800" s="210"/>
      <c r="X1800" s="210"/>
      <c r="Y1800" s="210"/>
      <c r="Z1800" s="210"/>
      <c r="AA1800" s="210"/>
      <c r="AB1800" s="210"/>
      <c r="AC1800" s="210"/>
      <c r="AD1800" s="210"/>
      <c r="AE1800" s="210"/>
      <c r="AF1800" s="210"/>
      <c r="AG1800" s="210"/>
      <c r="AH1800" s="210"/>
      <c r="AI1800" s="210"/>
      <c r="AJ1800" s="210"/>
    </row>
    <row r="1801" ht="14.25" customHeight="1">
      <c r="A1801" s="210"/>
      <c r="B1801" s="210"/>
      <c r="C1801" s="210"/>
      <c r="D1801" s="210"/>
      <c r="E1801" s="210"/>
      <c r="F1801" s="210"/>
      <c r="G1801" s="210"/>
      <c r="H1801" s="210"/>
      <c r="I1801" s="210"/>
      <c r="J1801" s="210"/>
      <c r="K1801" s="210"/>
      <c r="L1801" s="210"/>
      <c r="M1801" s="210"/>
      <c r="N1801" s="210"/>
      <c r="O1801" s="210"/>
      <c r="P1801" s="210"/>
      <c r="Q1801" s="210"/>
      <c r="R1801" s="210"/>
      <c r="S1801" s="210"/>
      <c r="T1801" s="210"/>
      <c r="U1801" s="210"/>
      <c r="V1801" s="210"/>
      <c r="W1801" s="210"/>
      <c r="X1801" s="210"/>
      <c r="Y1801" s="210"/>
      <c r="Z1801" s="210"/>
      <c r="AA1801" s="210"/>
      <c r="AB1801" s="210"/>
      <c r="AC1801" s="210"/>
      <c r="AD1801" s="210"/>
      <c r="AE1801" s="210"/>
      <c r="AF1801" s="210"/>
      <c r="AG1801" s="210"/>
      <c r="AH1801" s="210"/>
      <c r="AI1801" s="210"/>
      <c r="AJ1801" s="210"/>
    </row>
    <row r="1802" ht="14.25" customHeight="1">
      <c r="A1802" s="210"/>
      <c r="B1802" s="210"/>
      <c r="C1802" s="210"/>
      <c r="D1802" s="210"/>
      <c r="E1802" s="210"/>
      <c r="F1802" s="210"/>
      <c r="G1802" s="210"/>
      <c r="H1802" s="210"/>
      <c r="I1802" s="210"/>
      <c r="J1802" s="210"/>
      <c r="K1802" s="210"/>
      <c r="L1802" s="210"/>
      <c r="M1802" s="210"/>
      <c r="N1802" s="210"/>
      <c r="O1802" s="210"/>
      <c r="P1802" s="210"/>
      <c r="Q1802" s="210"/>
      <c r="R1802" s="210"/>
      <c r="S1802" s="210"/>
      <c r="T1802" s="210"/>
      <c r="U1802" s="210"/>
      <c r="V1802" s="210"/>
      <c r="W1802" s="210"/>
      <c r="X1802" s="210"/>
      <c r="Y1802" s="210"/>
      <c r="Z1802" s="210"/>
      <c r="AA1802" s="210"/>
      <c r="AB1802" s="210"/>
      <c r="AC1802" s="210"/>
      <c r="AD1802" s="210"/>
      <c r="AE1802" s="210"/>
      <c r="AF1802" s="210"/>
      <c r="AG1802" s="210"/>
      <c r="AH1802" s="210"/>
      <c r="AI1802" s="210"/>
      <c r="AJ1802" s="210"/>
    </row>
    <row r="1803" ht="14.25" customHeight="1">
      <c r="A1803" s="210"/>
      <c r="B1803" s="210"/>
      <c r="C1803" s="210"/>
      <c r="D1803" s="210"/>
      <c r="E1803" s="210"/>
      <c r="F1803" s="210"/>
      <c r="G1803" s="210"/>
      <c r="H1803" s="210"/>
      <c r="I1803" s="210"/>
      <c r="J1803" s="210"/>
      <c r="K1803" s="210"/>
      <c r="L1803" s="210"/>
      <c r="M1803" s="210"/>
      <c r="N1803" s="210"/>
      <c r="O1803" s="210"/>
      <c r="P1803" s="210"/>
      <c r="Q1803" s="210"/>
      <c r="R1803" s="210"/>
      <c r="S1803" s="210"/>
      <c r="T1803" s="210"/>
      <c r="U1803" s="210"/>
      <c r="V1803" s="210"/>
      <c r="W1803" s="210"/>
      <c r="X1803" s="210"/>
      <c r="Y1803" s="210"/>
      <c r="Z1803" s="210"/>
      <c r="AA1803" s="210"/>
      <c r="AB1803" s="210"/>
      <c r="AC1803" s="210"/>
      <c r="AD1803" s="210"/>
      <c r="AE1803" s="210"/>
      <c r="AF1803" s="210"/>
      <c r="AG1803" s="210"/>
      <c r="AH1803" s="210"/>
      <c r="AI1803" s="210"/>
      <c r="AJ1803" s="210"/>
    </row>
    <row r="1804" ht="14.25" customHeight="1">
      <c r="A1804" s="210"/>
      <c r="B1804" s="210"/>
      <c r="C1804" s="210"/>
      <c r="D1804" s="210"/>
      <c r="E1804" s="210"/>
      <c r="F1804" s="210"/>
      <c r="G1804" s="210"/>
      <c r="H1804" s="210"/>
      <c r="I1804" s="210"/>
      <c r="J1804" s="210"/>
      <c r="K1804" s="210"/>
      <c r="L1804" s="210"/>
      <c r="M1804" s="210"/>
      <c r="N1804" s="210"/>
      <c r="O1804" s="210"/>
      <c r="P1804" s="210"/>
      <c r="Q1804" s="210"/>
      <c r="R1804" s="210"/>
      <c r="S1804" s="210"/>
      <c r="T1804" s="210"/>
      <c r="U1804" s="210"/>
      <c r="V1804" s="210"/>
      <c r="W1804" s="210"/>
      <c r="X1804" s="210"/>
      <c r="Y1804" s="210"/>
      <c r="Z1804" s="210"/>
      <c r="AA1804" s="210"/>
      <c r="AB1804" s="210"/>
      <c r="AC1804" s="210"/>
      <c r="AD1804" s="210"/>
      <c r="AE1804" s="210"/>
      <c r="AF1804" s="210"/>
      <c r="AG1804" s="210"/>
      <c r="AH1804" s="210"/>
      <c r="AI1804" s="210"/>
      <c r="AJ1804" s="210"/>
    </row>
    <row r="1805" ht="14.25" customHeight="1">
      <c r="A1805" s="210"/>
      <c r="B1805" s="210"/>
      <c r="C1805" s="210"/>
      <c r="D1805" s="210"/>
      <c r="E1805" s="210"/>
      <c r="F1805" s="210"/>
      <c r="G1805" s="210"/>
      <c r="H1805" s="210"/>
      <c r="I1805" s="210"/>
      <c r="J1805" s="210"/>
      <c r="K1805" s="210"/>
      <c r="L1805" s="210"/>
      <c r="M1805" s="210"/>
      <c r="N1805" s="210"/>
      <c r="O1805" s="210"/>
      <c r="P1805" s="210"/>
      <c r="Q1805" s="210"/>
      <c r="R1805" s="210"/>
      <c r="S1805" s="210"/>
      <c r="T1805" s="210"/>
      <c r="U1805" s="210"/>
      <c r="V1805" s="210"/>
      <c r="W1805" s="210"/>
      <c r="X1805" s="210"/>
      <c r="Y1805" s="210"/>
      <c r="Z1805" s="210"/>
      <c r="AA1805" s="210"/>
      <c r="AB1805" s="210"/>
      <c r="AC1805" s="210"/>
      <c r="AD1805" s="210"/>
      <c r="AE1805" s="210"/>
      <c r="AF1805" s="210"/>
      <c r="AG1805" s="210"/>
      <c r="AH1805" s="210"/>
      <c r="AI1805" s="210"/>
      <c r="AJ1805" s="210"/>
    </row>
    <row r="1806" ht="14.25" customHeight="1">
      <c r="A1806" s="210"/>
      <c r="B1806" s="210"/>
      <c r="C1806" s="210"/>
      <c r="D1806" s="210"/>
      <c r="E1806" s="210"/>
      <c r="F1806" s="210"/>
      <c r="G1806" s="210"/>
      <c r="H1806" s="210"/>
      <c r="I1806" s="210"/>
      <c r="J1806" s="210"/>
      <c r="K1806" s="210"/>
      <c r="L1806" s="210"/>
      <c r="M1806" s="210"/>
      <c r="N1806" s="210"/>
      <c r="O1806" s="210"/>
      <c r="P1806" s="210"/>
      <c r="Q1806" s="210"/>
      <c r="R1806" s="210"/>
      <c r="S1806" s="210"/>
      <c r="T1806" s="210"/>
      <c r="U1806" s="210"/>
      <c r="V1806" s="210"/>
      <c r="W1806" s="210"/>
      <c r="X1806" s="210"/>
      <c r="Y1806" s="210"/>
      <c r="Z1806" s="210"/>
      <c r="AA1806" s="210"/>
      <c r="AB1806" s="210"/>
      <c r="AC1806" s="210"/>
      <c r="AD1806" s="210"/>
      <c r="AE1806" s="210"/>
      <c r="AF1806" s="210"/>
      <c r="AG1806" s="210"/>
      <c r="AH1806" s="210"/>
      <c r="AI1806" s="210"/>
      <c r="AJ1806" s="210"/>
    </row>
    <row r="1807" ht="14.25" customHeight="1">
      <c r="A1807" s="210"/>
      <c r="B1807" s="210"/>
      <c r="C1807" s="210"/>
      <c r="D1807" s="210"/>
      <c r="E1807" s="210"/>
      <c r="F1807" s="210"/>
      <c r="G1807" s="210"/>
      <c r="H1807" s="210"/>
      <c r="I1807" s="210"/>
      <c r="J1807" s="210"/>
      <c r="K1807" s="210"/>
      <c r="L1807" s="210"/>
      <c r="M1807" s="210"/>
      <c r="N1807" s="210"/>
      <c r="O1807" s="210"/>
      <c r="P1807" s="210"/>
      <c r="Q1807" s="210"/>
      <c r="R1807" s="210"/>
      <c r="S1807" s="210"/>
      <c r="T1807" s="210"/>
      <c r="U1807" s="210"/>
      <c r="V1807" s="210"/>
      <c r="W1807" s="210"/>
      <c r="X1807" s="210"/>
      <c r="Y1807" s="210"/>
      <c r="Z1807" s="210"/>
      <c r="AA1807" s="210"/>
      <c r="AB1807" s="210"/>
      <c r="AC1807" s="210"/>
      <c r="AD1807" s="210"/>
      <c r="AE1807" s="210"/>
      <c r="AF1807" s="210"/>
      <c r="AG1807" s="210"/>
      <c r="AH1807" s="210"/>
      <c r="AI1807" s="210"/>
      <c r="AJ1807" s="210"/>
    </row>
    <row r="1808" ht="14.25" customHeight="1">
      <c r="A1808" s="210"/>
      <c r="B1808" s="210"/>
      <c r="C1808" s="210"/>
      <c r="D1808" s="210"/>
      <c r="E1808" s="210"/>
      <c r="F1808" s="210"/>
      <c r="G1808" s="210"/>
      <c r="H1808" s="210"/>
      <c r="I1808" s="210"/>
      <c r="J1808" s="210"/>
      <c r="K1808" s="210"/>
      <c r="L1808" s="210"/>
      <c r="M1808" s="210"/>
      <c r="N1808" s="210"/>
      <c r="O1808" s="210"/>
      <c r="P1808" s="210"/>
      <c r="Q1808" s="210"/>
      <c r="R1808" s="210"/>
      <c r="S1808" s="210"/>
      <c r="T1808" s="210"/>
      <c r="U1808" s="210"/>
      <c r="V1808" s="210"/>
      <c r="W1808" s="210"/>
      <c r="X1808" s="210"/>
      <c r="Y1808" s="210"/>
      <c r="Z1808" s="210"/>
      <c r="AA1808" s="210"/>
      <c r="AB1808" s="210"/>
      <c r="AC1808" s="210"/>
      <c r="AD1808" s="210"/>
      <c r="AE1808" s="210"/>
      <c r="AF1808" s="210"/>
      <c r="AG1808" s="210"/>
      <c r="AH1808" s="210"/>
      <c r="AI1808" s="210"/>
      <c r="AJ1808" s="210"/>
    </row>
    <row r="1809" ht="14.25" customHeight="1">
      <c r="A1809" s="210"/>
      <c r="B1809" s="210"/>
      <c r="C1809" s="210"/>
      <c r="D1809" s="210"/>
      <c r="E1809" s="210"/>
      <c r="F1809" s="210"/>
      <c r="G1809" s="210"/>
      <c r="H1809" s="210"/>
      <c r="I1809" s="210"/>
      <c r="J1809" s="210"/>
      <c r="K1809" s="210"/>
      <c r="L1809" s="210"/>
      <c r="M1809" s="210"/>
      <c r="N1809" s="210"/>
      <c r="O1809" s="210"/>
      <c r="P1809" s="210"/>
      <c r="Q1809" s="210"/>
      <c r="R1809" s="210"/>
      <c r="S1809" s="210"/>
      <c r="T1809" s="210"/>
      <c r="U1809" s="210"/>
      <c r="V1809" s="210"/>
      <c r="W1809" s="210"/>
      <c r="X1809" s="210"/>
      <c r="Y1809" s="210"/>
      <c r="Z1809" s="210"/>
      <c r="AA1809" s="210"/>
      <c r="AB1809" s="210"/>
      <c r="AC1809" s="210"/>
      <c r="AD1809" s="210"/>
      <c r="AE1809" s="210"/>
      <c r="AF1809" s="210"/>
      <c r="AG1809" s="210"/>
      <c r="AH1809" s="210"/>
      <c r="AI1809" s="210"/>
      <c r="AJ1809" s="210"/>
    </row>
    <row r="1810" ht="14.25" customHeight="1">
      <c r="A1810" s="210"/>
      <c r="B1810" s="210"/>
      <c r="C1810" s="210"/>
      <c r="D1810" s="210"/>
      <c r="E1810" s="210"/>
      <c r="F1810" s="210"/>
      <c r="G1810" s="210"/>
      <c r="H1810" s="210"/>
      <c r="I1810" s="210"/>
      <c r="J1810" s="210"/>
      <c r="K1810" s="210"/>
      <c r="L1810" s="210"/>
      <c r="M1810" s="210"/>
      <c r="N1810" s="210"/>
      <c r="O1810" s="210"/>
      <c r="P1810" s="210"/>
      <c r="Q1810" s="210"/>
      <c r="R1810" s="210"/>
      <c r="S1810" s="210"/>
      <c r="T1810" s="210"/>
      <c r="U1810" s="210"/>
      <c r="V1810" s="210"/>
      <c r="W1810" s="210"/>
      <c r="X1810" s="210"/>
      <c r="Y1810" s="210"/>
      <c r="Z1810" s="210"/>
      <c r="AA1810" s="210"/>
      <c r="AB1810" s="210"/>
      <c r="AC1810" s="210"/>
      <c r="AD1810" s="210"/>
      <c r="AE1810" s="210"/>
      <c r="AF1810" s="210"/>
      <c r="AG1810" s="210"/>
      <c r="AH1810" s="210"/>
      <c r="AI1810" s="210"/>
      <c r="AJ1810" s="210"/>
    </row>
    <row r="1811" ht="14.25" customHeight="1">
      <c r="A1811" s="210"/>
      <c r="B1811" s="210"/>
      <c r="C1811" s="210"/>
      <c r="D1811" s="210"/>
      <c r="E1811" s="210"/>
      <c r="F1811" s="210"/>
      <c r="G1811" s="210"/>
      <c r="H1811" s="210"/>
      <c r="I1811" s="210"/>
      <c r="J1811" s="210"/>
      <c r="K1811" s="210"/>
      <c r="L1811" s="210"/>
      <c r="M1811" s="210"/>
      <c r="N1811" s="210"/>
      <c r="O1811" s="210"/>
      <c r="P1811" s="210"/>
      <c r="Q1811" s="210"/>
      <c r="R1811" s="210"/>
      <c r="S1811" s="210"/>
      <c r="T1811" s="210"/>
      <c r="U1811" s="210"/>
      <c r="V1811" s="210"/>
      <c r="W1811" s="210"/>
      <c r="X1811" s="210"/>
      <c r="Y1811" s="210"/>
      <c r="Z1811" s="210"/>
      <c r="AA1811" s="210"/>
      <c r="AB1811" s="210"/>
      <c r="AC1811" s="210"/>
      <c r="AD1811" s="210"/>
      <c r="AE1811" s="210"/>
      <c r="AF1811" s="210"/>
      <c r="AG1811" s="210"/>
      <c r="AH1811" s="210"/>
      <c r="AI1811" s="210"/>
      <c r="AJ1811" s="210"/>
    </row>
    <row r="1812" ht="14.25" customHeight="1">
      <c r="A1812" s="210"/>
      <c r="B1812" s="210"/>
      <c r="C1812" s="210"/>
      <c r="D1812" s="210"/>
      <c r="E1812" s="210"/>
      <c r="F1812" s="210"/>
      <c r="G1812" s="210"/>
      <c r="H1812" s="210"/>
      <c r="I1812" s="210"/>
      <c r="J1812" s="210"/>
      <c r="K1812" s="210"/>
      <c r="L1812" s="210"/>
      <c r="M1812" s="210"/>
      <c r="N1812" s="210"/>
      <c r="O1812" s="210"/>
      <c r="P1812" s="210"/>
      <c r="Q1812" s="210"/>
      <c r="R1812" s="210"/>
      <c r="S1812" s="210"/>
      <c r="T1812" s="210"/>
      <c r="U1812" s="210"/>
      <c r="V1812" s="210"/>
      <c r="W1812" s="210"/>
      <c r="X1812" s="210"/>
      <c r="Y1812" s="210"/>
      <c r="Z1812" s="210"/>
      <c r="AA1812" s="210"/>
      <c r="AB1812" s="210"/>
      <c r="AC1812" s="210"/>
      <c r="AD1812" s="210"/>
      <c r="AE1812" s="210"/>
      <c r="AF1812" s="210"/>
      <c r="AG1812" s="210"/>
      <c r="AH1812" s="210"/>
      <c r="AI1812" s="210"/>
      <c r="AJ1812" s="210"/>
    </row>
    <row r="1813" ht="14.25" customHeight="1">
      <c r="A1813" s="210"/>
      <c r="B1813" s="210"/>
      <c r="C1813" s="210"/>
      <c r="D1813" s="210"/>
      <c r="E1813" s="210"/>
      <c r="F1813" s="210"/>
      <c r="G1813" s="210"/>
      <c r="H1813" s="210"/>
      <c r="I1813" s="210"/>
      <c r="J1813" s="210"/>
      <c r="K1813" s="210"/>
      <c r="L1813" s="210"/>
      <c r="M1813" s="210"/>
      <c r="N1813" s="210"/>
      <c r="O1813" s="210"/>
      <c r="P1813" s="210"/>
      <c r="Q1813" s="210"/>
      <c r="R1813" s="210"/>
      <c r="S1813" s="210"/>
      <c r="T1813" s="210"/>
      <c r="U1813" s="210"/>
      <c r="V1813" s="210"/>
      <c r="W1813" s="210"/>
      <c r="X1813" s="210"/>
      <c r="Y1813" s="210"/>
      <c r="Z1813" s="210"/>
      <c r="AA1813" s="210"/>
      <c r="AB1813" s="210"/>
      <c r="AC1813" s="210"/>
      <c r="AD1813" s="210"/>
      <c r="AE1813" s="210"/>
      <c r="AF1813" s="210"/>
      <c r="AG1813" s="210"/>
      <c r="AH1813" s="210"/>
      <c r="AI1813" s="210"/>
      <c r="AJ1813" s="210"/>
    </row>
    <row r="1814" ht="14.25" customHeight="1">
      <c r="A1814" s="210"/>
      <c r="B1814" s="210"/>
      <c r="C1814" s="210"/>
      <c r="D1814" s="210"/>
      <c r="E1814" s="210"/>
      <c r="F1814" s="210"/>
      <c r="G1814" s="210"/>
      <c r="H1814" s="210"/>
      <c r="I1814" s="210"/>
      <c r="J1814" s="210"/>
      <c r="K1814" s="210"/>
      <c r="L1814" s="210"/>
      <c r="M1814" s="210"/>
      <c r="N1814" s="210"/>
      <c r="O1814" s="210"/>
      <c r="P1814" s="210"/>
      <c r="Q1814" s="210"/>
      <c r="R1814" s="210"/>
      <c r="S1814" s="210"/>
      <c r="T1814" s="210"/>
      <c r="U1814" s="210"/>
      <c r="V1814" s="210"/>
      <c r="W1814" s="210"/>
      <c r="X1814" s="210"/>
      <c r="Y1814" s="210"/>
      <c r="Z1814" s="210"/>
      <c r="AA1814" s="210"/>
      <c r="AB1814" s="210"/>
      <c r="AC1814" s="210"/>
      <c r="AD1814" s="210"/>
      <c r="AE1814" s="210"/>
      <c r="AF1814" s="210"/>
      <c r="AG1814" s="210"/>
      <c r="AH1814" s="210"/>
      <c r="AI1814" s="210"/>
      <c r="AJ1814" s="210"/>
    </row>
    <row r="1815" ht="14.25" customHeight="1">
      <c r="A1815" s="210"/>
      <c r="B1815" s="210"/>
      <c r="C1815" s="210"/>
      <c r="D1815" s="210"/>
      <c r="E1815" s="210"/>
      <c r="F1815" s="210"/>
      <c r="G1815" s="210"/>
      <c r="H1815" s="210"/>
      <c r="I1815" s="210"/>
      <c r="J1815" s="210"/>
      <c r="K1815" s="210"/>
      <c r="L1815" s="210"/>
      <c r="M1815" s="210"/>
      <c r="N1815" s="210"/>
      <c r="O1815" s="210"/>
      <c r="P1815" s="210"/>
      <c r="Q1815" s="210"/>
      <c r="R1815" s="210"/>
      <c r="S1815" s="210"/>
      <c r="T1815" s="210"/>
      <c r="U1815" s="210"/>
      <c r="V1815" s="210"/>
      <c r="W1815" s="210"/>
      <c r="X1815" s="210"/>
      <c r="Y1815" s="210"/>
      <c r="Z1815" s="210"/>
      <c r="AA1815" s="210"/>
      <c r="AB1815" s="210"/>
      <c r="AC1815" s="210"/>
      <c r="AD1815" s="210"/>
      <c r="AE1815" s="210"/>
      <c r="AF1815" s="210"/>
      <c r="AG1815" s="210"/>
      <c r="AH1815" s="210"/>
      <c r="AI1815" s="210"/>
      <c r="AJ1815" s="210"/>
    </row>
    <row r="1816" ht="14.25" customHeight="1">
      <c r="A1816" s="210"/>
      <c r="B1816" s="210"/>
      <c r="C1816" s="210"/>
      <c r="D1816" s="210"/>
      <c r="E1816" s="210"/>
      <c r="F1816" s="210"/>
      <c r="G1816" s="210"/>
      <c r="H1816" s="210"/>
      <c r="I1816" s="210"/>
      <c r="J1816" s="210"/>
      <c r="K1816" s="210"/>
      <c r="L1816" s="210"/>
      <c r="M1816" s="210"/>
      <c r="N1816" s="210"/>
      <c r="O1816" s="210"/>
      <c r="P1816" s="210"/>
      <c r="Q1816" s="210"/>
      <c r="R1816" s="210"/>
      <c r="S1816" s="210"/>
      <c r="T1816" s="210"/>
      <c r="U1816" s="210"/>
      <c r="V1816" s="210"/>
      <c r="W1816" s="210"/>
      <c r="X1816" s="210"/>
      <c r="Y1816" s="210"/>
      <c r="Z1816" s="210"/>
      <c r="AA1816" s="210"/>
      <c r="AB1816" s="210"/>
      <c r="AC1816" s="210"/>
      <c r="AD1816" s="210"/>
      <c r="AE1816" s="210"/>
      <c r="AF1816" s="210"/>
      <c r="AG1816" s="210"/>
      <c r="AH1816" s="210"/>
      <c r="AI1816" s="210"/>
      <c r="AJ1816" s="210"/>
    </row>
    <row r="1817" ht="14.25" customHeight="1">
      <c r="A1817" s="210"/>
      <c r="B1817" s="210"/>
      <c r="C1817" s="210"/>
      <c r="D1817" s="210"/>
      <c r="E1817" s="210"/>
      <c r="F1817" s="210"/>
      <c r="G1817" s="210"/>
      <c r="H1817" s="210"/>
      <c r="I1817" s="210"/>
      <c r="J1817" s="210"/>
      <c r="K1817" s="210"/>
      <c r="L1817" s="210"/>
      <c r="M1817" s="210"/>
      <c r="N1817" s="210"/>
      <c r="O1817" s="210"/>
      <c r="P1817" s="210"/>
      <c r="Q1817" s="210"/>
      <c r="R1817" s="210"/>
      <c r="S1817" s="210"/>
      <c r="T1817" s="210"/>
      <c r="U1817" s="210"/>
      <c r="V1817" s="210"/>
      <c r="W1817" s="210"/>
      <c r="X1817" s="210"/>
      <c r="Y1817" s="210"/>
      <c r="Z1817" s="210"/>
      <c r="AA1817" s="210"/>
      <c r="AB1817" s="210"/>
      <c r="AC1817" s="210"/>
      <c r="AD1817" s="210"/>
      <c r="AE1817" s="210"/>
      <c r="AF1817" s="210"/>
      <c r="AG1817" s="210"/>
      <c r="AH1817" s="210"/>
      <c r="AI1817" s="210"/>
      <c r="AJ1817" s="210"/>
    </row>
    <row r="1818" ht="14.25" customHeight="1">
      <c r="A1818" s="210"/>
      <c r="B1818" s="210"/>
      <c r="C1818" s="210"/>
      <c r="D1818" s="210"/>
      <c r="E1818" s="210"/>
      <c r="F1818" s="210"/>
      <c r="G1818" s="210"/>
      <c r="H1818" s="210"/>
      <c r="I1818" s="210"/>
      <c r="J1818" s="210"/>
      <c r="K1818" s="210"/>
      <c r="L1818" s="210"/>
      <c r="M1818" s="210"/>
      <c r="N1818" s="210"/>
      <c r="O1818" s="210"/>
      <c r="P1818" s="210"/>
      <c r="Q1818" s="210"/>
      <c r="R1818" s="210"/>
      <c r="S1818" s="210"/>
      <c r="T1818" s="210"/>
      <c r="U1818" s="210"/>
      <c r="V1818" s="210"/>
      <c r="W1818" s="210"/>
      <c r="X1818" s="210"/>
      <c r="Y1818" s="210"/>
      <c r="Z1818" s="210"/>
      <c r="AA1818" s="210"/>
      <c r="AB1818" s="210"/>
      <c r="AC1818" s="210"/>
      <c r="AD1818" s="210"/>
      <c r="AE1818" s="210"/>
      <c r="AF1818" s="210"/>
      <c r="AG1818" s="210"/>
      <c r="AH1818" s="210"/>
      <c r="AI1818" s="210"/>
      <c r="AJ1818" s="210"/>
    </row>
    <row r="1819" ht="14.25" customHeight="1">
      <c r="A1819" s="210"/>
      <c r="B1819" s="210"/>
      <c r="C1819" s="210"/>
      <c r="D1819" s="210"/>
      <c r="E1819" s="210"/>
      <c r="F1819" s="210"/>
      <c r="G1819" s="210"/>
      <c r="H1819" s="210"/>
      <c r="I1819" s="210"/>
      <c r="J1819" s="210"/>
      <c r="K1819" s="210"/>
      <c r="L1819" s="210"/>
      <c r="M1819" s="210"/>
      <c r="N1819" s="210"/>
      <c r="O1819" s="210"/>
      <c r="P1819" s="210"/>
      <c r="Q1819" s="210"/>
      <c r="R1819" s="210"/>
      <c r="S1819" s="210"/>
      <c r="T1819" s="210"/>
      <c r="U1819" s="210"/>
      <c r="V1819" s="210"/>
      <c r="W1819" s="210"/>
      <c r="X1819" s="210"/>
      <c r="Y1819" s="210"/>
      <c r="Z1819" s="210"/>
      <c r="AA1819" s="210"/>
      <c r="AB1819" s="210"/>
      <c r="AC1819" s="210"/>
      <c r="AD1819" s="210"/>
      <c r="AE1819" s="210"/>
      <c r="AF1819" s="210"/>
      <c r="AG1819" s="210"/>
      <c r="AH1819" s="210"/>
      <c r="AI1819" s="210"/>
      <c r="AJ1819" s="210"/>
    </row>
    <row r="1820" ht="14.25" customHeight="1">
      <c r="A1820" s="210"/>
      <c r="B1820" s="210"/>
      <c r="C1820" s="210"/>
      <c r="D1820" s="210"/>
      <c r="E1820" s="210"/>
      <c r="F1820" s="210"/>
      <c r="G1820" s="210"/>
      <c r="H1820" s="210"/>
      <c r="I1820" s="210"/>
      <c r="J1820" s="210"/>
      <c r="K1820" s="210"/>
      <c r="L1820" s="210"/>
      <c r="M1820" s="210"/>
      <c r="N1820" s="210"/>
      <c r="O1820" s="210"/>
      <c r="P1820" s="210"/>
      <c r="Q1820" s="210"/>
      <c r="R1820" s="210"/>
      <c r="S1820" s="210"/>
      <c r="T1820" s="210"/>
      <c r="U1820" s="210"/>
      <c r="V1820" s="210"/>
      <c r="W1820" s="210"/>
      <c r="X1820" s="210"/>
      <c r="Y1820" s="210"/>
      <c r="Z1820" s="210"/>
      <c r="AA1820" s="210"/>
      <c r="AB1820" s="210"/>
      <c r="AC1820" s="210"/>
      <c r="AD1820" s="210"/>
      <c r="AE1820" s="210"/>
      <c r="AF1820" s="210"/>
      <c r="AG1820" s="210"/>
      <c r="AH1820" s="210"/>
      <c r="AI1820" s="210"/>
      <c r="AJ1820" s="210"/>
    </row>
    <row r="1821" ht="14.25" customHeight="1">
      <c r="A1821" s="210"/>
      <c r="B1821" s="210"/>
      <c r="C1821" s="210"/>
      <c r="D1821" s="210"/>
      <c r="E1821" s="210"/>
      <c r="F1821" s="210"/>
      <c r="G1821" s="210"/>
      <c r="H1821" s="210"/>
      <c r="I1821" s="210"/>
      <c r="J1821" s="210"/>
      <c r="K1821" s="210"/>
      <c r="L1821" s="210"/>
      <c r="M1821" s="210"/>
      <c r="N1821" s="210"/>
      <c r="O1821" s="210"/>
      <c r="P1821" s="210"/>
      <c r="Q1821" s="210"/>
      <c r="R1821" s="210"/>
      <c r="S1821" s="210"/>
      <c r="T1821" s="210"/>
      <c r="U1821" s="210"/>
      <c r="V1821" s="210"/>
      <c r="W1821" s="210"/>
      <c r="X1821" s="210"/>
      <c r="Y1821" s="210"/>
      <c r="Z1821" s="210"/>
      <c r="AA1821" s="210"/>
      <c r="AB1821" s="210"/>
      <c r="AC1821" s="210"/>
      <c r="AD1821" s="210"/>
      <c r="AE1821" s="210"/>
      <c r="AF1821" s="210"/>
      <c r="AG1821" s="210"/>
      <c r="AH1821" s="210"/>
      <c r="AI1821" s="210"/>
      <c r="AJ1821" s="210"/>
    </row>
    <row r="1822" ht="14.25" customHeight="1">
      <c r="A1822" s="210"/>
      <c r="B1822" s="210"/>
      <c r="C1822" s="210"/>
      <c r="D1822" s="210"/>
      <c r="E1822" s="210"/>
      <c r="F1822" s="210"/>
      <c r="G1822" s="210"/>
      <c r="H1822" s="210"/>
      <c r="I1822" s="210"/>
      <c r="J1822" s="210"/>
      <c r="K1822" s="210"/>
      <c r="L1822" s="210"/>
      <c r="M1822" s="210"/>
      <c r="N1822" s="210"/>
      <c r="O1822" s="210"/>
      <c r="P1822" s="210"/>
      <c r="Q1822" s="210"/>
      <c r="R1822" s="210"/>
      <c r="S1822" s="210"/>
      <c r="T1822" s="210"/>
      <c r="U1822" s="210"/>
      <c r="V1822" s="210"/>
      <c r="W1822" s="210"/>
      <c r="X1822" s="210"/>
      <c r="Y1822" s="210"/>
      <c r="Z1822" s="210"/>
      <c r="AA1822" s="210"/>
      <c r="AB1822" s="210"/>
      <c r="AC1822" s="210"/>
      <c r="AD1822" s="210"/>
      <c r="AE1822" s="210"/>
      <c r="AF1822" s="210"/>
      <c r="AG1822" s="210"/>
      <c r="AH1822" s="210"/>
      <c r="AI1822" s="210"/>
      <c r="AJ1822" s="210"/>
    </row>
    <row r="1823" ht="14.25" customHeight="1">
      <c r="A1823" s="210"/>
      <c r="B1823" s="210"/>
      <c r="C1823" s="210"/>
      <c r="D1823" s="210"/>
      <c r="E1823" s="210"/>
      <c r="F1823" s="210"/>
      <c r="G1823" s="210"/>
      <c r="H1823" s="210"/>
      <c r="I1823" s="210"/>
      <c r="J1823" s="210"/>
      <c r="K1823" s="210"/>
      <c r="L1823" s="210"/>
      <c r="M1823" s="210"/>
      <c r="N1823" s="210"/>
      <c r="O1823" s="210"/>
      <c r="P1823" s="210"/>
      <c r="Q1823" s="210"/>
      <c r="R1823" s="210"/>
      <c r="S1823" s="210"/>
      <c r="T1823" s="210"/>
      <c r="U1823" s="210"/>
      <c r="V1823" s="210"/>
      <c r="W1823" s="210"/>
      <c r="X1823" s="210"/>
      <c r="Y1823" s="210"/>
      <c r="Z1823" s="210"/>
      <c r="AA1823" s="210"/>
      <c r="AB1823" s="210"/>
      <c r="AC1823" s="210"/>
      <c r="AD1823" s="210"/>
      <c r="AE1823" s="210"/>
      <c r="AF1823" s="210"/>
      <c r="AG1823" s="210"/>
      <c r="AH1823" s="210"/>
      <c r="AI1823" s="210"/>
      <c r="AJ1823" s="210"/>
    </row>
    <row r="1824" ht="14.25" customHeight="1">
      <c r="A1824" s="210"/>
      <c r="B1824" s="210"/>
      <c r="C1824" s="210"/>
      <c r="D1824" s="210"/>
      <c r="E1824" s="210"/>
      <c r="F1824" s="210"/>
      <c r="G1824" s="210"/>
      <c r="H1824" s="210"/>
      <c r="I1824" s="210"/>
      <c r="J1824" s="210"/>
      <c r="K1824" s="210"/>
      <c r="L1824" s="210"/>
      <c r="M1824" s="210"/>
      <c r="N1824" s="210"/>
      <c r="O1824" s="210"/>
      <c r="P1824" s="210"/>
      <c r="Q1824" s="210"/>
      <c r="R1824" s="210"/>
      <c r="S1824" s="210"/>
      <c r="T1824" s="210"/>
      <c r="U1824" s="210"/>
      <c r="V1824" s="210"/>
      <c r="W1824" s="210"/>
      <c r="X1824" s="210"/>
      <c r="Y1824" s="210"/>
      <c r="Z1824" s="210"/>
      <c r="AA1824" s="210"/>
      <c r="AB1824" s="210"/>
      <c r="AC1824" s="210"/>
      <c r="AD1824" s="210"/>
      <c r="AE1824" s="210"/>
      <c r="AF1824" s="210"/>
      <c r="AG1824" s="210"/>
      <c r="AH1824" s="210"/>
      <c r="AI1824" s="210"/>
      <c r="AJ1824" s="210"/>
    </row>
    <row r="1825" ht="14.25" customHeight="1">
      <c r="A1825" s="210"/>
      <c r="B1825" s="210"/>
      <c r="C1825" s="210"/>
      <c r="D1825" s="210"/>
      <c r="E1825" s="210"/>
      <c r="F1825" s="210"/>
      <c r="G1825" s="210"/>
      <c r="H1825" s="210"/>
      <c r="I1825" s="210"/>
      <c r="J1825" s="210"/>
      <c r="K1825" s="210"/>
      <c r="L1825" s="210"/>
      <c r="M1825" s="210"/>
      <c r="N1825" s="210"/>
      <c r="O1825" s="210"/>
      <c r="P1825" s="210"/>
      <c r="Q1825" s="210"/>
      <c r="R1825" s="210"/>
      <c r="S1825" s="210"/>
      <c r="T1825" s="210"/>
      <c r="U1825" s="210"/>
      <c r="V1825" s="210"/>
      <c r="W1825" s="210"/>
      <c r="X1825" s="210"/>
      <c r="Y1825" s="210"/>
      <c r="Z1825" s="210"/>
      <c r="AA1825" s="210"/>
      <c r="AB1825" s="210"/>
      <c r="AC1825" s="210"/>
      <c r="AD1825" s="210"/>
      <c r="AE1825" s="210"/>
      <c r="AF1825" s="210"/>
      <c r="AG1825" s="210"/>
      <c r="AH1825" s="210"/>
      <c r="AI1825" s="210"/>
      <c r="AJ1825" s="210"/>
    </row>
    <row r="1826" ht="14.25" customHeight="1">
      <c r="A1826" s="210"/>
      <c r="B1826" s="210"/>
      <c r="C1826" s="210"/>
      <c r="D1826" s="210"/>
      <c r="E1826" s="210"/>
      <c r="F1826" s="210"/>
      <c r="G1826" s="210"/>
      <c r="H1826" s="210"/>
      <c r="I1826" s="210"/>
      <c r="J1826" s="210"/>
      <c r="K1826" s="210"/>
      <c r="L1826" s="210"/>
      <c r="M1826" s="210"/>
      <c r="N1826" s="210"/>
      <c r="O1826" s="210"/>
      <c r="P1826" s="210"/>
      <c r="Q1826" s="210"/>
      <c r="R1826" s="210"/>
      <c r="S1826" s="210"/>
      <c r="T1826" s="210"/>
      <c r="U1826" s="210"/>
      <c r="V1826" s="210"/>
      <c r="W1826" s="210"/>
      <c r="X1826" s="210"/>
      <c r="Y1826" s="210"/>
      <c r="Z1826" s="210"/>
      <c r="AA1826" s="210"/>
      <c r="AB1826" s="210"/>
      <c r="AC1826" s="210"/>
      <c r="AD1826" s="210"/>
      <c r="AE1826" s="210"/>
      <c r="AF1826" s="210"/>
      <c r="AG1826" s="210"/>
      <c r="AH1826" s="210"/>
      <c r="AI1826" s="210"/>
      <c r="AJ1826" s="210"/>
    </row>
    <row r="1827" ht="14.25" customHeight="1">
      <c r="A1827" s="210"/>
      <c r="B1827" s="210"/>
      <c r="C1827" s="210"/>
      <c r="D1827" s="210"/>
      <c r="E1827" s="210"/>
      <c r="F1827" s="210"/>
      <c r="G1827" s="210"/>
      <c r="H1827" s="210"/>
      <c r="I1827" s="210"/>
      <c r="J1827" s="210"/>
      <c r="K1827" s="210"/>
      <c r="L1827" s="210"/>
      <c r="M1827" s="210"/>
      <c r="N1827" s="210"/>
      <c r="O1827" s="210"/>
      <c r="P1827" s="210"/>
      <c r="Q1827" s="210"/>
      <c r="R1827" s="210"/>
      <c r="S1827" s="210"/>
      <c r="T1827" s="210"/>
      <c r="U1827" s="210"/>
      <c r="V1827" s="210"/>
      <c r="W1827" s="210"/>
      <c r="X1827" s="210"/>
      <c r="Y1827" s="210"/>
      <c r="Z1827" s="210"/>
      <c r="AA1827" s="210"/>
      <c r="AB1827" s="210"/>
      <c r="AC1827" s="210"/>
      <c r="AD1827" s="210"/>
      <c r="AE1827" s="210"/>
      <c r="AF1827" s="210"/>
      <c r="AG1827" s="210"/>
      <c r="AH1827" s="210"/>
      <c r="AI1827" s="210"/>
      <c r="AJ1827" s="210"/>
    </row>
    <row r="1828" ht="14.25" customHeight="1">
      <c r="A1828" s="210"/>
      <c r="B1828" s="210"/>
      <c r="C1828" s="210"/>
      <c r="D1828" s="210"/>
      <c r="E1828" s="210"/>
      <c r="F1828" s="210"/>
      <c r="G1828" s="210"/>
      <c r="H1828" s="210"/>
      <c r="I1828" s="210"/>
      <c r="J1828" s="210"/>
      <c r="K1828" s="210"/>
      <c r="L1828" s="210"/>
      <c r="M1828" s="210"/>
      <c r="N1828" s="210"/>
      <c r="O1828" s="210"/>
      <c r="P1828" s="210"/>
      <c r="Q1828" s="210"/>
      <c r="R1828" s="210"/>
      <c r="S1828" s="210"/>
      <c r="T1828" s="210"/>
      <c r="U1828" s="210"/>
      <c r="V1828" s="210"/>
      <c r="W1828" s="210"/>
      <c r="X1828" s="210"/>
      <c r="Y1828" s="210"/>
      <c r="Z1828" s="210"/>
      <c r="AA1828" s="210"/>
      <c r="AB1828" s="210"/>
      <c r="AC1828" s="210"/>
      <c r="AD1828" s="210"/>
      <c r="AE1828" s="210"/>
      <c r="AF1828" s="210"/>
      <c r="AG1828" s="210"/>
      <c r="AH1828" s="210"/>
      <c r="AI1828" s="210"/>
      <c r="AJ1828" s="210"/>
    </row>
    <row r="1829" ht="14.25" customHeight="1">
      <c r="A1829" s="210"/>
      <c r="B1829" s="210"/>
      <c r="C1829" s="210"/>
      <c r="D1829" s="210"/>
      <c r="E1829" s="210"/>
      <c r="F1829" s="210"/>
      <c r="G1829" s="210"/>
      <c r="H1829" s="210"/>
      <c r="I1829" s="210"/>
      <c r="J1829" s="210"/>
      <c r="K1829" s="210"/>
      <c r="L1829" s="210"/>
      <c r="M1829" s="210"/>
      <c r="N1829" s="210"/>
      <c r="O1829" s="210"/>
      <c r="P1829" s="210"/>
      <c r="Q1829" s="210"/>
      <c r="R1829" s="210"/>
      <c r="S1829" s="210"/>
      <c r="T1829" s="210"/>
      <c r="U1829" s="210"/>
      <c r="V1829" s="210"/>
      <c r="W1829" s="210"/>
      <c r="X1829" s="210"/>
      <c r="Y1829" s="210"/>
      <c r="Z1829" s="210"/>
      <c r="AA1829" s="210"/>
      <c r="AB1829" s="210"/>
      <c r="AC1829" s="210"/>
      <c r="AD1829" s="210"/>
      <c r="AE1829" s="210"/>
      <c r="AF1829" s="210"/>
      <c r="AG1829" s="210"/>
      <c r="AH1829" s="210"/>
      <c r="AI1829" s="210"/>
      <c r="AJ1829" s="210"/>
    </row>
    <row r="1830" ht="14.25" customHeight="1">
      <c r="A1830" s="210"/>
      <c r="B1830" s="210"/>
      <c r="C1830" s="210"/>
      <c r="D1830" s="210"/>
      <c r="E1830" s="210"/>
      <c r="F1830" s="210"/>
      <c r="G1830" s="210"/>
      <c r="H1830" s="210"/>
      <c r="I1830" s="210"/>
      <c r="J1830" s="210"/>
      <c r="K1830" s="210"/>
      <c r="L1830" s="210"/>
      <c r="M1830" s="210"/>
      <c r="N1830" s="210"/>
      <c r="O1830" s="210"/>
      <c r="P1830" s="210"/>
      <c r="Q1830" s="210"/>
      <c r="R1830" s="210"/>
      <c r="S1830" s="210"/>
      <c r="T1830" s="210"/>
      <c r="U1830" s="210"/>
      <c r="V1830" s="210"/>
      <c r="W1830" s="210"/>
      <c r="X1830" s="210"/>
      <c r="Y1830" s="210"/>
      <c r="Z1830" s="210"/>
      <c r="AA1830" s="210"/>
      <c r="AB1830" s="210"/>
      <c r="AC1830" s="210"/>
      <c r="AD1830" s="210"/>
      <c r="AE1830" s="210"/>
      <c r="AF1830" s="210"/>
      <c r="AG1830" s="210"/>
      <c r="AH1830" s="210"/>
      <c r="AI1830" s="210"/>
      <c r="AJ1830" s="210"/>
    </row>
    <row r="1831" ht="14.25" customHeight="1">
      <c r="A1831" s="210"/>
      <c r="B1831" s="210"/>
      <c r="C1831" s="210"/>
      <c r="D1831" s="210"/>
      <c r="E1831" s="210"/>
      <c r="F1831" s="210"/>
      <c r="G1831" s="210"/>
      <c r="H1831" s="210"/>
      <c r="I1831" s="210"/>
      <c r="J1831" s="210"/>
      <c r="K1831" s="210"/>
      <c r="L1831" s="210"/>
      <c r="M1831" s="210"/>
      <c r="N1831" s="210"/>
      <c r="O1831" s="210"/>
      <c r="P1831" s="210"/>
      <c r="Q1831" s="210"/>
      <c r="R1831" s="210"/>
      <c r="S1831" s="210"/>
      <c r="T1831" s="210"/>
      <c r="U1831" s="210"/>
      <c r="V1831" s="210"/>
      <c r="W1831" s="210"/>
      <c r="X1831" s="210"/>
      <c r="Y1831" s="210"/>
      <c r="Z1831" s="210"/>
      <c r="AA1831" s="210"/>
      <c r="AB1831" s="210"/>
      <c r="AC1831" s="210"/>
      <c r="AD1831" s="210"/>
      <c r="AE1831" s="210"/>
      <c r="AF1831" s="210"/>
      <c r="AG1831" s="210"/>
      <c r="AH1831" s="210"/>
      <c r="AI1831" s="210"/>
      <c r="AJ1831" s="210"/>
    </row>
    <row r="1832" ht="14.25" customHeight="1">
      <c r="A1832" s="210"/>
      <c r="B1832" s="210"/>
      <c r="C1832" s="210"/>
      <c r="D1832" s="210"/>
      <c r="E1832" s="210"/>
      <c r="F1832" s="210"/>
      <c r="G1832" s="210"/>
      <c r="H1832" s="210"/>
      <c r="I1832" s="210"/>
      <c r="J1832" s="210"/>
      <c r="K1832" s="210"/>
      <c r="L1832" s="210"/>
      <c r="M1832" s="210"/>
      <c r="N1832" s="210"/>
      <c r="O1832" s="210"/>
      <c r="P1832" s="210"/>
      <c r="Q1832" s="210"/>
      <c r="R1832" s="210"/>
      <c r="S1832" s="210"/>
      <c r="T1832" s="210"/>
      <c r="U1832" s="210"/>
      <c r="V1832" s="210"/>
      <c r="W1832" s="210"/>
      <c r="X1832" s="210"/>
      <c r="Y1832" s="210"/>
      <c r="Z1832" s="210"/>
      <c r="AA1832" s="210"/>
      <c r="AB1832" s="210"/>
      <c r="AC1832" s="210"/>
      <c r="AD1832" s="210"/>
      <c r="AE1832" s="210"/>
      <c r="AF1832" s="210"/>
      <c r="AG1832" s="210"/>
      <c r="AH1832" s="210"/>
      <c r="AI1832" s="210"/>
      <c r="AJ1832" s="210"/>
    </row>
    <row r="1833" ht="14.25" customHeight="1">
      <c r="A1833" s="210"/>
      <c r="B1833" s="210"/>
      <c r="C1833" s="210"/>
      <c r="D1833" s="210"/>
      <c r="E1833" s="210"/>
      <c r="F1833" s="210"/>
      <c r="G1833" s="210"/>
      <c r="H1833" s="210"/>
      <c r="I1833" s="210"/>
      <c r="J1833" s="210"/>
      <c r="K1833" s="210"/>
      <c r="L1833" s="210"/>
      <c r="M1833" s="210"/>
      <c r="N1833" s="210"/>
      <c r="O1833" s="210"/>
      <c r="P1833" s="210"/>
      <c r="Q1833" s="210"/>
      <c r="R1833" s="210"/>
      <c r="S1833" s="210"/>
      <c r="T1833" s="210"/>
      <c r="U1833" s="210"/>
      <c r="V1833" s="210"/>
      <c r="W1833" s="210"/>
      <c r="X1833" s="210"/>
      <c r="Y1833" s="210"/>
      <c r="Z1833" s="210"/>
      <c r="AA1833" s="210"/>
      <c r="AB1833" s="210"/>
      <c r="AC1833" s="210"/>
      <c r="AD1833" s="210"/>
      <c r="AE1833" s="210"/>
      <c r="AF1833" s="210"/>
      <c r="AG1833" s="210"/>
      <c r="AH1833" s="210"/>
      <c r="AI1833" s="210"/>
      <c r="AJ1833" s="210"/>
    </row>
    <row r="1834" ht="14.25" customHeight="1">
      <c r="A1834" s="210"/>
      <c r="B1834" s="210"/>
      <c r="C1834" s="210"/>
      <c r="D1834" s="210"/>
      <c r="E1834" s="210"/>
      <c r="F1834" s="210"/>
      <c r="G1834" s="210"/>
      <c r="H1834" s="210"/>
      <c r="I1834" s="210"/>
      <c r="J1834" s="210"/>
      <c r="K1834" s="210"/>
      <c r="L1834" s="210"/>
      <c r="M1834" s="210"/>
      <c r="N1834" s="210"/>
      <c r="O1834" s="210"/>
      <c r="P1834" s="210"/>
      <c r="Q1834" s="210"/>
      <c r="R1834" s="210"/>
      <c r="S1834" s="210"/>
      <c r="T1834" s="210"/>
      <c r="U1834" s="210"/>
      <c r="V1834" s="210"/>
      <c r="W1834" s="210"/>
      <c r="X1834" s="210"/>
      <c r="Y1834" s="210"/>
      <c r="Z1834" s="210"/>
      <c r="AA1834" s="210"/>
      <c r="AB1834" s="210"/>
      <c r="AC1834" s="210"/>
      <c r="AD1834" s="210"/>
      <c r="AE1834" s="210"/>
      <c r="AF1834" s="210"/>
      <c r="AG1834" s="210"/>
      <c r="AH1834" s="210"/>
      <c r="AI1834" s="210"/>
      <c r="AJ1834" s="210"/>
    </row>
    <row r="1835" ht="14.25" customHeight="1">
      <c r="A1835" s="210"/>
      <c r="B1835" s="210"/>
      <c r="C1835" s="210"/>
      <c r="D1835" s="210"/>
      <c r="E1835" s="210"/>
      <c r="F1835" s="210"/>
      <c r="G1835" s="210"/>
      <c r="H1835" s="210"/>
      <c r="I1835" s="210"/>
      <c r="J1835" s="210"/>
      <c r="K1835" s="210"/>
      <c r="L1835" s="210"/>
      <c r="M1835" s="210"/>
      <c r="N1835" s="210"/>
      <c r="O1835" s="210"/>
      <c r="P1835" s="210"/>
      <c r="Q1835" s="210"/>
      <c r="R1835" s="210"/>
      <c r="S1835" s="210"/>
      <c r="T1835" s="210"/>
      <c r="U1835" s="210"/>
      <c r="V1835" s="210"/>
      <c r="W1835" s="210"/>
      <c r="X1835" s="210"/>
      <c r="Y1835" s="210"/>
      <c r="Z1835" s="210"/>
      <c r="AA1835" s="210"/>
      <c r="AB1835" s="210"/>
      <c r="AC1835" s="210"/>
      <c r="AD1835" s="210"/>
      <c r="AE1835" s="210"/>
      <c r="AF1835" s="210"/>
      <c r="AG1835" s="210"/>
      <c r="AH1835" s="210"/>
      <c r="AI1835" s="210"/>
      <c r="AJ1835" s="210"/>
    </row>
    <row r="1836" ht="14.25" customHeight="1">
      <c r="A1836" s="210"/>
      <c r="B1836" s="210"/>
      <c r="C1836" s="210"/>
      <c r="D1836" s="210"/>
      <c r="E1836" s="210"/>
      <c r="F1836" s="210"/>
      <c r="G1836" s="210"/>
      <c r="H1836" s="210"/>
      <c r="I1836" s="210"/>
      <c r="J1836" s="210"/>
      <c r="K1836" s="210"/>
      <c r="L1836" s="210"/>
      <c r="M1836" s="210"/>
      <c r="N1836" s="210"/>
      <c r="O1836" s="210"/>
      <c r="P1836" s="210"/>
      <c r="Q1836" s="210"/>
      <c r="R1836" s="210"/>
      <c r="S1836" s="210"/>
      <c r="T1836" s="210"/>
      <c r="U1836" s="210"/>
      <c r="V1836" s="210"/>
      <c r="W1836" s="210"/>
      <c r="X1836" s="210"/>
      <c r="Y1836" s="210"/>
      <c r="Z1836" s="210"/>
      <c r="AA1836" s="210"/>
      <c r="AB1836" s="210"/>
      <c r="AC1836" s="210"/>
      <c r="AD1836" s="210"/>
      <c r="AE1836" s="210"/>
      <c r="AF1836" s="210"/>
      <c r="AG1836" s="210"/>
      <c r="AH1836" s="210"/>
      <c r="AI1836" s="210"/>
      <c r="AJ1836" s="210"/>
    </row>
    <row r="1837" ht="14.25" customHeight="1">
      <c r="A1837" s="210"/>
      <c r="B1837" s="210"/>
      <c r="C1837" s="210"/>
      <c r="D1837" s="210"/>
      <c r="E1837" s="210"/>
      <c r="F1837" s="210"/>
      <c r="G1837" s="210"/>
      <c r="H1837" s="210"/>
      <c r="I1837" s="210"/>
      <c r="J1837" s="210"/>
      <c r="K1837" s="210"/>
      <c r="L1837" s="210"/>
      <c r="M1837" s="210"/>
      <c r="N1837" s="210"/>
      <c r="O1837" s="210"/>
      <c r="P1837" s="210"/>
      <c r="Q1837" s="210"/>
      <c r="R1837" s="210"/>
      <c r="S1837" s="210"/>
      <c r="T1837" s="210"/>
      <c r="U1837" s="210"/>
      <c r="V1837" s="210"/>
      <c r="W1837" s="210"/>
      <c r="X1837" s="210"/>
      <c r="Y1837" s="210"/>
      <c r="Z1837" s="210"/>
      <c r="AA1837" s="210"/>
      <c r="AB1837" s="210"/>
      <c r="AC1837" s="210"/>
      <c r="AD1837" s="210"/>
      <c r="AE1837" s="210"/>
      <c r="AF1837" s="210"/>
      <c r="AG1837" s="210"/>
      <c r="AH1837" s="210"/>
      <c r="AI1837" s="210"/>
      <c r="AJ1837" s="210"/>
    </row>
    <row r="1838" ht="14.25" customHeight="1">
      <c r="A1838" s="210"/>
      <c r="B1838" s="210"/>
      <c r="C1838" s="210"/>
      <c r="D1838" s="210"/>
      <c r="E1838" s="210"/>
      <c r="F1838" s="210"/>
      <c r="G1838" s="210"/>
      <c r="H1838" s="210"/>
      <c r="I1838" s="210"/>
      <c r="J1838" s="210"/>
      <c r="K1838" s="210"/>
      <c r="L1838" s="210"/>
      <c r="M1838" s="210"/>
      <c r="N1838" s="210"/>
      <c r="O1838" s="210"/>
      <c r="P1838" s="210"/>
      <c r="Q1838" s="210"/>
      <c r="R1838" s="210"/>
      <c r="S1838" s="210"/>
      <c r="T1838" s="210"/>
      <c r="U1838" s="210"/>
      <c r="V1838" s="210"/>
      <c r="W1838" s="210"/>
      <c r="X1838" s="210"/>
      <c r="Y1838" s="210"/>
      <c r="Z1838" s="210"/>
      <c r="AA1838" s="210"/>
      <c r="AB1838" s="210"/>
      <c r="AC1838" s="210"/>
      <c r="AD1838" s="210"/>
      <c r="AE1838" s="210"/>
      <c r="AF1838" s="210"/>
      <c r="AG1838" s="210"/>
      <c r="AH1838" s="210"/>
      <c r="AI1838" s="210"/>
      <c r="AJ1838" s="210"/>
    </row>
    <row r="1839" ht="14.25" customHeight="1">
      <c r="A1839" s="210"/>
      <c r="B1839" s="210"/>
      <c r="C1839" s="210"/>
      <c r="D1839" s="210"/>
      <c r="E1839" s="210"/>
      <c r="F1839" s="210"/>
      <c r="G1839" s="210"/>
      <c r="H1839" s="210"/>
      <c r="I1839" s="210"/>
      <c r="J1839" s="210"/>
      <c r="K1839" s="210"/>
      <c r="L1839" s="210"/>
      <c r="M1839" s="210"/>
      <c r="N1839" s="210"/>
      <c r="O1839" s="210"/>
      <c r="P1839" s="210"/>
      <c r="Q1839" s="210"/>
      <c r="R1839" s="210"/>
      <c r="S1839" s="210"/>
      <c r="T1839" s="210"/>
      <c r="U1839" s="210"/>
      <c r="V1839" s="210"/>
      <c r="W1839" s="210"/>
      <c r="X1839" s="210"/>
      <c r="Y1839" s="210"/>
      <c r="Z1839" s="210"/>
      <c r="AA1839" s="210"/>
      <c r="AB1839" s="210"/>
      <c r="AC1839" s="210"/>
      <c r="AD1839" s="210"/>
      <c r="AE1839" s="210"/>
      <c r="AF1839" s="210"/>
      <c r="AG1839" s="210"/>
      <c r="AH1839" s="210"/>
      <c r="AI1839" s="210"/>
      <c r="AJ1839" s="210"/>
    </row>
    <row r="1840" ht="14.25" customHeight="1">
      <c r="A1840" s="210"/>
      <c r="B1840" s="210"/>
      <c r="C1840" s="210"/>
      <c r="D1840" s="210"/>
      <c r="E1840" s="210"/>
      <c r="F1840" s="210"/>
      <c r="G1840" s="210"/>
      <c r="H1840" s="210"/>
      <c r="I1840" s="210"/>
      <c r="J1840" s="210"/>
      <c r="K1840" s="210"/>
      <c r="L1840" s="210"/>
      <c r="M1840" s="210"/>
      <c r="N1840" s="210"/>
      <c r="O1840" s="210"/>
      <c r="P1840" s="210"/>
      <c r="Q1840" s="210"/>
      <c r="R1840" s="210"/>
      <c r="S1840" s="210"/>
      <c r="T1840" s="210"/>
      <c r="U1840" s="210"/>
      <c r="V1840" s="210"/>
      <c r="W1840" s="210"/>
      <c r="X1840" s="210"/>
      <c r="Y1840" s="210"/>
      <c r="Z1840" s="210"/>
      <c r="AA1840" s="210"/>
      <c r="AB1840" s="210"/>
      <c r="AC1840" s="210"/>
      <c r="AD1840" s="210"/>
      <c r="AE1840" s="210"/>
      <c r="AF1840" s="210"/>
      <c r="AG1840" s="210"/>
      <c r="AH1840" s="210"/>
      <c r="AI1840" s="210"/>
      <c r="AJ1840" s="210"/>
    </row>
    <row r="1841" ht="14.25" customHeight="1">
      <c r="A1841" s="210"/>
      <c r="B1841" s="210"/>
      <c r="C1841" s="210"/>
      <c r="D1841" s="210"/>
      <c r="E1841" s="210"/>
      <c r="F1841" s="210"/>
      <c r="G1841" s="210"/>
      <c r="H1841" s="210"/>
      <c r="I1841" s="210"/>
      <c r="J1841" s="210"/>
      <c r="K1841" s="210"/>
      <c r="L1841" s="210"/>
      <c r="M1841" s="210"/>
      <c r="N1841" s="210"/>
      <c r="O1841" s="210"/>
      <c r="P1841" s="210"/>
      <c r="Q1841" s="210"/>
      <c r="R1841" s="210"/>
      <c r="S1841" s="210"/>
      <c r="T1841" s="210"/>
      <c r="U1841" s="210"/>
      <c r="V1841" s="210"/>
      <c r="W1841" s="210"/>
      <c r="X1841" s="210"/>
      <c r="Y1841" s="210"/>
      <c r="Z1841" s="210"/>
      <c r="AA1841" s="210"/>
      <c r="AB1841" s="210"/>
      <c r="AC1841" s="210"/>
      <c r="AD1841" s="210"/>
      <c r="AE1841" s="210"/>
      <c r="AF1841" s="210"/>
      <c r="AG1841" s="210"/>
      <c r="AH1841" s="210"/>
      <c r="AI1841" s="210"/>
      <c r="AJ1841" s="210"/>
    </row>
    <row r="1842" ht="14.25" customHeight="1">
      <c r="A1842" s="210"/>
      <c r="B1842" s="210"/>
      <c r="C1842" s="210"/>
      <c r="D1842" s="210"/>
      <c r="E1842" s="210"/>
      <c r="F1842" s="210"/>
      <c r="G1842" s="210"/>
      <c r="H1842" s="210"/>
      <c r="I1842" s="210"/>
      <c r="J1842" s="210"/>
      <c r="K1842" s="210"/>
      <c r="L1842" s="210"/>
      <c r="M1842" s="210"/>
      <c r="N1842" s="210"/>
      <c r="O1842" s="210"/>
      <c r="P1842" s="210"/>
      <c r="Q1842" s="210"/>
      <c r="R1842" s="210"/>
      <c r="S1842" s="210"/>
      <c r="T1842" s="210"/>
      <c r="U1842" s="210"/>
      <c r="V1842" s="210"/>
      <c r="W1842" s="210"/>
      <c r="X1842" s="210"/>
      <c r="Y1842" s="210"/>
      <c r="Z1842" s="210"/>
      <c r="AA1842" s="210"/>
      <c r="AB1842" s="210"/>
      <c r="AC1842" s="210"/>
      <c r="AD1842" s="210"/>
      <c r="AE1842" s="210"/>
      <c r="AF1842" s="210"/>
      <c r="AG1842" s="210"/>
      <c r="AH1842" s="210"/>
      <c r="AI1842" s="210"/>
      <c r="AJ1842" s="210"/>
    </row>
    <row r="1843" ht="14.25" customHeight="1">
      <c r="A1843" s="210"/>
      <c r="B1843" s="210"/>
      <c r="C1843" s="210"/>
      <c r="D1843" s="210"/>
      <c r="E1843" s="210"/>
      <c r="F1843" s="210"/>
      <c r="G1843" s="210"/>
      <c r="H1843" s="210"/>
      <c r="I1843" s="210"/>
      <c r="J1843" s="210"/>
      <c r="K1843" s="210"/>
      <c r="L1843" s="210"/>
      <c r="M1843" s="210"/>
      <c r="N1843" s="210"/>
      <c r="O1843" s="210"/>
      <c r="P1843" s="210"/>
      <c r="Q1843" s="210"/>
      <c r="R1843" s="210"/>
      <c r="S1843" s="210"/>
      <c r="T1843" s="210"/>
      <c r="U1843" s="210"/>
      <c r="V1843" s="210"/>
      <c r="W1843" s="210"/>
      <c r="X1843" s="210"/>
      <c r="Y1843" s="210"/>
      <c r="Z1843" s="210"/>
      <c r="AA1843" s="210"/>
      <c r="AB1843" s="210"/>
      <c r="AC1843" s="210"/>
      <c r="AD1843" s="210"/>
      <c r="AE1843" s="210"/>
      <c r="AF1843" s="210"/>
      <c r="AG1843" s="210"/>
      <c r="AH1843" s="210"/>
      <c r="AI1843" s="210"/>
      <c r="AJ1843" s="210"/>
    </row>
    <row r="1844" ht="14.25" customHeight="1">
      <c r="A1844" s="210"/>
      <c r="B1844" s="210"/>
      <c r="C1844" s="210"/>
      <c r="D1844" s="210"/>
      <c r="E1844" s="210"/>
      <c r="F1844" s="210"/>
      <c r="G1844" s="210"/>
      <c r="H1844" s="210"/>
      <c r="I1844" s="210"/>
      <c r="J1844" s="210"/>
      <c r="K1844" s="210"/>
      <c r="L1844" s="210"/>
      <c r="M1844" s="210"/>
      <c r="N1844" s="210"/>
      <c r="O1844" s="210"/>
      <c r="P1844" s="210"/>
      <c r="Q1844" s="210"/>
      <c r="R1844" s="210"/>
      <c r="S1844" s="210"/>
      <c r="T1844" s="210"/>
      <c r="U1844" s="210"/>
      <c r="V1844" s="210"/>
      <c r="W1844" s="210"/>
      <c r="X1844" s="210"/>
      <c r="Y1844" s="210"/>
      <c r="Z1844" s="210"/>
      <c r="AA1844" s="210"/>
      <c r="AB1844" s="210"/>
      <c r="AC1844" s="210"/>
      <c r="AD1844" s="210"/>
      <c r="AE1844" s="210"/>
      <c r="AF1844" s="210"/>
      <c r="AG1844" s="210"/>
      <c r="AH1844" s="210"/>
      <c r="AI1844" s="210"/>
      <c r="AJ1844" s="210"/>
    </row>
    <row r="1845" ht="14.25" customHeight="1">
      <c r="A1845" s="210"/>
      <c r="B1845" s="210"/>
      <c r="C1845" s="210"/>
      <c r="D1845" s="210"/>
      <c r="E1845" s="210"/>
      <c r="F1845" s="210"/>
      <c r="G1845" s="210"/>
      <c r="H1845" s="210"/>
      <c r="I1845" s="210"/>
      <c r="J1845" s="210"/>
      <c r="K1845" s="210"/>
      <c r="L1845" s="210"/>
      <c r="M1845" s="210"/>
      <c r="N1845" s="210"/>
      <c r="O1845" s="210"/>
      <c r="P1845" s="210"/>
      <c r="Q1845" s="210"/>
      <c r="R1845" s="210"/>
      <c r="S1845" s="210"/>
      <c r="T1845" s="210"/>
      <c r="U1845" s="210"/>
      <c r="V1845" s="210"/>
      <c r="W1845" s="210"/>
      <c r="X1845" s="210"/>
      <c r="Y1845" s="210"/>
      <c r="Z1845" s="210"/>
      <c r="AA1845" s="210"/>
      <c r="AB1845" s="210"/>
      <c r="AC1845" s="210"/>
      <c r="AD1845" s="210"/>
      <c r="AE1845" s="210"/>
      <c r="AF1845" s="210"/>
      <c r="AG1845" s="210"/>
      <c r="AH1845" s="210"/>
      <c r="AI1845" s="210"/>
      <c r="AJ1845" s="210"/>
    </row>
    <row r="1846" ht="14.25" customHeight="1">
      <c r="A1846" s="210"/>
      <c r="B1846" s="210"/>
      <c r="C1846" s="210"/>
      <c r="D1846" s="210"/>
      <c r="E1846" s="210"/>
      <c r="F1846" s="210"/>
      <c r="G1846" s="210"/>
      <c r="H1846" s="210"/>
      <c r="I1846" s="210"/>
      <c r="J1846" s="210"/>
      <c r="K1846" s="210"/>
      <c r="L1846" s="210"/>
      <c r="M1846" s="210"/>
      <c r="N1846" s="210"/>
      <c r="O1846" s="210"/>
      <c r="P1846" s="210"/>
      <c r="Q1846" s="210"/>
      <c r="R1846" s="210"/>
      <c r="S1846" s="210"/>
      <c r="T1846" s="210"/>
      <c r="U1846" s="210"/>
      <c r="V1846" s="210"/>
      <c r="W1846" s="210"/>
      <c r="X1846" s="210"/>
      <c r="Y1846" s="210"/>
      <c r="Z1846" s="210"/>
      <c r="AA1846" s="210"/>
      <c r="AB1846" s="210"/>
      <c r="AC1846" s="210"/>
      <c r="AD1846" s="210"/>
      <c r="AE1846" s="210"/>
      <c r="AF1846" s="210"/>
      <c r="AG1846" s="210"/>
      <c r="AH1846" s="210"/>
      <c r="AI1846" s="210"/>
      <c r="AJ1846" s="210"/>
    </row>
    <row r="1847" ht="14.25" customHeight="1">
      <c r="A1847" s="210"/>
      <c r="B1847" s="210"/>
      <c r="C1847" s="210"/>
      <c r="D1847" s="210"/>
      <c r="E1847" s="210"/>
      <c r="F1847" s="210"/>
      <c r="G1847" s="210"/>
      <c r="H1847" s="210"/>
      <c r="I1847" s="210"/>
      <c r="J1847" s="210"/>
      <c r="K1847" s="210"/>
      <c r="L1847" s="210"/>
      <c r="M1847" s="210"/>
      <c r="N1847" s="210"/>
      <c r="O1847" s="210"/>
      <c r="P1847" s="210"/>
      <c r="Q1847" s="210"/>
      <c r="R1847" s="210"/>
      <c r="S1847" s="210"/>
      <c r="T1847" s="210"/>
      <c r="U1847" s="210"/>
      <c r="V1847" s="210"/>
      <c r="W1847" s="210"/>
      <c r="X1847" s="210"/>
      <c r="Y1847" s="210"/>
      <c r="Z1847" s="210"/>
      <c r="AA1847" s="210"/>
      <c r="AB1847" s="210"/>
      <c r="AC1847" s="210"/>
      <c r="AD1847" s="210"/>
      <c r="AE1847" s="210"/>
      <c r="AF1847" s="210"/>
      <c r="AG1847" s="210"/>
      <c r="AH1847" s="210"/>
      <c r="AI1847" s="210"/>
      <c r="AJ1847" s="210"/>
    </row>
    <row r="1848" ht="14.25" customHeight="1">
      <c r="A1848" s="210"/>
      <c r="B1848" s="210"/>
      <c r="C1848" s="210"/>
      <c r="D1848" s="210"/>
      <c r="E1848" s="210"/>
      <c r="F1848" s="210"/>
      <c r="G1848" s="210"/>
      <c r="H1848" s="210"/>
      <c r="I1848" s="210"/>
      <c r="J1848" s="210"/>
      <c r="K1848" s="210"/>
      <c r="L1848" s="210"/>
      <c r="M1848" s="210"/>
      <c r="N1848" s="210"/>
      <c r="O1848" s="210"/>
      <c r="P1848" s="210"/>
      <c r="Q1848" s="210"/>
      <c r="R1848" s="210"/>
      <c r="S1848" s="210"/>
      <c r="T1848" s="210"/>
      <c r="U1848" s="210"/>
      <c r="V1848" s="210"/>
      <c r="W1848" s="210"/>
      <c r="X1848" s="210"/>
      <c r="Y1848" s="210"/>
      <c r="Z1848" s="210"/>
      <c r="AA1848" s="210"/>
      <c r="AB1848" s="210"/>
      <c r="AC1848" s="210"/>
      <c r="AD1848" s="210"/>
      <c r="AE1848" s="210"/>
      <c r="AF1848" s="210"/>
      <c r="AG1848" s="210"/>
      <c r="AH1848" s="210"/>
      <c r="AI1848" s="210"/>
      <c r="AJ1848" s="210"/>
    </row>
    <row r="1849" ht="14.25" customHeight="1">
      <c r="A1849" s="210"/>
      <c r="B1849" s="210"/>
      <c r="C1849" s="210"/>
      <c r="D1849" s="210"/>
      <c r="E1849" s="210"/>
      <c r="F1849" s="210"/>
      <c r="G1849" s="210"/>
      <c r="H1849" s="210"/>
      <c r="I1849" s="210"/>
      <c r="J1849" s="210"/>
      <c r="K1849" s="210"/>
      <c r="L1849" s="210"/>
      <c r="M1849" s="210"/>
      <c r="N1849" s="210"/>
      <c r="O1849" s="210"/>
      <c r="P1849" s="210"/>
      <c r="Q1849" s="210"/>
      <c r="R1849" s="210"/>
      <c r="S1849" s="210"/>
      <c r="T1849" s="210"/>
      <c r="U1849" s="210"/>
      <c r="V1849" s="210"/>
      <c r="W1849" s="210"/>
      <c r="X1849" s="210"/>
      <c r="Y1849" s="210"/>
      <c r="Z1849" s="210"/>
      <c r="AA1849" s="210"/>
      <c r="AB1849" s="210"/>
      <c r="AC1849" s="210"/>
      <c r="AD1849" s="210"/>
      <c r="AE1849" s="210"/>
      <c r="AF1849" s="210"/>
      <c r="AG1849" s="210"/>
      <c r="AH1849" s="210"/>
      <c r="AI1849" s="210"/>
      <c r="AJ1849" s="210"/>
    </row>
    <row r="1850" ht="14.25" customHeight="1">
      <c r="A1850" s="210"/>
      <c r="B1850" s="210"/>
      <c r="C1850" s="210"/>
      <c r="D1850" s="210"/>
      <c r="E1850" s="210"/>
      <c r="F1850" s="210"/>
      <c r="G1850" s="210"/>
      <c r="H1850" s="210"/>
      <c r="I1850" s="210"/>
      <c r="J1850" s="210"/>
      <c r="K1850" s="210"/>
      <c r="L1850" s="210"/>
      <c r="M1850" s="210"/>
      <c r="N1850" s="210"/>
      <c r="O1850" s="210"/>
      <c r="P1850" s="210"/>
      <c r="Q1850" s="210"/>
      <c r="R1850" s="210"/>
      <c r="S1850" s="210"/>
      <c r="T1850" s="210"/>
      <c r="U1850" s="210"/>
      <c r="V1850" s="210"/>
      <c r="W1850" s="210"/>
      <c r="X1850" s="210"/>
      <c r="Y1850" s="210"/>
      <c r="Z1850" s="210"/>
      <c r="AA1850" s="210"/>
      <c r="AB1850" s="210"/>
      <c r="AC1850" s="210"/>
      <c r="AD1850" s="210"/>
      <c r="AE1850" s="210"/>
      <c r="AF1850" s="210"/>
      <c r="AG1850" s="210"/>
      <c r="AH1850" s="210"/>
      <c r="AI1850" s="210"/>
      <c r="AJ1850" s="210"/>
    </row>
    <row r="1851" ht="14.25" customHeight="1">
      <c r="A1851" s="210"/>
      <c r="B1851" s="210"/>
      <c r="C1851" s="210"/>
      <c r="D1851" s="210"/>
      <c r="E1851" s="210"/>
      <c r="F1851" s="210"/>
      <c r="G1851" s="210"/>
      <c r="H1851" s="210"/>
      <c r="I1851" s="210"/>
      <c r="J1851" s="210"/>
      <c r="K1851" s="210"/>
      <c r="L1851" s="210"/>
      <c r="M1851" s="210"/>
      <c r="N1851" s="210"/>
      <c r="O1851" s="210"/>
      <c r="P1851" s="210"/>
      <c r="Q1851" s="210"/>
      <c r="R1851" s="210"/>
      <c r="S1851" s="210"/>
      <c r="T1851" s="210"/>
      <c r="U1851" s="210"/>
      <c r="V1851" s="210"/>
      <c r="W1851" s="210"/>
      <c r="X1851" s="210"/>
      <c r="Y1851" s="210"/>
      <c r="Z1851" s="210"/>
      <c r="AA1851" s="210"/>
      <c r="AB1851" s="210"/>
      <c r="AC1851" s="210"/>
      <c r="AD1851" s="210"/>
      <c r="AE1851" s="210"/>
      <c r="AF1851" s="210"/>
      <c r="AG1851" s="210"/>
      <c r="AH1851" s="210"/>
      <c r="AI1851" s="210"/>
      <c r="AJ1851" s="210"/>
    </row>
    <row r="1852" ht="14.25" customHeight="1">
      <c r="A1852" s="210"/>
      <c r="B1852" s="210"/>
      <c r="C1852" s="210"/>
      <c r="D1852" s="210"/>
      <c r="E1852" s="210"/>
      <c r="F1852" s="210"/>
      <c r="G1852" s="210"/>
      <c r="H1852" s="210"/>
      <c r="I1852" s="210"/>
      <c r="J1852" s="210"/>
      <c r="K1852" s="210"/>
      <c r="L1852" s="210"/>
      <c r="M1852" s="210"/>
      <c r="N1852" s="210"/>
      <c r="O1852" s="210"/>
      <c r="P1852" s="210"/>
      <c r="Q1852" s="210"/>
      <c r="R1852" s="210"/>
      <c r="S1852" s="210"/>
      <c r="T1852" s="210"/>
      <c r="U1852" s="210"/>
      <c r="V1852" s="210"/>
      <c r="W1852" s="210"/>
      <c r="X1852" s="210"/>
      <c r="Y1852" s="210"/>
      <c r="Z1852" s="210"/>
      <c r="AA1852" s="210"/>
      <c r="AB1852" s="210"/>
      <c r="AC1852" s="210"/>
      <c r="AD1852" s="210"/>
      <c r="AE1852" s="210"/>
      <c r="AF1852" s="210"/>
      <c r="AG1852" s="210"/>
      <c r="AH1852" s="210"/>
      <c r="AI1852" s="210"/>
      <c r="AJ1852" s="210"/>
    </row>
    <row r="1853" ht="14.25" customHeight="1">
      <c r="A1853" s="210"/>
      <c r="B1853" s="210"/>
      <c r="C1853" s="210"/>
      <c r="D1853" s="210"/>
      <c r="E1853" s="210"/>
      <c r="F1853" s="210"/>
      <c r="G1853" s="210"/>
      <c r="H1853" s="210"/>
      <c r="I1853" s="210"/>
      <c r="J1853" s="210"/>
      <c r="K1853" s="210"/>
      <c r="L1853" s="210"/>
      <c r="M1853" s="210"/>
      <c r="N1853" s="210"/>
      <c r="O1853" s="210"/>
      <c r="P1853" s="210"/>
      <c r="Q1853" s="210"/>
      <c r="R1853" s="210"/>
      <c r="S1853" s="210"/>
      <c r="T1853" s="210"/>
      <c r="U1853" s="210"/>
      <c r="V1853" s="210"/>
      <c r="W1853" s="210"/>
      <c r="X1853" s="210"/>
      <c r="Y1853" s="210"/>
      <c r="Z1853" s="210"/>
      <c r="AA1853" s="210"/>
      <c r="AB1853" s="210"/>
      <c r="AC1853" s="210"/>
      <c r="AD1853" s="210"/>
      <c r="AE1853" s="210"/>
      <c r="AF1853" s="210"/>
      <c r="AG1853" s="210"/>
      <c r="AH1853" s="210"/>
      <c r="AI1853" s="210"/>
      <c r="AJ1853" s="210"/>
    </row>
    <row r="1854" ht="14.25" customHeight="1">
      <c r="A1854" s="210"/>
      <c r="B1854" s="210"/>
      <c r="C1854" s="210"/>
      <c r="D1854" s="210"/>
      <c r="E1854" s="210"/>
      <c r="F1854" s="210"/>
      <c r="G1854" s="210"/>
      <c r="H1854" s="210"/>
      <c r="I1854" s="210"/>
      <c r="J1854" s="210"/>
      <c r="K1854" s="210"/>
      <c r="L1854" s="210"/>
      <c r="M1854" s="210"/>
      <c r="N1854" s="210"/>
      <c r="O1854" s="210"/>
      <c r="P1854" s="210"/>
      <c r="Q1854" s="210"/>
      <c r="R1854" s="210"/>
      <c r="S1854" s="210"/>
      <c r="T1854" s="210"/>
      <c r="U1854" s="210"/>
      <c r="V1854" s="210"/>
      <c r="W1854" s="210"/>
      <c r="X1854" s="210"/>
      <c r="Y1854" s="210"/>
      <c r="Z1854" s="210"/>
      <c r="AA1854" s="210"/>
      <c r="AB1854" s="210"/>
      <c r="AC1854" s="210"/>
      <c r="AD1854" s="210"/>
      <c r="AE1854" s="210"/>
      <c r="AF1854" s="210"/>
      <c r="AG1854" s="210"/>
      <c r="AH1854" s="210"/>
      <c r="AI1854" s="210"/>
      <c r="AJ1854" s="210"/>
    </row>
    <row r="1855" ht="14.25" customHeight="1">
      <c r="A1855" s="210"/>
      <c r="B1855" s="210"/>
      <c r="C1855" s="210"/>
      <c r="D1855" s="210"/>
      <c r="E1855" s="210"/>
      <c r="F1855" s="210"/>
      <c r="G1855" s="210"/>
      <c r="H1855" s="210"/>
      <c r="I1855" s="210"/>
      <c r="J1855" s="210"/>
      <c r="K1855" s="210"/>
      <c r="L1855" s="210"/>
      <c r="M1855" s="210"/>
      <c r="N1855" s="210"/>
      <c r="O1855" s="210"/>
      <c r="P1855" s="210"/>
      <c r="Q1855" s="210"/>
      <c r="R1855" s="210"/>
      <c r="S1855" s="210"/>
      <c r="T1855" s="210"/>
      <c r="U1855" s="210"/>
      <c r="V1855" s="210"/>
      <c r="W1855" s="210"/>
      <c r="X1855" s="210"/>
      <c r="Y1855" s="210"/>
      <c r="Z1855" s="210"/>
      <c r="AA1855" s="210"/>
      <c r="AB1855" s="210"/>
      <c r="AC1855" s="210"/>
      <c r="AD1855" s="210"/>
      <c r="AE1855" s="210"/>
      <c r="AF1855" s="210"/>
      <c r="AG1855" s="210"/>
      <c r="AH1855" s="210"/>
      <c r="AI1855" s="210"/>
      <c r="AJ1855" s="210"/>
    </row>
    <row r="1856" ht="14.25" customHeight="1">
      <c r="A1856" s="210"/>
      <c r="B1856" s="210"/>
      <c r="C1856" s="210"/>
      <c r="D1856" s="210"/>
      <c r="E1856" s="210"/>
      <c r="F1856" s="210"/>
      <c r="G1856" s="210"/>
      <c r="H1856" s="210"/>
      <c r="I1856" s="210"/>
      <c r="J1856" s="210"/>
      <c r="K1856" s="210"/>
      <c r="L1856" s="210"/>
      <c r="M1856" s="210"/>
      <c r="N1856" s="210"/>
      <c r="O1856" s="210"/>
      <c r="P1856" s="210"/>
      <c r="Q1856" s="210"/>
      <c r="R1856" s="210"/>
      <c r="S1856" s="210"/>
      <c r="T1856" s="210"/>
      <c r="U1856" s="210"/>
      <c r="V1856" s="210"/>
      <c r="W1856" s="210"/>
      <c r="X1856" s="210"/>
      <c r="Y1856" s="210"/>
      <c r="Z1856" s="210"/>
      <c r="AA1856" s="210"/>
      <c r="AB1856" s="210"/>
      <c r="AC1856" s="210"/>
      <c r="AD1856" s="210"/>
      <c r="AE1856" s="210"/>
      <c r="AF1856" s="210"/>
      <c r="AG1856" s="210"/>
      <c r="AH1856" s="210"/>
      <c r="AI1856" s="210"/>
      <c r="AJ1856" s="210"/>
    </row>
    <row r="1857" ht="14.25" customHeight="1">
      <c r="A1857" s="210"/>
      <c r="B1857" s="210"/>
      <c r="C1857" s="210"/>
      <c r="D1857" s="210"/>
      <c r="E1857" s="210"/>
      <c r="F1857" s="210"/>
      <c r="G1857" s="210"/>
      <c r="H1857" s="210"/>
      <c r="I1857" s="210"/>
      <c r="J1857" s="210"/>
      <c r="K1857" s="210"/>
      <c r="L1857" s="210"/>
      <c r="M1857" s="210"/>
      <c r="N1857" s="210"/>
      <c r="O1857" s="210"/>
      <c r="P1857" s="210"/>
      <c r="Q1857" s="210"/>
      <c r="R1857" s="210"/>
      <c r="S1857" s="210"/>
      <c r="T1857" s="210"/>
      <c r="U1857" s="210"/>
      <c r="V1857" s="210"/>
      <c r="W1857" s="210"/>
      <c r="X1857" s="210"/>
      <c r="Y1857" s="210"/>
      <c r="Z1857" s="210"/>
      <c r="AA1857" s="210"/>
      <c r="AB1857" s="210"/>
      <c r="AC1857" s="210"/>
      <c r="AD1857" s="210"/>
      <c r="AE1857" s="210"/>
      <c r="AF1857" s="210"/>
      <c r="AG1857" s="210"/>
      <c r="AH1857" s="210"/>
      <c r="AI1857" s="210"/>
      <c r="AJ1857" s="210"/>
    </row>
    <row r="1858" ht="14.25" customHeight="1">
      <c r="A1858" s="210"/>
      <c r="B1858" s="210"/>
      <c r="C1858" s="210"/>
      <c r="D1858" s="210"/>
      <c r="E1858" s="210"/>
      <c r="F1858" s="210"/>
      <c r="G1858" s="210"/>
      <c r="H1858" s="210"/>
      <c r="I1858" s="210"/>
      <c r="J1858" s="210"/>
      <c r="K1858" s="210"/>
      <c r="L1858" s="210"/>
      <c r="M1858" s="210"/>
      <c r="N1858" s="210"/>
      <c r="O1858" s="210"/>
      <c r="P1858" s="210"/>
      <c r="Q1858" s="210"/>
      <c r="R1858" s="210"/>
      <c r="S1858" s="210"/>
      <c r="T1858" s="210"/>
      <c r="U1858" s="210"/>
      <c r="V1858" s="210"/>
      <c r="W1858" s="210"/>
      <c r="X1858" s="210"/>
      <c r="Y1858" s="210"/>
      <c r="Z1858" s="210"/>
      <c r="AA1858" s="210"/>
      <c r="AB1858" s="210"/>
      <c r="AC1858" s="210"/>
      <c r="AD1858" s="210"/>
      <c r="AE1858" s="210"/>
      <c r="AF1858" s="210"/>
      <c r="AG1858" s="210"/>
      <c r="AH1858" s="210"/>
      <c r="AI1858" s="210"/>
      <c r="AJ1858" s="210"/>
    </row>
    <row r="1859" ht="14.25" customHeight="1">
      <c r="A1859" s="210"/>
      <c r="B1859" s="210"/>
      <c r="C1859" s="210"/>
      <c r="D1859" s="210"/>
      <c r="E1859" s="210"/>
      <c r="F1859" s="210"/>
      <c r="G1859" s="210"/>
      <c r="H1859" s="210"/>
      <c r="I1859" s="210"/>
      <c r="J1859" s="210"/>
      <c r="K1859" s="210"/>
      <c r="L1859" s="210"/>
      <c r="M1859" s="210"/>
      <c r="N1859" s="210"/>
      <c r="O1859" s="210"/>
      <c r="P1859" s="210"/>
      <c r="Q1859" s="210"/>
      <c r="R1859" s="210"/>
      <c r="S1859" s="210"/>
      <c r="T1859" s="210"/>
      <c r="U1859" s="210"/>
      <c r="V1859" s="210"/>
      <c r="W1859" s="210"/>
      <c r="X1859" s="210"/>
      <c r="Y1859" s="210"/>
      <c r="Z1859" s="210"/>
      <c r="AA1859" s="210"/>
      <c r="AB1859" s="210"/>
      <c r="AC1859" s="210"/>
      <c r="AD1859" s="210"/>
      <c r="AE1859" s="210"/>
      <c r="AF1859" s="210"/>
      <c r="AG1859" s="210"/>
      <c r="AH1859" s="210"/>
      <c r="AI1859" s="210"/>
      <c r="AJ1859" s="210"/>
    </row>
    <row r="1860" ht="14.25" customHeight="1">
      <c r="A1860" s="210"/>
      <c r="B1860" s="210"/>
      <c r="C1860" s="210"/>
      <c r="D1860" s="210"/>
      <c r="E1860" s="210"/>
      <c r="F1860" s="210"/>
      <c r="G1860" s="210"/>
      <c r="H1860" s="210"/>
      <c r="I1860" s="210"/>
      <c r="J1860" s="210"/>
      <c r="K1860" s="210"/>
      <c r="L1860" s="210"/>
      <c r="M1860" s="210"/>
      <c r="N1860" s="210"/>
      <c r="O1860" s="210"/>
      <c r="P1860" s="210"/>
      <c r="Q1860" s="210"/>
      <c r="R1860" s="210"/>
      <c r="S1860" s="210"/>
      <c r="T1860" s="210"/>
      <c r="U1860" s="210"/>
      <c r="V1860" s="210"/>
      <c r="W1860" s="210"/>
      <c r="X1860" s="210"/>
      <c r="Y1860" s="210"/>
      <c r="Z1860" s="210"/>
      <c r="AA1860" s="210"/>
      <c r="AB1860" s="210"/>
      <c r="AC1860" s="210"/>
      <c r="AD1860" s="210"/>
      <c r="AE1860" s="210"/>
      <c r="AF1860" s="210"/>
      <c r="AG1860" s="210"/>
      <c r="AH1860" s="210"/>
      <c r="AI1860" s="210"/>
      <c r="AJ1860" s="210"/>
    </row>
    <row r="1861" ht="14.25" customHeight="1">
      <c r="A1861" s="210"/>
      <c r="B1861" s="210"/>
      <c r="C1861" s="210"/>
      <c r="D1861" s="210"/>
      <c r="E1861" s="210"/>
      <c r="F1861" s="210"/>
      <c r="G1861" s="210"/>
      <c r="H1861" s="210"/>
      <c r="I1861" s="210"/>
      <c r="J1861" s="210"/>
      <c r="K1861" s="210"/>
      <c r="L1861" s="210"/>
      <c r="M1861" s="210"/>
      <c r="N1861" s="210"/>
      <c r="O1861" s="210"/>
      <c r="P1861" s="210"/>
      <c r="Q1861" s="210"/>
      <c r="R1861" s="210"/>
      <c r="S1861" s="210"/>
      <c r="T1861" s="210"/>
      <c r="U1861" s="210"/>
      <c r="V1861" s="210"/>
      <c r="W1861" s="210"/>
      <c r="X1861" s="210"/>
      <c r="Y1861" s="210"/>
      <c r="Z1861" s="210"/>
      <c r="AA1861" s="210"/>
      <c r="AB1861" s="210"/>
      <c r="AC1861" s="210"/>
      <c r="AD1861" s="210"/>
      <c r="AE1861" s="210"/>
      <c r="AF1861" s="210"/>
      <c r="AG1861" s="210"/>
      <c r="AH1861" s="210"/>
      <c r="AI1861" s="210"/>
      <c r="AJ1861" s="210"/>
    </row>
    <row r="1862" ht="14.25" customHeight="1">
      <c r="A1862" s="210"/>
      <c r="B1862" s="210"/>
      <c r="C1862" s="210"/>
      <c r="D1862" s="210"/>
      <c r="E1862" s="210"/>
      <c r="F1862" s="210"/>
      <c r="G1862" s="210"/>
      <c r="H1862" s="210"/>
      <c r="I1862" s="210"/>
      <c r="J1862" s="210"/>
      <c r="K1862" s="210"/>
      <c r="L1862" s="210"/>
      <c r="M1862" s="210"/>
      <c r="N1862" s="210"/>
      <c r="O1862" s="210"/>
      <c r="P1862" s="210"/>
      <c r="Q1862" s="210"/>
      <c r="R1862" s="210"/>
      <c r="S1862" s="210"/>
      <c r="T1862" s="210"/>
      <c r="U1862" s="210"/>
      <c r="V1862" s="210"/>
      <c r="W1862" s="210"/>
      <c r="X1862" s="210"/>
      <c r="Y1862" s="210"/>
      <c r="Z1862" s="210"/>
      <c r="AA1862" s="210"/>
      <c r="AB1862" s="210"/>
      <c r="AC1862" s="210"/>
      <c r="AD1862" s="210"/>
      <c r="AE1862" s="210"/>
      <c r="AF1862" s="210"/>
      <c r="AG1862" s="210"/>
      <c r="AH1862" s="210"/>
      <c r="AI1862" s="210"/>
      <c r="AJ1862" s="210"/>
    </row>
    <row r="1863" ht="14.25" customHeight="1">
      <c r="A1863" s="210"/>
      <c r="B1863" s="210"/>
      <c r="C1863" s="210"/>
      <c r="D1863" s="210"/>
      <c r="E1863" s="210"/>
      <c r="F1863" s="210"/>
      <c r="G1863" s="210"/>
      <c r="H1863" s="210"/>
      <c r="I1863" s="210"/>
      <c r="J1863" s="210"/>
      <c r="K1863" s="210"/>
      <c r="L1863" s="210"/>
      <c r="M1863" s="210"/>
      <c r="N1863" s="210"/>
      <c r="O1863" s="210"/>
      <c r="P1863" s="210"/>
      <c r="Q1863" s="210"/>
      <c r="R1863" s="210"/>
      <c r="S1863" s="210"/>
      <c r="T1863" s="210"/>
      <c r="U1863" s="210"/>
      <c r="V1863" s="210"/>
      <c r="W1863" s="210"/>
      <c r="X1863" s="210"/>
      <c r="Y1863" s="210"/>
      <c r="Z1863" s="210"/>
      <c r="AA1863" s="210"/>
      <c r="AB1863" s="210"/>
      <c r="AC1863" s="210"/>
      <c r="AD1863" s="210"/>
      <c r="AE1863" s="210"/>
      <c r="AF1863" s="210"/>
      <c r="AG1863" s="210"/>
      <c r="AH1863" s="210"/>
      <c r="AI1863" s="210"/>
      <c r="AJ1863" s="210"/>
    </row>
    <row r="1864" ht="14.25" customHeight="1">
      <c r="A1864" s="210"/>
      <c r="B1864" s="210"/>
      <c r="C1864" s="210"/>
      <c r="D1864" s="210"/>
      <c r="E1864" s="210"/>
      <c r="F1864" s="210"/>
      <c r="G1864" s="210"/>
      <c r="H1864" s="210"/>
      <c r="I1864" s="210"/>
      <c r="J1864" s="210"/>
      <c r="K1864" s="210"/>
      <c r="L1864" s="210"/>
      <c r="M1864" s="210"/>
      <c r="N1864" s="210"/>
      <c r="O1864" s="210"/>
      <c r="P1864" s="210"/>
      <c r="Q1864" s="210"/>
      <c r="R1864" s="210"/>
      <c r="S1864" s="210"/>
      <c r="T1864" s="210"/>
      <c r="U1864" s="210"/>
      <c r="V1864" s="210"/>
      <c r="W1864" s="210"/>
      <c r="X1864" s="210"/>
      <c r="Y1864" s="210"/>
      <c r="Z1864" s="210"/>
      <c r="AA1864" s="210"/>
      <c r="AB1864" s="210"/>
      <c r="AC1864" s="210"/>
      <c r="AD1864" s="210"/>
      <c r="AE1864" s="210"/>
      <c r="AF1864" s="210"/>
      <c r="AG1864" s="210"/>
      <c r="AH1864" s="210"/>
      <c r="AI1864" s="210"/>
      <c r="AJ1864" s="210"/>
    </row>
    <row r="1865" ht="14.25" customHeight="1">
      <c r="A1865" s="210"/>
      <c r="B1865" s="210"/>
      <c r="C1865" s="210"/>
      <c r="D1865" s="210"/>
      <c r="E1865" s="210"/>
      <c r="F1865" s="210"/>
      <c r="G1865" s="210"/>
      <c r="H1865" s="210"/>
      <c r="I1865" s="210"/>
      <c r="J1865" s="210"/>
      <c r="K1865" s="210"/>
      <c r="L1865" s="210"/>
      <c r="M1865" s="210"/>
      <c r="N1865" s="210"/>
      <c r="O1865" s="210"/>
      <c r="P1865" s="210"/>
      <c r="Q1865" s="210"/>
      <c r="R1865" s="210"/>
      <c r="S1865" s="210"/>
      <c r="T1865" s="210"/>
      <c r="U1865" s="210"/>
      <c r="V1865" s="210"/>
      <c r="W1865" s="210"/>
      <c r="X1865" s="210"/>
      <c r="Y1865" s="210"/>
      <c r="Z1865" s="210"/>
      <c r="AA1865" s="210"/>
      <c r="AB1865" s="210"/>
      <c r="AC1865" s="210"/>
      <c r="AD1865" s="210"/>
      <c r="AE1865" s="210"/>
      <c r="AF1865" s="210"/>
      <c r="AG1865" s="210"/>
      <c r="AH1865" s="210"/>
      <c r="AI1865" s="210"/>
      <c r="AJ1865" s="210"/>
    </row>
    <row r="1866" ht="14.25" customHeight="1">
      <c r="A1866" s="210"/>
      <c r="B1866" s="210"/>
      <c r="C1866" s="210"/>
      <c r="D1866" s="210"/>
      <c r="E1866" s="210"/>
      <c r="F1866" s="210"/>
      <c r="G1866" s="210"/>
      <c r="H1866" s="210"/>
      <c r="I1866" s="210"/>
      <c r="J1866" s="210"/>
      <c r="K1866" s="210"/>
      <c r="L1866" s="210"/>
      <c r="M1866" s="210"/>
      <c r="N1866" s="210"/>
      <c r="O1866" s="210"/>
      <c r="P1866" s="210"/>
      <c r="Q1866" s="210"/>
      <c r="R1866" s="210"/>
      <c r="S1866" s="210"/>
      <c r="T1866" s="210"/>
      <c r="U1866" s="210"/>
      <c r="V1866" s="210"/>
      <c r="W1866" s="210"/>
      <c r="X1866" s="210"/>
      <c r="Y1866" s="210"/>
      <c r="Z1866" s="210"/>
      <c r="AA1866" s="210"/>
      <c r="AB1866" s="210"/>
      <c r="AC1866" s="210"/>
      <c r="AD1866" s="210"/>
      <c r="AE1866" s="210"/>
      <c r="AF1866" s="210"/>
      <c r="AG1866" s="210"/>
      <c r="AH1866" s="210"/>
      <c r="AI1866" s="210"/>
      <c r="AJ1866" s="210"/>
    </row>
    <row r="1867" ht="14.25" customHeight="1">
      <c r="A1867" s="210"/>
      <c r="B1867" s="210"/>
      <c r="C1867" s="210"/>
      <c r="D1867" s="210"/>
      <c r="E1867" s="210"/>
      <c r="F1867" s="210"/>
      <c r="G1867" s="210"/>
      <c r="H1867" s="210"/>
      <c r="I1867" s="210"/>
      <c r="J1867" s="210"/>
      <c r="K1867" s="210"/>
      <c r="L1867" s="210"/>
      <c r="M1867" s="210"/>
      <c r="N1867" s="210"/>
      <c r="O1867" s="210"/>
      <c r="P1867" s="210"/>
      <c r="Q1867" s="210"/>
      <c r="R1867" s="210"/>
      <c r="S1867" s="210"/>
      <c r="T1867" s="210"/>
      <c r="U1867" s="210"/>
      <c r="V1867" s="210"/>
      <c r="W1867" s="210"/>
      <c r="X1867" s="210"/>
      <c r="Y1867" s="210"/>
      <c r="Z1867" s="210"/>
      <c r="AA1867" s="210"/>
      <c r="AB1867" s="210"/>
      <c r="AC1867" s="210"/>
      <c r="AD1867" s="210"/>
      <c r="AE1867" s="210"/>
      <c r="AF1867" s="210"/>
      <c r="AG1867" s="210"/>
      <c r="AH1867" s="210"/>
      <c r="AI1867" s="210"/>
      <c r="AJ1867" s="210"/>
    </row>
    <row r="1868" ht="14.25" customHeight="1">
      <c r="A1868" s="210"/>
      <c r="B1868" s="210"/>
      <c r="C1868" s="210"/>
      <c r="D1868" s="210"/>
      <c r="E1868" s="210"/>
      <c r="F1868" s="210"/>
      <c r="G1868" s="210"/>
      <c r="H1868" s="210"/>
      <c r="I1868" s="210"/>
      <c r="J1868" s="210"/>
      <c r="K1868" s="210"/>
      <c r="L1868" s="210"/>
      <c r="M1868" s="210"/>
      <c r="N1868" s="210"/>
      <c r="O1868" s="210"/>
      <c r="P1868" s="210"/>
      <c r="Q1868" s="210"/>
      <c r="R1868" s="210"/>
      <c r="S1868" s="210"/>
      <c r="T1868" s="210"/>
      <c r="U1868" s="210"/>
      <c r="V1868" s="210"/>
      <c r="W1868" s="210"/>
      <c r="X1868" s="210"/>
      <c r="Y1868" s="210"/>
      <c r="Z1868" s="210"/>
      <c r="AA1868" s="210"/>
      <c r="AB1868" s="210"/>
      <c r="AC1868" s="210"/>
      <c r="AD1868" s="210"/>
      <c r="AE1868" s="210"/>
      <c r="AF1868" s="210"/>
      <c r="AG1868" s="210"/>
      <c r="AH1868" s="210"/>
      <c r="AI1868" s="210"/>
      <c r="AJ1868" s="210"/>
    </row>
    <row r="1869" ht="14.25" customHeight="1">
      <c r="A1869" s="210"/>
      <c r="B1869" s="210"/>
      <c r="C1869" s="210"/>
      <c r="D1869" s="210"/>
      <c r="E1869" s="210"/>
      <c r="F1869" s="210"/>
      <c r="G1869" s="210"/>
      <c r="H1869" s="210"/>
      <c r="I1869" s="210"/>
      <c r="J1869" s="210"/>
      <c r="K1869" s="210"/>
      <c r="L1869" s="210"/>
      <c r="M1869" s="210"/>
      <c r="N1869" s="210"/>
      <c r="O1869" s="210"/>
      <c r="P1869" s="210"/>
      <c r="Q1869" s="210"/>
      <c r="R1869" s="210"/>
      <c r="S1869" s="210"/>
      <c r="T1869" s="210"/>
      <c r="U1869" s="210"/>
      <c r="V1869" s="210"/>
      <c r="W1869" s="210"/>
      <c r="X1869" s="210"/>
      <c r="Y1869" s="210"/>
      <c r="Z1869" s="210"/>
      <c r="AA1869" s="210"/>
      <c r="AB1869" s="210"/>
      <c r="AC1869" s="210"/>
      <c r="AD1869" s="210"/>
      <c r="AE1869" s="210"/>
      <c r="AF1869" s="210"/>
      <c r="AG1869" s="210"/>
      <c r="AH1869" s="210"/>
      <c r="AI1869" s="210"/>
      <c r="AJ1869" s="210"/>
    </row>
    <row r="1870" ht="14.25" customHeight="1">
      <c r="A1870" s="210"/>
      <c r="B1870" s="210"/>
      <c r="C1870" s="210"/>
      <c r="D1870" s="210"/>
      <c r="E1870" s="210"/>
      <c r="F1870" s="210"/>
      <c r="G1870" s="210"/>
      <c r="H1870" s="210"/>
      <c r="I1870" s="210"/>
      <c r="J1870" s="210"/>
      <c r="K1870" s="210"/>
      <c r="L1870" s="210"/>
      <c r="M1870" s="210"/>
      <c r="N1870" s="210"/>
      <c r="O1870" s="210"/>
      <c r="P1870" s="210"/>
      <c r="Q1870" s="210"/>
      <c r="R1870" s="210"/>
      <c r="S1870" s="210"/>
      <c r="T1870" s="210"/>
      <c r="U1870" s="210"/>
      <c r="V1870" s="210"/>
      <c r="W1870" s="210"/>
      <c r="X1870" s="210"/>
      <c r="Y1870" s="210"/>
      <c r="Z1870" s="210"/>
      <c r="AA1870" s="210"/>
      <c r="AB1870" s="210"/>
      <c r="AC1870" s="210"/>
      <c r="AD1870" s="210"/>
      <c r="AE1870" s="210"/>
      <c r="AF1870" s="210"/>
      <c r="AG1870" s="210"/>
      <c r="AH1870" s="210"/>
      <c r="AI1870" s="210"/>
      <c r="AJ1870" s="210"/>
    </row>
    <row r="1871" ht="14.25" customHeight="1">
      <c r="A1871" s="210"/>
      <c r="B1871" s="210"/>
      <c r="C1871" s="210"/>
      <c r="D1871" s="210"/>
      <c r="E1871" s="210"/>
      <c r="F1871" s="210"/>
      <c r="G1871" s="210"/>
      <c r="H1871" s="210"/>
      <c r="I1871" s="210"/>
      <c r="J1871" s="210"/>
      <c r="K1871" s="210"/>
      <c r="L1871" s="210"/>
      <c r="M1871" s="210"/>
      <c r="N1871" s="210"/>
      <c r="O1871" s="210"/>
      <c r="P1871" s="210"/>
      <c r="Q1871" s="210"/>
      <c r="R1871" s="210"/>
      <c r="S1871" s="210"/>
      <c r="T1871" s="210"/>
      <c r="U1871" s="210"/>
      <c r="V1871" s="210"/>
      <c r="W1871" s="210"/>
      <c r="X1871" s="210"/>
      <c r="Y1871" s="210"/>
      <c r="Z1871" s="210"/>
      <c r="AA1871" s="210"/>
      <c r="AB1871" s="210"/>
      <c r="AC1871" s="210"/>
      <c r="AD1871" s="210"/>
      <c r="AE1871" s="210"/>
      <c r="AF1871" s="210"/>
      <c r="AG1871" s="210"/>
      <c r="AH1871" s="210"/>
      <c r="AI1871" s="210"/>
      <c r="AJ1871" s="210"/>
    </row>
    <row r="1872" ht="14.25" customHeight="1">
      <c r="A1872" s="210"/>
      <c r="B1872" s="210"/>
      <c r="C1872" s="210"/>
      <c r="D1872" s="210"/>
      <c r="E1872" s="210"/>
      <c r="F1872" s="210"/>
      <c r="G1872" s="210"/>
      <c r="H1872" s="210"/>
      <c r="I1872" s="210"/>
      <c r="J1872" s="210"/>
      <c r="K1872" s="210"/>
      <c r="L1872" s="210"/>
      <c r="M1872" s="210"/>
      <c r="N1872" s="210"/>
      <c r="O1872" s="210"/>
      <c r="P1872" s="210"/>
      <c r="Q1872" s="210"/>
      <c r="R1872" s="210"/>
      <c r="S1872" s="210"/>
      <c r="T1872" s="210"/>
      <c r="U1872" s="210"/>
      <c r="V1872" s="210"/>
      <c r="W1872" s="210"/>
      <c r="X1872" s="210"/>
      <c r="Y1872" s="210"/>
      <c r="Z1872" s="210"/>
      <c r="AA1872" s="210"/>
      <c r="AB1872" s="210"/>
      <c r="AC1872" s="210"/>
      <c r="AD1872" s="210"/>
      <c r="AE1872" s="210"/>
      <c r="AF1872" s="210"/>
      <c r="AG1872" s="210"/>
      <c r="AH1872" s="210"/>
      <c r="AI1872" s="210"/>
      <c r="AJ1872" s="210"/>
    </row>
    <row r="1873" ht="14.25" customHeight="1">
      <c r="A1873" s="210"/>
      <c r="B1873" s="210"/>
      <c r="C1873" s="210"/>
      <c r="D1873" s="210"/>
      <c r="E1873" s="210"/>
      <c r="F1873" s="210"/>
      <c r="G1873" s="210"/>
      <c r="H1873" s="210"/>
      <c r="I1873" s="210"/>
      <c r="J1873" s="210"/>
      <c r="K1873" s="210"/>
      <c r="L1873" s="210"/>
      <c r="M1873" s="210"/>
      <c r="N1873" s="210"/>
      <c r="O1873" s="210"/>
      <c r="P1873" s="210"/>
      <c r="Q1873" s="210"/>
      <c r="R1873" s="210"/>
      <c r="S1873" s="210"/>
      <c r="T1873" s="210"/>
      <c r="U1873" s="210"/>
      <c r="V1873" s="210"/>
      <c r="W1873" s="210"/>
      <c r="X1873" s="210"/>
      <c r="Y1873" s="210"/>
      <c r="Z1873" s="210"/>
      <c r="AA1873" s="210"/>
      <c r="AB1873" s="210"/>
      <c r="AC1873" s="210"/>
      <c r="AD1873" s="210"/>
      <c r="AE1873" s="210"/>
      <c r="AF1873" s="210"/>
      <c r="AG1873" s="210"/>
      <c r="AH1873" s="210"/>
      <c r="AI1873" s="210"/>
      <c r="AJ1873" s="210"/>
    </row>
    <row r="1874" ht="14.25" customHeight="1">
      <c r="A1874" s="210"/>
      <c r="B1874" s="210"/>
      <c r="C1874" s="210"/>
      <c r="D1874" s="210"/>
      <c r="E1874" s="210"/>
      <c r="F1874" s="210"/>
      <c r="G1874" s="210"/>
      <c r="H1874" s="210"/>
      <c r="I1874" s="210"/>
      <c r="J1874" s="210"/>
      <c r="K1874" s="210"/>
      <c r="L1874" s="210"/>
      <c r="M1874" s="210"/>
      <c r="N1874" s="210"/>
      <c r="O1874" s="210"/>
      <c r="P1874" s="210"/>
      <c r="Q1874" s="210"/>
      <c r="R1874" s="210"/>
      <c r="S1874" s="210"/>
      <c r="T1874" s="210"/>
      <c r="U1874" s="210"/>
      <c r="V1874" s="210"/>
      <c r="W1874" s="210"/>
      <c r="X1874" s="210"/>
      <c r="Y1874" s="210"/>
      <c r="Z1874" s="210"/>
      <c r="AA1874" s="210"/>
      <c r="AB1874" s="210"/>
      <c r="AC1874" s="210"/>
      <c r="AD1874" s="210"/>
      <c r="AE1874" s="210"/>
      <c r="AF1874" s="210"/>
      <c r="AG1874" s="210"/>
      <c r="AH1874" s="210"/>
      <c r="AI1874" s="210"/>
      <c r="AJ1874" s="210"/>
    </row>
    <row r="1875" ht="14.25" customHeight="1">
      <c r="A1875" s="210"/>
      <c r="B1875" s="210"/>
      <c r="C1875" s="210"/>
      <c r="D1875" s="210"/>
      <c r="E1875" s="210"/>
      <c r="F1875" s="210"/>
      <c r="G1875" s="210"/>
      <c r="H1875" s="210"/>
      <c r="I1875" s="210"/>
      <c r="J1875" s="210"/>
      <c r="K1875" s="210"/>
      <c r="L1875" s="210"/>
      <c r="M1875" s="210"/>
      <c r="N1875" s="210"/>
      <c r="O1875" s="210"/>
      <c r="P1875" s="210"/>
      <c r="Q1875" s="210"/>
      <c r="R1875" s="210"/>
      <c r="S1875" s="210"/>
      <c r="T1875" s="210"/>
      <c r="U1875" s="210"/>
      <c r="V1875" s="210"/>
      <c r="W1875" s="210"/>
      <c r="X1875" s="210"/>
      <c r="Y1875" s="210"/>
      <c r="Z1875" s="210"/>
      <c r="AA1875" s="210"/>
      <c r="AB1875" s="210"/>
      <c r="AC1875" s="210"/>
      <c r="AD1875" s="210"/>
      <c r="AE1875" s="210"/>
      <c r="AF1875" s="210"/>
      <c r="AG1875" s="210"/>
      <c r="AH1875" s="210"/>
      <c r="AI1875" s="210"/>
      <c r="AJ1875" s="210"/>
    </row>
    <row r="1876" ht="14.25" customHeight="1">
      <c r="A1876" s="210"/>
      <c r="B1876" s="210"/>
      <c r="C1876" s="210"/>
      <c r="D1876" s="210"/>
      <c r="E1876" s="210"/>
      <c r="F1876" s="210"/>
      <c r="G1876" s="210"/>
      <c r="H1876" s="210"/>
      <c r="I1876" s="210"/>
      <c r="J1876" s="210"/>
      <c r="K1876" s="210"/>
      <c r="L1876" s="210"/>
      <c r="M1876" s="210"/>
      <c r="N1876" s="210"/>
      <c r="O1876" s="210"/>
      <c r="P1876" s="210"/>
      <c r="Q1876" s="210"/>
      <c r="R1876" s="210"/>
      <c r="S1876" s="210"/>
      <c r="T1876" s="210"/>
      <c r="U1876" s="210"/>
      <c r="V1876" s="210"/>
      <c r="W1876" s="210"/>
      <c r="X1876" s="210"/>
      <c r="Y1876" s="210"/>
      <c r="Z1876" s="210"/>
      <c r="AA1876" s="210"/>
      <c r="AB1876" s="210"/>
      <c r="AC1876" s="210"/>
      <c r="AD1876" s="210"/>
      <c r="AE1876" s="210"/>
      <c r="AF1876" s="210"/>
      <c r="AG1876" s="210"/>
      <c r="AH1876" s="210"/>
      <c r="AI1876" s="210"/>
      <c r="AJ1876" s="210"/>
    </row>
    <row r="1877" ht="14.25" customHeight="1">
      <c r="A1877" s="210"/>
      <c r="B1877" s="210"/>
      <c r="C1877" s="210"/>
      <c r="D1877" s="210"/>
      <c r="E1877" s="210"/>
      <c r="F1877" s="210"/>
      <c r="G1877" s="210"/>
      <c r="H1877" s="210"/>
      <c r="I1877" s="210"/>
      <c r="J1877" s="210"/>
      <c r="K1877" s="210"/>
      <c r="L1877" s="210"/>
      <c r="M1877" s="210"/>
      <c r="N1877" s="210"/>
      <c r="O1877" s="210"/>
      <c r="P1877" s="210"/>
      <c r="Q1877" s="210"/>
      <c r="R1877" s="210"/>
      <c r="S1877" s="210"/>
      <c r="T1877" s="210"/>
      <c r="U1877" s="210"/>
      <c r="V1877" s="210"/>
      <c r="W1877" s="210"/>
      <c r="X1877" s="210"/>
      <c r="Y1877" s="210"/>
      <c r="Z1877" s="210"/>
      <c r="AA1877" s="210"/>
      <c r="AB1877" s="210"/>
      <c r="AC1877" s="210"/>
      <c r="AD1877" s="210"/>
      <c r="AE1877" s="210"/>
      <c r="AF1877" s="210"/>
      <c r="AG1877" s="210"/>
      <c r="AH1877" s="210"/>
      <c r="AI1877" s="210"/>
      <c r="AJ1877" s="210"/>
    </row>
    <row r="1878" ht="14.25" customHeight="1">
      <c r="A1878" s="210"/>
      <c r="B1878" s="210"/>
      <c r="C1878" s="210"/>
      <c r="D1878" s="210"/>
      <c r="E1878" s="210"/>
      <c r="F1878" s="210"/>
      <c r="G1878" s="210"/>
      <c r="H1878" s="210"/>
      <c r="I1878" s="210"/>
      <c r="J1878" s="210"/>
      <c r="K1878" s="210"/>
      <c r="L1878" s="210"/>
      <c r="M1878" s="210"/>
      <c r="N1878" s="210"/>
      <c r="O1878" s="210"/>
      <c r="P1878" s="210"/>
      <c r="Q1878" s="210"/>
      <c r="R1878" s="210"/>
      <c r="S1878" s="210"/>
      <c r="T1878" s="210"/>
      <c r="U1878" s="210"/>
      <c r="V1878" s="210"/>
      <c r="W1878" s="210"/>
      <c r="X1878" s="210"/>
      <c r="Y1878" s="210"/>
      <c r="Z1878" s="210"/>
      <c r="AA1878" s="210"/>
      <c r="AB1878" s="210"/>
      <c r="AC1878" s="210"/>
      <c r="AD1878" s="210"/>
      <c r="AE1878" s="210"/>
      <c r="AF1878" s="210"/>
      <c r="AG1878" s="210"/>
      <c r="AH1878" s="210"/>
      <c r="AI1878" s="210"/>
      <c r="AJ1878" s="210"/>
    </row>
    <row r="1879" ht="14.25" customHeight="1">
      <c r="A1879" s="210"/>
      <c r="B1879" s="210"/>
      <c r="C1879" s="210"/>
      <c r="D1879" s="210"/>
      <c r="E1879" s="210"/>
      <c r="F1879" s="210"/>
      <c r="G1879" s="210"/>
      <c r="H1879" s="210"/>
      <c r="I1879" s="210"/>
      <c r="J1879" s="210"/>
      <c r="K1879" s="210"/>
      <c r="L1879" s="210"/>
      <c r="M1879" s="210"/>
      <c r="N1879" s="210"/>
      <c r="O1879" s="210"/>
      <c r="P1879" s="210"/>
      <c r="Q1879" s="210"/>
      <c r="R1879" s="210"/>
      <c r="S1879" s="210"/>
      <c r="T1879" s="210"/>
      <c r="U1879" s="210"/>
      <c r="V1879" s="210"/>
      <c r="W1879" s="210"/>
      <c r="X1879" s="210"/>
      <c r="Y1879" s="210"/>
      <c r="Z1879" s="210"/>
      <c r="AA1879" s="210"/>
      <c r="AB1879" s="210"/>
      <c r="AC1879" s="210"/>
      <c r="AD1879" s="210"/>
      <c r="AE1879" s="210"/>
      <c r="AF1879" s="210"/>
      <c r="AG1879" s="210"/>
      <c r="AH1879" s="210"/>
      <c r="AI1879" s="210"/>
      <c r="AJ1879" s="210"/>
    </row>
    <row r="1880" ht="14.25" customHeight="1">
      <c r="A1880" s="210"/>
      <c r="B1880" s="210"/>
      <c r="C1880" s="210"/>
      <c r="D1880" s="210"/>
      <c r="E1880" s="210"/>
      <c r="F1880" s="210"/>
      <c r="G1880" s="210"/>
      <c r="H1880" s="210"/>
      <c r="I1880" s="210"/>
      <c r="J1880" s="210"/>
      <c r="K1880" s="210"/>
      <c r="L1880" s="210"/>
      <c r="M1880" s="210"/>
      <c r="N1880" s="210"/>
      <c r="O1880" s="210"/>
      <c r="P1880" s="210"/>
      <c r="Q1880" s="210"/>
      <c r="R1880" s="210"/>
      <c r="S1880" s="210"/>
      <c r="T1880" s="210"/>
      <c r="U1880" s="210"/>
      <c r="V1880" s="210"/>
      <c r="W1880" s="210"/>
      <c r="X1880" s="210"/>
      <c r="Y1880" s="210"/>
      <c r="Z1880" s="210"/>
      <c r="AA1880" s="210"/>
      <c r="AB1880" s="210"/>
      <c r="AC1880" s="210"/>
      <c r="AD1880" s="210"/>
      <c r="AE1880" s="210"/>
      <c r="AF1880" s="210"/>
      <c r="AG1880" s="210"/>
      <c r="AH1880" s="210"/>
      <c r="AI1880" s="210"/>
      <c r="AJ1880" s="210"/>
    </row>
    <row r="1881" ht="14.25" customHeight="1">
      <c r="A1881" s="210"/>
      <c r="B1881" s="210"/>
      <c r="C1881" s="210"/>
      <c r="D1881" s="210"/>
      <c r="E1881" s="210"/>
      <c r="F1881" s="210"/>
      <c r="G1881" s="210"/>
      <c r="H1881" s="210"/>
      <c r="I1881" s="210"/>
      <c r="J1881" s="210"/>
      <c r="K1881" s="210"/>
      <c r="L1881" s="210"/>
      <c r="M1881" s="210"/>
      <c r="N1881" s="210"/>
      <c r="O1881" s="210"/>
      <c r="P1881" s="210"/>
      <c r="Q1881" s="210"/>
      <c r="R1881" s="210"/>
      <c r="S1881" s="210"/>
      <c r="T1881" s="210"/>
      <c r="U1881" s="210"/>
      <c r="V1881" s="210"/>
      <c r="W1881" s="210"/>
      <c r="X1881" s="210"/>
      <c r="Y1881" s="210"/>
      <c r="Z1881" s="210"/>
      <c r="AA1881" s="210"/>
      <c r="AB1881" s="210"/>
      <c r="AC1881" s="210"/>
      <c r="AD1881" s="210"/>
      <c r="AE1881" s="210"/>
      <c r="AF1881" s="210"/>
      <c r="AG1881" s="210"/>
      <c r="AH1881" s="210"/>
      <c r="AI1881" s="210"/>
      <c r="AJ1881" s="210"/>
    </row>
    <row r="1882" ht="14.25" customHeight="1">
      <c r="A1882" s="210"/>
      <c r="B1882" s="210"/>
      <c r="C1882" s="210"/>
      <c r="D1882" s="210"/>
      <c r="E1882" s="210"/>
      <c r="F1882" s="210"/>
      <c r="G1882" s="210"/>
      <c r="H1882" s="210"/>
      <c r="I1882" s="210"/>
      <c r="J1882" s="210"/>
      <c r="K1882" s="210"/>
      <c r="L1882" s="210"/>
      <c r="M1882" s="210"/>
      <c r="N1882" s="210"/>
      <c r="O1882" s="210"/>
      <c r="P1882" s="210"/>
      <c r="Q1882" s="210"/>
      <c r="R1882" s="210"/>
      <c r="S1882" s="210"/>
      <c r="T1882" s="210"/>
      <c r="U1882" s="210"/>
      <c r="V1882" s="210"/>
      <c r="W1882" s="210"/>
      <c r="X1882" s="210"/>
      <c r="Y1882" s="210"/>
      <c r="Z1882" s="210"/>
      <c r="AA1882" s="210"/>
      <c r="AB1882" s="210"/>
      <c r="AC1882" s="210"/>
      <c r="AD1882" s="210"/>
      <c r="AE1882" s="210"/>
      <c r="AF1882" s="210"/>
      <c r="AG1882" s="210"/>
      <c r="AH1882" s="210"/>
      <c r="AI1882" s="210"/>
      <c r="AJ1882" s="210"/>
    </row>
    <row r="1883" ht="14.25" customHeight="1">
      <c r="A1883" s="210"/>
      <c r="B1883" s="210"/>
      <c r="C1883" s="210"/>
      <c r="D1883" s="210"/>
      <c r="E1883" s="210"/>
      <c r="F1883" s="210"/>
      <c r="G1883" s="210"/>
      <c r="H1883" s="210"/>
      <c r="I1883" s="210"/>
      <c r="J1883" s="210"/>
      <c r="K1883" s="210"/>
      <c r="L1883" s="210"/>
      <c r="M1883" s="210"/>
      <c r="N1883" s="210"/>
      <c r="O1883" s="210"/>
      <c r="P1883" s="210"/>
      <c r="Q1883" s="210"/>
      <c r="R1883" s="210"/>
      <c r="S1883" s="210"/>
      <c r="T1883" s="210"/>
      <c r="U1883" s="210"/>
      <c r="V1883" s="210"/>
      <c r="W1883" s="210"/>
      <c r="X1883" s="210"/>
      <c r="Y1883" s="210"/>
      <c r="Z1883" s="210"/>
      <c r="AA1883" s="210"/>
      <c r="AB1883" s="210"/>
      <c r="AC1883" s="210"/>
      <c r="AD1883" s="210"/>
      <c r="AE1883" s="210"/>
      <c r="AF1883" s="210"/>
      <c r="AG1883" s="210"/>
      <c r="AH1883" s="210"/>
      <c r="AI1883" s="210"/>
      <c r="AJ1883" s="210"/>
    </row>
    <row r="1884" ht="14.25" customHeight="1">
      <c r="A1884" s="210"/>
      <c r="B1884" s="210"/>
      <c r="C1884" s="210"/>
      <c r="D1884" s="210"/>
      <c r="E1884" s="210"/>
      <c r="F1884" s="210"/>
      <c r="G1884" s="210"/>
      <c r="H1884" s="210"/>
      <c r="I1884" s="210"/>
      <c r="J1884" s="210"/>
      <c r="K1884" s="210"/>
      <c r="L1884" s="210"/>
      <c r="M1884" s="210"/>
      <c r="N1884" s="210"/>
      <c r="O1884" s="210"/>
      <c r="P1884" s="210"/>
      <c r="Q1884" s="210"/>
      <c r="R1884" s="210"/>
      <c r="S1884" s="210"/>
      <c r="T1884" s="210"/>
      <c r="U1884" s="210"/>
      <c r="V1884" s="210"/>
      <c r="W1884" s="210"/>
      <c r="X1884" s="210"/>
      <c r="Y1884" s="210"/>
      <c r="Z1884" s="210"/>
      <c r="AA1884" s="210"/>
      <c r="AB1884" s="210"/>
      <c r="AC1884" s="210"/>
      <c r="AD1884" s="210"/>
      <c r="AE1884" s="210"/>
      <c r="AF1884" s="210"/>
      <c r="AG1884" s="210"/>
      <c r="AH1884" s="210"/>
      <c r="AI1884" s="210"/>
      <c r="AJ1884" s="210"/>
    </row>
    <row r="1885" ht="14.25" customHeight="1">
      <c r="A1885" s="210"/>
      <c r="B1885" s="210"/>
      <c r="C1885" s="210"/>
      <c r="D1885" s="210"/>
      <c r="E1885" s="210"/>
      <c r="F1885" s="210"/>
      <c r="G1885" s="210"/>
      <c r="H1885" s="210"/>
      <c r="I1885" s="210"/>
      <c r="J1885" s="210"/>
      <c r="K1885" s="210"/>
      <c r="L1885" s="210"/>
      <c r="M1885" s="210"/>
      <c r="N1885" s="210"/>
      <c r="O1885" s="210"/>
      <c r="P1885" s="210"/>
      <c r="Q1885" s="210"/>
      <c r="R1885" s="210"/>
      <c r="S1885" s="210"/>
      <c r="T1885" s="210"/>
      <c r="U1885" s="210"/>
      <c r="V1885" s="210"/>
      <c r="W1885" s="210"/>
      <c r="X1885" s="210"/>
      <c r="Y1885" s="210"/>
      <c r="Z1885" s="210"/>
      <c r="AA1885" s="210"/>
      <c r="AB1885" s="210"/>
      <c r="AC1885" s="210"/>
      <c r="AD1885" s="210"/>
      <c r="AE1885" s="210"/>
      <c r="AF1885" s="210"/>
      <c r="AG1885" s="210"/>
      <c r="AH1885" s="210"/>
      <c r="AI1885" s="210"/>
      <c r="AJ1885" s="210"/>
    </row>
    <row r="1886" ht="14.25" customHeight="1">
      <c r="A1886" s="210"/>
      <c r="B1886" s="210"/>
      <c r="C1886" s="210"/>
      <c r="D1886" s="210"/>
      <c r="E1886" s="210"/>
      <c r="F1886" s="210"/>
      <c r="G1886" s="210"/>
      <c r="H1886" s="210"/>
      <c r="I1886" s="210"/>
      <c r="J1886" s="210"/>
      <c r="K1886" s="210"/>
      <c r="L1886" s="210"/>
      <c r="M1886" s="210"/>
      <c r="N1886" s="210"/>
      <c r="O1886" s="210"/>
      <c r="P1886" s="210"/>
      <c r="Q1886" s="210"/>
      <c r="R1886" s="210"/>
      <c r="S1886" s="210"/>
      <c r="T1886" s="210"/>
      <c r="U1886" s="210"/>
      <c r="V1886" s="210"/>
      <c r="W1886" s="210"/>
      <c r="X1886" s="210"/>
      <c r="Y1886" s="210"/>
      <c r="Z1886" s="210"/>
      <c r="AA1886" s="210"/>
      <c r="AB1886" s="210"/>
      <c r="AC1886" s="210"/>
      <c r="AD1886" s="210"/>
      <c r="AE1886" s="210"/>
      <c r="AF1886" s="210"/>
      <c r="AG1886" s="210"/>
      <c r="AH1886" s="210"/>
      <c r="AI1886" s="210"/>
      <c r="AJ1886" s="210"/>
    </row>
    <row r="1887" ht="14.25" customHeight="1">
      <c r="A1887" s="210"/>
      <c r="B1887" s="210"/>
      <c r="C1887" s="210"/>
      <c r="D1887" s="210"/>
      <c r="E1887" s="210"/>
      <c r="F1887" s="210"/>
      <c r="G1887" s="210"/>
      <c r="H1887" s="210"/>
      <c r="I1887" s="210"/>
      <c r="J1887" s="210"/>
      <c r="K1887" s="210"/>
      <c r="L1887" s="210"/>
      <c r="M1887" s="210"/>
      <c r="N1887" s="210"/>
      <c r="O1887" s="210"/>
      <c r="P1887" s="210"/>
      <c r="Q1887" s="210"/>
      <c r="R1887" s="210"/>
      <c r="S1887" s="210"/>
      <c r="T1887" s="210"/>
      <c r="U1887" s="210"/>
      <c r="V1887" s="210"/>
      <c r="W1887" s="210"/>
      <c r="X1887" s="210"/>
      <c r="Y1887" s="210"/>
      <c r="Z1887" s="210"/>
      <c r="AA1887" s="210"/>
      <c r="AB1887" s="210"/>
      <c r="AC1887" s="210"/>
      <c r="AD1887" s="210"/>
      <c r="AE1887" s="210"/>
      <c r="AF1887" s="210"/>
      <c r="AG1887" s="210"/>
      <c r="AH1887" s="210"/>
      <c r="AI1887" s="210"/>
      <c r="AJ1887" s="210"/>
    </row>
    <row r="1888" ht="14.25" customHeight="1">
      <c r="A1888" s="210"/>
      <c r="B1888" s="210"/>
      <c r="C1888" s="210"/>
      <c r="D1888" s="210"/>
      <c r="E1888" s="210"/>
      <c r="F1888" s="210"/>
      <c r="G1888" s="210"/>
      <c r="H1888" s="210"/>
      <c r="I1888" s="210"/>
      <c r="J1888" s="210"/>
      <c r="K1888" s="210"/>
      <c r="L1888" s="210"/>
      <c r="M1888" s="210"/>
      <c r="N1888" s="210"/>
      <c r="O1888" s="210"/>
      <c r="P1888" s="210"/>
      <c r="Q1888" s="210"/>
      <c r="R1888" s="210"/>
      <c r="S1888" s="210"/>
      <c r="T1888" s="210"/>
      <c r="U1888" s="210"/>
      <c r="V1888" s="210"/>
      <c r="W1888" s="210"/>
      <c r="X1888" s="210"/>
      <c r="Y1888" s="210"/>
      <c r="Z1888" s="210"/>
      <c r="AA1888" s="210"/>
      <c r="AB1888" s="210"/>
      <c r="AC1888" s="210"/>
      <c r="AD1888" s="210"/>
      <c r="AE1888" s="210"/>
      <c r="AF1888" s="210"/>
      <c r="AG1888" s="210"/>
      <c r="AH1888" s="210"/>
      <c r="AI1888" s="210"/>
      <c r="AJ1888" s="210"/>
    </row>
    <row r="1889" ht="14.25" customHeight="1">
      <c r="A1889" s="210"/>
      <c r="B1889" s="210"/>
      <c r="C1889" s="210"/>
      <c r="D1889" s="210"/>
      <c r="E1889" s="210"/>
      <c r="F1889" s="210"/>
      <c r="G1889" s="210"/>
      <c r="H1889" s="210"/>
      <c r="I1889" s="210"/>
      <c r="J1889" s="210"/>
      <c r="K1889" s="210"/>
      <c r="L1889" s="210"/>
      <c r="M1889" s="210"/>
      <c r="N1889" s="210"/>
      <c r="O1889" s="210"/>
      <c r="P1889" s="210"/>
      <c r="Q1889" s="210"/>
      <c r="R1889" s="210"/>
      <c r="S1889" s="210"/>
      <c r="T1889" s="210"/>
      <c r="U1889" s="210"/>
      <c r="V1889" s="210"/>
      <c r="W1889" s="210"/>
      <c r="X1889" s="210"/>
      <c r="Y1889" s="210"/>
      <c r="Z1889" s="210"/>
      <c r="AA1889" s="210"/>
      <c r="AB1889" s="210"/>
      <c r="AC1889" s="210"/>
      <c r="AD1889" s="210"/>
      <c r="AE1889" s="210"/>
      <c r="AF1889" s="210"/>
      <c r="AG1889" s="210"/>
      <c r="AH1889" s="210"/>
      <c r="AI1889" s="210"/>
      <c r="AJ1889" s="210"/>
    </row>
    <row r="1890" ht="14.25" customHeight="1">
      <c r="A1890" s="210"/>
      <c r="B1890" s="210"/>
      <c r="C1890" s="210"/>
      <c r="D1890" s="210"/>
      <c r="E1890" s="210"/>
      <c r="F1890" s="210"/>
      <c r="G1890" s="210"/>
      <c r="H1890" s="210"/>
      <c r="I1890" s="210"/>
      <c r="J1890" s="210"/>
      <c r="K1890" s="210"/>
      <c r="L1890" s="210"/>
      <c r="M1890" s="210"/>
      <c r="N1890" s="210"/>
      <c r="O1890" s="210"/>
      <c r="P1890" s="210"/>
      <c r="Q1890" s="210"/>
      <c r="R1890" s="210"/>
      <c r="S1890" s="210"/>
      <c r="T1890" s="210"/>
      <c r="U1890" s="210"/>
      <c r="V1890" s="210"/>
      <c r="W1890" s="210"/>
      <c r="X1890" s="210"/>
      <c r="Y1890" s="210"/>
      <c r="Z1890" s="210"/>
      <c r="AA1890" s="210"/>
      <c r="AB1890" s="210"/>
      <c r="AC1890" s="210"/>
      <c r="AD1890" s="210"/>
      <c r="AE1890" s="210"/>
      <c r="AF1890" s="210"/>
      <c r="AG1890" s="210"/>
      <c r="AH1890" s="210"/>
      <c r="AI1890" s="210"/>
      <c r="AJ1890" s="210"/>
    </row>
    <row r="1891" ht="14.25" customHeight="1">
      <c r="A1891" s="210"/>
      <c r="B1891" s="210"/>
      <c r="C1891" s="210"/>
      <c r="D1891" s="210"/>
      <c r="E1891" s="210"/>
      <c r="F1891" s="210"/>
      <c r="G1891" s="210"/>
      <c r="H1891" s="210"/>
      <c r="I1891" s="210"/>
      <c r="J1891" s="210"/>
      <c r="K1891" s="210"/>
      <c r="L1891" s="210"/>
      <c r="M1891" s="210"/>
      <c r="N1891" s="210"/>
      <c r="O1891" s="210"/>
      <c r="P1891" s="210"/>
      <c r="Q1891" s="210"/>
      <c r="R1891" s="210"/>
      <c r="S1891" s="210"/>
      <c r="T1891" s="210"/>
      <c r="U1891" s="210"/>
      <c r="V1891" s="210"/>
      <c r="W1891" s="210"/>
      <c r="X1891" s="210"/>
      <c r="Y1891" s="210"/>
      <c r="Z1891" s="210"/>
      <c r="AA1891" s="210"/>
      <c r="AB1891" s="210"/>
      <c r="AC1891" s="210"/>
      <c r="AD1891" s="210"/>
      <c r="AE1891" s="210"/>
      <c r="AF1891" s="210"/>
      <c r="AG1891" s="210"/>
      <c r="AH1891" s="210"/>
      <c r="AI1891" s="210"/>
      <c r="AJ1891" s="210"/>
    </row>
    <row r="1892" ht="14.25" customHeight="1">
      <c r="A1892" s="210"/>
      <c r="B1892" s="210"/>
      <c r="C1892" s="210"/>
      <c r="D1892" s="210"/>
      <c r="E1892" s="210"/>
      <c r="F1892" s="210"/>
      <c r="G1892" s="210"/>
      <c r="H1892" s="210"/>
      <c r="I1892" s="210"/>
      <c r="J1892" s="210"/>
      <c r="K1892" s="210"/>
      <c r="L1892" s="210"/>
      <c r="M1892" s="210"/>
      <c r="N1892" s="210"/>
      <c r="O1892" s="210"/>
      <c r="P1892" s="210"/>
      <c r="Q1892" s="210"/>
      <c r="R1892" s="210"/>
      <c r="S1892" s="210"/>
      <c r="T1892" s="210"/>
      <c r="U1892" s="210"/>
      <c r="V1892" s="210"/>
      <c r="W1892" s="210"/>
      <c r="X1892" s="210"/>
      <c r="Y1892" s="210"/>
      <c r="Z1892" s="210"/>
      <c r="AA1892" s="210"/>
      <c r="AB1892" s="210"/>
      <c r="AC1892" s="210"/>
      <c r="AD1892" s="210"/>
      <c r="AE1892" s="210"/>
      <c r="AF1892" s="210"/>
      <c r="AG1892" s="210"/>
      <c r="AH1892" s="210"/>
      <c r="AI1892" s="210"/>
      <c r="AJ1892" s="210"/>
    </row>
    <row r="1893" ht="14.25" customHeight="1">
      <c r="A1893" s="210"/>
      <c r="B1893" s="210"/>
      <c r="C1893" s="210"/>
      <c r="D1893" s="210"/>
      <c r="E1893" s="210"/>
      <c r="F1893" s="210"/>
      <c r="G1893" s="210"/>
      <c r="H1893" s="210"/>
      <c r="I1893" s="210"/>
      <c r="J1893" s="210"/>
      <c r="K1893" s="210"/>
      <c r="L1893" s="210"/>
      <c r="M1893" s="210"/>
      <c r="N1893" s="210"/>
      <c r="O1893" s="210"/>
      <c r="P1893" s="210"/>
      <c r="Q1893" s="210"/>
      <c r="R1893" s="210"/>
      <c r="S1893" s="210"/>
      <c r="T1893" s="210"/>
      <c r="U1893" s="210"/>
      <c r="V1893" s="210"/>
      <c r="W1893" s="210"/>
      <c r="X1893" s="210"/>
      <c r="Y1893" s="210"/>
      <c r="Z1893" s="210"/>
      <c r="AA1893" s="210"/>
      <c r="AB1893" s="210"/>
      <c r="AC1893" s="210"/>
      <c r="AD1893" s="210"/>
      <c r="AE1893" s="210"/>
      <c r="AF1893" s="210"/>
      <c r="AG1893" s="210"/>
      <c r="AH1893" s="210"/>
      <c r="AI1893" s="210"/>
      <c r="AJ1893" s="210"/>
    </row>
    <row r="1894" ht="14.25" customHeight="1">
      <c r="A1894" s="210"/>
      <c r="B1894" s="210"/>
      <c r="C1894" s="210"/>
      <c r="D1894" s="210"/>
      <c r="E1894" s="210"/>
      <c r="F1894" s="210"/>
      <c r="G1894" s="210"/>
      <c r="H1894" s="210"/>
      <c r="I1894" s="210"/>
      <c r="J1894" s="210"/>
      <c r="K1894" s="210"/>
      <c r="L1894" s="210"/>
      <c r="M1894" s="210"/>
      <c r="N1894" s="210"/>
      <c r="O1894" s="210"/>
      <c r="P1894" s="210"/>
      <c r="Q1894" s="210"/>
      <c r="R1894" s="210"/>
      <c r="S1894" s="210"/>
      <c r="T1894" s="210"/>
      <c r="U1894" s="210"/>
      <c r="V1894" s="210"/>
      <c r="W1894" s="210"/>
      <c r="X1894" s="210"/>
      <c r="Y1894" s="210"/>
      <c r="Z1894" s="210"/>
      <c r="AA1894" s="210"/>
      <c r="AB1894" s="210"/>
      <c r="AC1894" s="210"/>
      <c r="AD1894" s="210"/>
      <c r="AE1894" s="210"/>
      <c r="AF1894" s="210"/>
      <c r="AG1894" s="210"/>
      <c r="AH1894" s="210"/>
      <c r="AI1894" s="210"/>
      <c r="AJ1894" s="210"/>
    </row>
    <row r="1895" ht="14.25" customHeight="1">
      <c r="A1895" s="210"/>
      <c r="B1895" s="210"/>
      <c r="C1895" s="210"/>
      <c r="D1895" s="210"/>
      <c r="E1895" s="210"/>
      <c r="F1895" s="210"/>
      <c r="G1895" s="210"/>
      <c r="H1895" s="210"/>
      <c r="I1895" s="210"/>
      <c r="J1895" s="210"/>
      <c r="K1895" s="210"/>
      <c r="L1895" s="210"/>
      <c r="M1895" s="210"/>
      <c r="N1895" s="210"/>
      <c r="O1895" s="210"/>
      <c r="P1895" s="210"/>
      <c r="Q1895" s="210"/>
      <c r="R1895" s="210"/>
      <c r="S1895" s="210"/>
      <c r="T1895" s="210"/>
      <c r="U1895" s="210"/>
      <c r="V1895" s="210"/>
      <c r="W1895" s="210"/>
      <c r="X1895" s="210"/>
      <c r="Y1895" s="210"/>
      <c r="Z1895" s="210"/>
      <c r="AA1895" s="210"/>
      <c r="AB1895" s="210"/>
      <c r="AC1895" s="210"/>
      <c r="AD1895" s="210"/>
      <c r="AE1895" s="210"/>
      <c r="AF1895" s="210"/>
      <c r="AG1895" s="210"/>
      <c r="AH1895" s="210"/>
      <c r="AI1895" s="210"/>
      <c r="AJ1895" s="210"/>
    </row>
    <row r="1896" ht="14.25" customHeight="1">
      <c r="A1896" s="210"/>
      <c r="B1896" s="210"/>
      <c r="C1896" s="210"/>
      <c r="D1896" s="210"/>
      <c r="E1896" s="210"/>
      <c r="F1896" s="210"/>
      <c r="G1896" s="210"/>
      <c r="H1896" s="210"/>
      <c r="I1896" s="210"/>
      <c r="J1896" s="210"/>
      <c r="K1896" s="210"/>
      <c r="L1896" s="210"/>
      <c r="M1896" s="210"/>
      <c r="N1896" s="210"/>
      <c r="O1896" s="210"/>
      <c r="P1896" s="210"/>
      <c r="Q1896" s="210"/>
      <c r="R1896" s="210"/>
      <c r="S1896" s="210"/>
      <c r="T1896" s="210"/>
      <c r="U1896" s="210"/>
      <c r="V1896" s="210"/>
      <c r="W1896" s="210"/>
      <c r="X1896" s="210"/>
      <c r="Y1896" s="210"/>
      <c r="Z1896" s="210"/>
      <c r="AA1896" s="210"/>
      <c r="AB1896" s="210"/>
      <c r="AC1896" s="210"/>
      <c r="AD1896" s="210"/>
      <c r="AE1896" s="210"/>
      <c r="AF1896" s="210"/>
      <c r="AG1896" s="210"/>
      <c r="AH1896" s="210"/>
      <c r="AI1896" s="210"/>
      <c r="AJ1896" s="210"/>
    </row>
    <row r="1897" ht="14.25" customHeight="1">
      <c r="A1897" s="210"/>
      <c r="B1897" s="210"/>
      <c r="C1897" s="210"/>
      <c r="D1897" s="210"/>
      <c r="E1897" s="210"/>
      <c r="F1897" s="210"/>
      <c r="G1897" s="210"/>
      <c r="H1897" s="210"/>
      <c r="I1897" s="210"/>
      <c r="J1897" s="210"/>
      <c r="K1897" s="210"/>
      <c r="L1897" s="210"/>
      <c r="M1897" s="210"/>
      <c r="N1897" s="210"/>
      <c r="O1897" s="210"/>
      <c r="P1897" s="210"/>
      <c r="Q1897" s="210"/>
      <c r="R1897" s="210"/>
      <c r="S1897" s="210"/>
      <c r="T1897" s="210"/>
      <c r="U1897" s="210"/>
      <c r="V1897" s="210"/>
      <c r="W1897" s="210"/>
      <c r="X1897" s="210"/>
      <c r="Y1897" s="210"/>
      <c r="Z1897" s="210"/>
      <c r="AA1897" s="210"/>
      <c r="AB1897" s="210"/>
      <c r="AC1897" s="210"/>
      <c r="AD1897" s="210"/>
      <c r="AE1897" s="210"/>
      <c r="AF1897" s="210"/>
      <c r="AG1897" s="210"/>
      <c r="AH1897" s="210"/>
      <c r="AI1897" s="210"/>
      <c r="AJ1897" s="210"/>
    </row>
    <row r="1898" ht="14.25" customHeight="1">
      <c r="A1898" s="210"/>
      <c r="B1898" s="210"/>
      <c r="C1898" s="210"/>
      <c r="D1898" s="210"/>
      <c r="E1898" s="210"/>
      <c r="F1898" s="210"/>
      <c r="G1898" s="210"/>
      <c r="H1898" s="210"/>
      <c r="I1898" s="210"/>
      <c r="J1898" s="210"/>
      <c r="K1898" s="210"/>
      <c r="L1898" s="210"/>
      <c r="M1898" s="210"/>
      <c r="N1898" s="210"/>
      <c r="O1898" s="210"/>
      <c r="P1898" s="210"/>
      <c r="Q1898" s="210"/>
      <c r="R1898" s="210"/>
      <c r="S1898" s="210"/>
      <c r="T1898" s="210"/>
      <c r="U1898" s="210"/>
      <c r="V1898" s="210"/>
      <c r="W1898" s="210"/>
      <c r="X1898" s="210"/>
      <c r="Y1898" s="210"/>
      <c r="Z1898" s="210"/>
      <c r="AA1898" s="210"/>
      <c r="AB1898" s="210"/>
      <c r="AC1898" s="210"/>
      <c r="AD1898" s="210"/>
      <c r="AE1898" s="210"/>
      <c r="AF1898" s="210"/>
      <c r="AG1898" s="210"/>
      <c r="AH1898" s="210"/>
      <c r="AI1898" s="210"/>
      <c r="AJ1898" s="210"/>
    </row>
    <row r="1899" ht="14.25" customHeight="1">
      <c r="A1899" s="210"/>
      <c r="B1899" s="210"/>
      <c r="C1899" s="210"/>
      <c r="D1899" s="210"/>
      <c r="E1899" s="210"/>
      <c r="F1899" s="210"/>
      <c r="G1899" s="210"/>
      <c r="H1899" s="210"/>
      <c r="I1899" s="210"/>
      <c r="J1899" s="210"/>
      <c r="K1899" s="210"/>
      <c r="L1899" s="210"/>
      <c r="M1899" s="210"/>
      <c r="N1899" s="210"/>
      <c r="O1899" s="210"/>
      <c r="P1899" s="210"/>
      <c r="Q1899" s="210"/>
      <c r="R1899" s="210"/>
      <c r="S1899" s="210"/>
      <c r="T1899" s="210"/>
      <c r="U1899" s="210"/>
      <c r="V1899" s="210"/>
      <c r="W1899" s="210"/>
      <c r="X1899" s="210"/>
      <c r="Y1899" s="210"/>
      <c r="Z1899" s="210"/>
      <c r="AA1899" s="210"/>
      <c r="AB1899" s="210"/>
      <c r="AC1899" s="210"/>
      <c r="AD1899" s="210"/>
      <c r="AE1899" s="210"/>
      <c r="AF1899" s="210"/>
      <c r="AG1899" s="210"/>
      <c r="AH1899" s="210"/>
      <c r="AI1899" s="210"/>
      <c r="AJ1899" s="210"/>
    </row>
    <row r="1900" ht="14.25" customHeight="1">
      <c r="A1900" s="210"/>
      <c r="B1900" s="210"/>
      <c r="C1900" s="210"/>
      <c r="D1900" s="210"/>
      <c r="E1900" s="210"/>
      <c r="F1900" s="210"/>
      <c r="G1900" s="210"/>
      <c r="H1900" s="210"/>
      <c r="I1900" s="210"/>
      <c r="J1900" s="210"/>
      <c r="K1900" s="210"/>
      <c r="L1900" s="210"/>
      <c r="M1900" s="210"/>
      <c r="N1900" s="210"/>
      <c r="O1900" s="210"/>
      <c r="P1900" s="210"/>
      <c r="Q1900" s="210"/>
      <c r="R1900" s="210"/>
      <c r="S1900" s="210"/>
      <c r="T1900" s="210"/>
      <c r="U1900" s="210"/>
      <c r="V1900" s="210"/>
      <c r="W1900" s="210"/>
      <c r="X1900" s="210"/>
      <c r="Y1900" s="210"/>
      <c r="Z1900" s="210"/>
      <c r="AA1900" s="210"/>
      <c r="AB1900" s="210"/>
      <c r="AC1900" s="210"/>
      <c r="AD1900" s="210"/>
      <c r="AE1900" s="210"/>
      <c r="AF1900" s="210"/>
      <c r="AG1900" s="210"/>
      <c r="AH1900" s="210"/>
      <c r="AI1900" s="210"/>
      <c r="AJ1900" s="210"/>
    </row>
    <row r="1901" ht="14.25" customHeight="1">
      <c r="A1901" s="210"/>
      <c r="B1901" s="210"/>
      <c r="C1901" s="210"/>
      <c r="D1901" s="210"/>
      <c r="E1901" s="210"/>
      <c r="F1901" s="210"/>
      <c r="G1901" s="210"/>
      <c r="H1901" s="210"/>
      <c r="I1901" s="210"/>
      <c r="J1901" s="210"/>
      <c r="K1901" s="210"/>
      <c r="L1901" s="210"/>
      <c r="M1901" s="210"/>
      <c r="N1901" s="210"/>
      <c r="O1901" s="210"/>
      <c r="P1901" s="210"/>
      <c r="Q1901" s="210"/>
      <c r="R1901" s="210"/>
      <c r="S1901" s="210"/>
      <c r="T1901" s="210"/>
      <c r="U1901" s="210"/>
      <c r="V1901" s="210"/>
      <c r="W1901" s="210"/>
      <c r="X1901" s="210"/>
      <c r="Y1901" s="210"/>
      <c r="Z1901" s="210"/>
      <c r="AA1901" s="210"/>
      <c r="AB1901" s="210"/>
      <c r="AC1901" s="210"/>
      <c r="AD1901" s="210"/>
      <c r="AE1901" s="210"/>
      <c r="AF1901" s="210"/>
      <c r="AG1901" s="210"/>
      <c r="AH1901" s="210"/>
      <c r="AI1901" s="210"/>
      <c r="AJ1901" s="210"/>
    </row>
    <row r="1902" ht="14.25" customHeight="1">
      <c r="A1902" s="210"/>
      <c r="B1902" s="210"/>
      <c r="C1902" s="210"/>
      <c r="D1902" s="210"/>
      <c r="E1902" s="210"/>
      <c r="F1902" s="210"/>
      <c r="G1902" s="210"/>
      <c r="H1902" s="210"/>
      <c r="I1902" s="210"/>
      <c r="J1902" s="210"/>
      <c r="K1902" s="210"/>
      <c r="L1902" s="210"/>
      <c r="M1902" s="210"/>
      <c r="N1902" s="210"/>
      <c r="O1902" s="210"/>
      <c r="P1902" s="210"/>
      <c r="Q1902" s="210"/>
      <c r="R1902" s="210"/>
      <c r="S1902" s="210"/>
      <c r="T1902" s="210"/>
      <c r="U1902" s="210"/>
      <c r="V1902" s="210"/>
      <c r="W1902" s="210"/>
      <c r="X1902" s="210"/>
      <c r="Y1902" s="210"/>
      <c r="Z1902" s="210"/>
      <c r="AA1902" s="210"/>
      <c r="AB1902" s="210"/>
      <c r="AC1902" s="210"/>
      <c r="AD1902" s="210"/>
      <c r="AE1902" s="210"/>
      <c r="AF1902" s="210"/>
      <c r="AG1902" s="210"/>
      <c r="AH1902" s="210"/>
      <c r="AI1902" s="210"/>
      <c r="AJ1902" s="210"/>
    </row>
    <row r="1903" ht="14.25" customHeight="1">
      <c r="A1903" s="210"/>
      <c r="B1903" s="210"/>
      <c r="C1903" s="210"/>
      <c r="D1903" s="210"/>
      <c r="E1903" s="210"/>
      <c r="F1903" s="210"/>
      <c r="G1903" s="210"/>
      <c r="H1903" s="210"/>
      <c r="I1903" s="210"/>
      <c r="J1903" s="210"/>
      <c r="K1903" s="210"/>
      <c r="L1903" s="210"/>
      <c r="M1903" s="210"/>
      <c r="N1903" s="210"/>
      <c r="O1903" s="210"/>
      <c r="P1903" s="210"/>
      <c r="Q1903" s="210"/>
      <c r="R1903" s="210"/>
      <c r="S1903" s="210"/>
      <c r="T1903" s="210"/>
      <c r="U1903" s="210"/>
      <c r="V1903" s="210"/>
      <c r="W1903" s="210"/>
      <c r="X1903" s="210"/>
      <c r="Y1903" s="210"/>
      <c r="Z1903" s="210"/>
      <c r="AA1903" s="210"/>
      <c r="AB1903" s="210"/>
      <c r="AC1903" s="210"/>
      <c r="AD1903" s="210"/>
      <c r="AE1903" s="210"/>
      <c r="AF1903" s="210"/>
      <c r="AG1903" s="210"/>
      <c r="AH1903" s="210"/>
      <c r="AI1903" s="210"/>
      <c r="AJ1903" s="210"/>
    </row>
    <row r="1904" ht="14.25" customHeight="1">
      <c r="A1904" s="210"/>
      <c r="B1904" s="210"/>
      <c r="C1904" s="210"/>
      <c r="D1904" s="210"/>
      <c r="E1904" s="210"/>
      <c r="F1904" s="210"/>
      <c r="G1904" s="210"/>
      <c r="H1904" s="210"/>
      <c r="I1904" s="210"/>
      <c r="J1904" s="210"/>
      <c r="K1904" s="210"/>
      <c r="L1904" s="210"/>
      <c r="M1904" s="210"/>
      <c r="N1904" s="210"/>
      <c r="O1904" s="210"/>
      <c r="P1904" s="210"/>
      <c r="Q1904" s="210"/>
      <c r="R1904" s="210"/>
      <c r="S1904" s="210"/>
      <c r="T1904" s="210"/>
      <c r="U1904" s="210"/>
      <c r="V1904" s="210"/>
      <c r="W1904" s="210"/>
      <c r="X1904" s="210"/>
      <c r="Y1904" s="210"/>
      <c r="Z1904" s="210"/>
      <c r="AA1904" s="210"/>
      <c r="AB1904" s="210"/>
      <c r="AC1904" s="210"/>
      <c r="AD1904" s="210"/>
      <c r="AE1904" s="210"/>
      <c r="AF1904" s="210"/>
      <c r="AG1904" s="210"/>
      <c r="AH1904" s="210"/>
      <c r="AI1904" s="210"/>
      <c r="AJ1904" s="210"/>
    </row>
    <row r="1905" ht="14.25" customHeight="1">
      <c r="A1905" s="210"/>
      <c r="B1905" s="210"/>
      <c r="C1905" s="210"/>
      <c r="D1905" s="210"/>
      <c r="E1905" s="210"/>
      <c r="F1905" s="210"/>
      <c r="G1905" s="210"/>
      <c r="H1905" s="210"/>
      <c r="I1905" s="210"/>
      <c r="J1905" s="210"/>
      <c r="K1905" s="210"/>
      <c r="L1905" s="210"/>
      <c r="M1905" s="210"/>
      <c r="N1905" s="210"/>
      <c r="O1905" s="210"/>
      <c r="P1905" s="210"/>
      <c r="Q1905" s="210"/>
      <c r="R1905" s="210"/>
      <c r="S1905" s="210"/>
      <c r="T1905" s="210"/>
      <c r="U1905" s="210"/>
      <c r="V1905" s="210"/>
      <c r="W1905" s="210"/>
      <c r="X1905" s="210"/>
      <c r="Y1905" s="210"/>
      <c r="Z1905" s="210"/>
      <c r="AA1905" s="210"/>
      <c r="AB1905" s="210"/>
      <c r="AC1905" s="210"/>
      <c r="AD1905" s="210"/>
      <c r="AE1905" s="210"/>
      <c r="AF1905" s="210"/>
      <c r="AG1905" s="210"/>
      <c r="AH1905" s="210"/>
      <c r="AI1905" s="210"/>
      <c r="AJ1905" s="210"/>
    </row>
    <row r="1906" ht="14.25" customHeight="1">
      <c r="A1906" s="210"/>
      <c r="B1906" s="210"/>
      <c r="C1906" s="210"/>
      <c r="D1906" s="210"/>
      <c r="E1906" s="210"/>
      <c r="F1906" s="210"/>
      <c r="G1906" s="210"/>
      <c r="H1906" s="210"/>
      <c r="I1906" s="210"/>
      <c r="J1906" s="210"/>
      <c r="K1906" s="210"/>
      <c r="L1906" s="210"/>
      <c r="M1906" s="210"/>
      <c r="N1906" s="210"/>
      <c r="O1906" s="210"/>
      <c r="P1906" s="210"/>
      <c r="Q1906" s="210"/>
      <c r="R1906" s="210"/>
      <c r="S1906" s="210"/>
      <c r="T1906" s="210"/>
      <c r="U1906" s="210"/>
      <c r="V1906" s="210"/>
      <c r="W1906" s="210"/>
      <c r="X1906" s="210"/>
      <c r="Y1906" s="210"/>
      <c r="Z1906" s="210"/>
      <c r="AA1906" s="210"/>
      <c r="AB1906" s="210"/>
      <c r="AC1906" s="210"/>
      <c r="AD1906" s="210"/>
      <c r="AE1906" s="210"/>
      <c r="AF1906" s="210"/>
      <c r="AG1906" s="210"/>
      <c r="AH1906" s="210"/>
      <c r="AI1906" s="210"/>
      <c r="AJ1906" s="210"/>
    </row>
    <row r="1907" ht="14.25" customHeight="1">
      <c r="A1907" s="210"/>
      <c r="B1907" s="210"/>
      <c r="C1907" s="210"/>
      <c r="D1907" s="210"/>
      <c r="E1907" s="210"/>
      <c r="F1907" s="210"/>
      <c r="G1907" s="210"/>
      <c r="H1907" s="210"/>
      <c r="I1907" s="210"/>
      <c r="J1907" s="210"/>
      <c r="K1907" s="210"/>
      <c r="L1907" s="210"/>
      <c r="M1907" s="210"/>
      <c r="N1907" s="210"/>
      <c r="O1907" s="210"/>
      <c r="P1907" s="210"/>
      <c r="Q1907" s="210"/>
      <c r="R1907" s="210"/>
      <c r="S1907" s="210"/>
      <c r="T1907" s="210"/>
      <c r="U1907" s="210"/>
      <c r="V1907" s="210"/>
      <c r="W1907" s="210"/>
      <c r="X1907" s="210"/>
      <c r="Y1907" s="210"/>
      <c r="Z1907" s="210"/>
      <c r="AA1907" s="210"/>
      <c r="AB1907" s="210"/>
      <c r="AC1907" s="210"/>
      <c r="AD1907" s="210"/>
      <c r="AE1907" s="210"/>
      <c r="AF1907" s="210"/>
      <c r="AG1907" s="210"/>
      <c r="AH1907" s="210"/>
      <c r="AI1907" s="210"/>
      <c r="AJ1907" s="210"/>
    </row>
    <row r="1908" ht="14.25" customHeight="1">
      <c r="A1908" s="210"/>
      <c r="B1908" s="210"/>
      <c r="C1908" s="210"/>
      <c r="D1908" s="210"/>
      <c r="E1908" s="210"/>
      <c r="F1908" s="210"/>
      <c r="G1908" s="210"/>
      <c r="H1908" s="210"/>
      <c r="I1908" s="210"/>
      <c r="J1908" s="210"/>
      <c r="K1908" s="210"/>
      <c r="L1908" s="210"/>
      <c r="M1908" s="210"/>
      <c r="N1908" s="210"/>
      <c r="O1908" s="210"/>
      <c r="P1908" s="210"/>
      <c r="Q1908" s="210"/>
      <c r="R1908" s="210"/>
      <c r="S1908" s="210"/>
      <c r="T1908" s="210"/>
      <c r="U1908" s="210"/>
      <c r="V1908" s="210"/>
      <c r="W1908" s="210"/>
      <c r="X1908" s="210"/>
      <c r="Y1908" s="210"/>
      <c r="Z1908" s="210"/>
      <c r="AA1908" s="210"/>
      <c r="AB1908" s="210"/>
      <c r="AC1908" s="210"/>
      <c r="AD1908" s="210"/>
      <c r="AE1908" s="210"/>
      <c r="AF1908" s="210"/>
      <c r="AG1908" s="210"/>
      <c r="AH1908" s="210"/>
      <c r="AI1908" s="210"/>
      <c r="AJ1908" s="210"/>
    </row>
    <row r="1909" ht="14.25" customHeight="1">
      <c r="A1909" s="210"/>
      <c r="B1909" s="210"/>
      <c r="C1909" s="210"/>
      <c r="D1909" s="210"/>
      <c r="E1909" s="210"/>
      <c r="F1909" s="210"/>
      <c r="G1909" s="210"/>
      <c r="H1909" s="210"/>
      <c r="I1909" s="210"/>
      <c r="J1909" s="210"/>
      <c r="K1909" s="210"/>
      <c r="L1909" s="210"/>
      <c r="M1909" s="210"/>
      <c r="N1909" s="210"/>
      <c r="O1909" s="210"/>
      <c r="P1909" s="210"/>
      <c r="Q1909" s="210"/>
      <c r="R1909" s="210"/>
      <c r="S1909" s="210"/>
      <c r="T1909" s="210"/>
      <c r="U1909" s="210"/>
      <c r="V1909" s="210"/>
      <c r="W1909" s="210"/>
      <c r="X1909" s="210"/>
      <c r="Y1909" s="210"/>
      <c r="Z1909" s="210"/>
      <c r="AA1909" s="210"/>
      <c r="AB1909" s="210"/>
      <c r="AC1909" s="210"/>
      <c r="AD1909" s="210"/>
      <c r="AE1909" s="210"/>
      <c r="AF1909" s="210"/>
      <c r="AG1909" s="210"/>
      <c r="AH1909" s="210"/>
      <c r="AI1909" s="210"/>
      <c r="AJ1909" s="210"/>
    </row>
    <row r="1910" ht="14.25" customHeight="1">
      <c r="A1910" s="210"/>
      <c r="B1910" s="210"/>
      <c r="C1910" s="210"/>
      <c r="D1910" s="210"/>
      <c r="E1910" s="210"/>
      <c r="F1910" s="210"/>
      <c r="G1910" s="210"/>
      <c r="H1910" s="210"/>
      <c r="I1910" s="210"/>
      <c r="J1910" s="210"/>
      <c r="K1910" s="210"/>
      <c r="L1910" s="210"/>
      <c r="M1910" s="210"/>
      <c r="N1910" s="210"/>
      <c r="O1910" s="210"/>
      <c r="P1910" s="210"/>
      <c r="Q1910" s="210"/>
      <c r="R1910" s="210"/>
      <c r="S1910" s="210"/>
      <c r="T1910" s="210"/>
      <c r="U1910" s="210"/>
      <c r="V1910" s="210"/>
      <c r="W1910" s="210"/>
      <c r="X1910" s="210"/>
      <c r="Y1910" s="210"/>
      <c r="Z1910" s="210"/>
      <c r="AA1910" s="210"/>
      <c r="AB1910" s="210"/>
      <c r="AC1910" s="210"/>
      <c r="AD1910" s="210"/>
      <c r="AE1910" s="210"/>
      <c r="AF1910" s="210"/>
      <c r="AG1910" s="210"/>
      <c r="AH1910" s="210"/>
      <c r="AI1910" s="210"/>
      <c r="AJ1910" s="210"/>
    </row>
    <row r="1911" ht="14.25" customHeight="1">
      <c r="A1911" s="210"/>
      <c r="B1911" s="210"/>
      <c r="C1911" s="210"/>
      <c r="D1911" s="210"/>
      <c r="E1911" s="210"/>
      <c r="F1911" s="210"/>
      <c r="G1911" s="210"/>
      <c r="H1911" s="210"/>
      <c r="I1911" s="210"/>
      <c r="J1911" s="210"/>
      <c r="K1911" s="210"/>
      <c r="L1911" s="210"/>
      <c r="M1911" s="210"/>
      <c r="N1911" s="210"/>
      <c r="O1911" s="210"/>
      <c r="P1911" s="210"/>
      <c r="Q1911" s="210"/>
      <c r="R1911" s="210"/>
      <c r="S1911" s="210"/>
      <c r="T1911" s="210"/>
      <c r="U1911" s="210"/>
      <c r="V1911" s="210"/>
      <c r="W1911" s="210"/>
      <c r="X1911" s="210"/>
      <c r="Y1911" s="210"/>
      <c r="Z1911" s="210"/>
      <c r="AA1911" s="210"/>
      <c r="AB1911" s="210"/>
      <c r="AC1911" s="210"/>
      <c r="AD1911" s="210"/>
      <c r="AE1911" s="210"/>
      <c r="AF1911" s="210"/>
      <c r="AG1911" s="210"/>
      <c r="AH1911" s="210"/>
      <c r="AI1911" s="210"/>
      <c r="AJ1911" s="210"/>
    </row>
    <row r="1912" ht="14.25" customHeight="1">
      <c r="A1912" s="210"/>
      <c r="B1912" s="210"/>
      <c r="C1912" s="210"/>
      <c r="D1912" s="210"/>
      <c r="E1912" s="210"/>
      <c r="F1912" s="210"/>
      <c r="G1912" s="210"/>
      <c r="H1912" s="210"/>
      <c r="I1912" s="210"/>
      <c r="J1912" s="210"/>
      <c r="K1912" s="210"/>
      <c r="L1912" s="210"/>
      <c r="M1912" s="210"/>
      <c r="N1912" s="210"/>
      <c r="O1912" s="210"/>
      <c r="P1912" s="210"/>
      <c r="Q1912" s="210"/>
      <c r="R1912" s="210"/>
      <c r="S1912" s="210"/>
      <c r="T1912" s="210"/>
      <c r="U1912" s="210"/>
      <c r="V1912" s="210"/>
      <c r="W1912" s="210"/>
      <c r="X1912" s="210"/>
      <c r="Y1912" s="210"/>
      <c r="Z1912" s="210"/>
      <c r="AA1912" s="210"/>
      <c r="AB1912" s="210"/>
      <c r="AC1912" s="210"/>
      <c r="AD1912" s="210"/>
      <c r="AE1912" s="210"/>
      <c r="AF1912" s="210"/>
      <c r="AG1912" s="210"/>
      <c r="AH1912" s="210"/>
      <c r="AI1912" s="210"/>
      <c r="AJ1912" s="210"/>
    </row>
    <row r="1913" ht="14.25" customHeight="1">
      <c r="A1913" s="210"/>
      <c r="B1913" s="210"/>
      <c r="C1913" s="210"/>
      <c r="D1913" s="210"/>
      <c r="E1913" s="210"/>
      <c r="F1913" s="210"/>
      <c r="G1913" s="210"/>
      <c r="H1913" s="210"/>
      <c r="I1913" s="210"/>
      <c r="J1913" s="210"/>
      <c r="K1913" s="210"/>
      <c r="L1913" s="210"/>
      <c r="M1913" s="210"/>
      <c r="N1913" s="210"/>
      <c r="O1913" s="210"/>
      <c r="P1913" s="210"/>
      <c r="Q1913" s="210"/>
      <c r="R1913" s="210"/>
      <c r="S1913" s="210"/>
      <c r="T1913" s="210"/>
      <c r="U1913" s="210"/>
      <c r="V1913" s="210"/>
      <c r="W1913" s="210"/>
      <c r="X1913" s="210"/>
      <c r="Y1913" s="210"/>
      <c r="Z1913" s="210"/>
      <c r="AA1913" s="210"/>
      <c r="AB1913" s="210"/>
      <c r="AC1913" s="210"/>
      <c r="AD1913" s="210"/>
      <c r="AE1913" s="210"/>
      <c r="AF1913" s="210"/>
      <c r="AG1913" s="210"/>
      <c r="AH1913" s="210"/>
      <c r="AI1913" s="210"/>
      <c r="AJ1913" s="210"/>
    </row>
    <row r="1914" ht="14.25" customHeight="1">
      <c r="A1914" s="210"/>
      <c r="B1914" s="210"/>
      <c r="C1914" s="210"/>
      <c r="D1914" s="210"/>
      <c r="E1914" s="210"/>
      <c r="F1914" s="210"/>
      <c r="G1914" s="210"/>
      <c r="H1914" s="210"/>
      <c r="I1914" s="210"/>
      <c r="J1914" s="210"/>
      <c r="K1914" s="210"/>
      <c r="L1914" s="210"/>
      <c r="M1914" s="210"/>
      <c r="N1914" s="210"/>
      <c r="O1914" s="210"/>
      <c r="P1914" s="210"/>
      <c r="Q1914" s="210"/>
      <c r="R1914" s="210"/>
      <c r="S1914" s="210"/>
      <c r="T1914" s="210"/>
      <c r="U1914" s="210"/>
      <c r="V1914" s="210"/>
      <c r="W1914" s="210"/>
      <c r="X1914" s="210"/>
      <c r="Y1914" s="210"/>
      <c r="Z1914" s="210"/>
      <c r="AA1914" s="210"/>
      <c r="AB1914" s="210"/>
      <c r="AC1914" s="210"/>
      <c r="AD1914" s="210"/>
      <c r="AE1914" s="210"/>
      <c r="AF1914" s="210"/>
      <c r="AG1914" s="210"/>
      <c r="AH1914" s="210"/>
      <c r="AI1914" s="210"/>
      <c r="AJ1914" s="210"/>
    </row>
    <row r="1915" ht="14.25" customHeight="1">
      <c r="A1915" s="210"/>
      <c r="B1915" s="210"/>
      <c r="C1915" s="210"/>
      <c r="D1915" s="210"/>
      <c r="E1915" s="210"/>
      <c r="F1915" s="210"/>
      <c r="G1915" s="210"/>
      <c r="H1915" s="210"/>
      <c r="I1915" s="210"/>
      <c r="J1915" s="210"/>
      <c r="K1915" s="210"/>
      <c r="L1915" s="210"/>
      <c r="M1915" s="210"/>
      <c r="N1915" s="210"/>
      <c r="O1915" s="210"/>
      <c r="P1915" s="210"/>
      <c r="Q1915" s="210"/>
      <c r="R1915" s="210"/>
      <c r="S1915" s="210"/>
      <c r="T1915" s="210"/>
      <c r="U1915" s="210"/>
      <c r="V1915" s="210"/>
      <c r="W1915" s="210"/>
      <c r="X1915" s="210"/>
      <c r="Y1915" s="210"/>
      <c r="Z1915" s="210"/>
      <c r="AA1915" s="210"/>
      <c r="AB1915" s="210"/>
      <c r="AC1915" s="210"/>
      <c r="AD1915" s="210"/>
      <c r="AE1915" s="210"/>
      <c r="AF1915" s="210"/>
      <c r="AG1915" s="210"/>
      <c r="AH1915" s="210"/>
      <c r="AI1915" s="210"/>
      <c r="AJ1915" s="210"/>
    </row>
    <row r="1916" ht="14.25" customHeight="1">
      <c r="A1916" s="210"/>
      <c r="B1916" s="210"/>
      <c r="C1916" s="210"/>
      <c r="D1916" s="210"/>
      <c r="E1916" s="210"/>
      <c r="F1916" s="210"/>
      <c r="G1916" s="210"/>
      <c r="H1916" s="210"/>
      <c r="I1916" s="210"/>
      <c r="J1916" s="210"/>
      <c r="K1916" s="210"/>
      <c r="L1916" s="210"/>
      <c r="M1916" s="210"/>
      <c r="N1916" s="210"/>
      <c r="O1916" s="210"/>
      <c r="P1916" s="210"/>
      <c r="Q1916" s="210"/>
      <c r="R1916" s="210"/>
      <c r="S1916" s="210"/>
      <c r="T1916" s="210"/>
      <c r="U1916" s="210"/>
      <c r="V1916" s="210"/>
      <c r="W1916" s="210"/>
      <c r="X1916" s="210"/>
      <c r="Y1916" s="210"/>
      <c r="Z1916" s="210"/>
      <c r="AA1916" s="210"/>
      <c r="AB1916" s="210"/>
      <c r="AC1916" s="210"/>
      <c r="AD1916" s="210"/>
      <c r="AE1916" s="210"/>
      <c r="AF1916" s="210"/>
      <c r="AG1916" s="210"/>
      <c r="AH1916" s="210"/>
      <c r="AI1916" s="210"/>
      <c r="AJ1916" s="210"/>
    </row>
    <row r="1917" ht="14.25" customHeight="1">
      <c r="A1917" s="210"/>
      <c r="B1917" s="210"/>
      <c r="C1917" s="210"/>
      <c r="D1917" s="210"/>
      <c r="E1917" s="210"/>
      <c r="F1917" s="210"/>
      <c r="G1917" s="210"/>
      <c r="H1917" s="210"/>
      <c r="I1917" s="210"/>
      <c r="J1917" s="210"/>
      <c r="K1917" s="210"/>
      <c r="L1917" s="210"/>
      <c r="M1917" s="210"/>
      <c r="N1917" s="210"/>
      <c r="O1917" s="210"/>
      <c r="P1917" s="210"/>
      <c r="Q1917" s="210"/>
      <c r="R1917" s="210"/>
      <c r="S1917" s="210"/>
      <c r="T1917" s="210"/>
      <c r="U1917" s="210"/>
      <c r="V1917" s="210"/>
      <c r="W1917" s="210"/>
      <c r="X1917" s="210"/>
      <c r="Y1917" s="210"/>
      <c r="Z1917" s="210"/>
      <c r="AA1917" s="210"/>
      <c r="AB1917" s="210"/>
      <c r="AC1917" s="210"/>
      <c r="AD1917" s="210"/>
      <c r="AE1917" s="210"/>
      <c r="AF1917" s="210"/>
      <c r="AG1917" s="210"/>
      <c r="AH1917" s="210"/>
      <c r="AI1917" s="210"/>
      <c r="AJ1917" s="210"/>
    </row>
    <row r="1918" ht="14.25" customHeight="1">
      <c r="A1918" s="210"/>
      <c r="B1918" s="210"/>
      <c r="C1918" s="210"/>
      <c r="D1918" s="210"/>
      <c r="E1918" s="210"/>
      <c r="F1918" s="210"/>
      <c r="G1918" s="210"/>
      <c r="H1918" s="210"/>
      <c r="I1918" s="210"/>
      <c r="J1918" s="210"/>
      <c r="K1918" s="210"/>
      <c r="L1918" s="210"/>
      <c r="M1918" s="210"/>
      <c r="N1918" s="210"/>
      <c r="O1918" s="210"/>
      <c r="P1918" s="210"/>
      <c r="Q1918" s="210"/>
      <c r="R1918" s="210"/>
      <c r="S1918" s="210"/>
      <c r="T1918" s="210"/>
      <c r="U1918" s="210"/>
      <c r="V1918" s="210"/>
      <c r="W1918" s="210"/>
      <c r="X1918" s="210"/>
      <c r="Y1918" s="210"/>
      <c r="Z1918" s="210"/>
      <c r="AA1918" s="210"/>
      <c r="AB1918" s="210"/>
      <c r="AC1918" s="210"/>
      <c r="AD1918" s="210"/>
      <c r="AE1918" s="210"/>
      <c r="AF1918" s="210"/>
      <c r="AG1918" s="210"/>
      <c r="AH1918" s="210"/>
      <c r="AI1918" s="210"/>
      <c r="AJ1918" s="210"/>
    </row>
    <row r="1919" ht="14.25" customHeight="1">
      <c r="A1919" s="210"/>
      <c r="B1919" s="210"/>
      <c r="C1919" s="210"/>
      <c r="D1919" s="210"/>
      <c r="E1919" s="210"/>
      <c r="F1919" s="210"/>
      <c r="G1919" s="210"/>
      <c r="H1919" s="210"/>
      <c r="I1919" s="210"/>
      <c r="J1919" s="210"/>
      <c r="K1919" s="210"/>
      <c r="L1919" s="210"/>
      <c r="M1919" s="210"/>
      <c r="N1919" s="210"/>
      <c r="O1919" s="210"/>
      <c r="P1919" s="210"/>
      <c r="Q1919" s="210"/>
      <c r="R1919" s="210"/>
      <c r="S1919" s="210"/>
      <c r="T1919" s="210"/>
      <c r="U1919" s="210"/>
      <c r="V1919" s="210"/>
      <c r="W1919" s="210"/>
      <c r="X1919" s="210"/>
      <c r="Y1919" s="210"/>
      <c r="Z1919" s="210"/>
      <c r="AA1919" s="210"/>
      <c r="AB1919" s="210"/>
      <c r="AC1919" s="210"/>
      <c r="AD1919" s="210"/>
      <c r="AE1919" s="210"/>
      <c r="AF1919" s="210"/>
      <c r="AG1919" s="210"/>
      <c r="AH1919" s="210"/>
      <c r="AI1919" s="210"/>
      <c r="AJ1919" s="210"/>
    </row>
    <row r="1920" ht="14.25" customHeight="1">
      <c r="A1920" s="210"/>
      <c r="B1920" s="210"/>
      <c r="C1920" s="210"/>
      <c r="D1920" s="210"/>
      <c r="E1920" s="210"/>
      <c r="F1920" s="210"/>
      <c r="G1920" s="210"/>
      <c r="H1920" s="210"/>
      <c r="I1920" s="210"/>
      <c r="J1920" s="210"/>
      <c r="K1920" s="210"/>
      <c r="L1920" s="210"/>
      <c r="M1920" s="210"/>
      <c r="N1920" s="210"/>
      <c r="O1920" s="210"/>
      <c r="P1920" s="210"/>
      <c r="Q1920" s="210"/>
      <c r="R1920" s="210"/>
      <c r="S1920" s="210"/>
      <c r="T1920" s="210"/>
      <c r="U1920" s="210"/>
      <c r="V1920" s="210"/>
      <c r="W1920" s="210"/>
      <c r="X1920" s="210"/>
      <c r="Y1920" s="210"/>
      <c r="Z1920" s="210"/>
      <c r="AA1920" s="210"/>
      <c r="AB1920" s="210"/>
      <c r="AC1920" s="210"/>
      <c r="AD1920" s="210"/>
      <c r="AE1920" s="210"/>
      <c r="AF1920" s="210"/>
      <c r="AG1920" s="210"/>
      <c r="AH1920" s="210"/>
      <c r="AI1920" s="210"/>
      <c r="AJ1920" s="210"/>
    </row>
    <row r="1921" ht="14.25" customHeight="1">
      <c r="A1921" s="210"/>
      <c r="B1921" s="210"/>
      <c r="C1921" s="210"/>
      <c r="D1921" s="210"/>
      <c r="E1921" s="210"/>
      <c r="F1921" s="210"/>
      <c r="G1921" s="210"/>
      <c r="H1921" s="210"/>
      <c r="I1921" s="210"/>
      <c r="J1921" s="210"/>
      <c r="K1921" s="210"/>
      <c r="L1921" s="210"/>
      <c r="M1921" s="210"/>
      <c r="N1921" s="210"/>
      <c r="O1921" s="210"/>
      <c r="P1921" s="210"/>
      <c r="Q1921" s="210"/>
      <c r="R1921" s="210"/>
      <c r="S1921" s="210"/>
      <c r="T1921" s="210"/>
      <c r="U1921" s="210"/>
      <c r="V1921" s="210"/>
      <c r="W1921" s="210"/>
      <c r="X1921" s="210"/>
      <c r="Y1921" s="210"/>
      <c r="Z1921" s="210"/>
      <c r="AA1921" s="210"/>
      <c r="AB1921" s="210"/>
      <c r="AC1921" s="210"/>
      <c r="AD1921" s="210"/>
      <c r="AE1921" s="210"/>
      <c r="AF1921" s="210"/>
      <c r="AG1921" s="210"/>
      <c r="AH1921" s="210"/>
      <c r="AI1921" s="210"/>
      <c r="AJ1921" s="210"/>
    </row>
    <row r="1922" ht="14.25" customHeight="1">
      <c r="A1922" s="210"/>
      <c r="B1922" s="210"/>
      <c r="C1922" s="210"/>
      <c r="D1922" s="210"/>
      <c r="E1922" s="210"/>
      <c r="F1922" s="210"/>
      <c r="G1922" s="210"/>
      <c r="H1922" s="210"/>
      <c r="I1922" s="210"/>
      <c r="J1922" s="210"/>
      <c r="K1922" s="210"/>
      <c r="L1922" s="210"/>
      <c r="M1922" s="210"/>
      <c r="N1922" s="210"/>
      <c r="O1922" s="210"/>
      <c r="P1922" s="210"/>
      <c r="Q1922" s="210"/>
      <c r="R1922" s="210"/>
      <c r="S1922" s="210"/>
      <c r="T1922" s="210"/>
      <c r="U1922" s="210"/>
      <c r="V1922" s="210"/>
      <c r="W1922" s="210"/>
      <c r="X1922" s="210"/>
      <c r="Y1922" s="210"/>
      <c r="Z1922" s="210"/>
      <c r="AA1922" s="210"/>
      <c r="AB1922" s="210"/>
      <c r="AC1922" s="210"/>
      <c r="AD1922" s="210"/>
      <c r="AE1922" s="210"/>
      <c r="AF1922" s="210"/>
      <c r="AG1922" s="210"/>
      <c r="AH1922" s="210"/>
      <c r="AI1922" s="210"/>
      <c r="AJ1922" s="210"/>
    </row>
    <row r="1923" ht="14.25" customHeight="1">
      <c r="A1923" s="210"/>
      <c r="B1923" s="210"/>
      <c r="C1923" s="210"/>
      <c r="D1923" s="210"/>
      <c r="E1923" s="210"/>
      <c r="F1923" s="210"/>
      <c r="G1923" s="210"/>
      <c r="H1923" s="210"/>
      <c r="I1923" s="210"/>
      <c r="J1923" s="210"/>
      <c r="K1923" s="210"/>
      <c r="L1923" s="210"/>
      <c r="M1923" s="210"/>
      <c r="N1923" s="210"/>
      <c r="O1923" s="210"/>
      <c r="P1923" s="210"/>
      <c r="Q1923" s="210"/>
      <c r="R1923" s="210"/>
      <c r="S1923" s="210"/>
      <c r="T1923" s="210"/>
      <c r="U1923" s="210"/>
      <c r="V1923" s="210"/>
      <c r="W1923" s="210"/>
      <c r="X1923" s="210"/>
      <c r="Y1923" s="210"/>
      <c r="Z1923" s="210"/>
      <c r="AA1923" s="210"/>
      <c r="AB1923" s="210"/>
      <c r="AC1923" s="210"/>
      <c r="AD1923" s="210"/>
      <c r="AE1923" s="210"/>
      <c r="AF1923" s="210"/>
      <c r="AG1923" s="210"/>
      <c r="AH1923" s="210"/>
      <c r="AI1923" s="210"/>
      <c r="AJ1923" s="210"/>
    </row>
    <row r="1924" ht="14.25" customHeight="1">
      <c r="A1924" s="210"/>
      <c r="B1924" s="210"/>
      <c r="C1924" s="210"/>
      <c r="D1924" s="210"/>
      <c r="E1924" s="210"/>
      <c r="F1924" s="210"/>
      <c r="G1924" s="210"/>
      <c r="H1924" s="210"/>
      <c r="I1924" s="210"/>
      <c r="J1924" s="210"/>
      <c r="K1924" s="210"/>
      <c r="L1924" s="210"/>
      <c r="M1924" s="210"/>
      <c r="N1924" s="210"/>
      <c r="O1924" s="210"/>
      <c r="P1924" s="210"/>
      <c r="Q1924" s="210"/>
      <c r="R1924" s="210"/>
      <c r="S1924" s="210"/>
      <c r="T1924" s="210"/>
      <c r="U1924" s="210"/>
      <c r="V1924" s="210"/>
      <c r="W1924" s="210"/>
      <c r="X1924" s="210"/>
      <c r="Y1924" s="210"/>
      <c r="Z1924" s="210"/>
      <c r="AA1924" s="210"/>
      <c r="AB1924" s="210"/>
      <c r="AC1924" s="210"/>
      <c r="AD1924" s="210"/>
      <c r="AE1924" s="210"/>
      <c r="AF1924" s="210"/>
      <c r="AG1924" s="210"/>
      <c r="AH1924" s="210"/>
      <c r="AI1924" s="210"/>
      <c r="AJ1924" s="210"/>
    </row>
    <row r="1925" ht="14.25" customHeight="1">
      <c r="A1925" s="210"/>
      <c r="B1925" s="210"/>
      <c r="C1925" s="210"/>
      <c r="D1925" s="210"/>
      <c r="E1925" s="210"/>
      <c r="F1925" s="210"/>
      <c r="G1925" s="210"/>
      <c r="H1925" s="210"/>
      <c r="I1925" s="210"/>
      <c r="J1925" s="210"/>
      <c r="K1925" s="210"/>
      <c r="L1925" s="210"/>
      <c r="M1925" s="210"/>
      <c r="N1925" s="210"/>
      <c r="O1925" s="210"/>
      <c r="P1925" s="210"/>
      <c r="Q1925" s="210"/>
      <c r="R1925" s="210"/>
      <c r="S1925" s="210"/>
      <c r="T1925" s="210"/>
      <c r="U1925" s="210"/>
      <c r="V1925" s="210"/>
      <c r="W1925" s="210"/>
      <c r="X1925" s="210"/>
      <c r="Y1925" s="210"/>
      <c r="Z1925" s="210"/>
      <c r="AA1925" s="210"/>
      <c r="AB1925" s="210"/>
      <c r="AC1925" s="210"/>
      <c r="AD1925" s="210"/>
      <c r="AE1925" s="210"/>
      <c r="AF1925" s="210"/>
      <c r="AG1925" s="210"/>
      <c r="AH1925" s="210"/>
      <c r="AI1925" s="210"/>
      <c r="AJ1925" s="210"/>
    </row>
    <row r="1926" ht="14.25" customHeight="1">
      <c r="A1926" s="210"/>
      <c r="B1926" s="210"/>
      <c r="C1926" s="210"/>
      <c r="D1926" s="210"/>
      <c r="E1926" s="210"/>
      <c r="F1926" s="210"/>
      <c r="G1926" s="210"/>
      <c r="H1926" s="210"/>
      <c r="I1926" s="210"/>
      <c r="J1926" s="210"/>
      <c r="K1926" s="210"/>
      <c r="L1926" s="210"/>
      <c r="M1926" s="210"/>
      <c r="N1926" s="210"/>
      <c r="O1926" s="210"/>
      <c r="P1926" s="210"/>
      <c r="Q1926" s="210"/>
      <c r="R1926" s="210"/>
      <c r="S1926" s="210"/>
      <c r="T1926" s="210"/>
      <c r="U1926" s="210"/>
      <c r="V1926" s="210"/>
      <c r="W1926" s="210"/>
      <c r="X1926" s="210"/>
      <c r="Y1926" s="210"/>
      <c r="Z1926" s="210"/>
      <c r="AA1926" s="210"/>
      <c r="AB1926" s="210"/>
      <c r="AC1926" s="210"/>
      <c r="AD1926" s="210"/>
      <c r="AE1926" s="210"/>
      <c r="AF1926" s="210"/>
      <c r="AG1926" s="210"/>
      <c r="AH1926" s="210"/>
      <c r="AI1926" s="210"/>
      <c r="AJ1926" s="210"/>
    </row>
    <row r="1927" ht="14.25" customHeight="1">
      <c r="A1927" s="210"/>
      <c r="B1927" s="210"/>
      <c r="C1927" s="210"/>
      <c r="D1927" s="210"/>
      <c r="E1927" s="210"/>
      <c r="F1927" s="210"/>
      <c r="G1927" s="210"/>
      <c r="H1927" s="210"/>
      <c r="I1927" s="210"/>
      <c r="J1927" s="210"/>
      <c r="K1927" s="210"/>
      <c r="L1927" s="210"/>
      <c r="M1927" s="210"/>
      <c r="N1927" s="210"/>
      <c r="O1927" s="210"/>
      <c r="P1927" s="210"/>
      <c r="Q1927" s="210"/>
      <c r="R1927" s="210"/>
      <c r="S1927" s="210"/>
      <c r="T1927" s="210"/>
      <c r="U1927" s="210"/>
      <c r="V1927" s="210"/>
      <c r="W1927" s="210"/>
      <c r="X1927" s="210"/>
      <c r="Y1927" s="210"/>
      <c r="Z1927" s="210"/>
      <c r="AA1927" s="210"/>
      <c r="AB1927" s="210"/>
      <c r="AC1927" s="210"/>
      <c r="AD1927" s="210"/>
      <c r="AE1927" s="210"/>
      <c r="AF1927" s="210"/>
      <c r="AG1927" s="210"/>
      <c r="AH1927" s="210"/>
      <c r="AI1927" s="210"/>
      <c r="AJ1927" s="210"/>
    </row>
    <row r="1928" ht="14.25" customHeight="1">
      <c r="A1928" s="210"/>
      <c r="B1928" s="210"/>
      <c r="C1928" s="210"/>
      <c r="D1928" s="210"/>
      <c r="E1928" s="210"/>
      <c r="F1928" s="210"/>
      <c r="G1928" s="210"/>
      <c r="H1928" s="210"/>
      <c r="I1928" s="210"/>
      <c r="J1928" s="210"/>
      <c r="K1928" s="210"/>
      <c r="L1928" s="210"/>
      <c r="M1928" s="210"/>
      <c r="N1928" s="210"/>
      <c r="O1928" s="210"/>
      <c r="P1928" s="210"/>
      <c r="Q1928" s="210"/>
      <c r="R1928" s="210"/>
      <c r="S1928" s="210"/>
      <c r="T1928" s="210"/>
      <c r="U1928" s="210"/>
      <c r="V1928" s="210"/>
      <c r="W1928" s="210"/>
      <c r="X1928" s="210"/>
      <c r="Y1928" s="210"/>
      <c r="Z1928" s="210"/>
      <c r="AA1928" s="210"/>
      <c r="AB1928" s="210"/>
      <c r="AC1928" s="210"/>
      <c r="AD1928" s="210"/>
      <c r="AE1928" s="210"/>
      <c r="AF1928" s="210"/>
      <c r="AG1928" s="210"/>
      <c r="AH1928" s="210"/>
      <c r="AI1928" s="210"/>
      <c r="AJ1928" s="210"/>
    </row>
    <row r="1929" ht="14.25" customHeight="1">
      <c r="A1929" s="210"/>
      <c r="B1929" s="210"/>
      <c r="C1929" s="210"/>
      <c r="D1929" s="210"/>
      <c r="E1929" s="210"/>
      <c r="F1929" s="210"/>
      <c r="G1929" s="210"/>
      <c r="H1929" s="210"/>
      <c r="I1929" s="210"/>
      <c r="J1929" s="210"/>
      <c r="K1929" s="210"/>
      <c r="L1929" s="210"/>
      <c r="M1929" s="210"/>
      <c r="N1929" s="210"/>
      <c r="O1929" s="210"/>
      <c r="P1929" s="210"/>
      <c r="Q1929" s="210"/>
      <c r="R1929" s="210"/>
      <c r="S1929" s="210"/>
      <c r="T1929" s="210"/>
      <c r="U1929" s="210"/>
      <c r="V1929" s="210"/>
      <c r="W1929" s="210"/>
      <c r="X1929" s="210"/>
      <c r="Y1929" s="210"/>
      <c r="Z1929" s="210"/>
      <c r="AA1929" s="210"/>
      <c r="AB1929" s="210"/>
      <c r="AC1929" s="210"/>
      <c r="AD1929" s="210"/>
      <c r="AE1929" s="210"/>
      <c r="AF1929" s="210"/>
      <c r="AG1929" s="210"/>
      <c r="AH1929" s="210"/>
      <c r="AI1929" s="210"/>
      <c r="AJ1929" s="210"/>
    </row>
    <row r="1930" ht="14.25" customHeight="1">
      <c r="A1930" s="210"/>
      <c r="B1930" s="210"/>
      <c r="C1930" s="210"/>
      <c r="D1930" s="210"/>
      <c r="E1930" s="210"/>
      <c r="F1930" s="210"/>
      <c r="G1930" s="210"/>
      <c r="H1930" s="210"/>
      <c r="I1930" s="210"/>
      <c r="J1930" s="210"/>
      <c r="K1930" s="210"/>
      <c r="L1930" s="210"/>
      <c r="M1930" s="210"/>
      <c r="N1930" s="210"/>
      <c r="O1930" s="210"/>
      <c r="P1930" s="210"/>
      <c r="Q1930" s="210"/>
      <c r="R1930" s="210"/>
      <c r="S1930" s="210"/>
      <c r="T1930" s="210"/>
      <c r="U1930" s="210"/>
      <c r="V1930" s="210"/>
      <c r="W1930" s="210"/>
      <c r="X1930" s="210"/>
      <c r="Y1930" s="210"/>
      <c r="Z1930" s="210"/>
      <c r="AA1930" s="210"/>
      <c r="AB1930" s="210"/>
      <c r="AC1930" s="210"/>
      <c r="AD1930" s="210"/>
      <c r="AE1930" s="210"/>
      <c r="AF1930" s="210"/>
      <c r="AG1930" s="210"/>
      <c r="AH1930" s="210"/>
      <c r="AI1930" s="210"/>
      <c r="AJ1930" s="210"/>
    </row>
    <row r="1931" ht="14.25" customHeight="1">
      <c r="A1931" s="210"/>
      <c r="B1931" s="210"/>
      <c r="C1931" s="210"/>
      <c r="D1931" s="210"/>
      <c r="E1931" s="210"/>
      <c r="F1931" s="210"/>
      <c r="G1931" s="210"/>
      <c r="H1931" s="210"/>
      <c r="I1931" s="210"/>
      <c r="J1931" s="210"/>
      <c r="K1931" s="210"/>
      <c r="L1931" s="210"/>
      <c r="M1931" s="210"/>
      <c r="N1931" s="210"/>
      <c r="O1931" s="210"/>
      <c r="P1931" s="210"/>
      <c r="Q1931" s="210"/>
      <c r="R1931" s="210"/>
      <c r="S1931" s="210"/>
      <c r="T1931" s="210"/>
      <c r="U1931" s="210"/>
      <c r="V1931" s="210"/>
      <c r="W1931" s="210"/>
      <c r="X1931" s="210"/>
      <c r="Y1931" s="210"/>
      <c r="Z1931" s="210"/>
      <c r="AA1931" s="210"/>
      <c r="AB1931" s="210"/>
      <c r="AC1931" s="210"/>
      <c r="AD1931" s="210"/>
      <c r="AE1931" s="210"/>
      <c r="AF1931" s="210"/>
      <c r="AG1931" s="210"/>
      <c r="AH1931" s="210"/>
      <c r="AI1931" s="210"/>
      <c r="AJ1931" s="210"/>
    </row>
    <row r="1932" ht="14.25" customHeight="1">
      <c r="A1932" s="210"/>
      <c r="B1932" s="210"/>
      <c r="C1932" s="210"/>
      <c r="D1932" s="210"/>
      <c r="E1932" s="210"/>
      <c r="F1932" s="210"/>
      <c r="G1932" s="210"/>
      <c r="H1932" s="210"/>
      <c r="I1932" s="210"/>
      <c r="J1932" s="210"/>
      <c r="K1932" s="210"/>
      <c r="L1932" s="210"/>
      <c r="M1932" s="210"/>
      <c r="N1932" s="210"/>
      <c r="O1932" s="210"/>
      <c r="P1932" s="210"/>
      <c r="Q1932" s="210"/>
      <c r="R1932" s="210"/>
      <c r="S1932" s="210"/>
      <c r="T1932" s="210"/>
      <c r="U1932" s="210"/>
      <c r="V1932" s="210"/>
      <c r="W1932" s="210"/>
      <c r="X1932" s="210"/>
      <c r="Y1932" s="210"/>
      <c r="Z1932" s="210"/>
      <c r="AA1932" s="210"/>
      <c r="AB1932" s="210"/>
      <c r="AC1932" s="210"/>
      <c r="AD1932" s="210"/>
      <c r="AE1932" s="210"/>
      <c r="AF1932" s="210"/>
      <c r="AG1932" s="210"/>
      <c r="AH1932" s="210"/>
      <c r="AI1932" s="210"/>
      <c r="AJ1932" s="210"/>
    </row>
    <row r="1933" ht="14.25" customHeight="1">
      <c r="A1933" s="210"/>
      <c r="B1933" s="210"/>
      <c r="C1933" s="210"/>
      <c r="D1933" s="210"/>
      <c r="E1933" s="210"/>
      <c r="F1933" s="210"/>
      <c r="G1933" s="210"/>
      <c r="H1933" s="210"/>
      <c r="I1933" s="210"/>
      <c r="J1933" s="210"/>
      <c r="K1933" s="210"/>
      <c r="L1933" s="210"/>
      <c r="M1933" s="210"/>
      <c r="N1933" s="210"/>
      <c r="O1933" s="210"/>
      <c r="P1933" s="210"/>
      <c r="Q1933" s="210"/>
      <c r="R1933" s="210"/>
      <c r="S1933" s="210"/>
      <c r="T1933" s="210"/>
      <c r="U1933" s="210"/>
      <c r="V1933" s="210"/>
      <c r="W1933" s="210"/>
      <c r="X1933" s="210"/>
      <c r="Y1933" s="210"/>
      <c r="Z1933" s="210"/>
      <c r="AA1933" s="210"/>
      <c r="AB1933" s="210"/>
      <c r="AC1933" s="210"/>
      <c r="AD1933" s="210"/>
      <c r="AE1933" s="210"/>
      <c r="AF1933" s="210"/>
      <c r="AG1933" s="210"/>
      <c r="AH1933" s="210"/>
      <c r="AI1933" s="210"/>
      <c r="AJ1933" s="210"/>
    </row>
    <row r="1934" ht="14.25" customHeight="1">
      <c r="A1934" s="210"/>
      <c r="B1934" s="210"/>
      <c r="C1934" s="210"/>
      <c r="D1934" s="210"/>
      <c r="E1934" s="210"/>
      <c r="F1934" s="210"/>
      <c r="G1934" s="210"/>
      <c r="H1934" s="210"/>
      <c r="I1934" s="210"/>
      <c r="J1934" s="210"/>
      <c r="K1934" s="210"/>
      <c r="L1934" s="210"/>
      <c r="M1934" s="210"/>
      <c r="N1934" s="210"/>
      <c r="O1934" s="210"/>
      <c r="P1934" s="210"/>
      <c r="Q1934" s="210"/>
      <c r="R1934" s="210"/>
      <c r="S1934" s="210"/>
      <c r="T1934" s="210"/>
      <c r="U1934" s="210"/>
      <c r="V1934" s="210"/>
      <c r="W1934" s="210"/>
      <c r="X1934" s="210"/>
      <c r="Y1934" s="210"/>
      <c r="Z1934" s="210"/>
      <c r="AA1934" s="210"/>
      <c r="AB1934" s="210"/>
      <c r="AC1934" s="210"/>
      <c r="AD1934" s="210"/>
      <c r="AE1934" s="210"/>
      <c r="AF1934" s="210"/>
      <c r="AG1934" s="210"/>
      <c r="AH1934" s="210"/>
      <c r="AI1934" s="210"/>
      <c r="AJ1934" s="210"/>
    </row>
    <row r="1935" ht="14.25" customHeight="1">
      <c r="A1935" s="210"/>
      <c r="B1935" s="210"/>
      <c r="C1935" s="210"/>
      <c r="D1935" s="210"/>
      <c r="E1935" s="210"/>
      <c r="F1935" s="210"/>
      <c r="G1935" s="210"/>
      <c r="H1935" s="210"/>
      <c r="I1935" s="210"/>
      <c r="J1935" s="210"/>
      <c r="K1935" s="210"/>
      <c r="L1935" s="210"/>
      <c r="M1935" s="210"/>
      <c r="N1935" s="210"/>
      <c r="O1935" s="210"/>
      <c r="P1935" s="210"/>
      <c r="Q1935" s="210"/>
      <c r="R1935" s="210"/>
      <c r="S1935" s="210"/>
      <c r="T1935" s="210"/>
      <c r="U1935" s="210"/>
      <c r="V1935" s="210"/>
      <c r="W1935" s="210"/>
      <c r="X1935" s="210"/>
      <c r="Y1935" s="210"/>
      <c r="Z1935" s="210"/>
      <c r="AA1935" s="210"/>
      <c r="AB1935" s="210"/>
      <c r="AC1935" s="210"/>
      <c r="AD1935" s="210"/>
      <c r="AE1935" s="210"/>
      <c r="AF1935" s="210"/>
      <c r="AG1935" s="210"/>
      <c r="AH1935" s="210"/>
      <c r="AI1935" s="210"/>
      <c r="AJ1935" s="210"/>
    </row>
    <row r="1936" ht="14.25" customHeight="1">
      <c r="A1936" s="210"/>
      <c r="B1936" s="210"/>
      <c r="C1936" s="210"/>
      <c r="D1936" s="210"/>
      <c r="E1936" s="210"/>
      <c r="F1936" s="210"/>
      <c r="G1936" s="210"/>
      <c r="H1936" s="210"/>
      <c r="I1936" s="210"/>
      <c r="J1936" s="210"/>
      <c r="K1936" s="210"/>
      <c r="L1936" s="210"/>
      <c r="M1936" s="210"/>
      <c r="N1936" s="210"/>
      <c r="O1936" s="210"/>
      <c r="P1936" s="210"/>
      <c r="Q1936" s="210"/>
      <c r="R1936" s="210"/>
      <c r="S1936" s="210"/>
      <c r="T1936" s="210"/>
      <c r="U1936" s="210"/>
      <c r="V1936" s="210"/>
      <c r="W1936" s="210"/>
      <c r="X1936" s="210"/>
      <c r="Y1936" s="210"/>
      <c r="Z1936" s="210"/>
      <c r="AA1936" s="210"/>
      <c r="AB1936" s="210"/>
      <c r="AC1936" s="210"/>
      <c r="AD1936" s="210"/>
      <c r="AE1936" s="210"/>
      <c r="AF1936" s="210"/>
      <c r="AG1936" s="210"/>
      <c r="AH1936" s="210"/>
      <c r="AI1936" s="210"/>
      <c r="AJ1936" s="210"/>
    </row>
    <row r="1937" ht="14.25" customHeight="1">
      <c r="A1937" s="210"/>
      <c r="B1937" s="210"/>
      <c r="C1937" s="210"/>
      <c r="D1937" s="210"/>
      <c r="E1937" s="210"/>
      <c r="F1937" s="210"/>
      <c r="G1937" s="210"/>
      <c r="H1937" s="210"/>
      <c r="I1937" s="210"/>
      <c r="J1937" s="210"/>
      <c r="K1937" s="210"/>
      <c r="L1937" s="210"/>
      <c r="M1937" s="210"/>
      <c r="N1937" s="210"/>
      <c r="O1937" s="210"/>
      <c r="P1937" s="210"/>
      <c r="Q1937" s="210"/>
      <c r="R1937" s="210"/>
      <c r="S1937" s="210"/>
      <c r="T1937" s="210"/>
      <c r="U1937" s="210"/>
      <c r="V1937" s="210"/>
      <c r="W1937" s="210"/>
      <c r="X1937" s="210"/>
      <c r="Y1937" s="210"/>
      <c r="Z1937" s="210"/>
      <c r="AA1937" s="210"/>
      <c r="AB1937" s="210"/>
      <c r="AC1937" s="210"/>
      <c r="AD1937" s="210"/>
      <c r="AE1937" s="210"/>
      <c r="AF1937" s="210"/>
      <c r="AG1937" s="210"/>
      <c r="AH1937" s="210"/>
      <c r="AI1937" s="210"/>
      <c r="AJ1937" s="210"/>
    </row>
    <row r="1938" ht="14.25" customHeight="1">
      <c r="A1938" s="210"/>
      <c r="B1938" s="210"/>
      <c r="C1938" s="210"/>
      <c r="D1938" s="210"/>
      <c r="E1938" s="210"/>
      <c r="F1938" s="210"/>
      <c r="G1938" s="210"/>
      <c r="H1938" s="210"/>
      <c r="I1938" s="210"/>
      <c r="J1938" s="210"/>
      <c r="K1938" s="210"/>
      <c r="L1938" s="210"/>
      <c r="M1938" s="210"/>
      <c r="N1938" s="210"/>
      <c r="O1938" s="210"/>
      <c r="P1938" s="210"/>
      <c r="Q1938" s="210"/>
      <c r="R1938" s="210"/>
      <c r="S1938" s="210"/>
      <c r="T1938" s="210"/>
      <c r="U1938" s="210"/>
      <c r="V1938" s="210"/>
      <c r="W1938" s="210"/>
      <c r="X1938" s="210"/>
      <c r="Y1938" s="210"/>
      <c r="Z1938" s="210"/>
      <c r="AA1938" s="210"/>
      <c r="AB1938" s="210"/>
      <c r="AC1938" s="210"/>
      <c r="AD1938" s="210"/>
      <c r="AE1938" s="210"/>
      <c r="AF1938" s="210"/>
      <c r="AG1938" s="210"/>
      <c r="AH1938" s="210"/>
      <c r="AI1938" s="210"/>
      <c r="AJ1938" s="210"/>
    </row>
    <row r="1939" ht="14.25" customHeight="1">
      <c r="A1939" s="210"/>
      <c r="B1939" s="210"/>
      <c r="C1939" s="210"/>
      <c r="D1939" s="210"/>
      <c r="E1939" s="210"/>
      <c r="F1939" s="210"/>
      <c r="G1939" s="210"/>
      <c r="H1939" s="210"/>
      <c r="I1939" s="210"/>
      <c r="J1939" s="210"/>
      <c r="K1939" s="210"/>
      <c r="L1939" s="210"/>
      <c r="M1939" s="210"/>
      <c r="N1939" s="210"/>
      <c r="O1939" s="210"/>
      <c r="P1939" s="210"/>
      <c r="Q1939" s="210"/>
      <c r="R1939" s="210"/>
      <c r="S1939" s="210"/>
      <c r="T1939" s="210"/>
      <c r="U1939" s="210"/>
      <c r="V1939" s="210"/>
      <c r="W1939" s="210"/>
      <c r="X1939" s="210"/>
      <c r="Y1939" s="210"/>
      <c r="Z1939" s="210"/>
      <c r="AA1939" s="210"/>
      <c r="AB1939" s="210"/>
      <c r="AC1939" s="210"/>
      <c r="AD1939" s="210"/>
      <c r="AE1939" s="210"/>
      <c r="AF1939" s="210"/>
      <c r="AG1939" s="210"/>
      <c r="AH1939" s="210"/>
      <c r="AI1939" s="210"/>
      <c r="AJ1939" s="210"/>
    </row>
    <row r="1940" ht="14.25" customHeight="1">
      <c r="A1940" s="210"/>
      <c r="B1940" s="210"/>
      <c r="C1940" s="210"/>
      <c r="D1940" s="210"/>
      <c r="E1940" s="210"/>
      <c r="F1940" s="210"/>
      <c r="G1940" s="210"/>
      <c r="H1940" s="210"/>
      <c r="I1940" s="210"/>
      <c r="J1940" s="210"/>
      <c r="K1940" s="210"/>
      <c r="L1940" s="210"/>
      <c r="M1940" s="210"/>
      <c r="N1940" s="210"/>
      <c r="O1940" s="210"/>
      <c r="P1940" s="210"/>
      <c r="Q1940" s="210"/>
      <c r="R1940" s="210"/>
      <c r="S1940" s="210"/>
      <c r="T1940" s="210"/>
      <c r="U1940" s="210"/>
      <c r="V1940" s="210"/>
      <c r="W1940" s="210"/>
      <c r="X1940" s="210"/>
      <c r="Y1940" s="210"/>
      <c r="Z1940" s="210"/>
      <c r="AA1940" s="210"/>
      <c r="AB1940" s="210"/>
      <c r="AC1940" s="210"/>
      <c r="AD1940" s="210"/>
      <c r="AE1940" s="210"/>
      <c r="AF1940" s="210"/>
      <c r="AG1940" s="210"/>
      <c r="AH1940" s="210"/>
      <c r="AI1940" s="210"/>
      <c r="AJ1940" s="210"/>
    </row>
    <row r="1941" ht="14.25" customHeight="1">
      <c r="A1941" s="210"/>
      <c r="B1941" s="210"/>
      <c r="C1941" s="210"/>
      <c r="D1941" s="210"/>
      <c r="E1941" s="210"/>
      <c r="F1941" s="210"/>
      <c r="G1941" s="210"/>
      <c r="H1941" s="210"/>
      <c r="I1941" s="210"/>
      <c r="J1941" s="210"/>
      <c r="K1941" s="210"/>
      <c r="L1941" s="210"/>
      <c r="M1941" s="210"/>
      <c r="N1941" s="210"/>
      <c r="O1941" s="210"/>
      <c r="P1941" s="210"/>
      <c r="Q1941" s="210"/>
      <c r="R1941" s="210"/>
      <c r="S1941" s="210"/>
      <c r="T1941" s="210"/>
      <c r="U1941" s="210"/>
      <c r="V1941" s="210"/>
      <c r="W1941" s="210"/>
      <c r="X1941" s="210"/>
      <c r="Y1941" s="210"/>
      <c r="Z1941" s="210"/>
      <c r="AA1941" s="210"/>
      <c r="AB1941" s="210"/>
      <c r="AC1941" s="210"/>
      <c r="AD1941" s="210"/>
      <c r="AE1941" s="210"/>
      <c r="AF1941" s="210"/>
      <c r="AG1941" s="210"/>
      <c r="AH1941" s="210"/>
      <c r="AI1941" s="210"/>
      <c r="AJ1941" s="210"/>
    </row>
    <row r="1942" ht="14.25" customHeight="1">
      <c r="A1942" s="210"/>
      <c r="B1942" s="210"/>
      <c r="C1942" s="210"/>
      <c r="D1942" s="210"/>
      <c r="E1942" s="210"/>
      <c r="F1942" s="210"/>
      <c r="G1942" s="210"/>
      <c r="H1942" s="210"/>
      <c r="I1942" s="210"/>
      <c r="J1942" s="210"/>
      <c r="K1942" s="210"/>
      <c r="L1942" s="210"/>
      <c r="M1942" s="210"/>
      <c r="N1942" s="210"/>
      <c r="O1942" s="210"/>
      <c r="P1942" s="210"/>
      <c r="Q1942" s="210"/>
      <c r="R1942" s="210"/>
      <c r="S1942" s="210"/>
      <c r="T1942" s="210"/>
      <c r="U1942" s="210"/>
      <c r="V1942" s="210"/>
      <c r="W1942" s="210"/>
      <c r="X1942" s="210"/>
      <c r="Y1942" s="210"/>
      <c r="Z1942" s="210"/>
      <c r="AA1942" s="210"/>
      <c r="AB1942" s="210"/>
      <c r="AC1942" s="210"/>
      <c r="AD1942" s="210"/>
      <c r="AE1942" s="210"/>
      <c r="AF1942" s="210"/>
      <c r="AG1942" s="210"/>
      <c r="AH1942" s="210"/>
      <c r="AI1942" s="210"/>
      <c r="AJ1942" s="210"/>
    </row>
    <row r="1943" ht="14.25" customHeight="1">
      <c r="A1943" s="210"/>
      <c r="B1943" s="210"/>
      <c r="C1943" s="210"/>
      <c r="D1943" s="210"/>
      <c r="E1943" s="210"/>
      <c r="F1943" s="210"/>
      <c r="G1943" s="210"/>
      <c r="H1943" s="210"/>
      <c r="I1943" s="210"/>
      <c r="J1943" s="210"/>
      <c r="K1943" s="210"/>
      <c r="L1943" s="210"/>
      <c r="M1943" s="210"/>
      <c r="N1943" s="210"/>
      <c r="O1943" s="210"/>
      <c r="P1943" s="210"/>
      <c r="Q1943" s="210"/>
      <c r="R1943" s="210"/>
      <c r="S1943" s="210"/>
      <c r="T1943" s="210"/>
      <c r="U1943" s="210"/>
      <c r="V1943" s="210"/>
      <c r="W1943" s="210"/>
      <c r="X1943" s="210"/>
      <c r="Y1943" s="210"/>
      <c r="Z1943" s="210"/>
      <c r="AA1943" s="210"/>
      <c r="AB1943" s="210"/>
      <c r="AC1943" s="210"/>
      <c r="AD1943" s="210"/>
      <c r="AE1943" s="210"/>
      <c r="AF1943" s="210"/>
      <c r="AG1943" s="210"/>
      <c r="AH1943" s="210"/>
      <c r="AI1943" s="210"/>
      <c r="AJ1943" s="210"/>
    </row>
    <row r="1944" ht="14.25" customHeight="1">
      <c r="A1944" s="210"/>
      <c r="B1944" s="210"/>
      <c r="C1944" s="210"/>
      <c r="D1944" s="210"/>
      <c r="E1944" s="210"/>
      <c r="F1944" s="210"/>
      <c r="G1944" s="210"/>
      <c r="H1944" s="210"/>
      <c r="I1944" s="210"/>
      <c r="J1944" s="210"/>
      <c r="K1944" s="210"/>
      <c r="L1944" s="210"/>
      <c r="M1944" s="210"/>
      <c r="N1944" s="210"/>
      <c r="O1944" s="210"/>
      <c r="P1944" s="210"/>
      <c r="Q1944" s="210"/>
      <c r="R1944" s="210"/>
      <c r="S1944" s="210"/>
      <c r="T1944" s="210"/>
      <c r="U1944" s="210"/>
      <c r="V1944" s="210"/>
      <c r="W1944" s="210"/>
      <c r="X1944" s="210"/>
      <c r="Y1944" s="210"/>
      <c r="Z1944" s="210"/>
      <c r="AA1944" s="210"/>
      <c r="AB1944" s="210"/>
      <c r="AC1944" s="210"/>
      <c r="AD1944" s="210"/>
      <c r="AE1944" s="210"/>
      <c r="AF1944" s="210"/>
      <c r="AG1944" s="210"/>
      <c r="AH1944" s="210"/>
      <c r="AI1944" s="210"/>
      <c r="AJ1944" s="210"/>
    </row>
    <row r="1945" ht="14.25" customHeight="1">
      <c r="A1945" s="210"/>
      <c r="B1945" s="210"/>
      <c r="C1945" s="210"/>
      <c r="D1945" s="210"/>
      <c r="E1945" s="210"/>
      <c r="F1945" s="210"/>
      <c r="G1945" s="210"/>
      <c r="H1945" s="210"/>
      <c r="I1945" s="210"/>
      <c r="J1945" s="210"/>
      <c r="K1945" s="210"/>
      <c r="L1945" s="210"/>
      <c r="M1945" s="210"/>
      <c r="N1945" s="210"/>
      <c r="O1945" s="210"/>
      <c r="P1945" s="210"/>
      <c r="Q1945" s="210"/>
      <c r="R1945" s="210"/>
      <c r="S1945" s="210"/>
      <c r="T1945" s="210"/>
      <c r="U1945" s="210"/>
      <c r="V1945" s="210"/>
      <c r="W1945" s="210"/>
      <c r="X1945" s="210"/>
      <c r="Y1945" s="210"/>
      <c r="Z1945" s="210"/>
      <c r="AA1945" s="210"/>
      <c r="AB1945" s="210"/>
      <c r="AC1945" s="210"/>
      <c r="AD1945" s="210"/>
      <c r="AE1945" s="210"/>
      <c r="AF1945" s="210"/>
      <c r="AG1945" s="210"/>
      <c r="AH1945" s="210"/>
      <c r="AI1945" s="210"/>
      <c r="AJ1945" s="210"/>
    </row>
    <row r="1946" ht="14.25" customHeight="1">
      <c r="A1946" s="210"/>
      <c r="B1946" s="210"/>
      <c r="C1946" s="210"/>
      <c r="D1946" s="210"/>
      <c r="E1946" s="210"/>
      <c r="F1946" s="210"/>
      <c r="G1946" s="210"/>
      <c r="H1946" s="210"/>
      <c r="I1946" s="210"/>
      <c r="J1946" s="210"/>
      <c r="K1946" s="210"/>
      <c r="L1946" s="210"/>
      <c r="M1946" s="210"/>
      <c r="N1946" s="210"/>
      <c r="O1946" s="210"/>
      <c r="P1946" s="210"/>
      <c r="Q1946" s="210"/>
      <c r="R1946" s="210"/>
      <c r="S1946" s="210"/>
      <c r="T1946" s="210"/>
      <c r="U1946" s="210"/>
      <c r="V1946" s="210"/>
      <c r="W1946" s="210"/>
      <c r="X1946" s="210"/>
      <c r="Y1946" s="210"/>
      <c r="Z1946" s="210"/>
      <c r="AA1946" s="210"/>
      <c r="AB1946" s="210"/>
      <c r="AC1946" s="210"/>
      <c r="AD1946" s="210"/>
      <c r="AE1946" s="210"/>
      <c r="AF1946" s="210"/>
      <c r="AG1946" s="210"/>
      <c r="AH1946" s="210"/>
      <c r="AI1946" s="210"/>
      <c r="AJ1946" s="210"/>
    </row>
    <row r="1947" ht="14.25" customHeight="1">
      <c r="A1947" s="210"/>
      <c r="B1947" s="210"/>
      <c r="C1947" s="210"/>
      <c r="D1947" s="210"/>
      <c r="E1947" s="210"/>
      <c r="F1947" s="210"/>
      <c r="G1947" s="210"/>
      <c r="H1947" s="210"/>
      <c r="I1947" s="210"/>
      <c r="J1947" s="210"/>
      <c r="K1947" s="210"/>
      <c r="L1947" s="210"/>
      <c r="M1947" s="210"/>
      <c r="N1947" s="210"/>
      <c r="O1947" s="210"/>
      <c r="P1947" s="210"/>
      <c r="Q1947" s="210"/>
      <c r="R1947" s="210"/>
      <c r="S1947" s="210"/>
      <c r="T1947" s="210"/>
      <c r="U1947" s="210"/>
      <c r="V1947" s="210"/>
      <c r="W1947" s="210"/>
      <c r="X1947" s="210"/>
      <c r="Y1947" s="210"/>
      <c r="Z1947" s="210"/>
      <c r="AA1947" s="210"/>
      <c r="AB1947" s="210"/>
      <c r="AC1947" s="210"/>
      <c r="AD1947" s="210"/>
      <c r="AE1947" s="210"/>
      <c r="AF1947" s="210"/>
      <c r="AG1947" s="210"/>
      <c r="AH1947" s="210"/>
      <c r="AI1947" s="210"/>
      <c r="AJ1947" s="210"/>
    </row>
    <row r="1948" ht="14.25" customHeight="1">
      <c r="A1948" s="210"/>
      <c r="B1948" s="210"/>
      <c r="C1948" s="210"/>
      <c r="D1948" s="210"/>
      <c r="E1948" s="210"/>
      <c r="F1948" s="210"/>
      <c r="G1948" s="210"/>
      <c r="H1948" s="210"/>
      <c r="I1948" s="210"/>
      <c r="J1948" s="210"/>
      <c r="K1948" s="210"/>
      <c r="L1948" s="210"/>
      <c r="M1948" s="210"/>
      <c r="N1948" s="210"/>
      <c r="O1948" s="210"/>
      <c r="P1948" s="210"/>
      <c r="Q1948" s="210"/>
      <c r="R1948" s="210"/>
      <c r="S1948" s="210"/>
      <c r="T1948" s="210"/>
      <c r="U1948" s="210"/>
      <c r="V1948" s="210"/>
      <c r="W1948" s="210"/>
      <c r="X1948" s="210"/>
      <c r="Y1948" s="210"/>
      <c r="Z1948" s="210"/>
      <c r="AA1948" s="210"/>
      <c r="AB1948" s="210"/>
      <c r="AC1948" s="210"/>
      <c r="AD1948" s="210"/>
      <c r="AE1948" s="210"/>
      <c r="AF1948" s="210"/>
      <c r="AG1948" s="210"/>
      <c r="AH1948" s="210"/>
      <c r="AI1948" s="210"/>
      <c r="AJ1948" s="210"/>
    </row>
    <row r="1949" ht="14.25" customHeight="1">
      <c r="A1949" s="210"/>
      <c r="B1949" s="210"/>
      <c r="C1949" s="210"/>
      <c r="D1949" s="210"/>
      <c r="E1949" s="210"/>
      <c r="F1949" s="210"/>
      <c r="G1949" s="210"/>
      <c r="H1949" s="210"/>
      <c r="I1949" s="210"/>
      <c r="J1949" s="210"/>
      <c r="K1949" s="210"/>
      <c r="L1949" s="210"/>
      <c r="M1949" s="210"/>
      <c r="N1949" s="210"/>
      <c r="O1949" s="210"/>
      <c r="P1949" s="210"/>
      <c r="Q1949" s="210"/>
      <c r="R1949" s="210"/>
      <c r="S1949" s="210"/>
      <c r="T1949" s="210"/>
      <c r="U1949" s="210"/>
      <c r="V1949" s="210"/>
      <c r="W1949" s="210"/>
      <c r="X1949" s="210"/>
      <c r="Y1949" s="210"/>
      <c r="Z1949" s="210"/>
      <c r="AA1949" s="210"/>
      <c r="AB1949" s="210"/>
      <c r="AC1949" s="210"/>
      <c r="AD1949" s="210"/>
      <c r="AE1949" s="210"/>
      <c r="AF1949" s="210"/>
      <c r="AG1949" s="210"/>
      <c r="AH1949" s="210"/>
      <c r="AI1949" s="210"/>
      <c r="AJ1949" s="210"/>
    </row>
    <row r="1950" ht="14.25" customHeight="1">
      <c r="A1950" s="210"/>
      <c r="B1950" s="210"/>
      <c r="C1950" s="210"/>
      <c r="D1950" s="210"/>
      <c r="E1950" s="210"/>
      <c r="F1950" s="210"/>
      <c r="G1950" s="210"/>
      <c r="H1950" s="210"/>
      <c r="I1950" s="210"/>
      <c r="J1950" s="210"/>
      <c r="K1950" s="210"/>
      <c r="L1950" s="210"/>
      <c r="M1950" s="210"/>
      <c r="N1950" s="210"/>
      <c r="O1950" s="210"/>
      <c r="P1950" s="210"/>
      <c r="Q1950" s="210"/>
      <c r="R1950" s="210"/>
      <c r="S1950" s="210"/>
      <c r="T1950" s="210"/>
      <c r="U1950" s="210"/>
      <c r="V1950" s="210"/>
      <c r="W1950" s="210"/>
      <c r="X1950" s="210"/>
      <c r="Y1950" s="210"/>
      <c r="Z1950" s="210"/>
      <c r="AA1950" s="210"/>
      <c r="AB1950" s="210"/>
      <c r="AC1950" s="210"/>
      <c r="AD1950" s="210"/>
      <c r="AE1950" s="210"/>
      <c r="AF1950" s="210"/>
      <c r="AG1950" s="210"/>
      <c r="AH1950" s="210"/>
      <c r="AI1950" s="210"/>
      <c r="AJ1950" s="210"/>
    </row>
    <row r="1951" ht="14.25" customHeight="1">
      <c r="A1951" s="210"/>
      <c r="B1951" s="210"/>
      <c r="C1951" s="210"/>
      <c r="D1951" s="210"/>
      <c r="E1951" s="210"/>
      <c r="F1951" s="210"/>
      <c r="G1951" s="210"/>
      <c r="H1951" s="210"/>
      <c r="I1951" s="210"/>
      <c r="J1951" s="210"/>
      <c r="K1951" s="210"/>
      <c r="L1951" s="210"/>
      <c r="M1951" s="210"/>
      <c r="N1951" s="210"/>
      <c r="O1951" s="210"/>
      <c r="P1951" s="210"/>
      <c r="Q1951" s="210"/>
      <c r="R1951" s="210"/>
      <c r="S1951" s="210"/>
      <c r="T1951" s="210"/>
      <c r="U1951" s="210"/>
      <c r="V1951" s="210"/>
      <c r="W1951" s="210"/>
      <c r="X1951" s="210"/>
      <c r="Y1951" s="210"/>
      <c r="Z1951" s="210"/>
      <c r="AA1951" s="210"/>
      <c r="AB1951" s="210"/>
      <c r="AC1951" s="210"/>
      <c r="AD1951" s="210"/>
      <c r="AE1951" s="210"/>
      <c r="AF1951" s="210"/>
      <c r="AG1951" s="210"/>
      <c r="AH1951" s="210"/>
      <c r="AI1951" s="210"/>
      <c r="AJ1951" s="210"/>
    </row>
    <row r="1952" ht="14.25" customHeight="1">
      <c r="A1952" s="210"/>
      <c r="B1952" s="210"/>
      <c r="C1952" s="210"/>
      <c r="D1952" s="210"/>
      <c r="E1952" s="210"/>
      <c r="F1952" s="210"/>
      <c r="G1952" s="210"/>
      <c r="H1952" s="210"/>
      <c r="I1952" s="210"/>
      <c r="J1952" s="210"/>
      <c r="K1952" s="210"/>
      <c r="L1952" s="210"/>
      <c r="M1952" s="210"/>
      <c r="N1952" s="210"/>
      <c r="O1952" s="210"/>
      <c r="P1952" s="210"/>
      <c r="Q1952" s="210"/>
      <c r="R1952" s="210"/>
      <c r="S1952" s="210"/>
      <c r="T1952" s="210"/>
      <c r="U1952" s="210"/>
      <c r="V1952" s="210"/>
      <c r="W1952" s="210"/>
      <c r="X1952" s="210"/>
      <c r="Y1952" s="210"/>
      <c r="Z1952" s="210"/>
      <c r="AA1952" s="210"/>
      <c r="AB1952" s="210"/>
      <c r="AC1952" s="210"/>
      <c r="AD1952" s="210"/>
      <c r="AE1952" s="210"/>
      <c r="AF1952" s="210"/>
      <c r="AG1952" s="210"/>
      <c r="AH1952" s="210"/>
      <c r="AI1952" s="210"/>
      <c r="AJ1952" s="210"/>
    </row>
    <row r="1953" ht="14.25" customHeight="1">
      <c r="A1953" s="210"/>
      <c r="B1953" s="210"/>
      <c r="C1953" s="210"/>
      <c r="D1953" s="210"/>
      <c r="E1953" s="210"/>
      <c r="F1953" s="210"/>
      <c r="G1953" s="210"/>
      <c r="H1953" s="210"/>
      <c r="I1953" s="210"/>
      <c r="J1953" s="210"/>
      <c r="K1953" s="210"/>
      <c r="L1953" s="210"/>
      <c r="M1953" s="210"/>
      <c r="N1953" s="210"/>
      <c r="O1953" s="210"/>
      <c r="P1953" s="210"/>
      <c r="Q1953" s="210"/>
      <c r="R1953" s="210"/>
      <c r="S1953" s="210"/>
      <c r="T1953" s="210"/>
      <c r="U1953" s="210"/>
      <c r="V1953" s="210"/>
      <c r="W1953" s="210"/>
      <c r="X1953" s="210"/>
      <c r="Y1953" s="210"/>
      <c r="Z1953" s="210"/>
      <c r="AA1953" s="210"/>
      <c r="AB1953" s="210"/>
      <c r="AC1953" s="210"/>
      <c r="AD1953" s="210"/>
      <c r="AE1953" s="210"/>
      <c r="AF1953" s="210"/>
      <c r="AG1953" s="210"/>
      <c r="AH1953" s="210"/>
      <c r="AI1953" s="210"/>
      <c r="AJ1953" s="210"/>
    </row>
    <row r="1954" ht="14.25" customHeight="1">
      <c r="A1954" s="210"/>
      <c r="B1954" s="210"/>
      <c r="C1954" s="210"/>
      <c r="D1954" s="210"/>
      <c r="E1954" s="210"/>
      <c r="F1954" s="210"/>
      <c r="G1954" s="210"/>
      <c r="H1954" s="210"/>
      <c r="I1954" s="210"/>
      <c r="J1954" s="210"/>
      <c r="K1954" s="210"/>
      <c r="L1954" s="210"/>
      <c r="M1954" s="210"/>
      <c r="N1954" s="210"/>
      <c r="O1954" s="210"/>
      <c r="P1954" s="210"/>
      <c r="Q1954" s="210"/>
      <c r="R1954" s="210"/>
      <c r="S1954" s="210"/>
      <c r="T1954" s="210"/>
      <c r="U1954" s="210"/>
      <c r="V1954" s="210"/>
      <c r="W1954" s="210"/>
      <c r="X1954" s="210"/>
      <c r="Y1954" s="210"/>
      <c r="Z1954" s="210"/>
      <c r="AA1954" s="210"/>
      <c r="AB1954" s="210"/>
      <c r="AC1954" s="210"/>
      <c r="AD1954" s="210"/>
      <c r="AE1954" s="210"/>
      <c r="AF1954" s="210"/>
      <c r="AG1954" s="210"/>
      <c r="AH1954" s="210"/>
      <c r="AI1954" s="210"/>
      <c r="AJ1954" s="210"/>
    </row>
    <row r="1955" ht="14.25" customHeight="1">
      <c r="A1955" s="210"/>
      <c r="B1955" s="210"/>
      <c r="C1955" s="210"/>
      <c r="D1955" s="210"/>
      <c r="E1955" s="210"/>
      <c r="F1955" s="210"/>
      <c r="G1955" s="210"/>
      <c r="H1955" s="210"/>
      <c r="I1955" s="210"/>
      <c r="J1955" s="210"/>
      <c r="K1955" s="210"/>
      <c r="L1955" s="210"/>
      <c r="M1955" s="210"/>
      <c r="N1955" s="210"/>
      <c r="O1955" s="210"/>
      <c r="P1955" s="210"/>
      <c r="Q1955" s="210"/>
      <c r="R1955" s="210"/>
      <c r="S1955" s="210"/>
      <c r="T1955" s="210"/>
      <c r="U1955" s="210"/>
      <c r="V1955" s="210"/>
      <c r="W1955" s="210"/>
      <c r="X1955" s="210"/>
      <c r="Y1955" s="210"/>
      <c r="Z1955" s="210"/>
      <c r="AA1955" s="210"/>
      <c r="AB1955" s="210"/>
      <c r="AC1955" s="210"/>
      <c r="AD1955" s="210"/>
      <c r="AE1955" s="210"/>
      <c r="AF1955" s="210"/>
      <c r="AG1955" s="210"/>
      <c r="AH1955" s="210"/>
      <c r="AI1955" s="210"/>
      <c r="AJ1955" s="210"/>
    </row>
    <row r="1956" ht="14.25" customHeight="1">
      <c r="A1956" s="210"/>
      <c r="B1956" s="210"/>
      <c r="C1956" s="210"/>
      <c r="D1956" s="210"/>
      <c r="E1956" s="210"/>
      <c r="F1956" s="210"/>
      <c r="G1956" s="210"/>
      <c r="H1956" s="210"/>
      <c r="I1956" s="210"/>
      <c r="J1956" s="210"/>
      <c r="K1956" s="210"/>
      <c r="L1956" s="210"/>
      <c r="M1956" s="210"/>
      <c r="N1956" s="210"/>
      <c r="O1956" s="210"/>
      <c r="P1956" s="210"/>
      <c r="Q1956" s="210"/>
      <c r="R1956" s="210"/>
      <c r="S1956" s="210"/>
      <c r="T1956" s="210"/>
      <c r="U1956" s="210"/>
      <c r="V1956" s="210"/>
      <c r="W1956" s="210"/>
      <c r="X1956" s="210"/>
      <c r="Y1956" s="210"/>
      <c r="Z1956" s="210"/>
      <c r="AA1956" s="210"/>
      <c r="AB1956" s="210"/>
      <c r="AC1956" s="210"/>
      <c r="AD1956" s="210"/>
      <c r="AE1956" s="210"/>
      <c r="AF1956" s="210"/>
      <c r="AG1956" s="210"/>
      <c r="AH1956" s="210"/>
      <c r="AI1956" s="210"/>
      <c r="AJ1956" s="210"/>
    </row>
    <row r="1957" ht="14.25" customHeight="1">
      <c r="A1957" s="210"/>
      <c r="B1957" s="210"/>
      <c r="C1957" s="210"/>
      <c r="D1957" s="210"/>
      <c r="E1957" s="210"/>
      <c r="F1957" s="210"/>
      <c r="G1957" s="210"/>
      <c r="H1957" s="210"/>
      <c r="I1957" s="210"/>
      <c r="J1957" s="210"/>
      <c r="K1957" s="210"/>
      <c r="L1957" s="210"/>
      <c r="M1957" s="210"/>
      <c r="N1957" s="210"/>
      <c r="O1957" s="210"/>
      <c r="P1957" s="210"/>
      <c r="Q1957" s="210"/>
      <c r="R1957" s="210"/>
      <c r="S1957" s="210"/>
      <c r="T1957" s="210"/>
      <c r="U1957" s="210"/>
      <c r="V1957" s="210"/>
      <c r="W1957" s="210"/>
      <c r="X1957" s="210"/>
      <c r="Y1957" s="210"/>
      <c r="Z1957" s="210"/>
      <c r="AA1957" s="210"/>
      <c r="AB1957" s="210"/>
      <c r="AC1957" s="210"/>
      <c r="AD1957" s="210"/>
      <c r="AE1957" s="210"/>
      <c r="AF1957" s="210"/>
      <c r="AG1957" s="210"/>
      <c r="AH1957" s="210"/>
      <c r="AI1957" s="210"/>
      <c r="AJ1957" s="210"/>
    </row>
    <row r="1958" ht="14.25" customHeight="1">
      <c r="A1958" s="210"/>
      <c r="B1958" s="210"/>
      <c r="C1958" s="210"/>
      <c r="D1958" s="210"/>
      <c r="E1958" s="210"/>
      <c r="F1958" s="210"/>
      <c r="G1958" s="210"/>
      <c r="H1958" s="210"/>
      <c r="I1958" s="210"/>
      <c r="J1958" s="210"/>
      <c r="K1958" s="210"/>
      <c r="L1958" s="210"/>
      <c r="M1958" s="210"/>
      <c r="N1958" s="210"/>
      <c r="O1958" s="210"/>
      <c r="P1958" s="210"/>
      <c r="Q1958" s="210"/>
      <c r="R1958" s="210"/>
      <c r="S1958" s="210"/>
      <c r="T1958" s="210"/>
      <c r="U1958" s="210"/>
      <c r="V1958" s="210"/>
      <c r="W1958" s="210"/>
      <c r="X1958" s="210"/>
      <c r="Y1958" s="210"/>
      <c r="Z1958" s="210"/>
      <c r="AA1958" s="210"/>
      <c r="AB1958" s="210"/>
      <c r="AC1958" s="210"/>
      <c r="AD1958" s="210"/>
      <c r="AE1958" s="210"/>
      <c r="AF1958" s="210"/>
      <c r="AG1958" s="210"/>
      <c r="AH1958" s="210"/>
      <c r="AI1958" s="210"/>
      <c r="AJ1958" s="210"/>
    </row>
    <row r="1959" ht="14.25" customHeight="1">
      <c r="A1959" s="210"/>
      <c r="B1959" s="210"/>
      <c r="C1959" s="210"/>
      <c r="D1959" s="210"/>
      <c r="E1959" s="210"/>
      <c r="F1959" s="210"/>
      <c r="G1959" s="210"/>
      <c r="H1959" s="210"/>
      <c r="I1959" s="210"/>
      <c r="J1959" s="210"/>
      <c r="K1959" s="210"/>
      <c r="L1959" s="210"/>
      <c r="M1959" s="210"/>
      <c r="N1959" s="210"/>
      <c r="O1959" s="210"/>
      <c r="P1959" s="210"/>
      <c r="Q1959" s="210"/>
      <c r="R1959" s="210"/>
      <c r="S1959" s="210"/>
      <c r="T1959" s="210"/>
      <c r="U1959" s="210"/>
      <c r="V1959" s="210"/>
      <c r="W1959" s="210"/>
      <c r="X1959" s="210"/>
      <c r="Y1959" s="210"/>
      <c r="Z1959" s="210"/>
      <c r="AA1959" s="210"/>
      <c r="AB1959" s="210"/>
      <c r="AC1959" s="210"/>
      <c r="AD1959" s="210"/>
      <c r="AE1959" s="210"/>
      <c r="AF1959" s="210"/>
      <c r="AG1959" s="210"/>
      <c r="AH1959" s="210"/>
      <c r="AI1959" s="210"/>
      <c r="AJ1959" s="210"/>
    </row>
    <row r="1960" ht="14.25" customHeight="1">
      <c r="A1960" s="210"/>
      <c r="B1960" s="210"/>
      <c r="C1960" s="210"/>
      <c r="D1960" s="210"/>
      <c r="E1960" s="210"/>
      <c r="F1960" s="210"/>
      <c r="G1960" s="210"/>
      <c r="H1960" s="210"/>
      <c r="I1960" s="210"/>
      <c r="J1960" s="210"/>
      <c r="K1960" s="210"/>
      <c r="L1960" s="210"/>
      <c r="M1960" s="210"/>
      <c r="N1960" s="210"/>
      <c r="O1960" s="210"/>
      <c r="P1960" s="210"/>
      <c r="Q1960" s="210"/>
      <c r="R1960" s="210"/>
      <c r="S1960" s="210"/>
      <c r="T1960" s="210"/>
      <c r="U1960" s="210"/>
      <c r="V1960" s="210"/>
      <c r="W1960" s="210"/>
      <c r="X1960" s="210"/>
      <c r="Y1960" s="210"/>
      <c r="Z1960" s="210"/>
      <c r="AA1960" s="210"/>
      <c r="AB1960" s="210"/>
      <c r="AC1960" s="210"/>
      <c r="AD1960" s="210"/>
      <c r="AE1960" s="210"/>
      <c r="AF1960" s="210"/>
      <c r="AG1960" s="210"/>
      <c r="AH1960" s="210"/>
      <c r="AI1960" s="210"/>
      <c r="AJ1960" s="210"/>
    </row>
    <row r="1961" ht="14.25" customHeight="1">
      <c r="A1961" s="210"/>
      <c r="B1961" s="210"/>
      <c r="C1961" s="210"/>
      <c r="D1961" s="210"/>
      <c r="E1961" s="210"/>
      <c r="F1961" s="210"/>
      <c r="G1961" s="210"/>
      <c r="H1961" s="210"/>
      <c r="I1961" s="210"/>
      <c r="J1961" s="210"/>
      <c r="K1961" s="210"/>
      <c r="L1961" s="210"/>
      <c r="M1961" s="210"/>
      <c r="N1961" s="210"/>
      <c r="O1961" s="210"/>
      <c r="P1961" s="210"/>
      <c r="Q1961" s="210"/>
      <c r="R1961" s="210"/>
      <c r="S1961" s="210"/>
      <c r="T1961" s="210"/>
      <c r="U1961" s="210"/>
      <c r="V1961" s="210"/>
      <c r="W1961" s="210"/>
      <c r="X1961" s="210"/>
      <c r="Y1961" s="210"/>
      <c r="Z1961" s="210"/>
      <c r="AA1961" s="210"/>
      <c r="AB1961" s="210"/>
      <c r="AC1961" s="210"/>
      <c r="AD1961" s="210"/>
      <c r="AE1961" s="210"/>
      <c r="AF1961" s="210"/>
      <c r="AG1961" s="210"/>
      <c r="AH1961" s="210"/>
      <c r="AI1961" s="210"/>
      <c r="AJ1961" s="210"/>
    </row>
    <row r="1962" ht="14.25" customHeight="1">
      <c r="A1962" s="210"/>
      <c r="B1962" s="210"/>
      <c r="C1962" s="210"/>
      <c r="D1962" s="210"/>
      <c r="E1962" s="210"/>
      <c r="F1962" s="210"/>
      <c r="G1962" s="210"/>
      <c r="H1962" s="210"/>
      <c r="I1962" s="210"/>
      <c r="J1962" s="210"/>
      <c r="K1962" s="210"/>
      <c r="L1962" s="210"/>
      <c r="M1962" s="210"/>
      <c r="N1962" s="210"/>
      <c r="O1962" s="210"/>
      <c r="P1962" s="210"/>
      <c r="Q1962" s="210"/>
      <c r="R1962" s="210"/>
      <c r="S1962" s="210"/>
      <c r="T1962" s="210"/>
      <c r="U1962" s="210"/>
      <c r="V1962" s="210"/>
      <c r="W1962" s="210"/>
      <c r="X1962" s="210"/>
      <c r="Y1962" s="210"/>
      <c r="Z1962" s="210"/>
      <c r="AA1962" s="210"/>
      <c r="AB1962" s="210"/>
      <c r="AC1962" s="210"/>
      <c r="AD1962" s="210"/>
      <c r="AE1962" s="210"/>
      <c r="AF1962" s="210"/>
      <c r="AG1962" s="210"/>
      <c r="AH1962" s="210"/>
      <c r="AI1962" s="210"/>
      <c r="AJ1962" s="210"/>
    </row>
    <row r="1963" ht="14.25" customHeight="1">
      <c r="A1963" s="210"/>
      <c r="B1963" s="210"/>
      <c r="C1963" s="210"/>
      <c r="D1963" s="210"/>
      <c r="E1963" s="210"/>
      <c r="F1963" s="210"/>
      <c r="G1963" s="210"/>
      <c r="H1963" s="210"/>
      <c r="I1963" s="210"/>
      <c r="J1963" s="210"/>
      <c r="K1963" s="210"/>
      <c r="L1963" s="210"/>
      <c r="M1963" s="210"/>
      <c r="N1963" s="210"/>
      <c r="O1963" s="210"/>
      <c r="P1963" s="210"/>
      <c r="Q1963" s="210"/>
      <c r="R1963" s="210"/>
      <c r="S1963" s="210"/>
      <c r="T1963" s="210"/>
      <c r="U1963" s="210"/>
      <c r="V1963" s="210"/>
      <c r="W1963" s="210"/>
      <c r="X1963" s="210"/>
      <c r="Y1963" s="210"/>
      <c r="Z1963" s="210"/>
      <c r="AA1963" s="210"/>
      <c r="AB1963" s="210"/>
      <c r="AC1963" s="210"/>
      <c r="AD1963" s="210"/>
      <c r="AE1963" s="210"/>
      <c r="AF1963" s="210"/>
      <c r="AG1963" s="210"/>
      <c r="AH1963" s="210"/>
      <c r="AI1963" s="210"/>
      <c r="AJ1963" s="210"/>
    </row>
    <row r="1964" ht="14.25" customHeight="1">
      <c r="A1964" s="210"/>
      <c r="B1964" s="210"/>
      <c r="C1964" s="210"/>
      <c r="D1964" s="210"/>
      <c r="E1964" s="210"/>
      <c r="F1964" s="210"/>
      <c r="G1964" s="210"/>
      <c r="H1964" s="210"/>
      <c r="I1964" s="210"/>
      <c r="J1964" s="210"/>
      <c r="K1964" s="210"/>
      <c r="L1964" s="210"/>
      <c r="M1964" s="210"/>
      <c r="N1964" s="210"/>
      <c r="O1964" s="210"/>
      <c r="P1964" s="210"/>
      <c r="Q1964" s="210"/>
      <c r="R1964" s="210"/>
      <c r="S1964" s="210"/>
      <c r="T1964" s="210"/>
      <c r="U1964" s="210"/>
      <c r="V1964" s="210"/>
      <c r="W1964" s="210"/>
      <c r="X1964" s="210"/>
      <c r="Y1964" s="210"/>
      <c r="Z1964" s="210"/>
      <c r="AA1964" s="210"/>
      <c r="AB1964" s="210"/>
      <c r="AC1964" s="210"/>
      <c r="AD1964" s="210"/>
      <c r="AE1964" s="210"/>
      <c r="AF1964" s="210"/>
      <c r="AG1964" s="210"/>
      <c r="AH1964" s="210"/>
      <c r="AI1964" s="210"/>
      <c r="AJ1964" s="210"/>
    </row>
    <row r="1965" ht="14.25" customHeight="1">
      <c r="A1965" s="210"/>
      <c r="B1965" s="210"/>
      <c r="C1965" s="210"/>
      <c r="D1965" s="210"/>
      <c r="E1965" s="210"/>
      <c r="F1965" s="210"/>
      <c r="G1965" s="210"/>
      <c r="H1965" s="210"/>
      <c r="I1965" s="210"/>
      <c r="J1965" s="210"/>
      <c r="K1965" s="210"/>
      <c r="L1965" s="210"/>
      <c r="M1965" s="210"/>
      <c r="N1965" s="210"/>
      <c r="O1965" s="210"/>
      <c r="P1965" s="210"/>
      <c r="Q1965" s="210"/>
      <c r="R1965" s="210"/>
      <c r="S1965" s="210"/>
      <c r="T1965" s="210"/>
      <c r="U1965" s="210"/>
      <c r="V1965" s="210"/>
      <c r="W1965" s="210"/>
      <c r="X1965" s="210"/>
      <c r="Y1965" s="210"/>
      <c r="Z1965" s="210"/>
      <c r="AA1965" s="210"/>
      <c r="AB1965" s="210"/>
      <c r="AC1965" s="210"/>
      <c r="AD1965" s="210"/>
      <c r="AE1965" s="210"/>
      <c r="AF1965" s="210"/>
      <c r="AG1965" s="210"/>
      <c r="AH1965" s="210"/>
      <c r="AI1965" s="210"/>
      <c r="AJ1965" s="210"/>
    </row>
    <row r="1966" ht="14.25" customHeight="1">
      <c r="A1966" s="210"/>
      <c r="B1966" s="210"/>
      <c r="C1966" s="210"/>
      <c r="D1966" s="210"/>
      <c r="E1966" s="210"/>
      <c r="F1966" s="210"/>
      <c r="G1966" s="210"/>
      <c r="H1966" s="210"/>
      <c r="I1966" s="210"/>
      <c r="J1966" s="210"/>
      <c r="K1966" s="210"/>
      <c r="L1966" s="210"/>
      <c r="M1966" s="210"/>
      <c r="N1966" s="210"/>
      <c r="O1966" s="210"/>
      <c r="P1966" s="210"/>
      <c r="Q1966" s="210"/>
      <c r="R1966" s="210"/>
      <c r="S1966" s="210"/>
      <c r="T1966" s="210"/>
      <c r="U1966" s="210"/>
      <c r="V1966" s="210"/>
      <c r="W1966" s="210"/>
      <c r="X1966" s="210"/>
      <c r="Y1966" s="210"/>
      <c r="Z1966" s="210"/>
      <c r="AA1966" s="210"/>
      <c r="AB1966" s="210"/>
      <c r="AC1966" s="210"/>
      <c r="AD1966" s="210"/>
      <c r="AE1966" s="210"/>
      <c r="AF1966" s="210"/>
      <c r="AG1966" s="210"/>
      <c r="AH1966" s="210"/>
      <c r="AI1966" s="210"/>
      <c r="AJ1966" s="210"/>
    </row>
    <row r="1967" ht="14.25" customHeight="1">
      <c r="A1967" s="210"/>
      <c r="B1967" s="210"/>
      <c r="C1967" s="210"/>
      <c r="D1967" s="210"/>
      <c r="E1967" s="210"/>
      <c r="F1967" s="210"/>
      <c r="G1967" s="210"/>
      <c r="H1967" s="210"/>
      <c r="I1967" s="210"/>
      <c r="J1967" s="210"/>
      <c r="K1967" s="210"/>
      <c r="L1967" s="210"/>
      <c r="M1967" s="210"/>
      <c r="N1967" s="210"/>
      <c r="O1967" s="210"/>
      <c r="P1967" s="210"/>
      <c r="Q1967" s="210"/>
      <c r="R1967" s="210"/>
      <c r="S1967" s="210"/>
      <c r="T1967" s="210"/>
      <c r="U1967" s="210"/>
      <c r="V1967" s="210"/>
      <c r="W1967" s="210"/>
      <c r="X1967" s="210"/>
      <c r="Y1967" s="210"/>
      <c r="Z1967" s="210"/>
      <c r="AA1967" s="210"/>
      <c r="AB1967" s="210"/>
      <c r="AC1967" s="210"/>
      <c r="AD1967" s="210"/>
      <c r="AE1967" s="210"/>
      <c r="AF1967" s="210"/>
      <c r="AG1967" s="210"/>
      <c r="AH1967" s="210"/>
      <c r="AI1967" s="210"/>
      <c r="AJ1967" s="210"/>
    </row>
    <row r="1968" ht="14.25" customHeight="1">
      <c r="A1968" s="210"/>
      <c r="B1968" s="210"/>
      <c r="C1968" s="210"/>
      <c r="D1968" s="210"/>
      <c r="E1968" s="210"/>
      <c r="F1968" s="210"/>
      <c r="G1968" s="210"/>
      <c r="H1968" s="210"/>
      <c r="I1968" s="210"/>
      <c r="J1968" s="210"/>
      <c r="K1968" s="210"/>
      <c r="L1968" s="210"/>
      <c r="M1968" s="210"/>
      <c r="N1968" s="210"/>
      <c r="O1968" s="210"/>
      <c r="P1968" s="210"/>
      <c r="Q1968" s="210"/>
      <c r="R1968" s="210"/>
      <c r="S1968" s="210"/>
      <c r="T1968" s="210"/>
      <c r="U1968" s="210"/>
      <c r="V1968" s="210"/>
      <c r="W1968" s="210"/>
      <c r="X1968" s="210"/>
      <c r="Y1968" s="210"/>
      <c r="Z1968" s="210"/>
      <c r="AA1968" s="210"/>
      <c r="AB1968" s="210"/>
      <c r="AC1968" s="210"/>
      <c r="AD1968" s="210"/>
      <c r="AE1968" s="210"/>
      <c r="AF1968" s="210"/>
      <c r="AG1968" s="210"/>
      <c r="AH1968" s="210"/>
      <c r="AI1968" s="210"/>
      <c r="AJ1968" s="210"/>
    </row>
    <row r="1969" ht="14.25" customHeight="1">
      <c r="A1969" s="210"/>
      <c r="B1969" s="210"/>
      <c r="C1969" s="210"/>
      <c r="D1969" s="210"/>
      <c r="E1969" s="210"/>
      <c r="F1969" s="210"/>
      <c r="G1969" s="210"/>
      <c r="H1969" s="210"/>
      <c r="I1969" s="210"/>
      <c r="J1969" s="210"/>
      <c r="K1969" s="210"/>
      <c r="L1969" s="210"/>
      <c r="M1969" s="210"/>
      <c r="N1969" s="210"/>
      <c r="O1969" s="210"/>
      <c r="P1969" s="210"/>
      <c r="Q1969" s="210"/>
      <c r="R1969" s="210"/>
      <c r="S1969" s="210"/>
      <c r="T1969" s="210"/>
      <c r="U1969" s="210"/>
      <c r="V1969" s="210"/>
      <c r="W1969" s="210"/>
      <c r="X1969" s="210"/>
      <c r="Y1969" s="210"/>
      <c r="Z1969" s="210"/>
      <c r="AA1969" s="210"/>
      <c r="AB1969" s="210"/>
      <c r="AC1969" s="210"/>
      <c r="AD1969" s="210"/>
      <c r="AE1969" s="210"/>
      <c r="AF1969" s="210"/>
      <c r="AG1969" s="210"/>
      <c r="AH1969" s="210"/>
      <c r="AI1969" s="210"/>
      <c r="AJ1969" s="210"/>
    </row>
    <row r="1970" ht="14.25" customHeight="1">
      <c r="A1970" s="210"/>
      <c r="B1970" s="210"/>
      <c r="C1970" s="210"/>
      <c r="D1970" s="210"/>
      <c r="E1970" s="210"/>
      <c r="F1970" s="210"/>
      <c r="G1970" s="210"/>
      <c r="H1970" s="210"/>
      <c r="I1970" s="210"/>
      <c r="J1970" s="210"/>
      <c r="K1970" s="210"/>
      <c r="L1970" s="210"/>
      <c r="M1970" s="210"/>
      <c r="N1970" s="210"/>
      <c r="O1970" s="210"/>
      <c r="P1970" s="210"/>
      <c r="Q1970" s="210"/>
      <c r="R1970" s="210"/>
      <c r="S1970" s="210"/>
      <c r="T1970" s="210"/>
      <c r="U1970" s="210"/>
      <c r="V1970" s="210"/>
      <c r="W1970" s="210"/>
      <c r="X1970" s="210"/>
      <c r="Y1970" s="210"/>
      <c r="Z1970" s="210"/>
      <c r="AA1970" s="210"/>
      <c r="AB1970" s="210"/>
      <c r="AC1970" s="210"/>
      <c r="AD1970" s="210"/>
      <c r="AE1970" s="210"/>
      <c r="AF1970" s="210"/>
      <c r="AG1970" s="210"/>
      <c r="AH1970" s="210"/>
      <c r="AI1970" s="210"/>
      <c r="AJ1970" s="210"/>
    </row>
    <row r="1971" ht="14.25" customHeight="1">
      <c r="A1971" s="210"/>
      <c r="B1971" s="210"/>
      <c r="C1971" s="210"/>
      <c r="D1971" s="210"/>
      <c r="E1971" s="210"/>
      <c r="F1971" s="210"/>
      <c r="G1971" s="210"/>
      <c r="H1971" s="210"/>
      <c r="I1971" s="210"/>
      <c r="J1971" s="210"/>
      <c r="K1971" s="210"/>
      <c r="L1971" s="210"/>
      <c r="M1971" s="210"/>
      <c r="N1971" s="210"/>
      <c r="O1971" s="210"/>
      <c r="P1971" s="210"/>
      <c r="Q1971" s="210"/>
      <c r="R1971" s="210"/>
      <c r="S1971" s="210"/>
      <c r="T1971" s="210"/>
      <c r="U1971" s="210"/>
      <c r="V1971" s="210"/>
      <c r="W1971" s="210"/>
      <c r="X1971" s="210"/>
      <c r="Y1971" s="210"/>
      <c r="Z1971" s="210"/>
      <c r="AA1971" s="210"/>
      <c r="AB1971" s="210"/>
      <c r="AC1971" s="210"/>
      <c r="AD1971" s="210"/>
      <c r="AE1971" s="210"/>
      <c r="AF1971" s="210"/>
      <c r="AG1971" s="210"/>
      <c r="AH1971" s="210"/>
      <c r="AI1971" s="210"/>
      <c r="AJ1971" s="210"/>
    </row>
    <row r="1972" ht="14.25" customHeight="1">
      <c r="A1972" s="210"/>
      <c r="B1972" s="210"/>
      <c r="C1972" s="210"/>
      <c r="D1972" s="210"/>
      <c r="E1972" s="210"/>
      <c r="F1972" s="210"/>
      <c r="G1972" s="210"/>
      <c r="H1972" s="210"/>
      <c r="I1972" s="210"/>
      <c r="J1972" s="210"/>
      <c r="K1972" s="210"/>
      <c r="L1972" s="210"/>
      <c r="M1972" s="210"/>
      <c r="N1972" s="210"/>
      <c r="O1972" s="210"/>
      <c r="P1972" s="210"/>
      <c r="Q1972" s="210"/>
      <c r="R1972" s="210"/>
      <c r="S1972" s="210"/>
      <c r="T1972" s="210"/>
      <c r="U1972" s="210"/>
      <c r="V1972" s="210"/>
      <c r="W1972" s="210"/>
      <c r="X1972" s="210"/>
      <c r="Y1972" s="210"/>
      <c r="Z1972" s="210"/>
      <c r="AA1972" s="210"/>
      <c r="AB1972" s="210"/>
      <c r="AC1972" s="210"/>
      <c r="AD1972" s="210"/>
      <c r="AE1972" s="210"/>
      <c r="AF1972" s="210"/>
      <c r="AG1972" s="210"/>
      <c r="AH1972" s="210"/>
      <c r="AI1972" s="210"/>
      <c r="AJ1972" s="210"/>
    </row>
    <row r="1973" ht="14.25" customHeight="1">
      <c r="A1973" s="210"/>
      <c r="B1973" s="210"/>
      <c r="C1973" s="210"/>
      <c r="D1973" s="210"/>
      <c r="E1973" s="210"/>
      <c r="F1973" s="210"/>
      <c r="G1973" s="210"/>
      <c r="H1973" s="210"/>
      <c r="I1973" s="210"/>
      <c r="J1973" s="210"/>
      <c r="K1973" s="210"/>
      <c r="L1973" s="210"/>
      <c r="M1973" s="210"/>
      <c r="N1973" s="210"/>
      <c r="O1973" s="210"/>
      <c r="P1973" s="210"/>
      <c r="Q1973" s="210"/>
      <c r="R1973" s="210"/>
      <c r="S1973" s="210"/>
      <c r="T1973" s="210"/>
      <c r="U1973" s="210"/>
      <c r="V1973" s="210"/>
      <c r="W1973" s="210"/>
      <c r="X1973" s="210"/>
      <c r="Y1973" s="210"/>
      <c r="Z1973" s="210"/>
      <c r="AA1973" s="210"/>
      <c r="AB1973" s="210"/>
      <c r="AC1973" s="210"/>
      <c r="AD1973" s="210"/>
      <c r="AE1973" s="210"/>
      <c r="AF1973" s="210"/>
      <c r="AG1973" s="210"/>
      <c r="AH1973" s="210"/>
      <c r="AI1973" s="210"/>
      <c r="AJ1973" s="210"/>
    </row>
    <row r="1974" ht="14.25" customHeight="1">
      <c r="A1974" s="210"/>
      <c r="B1974" s="210"/>
      <c r="C1974" s="210"/>
      <c r="D1974" s="210"/>
      <c r="E1974" s="210"/>
      <c r="F1974" s="210"/>
      <c r="G1974" s="210"/>
      <c r="H1974" s="210"/>
      <c r="I1974" s="210"/>
      <c r="J1974" s="210"/>
      <c r="K1974" s="210"/>
      <c r="L1974" s="210"/>
      <c r="M1974" s="210"/>
      <c r="N1974" s="210"/>
      <c r="O1974" s="210"/>
      <c r="P1974" s="210"/>
      <c r="Q1974" s="210"/>
      <c r="R1974" s="210"/>
      <c r="S1974" s="210"/>
      <c r="T1974" s="210"/>
      <c r="U1974" s="210"/>
      <c r="V1974" s="210"/>
      <c r="W1974" s="210"/>
      <c r="X1974" s="210"/>
      <c r="Y1974" s="210"/>
      <c r="Z1974" s="210"/>
      <c r="AA1974" s="210"/>
      <c r="AB1974" s="210"/>
      <c r="AC1974" s="210"/>
      <c r="AD1974" s="210"/>
      <c r="AE1974" s="210"/>
      <c r="AF1974" s="210"/>
      <c r="AG1974" s="210"/>
      <c r="AH1974" s="210"/>
      <c r="AI1974" s="210"/>
      <c r="AJ1974" s="210"/>
    </row>
    <row r="1975" ht="14.25" customHeight="1">
      <c r="A1975" s="210"/>
      <c r="B1975" s="210"/>
      <c r="C1975" s="210"/>
      <c r="D1975" s="210"/>
      <c r="E1975" s="210"/>
      <c r="F1975" s="210"/>
      <c r="G1975" s="210"/>
      <c r="H1975" s="210"/>
      <c r="I1975" s="210"/>
      <c r="J1975" s="210"/>
      <c r="K1975" s="210"/>
      <c r="L1975" s="210"/>
      <c r="M1975" s="210"/>
      <c r="N1975" s="210"/>
      <c r="O1975" s="210"/>
      <c r="P1975" s="210"/>
      <c r="Q1975" s="210"/>
      <c r="R1975" s="210"/>
      <c r="S1975" s="210"/>
      <c r="T1975" s="210"/>
      <c r="U1975" s="210"/>
      <c r="V1975" s="210"/>
      <c r="W1975" s="210"/>
      <c r="X1975" s="210"/>
      <c r="Y1975" s="210"/>
      <c r="Z1975" s="210"/>
      <c r="AA1975" s="210"/>
      <c r="AB1975" s="210"/>
      <c r="AC1975" s="210"/>
      <c r="AD1975" s="210"/>
      <c r="AE1975" s="210"/>
      <c r="AF1975" s="210"/>
      <c r="AG1975" s="210"/>
      <c r="AH1975" s="210"/>
      <c r="AI1975" s="210"/>
      <c r="AJ1975" s="210"/>
    </row>
    <row r="1976" ht="14.25" customHeight="1">
      <c r="A1976" s="210"/>
      <c r="B1976" s="210"/>
      <c r="C1976" s="210"/>
      <c r="D1976" s="210"/>
      <c r="E1976" s="210"/>
      <c r="F1976" s="210"/>
      <c r="G1976" s="210"/>
      <c r="H1976" s="210"/>
      <c r="I1976" s="210"/>
      <c r="J1976" s="210"/>
      <c r="K1976" s="210"/>
      <c r="L1976" s="210"/>
      <c r="M1976" s="210"/>
      <c r="N1976" s="210"/>
      <c r="O1976" s="210"/>
      <c r="P1976" s="210"/>
      <c r="Q1976" s="210"/>
      <c r="R1976" s="210"/>
      <c r="S1976" s="210"/>
      <c r="T1976" s="210"/>
      <c r="U1976" s="210"/>
      <c r="V1976" s="210"/>
      <c r="W1976" s="210"/>
      <c r="X1976" s="210"/>
      <c r="Y1976" s="210"/>
      <c r="Z1976" s="210"/>
      <c r="AA1976" s="210"/>
      <c r="AB1976" s="210"/>
      <c r="AC1976" s="210"/>
      <c r="AD1976" s="210"/>
      <c r="AE1976" s="210"/>
      <c r="AF1976" s="210"/>
      <c r="AG1976" s="210"/>
      <c r="AH1976" s="210"/>
      <c r="AI1976" s="210"/>
      <c r="AJ1976" s="210"/>
    </row>
    <row r="1977" ht="14.25" customHeight="1">
      <c r="A1977" s="210"/>
      <c r="B1977" s="210"/>
      <c r="C1977" s="210"/>
      <c r="D1977" s="210"/>
      <c r="E1977" s="210"/>
      <c r="F1977" s="210"/>
      <c r="G1977" s="210"/>
      <c r="H1977" s="210"/>
      <c r="I1977" s="210"/>
      <c r="J1977" s="210"/>
      <c r="K1977" s="210"/>
      <c r="L1977" s="210"/>
      <c r="M1977" s="210"/>
      <c r="N1977" s="210"/>
      <c r="O1977" s="210"/>
      <c r="P1977" s="210"/>
      <c r="Q1977" s="210"/>
      <c r="R1977" s="210"/>
      <c r="S1977" s="210"/>
      <c r="T1977" s="210"/>
      <c r="U1977" s="210"/>
      <c r="V1977" s="210"/>
      <c r="W1977" s="210"/>
      <c r="X1977" s="210"/>
      <c r="Y1977" s="210"/>
      <c r="Z1977" s="210"/>
      <c r="AA1977" s="210"/>
      <c r="AB1977" s="210"/>
      <c r="AC1977" s="210"/>
      <c r="AD1977" s="210"/>
      <c r="AE1977" s="210"/>
      <c r="AF1977" s="210"/>
      <c r="AG1977" s="210"/>
      <c r="AH1977" s="210"/>
      <c r="AI1977" s="210"/>
      <c r="AJ1977" s="210"/>
    </row>
    <row r="1978" ht="14.25" customHeight="1">
      <c r="A1978" s="210"/>
      <c r="B1978" s="210"/>
      <c r="C1978" s="210"/>
      <c r="D1978" s="210"/>
      <c r="E1978" s="210"/>
      <c r="F1978" s="210"/>
      <c r="G1978" s="210"/>
      <c r="H1978" s="210"/>
      <c r="I1978" s="210"/>
      <c r="J1978" s="210"/>
      <c r="K1978" s="210"/>
      <c r="L1978" s="210"/>
      <c r="M1978" s="210"/>
      <c r="N1978" s="210"/>
      <c r="O1978" s="210"/>
      <c r="P1978" s="210"/>
      <c r="Q1978" s="210"/>
      <c r="R1978" s="210"/>
      <c r="S1978" s="210"/>
      <c r="T1978" s="210"/>
      <c r="U1978" s="210"/>
      <c r="V1978" s="210"/>
      <c r="W1978" s="210"/>
      <c r="X1978" s="210"/>
      <c r="Y1978" s="210"/>
      <c r="Z1978" s="210"/>
      <c r="AA1978" s="210"/>
      <c r="AB1978" s="210"/>
      <c r="AC1978" s="210"/>
      <c r="AD1978" s="210"/>
      <c r="AE1978" s="210"/>
      <c r="AF1978" s="210"/>
      <c r="AG1978" s="210"/>
      <c r="AH1978" s="210"/>
      <c r="AI1978" s="210"/>
      <c r="AJ1978" s="210"/>
    </row>
    <row r="1979" ht="14.25" customHeight="1">
      <c r="A1979" s="210"/>
      <c r="B1979" s="210"/>
      <c r="C1979" s="210"/>
      <c r="D1979" s="210"/>
      <c r="E1979" s="210"/>
      <c r="F1979" s="210"/>
      <c r="G1979" s="210"/>
      <c r="H1979" s="210"/>
      <c r="I1979" s="210"/>
      <c r="J1979" s="210"/>
      <c r="K1979" s="210"/>
      <c r="L1979" s="210"/>
      <c r="M1979" s="210"/>
      <c r="N1979" s="210"/>
      <c r="O1979" s="210"/>
      <c r="P1979" s="210"/>
      <c r="Q1979" s="210"/>
      <c r="R1979" s="210"/>
      <c r="S1979" s="210"/>
      <c r="T1979" s="210"/>
      <c r="U1979" s="210"/>
      <c r="V1979" s="210"/>
      <c r="W1979" s="210"/>
      <c r="X1979" s="210"/>
      <c r="Y1979" s="210"/>
      <c r="Z1979" s="210"/>
      <c r="AA1979" s="210"/>
      <c r="AB1979" s="210"/>
      <c r="AC1979" s="210"/>
      <c r="AD1979" s="210"/>
      <c r="AE1979" s="210"/>
      <c r="AF1979" s="210"/>
      <c r="AG1979" s="210"/>
      <c r="AH1979" s="210"/>
      <c r="AI1979" s="210"/>
      <c r="AJ1979" s="210"/>
    </row>
    <row r="1980" ht="14.25" customHeight="1">
      <c r="A1980" s="210"/>
      <c r="B1980" s="210"/>
      <c r="C1980" s="210"/>
      <c r="D1980" s="210"/>
      <c r="E1980" s="210"/>
      <c r="F1980" s="210"/>
      <c r="G1980" s="210"/>
      <c r="H1980" s="210"/>
      <c r="I1980" s="210"/>
      <c r="J1980" s="210"/>
      <c r="K1980" s="210"/>
      <c r="L1980" s="210"/>
      <c r="M1980" s="210"/>
      <c r="N1980" s="210"/>
      <c r="O1980" s="210"/>
      <c r="P1980" s="210"/>
      <c r="Q1980" s="210"/>
      <c r="R1980" s="210"/>
      <c r="S1980" s="210"/>
      <c r="T1980" s="210"/>
      <c r="U1980" s="210"/>
      <c r="V1980" s="210"/>
      <c r="W1980" s="210"/>
      <c r="X1980" s="210"/>
      <c r="Y1980" s="210"/>
      <c r="Z1980" s="210"/>
      <c r="AA1980" s="210"/>
      <c r="AB1980" s="210"/>
      <c r="AC1980" s="210"/>
      <c r="AD1980" s="210"/>
      <c r="AE1980" s="210"/>
      <c r="AF1980" s="210"/>
      <c r="AG1980" s="210"/>
      <c r="AH1980" s="210"/>
      <c r="AI1980" s="210"/>
      <c r="AJ1980" s="210"/>
    </row>
    <row r="1981" ht="14.25" customHeight="1">
      <c r="A1981" s="210"/>
      <c r="B1981" s="210"/>
      <c r="C1981" s="210"/>
      <c r="D1981" s="210"/>
      <c r="E1981" s="210"/>
      <c r="F1981" s="210"/>
      <c r="G1981" s="210"/>
      <c r="H1981" s="210"/>
      <c r="I1981" s="210"/>
      <c r="J1981" s="210"/>
      <c r="K1981" s="210"/>
      <c r="L1981" s="210"/>
      <c r="M1981" s="210"/>
      <c r="N1981" s="210"/>
      <c r="O1981" s="210"/>
      <c r="P1981" s="210"/>
      <c r="Q1981" s="210"/>
      <c r="R1981" s="210"/>
      <c r="S1981" s="210"/>
      <c r="T1981" s="210"/>
      <c r="U1981" s="210"/>
      <c r="V1981" s="210"/>
      <c r="W1981" s="210"/>
      <c r="X1981" s="210"/>
      <c r="Y1981" s="210"/>
      <c r="Z1981" s="210"/>
      <c r="AA1981" s="210"/>
      <c r="AB1981" s="210"/>
      <c r="AC1981" s="210"/>
      <c r="AD1981" s="210"/>
      <c r="AE1981" s="210"/>
      <c r="AF1981" s="210"/>
      <c r="AG1981" s="210"/>
      <c r="AH1981" s="210"/>
      <c r="AI1981" s="210"/>
      <c r="AJ1981" s="210"/>
    </row>
    <row r="1982" ht="14.25" customHeight="1">
      <c r="A1982" s="210"/>
      <c r="B1982" s="210"/>
      <c r="C1982" s="210"/>
      <c r="D1982" s="210"/>
      <c r="E1982" s="210"/>
      <c r="F1982" s="210"/>
      <c r="G1982" s="210"/>
      <c r="H1982" s="210"/>
      <c r="I1982" s="210"/>
      <c r="J1982" s="210"/>
      <c r="K1982" s="210"/>
      <c r="L1982" s="210"/>
      <c r="M1982" s="210"/>
      <c r="N1982" s="210"/>
      <c r="O1982" s="210"/>
      <c r="P1982" s="210"/>
      <c r="Q1982" s="210"/>
      <c r="R1982" s="210"/>
      <c r="S1982" s="210"/>
      <c r="T1982" s="210"/>
      <c r="U1982" s="210"/>
      <c r="V1982" s="210"/>
      <c r="W1982" s="210"/>
      <c r="X1982" s="210"/>
      <c r="Y1982" s="210"/>
      <c r="Z1982" s="210"/>
      <c r="AA1982" s="210"/>
      <c r="AB1982" s="210"/>
      <c r="AC1982" s="210"/>
      <c r="AD1982" s="210"/>
      <c r="AE1982" s="210"/>
      <c r="AF1982" s="210"/>
      <c r="AG1982" s="210"/>
      <c r="AH1982" s="210"/>
      <c r="AI1982" s="210"/>
      <c r="AJ1982" s="210"/>
    </row>
    <row r="1983" ht="14.25" customHeight="1">
      <c r="A1983" s="210"/>
      <c r="B1983" s="210"/>
      <c r="C1983" s="210"/>
      <c r="D1983" s="210"/>
      <c r="E1983" s="210"/>
      <c r="F1983" s="210"/>
      <c r="G1983" s="210"/>
      <c r="H1983" s="210"/>
      <c r="I1983" s="210"/>
      <c r="J1983" s="210"/>
      <c r="K1983" s="210"/>
      <c r="L1983" s="210"/>
      <c r="M1983" s="210"/>
      <c r="N1983" s="210"/>
      <c r="O1983" s="210"/>
      <c r="P1983" s="210"/>
      <c r="Q1983" s="210"/>
      <c r="R1983" s="210"/>
      <c r="S1983" s="210"/>
      <c r="T1983" s="210"/>
      <c r="U1983" s="210"/>
      <c r="V1983" s="210"/>
      <c r="W1983" s="210"/>
      <c r="X1983" s="210"/>
      <c r="Y1983" s="210"/>
      <c r="Z1983" s="210"/>
      <c r="AA1983" s="210"/>
      <c r="AB1983" s="210"/>
      <c r="AC1983" s="210"/>
      <c r="AD1983" s="210"/>
      <c r="AE1983" s="210"/>
      <c r="AF1983" s="210"/>
      <c r="AG1983" s="210"/>
      <c r="AH1983" s="210"/>
      <c r="AI1983" s="210"/>
      <c r="AJ1983" s="210"/>
    </row>
    <row r="1984" ht="14.25" customHeight="1">
      <c r="A1984" s="210"/>
      <c r="B1984" s="210"/>
      <c r="C1984" s="210"/>
      <c r="D1984" s="210"/>
      <c r="E1984" s="210"/>
      <c r="F1984" s="210"/>
      <c r="G1984" s="210"/>
      <c r="H1984" s="210"/>
      <c r="I1984" s="210"/>
      <c r="J1984" s="210"/>
      <c r="K1984" s="210"/>
      <c r="L1984" s="210"/>
      <c r="M1984" s="210"/>
      <c r="N1984" s="210"/>
      <c r="O1984" s="210"/>
      <c r="P1984" s="210"/>
      <c r="Q1984" s="210"/>
      <c r="R1984" s="210"/>
      <c r="S1984" s="210"/>
      <c r="T1984" s="210"/>
      <c r="U1984" s="210"/>
      <c r="V1984" s="210"/>
      <c r="W1984" s="210"/>
      <c r="X1984" s="210"/>
      <c r="Y1984" s="210"/>
      <c r="Z1984" s="210"/>
      <c r="AA1984" s="210"/>
      <c r="AB1984" s="210"/>
      <c r="AC1984" s="210"/>
      <c r="AD1984" s="210"/>
      <c r="AE1984" s="210"/>
      <c r="AF1984" s="210"/>
      <c r="AG1984" s="210"/>
      <c r="AH1984" s="210"/>
      <c r="AI1984" s="210"/>
      <c r="AJ1984" s="210"/>
    </row>
    <row r="1985" ht="14.25" customHeight="1">
      <c r="A1985" s="210"/>
      <c r="B1985" s="210"/>
      <c r="C1985" s="210"/>
      <c r="D1985" s="210"/>
      <c r="E1985" s="210"/>
      <c r="F1985" s="210"/>
      <c r="G1985" s="210"/>
      <c r="H1985" s="210"/>
      <c r="I1985" s="210"/>
      <c r="J1985" s="210"/>
      <c r="K1985" s="210"/>
      <c r="L1985" s="210"/>
      <c r="M1985" s="210"/>
      <c r="N1985" s="210"/>
      <c r="O1985" s="210"/>
      <c r="P1985" s="210"/>
      <c r="Q1985" s="210"/>
      <c r="R1985" s="210"/>
      <c r="S1985" s="210"/>
      <c r="T1985" s="210"/>
      <c r="U1985" s="210"/>
      <c r="V1985" s="210"/>
      <c r="W1985" s="210"/>
      <c r="X1985" s="210"/>
      <c r="Y1985" s="210"/>
      <c r="Z1985" s="210"/>
      <c r="AA1985" s="210"/>
      <c r="AB1985" s="210"/>
      <c r="AC1985" s="210"/>
      <c r="AD1985" s="210"/>
      <c r="AE1985" s="210"/>
      <c r="AF1985" s="210"/>
      <c r="AG1985" s="210"/>
      <c r="AH1985" s="210"/>
      <c r="AI1985" s="210"/>
      <c r="AJ1985" s="210"/>
    </row>
    <row r="1986" ht="14.25" customHeight="1">
      <c r="A1986" s="210"/>
      <c r="B1986" s="210"/>
      <c r="C1986" s="210"/>
      <c r="D1986" s="210"/>
      <c r="E1986" s="210"/>
      <c r="F1986" s="210"/>
      <c r="G1986" s="210"/>
      <c r="H1986" s="210"/>
      <c r="I1986" s="210"/>
      <c r="J1986" s="210"/>
      <c r="K1986" s="210"/>
      <c r="L1986" s="210"/>
      <c r="M1986" s="210"/>
      <c r="N1986" s="210"/>
      <c r="O1986" s="210"/>
      <c r="P1986" s="210"/>
      <c r="Q1986" s="210"/>
      <c r="R1986" s="210"/>
      <c r="S1986" s="210"/>
      <c r="T1986" s="210"/>
      <c r="U1986" s="210"/>
      <c r="V1986" s="210"/>
      <c r="W1986" s="210"/>
      <c r="X1986" s="210"/>
      <c r="Y1986" s="210"/>
      <c r="Z1986" s="210"/>
      <c r="AA1986" s="210"/>
      <c r="AB1986" s="210"/>
      <c r="AC1986" s="210"/>
      <c r="AD1986" s="210"/>
      <c r="AE1986" s="210"/>
      <c r="AF1986" s="210"/>
      <c r="AG1986" s="210"/>
      <c r="AH1986" s="210"/>
      <c r="AI1986" s="210"/>
      <c r="AJ1986" s="210"/>
    </row>
    <row r="1987" ht="14.25" customHeight="1">
      <c r="A1987" s="210"/>
      <c r="B1987" s="210"/>
      <c r="C1987" s="210"/>
      <c r="D1987" s="210"/>
      <c r="E1987" s="210"/>
      <c r="F1987" s="210"/>
      <c r="G1987" s="210"/>
      <c r="H1987" s="210"/>
      <c r="I1987" s="210"/>
      <c r="J1987" s="210"/>
      <c r="K1987" s="210"/>
      <c r="L1987" s="210"/>
      <c r="M1987" s="210"/>
      <c r="N1987" s="210"/>
      <c r="O1987" s="210"/>
      <c r="P1987" s="210"/>
      <c r="Q1987" s="210"/>
      <c r="R1987" s="210"/>
      <c r="S1987" s="210"/>
      <c r="T1987" s="210"/>
      <c r="U1987" s="210"/>
      <c r="V1987" s="210"/>
      <c r="W1987" s="210"/>
      <c r="X1987" s="210"/>
      <c r="Y1987" s="210"/>
      <c r="Z1987" s="210"/>
      <c r="AA1987" s="210"/>
      <c r="AB1987" s="210"/>
      <c r="AC1987" s="210"/>
      <c r="AD1987" s="210"/>
      <c r="AE1987" s="210"/>
      <c r="AF1987" s="210"/>
      <c r="AG1987" s="210"/>
      <c r="AH1987" s="210"/>
      <c r="AI1987" s="210"/>
      <c r="AJ1987" s="210"/>
    </row>
    <row r="1988" ht="14.25" customHeight="1">
      <c r="A1988" s="210"/>
      <c r="B1988" s="210"/>
      <c r="C1988" s="210"/>
      <c r="D1988" s="210"/>
      <c r="E1988" s="210"/>
      <c r="F1988" s="210"/>
      <c r="G1988" s="210"/>
      <c r="H1988" s="210"/>
      <c r="I1988" s="210"/>
      <c r="J1988" s="210"/>
      <c r="K1988" s="210"/>
      <c r="L1988" s="210"/>
      <c r="M1988" s="210"/>
      <c r="N1988" s="210"/>
      <c r="O1988" s="210"/>
      <c r="P1988" s="210"/>
      <c r="Q1988" s="210"/>
      <c r="R1988" s="210"/>
      <c r="S1988" s="210"/>
      <c r="T1988" s="210"/>
      <c r="U1988" s="210"/>
      <c r="V1988" s="210"/>
      <c r="W1988" s="210"/>
      <c r="X1988" s="210"/>
      <c r="Y1988" s="210"/>
      <c r="Z1988" s="210"/>
      <c r="AA1988" s="210"/>
      <c r="AB1988" s="210"/>
      <c r="AC1988" s="210"/>
      <c r="AD1988" s="210"/>
      <c r="AE1988" s="210"/>
      <c r="AF1988" s="210"/>
      <c r="AG1988" s="210"/>
      <c r="AH1988" s="210"/>
      <c r="AI1988" s="210"/>
      <c r="AJ1988" s="210"/>
    </row>
    <row r="1989" ht="14.25" customHeight="1">
      <c r="A1989" s="210"/>
      <c r="B1989" s="210"/>
      <c r="C1989" s="210"/>
      <c r="D1989" s="210"/>
      <c r="E1989" s="210"/>
      <c r="F1989" s="210"/>
      <c r="G1989" s="210"/>
      <c r="H1989" s="210"/>
      <c r="I1989" s="210"/>
      <c r="J1989" s="210"/>
      <c r="K1989" s="210"/>
      <c r="L1989" s="210"/>
      <c r="M1989" s="210"/>
      <c r="N1989" s="210"/>
      <c r="O1989" s="210"/>
      <c r="P1989" s="210"/>
      <c r="Q1989" s="210"/>
      <c r="R1989" s="210"/>
      <c r="S1989" s="210"/>
      <c r="T1989" s="210"/>
      <c r="U1989" s="210"/>
      <c r="V1989" s="210"/>
      <c r="W1989" s="210"/>
      <c r="X1989" s="210"/>
      <c r="Y1989" s="210"/>
      <c r="Z1989" s="210"/>
      <c r="AA1989" s="210"/>
      <c r="AB1989" s="210"/>
      <c r="AC1989" s="210"/>
      <c r="AD1989" s="210"/>
      <c r="AE1989" s="210"/>
      <c r="AF1989" s="210"/>
      <c r="AG1989" s="210"/>
      <c r="AH1989" s="210"/>
      <c r="AI1989" s="210"/>
      <c r="AJ1989" s="210"/>
    </row>
    <row r="1990" ht="14.25" customHeight="1">
      <c r="A1990" s="210"/>
      <c r="B1990" s="210"/>
      <c r="C1990" s="210"/>
      <c r="D1990" s="210"/>
      <c r="E1990" s="210"/>
      <c r="F1990" s="210"/>
      <c r="G1990" s="210"/>
      <c r="H1990" s="210"/>
      <c r="I1990" s="210"/>
      <c r="J1990" s="210"/>
      <c r="K1990" s="210"/>
      <c r="L1990" s="210"/>
      <c r="M1990" s="210"/>
      <c r="N1990" s="210"/>
      <c r="O1990" s="210"/>
      <c r="P1990" s="210"/>
      <c r="Q1990" s="210"/>
      <c r="R1990" s="210"/>
      <c r="S1990" s="210"/>
      <c r="T1990" s="210"/>
      <c r="U1990" s="210"/>
      <c r="V1990" s="210"/>
      <c r="W1990" s="210"/>
      <c r="X1990" s="210"/>
      <c r="Y1990" s="210"/>
      <c r="Z1990" s="210"/>
      <c r="AA1990" s="210"/>
      <c r="AB1990" s="210"/>
      <c r="AC1990" s="210"/>
      <c r="AD1990" s="210"/>
      <c r="AE1990" s="210"/>
      <c r="AF1990" s="210"/>
      <c r="AG1990" s="210"/>
      <c r="AH1990" s="210"/>
      <c r="AI1990" s="210"/>
      <c r="AJ1990" s="210"/>
    </row>
    <row r="1991" ht="14.25" customHeight="1">
      <c r="A1991" s="210"/>
      <c r="B1991" s="210"/>
      <c r="C1991" s="210"/>
      <c r="D1991" s="210"/>
      <c r="E1991" s="210"/>
      <c r="F1991" s="210"/>
      <c r="G1991" s="210"/>
      <c r="H1991" s="210"/>
      <c r="I1991" s="210"/>
      <c r="J1991" s="210"/>
      <c r="K1991" s="210"/>
      <c r="L1991" s="210"/>
      <c r="M1991" s="210"/>
      <c r="N1991" s="210"/>
      <c r="O1991" s="210"/>
      <c r="P1991" s="210"/>
      <c r="Q1991" s="210"/>
      <c r="R1991" s="210"/>
      <c r="S1991" s="210"/>
      <c r="T1991" s="210"/>
      <c r="U1991" s="210"/>
      <c r="V1991" s="210"/>
      <c r="W1991" s="210"/>
      <c r="X1991" s="210"/>
      <c r="Y1991" s="210"/>
      <c r="Z1991" s="210"/>
      <c r="AA1991" s="210"/>
      <c r="AB1991" s="210"/>
      <c r="AC1991" s="210"/>
      <c r="AD1991" s="210"/>
      <c r="AE1991" s="210"/>
      <c r="AF1991" s="210"/>
      <c r="AG1991" s="210"/>
      <c r="AH1991" s="210"/>
      <c r="AI1991" s="210"/>
      <c r="AJ1991" s="210"/>
    </row>
    <row r="1992" ht="14.25" customHeight="1">
      <c r="A1992" s="210"/>
      <c r="B1992" s="210"/>
      <c r="C1992" s="210"/>
      <c r="D1992" s="210"/>
      <c r="E1992" s="210"/>
      <c r="F1992" s="210"/>
      <c r="G1992" s="210"/>
      <c r="H1992" s="210"/>
      <c r="I1992" s="210"/>
      <c r="J1992" s="210"/>
      <c r="K1992" s="210"/>
      <c r="L1992" s="210"/>
      <c r="M1992" s="210"/>
      <c r="N1992" s="210"/>
      <c r="O1992" s="210"/>
      <c r="P1992" s="210"/>
      <c r="Q1992" s="210"/>
      <c r="R1992" s="210"/>
      <c r="S1992" s="210"/>
      <c r="T1992" s="210"/>
      <c r="U1992" s="210"/>
      <c r="V1992" s="210"/>
      <c r="W1992" s="210"/>
      <c r="X1992" s="210"/>
      <c r="Y1992" s="210"/>
      <c r="Z1992" s="210"/>
      <c r="AA1992" s="210"/>
      <c r="AB1992" s="210"/>
      <c r="AC1992" s="210"/>
      <c r="AD1992" s="210"/>
      <c r="AE1992" s="210"/>
      <c r="AF1992" s="210"/>
      <c r="AG1992" s="210"/>
      <c r="AH1992" s="210"/>
      <c r="AI1992" s="210"/>
      <c r="AJ1992" s="210"/>
    </row>
    <row r="1993" ht="14.25" customHeight="1">
      <c r="A1993" s="210"/>
      <c r="B1993" s="210"/>
      <c r="C1993" s="210"/>
      <c r="D1993" s="210"/>
      <c r="E1993" s="210"/>
      <c r="F1993" s="210"/>
      <c r="G1993" s="210"/>
      <c r="H1993" s="210"/>
      <c r="I1993" s="210"/>
      <c r="J1993" s="210"/>
      <c r="K1993" s="210"/>
      <c r="L1993" s="210"/>
      <c r="M1993" s="210"/>
      <c r="N1993" s="210"/>
      <c r="O1993" s="210"/>
      <c r="P1993" s="210"/>
      <c r="Q1993" s="210"/>
      <c r="R1993" s="210"/>
      <c r="S1993" s="210"/>
      <c r="T1993" s="210"/>
      <c r="U1993" s="210"/>
      <c r="V1993" s="210"/>
      <c r="W1993" s="210"/>
      <c r="X1993" s="210"/>
      <c r="Y1993" s="210"/>
      <c r="Z1993" s="210"/>
      <c r="AA1993" s="210"/>
      <c r="AB1993" s="210"/>
      <c r="AC1993" s="210"/>
      <c r="AD1993" s="210"/>
      <c r="AE1993" s="210"/>
      <c r="AF1993" s="210"/>
      <c r="AG1993" s="210"/>
      <c r="AH1993" s="210"/>
      <c r="AI1993" s="210"/>
      <c r="AJ1993" s="210"/>
    </row>
    <row r="1994" ht="14.25" customHeight="1">
      <c r="A1994" s="210"/>
      <c r="B1994" s="210"/>
      <c r="C1994" s="210"/>
      <c r="D1994" s="210"/>
      <c r="E1994" s="210"/>
      <c r="F1994" s="210"/>
      <c r="G1994" s="210"/>
      <c r="H1994" s="210"/>
      <c r="I1994" s="210"/>
      <c r="J1994" s="210"/>
      <c r="K1994" s="210"/>
      <c r="L1994" s="210"/>
      <c r="M1994" s="210"/>
      <c r="N1994" s="210"/>
      <c r="O1994" s="210"/>
      <c r="P1994" s="210"/>
      <c r="Q1994" s="210"/>
      <c r="R1994" s="210"/>
      <c r="S1994" s="210"/>
      <c r="T1994" s="210"/>
      <c r="U1994" s="210"/>
      <c r="V1994" s="210"/>
      <c r="W1994" s="210"/>
      <c r="X1994" s="210"/>
      <c r="Y1994" s="210"/>
      <c r="Z1994" s="210"/>
      <c r="AA1994" s="210"/>
      <c r="AB1994" s="210"/>
      <c r="AC1994" s="210"/>
      <c r="AD1994" s="210"/>
      <c r="AE1994" s="210"/>
      <c r="AF1994" s="210"/>
      <c r="AG1994" s="210"/>
      <c r="AH1994" s="210"/>
      <c r="AI1994" s="210"/>
      <c r="AJ1994" s="210"/>
    </row>
    <row r="1995" ht="14.25" customHeight="1">
      <c r="A1995" s="210"/>
      <c r="B1995" s="210"/>
      <c r="C1995" s="210"/>
      <c r="D1995" s="210"/>
      <c r="E1995" s="210"/>
      <c r="F1995" s="210"/>
      <c r="G1995" s="210"/>
      <c r="H1995" s="210"/>
      <c r="I1995" s="210"/>
      <c r="J1995" s="210"/>
      <c r="K1995" s="210"/>
      <c r="L1995" s="210"/>
      <c r="M1995" s="210"/>
      <c r="N1995" s="210"/>
      <c r="O1995" s="210"/>
      <c r="P1995" s="210"/>
      <c r="Q1995" s="210"/>
      <c r="R1995" s="210"/>
      <c r="S1995" s="210"/>
      <c r="T1995" s="210"/>
      <c r="U1995" s="210"/>
      <c r="V1995" s="210"/>
      <c r="W1995" s="210"/>
      <c r="X1995" s="210"/>
      <c r="Y1995" s="210"/>
      <c r="Z1995" s="210"/>
      <c r="AA1995" s="210"/>
      <c r="AB1995" s="210"/>
      <c r="AC1995" s="210"/>
      <c r="AD1995" s="210"/>
      <c r="AE1995" s="210"/>
      <c r="AF1995" s="210"/>
      <c r="AG1995" s="210"/>
      <c r="AH1995" s="210"/>
      <c r="AI1995" s="210"/>
      <c r="AJ1995" s="210"/>
    </row>
    <row r="1996" ht="14.25" customHeight="1">
      <c r="A1996" s="210"/>
      <c r="B1996" s="210"/>
      <c r="C1996" s="210"/>
      <c r="D1996" s="210"/>
      <c r="E1996" s="210"/>
      <c r="F1996" s="210"/>
      <c r="G1996" s="210"/>
      <c r="H1996" s="210"/>
      <c r="I1996" s="210"/>
      <c r="J1996" s="210"/>
      <c r="K1996" s="210"/>
      <c r="L1996" s="210"/>
      <c r="M1996" s="210"/>
      <c r="N1996" s="210"/>
      <c r="O1996" s="210"/>
      <c r="P1996" s="210"/>
      <c r="Q1996" s="210"/>
      <c r="R1996" s="210"/>
      <c r="S1996" s="210"/>
      <c r="T1996" s="210"/>
      <c r="U1996" s="210"/>
      <c r="V1996" s="210"/>
      <c r="W1996" s="210"/>
      <c r="X1996" s="210"/>
      <c r="Y1996" s="210"/>
      <c r="Z1996" s="210"/>
      <c r="AA1996" s="210"/>
      <c r="AB1996" s="210"/>
      <c r="AC1996" s="210"/>
      <c r="AD1996" s="210"/>
      <c r="AE1996" s="210"/>
      <c r="AF1996" s="210"/>
      <c r="AG1996" s="210"/>
      <c r="AH1996" s="210"/>
      <c r="AI1996" s="210"/>
      <c r="AJ1996" s="210"/>
    </row>
    <row r="1997" ht="14.25" customHeight="1">
      <c r="A1997" s="210"/>
      <c r="B1997" s="210"/>
      <c r="C1997" s="210"/>
      <c r="D1997" s="210"/>
      <c r="E1997" s="210"/>
      <c r="F1997" s="210"/>
      <c r="G1997" s="210"/>
      <c r="H1997" s="210"/>
      <c r="I1997" s="210"/>
      <c r="J1997" s="210"/>
      <c r="K1997" s="210"/>
      <c r="L1997" s="210"/>
      <c r="M1997" s="210"/>
      <c r="N1997" s="210"/>
      <c r="O1997" s="210"/>
      <c r="P1997" s="210"/>
      <c r="Q1997" s="210"/>
      <c r="R1997" s="210"/>
      <c r="S1997" s="210"/>
      <c r="T1997" s="210"/>
      <c r="U1997" s="210"/>
      <c r="V1997" s="210"/>
      <c r="W1997" s="210"/>
      <c r="X1997" s="210"/>
      <c r="Y1997" s="210"/>
      <c r="Z1997" s="210"/>
      <c r="AA1997" s="210"/>
      <c r="AB1997" s="210"/>
      <c r="AC1997" s="210"/>
      <c r="AD1997" s="210"/>
      <c r="AE1997" s="210"/>
      <c r="AF1997" s="210"/>
      <c r="AG1997" s="210"/>
      <c r="AH1997" s="210"/>
      <c r="AI1997" s="210"/>
      <c r="AJ1997" s="210"/>
    </row>
    <row r="1998" ht="14.25" customHeight="1">
      <c r="A1998" s="210"/>
      <c r="B1998" s="210"/>
      <c r="C1998" s="210"/>
      <c r="D1998" s="210"/>
      <c r="E1998" s="210"/>
      <c r="F1998" s="210"/>
      <c r="G1998" s="210"/>
      <c r="H1998" s="210"/>
      <c r="I1998" s="210"/>
      <c r="J1998" s="210"/>
      <c r="K1998" s="210"/>
      <c r="L1998" s="210"/>
      <c r="M1998" s="210"/>
      <c r="N1998" s="210"/>
      <c r="O1998" s="210"/>
      <c r="P1998" s="210"/>
      <c r="Q1998" s="210"/>
      <c r="R1998" s="210"/>
      <c r="S1998" s="210"/>
      <c r="T1998" s="210"/>
      <c r="U1998" s="210"/>
      <c r="V1998" s="210"/>
      <c r="W1998" s="210"/>
      <c r="X1998" s="210"/>
      <c r="Y1998" s="210"/>
      <c r="Z1998" s="210"/>
      <c r="AA1998" s="210"/>
      <c r="AB1998" s="210"/>
      <c r="AC1998" s="210"/>
      <c r="AD1998" s="210"/>
      <c r="AE1998" s="210"/>
      <c r="AF1998" s="210"/>
      <c r="AG1998" s="210"/>
      <c r="AH1998" s="210"/>
      <c r="AI1998" s="210"/>
      <c r="AJ1998" s="210"/>
    </row>
    <row r="1999" ht="14.25" customHeight="1">
      <c r="A1999" s="210"/>
      <c r="B1999" s="210"/>
      <c r="C1999" s="210"/>
      <c r="D1999" s="210"/>
      <c r="E1999" s="210"/>
      <c r="F1999" s="210"/>
      <c r="G1999" s="210"/>
      <c r="H1999" s="210"/>
      <c r="I1999" s="210"/>
      <c r="J1999" s="210"/>
      <c r="K1999" s="210"/>
      <c r="L1999" s="210"/>
      <c r="M1999" s="210"/>
      <c r="N1999" s="210"/>
      <c r="O1999" s="210"/>
      <c r="P1999" s="210"/>
      <c r="Q1999" s="210"/>
      <c r="R1999" s="210"/>
      <c r="S1999" s="210"/>
      <c r="T1999" s="210"/>
      <c r="U1999" s="210"/>
      <c r="V1999" s="210"/>
      <c r="W1999" s="210"/>
      <c r="X1999" s="210"/>
      <c r="Y1999" s="210"/>
      <c r="Z1999" s="210"/>
      <c r="AA1999" s="210"/>
      <c r="AB1999" s="210"/>
      <c r="AC1999" s="210"/>
      <c r="AD1999" s="210"/>
      <c r="AE1999" s="210"/>
      <c r="AF1999" s="210"/>
      <c r="AG1999" s="210"/>
      <c r="AH1999" s="210"/>
      <c r="AI1999" s="210"/>
      <c r="AJ1999" s="210"/>
    </row>
    <row r="2000" ht="14.25" customHeight="1">
      <c r="A2000" s="210"/>
      <c r="B2000" s="210"/>
      <c r="C2000" s="210"/>
      <c r="D2000" s="210"/>
      <c r="E2000" s="210"/>
      <c r="F2000" s="210"/>
      <c r="G2000" s="210"/>
      <c r="H2000" s="210"/>
      <c r="I2000" s="210"/>
      <c r="J2000" s="210"/>
      <c r="K2000" s="210"/>
      <c r="L2000" s="210"/>
      <c r="M2000" s="210"/>
      <c r="N2000" s="210"/>
      <c r="O2000" s="210"/>
      <c r="P2000" s="210"/>
      <c r="Q2000" s="210"/>
      <c r="R2000" s="210"/>
      <c r="S2000" s="210"/>
      <c r="T2000" s="210"/>
      <c r="U2000" s="210"/>
      <c r="V2000" s="210"/>
      <c r="W2000" s="210"/>
      <c r="X2000" s="210"/>
      <c r="Y2000" s="210"/>
      <c r="Z2000" s="210"/>
      <c r="AA2000" s="210"/>
      <c r="AB2000" s="210"/>
      <c r="AC2000" s="210"/>
      <c r="AD2000" s="210"/>
      <c r="AE2000" s="210"/>
      <c r="AF2000" s="210"/>
      <c r="AG2000" s="210"/>
      <c r="AH2000" s="210"/>
      <c r="AI2000" s="210"/>
      <c r="AJ2000" s="210"/>
    </row>
    <row r="2001" ht="14.25" customHeight="1">
      <c r="A2001" s="210"/>
      <c r="B2001" s="210"/>
      <c r="C2001" s="210"/>
      <c r="D2001" s="210"/>
      <c r="E2001" s="210"/>
      <c r="F2001" s="210"/>
      <c r="G2001" s="210"/>
      <c r="H2001" s="210"/>
      <c r="I2001" s="210"/>
      <c r="J2001" s="210"/>
      <c r="K2001" s="210"/>
      <c r="L2001" s="210"/>
      <c r="M2001" s="210"/>
      <c r="N2001" s="210"/>
      <c r="O2001" s="210"/>
      <c r="P2001" s="210"/>
      <c r="Q2001" s="210"/>
      <c r="R2001" s="210"/>
      <c r="S2001" s="210"/>
      <c r="T2001" s="210"/>
      <c r="U2001" s="210"/>
      <c r="V2001" s="210"/>
      <c r="W2001" s="210"/>
      <c r="X2001" s="210"/>
      <c r="Y2001" s="210"/>
      <c r="Z2001" s="210"/>
      <c r="AA2001" s="210"/>
      <c r="AB2001" s="210"/>
      <c r="AC2001" s="210"/>
      <c r="AD2001" s="210"/>
      <c r="AE2001" s="210"/>
      <c r="AF2001" s="210"/>
      <c r="AG2001" s="210"/>
      <c r="AH2001" s="210"/>
      <c r="AI2001" s="210"/>
      <c r="AJ2001" s="210"/>
    </row>
    <row r="2002" ht="14.25" customHeight="1">
      <c r="A2002" s="210"/>
      <c r="B2002" s="210"/>
      <c r="C2002" s="210"/>
      <c r="D2002" s="210"/>
      <c r="E2002" s="210"/>
      <c r="F2002" s="210"/>
      <c r="G2002" s="210"/>
      <c r="H2002" s="210"/>
      <c r="I2002" s="210"/>
      <c r="J2002" s="210"/>
      <c r="K2002" s="210"/>
      <c r="L2002" s="210"/>
      <c r="M2002" s="210"/>
      <c r="N2002" s="210"/>
      <c r="O2002" s="210"/>
      <c r="P2002" s="210"/>
      <c r="Q2002" s="210"/>
      <c r="R2002" s="210"/>
      <c r="S2002" s="210"/>
      <c r="T2002" s="210"/>
      <c r="U2002" s="210"/>
      <c r="V2002" s="210"/>
      <c r="W2002" s="210"/>
      <c r="X2002" s="210"/>
      <c r="Y2002" s="210"/>
      <c r="Z2002" s="210"/>
      <c r="AA2002" s="210"/>
      <c r="AB2002" s="210"/>
      <c r="AC2002" s="210"/>
      <c r="AD2002" s="210"/>
      <c r="AE2002" s="210"/>
      <c r="AF2002" s="210"/>
      <c r="AG2002" s="210"/>
      <c r="AH2002" s="210"/>
      <c r="AI2002" s="210"/>
      <c r="AJ2002" s="210"/>
    </row>
    <row r="2003" ht="14.25" customHeight="1">
      <c r="A2003" s="210"/>
      <c r="B2003" s="210"/>
      <c r="C2003" s="210"/>
      <c r="D2003" s="210"/>
      <c r="E2003" s="210"/>
      <c r="F2003" s="210"/>
      <c r="G2003" s="210"/>
      <c r="H2003" s="210"/>
      <c r="I2003" s="210"/>
      <c r="J2003" s="210"/>
      <c r="K2003" s="210"/>
      <c r="L2003" s="210"/>
      <c r="M2003" s="210"/>
      <c r="N2003" s="210"/>
      <c r="O2003" s="210"/>
      <c r="P2003" s="210"/>
      <c r="Q2003" s="210"/>
      <c r="R2003" s="210"/>
      <c r="S2003" s="210"/>
      <c r="T2003" s="210"/>
      <c r="U2003" s="210"/>
      <c r="V2003" s="210"/>
      <c r="W2003" s="210"/>
      <c r="X2003" s="210"/>
      <c r="Y2003" s="210"/>
      <c r="Z2003" s="210"/>
      <c r="AA2003" s="210"/>
      <c r="AB2003" s="210"/>
      <c r="AC2003" s="210"/>
      <c r="AD2003" s="210"/>
      <c r="AE2003" s="210"/>
      <c r="AF2003" s="210"/>
      <c r="AG2003" s="210"/>
      <c r="AH2003" s="210"/>
      <c r="AI2003" s="210"/>
      <c r="AJ2003" s="210"/>
    </row>
    <row r="2004" ht="14.25" customHeight="1">
      <c r="A2004" s="210"/>
      <c r="B2004" s="210"/>
      <c r="C2004" s="210"/>
      <c r="D2004" s="210"/>
      <c r="E2004" s="210"/>
      <c r="F2004" s="210"/>
      <c r="G2004" s="210"/>
      <c r="H2004" s="210"/>
      <c r="I2004" s="210"/>
      <c r="J2004" s="210"/>
      <c r="K2004" s="210"/>
      <c r="L2004" s="210"/>
      <c r="M2004" s="210"/>
      <c r="N2004" s="210"/>
      <c r="O2004" s="210"/>
      <c r="P2004" s="210"/>
      <c r="Q2004" s="210"/>
      <c r="R2004" s="210"/>
      <c r="S2004" s="210"/>
      <c r="T2004" s="210"/>
      <c r="U2004" s="210"/>
      <c r="V2004" s="210"/>
      <c r="W2004" s="210"/>
      <c r="X2004" s="210"/>
      <c r="Y2004" s="210"/>
      <c r="Z2004" s="210"/>
      <c r="AA2004" s="210"/>
      <c r="AB2004" s="210"/>
      <c r="AC2004" s="210"/>
      <c r="AD2004" s="210"/>
      <c r="AE2004" s="210"/>
      <c r="AF2004" s="210"/>
      <c r="AG2004" s="210"/>
      <c r="AH2004" s="210"/>
      <c r="AI2004" s="210"/>
      <c r="AJ2004" s="210"/>
    </row>
    <row r="2005" ht="14.25" customHeight="1">
      <c r="A2005" s="210"/>
      <c r="B2005" s="210"/>
      <c r="C2005" s="210"/>
      <c r="D2005" s="210"/>
      <c r="E2005" s="210"/>
      <c r="F2005" s="210"/>
      <c r="G2005" s="210"/>
      <c r="H2005" s="210"/>
      <c r="I2005" s="210"/>
      <c r="J2005" s="210"/>
      <c r="K2005" s="210"/>
      <c r="L2005" s="210"/>
      <c r="M2005" s="210"/>
      <c r="N2005" s="210"/>
      <c r="O2005" s="210"/>
      <c r="P2005" s="210"/>
      <c r="Q2005" s="210"/>
      <c r="R2005" s="210"/>
      <c r="S2005" s="210"/>
      <c r="T2005" s="210"/>
      <c r="U2005" s="210"/>
      <c r="V2005" s="210"/>
      <c r="W2005" s="210"/>
      <c r="X2005" s="210"/>
      <c r="Y2005" s="210"/>
      <c r="Z2005" s="210"/>
      <c r="AA2005" s="210"/>
      <c r="AB2005" s="210"/>
      <c r="AC2005" s="210"/>
      <c r="AD2005" s="210"/>
      <c r="AE2005" s="210"/>
      <c r="AF2005" s="210"/>
      <c r="AG2005" s="210"/>
      <c r="AH2005" s="210"/>
      <c r="AI2005" s="210"/>
      <c r="AJ2005" s="210"/>
    </row>
    <row r="2006" ht="14.25" customHeight="1">
      <c r="A2006" s="210"/>
      <c r="B2006" s="210"/>
      <c r="C2006" s="210"/>
      <c r="D2006" s="210"/>
      <c r="E2006" s="210"/>
      <c r="F2006" s="210"/>
      <c r="G2006" s="210"/>
      <c r="H2006" s="210"/>
      <c r="I2006" s="210"/>
      <c r="J2006" s="210"/>
      <c r="K2006" s="210"/>
      <c r="L2006" s="210"/>
      <c r="M2006" s="210"/>
      <c r="N2006" s="210"/>
      <c r="O2006" s="210"/>
      <c r="P2006" s="210"/>
      <c r="Q2006" s="210"/>
      <c r="R2006" s="210"/>
      <c r="S2006" s="210"/>
      <c r="T2006" s="210"/>
      <c r="U2006" s="210"/>
      <c r="V2006" s="210"/>
      <c r="W2006" s="210"/>
      <c r="X2006" s="210"/>
      <c r="Y2006" s="210"/>
      <c r="Z2006" s="210"/>
      <c r="AA2006" s="210"/>
      <c r="AB2006" s="210"/>
      <c r="AC2006" s="210"/>
      <c r="AD2006" s="210"/>
      <c r="AE2006" s="210"/>
      <c r="AF2006" s="210"/>
      <c r="AG2006" s="210"/>
      <c r="AH2006" s="210"/>
      <c r="AI2006" s="210"/>
      <c r="AJ2006" s="210"/>
    </row>
    <row r="2007" ht="14.25" customHeight="1">
      <c r="A2007" s="210"/>
      <c r="B2007" s="210"/>
      <c r="C2007" s="210"/>
      <c r="D2007" s="210"/>
      <c r="E2007" s="210"/>
      <c r="F2007" s="210"/>
      <c r="G2007" s="210"/>
      <c r="H2007" s="210"/>
      <c r="I2007" s="210"/>
      <c r="J2007" s="210"/>
      <c r="K2007" s="210"/>
      <c r="L2007" s="210"/>
      <c r="M2007" s="210"/>
      <c r="N2007" s="210"/>
      <c r="O2007" s="210"/>
      <c r="P2007" s="210"/>
      <c r="Q2007" s="210"/>
      <c r="R2007" s="210"/>
      <c r="S2007" s="210"/>
      <c r="T2007" s="210"/>
      <c r="U2007" s="210"/>
      <c r="V2007" s="210"/>
      <c r="W2007" s="210"/>
      <c r="X2007" s="210"/>
      <c r="Y2007" s="210"/>
      <c r="Z2007" s="210"/>
      <c r="AA2007" s="210"/>
      <c r="AB2007" s="210"/>
      <c r="AC2007" s="210"/>
      <c r="AD2007" s="210"/>
      <c r="AE2007" s="210"/>
      <c r="AF2007" s="210"/>
      <c r="AG2007" s="210"/>
      <c r="AH2007" s="210"/>
      <c r="AI2007" s="210"/>
      <c r="AJ2007" s="210"/>
    </row>
    <row r="2008" ht="14.25" customHeight="1">
      <c r="A2008" s="210"/>
      <c r="B2008" s="210"/>
      <c r="C2008" s="210"/>
      <c r="D2008" s="210"/>
      <c r="E2008" s="210"/>
      <c r="F2008" s="210"/>
      <c r="G2008" s="210"/>
      <c r="H2008" s="210"/>
      <c r="I2008" s="210"/>
      <c r="J2008" s="210"/>
      <c r="K2008" s="210"/>
      <c r="L2008" s="210"/>
      <c r="M2008" s="210"/>
      <c r="N2008" s="210"/>
      <c r="O2008" s="210"/>
      <c r="P2008" s="210"/>
      <c r="Q2008" s="210"/>
      <c r="R2008" s="210"/>
      <c r="S2008" s="210"/>
      <c r="T2008" s="210"/>
      <c r="U2008" s="210"/>
      <c r="V2008" s="210"/>
      <c r="W2008" s="210"/>
      <c r="X2008" s="210"/>
      <c r="Y2008" s="210"/>
      <c r="Z2008" s="210"/>
      <c r="AA2008" s="210"/>
      <c r="AB2008" s="210"/>
      <c r="AC2008" s="210"/>
      <c r="AD2008" s="210"/>
      <c r="AE2008" s="210"/>
      <c r="AF2008" s="210"/>
      <c r="AG2008" s="210"/>
      <c r="AH2008" s="210"/>
      <c r="AI2008" s="210"/>
      <c r="AJ2008" s="210"/>
    </row>
    <row r="2009" ht="14.25" customHeight="1">
      <c r="A2009" s="210"/>
      <c r="B2009" s="210"/>
      <c r="C2009" s="210"/>
      <c r="D2009" s="210"/>
      <c r="E2009" s="210"/>
      <c r="F2009" s="210"/>
      <c r="G2009" s="210"/>
      <c r="H2009" s="210"/>
      <c r="I2009" s="210"/>
      <c r="J2009" s="210"/>
      <c r="K2009" s="210"/>
      <c r="L2009" s="210"/>
      <c r="M2009" s="210"/>
      <c r="N2009" s="210"/>
      <c r="O2009" s="210"/>
      <c r="P2009" s="210"/>
      <c r="Q2009" s="210"/>
      <c r="R2009" s="210"/>
      <c r="S2009" s="210"/>
      <c r="T2009" s="210"/>
      <c r="U2009" s="210"/>
      <c r="V2009" s="210"/>
      <c r="W2009" s="210"/>
      <c r="X2009" s="210"/>
      <c r="Y2009" s="210"/>
      <c r="Z2009" s="210"/>
      <c r="AA2009" s="210"/>
      <c r="AB2009" s="210"/>
      <c r="AC2009" s="210"/>
      <c r="AD2009" s="210"/>
      <c r="AE2009" s="210"/>
      <c r="AF2009" s="210"/>
      <c r="AG2009" s="210"/>
      <c r="AH2009" s="210"/>
      <c r="AI2009" s="210"/>
      <c r="AJ2009" s="210"/>
    </row>
    <row r="2010" ht="14.25" customHeight="1">
      <c r="A2010" s="210"/>
      <c r="B2010" s="210"/>
      <c r="C2010" s="210"/>
      <c r="D2010" s="210"/>
      <c r="E2010" s="210"/>
      <c r="F2010" s="210"/>
      <c r="G2010" s="210"/>
      <c r="H2010" s="210"/>
      <c r="I2010" s="210"/>
      <c r="J2010" s="210"/>
      <c r="K2010" s="210"/>
      <c r="L2010" s="210"/>
      <c r="M2010" s="210"/>
      <c r="N2010" s="210"/>
      <c r="O2010" s="210"/>
      <c r="P2010" s="210"/>
      <c r="Q2010" s="210"/>
      <c r="R2010" s="210"/>
      <c r="S2010" s="210"/>
      <c r="T2010" s="210"/>
      <c r="U2010" s="210"/>
      <c r="V2010" s="210"/>
      <c r="W2010" s="210"/>
      <c r="X2010" s="210"/>
      <c r="Y2010" s="210"/>
      <c r="Z2010" s="210"/>
      <c r="AA2010" s="210"/>
      <c r="AB2010" s="210"/>
      <c r="AC2010" s="210"/>
      <c r="AD2010" s="210"/>
      <c r="AE2010" s="210"/>
      <c r="AF2010" s="210"/>
      <c r="AG2010" s="210"/>
      <c r="AH2010" s="210"/>
      <c r="AI2010" s="210"/>
      <c r="AJ2010" s="210"/>
    </row>
    <row r="2011" ht="14.25" customHeight="1">
      <c r="A2011" s="210"/>
      <c r="B2011" s="210"/>
      <c r="C2011" s="210"/>
      <c r="D2011" s="210"/>
      <c r="E2011" s="210"/>
      <c r="F2011" s="210"/>
      <c r="G2011" s="210"/>
      <c r="H2011" s="210"/>
      <c r="I2011" s="210"/>
      <c r="J2011" s="210"/>
      <c r="K2011" s="210"/>
      <c r="L2011" s="210"/>
      <c r="M2011" s="210"/>
      <c r="N2011" s="210"/>
      <c r="O2011" s="210"/>
      <c r="P2011" s="210"/>
      <c r="Q2011" s="210"/>
      <c r="R2011" s="210"/>
      <c r="S2011" s="210"/>
      <c r="T2011" s="210"/>
      <c r="U2011" s="210"/>
      <c r="V2011" s="210"/>
      <c r="W2011" s="210"/>
      <c r="X2011" s="210"/>
      <c r="Y2011" s="210"/>
      <c r="Z2011" s="210"/>
      <c r="AA2011" s="210"/>
      <c r="AB2011" s="210"/>
      <c r="AC2011" s="210"/>
      <c r="AD2011" s="210"/>
      <c r="AE2011" s="210"/>
      <c r="AF2011" s="210"/>
      <c r="AG2011" s="210"/>
      <c r="AH2011" s="210"/>
      <c r="AI2011" s="210"/>
      <c r="AJ2011" s="210"/>
    </row>
    <row r="2012" ht="14.25" customHeight="1">
      <c r="A2012" s="210"/>
      <c r="B2012" s="210"/>
      <c r="C2012" s="210"/>
      <c r="D2012" s="210"/>
      <c r="E2012" s="210"/>
      <c r="F2012" s="210"/>
      <c r="G2012" s="210"/>
      <c r="H2012" s="210"/>
      <c r="I2012" s="210"/>
      <c r="J2012" s="210"/>
      <c r="K2012" s="210"/>
      <c r="L2012" s="210"/>
      <c r="M2012" s="210"/>
      <c r="N2012" s="210"/>
      <c r="O2012" s="210"/>
      <c r="P2012" s="210"/>
      <c r="Q2012" s="210"/>
      <c r="R2012" s="210"/>
      <c r="S2012" s="210"/>
      <c r="T2012" s="210"/>
      <c r="U2012" s="210"/>
      <c r="V2012" s="210"/>
      <c r="W2012" s="210"/>
      <c r="X2012" s="210"/>
      <c r="Y2012" s="210"/>
      <c r="Z2012" s="210"/>
      <c r="AA2012" s="210"/>
      <c r="AB2012" s="210"/>
      <c r="AC2012" s="210"/>
      <c r="AD2012" s="210"/>
      <c r="AE2012" s="210"/>
      <c r="AF2012" s="210"/>
      <c r="AG2012" s="210"/>
      <c r="AH2012" s="210"/>
      <c r="AI2012" s="210"/>
      <c r="AJ2012" s="210"/>
    </row>
    <row r="2013" ht="14.25" customHeight="1">
      <c r="A2013" s="210"/>
      <c r="B2013" s="210"/>
      <c r="C2013" s="210"/>
      <c r="D2013" s="210"/>
      <c r="E2013" s="210"/>
      <c r="F2013" s="210"/>
      <c r="G2013" s="210"/>
      <c r="H2013" s="210"/>
      <c r="I2013" s="210"/>
      <c r="J2013" s="210"/>
      <c r="K2013" s="210"/>
      <c r="L2013" s="210"/>
      <c r="M2013" s="210"/>
      <c r="N2013" s="210"/>
      <c r="O2013" s="210"/>
      <c r="P2013" s="210"/>
      <c r="Q2013" s="210"/>
      <c r="R2013" s="210"/>
      <c r="S2013" s="210"/>
      <c r="T2013" s="210"/>
      <c r="U2013" s="210"/>
      <c r="V2013" s="210"/>
      <c r="W2013" s="210"/>
      <c r="X2013" s="210"/>
      <c r="Y2013" s="210"/>
      <c r="Z2013" s="210"/>
      <c r="AA2013" s="210"/>
      <c r="AB2013" s="210"/>
      <c r="AC2013" s="210"/>
      <c r="AD2013" s="210"/>
      <c r="AE2013" s="210"/>
      <c r="AF2013" s="210"/>
      <c r="AG2013" s="210"/>
      <c r="AH2013" s="210"/>
      <c r="AI2013" s="210"/>
      <c r="AJ2013" s="210"/>
    </row>
    <row r="2014" ht="14.25" customHeight="1">
      <c r="A2014" s="210"/>
      <c r="B2014" s="210"/>
      <c r="C2014" s="210"/>
      <c r="D2014" s="210"/>
      <c r="E2014" s="210"/>
      <c r="F2014" s="210"/>
      <c r="G2014" s="210"/>
      <c r="H2014" s="210"/>
      <c r="I2014" s="210"/>
      <c r="J2014" s="210"/>
      <c r="K2014" s="210"/>
      <c r="L2014" s="210"/>
      <c r="M2014" s="210"/>
      <c r="N2014" s="210"/>
      <c r="O2014" s="210"/>
      <c r="P2014" s="210"/>
      <c r="Q2014" s="210"/>
      <c r="R2014" s="210"/>
      <c r="S2014" s="210"/>
      <c r="T2014" s="210"/>
      <c r="U2014" s="210"/>
      <c r="V2014" s="210"/>
      <c r="W2014" s="210"/>
      <c r="X2014" s="210"/>
      <c r="Y2014" s="210"/>
      <c r="Z2014" s="210"/>
      <c r="AA2014" s="210"/>
      <c r="AB2014" s="210"/>
      <c r="AC2014" s="210"/>
      <c r="AD2014" s="210"/>
      <c r="AE2014" s="210"/>
      <c r="AF2014" s="210"/>
      <c r="AG2014" s="210"/>
      <c r="AH2014" s="210"/>
      <c r="AI2014" s="210"/>
      <c r="AJ2014" s="210"/>
    </row>
    <row r="2015" ht="14.25" customHeight="1">
      <c r="A2015" s="210"/>
      <c r="B2015" s="210"/>
      <c r="C2015" s="210"/>
      <c r="D2015" s="210"/>
      <c r="E2015" s="210"/>
      <c r="F2015" s="210"/>
      <c r="G2015" s="210"/>
      <c r="H2015" s="210"/>
      <c r="I2015" s="210"/>
      <c r="J2015" s="210"/>
      <c r="K2015" s="210"/>
      <c r="L2015" s="210"/>
      <c r="M2015" s="210"/>
      <c r="N2015" s="210"/>
      <c r="O2015" s="210"/>
      <c r="P2015" s="210"/>
      <c r="Q2015" s="210"/>
      <c r="R2015" s="210"/>
      <c r="S2015" s="210"/>
      <c r="T2015" s="210"/>
      <c r="U2015" s="210"/>
      <c r="V2015" s="210"/>
      <c r="W2015" s="210"/>
      <c r="X2015" s="210"/>
      <c r="Y2015" s="210"/>
      <c r="Z2015" s="210"/>
      <c r="AA2015" s="210"/>
      <c r="AB2015" s="210"/>
      <c r="AC2015" s="210"/>
      <c r="AD2015" s="210"/>
      <c r="AE2015" s="210"/>
      <c r="AF2015" s="210"/>
      <c r="AG2015" s="210"/>
      <c r="AH2015" s="210"/>
      <c r="AI2015" s="210"/>
      <c r="AJ2015" s="210"/>
    </row>
    <row r="2016" ht="14.25" customHeight="1">
      <c r="A2016" s="210"/>
      <c r="B2016" s="210"/>
      <c r="C2016" s="210"/>
      <c r="D2016" s="210"/>
      <c r="E2016" s="210"/>
      <c r="F2016" s="210"/>
      <c r="G2016" s="210"/>
      <c r="H2016" s="210"/>
      <c r="I2016" s="210"/>
      <c r="J2016" s="210"/>
      <c r="K2016" s="210"/>
      <c r="L2016" s="210"/>
      <c r="M2016" s="210"/>
      <c r="N2016" s="210"/>
      <c r="O2016" s="210"/>
      <c r="P2016" s="210"/>
      <c r="Q2016" s="210"/>
      <c r="R2016" s="210"/>
      <c r="S2016" s="210"/>
      <c r="T2016" s="210"/>
      <c r="U2016" s="210"/>
      <c r="V2016" s="210"/>
      <c r="W2016" s="210"/>
      <c r="X2016" s="210"/>
      <c r="Y2016" s="210"/>
      <c r="Z2016" s="210"/>
      <c r="AA2016" s="210"/>
      <c r="AB2016" s="210"/>
      <c r="AC2016" s="210"/>
      <c r="AD2016" s="210"/>
      <c r="AE2016" s="210"/>
      <c r="AF2016" s="210"/>
      <c r="AG2016" s="210"/>
      <c r="AH2016" s="210"/>
      <c r="AI2016" s="210"/>
      <c r="AJ2016" s="210"/>
    </row>
    <row r="2017" ht="14.25" customHeight="1">
      <c r="A2017" s="210"/>
      <c r="B2017" s="210"/>
      <c r="C2017" s="210"/>
      <c r="D2017" s="210"/>
      <c r="E2017" s="210"/>
      <c r="F2017" s="210"/>
      <c r="G2017" s="210"/>
      <c r="H2017" s="210"/>
      <c r="I2017" s="210"/>
      <c r="J2017" s="210"/>
      <c r="K2017" s="210"/>
      <c r="L2017" s="210"/>
      <c r="M2017" s="210"/>
      <c r="N2017" s="210"/>
      <c r="O2017" s="210"/>
      <c r="P2017" s="210"/>
      <c r="Q2017" s="210"/>
      <c r="R2017" s="210"/>
      <c r="S2017" s="210"/>
      <c r="T2017" s="210"/>
      <c r="U2017" s="210"/>
      <c r="V2017" s="210"/>
      <c r="W2017" s="210"/>
      <c r="X2017" s="210"/>
      <c r="Y2017" s="210"/>
      <c r="Z2017" s="210"/>
      <c r="AA2017" s="210"/>
      <c r="AB2017" s="210"/>
      <c r="AC2017" s="210"/>
      <c r="AD2017" s="210"/>
      <c r="AE2017" s="210"/>
      <c r="AF2017" s="210"/>
      <c r="AG2017" s="210"/>
      <c r="AH2017" s="210"/>
      <c r="AI2017" s="210"/>
      <c r="AJ2017" s="210"/>
    </row>
    <row r="2018" ht="14.25" customHeight="1">
      <c r="A2018" s="210"/>
      <c r="B2018" s="210"/>
      <c r="C2018" s="210"/>
      <c r="D2018" s="210"/>
      <c r="E2018" s="210"/>
      <c r="F2018" s="210"/>
      <c r="G2018" s="210"/>
      <c r="H2018" s="210"/>
      <c r="I2018" s="210"/>
      <c r="J2018" s="210"/>
      <c r="K2018" s="210"/>
      <c r="L2018" s="210"/>
      <c r="M2018" s="210"/>
      <c r="N2018" s="210"/>
      <c r="O2018" s="210"/>
      <c r="P2018" s="210"/>
      <c r="Q2018" s="210"/>
      <c r="R2018" s="210"/>
      <c r="S2018" s="210"/>
      <c r="T2018" s="210"/>
      <c r="U2018" s="210"/>
      <c r="V2018" s="210"/>
      <c r="W2018" s="210"/>
      <c r="X2018" s="210"/>
      <c r="Y2018" s="210"/>
      <c r="Z2018" s="210"/>
      <c r="AA2018" s="210"/>
      <c r="AB2018" s="210"/>
      <c r="AC2018" s="210"/>
      <c r="AD2018" s="210"/>
      <c r="AE2018" s="210"/>
      <c r="AF2018" s="210"/>
      <c r="AG2018" s="210"/>
      <c r="AH2018" s="210"/>
      <c r="AI2018" s="210"/>
      <c r="AJ2018" s="210"/>
    </row>
    <row r="2019" ht="14.25" customHeight="1">
      <c r="A2019" s="210"/>
      <c r="B2019" s="210"/>
      <c r="C2019" s="210"/>
      <c r="D2019" s="210"/>
      <c r="E2019" s="210"/>
      <c r="F2019" s="210"/>
      <c r="G2019" s="210"/>
      <c r="H2019" s="210"/>
      <c r="I2019" s="210"/>
      <c r="J2019" s="210"/>
      <c r="K2019" s="210"/>
      <c r="L2019" s="210"/>
      <c r="M2019" s="210"/>
      <c r="N2019" s="210"/>
      <c r="O2019" s="210"/>
      <c r="P2019" s="210"/>
      <c r="Q2019" s="210"/>
      <c r="R2019" s="210"/>
      <c r="S2019" s="210"/>
      <c r="T2019" s="210"/>
      <c r="U2019" s="210"/>
      <c r="V2019" s="210"/>
      <c r="W2019" s="210"/>
      <c r="X2019" s="210"/>
      <c r="Y2019" s="210"/>
      <c r="Z2019" s="210"/>
      <c r="AA2019" s="210"/>
      <c r="AB2019" s="210"/>
      <c r="AC2019" s="210"/>
      <c r="AD2019" s="210"/>
      <c r="AE2019" s="210"/>
      <c r="AF2019" s="210"/>
      <c r="AG2019" s="210"/>
      <c r="AH2019" s="210"/>
      <c r="AI2019" s="210"/>
      <c r="AJ2019" s="210"/>
    </row>
    <row r="2020" ht="14.25" customHeight="1">
      <c r="A2020" s="210"/>
      <c r="B2020" s="210"/>
      <c r="C2020" s="210"/>
      <c r="D2020" s="210"/>
      <c r="E2020" s="210"/>
      <c r="F2020" s="210"/>
      <c r="G2020" s="210"/>
      <c r="H2020" s="210"/>
      <c r="I2020" s="210"/>
      <c r="J2020" s="210"/>
      <c r="K2020" s="210"/>
      <c r="L2020" s="210"/>
      <c r="M2020" s="210"/>
      <c r="N2020" s="210"/>
      <c r="O2020" s="210"/>
      <c r="P2020" s="210"/>
      <c r="Q2020" s="210"/>
      <c r="R2020" s="210"/>
      <c r="S2020" s="210"/>
      <c r="T2020" s="210"/>
      <c r="U2020" s="210"/>
      <c r="V2020" s="210"/>
      <c r="W2020" s="210"/>
      <c r="X2020" s="210"/>
      <c r="Y2020" s="210"/>
      <c r="Z2020" s="210"/>
      <c r="AA2020" s="210"/>
      <c r="AB2020" s="210"/>
      <c r="AC2020" s="210"/>
      <c r="AD2020" s="210"/>
      <c r="AE2020" s="210"/>
      <c r="AF2020" s="210"/>
      <c r="AG2020" s="210"/>
      <c r="AH2020" s="210"/>
      <c r="AI2020" s="210"/>
      <c r="AJ2020" s="210"/>
    </row>
    <row r="2021" ht="14.25" customHeight="1">
      <c r="A2021" s="210"/>
      <c r="B2021" s="210"/>
      <c r="C2021" s="210"/>
      <c r="D2021" s="210"/>
      <c r="E2021" s="210"/>
      <c r="F2021" s="210"/>
      <c r="G2021" s="210"/>
      <c r="H2021" s="210"/>
      <c r="I2021" s="210"/>
      <c r="J2021" s="210"/>
      <c r="K2021" s="210"/>
      <c r="L2021" s="210"/>
      <c r="M2021" s="210"/>
      <c r="N2021" s="210"/>
      <c r="O2021" s="210"/>
      <c r="P2021" s="210"/>
      <c r="Q2021" s="210"/>
      <c r="R2021" s="210"/>
      <c r="S2021" s="210"/>
      <c r="T2021" s="210"/>
      <c r="U2021" s="210"/>
      <c r="V2021" s="210"/>
      <c r="W2021" s="210"/>
      <c r="X2021" s="210"/>
      <c r="Y2021" s="210"/>
      <c r="Z2021" s="210"/>
      <c r="AA2021" s="210"/>
      <c r="AB2021" s="210"/>
      <c r="AC2021" s="210"/>
      <c r="AD2021" s="210"/>
      <c r="AE2021" s="210"/>
      <c r="AF2021" s="210"/>
      <c r="AG2021" s="210"/>
      <c r="AH2021" s="210"/>
      <c r="AI2021" s="210"/>
      <c r="AJ2021" s="210"/>
    </row>
    <row r="2022" ht="14.25" customHeight="1">
      <c r="A2022" s="210"/>
      <c r="B2022" s="210"/>
      <c r="C2022" s="210"/>
      <c r="D2022" s="210"/>
      <c r="E2022" s="210"/>
      <c r="F2022" s="210"/>
      <c r="G2022" s="210"/>
      <c r="H2022" s="210"/>
      <c r="I2022" s="210"/>
      <c r="J2022" s="210"/>
      <c r="K2022" s="210"/>
      <c r="L2022" s="210"/>
      <c r="M2022" s="210"/>
      <c r="N2022" s="210"/>
      <c r="O2022" s="210"/>
      <c r="P2022" s="210"/>
      <c r="Q2022" s="210"/>
      <c r="R2022" s="210"/>
      <c r="S2022" s="210"/>
      <c r="T2022" s="210"/>
      <c r="U2022" s="210"/>
      <c r="V2022" s="210"/>
      <c r="W2022" s="210"/>
      <c r="X2022" s="210"/>
      <c r="Y2022" s="210"/>
      <c r="Z2022" s="210"/>
      <c r="AA2022" s="210"/>
      <c r="AB2022" s="210"/>
      <c r="AC2022" s="210"/>
      <c r="AD2022" s="210"/>
      <c r="AE2022" s="210"/>
      <c r="AF2022" s="210"/>
      <c r="AG2022" s="210"/>
      <c r="AH2022" s="210"/>
      <c r="AI2022" s="210"/>
      <c r="AJ2022" s="210"/>
    </row>
    <row r="2023" ht="14.25" customHeight="1">
      <c r="A2023" s="210"/>
      <c r="B2023" s="210"/>
      <c r="C2023" s="210"/>
      <c r="D2023" s="210"/>
      <c r="E2023" s="210"/>
      <c r="F2023" s="210"/>
      <c r="G2023" s="210"/>
      <c r="H2023" s="210"/>
      <c r="I2023" s="210"/>
      <c r="J2023" s="210"/>
      <c r="K2023" s="210"/>
      <c r="L2023" s="210"/>
      <c r="M2023" s="210"/>
      <c r="N2023" s="210"/>
      <c r="O2023" s="210"/>
      <c r="P2023" s="210"/>
      <c r="Q2023" s="210"/>
      <c r="R2023" s="210"/>
      <c r="S2023" s="210"/>
      <c r="T2023" s="210"/>
      <c r="U2023" s="210"/>
      <c r="V2023" s="210"/>
      <c r="W2023" s="210"/>
      <c r="X2023" s="210"/>
      <c r="Y2023" s="210"/>
      <c r="Z2023" s="210"/>
      <c r="AA2023" s="210"/>
      <c r="AB2023" s="210"/>
      <c r="AC2023" s="210"/>
      <c r="AD2023" s="210"/>
      <c r="AE2023" s="210"/>
      <c r="AF2023" s="210"/>
      <c r="AG2023" s="210"/>
      <c r="AH2023" s="210"/>
      <c r="AI2023" s="210"/>
      <c r="AJ2023" s="210"/>
    </row>
    <row r="2024" ht="14.25" customHeight="1">
      <c r="A2024" s="210"/>
      <c r="B2024" s="210"/>
      <c r="C2024" s="210"/>
      <c r="D2024" s="210"/>
      <c r="E2024" s="210"/>
      <c r="F2024" s="210"/>
      <c r="G2024" s="210"/>
      <c r="H2024" s="210"/>
      <c r="I2024" s="210"/>
      <c r="J2024" s="210"/>
      <c r="K2024" s="210"/>
      <c r="L2024" s="210"/>
      <c r="M2024" s="210"/>
      <c r="N2024" s="210"/>
      <c r="O2024" s="210"/>
      <c r="P2024" s="210"/>
      <c r="Q2024" s="210"/>
      <c r="R2024" s="210"/>
      <c r="S2024" s="210"/>
      <c r="T2024" s="210"/>
      <c r="U2024" s="210"/>
      <c r="V2024" s="210"/>
      <c r="W2024" s="210"/>
      <c r="X2024" s="210"/>
      <c r="Y2024" s="210"/>
      <c r="Z2024" s="210"/>
      <c r="AA2024" s="210"/>
      <c r="AB2024" s="210"/>
      <c r="AC2024" s="210"/>
      <c r="AD2024" s="210"/>
      <c r="AE2024" s="210"/>
      <c r="AF2024" s="210"/>
      <c r="AG2024" s="210"/>
      <c r="AH2024" s="210"/>
      <c r="AI2024" s="210"/>
      <c r="AJ2024" s="210"/>
    </row>
    <row r="2025" ht="14.25" customHeight="1">
      <c r="A2025" s="210"/>
      <c r="B2025" s="210"/>
      <c r="C2025" s="210"/>
      <c r="D2025" s="210"/>
      <c r="E2025" s="210"/>
      <c r="F2025" s="210"/>
      <c r="G2025" s="210"/>
      <c r="H2025" s="210"/>
      <c r="I2025" s="210"/>
      <c r="J2025" s="210"/>
      <c r="K2025" s="210"/>
      <c r="L2025" s="210"/>
      <c r="M2025" s="210"/>
      <c r="N2025" s="210"/>
      <c r="O2025" s="210"/>
      <c r="P2025" s="210"/>
      <c r="Q2025" s="210"/>
      <c r="R2025" s="210"/>
      <c r="S2025" s="210"/>
      <c r="T2025" s="210"/>
      <c r="U2025" s="210"/>
      <c r="V2025" s="210"/>
      <c r="W2025" s="210"/>
      <c r="X2025" s="210"/>
      <c r="Y2025" s="210"/>
      <c r="Z2025" s="210"/>
      <c r="AA2025" s="210"/>
      <c r="AB2025" s="210"/>
      <c r="AC2025" s="210"/>
      <c r="AD2025" s="210"/>
      <c r="AE2025" s="210"/>
      <c r="AF2025" s="210"/>
      <c r="AG2025" s="210"/>
      <c r="AH2025" s="210"/>
      <c r="AI2025" s="210"/>
      <c r="AJ2025" s="210"/>
    </row>
    <row r="2026" ht="14.25" customHeight="1">
      <c r="A2026" s="210"/>
      <c r="B2026" s="210"/>
      <c r="C2026" s="210"/>
      <c r="D2026" s="210"/>
      <c r="E2026" s="210"/>
      <c r="F2026" s="210"/>
      <c r="G2026" s="210"/>
      <c r="H2026" s="210"/>
      <c r="I2026" s="210"/>
      <c r="J2026" s="210"/>
      <c r="K2026" s="210"/>
      <c r="L2026" s="210"/>
      <c r="M2026" s="210"/>
      <c r="N2026" s="210"/>
      <c r="O2026" s="210"/>
      <c r="P2026" s="210"/>
      <c r="Q2026" s="210"/>
      <c r="R2026" s="210"/>
      <c r="S2026" s="210"/>
      <c r="T2026" s="210"/>
      <c r="U2026" s="210"/>
      <c r="V2026" s="210"/>
      <c r="W2026" s="210"/>
      <c r="X2026" s="210"/>
      <c r="Y2026" s="210"/>
      <c r="Z2026" s="210"/>
      <c r="AA2026" s="210"/>
      <c r="AB2026" s="210"/>
      <c r="AC2026" s="210"/>
      <c r="AD2026" s="210"/>
      <c r="AE2026" s="210"/>
      <c r="AF2026" s="210"/>
      <c r="AG2026" s="210"/>
      <c r="AH2026" s="210"/>
      <c r="AI2026" s="210"/>
      <c r="AJ2026" s="210"/>
    </row>
    <row r="2027" ht="14.25" customHeight="1">
      <c r="A2027" s="210"/>
      <c r="B2027" s="210"/>
      <c r="C2027" s="210"/>
      <c r="D2027" s="210"/>
      <c r="E2027" s="210"/>
      <c r="F2027" s="210"/>
      <c r="G2027" s="210"/>
      <c r="H2027" s="210"/>
      <c r="I2027" s="210"/>
      <c r="J2027" s="210"/>
      <c r="K2027" s="210"/>
      <c r="L2027" s="210"/>
      <c r="M2027" s="210"/>
      <c r="N2027" s="210"/>
      <c r="O2027" s="210"/>
      <c r="P2027" s="210"/>
      <c r="Q2027" s="210"/>
      <c r="R2027" s="210"/>
      <c r="S2027" s="210"/>
      <c r="T2027" s="210"/>
      <c r="U2027" s="210"/>
      <c r="V2027" s="210"/>
      <c r="W2027" s="210"/>
      <c r="X2027" s="210"/>
      <c r="Y2027" s="210"/>
      <c r="Z2027" s="210"/>
      <c r="AA2027" s="210"/>
      <c r="AB2027" s="210"/>
      <c r="AC2027" s="210"/>
      <c r="AD2027" s="210"/>
      <c r="AE2027" s="210"/>
      <c r="AF2027" s="210"/>
      <c r="AG2027" s="210"/>
      <c r="AH2027" s="210"/>
      <c r="AI2027" s="210"/>
      <c r="AJ2027" s="210"/>
    </row>
    <row r="2028" ht="14.25" customHeight="1">
      <c r="A2028" s="210"/>
      <c r="B2028" s="210"/>
      <c r="C2028" s="210"/>
      <c r="D2028" s="210"/>
      <c r="E2028" s="210"/>
      <c r="F2028" s="210"/>
      <c r="G2028" s="210"/>
      <c r="H2028" s="210"/>
      <c r="I2028" s="210"/>
      <c r="J2028" s="210"/>
      <c r="K2028" s="210"/>
      <c r="L2028" s="210"/>
      <c r="M2028" s="210"/>
      <c r="N2028" s="210"/>
      <c r="O2028" s="210"/>
      <c r="P2028" s="210"/>
      <c r="Q2028" s="210"/>
      <c r="R2028" s="210"/>
      <c r="S2028" s="210"/>
      <c r="T2028" s="210"/>
      <c r="U2028" s="210"/>
      <c r="V2028" s="210"/>
      <c r="W2028" s="210"/>
      <c r="X2028" s="210"/>
      <c r="Y2028" s="210"/>
      <c r="Z2028" s="210"/>
      <c r="AA2028" s="210"/>
      <c r="AB2028" s="210"/>
      <c r="AC2028" s="210"/>
      <c r="AD2028" s="210"/>
      <c r="AE2028" s="210"/>
      <c r="AF2028" s="210"/>
      <c r="AG2028" s="210"/>
      <c r="AH2028" s="210"/>
      <c r="AI2028" s="210"/>
      <c r="AJ2028" s="210"/>
    </row>
    <row r="2029" ht="14.25" customHeight="1">
      <c r="A2029" s="210"/>
      <c r="B2029" s="210"/>
      <c r="C2029" s="210"/>
      <c r="D2029" s="210"/>
      <c r="E2029" s="210"/>
      <c r="F2029" s="210"/>
      <c r="G2029" s="210"/>
      <c r="H2029" s="210"/>
      <c r="I2029" s="210"/>
      <c r="J2029" s="210"/>
      <c r="K2029" s="210"/>
      <c r="L2029" s="210"/>
      <c r="M2029" s="210"/>
      <c r="N2029" s="210"/>
      <c r="O2029" s="210"/>
      <c r="P2029" s="210"/>
      <c r="Q2029" s="210"/>
      <c r="R2029" s="210"/>
      <c r="S2029" s="210"/>
      <c r="T2029" s="210"/>
      <c r="U2029" s="210"/>
      <c r="V2029" s="210"/>
      <c r="W2029" s="210"/>
      <c r="X2029" s="210"/>
      <c r="Y2029" s="210"/>
      <c r="Z2029" s="210"/>
      <c r="AA2029" s="210"/>
      <c r="AB2029" s="210"/>
      <c r="AC2029" s="210"/>
      <c r="AD2029" s="210"/>
      <c r="AE2029" s="210"/>
      <c r="AF2029" s="210"/>
      <c r="AG2029" s="210"/>
      <c r="AH2029" s="210"/>
      <c r="AI2029" s="210"/>
      <c r="AJ2029" s="210"/>
    </row>
    <row r="2030" ht="14.25" customHeight="1">
      <c r="A2030" s="210"/>
      <c r="B2030" s="210"/>
      <c r="C2030" s="210"/>
      <c r="D2030" s="210"/>
      <c r="E2030" s="210"/>
      <c r="F2030" s="210"/>
      <c r="G2030" s="210"/>
      <c r="H2030" s="210"/>
      <c r="I2030" s="210"/>
      <c r="J2030" s="210"/>
      <c r="K2030" s="210"/>
      <c r="L2030" s="210"/>
      <c r="M2030" s="210"/>
      <c r="N2030" s="210"/>
      <c r="O2030" s="210"/>
      <c r="P2030" s="210"/>
      <c r="Q2030" s="210"/>
      <c r="R2030" s="210"/>
      <c r="S2030" s="210"/>
      <c r="T2030" s="210"/>
      <c r="U2030" s="210"/>
      <c r="V2030" s="210"/>
      <c r="W2030" s="210"/>
      <c r="X2030" s="210"/>
      <c r="Y2030" s="210"/>
      <c r="Z2030" s="210"/>
      <c r="AA2030" s="210"/>
      <c r="AB2030" s="210"/>
      <c r="AC2030" s="210"/>
      <c r="AD2030" s="210"/>
      <c r="AE2030" s="210"/>
      <c r="AF2030" s="210"/>
      <c r="AG2030" s="210"/>
      <c r="AH2030" s="210"/>
      <c r="AI2030" s="210"/>
      <c r="AJ2030" s="210"/>
    </row>
    <row r="2031" ht="14.25" customHeight="1">
      <c r="A2031" s="210"/>
      <c r="B2031" s="210"/>
      <c r="C2031" s="210"/>
      <c r="D2031" s="210"/>
      <c r="E2031" s="210"/>
      <c r="F2031" s="210"/>
      <c r="G2031" s="210"/>
      <c r="H2031" s="210"/>
      <c r="I2031" s="210"/>
      <c r="J2031" s="210"/>
      <c r="K2031" s="210"/>
      <c r="L2031" s="210"/>
      <c r="M2031" s="210"/>
      <c r="N2031" s="210"/>
      <c r="O2031" s="210"/>
      <c r="P2031" s="210"/>
      <c r="Q2031" s="210"/>
      <c r="R2031" s="210"/>
      <c r="S2031" s="210"/>
      <c r="T2031" s="210"/>
      <c r="U2031" s="210"/>
      <c r="V2031" s="210"/>
      <c r="W2031" s="210"/>
      <c r="X2031" s="210"/>
      <c r="Y2031" s="210"/>
      <c r="Z2031" s="210"/>
      <c r="AA2031" s="210"/>
      <c r="AB2031" s="210"/>
      <c r="AC2031" s="210"/>
      <c r="AD2031" s="210"/>
      <c r="AE2031" s="210"/>
      <c r="AF2031" s="210"/>
      <c r="AG2031" s="210"/>
      <c r="AH2031" s="210"/>
      <c r="AI2031" s="210"/>
      <c r="AJ2031" s="210"/>
    </row>
    <row r="2032" ht="14.25" customHeight="1">
      <c r="A2032" s="210"/>
      <c r="B2032" s="210"/>
      <c r="C2032" s="210"/>
      <c r="D2032" s="210"/>
      <c r="E2032" s="210"/>
      <c r="F2032" s="210"/>
      <c r="G2032" s="210"/>
      <c r="H2032" s="210"/>
      <c r="I2032" s="210"/>
      <c r="J2032" s="210"/>
      <c r="K2032" s="210"/>
      <c r="L2032" s="210"/>
      <c r="M2032" s="210"/>
      <c r="N2032" s="210"/>
      <c r="O2032" s="210"/>
      <c r="P2032" s="210"/>
      <c r="Q2032" s="210"/>
      <c r="R2032" s="210"/>
      <c r="S2032" s="210"/>
      <c r="T2032" s="210"/>
      <c r="U2032" s="210"/>
      <c r="V2032" s="210"/>
      <c r="W2032" s="210"/>
      <c r="X2032" s="210"/>
      <c r="Y2032" s="210"/>
      <c r="Z2032" s="210"/>
      <c r="AA2032" s="210"/>
      <c r="AB2032" s="210"/>
      <c r="AC2032" s="210"/>
      <c r="AD2032" s="210"/>
      <c r="AE2032" s="210"/>
      <c r="AF2032" s="210"/>
      <c r="AG2032" s="210"/>
      <c r="AH2032" s="210"/>
      <c r="AI2032" s="210"/>
      <c r="AJ2032" s="210"/>
    </row>
    <row r="2033" ht="14.25" customHeight="1">
      <c r="A2033" s="210"/>
      <c r="B2033" s="210"/>
      <c r="C2033" s="210"/>
      <c r="D2033" s="210"/>
      <c r="E2033" s="210"/>
      <c r="F2033" s="210"/>
      <c r="G2033" s="210"/>
      <c r="H2033" s="210"/>
      <c r="I2033" s="210"/>
      <c r="J2033" s="210"/>
      <c r="K2033" s="210"/>
      <c r="L2033" s="210"/>
      <c r="M2033" s="210"/>
      <c r="N2033" s="210"/>
      <c r="O2033" s="210"/>
      <c r="P2033" s="210"/>
      <c r="Q2033" s="210"/>
      <c r="R2033" s="210"/>
      <c r="S2033" s="210"/>
      <c r="T2033" s="210"/>
      <c r="U2033" s="210"/>
      <c r="V2033" s="210"/>
      <c r="W2033" s="210"/>
      <c r="X2033" s="210"/>
      <c r="Y2033" s="210"/>
      <c r="Z2033" s="210"/>
      <c r="AA2033" s="210"/>
      <c r="AB2033" s="210"/>
      <c r="AC2033" s="210"/>
      <c r="AD2033" s="210"/>
      <c r="AE2033" s="210"/>
      <c r="AF2033" s="210"/>
      <c r="AG2033" s="210"/>
      <c r="AH2033" s="210"/>
      <c r="AI2033" s="210"/>
      <c r="AJ2033" s="210"/>
    </row>
    <row r="2034" ht="14.25" customHeight="1">
      <c r="A2034" s="210"/>
      <c r="B2034" s="210"/>
      <c r="C2034" s="210"/>
      <c r="D2034" s="210"/>
      <c r="E2034" s="210"/>
      <c r="F2034" s="210"/>
      <c r="G2034" s="210"/>
      <c r="H2034" s="210"/>
      <c r="I2034" s="210"/>
      <c r="J2034" s="210"/>
      <c r="K2034" s="210"/>
      <c r="L2034" s="210"/>
      <c r="M2034" s="210"/>
      <c r="N2034" s="210"/>
      <c r="O2034" s="210"/>
      <c r="P2034" s="210"/>
      <c r="Q2034" s="210"/>
      <c r="R2034" s="210"/>
      <c r="S2034" s="210"/>
      <c r="T2034" s="210"/>
      <c r="U2034" s="210"/>
      <c r="V2034" s="210"/>
      <c r="W2034" s="210"/>
      <c r="X2034" s="210"/>
      <c r="Y2034" s="210"/>
      <c r="Z2034" s="210"/>
      <c r="AA2034" s="210"/>
      <c r="AB2034" s="210"/>
      <c r="AC2034" s="210"/>
      <c r="AD2034" s="210"/>
      <c r="AE2034" s="210"/>
      <c r="AF2034" s="210"/>
      <c r="AG2034" s="210"/>
      <c r="AH2034" s="210"/>
      <c r="AI2034" s="210"/>
      <c r="AJ2034" s="210"/>
    </row>
    <row r="2035" ht="14.25" customHeight="1">
      <c r="A2035" s="210"/>
      <c r="B2035" s="210"/>
      <c r="C2035" s="210"/>
      <c r="D2035" s="210"/>
      <c r="E2035" s="210"/>
      <c r="F2035" s="210"/>
      <c r="G2035" s="210"/>
      <c r="H2035" s="210"/>
      <c r="I2035" s="210"/>
      <c r="J2035" s="210"/>
      <c r="K2035" s="210"/>
      <c r="L2035" s="210"/>
      <c r="M2035" s="210"/>
      <c r="N2035" s="210"/>
      <c r="O2035" s="210"/>
      <c r="P2035" s="210"/>
      <c r="Q2035" s="210"/>
      <c r="R2035" s="210"/>
      <c r="S2035" s="210"/>
      <c r="T2035" s="210"/>
      <c r="U2035" s="210"/>
      <c r="V2035" s="210"/>
      <c r="W2035" s="210"/>
      <c r="X2035" s="210"/>
      <c r="Y2035" s="210"/>
      <c r="Z2035" s="210"/>
      <c r="AA2035" s="210"/>
      <c r="AB2035" s="210"/>
      <c r="AC2035" s="210"/>
      <c r="AD2035" s="210"/>
      <c r="AE2035" s="210"/>
      <c r="AF2035" s="210"/>
      <c r="AG2035" s="210"/>
      <c r="AH2035" s="210"/>
      <c r="AI2035" s="210"/>
      <c r="AJ2035" s="210"/>
    </row>
    <row r="2036" ht="14.25" customHeight="1">
      <c r="A2036" s="210"/>
      <c r="B2036" s="210"/>
      <c r="C2036" s="210"/>
      <c r="D2036" s="210"/>
      <c r="E2036" s="210"/>
      <c r="F2036" s="210"/>
      <c r="G2036" s="210"/>
      <c r="H2036" s="210"/>
      <c r="I2036" s="210"/>
      <c r="J2036" s="210"/>
      <c r="K2036" s="210"/>
      <c r="L2036" s="210"/>
      <c r="M2036" s="210"/>
      <c r="N2036" s="210"/>
      <c r="O2036" s="210"/>
      <c r="P2036" s="210"/>
      <c r="Q2036" s="210"/>
      <c r="R2036" s="210"/>
      <c r="S2036" s="210"/>
      <c r="T2036" s="210"/>
      <c r="U2036" s="210"/>
      <c r="V2036" s="210"/>
      <c r="W2036" s="210"/>
      <c r="X2036" s="210"/>
      <c r="Y2036" s="210"/>
      <c r="Z2036" s="210"/>
      <c r="AA2036" s="210"/>
      <c r="AB2036" s="210"/>
      <c r="AC2036" s="210"/>
      <c r="AD2036" s="210"/>
      <c r="AE2036" s="210"/>
      <c r="AF2036" s="210"/>
      <c r="AG2036" s="210"/>
      <c r="AH2036" s="210"/>
      <c r="AI2036" s="210"/>
      <c r="AJ2036" s="210"/>
    </row>
    <row r="2037" ht="14.25" customHeight="1">
      <c r="A2037" s="210"/>
      <c r="B2037" s="210"/>
      <c r="C2037" s="210"/>
      <c r="D2037" s="210"/>
      <c r="E2037" s="210"/>
      <c r="F2037" s="210"/>
      <c r="G2037" s="210"/>
      <c r="H2037" s="210"/>
      <c r="I2037" s="210"/>
      <c r="J2037" s="210"/>
      <c r="K2037" s="210"/>
      <c r="L2037" s="210"/>
      <c r="M2037" s="210"/>
      <c r="N2037" s="210"/>
      <c r="O2037" s="210"/>
      <c r="P2037" s="210"/>
      <c r="Q2037" s="210"/>
      <c r="R2037" s="210"/>
      <c r="S2037" s="210"/>
      <c r="T2037" s="210"/>
      <c r="U2037" s="210"/>
      <c r="V2037" s="210"/>
      <c r="W2037" s="210"/>
      <c r="X2037" s="210"/>
      <c r="Y2037" s="210"/>
      <c r="Z2037" s="210"/>
      <c r="AA2037" s="210"/>
      <c r="AB2037" s="210"/>
      <c r="AC2037" s="210"/>
      <c r="AD2037" s="210"/>
      <c r="AE2037" s="210"/>
      <c r="AF2037" s="210"/>
      <c r="AG2037" s="210"/>
      <c r="AH2037" s="210"/>
      <c r="AI2037" s="210"/>
      <c r="AJ2037" s="210"/>
    </row>
    <row r="2038" ht="14.25" customHeight="1">
      <c r="A2038" s="210"/>
      <c r="B2038" s="210"/>
      <c r="C2038" s="210"/>
      <c r="D2038" s="210"/>
      <c r="E2038" s="210"/>
      <c r="F2038" s="210"/>
      <c r="G2038" s="210"/>
      <c r="H2038" s="210"/>
      <c r="I2038" s="210"/>
      <c r="J2038" s="210"/>
      <c r="K2038" s="210"/>
      <c r="L2038" s="210"/>
      <c r="M2038" s="210"/>
      <c r="N2038" s="210"/>
      <c r="O2038" s="210"/>
      <c r="P2038" s="210"/>
      <c r="Q2038" s="210"/>
      <c r="R2038" s="210"/>
      <c r="S2038" s="210"/>
      <c r="T2038" s="210"/>
      <c r="U2038" s="210"/>
      <c r="V2038" s="210"/>
      <c r="W2038" s="210"/>
      <c r="X2038" s="210"/>
      <c r="Y2038" s="210"/>
      <c r="Z2038" s="210"/>
      <c r="AA2038" s="210"/>
      <c r="AB2038" s="210"/>
      <c r="AC2038" s="210"/>
      <c r="AD2038" s="210"/>
      <c r="AE2038" s="210"/>
      <c r="AF2038" s="210"/>
      <c r="AG2038" s="210"/>
      <c r="AH2038" s="210"/>
      <c r="AI2038" s="210"/>
      <c r="AJ2038" s="210"/>
    </row>
    <row r="2039" ht="14.25" customHeight="1">
      <c r="A2039" s="210"/>
      <c r="B2039" s="210"/>
      <c r="C2039" s="210"/>
      <c r="D2039" s="210"/>
      <c r="E2039" s="210"/>
      <c r="F2039" s="210"/>
      <c r="G2039" s="210"/>
      <c r="H2039" s="210"/>
      <c r="I2039" s="210"/>
      <c r="J2039" s="210"/>
      <c r="K2039" s="210"/>
      <c r="L2039" s="210"/>
      <c r="M2039" s="210"/>
      <c r="N2039" s="210"/>
      <c r="O2039" s="210"/>
      <c r="P2039" s="210"/>
      <c r="Q2039" s="210"/>
      <c r="R2039" s="210"/>
      <c r="S2039" s="210"/>
      <c r="T2039" s="210"/>
      <c r="U2039" s="210"/>
      <c r="V2039" s="210"/>
      <c r="W2039" s="210"/>
      <c r="X2039" s="210"/>
      <c r="Y2039" s="210"/>
      <c r="Z2039" s="210"/>
      <c r="AA2039" s="210"/>
      <c r="AB2039" s="210"/>
      <c r="AC2039" s="210"/>
      <c r="AD2039" s="210"/>
      <c r="AE2039" s="210"/>
      <c r="AF2039" s="210"/>
      <c r="AG2039" s="210"/>
      <c r="AH2039" s="210"/>
      <c r="AI2039" s="210"/>
      <c r="AJ2039" s="210"/>
    </row>
    <row r="2040" ht="14.25" customHeight="1">
      <c r="A2040" s="210"/>
      <c r="B2040" s="210"/>
      <c r="C2040" s="210"/>
      <c r="D2040" s="210"/>
      <c r="E2040" s="210"/>
      <c r="F2040" s="210"/>
      <c r="G2040" s="210"/>
      <c r="H2040" s="210"/>
      <c r="I2040" s="210"/>
      <c r="J2040" s="210"/>
      <c r="K2040" s="210"/>
      <c r="L2040" s="210"/>
      <c r="M2040" s="210"/>
      <c r="N2040" s="210"/>
      <c r="O2040" s="210"/>
      <c r="P2040" s="210"/>
      <c r="Q2040" s="210"/>
      <c r="R2040" s="210"/>
      <c r="S2040" s="210"/>
      <c r="T2040" s="210"/>
      <c r="U2040" s="210"/>
      <c r="V2040" s="210"/>
      <c r="W2040" s="210"/>
      <c r="X2040" s="210"/>
      <c r="Y2040" s="210"/>
      <c r="Z2040" s="210"/>
      <c r="AA2040" s="210"/>
      <c r="AB2040" s="210"/>
      <c r="AC2040" s="210"/>
      <c r="AD2040" s="210"/>
      <c r="AE2040" s="210"/>
      <c r="AF2040" s="210"/>
      <c r="AG2040" s="210"/>
      <c r="AH2040" s="210"/>
      <c r="AI2040" s="210"/>
      <c r="AJ2040" s="210"/>
    </row>
    <row r="2041" ht="14.25" customHeight="1">
      <c r="A2041" s="210"/>
      <c r="B2041" s="210"/>
      <c r="C2041" s="210"/>
      <c r="D2041" s="210"/>
      <c r="E2041" s="210"/>
      <c r="F2041" s="210"/>
      <c r="G2041" s="210"/>
      <c r="H2041" s="210"/>
      <c r="I2041" s="210"/>
      <c r="J2041" s="210"/>
      <c r="K2041" s="210"/>
      <c r="L2041" s="210"/>
      <c r="M2041" s="210"/>
      <c r="N2041" s="210"/>
      <c r="O2041" s="210"/>
      <c r="P2041" s="210"/>
      <c r="Q2041" s="210"/>
      <c r="R2041" s="210"/>
      <c r="S2041" s="210"/>
      <c r="T2041" s="210"/>
      <c r="U2041" s="210"/>
      <c r="V2041" s="210"/>
      <c r="W2041" s="210"/>
      <c r="X2041" s="210"/>
      <c r="Y2041" s="210"/>
      <c r="Z2041" s="210"/>
      <c r="AA2041" s="210"/>
      <c r="AB2041" s="210"/>
      <c r="AC2041" s="210"/>
      <c r="AD2041" s="210"/>
      <c r="AE2041" s="210"/>
      <c r="AF2041" s="210"/>
      <c r="AG2041" s="210"/>
      <c r="AH2041" s="210"/>
      <c r="AI2041" s="210"/>
      <c r="AJ2041" s="210"/>
    </row>
    <row r="2042" ht="14.25" customHeight="1">
      <c r="A2042" s="210"/>
      <c r="B2042" s="210"/>
      <c r="C2042" s="210"/>
      <c r="D2042" s="210"/>
      <c r="E2042" s="210"/>
      <c r="F2042" s="210"/>
      <c r="G2042" s="210"/>
      <c r="H2042" s="210"/>
      <c r="I2042" s="210"/>
      <c r="J2042" s="210"/>
      <c r="K2042" s="210"/>
      <c r="L2042" s="210"/>
      <c r="M2042" s="210"/>
      <c r="N2042" s="210"/>
      <c r="O2042" s="210"/>
      <c r="P2042" s="210"/>
      <c r="Q2042" s="210"/>
      <c r="R2042" s="210"/>
      <c r="S2042" s="210"/>
      <c r="T2042" s="210"/>
      <c r="U2042" s="210"/>
      <c r="V2042" s="210"/>
      <c r="W2042" s="210"/>
      <c r="X2042" s="210"/>
      <c r="Y2042" s="210"/>
      <c r="Z2042" s="210"/>
      <c r="AA2042" s="210"/>
      <c r="AB2042" s="210"/>
      <c r="AC2042" s="210"/>
      <c r="AD2042" s="210"/>
      <c r="AE2042" s="210"/>
      <c r="AF2042" s="210"/>
      <c r="AG2042" s="210"/>
      <c r="AH2042" s="210"/>
      <c r="AI2042" s="210"/>
      <c r="AJ2042" s="210"/>
    </row>
    <row r="2043" ht="14.25" customHeight="1">
      <c r="A2043" s="210"/>
      <c r="B2043" s="210"/>
      <c r="C2043" s="210"/>
      <c r="D2043" s="210"/>
      <c r="E2043" s="210"/>
      <c r="F2043" s="210"/>
      <c r="G2043" s="210"/>
      <c r="H2043" s="210"/>
      <c r="I2043" s="210"/>
      <c r="J2043" s="210"/>
      <c r="K2043" s="210"/>
      <c r="L2043" s="210"/>
      <c r="M2043" s="210"/>
      <c r="N2043" s="210"/>
      <c r="O2043" s="210"/>
      <c r="P2043" s="210"/>
      <c r="Q2043" s="210"/>
      <c r="R2043" s="210"/>
      <c r="S2043" s="210"/>
      <c r="T2043" s="210"/>
      <c r="U2043" s="210"/>
      <c r="V2043" s="210"/>
      <c r="W2043" s="210"/>
      <c r="X2043" s="210"/>
      <c r="Y2043" s="210"/>
      <c r="Z2043" s="210"/>
      <c r="AA2043" s="210"/>
      <c r="AB2043" s="210"/>
      <c r="AC2043" s="210"/>
      <c r="AD2043" s="210"/>
      <c r="AE2043" s="210"/>
      <c r="AF2043" s="210"/>
      <c r="AG2043" s="210"/>
      <c r="AH2043" s="210"/>
      <c r="AI2043" s="210"/>
      <c r="AJ2043" s="210"/>
    </row>
    <row r="2044" ht="14.25" customHeight="1">
      <c r="A2044" s="210"/>
      <c r="B2044" s="210"/>
      <c r="C2044" s="210"/>
      <c r="D2044" s="210"/>
      <c r="E2044" s="210"/>
      <c r="F2044" s="210"/>
      <c r="G2044" s="210"/>
      <c r="H2044" s="210"/>
      <c r="I2044" s="210"/>
      <c r="J2044" s="210"/>
      <c r="K2044" s="210"/>
      <c r="L2044" s="210"/>
      <c r="M2044" s="210"/>
      <c r="N2044" s="210"/>
      <c r="O2044" s="210"/>
      <c r="P2044" s="210"/>
      <c r="Q2044" s="210"/>
      <c r="R2044" s="210"/>
      <c r="S2044" s="210"/>
      <c r="T2044" s="210"/>
      <c r="U2044" s="210"/>
      <c r="V2044" s="210"/>
      <c r="W2044" s="210"/>
      <c r="X2044" s="210"/>
      <c r="Y2044" s="210"/>
      <c r="Z2044" s="210"/>
      <c r="AA2044" s="210"/>
      <c r="AB2044" s="210"/>
      <c r="AC2044" s="210"/>
      <c r="AD2044" s="210"/>
      <c r="AE2044" s="210"/>
      <c r="AF2044" s="210"/>
      <c r="AG2044" s="210"/>
      <c r="AH2044" s="210"/>
      <c r="AI2044" s="210"/>
      <c r="AJ2044" s="210"/>
    </row>
    <row r="2045" ht="14.25" customHeight="1">
      <c r="A2045" s="210"/>
      <c r="B2045" s="210"/>
      <c r="C2045" s="210"/>
      <c r="D2045" s="210"/>
      <c r="E2045" s="210"/>
      <c r="F2045" s="210"/>
      <c r="G2045" s="210"/>
      <c r="H2045" s="210"/>
      <c r="I2045" s="210"/>
      <c r="J2045" s="210"/>
      <c r="K2045" s="210"/>
      <c r="L2045" s="210"/>
      <c r="M2045" s="210"/>
      <c r="N2045" s="210"/>
      <c r="O2045" s="210"/>
      <c r="P2045" s="210"/>
      <c r="Q2045" s="210"/>
      <c r="R2045" s="210"/>
      <c r="S2045" s="210"/>
      <c r="T2045" s="210"/>
      <c r="U2045" s="210"/>
      <c r="V2045" s="210"/>
      <c r="W2045" s="210"/>
      <c r="X2045" s="210"/>
      <c r="Y2045" s="210"/>
      <c r="Z2045" s="210"/>
      <c r="AA2045" s="210"/>
      <c r="AB2045" s="210"/>
      <c r="AC2045" s="210"/>
      <c r="AD2045" s="210"/>
      <c r="AE2045" s="210"/>
      <c r="AF2045" s="210"/>
      <c r="AG2045" s="210"/>
      <c r="AH2045" s="210"/>
      <c r="AI2045" s="210"/>
      <c r="AJ2045" s="210"/>
    </row>
    <row r="2046" ht="14.25" customHeight="1">
      <c r="A2046" s="210"/>
      <c r="B2046" s="210"/>
      <c r="C2046" s="210"/>
      <c r="D2046" s="210"/>
      <c r="E2046" s="210"/>
      <c r="F2046" s="210"/>
      <c r="G2046" s="210"/>
      <c r="H2046" s="210"/>
      <c r="I2046" s="210"/>
      <c r="J2046" s="210"/>
      <c r="K2046" s="210"/>
      <c r="L2046" s="210"/>
      <c r="M2046" s="210"/>
      <c r="N2046" s="210"/>
      <c r="O2046" s="210"/>
      <c r="P2046" s="210"/>
      <c r="Q2046" s="210"/>
      <c r="R2046" s="210"/>
      <c r="S2046" s="210"/>
      <c r="T2046" s="210"/>
      <c r="U2046" s="210"/>
      <c r="V2046" s="210"/>
      <c r="W2046" s="210"/>
      <c r="X2046" s="210"/>
      <c r="Y2046" s="210"/>
      <c r="Z2046" s="210"/>
      <c r="AA2046" s="210"/>
      <c r="AB2046" s="210"/>
      <c r="AC2046" s="210"/>
      <c r="AD2046" s="210"/>
      <c r="AE2046" s="210"/>
      <c r="AF2046" s="210"/>
      <c r="AG2046" s="210"/>
      <c r="AH2046" s="210"/>
      <c r="AI2046" s="210"/>
      <c r="AJ2046" s="210"/>
    </row>
    <row r="2047" ht="14.25" customHeight="1">
      <c r="A2047" s="210"/>
      <c r="B2047" s="210"/>
      <c r="C2047" s="210"/>
      <c r="D2047" s="210"/>
      <c r="E2047" s="210"/>
      <c r="F2047" s="210"/>
      <c r="G2047" s="210"/>
      <c r="H2047" s="210"/>
      <c r="I2047" s="210"/>
      <c r="J2047" s="210"/>
      <c r="K2047" s="210"/>
      <c r="L2047" s="210"/>
      <c r="M2047" s="210"/>
      <c r="N2047" s="210"/>
      <c r="O2047" s="210"/>
      <c r="P2047" s="210"/>
      <c r="Q2047" s="210"/>
      <c r="R2047" s="210"/>
      <c r="S2047" s="210"/>
      <c r="T2047" s="210"/>
      <c r="U2047" s="210"/>
      <c r="V2047" s="210"/>
      <c r="W2047" s="210"/>
      <c r="X2047" s="210"/>
      <c r="Y2047" s="210"/>
      <c r="Z2047" s="210"/>
      <c r="AA2047" s="210"/>
      <c r="AB2047" s="210"/>
      <c r="AC2047" s="210"/>
      <c r="AD2047" s="210"/>
      <c r="AE2047" s="210"/>
      <c r="AF2047" s="210"/>
      <c r="AG2047" s="210"/>
      <c r="AH2047" s="210"/>
      <c r="AI2047" s="210"/>
      <c r="AJ2047" s="210"/>
    </row>
    <row r="2048" ht="14.25" customHeight="1">
      <c r="A2048" s="210"/>
      <c r="B2048" s="210"/>
      <c r="C2048" s="210"/>
      <c r="D2048" s="210"/>
      <c r="E2048" s="210"/>
      <c r="F2048" s="210"/>
      <c r="G2048" s="210"/>
      <c r="H2048" s="210"/>
      <c r="I2048" s="210"/>
      <c r="J2048" s="210"/>
      <c r="K2048" s="210"/>
      <c r="L2048" s="210"/>
      <c r="M2048" s="210"/>
      <c r="N2048" s="210"/>
      <c r="O2048" s="210"/>
      <c r="P2048" s="210"/>
      <c r="Q2048" s="210"/>
      <c r="R2048" s="210"/>
      <c r="S2048" s="210"/>
      <c r="T2048" s="210"/>
      <c r="U2048" s="210"/>
      <c r="V2048" s="210"/>
      <c r="W2048" s="210"/>
      <c r="X2048" s="210"/>
      <c r="Y2048" s="210"/>
      <c r="Z2048" s="210"/>
      <c r="AA2048" s="210"/>
      <c r="AB2048" s="210"/>
      <c r="AC2048" s="210"/>
      <c r="AD2048" s="210"/>
      <c r="AE2048" s="210"/>
      <c r="AF2048" s="210"/>
      <c r="AG2048" s="210"/>
      <c r="AH2048" s="210"/>
      <c r="AI2048" s="210"/>
      <c r="AJ2048" s="210"/>
    </row>
    <row r="2049" ht="14.25" customHeight="1">
      <c r="A2049" s="210"/>
      <c r="B2049" s="210"/>
      <c r="C2049" s="210"/>
      <c r="D2049" s="210"/>
      <c r="E2049" s="210"/>
      <c r="F2049" s="210"/>
      <c r="G2049" s="210"/>
      <c r="H2049" s="210"/>
      <c r="I2049" s="210"/>
      <c r="J2049" s="210"/>
      <c r="K2049" s="210"/>
      <c r="L2049" s="210"/>
      <c r="M2049" s="210"/>
      <c r="N2049" s="210"/>
      <c r="O2049" s="210"/>
      <c r="P2049" s="210"/>
      <c r="Q2049" s="210"/>
      <c r="R2049" s="210"/>
      <c r="S2049" s="210"/>
      <c r="T2049" s="210"/>
      <c r="U2049" s="210"/>
      <c r="V2049" s="210"/>
      <c r="W2049" s="210"/>
      <c r="X2049" s="210"/>
      <c r="Y2049" s="210"/>
      <c r="Z2049" s="210"/>
      <c r="AA2049" s="210"/>
      <c r="AB2049" s="210"/>
      <c r="AC2049" s="210"/>
      <c r="AD2049" s="210"/>
      <c r="AE2049" s="210"/>
      <c r="AF2049" s="210"/>
      <c r="AG2049" s="210"/>
      <c r="AH2049" s="210"/>
      <c r="AI2049" s="210"/>
      <c r="AJ2049" s="210"/>
    </row>
    <row r="2050" ht="14.25" customHeight="1">
      <c r="A2050" s="210"/>
      <c r="B2050" s="210"/>
      <c r="C2050" s="210"/>
      <c r="D2050" s="210"/>
      <c r="E2050" s="210"/>
      <c r="F2050" s="210"/>
      <c r="G2050" s="210"/>
      <c r="H2050" s="210"/>
      <c r="I2050" s="210"/>
      <c r="J2050" s="210"/>
      <c r="K2050" s="210"/>
      <c r="L2050" s="210"/>
      <c r="M2050" s="210"/>
      <c r="N2050" s="210"/>
      <c r="O2050" s="210"/>
      <c r="P2050" s="210"/>
      <c r="Q2050" s="210"/>
      <c r="R2050" s="210"/>
      <c r="S2050" s="210"/>
      <c r="T2050" s="210"/>
      <c r="U2050" s="210"/>
      <c r="V2050" s="210"/>
      <c r="W2050" s="210"/>
      <c r="X2050" s="210"/>
      <c r="Y2050" s="210"/>
      <c r="Z2050" s="210"/>
      <c r="AA2050" s="210"/>
      <c r="AB2050" s="210"/>
      <c r="AC2050" s="210"/>
      <c r="AD2050" s="210"/>
      <c r="AE2050" s="210"/>
      <c r="AF2050" s="210"/>
      <c r="AG2050" s="210"/>
      <c r="AH2050" s="210"/>
      <c r="AI2050" s="210"/>
      <c r="AJ2050" s="210"/>
    </row>
    <row r="2051" ht="14.25" customHeight="1">
      <c r="A2051" s="210"/>
      <c r="B2051" s="210"/>
      <c r="C2051" s="210"/>
      <c r="D2051" s="210"/>
      <c r="E2051" s="210"/>
      <c r="F2051" s="210"/>
      <c r="G2051" s="210"/>
      <c r="H2051" s="210"/>
      <c r="I2051" s="210"/>
      <c r="J2051" s="210"/>
      <c r="K2051" s="210"/>
      <c r="L2051" s="210"/>
      <c r="M2051" s="210"/>
      <c r="N2051" s="210"/>
      <c r="O2051" s="210"/>
      <c r="P2051" s="210"/>
      <c r="Q2051" s="210"/>
      <c r="R2051" s="210"/>
      <c r="S2051" s="210"/>
      <c r="T2051" s="210"/>
      <c r="U2051" s="210"/>
      <c r="V2051" s="210"/>
      <c r="W2051" s="210"/>
      <c r="X2051" s="210"/>
      <c r="Y2051" s="210"/>
      <c r="Z2051" s="210"/>
      <c r="AA2051" s="210"/>
      <c r="AB2051" s="210"/>
      <c r="AC2051" s="210"/>
      <c r="AD2051" s="210"/>
      <c r="AE2051" s="210"/>
      <c r="AF2051" s="210"/>
      <c r="AG2051" s="210"/>
      <c r="AH2051" s="210"/>
      <c r="AI2051" s="210"/>
      <c r="AJ2051" s="210"/>
    </row>
    <row r="2052" ht="14.25" customHeight="1">
      <c r="A2052" s="210"/>
      <c r="B2052" s="210"/>
      <c r="C2052" s="210"/>
      <c r="D2052" s="210"/>
      <c r="E2052" s="210"/>
      <c r="F2052" s="210"/>
      <c r="G2052" s="210"/>
      <c r="H2052" s="210"/>
      <c r="I2052" s="210"/>
      <c r="J2052" s="210"/>
      <c r="K2052" s="210"/>
      <c r="L2052" s="210"/>
      <c r="M2052" s="210"/>
      <c r="N2052" s="210"/>
      <c r="O2052" s="210"/>
      <c r="P2052" s="210"/>
      <c r="Q2052" s="210"/>
      <c r="R2052" s="210"/>
      <c r="S2052" s="210"/>
      <c r="T2052" s="210"/>
      <c r="U2052" s="210"/>
      <c r="V2052" s="210"/>
      <c r="W2052" s="210"/>
      <c r="X2052" s="210"/>
      <c r="Y2052" s="210"/>
      <c r="Z2052" s="210"/>
      <c r="AA2052" s="210"/>
      <c r="AB2052" s="210"/>
      <c r="AC2052" s="210"/>
      <c r="AD2052" s="210"/>
      <c r="AE2052" s="210"/>
      <c r="AF2052" s="210"/>
      <c r="AG2052" s="210"/>
      <c r="AH2052" s="210"/>
      <c r="AI2052" s="210"/>
      <c r="AJ2052" s="210"/>
    </row>
    <row r="2053" ht="14.25" customHeight="1">
      <c r="A2053" s="210"/>
      <c r="B2053" s="210"/>
      <c r="C2053" s="210"/>
      <c r="D2053" s="210"/>
      <c r="E2053" s="210"/>
      <c r="F2053" s="210"/>
      <c r="G2053" s="210"/>
      <c r="H2053" s="210"/>
      <c r="I2053" s="210"/>
      <c r="J2053" s="210"/>
      <c r="K2053" s="210"/>
      <c r="L2053" s="210"/>
      <c r="M2053" s="210"/>
      <c r="N2053" s="210"/>
      <c r="O2053" s="210"/>
      <c r="P2053" s="210"/>
      <c r="Q2053" s="210"/>
      <c r="R2053" s="210"/>
      <c r="S2053" s="210"/>
      <c r="T2053" s="210"/>
      <c r="U2053" s="210"/>
      <c r="V2053" s="210"/>
      <c r="W2053" s="210"/>
      <c r="X2053" s="210"/>
      <c r="Y2053" s="210"/>
      <c r="Z2053" s="210"/>
      <c r="AA2053" s="210"/>
      <c r="AB2053" s="210"/>
      <c r="AC2053" s="210"/>
      <c r="AD2053" s="210"/>
      <c r="AE2053" s="210"/>
      <c r="AF2053" s="210"/>
      <c r="AG2053" s="210"/>
      <c r="AH2053" s="210"/>
      <c r="AI2053" s="210"/>
      <c r="AJ2053" s="210"/>
    </row>
    <row r="2054" ht="14.25" customHeight="1">
      <c r="A2054" s="210"/>
      <c r="B2054" s="210"/>
      <c r="C2054" s="210"/>
      <c r="D2054" s="210"/>
      <c r="E2054" s="210"/>
      <c r="F2054" s="210"/>
      <c r="G2054" s="210"/>
      <c r="H2054" s="210"/>
      <c r="I2054" s="210"/>
      <c r="J2054" s="210"/>
      <c r="K2054" s="210"/>
      <c r="L2054" s="210"/>
      <c r="M2054" s="210"/>
      <c r="N2054" s="210"/>
      <c r="O2054" s="210"/>
      <c r="P2054" s="210"/>
      <c r="Q2054" s="210"/>
      <c r="R2054" s="210"/>
      <c r="S2054" s="210"/>
      <c r="T2054" s="210"/>
      <c r="U2054" s="210"/>
      <c r="V2054" s="210"/>
      <c r="W2054" s="210"/>
      <c r="X2054" s="210"/>
      <c r="Y2054" s="210"/>
      <c r="Z2054" s="210"/>
      <c r="AA2054" s="210"/>
      <c r="AB2054" s="210"/>
      <c r="AC2054" s="210"/>
      <c r="AD2054" s="210"/>
      <c r="AE2054" s="210"/>
      <c r="AF2054" s="210"/>
      <c r="AG2054" s="210"/>
      <c r="AH2054" s="210"/>
      <c r="AI2054" s="210"/>
      <c r="AJ2054" s="210"/>
    </row>
    <row r="2055" ht="14.25" customHeight="1">
      <c r="A2055" s="210"/>
      <c r="B2055" s="210"/>
      <c r="C2055" s="210"/>
      <c r="D2055" s="210"/>
      <c r="E2055" s="210"/>
      <c r="F2055" s="210"/>
      <c r="G2055" s="210"/>
      <c r="H2055" s="210"/>
      <c r="I2055" s="210"/>
      <c r="J2055" s="210"/>
      <c r="K2055" s="210"/>
      <c r="L2055" s="210"/>
      <c r="M2055" s="210"/>
      <c r="N2055" s="210"/>
      <c r="O2055" s="210"/>
      <c r="P2055" s="210"/>
      <c r="Q2055" s="210"/>
      <c r="R2055" s="210"/>
      <c r="S2055" s="210"/>
      <c r="T2055" s="210"/>
      <c r="U2055" s="210"/>
      <c r="V2055" s="210"/>
      <c r="W2055" s="210"/>
      <c r="X2055" s="210"/>
      <c r="Y2055" s="210"/>
      <c r="Z2055" s="210"/>
      <c r="AA2055" s="210"/>
      <c r="AB2055" s="210"/>
      <c r="AC2055" s="210"/>
      <c r="AD2055" s="210"/>
      <c r="AE2055" s="210"/>
      <c r="AF2055" s="210"/>
      <c r="AG2055" s="210"/>
      <c r="AH2055" s="210"/>
      <c r="AI2055" s="210"/>
      <c r="AJ2055" s="210"/>
    </row>
    <row r="2056" ht="14.25" customHeight="1">
      <c r="A2056" s="210"/>
      <c r="B2056" s="210"/>
      <c r="C2056" s="210"/>
      <c r="D2056" s="210"/>
      <c r="E2056" s="210"/>
      <c r="F2056" s="210"/>
      <c r="G2056" s="210"/>
      <c r="H2056" s="210"/>
      <c r="I2056" s="210"/>
      <c r="J2056" s="210"/>
      <c r="K2056" s="210"/>
      <c r="L2056" s="210"/>
      <c r="M2056" s="210"/>
      <c r="N2056" s="210"/>
      <c r="O2056" s="210"/>
      <c r="P2056" s="210"/>
      <c r="Q2056" s="210"/>
      <c r="R2056" s="210"/>
      <c r="S2056" s="210"/>
      <c r="T2056" s="210"/>
      <c r="U2056" s="210"/>
      <c r="V2056" s="210"/>
      <c r="W2056" s="210"/>
      <c r="X2056" s="210"/>
      <c r="Y2056" s="210"/>
      <c r="Z2056" s="210"/>
      <c r="AA2056" s="210"/>
      <c r="AB2056" s="210"/>
      <c r="AC2056" s="210"/>
      <c r="AD2056" s="210"/>
      <c r="AE2056" s="210"/>
      <c r="AF2056" s="210"/>
      <c r="AG2056" s="210"/>
      <c r="AH2056" s="210"/>
      <c r="AI2056" s="210"/>
      <c r="AJ2056" s="210"/>
    </row>
    <row r="2057" ht="14.25" customHeight="1">
      <c r="A2057" s="210"/>
      <c r="B2057" s="210"/>
      <c r="C2057" s="210"/>
      <c r="D2057" s="210"/>
      <c r="E2057" s="210"/>
      <c r="F2057" s="210"/>
      <c r="G2057" s="210"/>
      <c r="H2057" s="210"/>
      <c r="I2057" s="210"/>
      <c r="J2057" s="210"/>
      <c r="K2057" s="210"/>
      <c r="L2057" s="210"/>
      <c r="M2057" s="210"/>
      <c r="N2057" s="210"/>
      <c r="O2057" s="210"/>
      <c r="P2057" s="210"/>
      <c r="Q2057" s="210"/>
      <c r="R2057" s="210"/>
      <c r="S2057" s="210"/>
      <c r="T2057" s="210"/>
      <c r="U2057" s="210"/>
      <c r="V2057" s="210"/>
      <c r="W2057" s="210"/>
      <c r="X2057" s="210"/>
      <c r="Y2057" s="210"/>
      <c r="Z2057" s="210"/>
      <c r="AA2057" s="210"/>
      <c r="AB2057" s="210"/>
      <c r="AC2057" s="210"/>
      <c r="AD2057" s="210"/>
      <c r="AE2057" s="210"/>
      <c r="AF2057" s="210"/>
      <c r="AG2057" s="210"/>
      <c r="AH2057" s="210"/>
      <c r="AI2057" s="210"/>
      <c r="AJ2057" s="210"/>
    </row>
    <row r="2058" ht="14.25" customHeight="1">
      <c r="A2058" s="210"/>
      <c r="B2058" s="210"/>
      <c r="C2058" s="210"/>
      <c r="D2058" s="210"/>
      <c r="E2058" s="210"/>
      <c r="F2058" s="210"/>
      <c r="G2058" s="210"/>
      <c r="H2058" s="210"/>
      <c r="I2058" s="210"/>
      <c r="J2058" s="210"/>
      <c r="K2058" s="210"/>
      <c r="L2058" s="210"/>
      <c r="M2058" s="210"/>
      <c r="N2058" s="210"/>
      <c r="O2058" s="210"/>
      <c r="P2058" s="210"/>
      <c r="Q2058" s="210"/>
      <c r="R2058" s="210"/>
      <c r="S2058" s="210"/>
      <c r="T2058" s="210"/>
      <c r="U2058" s="210"/>
      <c r="V2058" s="210"/>
      <c r="W2058" s="210"/>
      <c r="X2058" s="210"/>
      <c r="Y2058" s="210"/>
      <c r="Z2058" s="210"/>
      <c r="AA2058" s="210"/>
      <c r="AB2058" s="210"/>
      <c r="AC2058" s="210"/>
      <c r="AD2058" s="210"/>
      <c r="AE2058" s="210"/>
      <c r="AF2058" s="210"/>
      <c r="AG2058" s="210"/>
      <c r="AH2058" s="210"/>
      <c r="AI2058" s="210"/>
      <c r="AJ2058" s="210"/>
    </row>
    <row r="2059" ht="14.25" customHeight="1">
      <c r="A2059" s="210"/>
      <c r="B2059" s="210"/>
      <c r="C2059" s="210"/>
      <c r="D2059" s="210"/>
      <c r="E2059" s="210"/>
      <c r="F2059" s="210"/>
      <c r="G2059" s="210"/>
      <c r="H2059" s="210"/>
      <c r="I2059" s="210"/>
      <c r="J2059" s="210"/>
      <c r="K2059" s="210"/>
      <c r="L2059" s="210"/>
      <c r="M2059" s="210"/>
      <c r="N2059" s="210"/>
      <c r="O2059" s="210"/>
      <c r="P2059" s="210"/>
      <c r="Q2059" s="210"/>
      <c r="R2059" s="210"/>
      <c r="S2059" s="210"/>
      <c r="T2059" s="210"/>
      <c r="U2059" s="210"/>
      <c r="V2059" s="210"/>
      <c r="W2059" s="210"/>
      <c r="X2059" s="210"/>
      <c r="Y2059" s="210"/>
      <c r="Z2059" s="210"/>
      <c r="AA2059" s="210"/>
      <c r="AB2059" s="210"/>
      <c r="AC2059" s="210"/>
      <c r="AD2059" s="210"/>
      <c r="AE2059" s="210"/>
      <c r="AF2059" s="210"/>
      <c r="AG2059" s="210"/>
      <c r="AH2059" s="210"/>
      <c r="AI2059" s="210"/>
      <c r="AJ2059" s="210"/>
    </row>
    <row r="2060" ht="14.25" customHeight="1">
      <c r="A2060" s="210"/>
      <c r="B2060" s="210"/>
      <c r="C2060" s="210"/>
      <c r="D2060" s="210"/>
      <c r="E2060" s="210"/>
      <c r="F2060" s="210"/>
      <c r="G2060" s="210"/>
      <c r="H2060" s="210"/>
      <c r="I2060" s="210"/>
      <c r="J2060" s="210"/>
      <c r="K2060" s="210"/>
      <c r="L2060" s="210"/>
      <c r="M2060" s="210"/>
      <c r="N2060" s="210"/>
      <c r="O2060" s="210"/>
      <c r="P2060" s="210"/>
      <c r="Q2060" s="210"/>
      <c r="R2060" s="210"/>
      <c r="S2060" s="210"/>
      <c r="T2060" s="210"/>
      <c r="U2060" s="210"/>
      <c r="V2060" s="210"/>
      <c r="W2060" s="210"/>
      <c r="X2060" s="210"/>
      <c r="Y2060" s="210"/>
      <c r="Z2060" s="210"/>
      <c r="AA2060" s="210"/>
      <c r="AB2060" s="210"/>
      <c r="AC2060" s="210"/>
      <c r="AD2060" s="210"/>
      <c r="AE2060" s="210"/>
      <c r="AF2060" s="210"/>
      <c r="AG2060" s="210"/>
      <c r="AH2060" s="210"/>
      <c r="AI2060" s="210"/>
      <c r="AJ2060" s="210"/>
    </row>
    <row r="2061" ht="14.25" customHeight="1">
      <c r="A2061" s="210"/>
      <c r="B2061" s="210"/>
      <c r="C2061" s="210"/>
      <c r="D2061" s="210"/>
      <c r="E2061" s="210"/>
      <c r="F2061" s="210"/>
      <c r="G2061" s="210"/>
      <c r="H2061" s="210"/>
      <c r="I2061" s="210"/>
      <c r="J2061" s="210"/>
      <c r="K2061" s="210"/>
      <c r="L2061" s="210"/>
      <c r="M2061" s="210"/>
      <c r="N2061" s="210"/>
      <c r="O2061" s="210"/>
      <c r="P2061" s="210"/>
      <c r="Q2061" s="210"/>
      <c r="R2061" s="210"/>
      <c r="S2061" s="210"/>
      <c r="T2061" s="210"/>
      <c r="U2061" s="210"/>
      <c r="V2061" s="210"/>
      <c r="W2061" s="210"/>
      <c r="X2061" s="210"/>
      <c r="Y2061" s="210"/>
      <c r="Z2061" s="210"/>
      <c r="AA2061" s="210"/>
      <c r="AB2061" s="210"/>
      <c r="AC2061" s="210"/>
      <c r="AD2061" s="210"/>
      <c r="AE2061" s="210"/>
      <c r="AF2061" s="210"/>
      <c r="AG2061" s="210"/>
      <c r="AH2061" s="210"/>
      <c r="AI2061" s="210"/>
      <c r="AJ2061" s="210"/>
    </row>
    <row r="2062" ht="14.25" customHeight="1">
      <c r="A2062" s="210"/>
      <c r="B2062" s="210"/>
      <c r="C2062" s="210"/>
      <c r="D2062" s="210"/>
      <c r="E2062" s="210"/>
      <c r="F2062" s="210"/>
      <c r="G2062" s="210"/>
      <c r="H2062" s="210"/>
      <c r="I2062" s="210"/>
      <c r="J2062" s="210"/>
      <c r="K2062" s="210"/>
      <c r="L2062" s="210"/>
      <c r="M2062" s="210"/>
      <c r="N2062" s="210"/>
      <c r="O2062" s="210"/>
      <c r="P2062" s="210"/>
      <c r="Q2062" s="210"/>
      <c r="R2062" s="210"/>
      <c r="S2062" s="210"/>
      <c r="T2062" s="210"/>
      <c r="U2062" s="210"/>
      <c r="V2062" s="210"/>
      <c r="W2062" s="210"/>
      <c r="X2062" s="210"/>
      <c r="Y2062" s="210"/>
      <c r="Z2062" s="210"/>
      <c r="AA2062" s="210"/>
      <c r="AB2062" s="210"/>
      <c r="AC2062" s="210"/>
      <c r="AD2062" s="210"/>
      <c r="AE2062" s="210"/>
      <c r="AF2062" s="210"/>
      <c r="AG2062" s="210"/>
      <c r="AH2062" s="210"/>
      <c r="AI2062" s="210"/>
      <c r="AJ2062" s="210"/>
    </row>
    <row r="2063" ht="14.25" customHeight="1">
      <c r="A2063" s="210"/>
      <c r="B2063" s="210"/>
      <c r="C2063" s="210"/>
      <c r="D2063" s="210"/>
      <c r="E2063" s="210"/>
      <c r="F2063" s="210"/>
      <c r="G2063" s="210"/>
      <c r="H2063" s="210"/>
      <c r="I2063" s="210"/>
      <c r="J2063" s="210"/>
      <c r="K2063" s="210"/>
      <c r="L2063" s="210"/>
      <c r="M2063" s="210"/>
      <c r="N2063" s="210"/>
      <c r="O2063" s="210"/>
      <c r="P2063" s="210"/>
      <c r="Q2063" s="210"/>
      <c r="R2063" s="210"/>
      <c r="S2063" s="210"/>
      <c r="T2063" s="210"/>
      <c r="U2063" s="210"/>
      <c r="V2063" s="210"/>
      <c r="W2063" s="210"/>
      <c r="X2063" s="210"/>
      <c r="Y2063" s="210"/>
      <c r="Z2063" s="210"/>
      <c r="AA2063" s="210"/>
      <c r="AB2063" s="210"/>
      <c r="AC2063" s="210"/>
      <c r="AD2063" s="210"/>
      <c r="AE2063" s="210"/>
      <c r="AF2063" s="210"/>
      <c r="AG2063" s="210"/>
      <c r="AH2063" s="210"/>
      <c r="AI2063" s="210"/>
      <c r="AJ2063" s="210"/>
    </row>
  </sheetData>
  <mergeCells count="118">
    <mergeCell ref="N485:N500"/>
    <mergeCell ref="N501:N516"/>
    <mergeCell ref="N373:N388"/>
    <mergeCell ref="N389:N404"/>
    <mergeCell ref="N405:N420"/>
    <mergeCell ref="N421:N436"/>
    <mergeCell ref="N437:N452"/>
    <mergeCell ref="N453:N468"/>
    <mergeCell ref="N469:N484"/>
    <mergeCell ref="E3:E4"/>
    <mergeCell ref="F3:G3"/>
    <mergeCell ref="D1:G1"/>
    <mergeCell ref="AI3:AJ3"/>
    <mergeCell ref="R3:T3"/>
    <mergeCell ref="AD3:AF3"/>
    <mergeCell ref="Z3:AB3"/>
    <mergeCell ref="P21:P36"/>
    <mergeCell ref="N21:N36"/>
    <mergeCell ref="A21:A35"/>
    <mergeCell ref="A5:A17"/>
    <mergeCell ref="P5:P20"/>
    <mergeCell ref="J3:K3"/>
    <mergeCell ref="L3:M3"/>
    <mergeCell ref="O3:P3"/>
    <mergeCell ref="C3:C4"/>
    <mergeCell ref="D3:D4"/>
    <mergeCell ref="N5:N20"/>
    <mergeCell ref="H3:I3"/>
    <mergeCell ref="P37:P52"/>
    <mergeCell ref="P53:P68"/>
    <mergeCell ref="N69:N84"/>
    <mergeCell ref="P69:P84"/>
    <mergeCell ref="N85:N100"/>
    <mergeCell ref="P85:P100"/>
    <mergeCell ref="P181:P196"/>
    <mergeCell ref="N181:N196"/>
    <mergeCell ref="N101:N116"/>
    <mergeCell ref="N117:N132"/>
    <mergeCell ref="N133:N148"/>
    <mergeCell ref="N165:N180"/>
    <mergeCell ref="N149:N164"/>
    <mergeCell ref="A37:A51"/>
    <mergeCell ref="A53:A67"/>
    <mergeCell ref="A69:A83"/>
    <mergeCell ref="A85:A99"/>
    <mergeCell ref="P165:P180"/>
    <mergeCell ref="P117:P132"/>
    <mergeCell ref="P101:P116"/>
    <mergeCell ref="P197:P212"/>
    <mergeCell ref="P213:P228"/>
    <mergeCell ref="P517:P532"/>
    <mergeCell ref="P533:P548"/>
    <mergeCell ref="N517:N532"/>
    <mergeCell ref="N533:N548"/>
    <mergeCell ref="N549:N564"/>
    <mergeCell ref="P389:P404"/>
    <mergeCell ref="P405:P420"/>
    <mergeCell ref="P309:P324"/>
    <mergeCell ref="P437:P452"/>
    <mergeCell ref="P453:P468"/>
    <mergeCell ref="P469:P484"/>
    <mergeCell ref="P485:P500"/>
    <mergeCell ref="P501:P516"/>
    <mergeCell ref="P549:P564"/>
    <mergeCell ref="P421:P436"/>
    <mergeCell ref="P133:P148"/>
    <mergeCell ref="P149:P164"/>
    <mergeCell ref="P261:P276"/>
    <mergeCell ref="P277:P292"/>
    <mergeCell ref="P293:P308"/>
    <mergeCell ref="P245:P260"/>
    <mergeCell ref="P229:P244"/>
    <mergeCell ref="N37:N52"/>
    <mergeCell ref="N53:N68"/>
    <mergeCell ref="N261:N276"/>
    <mergeCell ref="N277:N292"/>
    <mergeCell ref="N213:N228"/>
    <mergeCell ref="N229:N244"/>
    <mergeCell ref="N197:N212"/>
    <mergeCell ref="N245:N260"/>
    <mergeCell ref="N309:N324"/>
    <mergeCell ref="N293:N308"/>
    <mergeCell ref="P341:P356"/>
    <mergeCell ref="P357:P372"/>
    <mergeCell ref="N325:N340"/>
    <mergeCell ref="P325:P340"/>
    <mergeCell ref="N341:N356"/>
    <mergeCell ref="N357:N372"/>
    <mergeCell ref="P373:P388"/>
    <mergeCell ref="A229:A243"/>
    <mergeCell ref="A245:A259"/>
    <mergeCell ref="A181:A195"/>
    <mergeCell ref="A213:A227"/>
    <mergeCell ref="A197:A211"/>
    <mergeCell ref="A277:A291"/>
    <mergeCell ref="A117:A131"/>
    <mergeCell ref="A101:A115"/>
    <mergeCell ref="A165:A179"/>
    <mergeCell ref="A261:A275"/>
    <mergeCell ref="A501:A515"/>
    <mergeCell ref="A517:A531"/>
    <mergeCell ref="A309:A323"/>
    <mergeCell ref="A325:A339"/>
    <mergeCell ref="A341:A355"/>
    <mergeCell ref="A357:A371"/>
    <mergeCell ref="A373:A387"/>
    <mergeCell ref="A389:A403"/>
    <mergeCell ref="A405:A419"/>
    <mergeCell ref="A421:A435"/>
    <mergeCell ref="A293:A307"/>
    <mergeCell ref="A437:A451"/>
    <mergeCell ref="A453:A467"/>
    <mergeCell ref="A469:A483"/>
    <mergeCell ref="A485:A499"/>
    <mergeCell ref="A549:A563"/>
    <mergeCell ref="A533:A547"/>
    <mergeCell ref="A149:A163"/>
    <mergeCell ref="A133:A147"/>
  </mergeCells>
  <conditionalFormatting sqref="V5:V564">
    <cfRule type="cellIs" dxfId="3" priority="1" operator="equal">
      <formula>"Bronze"</formula>
    </cfRule>
  </conditionalFormatting>
  <conditionalFormatting sqref="V5:V564">
    <cfRule type="cellIs" dxfId="4" priority="2" operator="equal">
      <formula>"Silver"</formula>
    </cfRule>
  </conditionalFormatting>
  <conditionalFormatting sqref="V5:V564">
    <cfRule type="cellIs" dxfId="5" priority="3" operator="equal">
      <formula>"Gold"</formula>
    </cfRule>
  </conditionalFormatting>
  <conditionalFormatting sqref="R5:T564">
    <cfRule type="cellIs" dxfId="3" priority="4" operator="equal">
      <formula>3</formula>
    </cfRule>
  </conditionalFormatting>
  <conditionalFormatting sqref="R5:T564">
    <cfRule type="cellIs" dxfId="4" priority="5" operator="equal">
      <formula>2</formula>
    </cfRule>
  </conditionalFormatting>
  <conditionalFormatting sqref="R5:T564">
    <cfRule type="cellIs" dxfId="5" priority="6" operator="equal">
      <formula>1</formula>
    </cfRule>
  </conditionalFormatting>
  <printOptions/>
  <pageMargins bottom="0.75" footer="0.0" header="0.0" left="0.7" right="0.7" top="0.75"/>
  <pageSetup orientation="landscape"/>
  <headerFooter>
    <oddHeader/>
    <oddFooter>&amp;C(c) 2013 QuadKids Limited www.quadkids.org</oddFoot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4.43" defaultRowHeight="15.0"/>
  <cols>
    <col customWidth="1" min="1" max="1" width="9.14"/>
    <col customWidth="1" min="2" max="2" width="27.29"/>
    <col customWidth="1" min="3" max="3" width="24.0"/>
    <col customWidth="1" min="4" max="4" width="9.14"/>
    <col customWidth="1" min="5" max="5" width="12.57"/>
    <col customWidth="1" min="6" max="6" width="13.57"/>
    <col customWidth="1" min="7" max="7" width="10.71"/>
    <col customWidth="1" min="8" max="8" width="16.71"/>
    <col customWidth="1" min="9" max="9" width="8.86"/>
    <col customWidth="1" min="10" max="10" width="37.71"/>
    <col customWidth="1" min="11" max="11" width="37.29"/>
    <col customWidth="1" min="12" max="12" width="9.71"/>
    <col customWidth="1" min="13" max="26" width="8.0"/>
    <col customWidth="1" min="27" max="27" width="9.14"/>
  </cols>
  <sheetData>
    <row r="1">
      <c r="A1" s="294" t="s">
        <v>328</v>
      </c>
      <c r="B1" s="295" t="s">
        <v>40</v>
      </c>
      <c r="C1" s="294" t="s">
        <v>308</v>
      </c>
      <c r="D1" s="294" t="s">
        <v>117</v>
      </c>
      <c r="E1" s="294" t="s">
        <v>329</v>
      </c>
      <c r="F1" s="294" t="s">
        <v>330</v>
      </c>
      <c r="G1" s="294"/>
      <c r="H1" s="295" t="s">
        <v>331</v>
      </c>
      <c r="I1" s="294" t="s">
        <v>332</v>
      </c>
      <c r="J1" s="294" t="s">
        <v>333</v>
      </c>
      <c r="K1" s="294"/>
      <c r="L1" s="294"/>
      <c r="M1" s="294" t="s">
        <v>69</v>
      </c>
      <c r="N1" s="294" t="s">
        <v>71</v>
      </c>
      <c r="O1" s="294" t="s">
        <v>70</v>
      </c>
      <c r="P1" s="294" t="s">
        <v>72</v>
      </c>
      <c r="Q1" s="294" t="s">
        <v>69</v>
      </c>
      <c r="R1" s="294" t="s">
        <v>71</v>
      </c>
      <c r="S1" s="294" t="s">
        <v>70</v>
      </c>
      <c r="T1" s="294" t="s">
        <v>72</v>
      </c>
      <c r="U1" s="294" t="s">
        <v>311</v>
      </c>
      <c r="V1" s="294" t="s">
        <v>334</v>
      </c>
      <c r="W1" s="294" t="s">
        <v>335</v>
      </c>
      <c r="X1" s="294" t="s">
        <v>336</v>
      </c>
      <c r="Y1" s="294" t="s">
        <v>337</v>
      </c>
      <c r="Z1" s="294" t="s">
        <v>338</v>
      </c>
      <c r="AA1" s="294" t="s">
        <v>339</v>
      </c>
    </row>
    <row r="2">
      <c r="A2" s="209" t="str">
        <f>+Declarations!A2&amp;""</f>
        <v>1</v>
      </c>
      <c r="B2" t="str">
        <f>IF(LEN($A2),IF(LEN(Declarations!$B2)&gt;0,Declarations!$B2,"#"&amp;$A2),"")</f>
        <v>Harry Adams</v>
      </c>
      <c r="C2" s="209" t="str">
        <f t="array" ref="C2">IF(LEN(INDEX(DECLARATIONS,$AA2,3))&gt;0,INDEX(DECLARATIONS,$AA2,3),"...")</f>
        <v>WADAC</v>
      </c>
      <c r="D2" s="209" t="str">
        <f t="shared" ref="D2:D1001" si="1">IF(OR(G2="G",G2="F"),"F",IF(OR(G2="B",G2="M"),"M",""))</f>
        <v>M</v>
      </c>
      <c r="E2" s="296" t="str">
        <f t="array" ref="E2">IF(ISNA($AA2),0,INDEX(DECLARATIONS,$AA2,5))</f>
        <v/>
      </c>
      <c r="F2" s="209" t="str">
        <f t="array" ref="F2">IF(ISNA($AA2),0,INDEX(DECLARATIONS,$AA2,7))</f>
        <v/>
      </c>
      <c r="G2" s="209" t="str">
        <f t="array" ref="G2">UPPER(IF(ISNA($AA2),"",INDEX(DECLARATIONS,$AA2,4)))</f>
        <v>M</v>
      </c>
      <c r="H2" t="str">
        <f>IF(AND(A2&gt;0,ISTEXT(B2)),IF(SECNAME="YES",LEFT(B2&amp;" ",FIND(" ",B2&amp;" ")+2)&amp;IF(F2&gt;0," ("&amp;F2&amp;")",""),B2&amp;IF(F2&gt;0," ("&amp;F2&amp;")","")),"#"&amp;$A2)</f>
        <v>Harry Adams</v>
      </c>
      <c r="I2" s="209">
        <f>IF(LEN($A2)&gt;0,IF(LEN($J2)&gt;0,MATCH(J2,MatchNames,0),EventIndex),0)</f>
        <v>6</v>
      </c>
      <c r="J2" s="209" t="str">
        <f>IF(LEN($A2)&gt;0,IF(LEN(Declarations!$F2)&gt;0,Declarations!$F2,conftype),"")</f>
        <v>QuadKids Club</v>
      </c>
      <c r="M2" s="297">
        <f>IF(ISNA(VLOOKUP($A2,SprintData,2,FALSE)),0,VLOOKUP($A2,SprintData,2,FALSE))</f>
        <v>14.3</v>
      </c>
      <c r="N2" s="297">
        <f>IF(ISNA(VLOOKUP($A2,JumpData,2,FALSE)),0,VLOOKUP($A2,JumpData,2,FALSE))</f>
        <v>2.39</v>
      </c>
      <c r="O2" s="297">
        <f>IF(ISNA(VLOOKUP($A2,RunData,2,FALSE)),0,VLOOKUP($A2,RunData,2,FALSE))</f>
        <v>2.16</v>
      </c>
      <c r="P2" s="297">
        <f>IF(ISNA(VLOOKUP($A2,ThrowData,2,FALSE)),0,VLOOKUP($A2,ThrowData,2,FALSE))</f>
        <v>13.25</v>
      </c>
      <c r="Q2" s="298">
        <f>IF(ISNA(VLOOKUP($A2,SprintData,4,FALSE)),0,VLOOKUP($A2,SprintData,4,FALSE))+V2</f>
        <v>27</v>
      </c>
      <c r="R2" s="298">
        <f>IF(ISNA(VLOOKUP($A2,JumpData,4,FALSE)),0,VLOOKUP($A2,JumpData,4,FALSE))+W2</f>
        <v>16</v>
      </c>
      <c r="S2" s="298">
        <f>IF(ISNA(VLOOKUP($A2,RunData,4,FALSE)),0,VLOOKUP($A2,RunData,4,FALSE))+X2</f>
        <v>54</v>
      </c>
      <c r="T2" s="298">
        <f>IF(ISNA(VLOOKUP($A2,ThrowData,4,FALSE)),0,VLOOKUP($A2,ThrowData,4,FALSE))+Y2</f>
        <v>26</v>
      </c>
      <c r="U2" s="299">
        <f t="shared" ref="U2:U1001" si="2">+Q2+R2+S2+T2</f>
        <v>123</v>
      </c>
      <c r="V2">
        <f>IF(AND($F2&gt;0,NOT(M2),Flexing),FlexPC,0)</f>
        <v>0</v>
      </c>
      <c r="W2">
        <f>IF(AND($F2&gt;0,NOT(N2),Flexing),FlexPC,0)</f>
        <v>0</v>
      </c>
      <c r="X2">
        <f>IF(AND($F2&gt;0,NOT(O2),Flexing),FlexPC,0)</f>
        <v>0</v>
      </c>
      <c r="Y2">
        <f>IF(AND($F2&gt;0,NOT(P2),Flexing),FlexPC,0)</f>
        <v>0</v>
      </c>
      <c r="AA2" s="209">
        <f t="shared" ref="AA2:AA1001" si="3">ROW()-1</f>
        <v>1</v>
      </c>
    </row>
    <row r="3">
      <c r="A3" s="206" t="str">
        <f>+Declarations!A3&amp;""</f>
        <v>2</v>
      </c>
      <c r="B3" t="str">
        <f>IF(LEN($A3),IF(LEN(Declarations!$B3)&gt;0,Declarations!$B3,"#"&amp;$A3),"")</f>
        <v>Connor Bailey-Pierce</v>
      </c>
      <c r="C3" s="209" t="str">
        <f t="array" ref="C3">IF(LEN(INDEX(DECLARATIONS,$AA3,3))&gt;0,INDEX(DECLARATIONS,$AA3,3),"...")</f>
        <v>BAC</v>
      </c>
      <c r="D3" s="209" t="str">
        <f t="shared" si="1"/>
        <v>M</v>
      </c>
      <c r="E3" s="296" t="str">
        <f t="array" ref="E3">IF(ISNA($AA3),0,INDEX(DECLARATIONS,$AA3,5))</f>
        <v/>
      </c>
      <c r="F3" s="209" t="str">
        <f t="array" ref="F3">IF(ISNA($AA3),0,INDEX(DECLARATIONS,$AA3,7))</f>
        <v/>
      </c>
      <c r="G3" s="209" t="str">
        <f t="array" ref="G3">UPPER(IF(ISNA($AA3),"",INDEX(DECLARATIONS,$AA3,4)))</f>
        <v>M</v>
      </c>
      <c r="H3" t="str">
        <f>IF(AND(A3&gt;0,ISTEXT(B3)),IF(SECNAME="YES",LEFT(B3&amp;" ",FIND(" ",B3&amp;" ")+2)&amp;IF(F3&gt;0," ("&amp;F3&amp;")",""),B3&amp;IF(F3&gt;0," ("&amp;F3&amp;")","")),"#"&amp;$A3)</f>
        <v>Connor Bailey-Pierce</v>
      </c>
      <c r="I3" s="209">
        <f>IF(LEN($A3)&gt;0,IF(LEN($J3)&gt;0,MATCH(J3,MatchNames,0),EventIndex),0)</f>
        <v>6</v>
      </c>
      <c r="J3" s="209" t="str">
        <f>IF(LEN($A3)&gt;0,IF(LEN(Declarations!$F3)&gt;0,Declarations!$F3,conftype),"")</f>
        <v>QuadKids Club</v>
      </c>
      <c r="M3" s="297">
        <f>IF(ISNA(VLOOKUP($A3,SprintData,2,FALSE)),0,VLOOKUP($A3,SprintData,2,FALSE))</f>
        <v>12.8</v>
      </c>
      <c r="N3" s="297">
        <f>IF(ISNA(VLOOKUP($A3,JumpData,2,FALSE)),0,VLOOKUP($A3,JumpData,2,FALSE))</f>
        <v>2.96</v>
      </c>
      <c r="O3" s="297">
        <f>IF(ISNA(VLOOKUP($A3,RunData,2,FALSE)),0,VLOOKUP($A3,RunData,2,FALSE))</f>
        <v>2.22</v>
      </c>
      <c r="P3" s="297">
        <f>IF(ISNA(VLOOKUP($A3,ThrowData,2,FALSE)),0,VLOOKUP($A3,ThrowData,2,FALSE))</f>
        <v>19.11</v>
      </c>
      <c r="Q3" s="298">
        <f>IF(ISNA(VLOOKUP($A3,SprintData,4,FALSE)),0,VLOOKUP($A3,SprintData,4,FALSE))+V3</f>
        <v>42</v>
      </c>
      <c r="R3" s="298">
        <f>IF(ISNA(VLOOKUP($A3,JumpData,4,FALSE)),0,VLOOKUP($A3,JumpData,4,FALSE))+W3</f>
        <v>35</v>
      </c>
      <c r="S3" s="298">
        <f>IF(ISNA(VLOOKUP($A3,RunData,4,FALSE)),0,VLOOKUP($A3,RunData,4,FALSE))+X3</f>
        <v>48</v>
      </c>
      <c r="T3" s="298">
        <f>IF(ISNA(VLOOKUP($A3,ThrowData,4,FALSE)),0,VLOOKUP($A3,ThrowData,4,FALSE))+Y3</f>
        <v>38</v>
      </c>
      <c r="U3" s="299">
        <f t="shared" si="2"/>
        <v>163</v>
      </c>
      <c r="V3">
        <f>IF(AND($F3&gt;0,NOT(M3),Flexing),FlexPC,0)</f>
        <v>0</v>
      </c>
      <c r="W3">
        <f>IF(AND($F3&gt;0,NOT(N3),Flexing),FlexPC,0)</f>
        <v>0</v>
      </c>
      <c r="X3">
        <f>IF(AND($F3&gt;0,NOT(O3),Flexing),FlexPC,0)</f>
        <v>0</v>
      </c>
      <c r="Y3">
        <f>IF(AND($F3&gt;0,NOT(P3),Flexing),FlexPC,0)</f>
        <v>0</v>
      </c>
      <c r="AA3" s="209">
        <f t="shared" si="3"/>
        <v>2</v>
      </c>
    </row>
    <row r="4">
      <c r="A4" s="206" t="str">
        <f>+Declarations!A4&amp;""</f>
        <v>3</v>
      </c>
      <c r="B4" t="str">
        <f>IF(LEN($A4),IF(LEN(Declarations!$B4)&gt;0,Declarations!$B4,"#"&amp;$A4),"")</f>
        <v>Elouan Biwole</v>
      </c>
      <c r="C4" s="209" t="str">
        <f t="array" ref="C4">IF(LEN(INDEX(DECLARATIONS,$AA4,3))&gt;0,INDEX(DECLARATIONS,$AA4,3),"...")</f>
        <v>Poole AC</v>
      </c>
      <c r="D4" s="209" t="str">
        <f t="shared" si="1"/>
        <v>M</v>
      </c>
      <c r="E4" s="296" t="str">
        <f t="array" ref="E4">IF(ISNA($AA4),0,INDEX(DECLARATIONS,$AA4,5))</f>
        <v/>
      </c>
      <c r="F4" s="209" t="str">
        <f t="array" ref="F4">IF(ISNA($AA4),0,INDEX(DECLARATIONS,$AA4,7))</f>
        <v/>
      </c>
      <c r="G4" s="209" t="str">
        <f t="array" ref="G4">UPPER(IF(ISNA($AA4),"",INDEX(DECLARATIONS,$AA4,4)))</f>
        <v>M</v>
      </c>
      <c r="H4" t="str">
        <f>IF(AND(A4&gt;0,ISTEXT(B4)),IF(SECNAME="YES",LEFT(B4&amp;" ",FIND(" ",B4&amp;" ")+2)&amp;IF(F4&gt;0," ("&amp;F4&amp;")",""),B4&amp;IF(F4&gt;0," ("&amp;F4&amp;")","")),"#"&amp;$A4)</f>
        <v>Elouan Biwole</v>
      </c>
      <c r="I4" s="209">
        <f>IF(LEN($A4)&gt;0,IF(LEN($J4)&gt;0,MATCH(J4,MatchNames,0),EventIndex),0)</f>
        <v>6</v>
      </c>
      <c r="J4" s="209" t="str">
        <f>IF(LEN($A4)&gt;0,IF(LEN(Declarations!$F4)&gt;0,Declarations!$F4,conftype),"")</f>
        <v>QuadKids Club</v>
      </c>
      <c r="M4" s="297">
        <f>IF(ISNA(VLOOKUP($A4,SprintData,2,FALSE)),0,VLOOKUP($A4,SprintData,2,FALSE))</f>
        <v>11.9</v>
      </c>
      <c r="N4" s="297">
        <f>IF(ISNA(VLOOKUP($A4,JumpData,2,FALSE)),0,VLOOKUP($A4,JumpData,2,FALSE))</f>
        <v>3.13</v>
      </c>
      <c r="O4" s="297">
        <f>IF(ISNA(VLOOKUP($A4,RunData,2,FALSE)),0,VLOOKUP($A4,RunData,2,FALSE))</f>
        <v>2.18</v>
      </c>
      <c r="P4" s="297">
        <f>IF(ISNA(VLOOKUP($A4,ThrowData,2,FALSE)),0,VLOOKUP($A4,ThrowData,2,FALSE))</f>
        <v>25.55</v>
      </c>
      <c r="Q4" s="298">
        <f>IF(ISNA(VLOOKUP($A4,SprintData,4,FALSE)),0,VLOOKUP($A4,SprintData,4,FALSE))+V4</f>
        <v>51</v>
      </c>
      <c r="R4" s="298">
        <f>IF(ISNA(VLOOKUP($A4,JumpData,4,FALSE)),0,VLOOKUP($A4,JumpData,4,FALSE))+W4</f>
        <v>41</v>
      </c>
      <c r="S4" s="298">
        <f>IF(ISNA(VLOOKUP($A4,RunData,4,FALSE)),0,VLOOKUP($A4,RunData,4,FALSE))+X4</f>
        <v>52</v>
      </c>
      <c r="T4" s="298">
        <f>IF(ISNA(VLOOKUP($A4,ThrowData,4,FALSE)),0,VLOOKUP($A4,ThrowData,4,FALSE))+Y4</f>
        <v>51</v>
      </c>
      <c r="U4" s="299">
        <f t="shared" si="2"/>
        <v>195</v>
      </c>
      <c r="V4">
        <f>IF(AND($F4&gt;0,NOT(M4),Flexing),FlexPC,0)</f>
        <v>0</v>
      </c>
      <c r="W4">
        <f>IF(AND($F4&gt;0,NOT(N4),Flexing),FlexPC,0)</f>
        <v>0</v>
      </c>
      <c r="X4">
        <f>IF(AND($F4&gt;0,NOT(O4),Flexing),FlexPC,0)</f>
        <v>0</v>
      </c>
      <c r="Y4">
        <f>IF(AND($F4&gt;0,NOT(P4),Flexing),FlexPC,0)</f>
        <v>0</v>
      </c>
      <c r="AA4" s="209">
        <f t="shared" si="3"/>
        <v>3</v>
      </c>
    </row>
    <row r="5">
      <c r="A5" s="206" t="str">
        <f>+Declarations!A5&amp;""</f>
        <v>4</v>
      </c>
      <c r="B5" t="str">
        <f>IF(LEN($A5),IF(LEN(Declarations!$B5)&gt;0,Declarations!$B5,"#"&amp;$A5),"")</f>
        <v>Felix Bowyer</v>
      </c>
      <c r="C5" s="209" t="str">
        <f t="array" ref="C5">IF(LEN(INDEX(DECLARATIONS,$AA5,3))&gt;0,INDEX(DECLARATIONS,$AA5,3),"...")</f>
        <v>WADAC</v>
      </c>
      <c r="D5" s="209" t="str">
        <f t="shared" si="1"/>
        <v>M</v>
      </c>
      <c r="E5" s="296" t="str">
        <f t="array" ref="E5">IF(ISNA($AA5),0,INDEX(DECLARATIONS,$AA5,5))</f>
        <v/>
      </c>
      <c r="F5" s="209" t="str">
        <f t="array" ref="F5">IF(ISNA($AA5),0,INDEX(DECLARATIONS,$AA5,7))</f>
        <v/>
      </c>
      <c r="G5" s="209" t="str">
        <f t="array" ref="G5">UPPER(IF(ISNA($AA5),"",INDEX(DECLARATIONS,$AA5,4)))</f>
        <v>M</v>
      </c>
      <c r="H5" t="str">
        <f>IF(AND(A5&gt;0,ISTEXT(B5)),IF(SECNAME="YES",LEFT(B5&amp;" ",FIND(" ",B5&amp;" ")+2)&amp;IF(F5&gt;0," ("&amp;F5&amp;")",""),B5&amp;IF(F5&gt;0," ("&amp;F5&amp;")","")),"#"&amp;$A5)</f>
        <v>Felix Bowyer</v>
      </c>
      <c r="I5" s="209">
        <f>IF(LEN($A5)&gt;0,IF(LEN($J5)&gt;0,MATCH(J5,MatchNames,0),EventIndex),0)</f>
        <v>6</v>
      </c>
      <c r="J5" s="209" t="str">
        <f>IF(LEN($A5)&gt;0,IF(LEN(Declarations!$F5)&gt;0,Declarations!$F5,conftype),"")</f>
        <v>QuadKids Club</v>
      </c>
      <c r="M5" s="297">
        <f>IF(ISNA(VLOOKUP($A5,SprintData,2,FALSE)),0,VLOOKUP($A5,SprintData,2,FALSE))</f>
        <v>11.9</v>
      </c>
      <c r="N5" s="297">
        <f>IF(ISNA(VLOOKUP($A5,JumpData,2,FALSE)),0,VLOOKUP($A5,JumpData,2,FALSE))</f>
        <v>3.23</v>
      </c>
      <c r="O5" s="297">
        <f>IF(ISNA(VLOOKUP($A5,RunData,2,FALSE)),0,VLOOKUP($A5,RunData,2,FALSE))</f>
        <v>2.03</v>
      </c>
      <c r="P5" s="297">
        <f>IF(ISNA(VLOOKUP($A5,ThrowData,2,FALSE)),0,VLOOKUP($A5,ThrowData,2,FALSE))</f>
        <v>22.98</v>
      </c>
      <c r="Q5" s="298">
        <f>IF(ISNA(VLOOKUP($A5,SprintData,4,FALSE)),0,VLOOKUP($A5,SprintData,4,FALSE))+V5</f>
        <v>51</v>
      </c>
      <c r="R5" s="298">
        <f>IF(ISNA(VLOOKUP($A5,JumpData,4,FALSE)),0,VLOOKUP($A5,JumpData,4,FALSE))+W5</f>
        <v>44</v>
      </c>
      <c r="S5" s="298">
        <f>IF(ISNA(VLOOKUP($A5,RunData,4,FALSE)),0,VLOOKUP($A5,RunData,4,FALSE))+X5</f>
        <v>67</v>
      </c>
      <c r="T5" s="298">
        <f>IF(ISNA(VLOOKUP($A5,ThrowData,4,FALSE)),0,VLOOKUP($A5,ThrowData,4,FALSE))+Y5</f>
        <v>45</v>
      </c>
      <c r="U5" s="299">
        <f t="shared" si="2"/>
        <v>207</v>
      </c>
      <c r="V5">
        <f>IF(AND($F5&gt;0,NOT(M5),Flexing),FlexPC,0)</f>
        <v>0</v>
      </c>
      <c r="W5">
        <f>IF(AND($F5&gt;0,NOT(N5),Flexing),FlexPC,0)</f>
        <v>0</v>
      </c>
      <c r="X5">
        <f>IF(AND($F5&gt;0,NOT(O5),Flexing),FlexPC,0)</f>
        <v>0</v>
      </c>
      <c r="Y5">
        <f>IF(AND($F5&gt;0,NOT(P5),Flexing),FlexPC,0)</f>
        <v>0</v>
      </c>
      <c r="AA5" s="209">
        <f t="shared" si="3"/>
        <v>4</v>
      </c>
    </row>
    <row r="6">
      <c r="A6" s="206" t="str">
        <f>+Declarations!A6&amp;""</f>
        <v>5</v>
      </c>
      <c r="B6" t="str">
        <f>IF(LEN($A6),IF(LEN(Declarations!$B6)&gt;0,Declarations!$B6,"#"&amp;$A6),"")</f>
        <v>Finlay Carvell</v>
      </c>
      <c r="C6" s="209" t="str">
        <f t="array" ref="C6">IF(LEN(INDEX(DECLARATIONS,$AA6,3))&gt;0,INDEX(DECLARATIONS,$AA6,3),"...")</f>
        <v>Wimborne AC</v>
      </c>
      <c r="D6" s="209" t="str">
        <f t="shared" si="1"/>
        <v>M</v>
      </c>
      <c r="E6" s="296" t="str">
        <f t="array" ref="E6">IF(ISNA($AA6),0,INDEX(DECLARATIONS,$AA6,5))</f>
        <v/>
      </c>
      <c r="F6" s="209" t="str">
        <f t="array" ref="F6">IF(ISNA($AA6),0,INDEX(DECLARATIONS,$AA6,7))</f>
        <v/>
      </c>
      <c r="G6" s="209" t="str">
        <f t="array" ref="G6">UPPER(IF(ISNA($AA6),"",INDEX(DECLARATIONS,$AA6,4)))</f>
        <v>M</v>
      </c>
      <c r="H6" t="str">
        <f>IF(AND(A6&gt;0,ISTEXT(B6)),IF(SECNAME="YES",LEFT(B6&amp;" ",FIND(" ",B6&amp;" ")+2)&amp;IF(F6&gt;0," ("&amp;F6&amp;")",""),B6&amp;IF(F6&gt;0," ("&amp;F6&amp;")","")),"#"&amp;$A6)</f>
        <v>Finlay Carvell</v>
      </c>
      <c r="I6" s="209">
        <f>IF(LEN($A6)&gt;0,IF(LEN($J6)&gt;0,MATCH(J6,MatchNames,0),EventIndex),0)</f>
        <v>6</v>
      </c>
      <c r="J6" s="209" t="str">
        <f>IF(LEN($A6)&gt;0,IF(LEN(Declarations!$F6)&gt;0,Declarations!$F6,conftype),"")</f>
        <v>QuadKids Club</v>
      </c>
      <c r="M6" s="297">
        <f>IF(ISNA(VLOOKUP($A6,SprintData,2,FALSE)),0,VLOOKUP($A6,SprintData,2,FALSE))</f>
        <v>12.5</v>
      </c>
      <c r="N6" s="297">
        <f>IF(ISNA(VLOOKUP($A6,JumpData,2,FALSE)),0,VLOOKUP($A6,JumpData,2,FALSE))</f>
        <v>2.63</v>
      </c>
      <c r="O6" s="297">
        <f>IF(ISNA(VLOOKUP($A6,RunData,2,FALSE)),0,VLOOKUP($A6,RunData,2,FALSE))</f>
        <v>2.15</v>
      </c>
      <c r="P6" s="297">
        <f>IF(ISNA(VLOOKUP($A6,ThrowData,2,FALSE)),0,VLOOKUP($A6,ThrowData,2,FALSE))</f>
        <v>14.09</v>
      </c>
      <c r="Q6" s="298">
        <f>IF(ISNA(VLOOKUP($A6,SprintData,4,FALSE)),0,VLOOKUP($A6,SprintData,4,FALSE))+V6</f>
        <v>45</v>
      </c>
      <c r="R6" s="298">
        <f>IF(ISNA(VLOOKUP($A6,JumpData,4,FALSE)),0,VLOOKUP($A6,JumpData,4,FALSE))+W6</f>
        <v>24</v>
      </c>
      <c r="S6" s="298">
        <f>IF(ISNA(VLOOKUP($A6,RunData,4,FALSE)),0,VLOOKUP($A6,RunData,4,FALSE))+X6</f>
        <v>55</v>
      </c>
      <c r="T6" s="298">
        <f>IF(ISNA(VLOOKUP($A6,ThrowData,4,FALSE)),0,VLOOKUP($A6,ThrowData,4,FALSE))+Y6</f>
        <v>28</v>
      </c>
      <c r="U6" s="299">
        <f t="shared" si="2"/>
        <v>152</v>
      </c>
      <c r="V6">
        <f>IF(AND($F6&gt;0,NOT(M6),Flexing),FlexPC,0)</f>
        <v>0</v>
      </c>
      <c r="W6">
        <f>IF(AND($F6&gt;0,NOT(N6),Flexing),FlexPC,0)</f>
        <v>0</v>
      </c>
      <c r="X6">
        <f>IF(AND($F6&gt;0,NOT(O6),Flexing),FlexPC,0)</f>
        <v>0</v>
      </c>
      <c r="Y6">
        <f>IF(AND($F6&gt;0,NOT(P6),Flexing),FlexPC,0)</f>
        <v>0</v>
      </c>
      <c r="AA6" s="209">
        <f t="shared" si="3"/>
        <v>5</v>
      </c>
    </row>
    <row r="7">
      <c r="A7" s="206" t="str">
        <f>+Declarations!A7&amp;""</f>
        <v>6</v>
      </c>
      <c r="B7" t="str">
        <f>IF(LEN($A7),IF(LEN(Declarations!$B7)&gt;0,Declarations!$B7,"#"&amp;$A7),"")</f>
        <v>Sam Coltman</v>
      </c>
      <c r="C7" s="209" t="str">
        <f t="array" ref="C7">IF(LEN(INDEX(DECLARATIONS,$AA7,3))&gt;0,INDEX(DECLARATIONS,$AA7,3),"...")</f>
        <v>Bournemouth AC</v>
      </c>
      <c r="D7" s="209" t="str">
        <f t="shared" si="1"/>
        <v>M</v>
      </c>
      <c r="E7" s="296" t="str">
        <f t="array" ref="E7">IF(ISNA($AA7),0,INDEX(DECLARATIONS,$AA7,5))</f>
        <v/>
      </c>
      <c r="F7" s="209" t="str">
        <f t="array" ref="F7">IF(ISNA($AA7),0,INDEX(DECLARATIONS,$AA7,7))</f>
        <v/>
      </c>
      <c r="G7" s="209" t="str">
        <f t="array" ref="G7">UPPER(IF(ISNA($AA7),"",INDEX(DECLARATIONS,$AA7,4)))</f>
        <v>M</v>
      </c>
      <c r="H7" t="str">
        <f>IF(AND(A7&gt;0,ISTEXT(B7)),IF(SECNAME="YES",LEFT(B7&amp;" ",FIND(" ",B7&amp;" ")+2)&amp;IF(F7&gt;0," ("&amp;F7&amp;")",""),B7&amp;IF(F7&gt;0," ("&amp;F7&amp;")","")),"#"&amp;$A7)</f>
        <v>Sam Coltman</v>
      </c>
      <c r="I7" s="209">
        <f>IF(LEN($A7)&gt;0,IF(LEN($J7)&gt;0,MATCH(J7,MatchNames,0),EventIndex),0)</f>
        <v>6</v>
      </c>
      <c r="J7" s="209" t="str">
        <f>IF(LEN($A7)&gt;0,IF(LEN(Declarations!$F7)&gt;0,Declarations!$F7,conftype),"")</f>
        <v>QuadKids Club</v>
      </c>
      <c r="M7" s="297">
        <f>IF(ISNA(VLOOKUP($A7,SprintData,2,FALSE)),0,VLOOKUP($A7,SprintData,2,FALSE))</f>
        <v>13.2</v>
      </c>
      <c r="N7" s="297">
        <f>IF(ISNA(VLOOKUP($A7,JumpData,2,FALSE)),0,VLOOKUP($A7,JumpData,2,FALSE))</f>
        <v>2.61</v>
      </c>
      <c r="O7" s="297">
        <f>IF(ISNA(VLOOKUP($A7,RunData,2,FALSE)),0,VLOOKUP($A7,RunData,2,FALSE))</f>
        <v>2.19</v>
      </c>
      <c r="P7" s="297">
        <f>IF(ISNA(VLOOKUP($A7,ThrowData,2,FALSE)),0,VLOOKUP($A7,ThrowData,2,FALSE))</f>
        <v>20.03</v>
      </c>
      <c r="Q7" s="298">
        <f>IF(ISNA(VLOOKUP($A7,SprintData,4,FALSE)),0,VLOOKUP($A7,SprintData,4,FALSE))+V7</f>
        <v>38</v>
      </c>
      <c r="R7" s="298">
        <f>IF(ISNA(VLOOKUP($A7,JumpData,4,FALSE)),0,VLOOKUP($A7,JumpData,4,FALSE))+W7</f>
        <v>23</v>
      </c>
      <c r="S7" s="298">
        <f>IF(ISNA(VLOOKUP($A7,RunData,4,FALSE)),0,VLOOKUP($A7,RunData,4,FALSE))+X7</f>
        <v>51</v>
      </c>
      <c r="T7" s="298">
        <f>IF(ISNA(VLOOKUP($A7,ThrowData,4,FALSE)),0,VLOOKUP($A7,ThrowData,4,FALSE))+Y7</f>
        <v>40</v>
      </c>
      <c r="U7" s="299">
        <f t="shared" si="2"/>
        <v>152</v>
      </c>
      <c r="V7">
        <f>IF(AND($F7&gt;0,NOT(M7),Flexing),FlexPC,0)</f>
        <v>0</v>
      </c>
      <c r="W7">
        <f>IF(AND($F7&gt;0,NOT(N7),Flexing),FlexPC,0)</f>
        <v>0</v>
      </c>
      <c r="X7">
        <f>IF(AND($F7&gt;0,NOT(O7),Flexing),FlexPC,0)</f>
        <v>0</v>
      </c>
      <c r="Y7">
        <f>IF(AND($F7&gt;0,NOT(P7),Flexing),FlexPC,0)</f>
        <v>0</v>
      </c>
      <c r="AA7" s="209">
        <f t="shared" si="3"/>
        <v>6</v>
      </c>
    </row>
    <row r="8">
      <c r="A8" s="206" t="str">
        <f>+Declarations!A8&amp;""</f>
        <v>7</v>
      </c>
      <c r="B8" t="str">
        <f>IF(LEN($A8),IF(LEN(Declarations!$B8)&gt;0,Declarations!$B8,"#"&amp;$A8),"")</f>
        <v>Ethan Crowley</v>
      </c>
      <c r="C8" s="209" t="str">
        <f t="array" ref="C8">IF(LEN(INDEX(DECLARATIONS,$AA8,3))&gt;0,INDEX(DECLARATIONS,$AA8,3),"...")</f>
        <v>Poole AC</v>
      </c>
      <c r="D8" s="209" t="str">
        <f t="shared" si="1"/>
        <v>M</v>
      </c>
      <c r="E8" s="296" t="str">
        <f t="array" ref="E8">IF(ISNA($AA8),0,INDEX(DECLARATIONS,$AA8,5))</f>
        <v/>
      </c>
      <c r="F8" s="209" t="str">
        <f t="array" ref="F8">IF(ISNA($AA8),0,INDEX(DECLARATIONS,$AA8,7))</f>
        <v/>
      </c>
      <c r="G8" s="209" t="str">
        <f t="array" ref="G8">UPPER(IF(ISNA($AA8),"",INDEX(DECLARATIONS,$AA8,4)))</f>
        <v>M</v>
      </c>
      <c r="H8" t="str">
        <f>IF(AND(A8&gt;0,ISTEXT(B8)),IF(SECNAME="YES",LEFT(B8&amp;" ",FIND(" ",B8&amp;" ")+2)&amp;IF(F8&gt;0," ("&amp;F8&amp;")",""),B8&amp;IF(F8&gt;0," ("&amp;F8&amp;")","")),"#"&amp;$A8)</f>
        <v>Ethan Crowley</v>
      </c>
      <c r="I8" s="209">
        <f>IF(LEN($A8)&gt;0,IF(LEN($J8)&gt;0,MATCH(J8,MatchNames,0),EventIndex),0)</f>
        <v>6</v>
      </c>
      <c r="J8" s="209" t="str">
        <f>IF(LEN($A8)&gt;0,IF(LEN(Declarations!$F8)&gt;0,Declarations!$F8,conftype),"")</f>
        <v>QuadKids Club</v>
      </c>
      <c r="M8" s="297">
        <f>IF(ISNA(VLOOKUP($A8,SprintData,2,FALSE)),0,VLOOKUP($A8,SprintData,2,FALSE))</f>
        <v>13.6</v>
      </c>
      <c r="N8" s="297">
        <f>IF(ISNA(VLOOKUP($A8,JumpData,2,FALSE)),0,VLOOKUP($A8,JumpData,2,FALSE))</f>
        <v>2.9</v>
      </c>
      <c r="O8" s="297">
        <f>IF(ISNA(VLOOKUP($A8,RunData,2,FALSE)),0,VLOOKUP($A8,RunData,2,FALSE))</f>
        <v>2.07</v>
      </c>
      <c r="P8" s="297">
        <f>IF(ISNA(VLOOKUP($A8,ThrowData,2,FALSE)),0,VLOOKUP($A8,ThrowData,2,FALSE))</f>
        <v>31.74</v>
      </c>
      <c r="Q8" s="298">
        <f>IF(ISNA(VLOOKUP($A8,SprintData,4,FALSE)),0,VLOOKUP($A8,SprintData,4,FALSE))+V8</f>
        <v>34</v>
      </c>
      <c r="R8" s="298">
        <f>IF(ISNA(VLOOKUP($A8,JumpData,4,FALSE)),0,VLOOKUP($A8,JumpData,4,FALSE))+W8</f>
        <v>33</v>
      </c>
      <c r="S8" s="298">
        <f>IF(ISNA(VLOOKUP($A8,RunData,4,FALSE)),0,VLOOKUP($A8,RunData,4,FALSE))+X8</f>
        <v>63</v>
      </c>
      <c r="T8" s="298">
        <f>IF(ISNA(VLOOKUP($A8,ThrowData,4,FALSE)),0,VLOOKUP($A8,ThrowData,4,FALSE))+Y8</f>
        <v>63</v>
      </c>
      <c r="U8" s="299">
        <f t="shared" si="2"/>
        <v>193</v>
      </c>
      <c r="V8">
        <f>IF(AND($F8&gt;0,NOT(M8),Flexing),FlexPC,0)</f>
        <v>0</v>
      </c>
      <c r="W8">
        <f>IF(AND($F8&gt;0,NOT(N8),Flexing),FlexPC,0)</f>
        <v>0</v>
      </c>
      <c r="X8">
        <f>IF(AND($F8&gt;0,NOT(O8),Flexing),FlexPC,0)</f>
        <v>0</v>
      </c>
      <c r="Y8">
        <f>IF(AND($F8&gt;0,NOT(P8),Flexing),FlexPC,0)</f>
        <v>0</v>
      </c>
      <c r="AA8" s="209">
        <f t="shared" si="3"/>
        <v>7</v>
      </c>
    </row>
    <row r="9">
      <c r="A9" s="206" t="str">
        <f>+Declarations!A9&amp;""</f>
        <v>8</v>
      </c>
      <c r="B9" t="str">
        <f>IF(LEN($A9),IF(LEN(Declarations!$B9)&gt;0,Declarations!$B9,"#"&amp;$A9),"")</f>
        <v>Alfie Curtis</v>
      </c>
      <c r="C9" s="209" t="str">
        <f t="array" ref="C9">IF(LEN(INDEX(DECLARATIONS,$AA9,3))&gt;0,INDEX(DECLARATIONS,$AA9,3),"...")</f>
        <v>Poole AC</v>
      </c>
      <c r="D9" s="209" t="str">
        <f t="shared" si="1"/>
        <v>M</v>
      </c>
      <c r="E9" s="296" t="str">
        <f t="array" ref="E9">IF(ISNA($AA9),0,INDEX(DECLARATIONS,$AA9,5))</f>
        <v/>
      </c>
      <c r="F9" s="209" t="str">
        <f t="array" ref="F9">IF(ISNA($AA9),0,INDEX(DECLARATIONS,$AA9,7))</f>
        <v/>
      </c>
      <c r="G9" s="209" t="str">
        <f t="array" ref="G9">UPPER(IF(ISNA($AA9),"",INDEX(DECLARATIONS,$AA9,4)))</f>
        <v>M</v>
      </c>
      <c r="H9" t="str">
        <f>IF(AND(A9&gt;0,ISTEXT(B9)),IF(SECNAME="YES",LEFT(B9&amp;" ",FIND(" ",B9&amp;" ")+2)&amp;IF(F9&gt;0," ("&amp;F9&amp;")",""),B9&amp;IF(F9&gt;0," ("&amp;F9&amp;")","")),"#"&amp;$A9)</f>
        <v>Alfie Curtis</v>
      </c>
      <c r="I9" s="209">
        <f>IF(LEN($A9)&gt;0,IF(LEN($J9)&gt;0,MATCH(J9,MatchNames,0),EventIndex),0)</f>
        <v>6</v>
      </c>
      <c r="J9" s="209" t="str">
        <f>IF(LEN($A9)&gt;0,IF(LEN(Declarations!$F9)&gt;0,Declarations!$F9,conftype),"")</f>
        <v>QuadKids Club</v>
      </c>
      <c r="M9" s="297">
        <f>IF(ISNA(VLOOKUP($A9,SprintData,2,FALSE)),0,VLOOKUP($A9,SprintData,2,FALSE))</f>
        <v>11.8</v>
      </c>
      <c r="N9" s="297">
        <f>IF(ISNA(VLOOKUP($A9,JumpData,2,FALSE)),0,VLOOKUP($A9,JumpData,2,FALSE))</f>
        <v>3.5</v>
      </c>
      <c r="O9" s="297">
        <f>IF(ISNA(VLOOKUP($A9,RunData,2,FALSE)),0,VLOOKUP($A9,RunData,2,FALSE))</f>
        <v>2.17</v>
      </c>
      <c r="P9" s="297">
        <f>IF(ISNA(VLOOKUP($A9,ThrowData,2,FALSE)),0,VLOOKUP($A9,ThrowData,2,FALSE))</f>
        <v>20.9</v>
      </c>
      <c r="Q9" s="298">
        <f>IF(ISNA(VLOOKUP($A9,SprintData,4,FALSE)),0,VLOOKUP($A9,SprintData,4,FALSE))+V9</f>
        <v>52</v>
      </c>
      <c r="R9" s="298">
        <f>IF(ISNA(VLOOKUP($A9,JumpData,4,FALSE)),0,VLOOKUP($A9,JumpData,4,FALSE))+W9</f>
        <v>53</v>
      </c>
      <c r="S9" s="298">
        <f>IF(ISNA(VLOOKUP($A9,RunData,4,FALSE)),0,VLOOKUP($A9,RunData,4,FALSE))+X9</f>
        <v>53</v>
      </c>
      <c r="T9" s="298">
        <f>IF(ISNA(VLOOKUP($A9,ThrowData,4,FALSE)),0,VLOOKUP($A9,ThrowData,4,FALSE))+Y9</f>
        <v>41</v>
      </c>
      <c r="U9" s="299">
        <f t="shared" si="2"/>
        <v>199</v>
      </c>
      <c r="V9">
        <f>IF(AND($F9&gt;0,NOT(M9),Flexing),FlexPC,0)</f>
        <v>0</v>
      </c>
      <c r="W9">
        <f>IF(AND($F9&gt;0,NOT(N9),Flexing),FlexPC,0)</f>
        <v>0</v>
      </c>
      <c r="X9">
        <f>IF(AND($F9&gt;0,NOT(O9),Flexing),FlexPC,0)</f>
        <v>0</v>
      </c>
      <c r="Y9">
        <f>IF(AND($F9&gt;0,NOT(P9),Flexing),FlexPC,0)</f>
        <v>0</v>
      </c>
      <c r="AA9" s="209">
        <f t="shared" si="3"/>
        <v>8</v>
      </c>
    </row>
    <row r="10">
      <c r="A10" s="206" t="str">
        <f>+Declarations!A10&amp;""</f>
        <v>9</v>
      </c>
      <c r="B10" t="str">
        <f>IF(LEN($A10),IF(LEN(Declarations!$B10)&gt;0,Declarations!$B10,"#"&amp;$A10),"")</f>
        <v>James Davie</v>
      </c>
      <c r="C10" s="209" t="str">
        <f t="array" ref="C10">IF(LEN(INDEX(DECLARATIONS,$AA10,3))&gt;0,INDEX(DECLARATIONS,$AA10,3),"...")</f>
        <v>BAC</v>
      </c>
      <c r="D10" s="209" t="str">
        <f t="shared" si="1"/>
        <v>M</v>
      </c>
      <c r="E10" s="296" t="str">
        <f t="array" ref="E10">IF(ISNA($AA10),0,INDEX(DECLARATIONS,$AA10,5))</f>
        <v/>
      </c>
      <c r="F10" s="209" t="str">
        <f t="array" ref="F10">IF(ISNA($AA10),0,INDEX(DECLARATIONS,$AA10,7))</f>
        <v/>
      </c>
      <c r="G10" s="209" t="str">
        <f t="array" ref="G10">UPPER(IF(ISNA($AA10),"",INDEX(DECLARATIONS,$AA10,4)))</f>
        <v>M</v>
      </c>
      <c r="H10" t="str">
        <f>IF(AND(A10&gt;0,ISTEXT(B10)),IF(SECNAME="YES",LEFT(B10&amp;" ",FIND(" ",B10&amp;" ")+2)&amp;IF(F10&gt;0," ("&amp;F10&amp;")",""),B10&amp;IF(F10&gt;0," ("&amp;F10&amp;")","")),"#"&amp;$A10)</f>
        <v>James Davie</v>
      </c>
      <c r="I10" s="209">
        <f>IF(LEN($A10)&gt;0,IF(LEN($J10)&gt;0,MATCH(J10,MatchNames,0),EventIndex),0)</f>
        <v>6</v>
      </c>
      <c r="J10" s="209" t="str">
        <f>IF(LEN($A10)&gt;0,IF(LEN(Declarations!$F10)&gt;0,Declarations!$F10,conftype),"")</f>
        <v>QuadKids Club</v>
      </c>
      <c r="M10" s="297">
        <f>IF(ISNA(VLOOKUP($A10,SprintData,2,FALSE)),0,VLOOKUP($A10,SprintData,2,FALSE))</f>
        <v>12.3</v>
      </c>
      <c r="N10" s="297">
        <f>IF(ISNA(VLOOKUP($A10,JumpData,2,FALSE)),0,VLOOKUP($A10,JumpData,2,FALSE))</f>
        <v>3</v>
      </c>
      <c r="O10" s="297">
        <f>IF(ISNA(VLOOKUP($A10,RunData,2,FALSE)),0,VLOOKUP($A10,RunData,2,FALSE))</f>
        <v>2.2</v>
      </c>
      <c r="P10" s="297">
        <f>IF(ISNA(VLOOKUP($A10,ThrowData,2,FALSE)),0,VLOOKUP($A10,ThrowData,2,FALSE))</f>
        <v>21.05</v>
      </c>
      <c r="Q10" s="298">
        <f>IF(ISNA(VLOOKUP($A10,SprintData,4,FALSE)),0,VLOOKUP($A10,SprintData,4,FALSE))+V10</f>
        <v>47</v>
      </c>
      <c r="R10" s="298">
        <f>IF(ISNA(VLOOKUP($A10,JumpData,4,FALSE)),0,VLOOKUP($A10,JumpData,4,FALSE))+W10</f>
        <v>36</v>
      </c>
      <c r="S10" s="298">
        <f>IF(ISNA(VLOOKUP($A10,RunData,4,FALSE)),0,VLOOKUP($A10,RunData,4,FALSE))+X10</f>
        <v>50</v>
      </c>
      <c r="T10" s="298">
        <f>IF(ISNA(VLOOKUP($A10,ThrowData,4,FALSE)),0,VLOOKUP($A10,ThrowData,4,FALSE))+Y10</f>
        <v>42</v>
      </c>
      <c r="U10" s="299">
        <f t="shared" si="2"/>
        <v>175</v>
      </c>
      <c r="V10">
        <f>IF(AND($F10&gt;0,NOT(M10),Flexing),FlexPC,0)</f>
        <v>0</v>
      </c>
      <c r="W10">
        <f>IF(AND($F10&gt;0,NOT(N10),Flexing),FlexPC,0)</f>
        <v>0</v>
      </c>
      <c r="X10">
        <f>IF(AND($F10&gt;0,NOT(O10),Flexing),FlexPC,0)</f>
        <v>0</v>
      </c>
      <c r="Y10">
        <f>IF(AND($F10&gt;0,NOT(P10),Flexing),FlexPC,0)</f>
        <v>0</v>
      </c>
      <c r="AA10" s="209">
        <f t="shared" si="3"/>
        <v>9</v>
      </c>
    </row>
    <row r="11">
      <c r="A11" s="206" t="str">
        <f>+Declarations!A11&amp;""</f>
        <v>10</v>
      </c>
      <c r="B11" t="str">
        <f>IF(LEN($A11),IF(LEN(Declarations!$B11)&gt;0,Declarations!$B11,"#"&amp;$A11),"")</f>
        <v>Ethan Dolman</v>
      </c>
      <c r="C11" s="209" t="str">
        <f t="array" ref="C11">IF(LEN(INDEX(DECLARATIONS,$AA11,3))&gt;0,INDEX(DECLARATIONS,$AA11,3),"...")</f>
        <v>BAC</v>
      </c>
      <c r="D11" s="209" t="str">
        <f t="shared" si="1"/>
        <v>M</v>
      </c>
      <c r="E11" s="296" t="str">
        <f t="array" ref="E11">IF(ISNA($AA11),0,INDEX(DECLARATIONS,$AA11,5))</f>
        <v/>
      </c>
      <c r="F11" s="209" t="str">
        <f t="array" ref="F11">IF(ISNA($AA11),0,INDEX(DECLARATIONS,$AA11,7))</f>
        <v/>
      </c>
      <c r="G11" s="209" t="str">
        <f t="array" ref="G11">UPPER(IF(ISNA($AA11),"",INDEX(DECLARATIONS,$AA11,4)))</f>
        <v>M</v>
      </c>
      <c r="H11" t="str">
        <f>IF(AND(A11&gt;0,ISTEXT(B11)),IF(SECNAME="YES",LEFT(B11&amp;" ",FIND(" ",B11&amp;" ")+2)&amp;IF(F11&gt;0," ("&amp;F11&amp;")",""),B11&amp;IF(F11&gt;0," ("&amp;F11&amp;")","")),"#"&amp;$A11)</f>
        <v>Ethan Dolman</v>
      </c>
      <c r="I11" s="209">
        <f>IF(LEN($A11)&gt;0,IF(LEN($J11)&gt;0,MATCH(J11,MatchNames,0),EventIndex),0)</f>
        <v>6</v>
      </c>
      <c r="J11" s="209" t="str">
        <f>IF(LEN($A11)&gt;0,IF(LEN(Declarations!$F11)&gt;0,Declarations!$F11,conftype),"")</f>
        <v>QuadKids Club</v>
      </c>
      <c r="M11" s="297">
        <f>IF(ISNA(VLOOKUP($A11,SprintData,2,FALSE)),0,VLOOKUP($A11,SprintData,2,FALSE))</f>
        <v>14</v>
      </c>
      <c r="N11" s="297">
        <f>IF(ISNA(VLOOKUP($A11,JumpData,2,FALSE)),0,VLOOKUP($A11,JumpData,2,FALSE))</f>
        <v>2.7</v>
      </c>
      <c r="O11" s="297">
        <f>IF(ISNA(VLOOKUP($A11,RunData,2,FALSE)),0,VLOOKUP($A11,RunData,2,FALSE))</f>
        <v>2.13</v>
      </c>
      <c r="P11" s="297">
        <f>IF(ISNA(VLOOKUP($A11,ThrowData,2,FALSE)),0,VLOOKUP($A11,ThrowData,2,FALSE))</f>
        <v>22.95</v>
      </c>
      <c r="Q11" s="298">
        <f>IF(ISNA(VLOOKUP($A11,SprintData,4,FALSE)),0,VLOOKUP($A11,SprintData,4,FALSE))+V11</f>
        <v>30</v>
      </c>
      <c r="R11" s="298">
        <f>IF(ISNA(VLOOKUP($A11,JumpData,4,FALSE)),0,VLOOKUP($A11,JumpData,4,FALSE))+W11</f>
        <v>26</v>
      </c>
      <c r="S11" s="298">
        <f>IF(ISNA(VLOOKUP($A11,RunData,4,FALSE)),0,VLOOKUP($A11,RunData,4,FALSE))+X11</f>
        <v>57</v>
      </c>
      <c r="T11" s="298">
        <f>IF(ISNA(VLOOKUP($A11,ThrowData,4,FALSE)),0,VLOOKUP($A11,ThrowData,4,FALSE))+Y11</f>
        <v>45</v>
      </c>
      <c r="U11" s="299">
        <f t="shared" si="2"/>
        <v>158</v>
      </c>
      <c r="V11">
        <f>IF(AND($F11&gt;0,NOT(M11),Flexing),FlexPC,0)</f>
        <v>0</v>
      </c>
      <c r="W11">
        <f>IF(AND($F11&gt;0,NOT(N11),Flexing),FlexPC,0)</f>
        <v>0</v>
      </c>
      <c r="X11">
        <f>IF(AND($F11&gt;0,NOT(O11),Flexing),FlexPC,0)</f>
        <v>0</v>
      </c>
      <c r="Y11">
        <f>IF(AND($F11&gt;0,NOT(P11),Flexing),FlexPC,0)</f>
        <v>0</v>
      </c>
      <c r="AA11" s="209">
        <f t="shared" si="3"/>
        <v>10</v>
      </c>
    </row>
    <row r="12">
      <c r="A12" s="206" t="str">
        <f>+Declarations!A12&amp;""</f>
        <v>11</v>
      </c>
      <c r="B12" t="str">
        <f>IF(LEN($A12),IF(LEN(Declarations!$B12)&gt;0,Declarations!$B12,"#"&amp;$A12),"")</f>
        <v>Hugo English</v>
      </c>
      <c r="C12" s="209" t="str">
        <f t="array" ref="C12">IF(LEN(INDEX(DECLARATIONS,$AA12,3))&gt;0,INDEX(DECLARATIONS,$AA12,3),"...")</f>
        <v>Dorchester</v>
      </c>
      <c r="D12" s="209" t="str">
        <f t="shared" si="1"/>
        <v>M</v>
      </c>
      <c r="E12" s="296" t="str">
        <f t="array" ref="E12">IF(ISNA($AA12),0,INDEX(DECLARATIONS,$AA12,5))</f>
        <v/>
      </c>
      <c r="F12" s="209" t="str">
        <f t="array" ref="F12">IF(ISNA($AA12),0,INDEX(DECLARATIONS,$AA12,7))</f>
        <v/>
      </c>
      <c r="G12" s="209" t="str">
        <f t="array" ref="G12">UPPER(IF(ISNA($AA12),"",INDEX(DECLARATIONS,$AA12,4)))</f>
        <v>M</v>
      </c>
      <c r="H12" t="str">
        <f>IF(AND(A12&gt;0,ISTEXT(B12)),IF(SECNAME="YES",LEFT(B12&amp;" ",FIND(" ",B12&amp;" ")+2)&amp;IF(F12&gt;0," ("&amp;F12&amp;")",""),B12&amp;IF(F12&gt;0," ("&amp;F12&amp;")","")),"#"&amp;$A12)</f>
        <v>Hugo English</v>
      </c>
      <c r="I12" s="209">
        <f>IF(LEN($A12)&gt;0,IF(LEN($J12)&gt;0,MATCH(J12,MatchNames,0),EventIndex),0)</f>
        <v>6</v>
      </c>
      <c r="J12" s="209" t="str">
        <f>IF(LEN($A12)&gt;0,IF(LEN(Declarations!$F12)&gt;0,Declarations!$F12,conftype),"")</f>
        <v>QuadKids Club</v>
      </c>
      <c r="M12" s="297">
        <f>IF(ISNA(VLOOKUP($A12,SprintData,2,FALSE)),0,VLOOKUP($A12,SprintData,2,FALSE))</f>
        <v>11.8</v>
      </c>
      <c r="N12" s="297">
        <f>IF(ISNA(VLOOKUP($A12,JumpData,2,FALSE)),0,VLOOKUP($A12,JumpData,2,FALSE))</f>
        <v>3.43</v>
      </c>
      <c r="O12" s="297">
        <f>IF(ISNA(VLOOKUP($A12,RunData,2,FALSE)),0,VLOOKUP($A12,RunData,2,FALSE))</f>
        <v>2.36</v>
      </c>
      <c r="P12" s="297">
        <f>IF(ISNA(VLOOKUP($A12,ThrowData,2,FALSE)),0,VLOOKUP($A12,ThrowData,2,FALSE))</f>
        <v>20.48</v>
      </c>
      <c r="Q12" s="298">
        <f>IF(ISNA(VLOOKUP($A12,SprintData,4,FALSE)),0,VLOOKUP($A12,SprintData,4,FALSE))+V12</f>
        <v>52</v>
      </c>
      <c r="R12" s="298">
        <f>IF(ISNA(VLOOKUP($A12,JumpData,4,FALSE)),0,VLOOKUP($A12,JumpData,4,FALSE))+W12</f>
        <v>51</v>
      </c>
      <c r="S12" s="298">
        <f>IF(ISNA(VLOOKUP($A12,RunData,4,FALSE)),0,VLOOKUP($A12,RunData,4,FALSE))+X12</f>
        <v>34</v>
      </c>
      <c r="T12" s="298">
        <f>IF(ISNA(VLOOKUP($A12,ThrowData,4,FALSE)),0,VLOOKUP($A12,ThrowData,4,FALSE))+Y12</f>
        <v>40</v>
      </c>
      <c r="U12" s="299">
        <f t="shared" si="2"/>
        <v>177</v>
      </c>
      <c r="V12">
        <f>IF(AND($F12&gt;0,NOT(M12),Flexing),FlexPC,0)</f>
        <v>0</v>
      </c>
      <c r="W12">
        <f>IF(AND($F12&gt;0,NOT(N12),Flexing),FlexPC,0)</f>
        <v>0</v>
      </c>
      <c r="X12">
        <f>IF(AND($F12&gt;0,NOT(O12),Flexing),FlexPC,0)</f>
        <v>0</v>
      </c>
      <c r="Y12">
        <f>IF(AND($F12&gt;0,NOT(P12),Flexing),FlexPC,0)</f>
        <v>0</v>
      </c>
      <c r="AA12" s="209">
        <f t="shared" si="3"/>
        <v>11</v>
      </c>
    </row>
    <row r="13">
      <c r="A13" s="206" t="str">
        <f>+Declarations!A13&amp;""</f>
        <v>12</v>
      </c>
      <c r="B13" t="str">
        <f>IF(LEN($A13),IF(LEN(Declarations!$B13)&gt;0,Declarations!$B13,"#"&amp;$A13),"")</f>
        <v>Jude Fisher</v>
      </c>
      <c r="C13" s="209" t="str">
        <f t="array" ref="C13">IF(LEN(INDEX(DECLARATIONS,$AA13,3))&gt;0,INDEX(DECLARATIONS,$AA13,3),"...")</f>
        <v>WADAC</v>
      </c>
      <c r="D13" s="209" t="str">
        <f t="shared" si="1"/>
        <v>M</v>
      </c>
      <c r="E13" s="296" t="str">
        <f t="array" ref="E13">IF(ISNA($AA13),0,INDEX(DECLARATIONS,$AA13,5))</f>
        <v/>
      </c>
      <c r="F13" s="209" t="str">
        <f t="array" ref="F13">IF(ISNA($AA13),0,INDEX(DECLARATIONS,$AA13,7))</f>
        <v/>
      </c>
      <c r="G13" s="209" t="str">
        <f t="array" ref="G13">UPPER(IF(ISNA($AA13),"",INDEX(DECLARATIONS,$AA13,4)))</f>
        <v>M</v>
      </c>
      <c r="H13" t="str">
        <f>IF(AND(A13&gt;0,ISTEXT(B13)),IF(SECNAME="YES",LEFT(B13&amp;" ",FIND(" ",B13&amp;" ")+2)&amp;IF(F13&gt;0," ("&amp;F13&amp;")",""),B13&amp;IF(F13&gt;0," ("&amp;F13&amp;")","")),"#"&amp;$A13)</f>
        <v>Jude Fisher</v>
      </c>
      <c r="I13" s="209">
        <f>IF(LEN($A13)&gt;0,IF(LEN($J13)&gt;0,MATCH(J13,MatchNames,0),EventIndex),0)</f>
        <v>6</v>
      </c>
      <c r="J13" s="209" t="str">
        <f>IF(LEN($A13)&gt;0,IF(LEN(Declarations!$F13)&gt;0,Declarations!$F13,conftype),"")</f>
        <v>QuadKids Club</v>
      </c>
      <c r="M13" s="297">
        <f>IF(ISNA(VLOOKUP($A13,SprintData,2,FALSE)),0,VLOOKUP($A13,SprintData,2,FALSE))</f>
        <v>13</v>
      </c>
      <c r="N13" s="297">
        <f>IF(ISNA(VLOOKUP($A13,JumpData,2,FALSE)),0,VLOOKUP($A13,JumpData,2,FALSE))</f>
        <v>2.37</v>
      </c>
      <c r="O13" s="297">
        <f>IF(ISNA(VLOOKUP($A13,RunData,2,FALSE)),0,VLOOKUP($A13,RunData,2,FALSE))</f>
        <v>2.18</v>
      </c>
      <c r="P13" s="297">
        <f>IF(ISNA(VLOOKUP($A13,ThrowData,2,FALSE)),0,VLOOKUP($A13,ThrowData,2,FALSE))</f>
        <v>19.26</v>
      </c>
      <c r="Q13" s="298">
        <f>IF(ISNA(VLOOKUP($A13,SprintData,4,FALSE)),0,VLOOKUP($A13,SprintData,4,FALSE))+V13</f>
        <v>40</v>
      </c>
      <c r="R13" s="298">
        <f>IF(ISNA(VLOOKUP($A13,JumpData,4,FALSE)),0,VLOOKUP($A13,JumpData,4,FALSE))+W13</f>
        <v>15</v>
      </c>
      <c r="S13" s="298">
        <f>IF(ISNA(VLOOKUP($A13,RunData,4,FALSE)),0,VLOOKUP($A13,RunData,4,FALSE))+X13</f>
        <v>52</v>
      </c>
      <c r="T13" s="298">
        <f>IF(ISNA(VLOOKUP($A13,ThrowData,4,FALSE)),0,VLOOKUP($A13,ThrowData,4,FALSE))+Y13</f>
        <v>38</v>
      </c>
      <c r="U13" s="299">
        <f t="shared" si="2"/>
        <v>145</v>
      </c>
      <c r="V13">
        <f>IF(AND($F13&gt;0,NOT(M13),Flexing),FlexPC,0)</f>
        <v>0</v>
      </c>
      <c r="W13">
        <f>IF(AND($F13&gt;0,NOT(N13),Flexing),FlexPC,0)</f>
        <v>0</v>
      </c>
      <c r="X13">
        <f>IF(AND($F13&gt;0,NOT(O13),Flexing),FlexPC,0)</f>
        <v>0</v>
      </c>
      <c r="Y13">
        <f>IF(AND($F13&gt;0,NOT(P13),Flexing),FlexPC,0)</f>
        <v>0</v>
      </c>
      <c r="AA13" s="209">
        <f t="shared" si="3"/>
        <v>12</v>
      </c>
    </row>
    <row r="14">
      <c r="A14" s="206" t="str">
        <f>+Declarations!A14&amp;""</f>
        <v>13</v>
      </c>
      <c r="B14" t="str">
        <f>IF(LEN($A14),IF(LEN(Declarations!$B14)&gt;0,Declarations!$B14,"#"&amp;$A14),"")</f>
        <v>Toby Fry</v>
      </c>
      <c r="C14" s="209" t="str">
        <f t="array" ref="C14">IF(LEN(INDEX(DECLARATIONS,$AA14,3))&gt;0,INDEX(DECLARATIONS,$AA14,3),"...")</f>
        <v>Wimborne AC</v>
      </c>
      <c r="D14" s="209" t="str">
        <f t="shared" si="1"/>
        <v>M</v>
      </c>
      <c r="E14" s="296" t="str">
        <f t="array" ref="E14">IF(ISNA($AA14),0,INDEX(DECLARATIONS,$AA14,5))</f>
        <v/>
      </c>
      <c r="F14" s="209" t="str">
        <f t="array" ref="F14">IF(ISNA($AA14),0,INDEX(DECLARATIONS,$AA14,7))</f>
        <v/>
      </c>
      <c r="G14" s="209" t="str">
        <f t="array" ref="G14">UPPER(IF(ISNA($AA14),"",INDEX(DECLARATIONS,$AA14,4)))</f>
        <v>M</v>
      </c>
      <c r="H14" t="str">
        <f>IF(AND(A14&gt;0,ISTEXT(B14)),IF(SECNAME="YES",LEFT(B14&amp;" ",FIND(" ",B14&amp;" ")+2)&amp;IF(F14&gt;0," ("&amp;F14&amp;")",""),B14&amp;IF(F14&gt;0," ("&amp;F14&amp;")","")),"#"&amp;$A14)</f>
        <v>Toby Fry</v>
      </c>
      <c r="I14" s="209">
        <f>IF(LEN($A14)&gt;0,IF(LEN($J14)&gt;0,MATCH(J14,MatchNames,0),EventIndex),0)</f>
        <v>6</v>
      </c>
      <c r="J14" s="209" t="str">
        <f>IF(LEN($A14)&gt;0,IF(LEN(Declarations!$F14)&gt;0,Declarations!$F14,conftype),"")</f>
        <v>QuadKids Club</v>
      </c>
      <c r="M14" s="297">
        <f>IF(ISNA(VLOOKUP($A14,SprintData,2,FALSE)),0,VLOOKUP($A14,SprintData,2,FALSE))</f>
        <v>13.6</v>
      </c>
      <c r="N14" s="297">
        <f>IF(ISNA(VLOOKUP($A14,JumpData,2,FALSE)),0,VLOOKUP($A14,JumpData,2,FALSE))</f>
        <v>2.58</v>
      </c>
      <c r="O14" s="297">
        <f>IF(ISNA(VLOOKUP($A14,RunData,2,FALSE)),0,VLOOKUP($A14,RunData,2,FALSE))</f>
        <v>2.29</v>
      </c>
      <c r="P14" s="297">
        <f>IF(ISNA(VLOOKUP($A14,ThrowData,2,FALSE)),0,VLOOKUP($A14,ThrowData,2,FALSE))</f>
        <v>18.74</v>
      </c>
      <c r="Q14" s="298">
        <f>IF(ISNA(VLOOKUP($A14,SprintData,4,FALSE)),0,VLOOKUP($A14,SprintData,4,FALSE))+V14</f>
        <v>34</v>
      </c>
      <c r="R14" s="298">
        <f>IF(ISNA(VLOOKUP($A14,JumpData,4,FALSE)),0,VLOOKUP($A14,JumpData,4,FALSE))+W14</f>
        <v>22</v>
      </c>
      <c r="S14" s="298">
        <f>IF(ISNA(VLOOKUP($A14,RunData,4,FALSE)),0,VLOOKUP($A14,RunData,4,FALSE))+X14</f>
        <v>41</v>
      </c>
      <c r="T14" s="298">
        <f>IF(ISNA(VLOOKUP($A14,ThrowData,4,FALSE)),0,VLOOKUP($A14,ThrowData,4,FALSE))+Y14</f>
        <v>37</v>
      </c>
      <c r="U14" s="299">
        <f t="shared" si="2"/>
        <v>134</v>
      </c>
      <c r="V14">
        <f>IF(AND($F14&gt;0,NOT(M14),Flexing),FlexPC,0)</f>
        <v>0</v>
      </c>
      <c r="W14">
        <f>IF(AND($F14&gt;0,NOT(N14),Flexing),FlexPC,0)</f>
        <v>0</v>
      </c>
      <c r="X14">
        <f>IF(AND($F14&gt;0,NOT(O14),Flexing),FlexPC,0)</f>
        <v>0</v>
      </c>
      <c r="Y14">
        <f>IF(AND($F14&gt;0,NOT(P14),Flexing),FlexPC,0)</f>
        <v>0</v>
      </c>
      <c r="AA14" s="209">
        <f t="shared" si="3"/>
        <v>13</v>
      </c>
    </row>
    <row r="15">
      <c r="A15" s="206" t="str">
        <f>+Declarations!A15&amp;""</f>
        <v>14</v>
      </c>
      <c r="B15" t="str">
        <f>IF(LEN($A15),IF(LEN(Declarations!$B15)&gt;0,Declarations!$B15,"#"&amp;$A15),"")</f>
        <v>Tom Fry</v>
      </c>
      <c r="C15" s="209" t="str">
        <f t="array" ref="C15">IF(LEN(INDEX(DECLARATIONS,$AA15,3))&gt;0,INDEX(DECLARATIONS,$AA15,3),"...")</f>
        <v>City of Portsmouth </v>
      </c>
      <c r="D15" s="209" t="str">
        <f t="shared" si="1"/>
        <v>M</v>
      </c>
      <c r="E15" s="296" t="str">
        <f t="array" ref="E15">IF(ISNA($AA15),0,INDEX(DECLARATIONS,$AA15,5))</f>
        <v/>
      </c>
      <c r="F15" s="209" t="str">
        <f t="array" ref="F15">IF(ISNA($AA15),0,INDEX(DECLARATIONS,$AA15,7))</f>
        <v/>
      </c>
      <c r="G15" s="209" t="str">
        <f t="array" ref="G15">UPPER(IF(ISNA($AA15),"",INDEX(DECLARATIONS,$AA15,4)))</f>
        <v>M</v>
      </c>
      <c r="H15" t="str">
        <f>IF(AND(A15&gt;0,ISTEXT(B15)),IF(SECNAME="YES",LEFT(B15&amp;" ",FIND(" ",B15&amp;" ")+2)&amp;IF(F15&gt;0," ("&amp;F15&amp;")",""),B15&amp;IF(F15&gt;0," ("&amp;F15&amp;")","")),"#"&amp;$A15)</f>
        <v>Tom Fry</v>
      </c>
      <c r="I15" s="209">
        <f>IF(LEN($A15)&gt;0,IF(LEN($J15)&gt;0,MATCH(J15,MatchNames,0),EventIndex),0)</f>
        <v>6</v>
      </c>
      <c r="J15" s="209" t="str">
        <f>IF(LEN($A15)&gt;0,IF(LEN(Declarations!$F15)&gt;0,Declarations!$F15,conftype),"")</f>
        <v>QuadKids Club</v>
      </c>
      <c r="M15" s="297">
        <f>IF(ISNA(VLOOKUP($A15,SprintData,2,FALSE)),0,VLOOKUP($A15,SprintData,2,FALSE))</f>
        <v>14.8</v>
      </c>
      <c r="N15" s="297">
        <f>IF(ISNA(VLOOKUP($A15,JumpData,2,FALSE)),0,VLOOKUP($A15,JumpData,2,FALSE))</f>
        <v>2.32</v>
      </c>
      <c r="O15" s="297">
        <f>IF(ISNA(VLOOKUP($A15,RunData,2,FALSE)),0,VLOOKUP($A15,RunData,2,FALSE))</f>
        <v>2.37</v>
      </c>
      <c r="P15" s="297">
        <f>IF(ISNA(VLOOKUP($A15,ThrowData,2,FALSE)),0,VLOOKUP($A15,ThrowData,2,FALSE))</f>
        <v>18.49</v>
      </c>
      <c r="Q15" s="298">
        <f>IF(ISNA(VLOOKUP($A15,SprintData,4,FALSE)),0,VLOOKUP($A15,SprintData,4,FALSE))+V15</f>
        <v>22</v>
      </c>
      <c r="R15" s="298">
        <f>IF(ISNA(VLOOKUP($A15,JumpData,4,FALSE)),0,VLOOKUP($A15,JumpData,4,FALSE))+W15</f>
        <v>13</v>
      </c>
      <c r="S15" s="298">
        <f>IF(ISNA(VLOOKUP($A15,RunData,4,FALSE)),0,VLOOKUP($A15,RunData,4,FALSE))+X15</f>
        <v>33</v>
      </c>
      <c r="T15" s="298">
        <f>IF(ISNA(VLOOKUP($A15,ThrowData,4,FALSE)),0,VLOOKUP($A15,ThrowData,4,FALSE))+Y15</f>
        <v>36</v>
      </c>
      <c r="U15" s="299">
        <f t="shared" si="2"/>
        <v>104</v>
      </c>
      <c r="V15">
        <f>IF(AND($F15&gt;0,NOT(M15),Flexing),FlexPC,0)</f>
        <v>0</v>
      </c>
      <c r="W15">
        <f>IF(AND($F15&gt;0,NOT(N15),Flexing),FlexPC,0)</f>
        <v>0</v>
      </c>
      <c r="X15">
        <f>IF(AND($F15&gt;0,NOT(O15),Flexing),FlexPC,0)</f>
        <v>0</v>
      </c>
      <c r="Y15">
        <f>IF(AND($F15&gt;0,NOT(P15),Flexing),FlexPC,0)</f>
        <v>0</v>
      </c>
      <c r="AA15" s="209">
        <f t="shared" si="3"/>
        <v>14</v>
      </c>
    </row>
    <row r="16">
      <c r="A16" s="206" t="str">
        <f>+Declarations!A16&amp;""</f>
        <v>15</v>
      </c>
      <c r="B16" t="str">
        <f>IF(LEN($A16),IF(LEN(Declarations!$B16)&gt;0,Declarations!$B16,"#"&amp;$A16),"")</f>
        <v>Jake Goddard</v>
      </c>
      <c r="C16" s="209" t="str">
        <f t="array" ref="C16">IF(LEN(INDEX(DECLARATIONS,$AA16,3))&gt;0,INDEX(DECLARATIONS,$AA16,3),"...")</f>
        <v>Poole AC</v>
      </c>
      <c r="D16" s="209" t="str">
        <f t="shared" si="1"/>
        <v>M</v>
      </c>
      <c r="E16" s="296" t="str">
        <f t="array" ref="E16">IF(ISNA($AA16),0,INDEX(DECLARATIONS,$AA16,5))</f>
        <v/>
      </c>
      <c r="F16" s="209" t="str">
        <f t="array" ref="F16">IF(ISNA($AA16),0,INDEX(DECLARATIONS,$AA16,7))</f>
        <v/>
      </c>
      <c r="G16" s="209" t="str">
        <f t="array" ref="G16">UPPER(IF(ISNA($AA16),"",INDEX(DECLARATIONS,$AA16,4)))</f>
        <v>M</v>
      </c>
      <c r="H16" t="str">
        <f>IF(AND(A16&gt;0,ISTEXT(B16)),IF(SECNAME="YES",LEFT(B16&amp;" ",FIND(" ",B16&amp;" ")+2)&amp;IF(F16&gt;0," ("&amp;F16&amp;")",""),B16&amp;IF(F16&gt;0," ("&amp;F16&amp;")","")),"#"&amp;$A16)</f>
        <v>Jake Goddard</v>
      </c>
      <c r="I16" s="209">
        <f>IF(LEN($A16)&gt;0,IF(LEN($J16)&gt;0,MATCH(J16,MatchNames,0),EventIndex),0)</f>
        <v>6</v>
      </c>
      <c r="J16" s="209" t="str">
        <f>IF(LEN($A16)&gt;0,IF(LEN(Declarations!$F16)&gt;0,Declarations!$F16,conftype),"")</f>
        <v>QuadKids Club</v>
      </c>
      <c r="M16" s="297">
        <f>IF(ISNA(VLOOKUP($A16,SprintData,2,FALSE)),0,VLOOKUP($A16,SprintData,2,FALSE))</f>
        <v>13.1</v>
      </c>
      <c r="N16" s="297">
        <f>IF(ISNA(VLOOKUP($A16,JumpData,2,FALSE)),0,VLOOKUP($A16,JumpData,2,FALSE))</f>
        <v>2.71</v>
      </c>
      <c r="O16" s="297">
        <f>IF(ISNA(VLOOKUP($A16,RunData,2,FALSE)),0,VLOOKUP($A16,RunData,2,FALSE))</f>
        <v>2.23</v>
      </c>
      <c r="P16" s="297">
        <f>IF(ISNA(VLOOKUP($A16,ThrowData,2,FALSE)),0,VLOOKUP($A16,ThrowData,2,FALSE))</f>
        <v>19.27</v>
      </c>
      <c r="Q16" s="298">
        <f>IF(ISNA(VLOOKUP($A16,SprintData,4,FALSE)),0,VLOOKUP($A16,SprintData,4,FALSE))+V16</f>
        <v>39</v>
      </c>
      <c r="R16" s="298">
        <f>IF(ISNA(VLOOKUP($A16,JumpData,4,FALSE)),0,VLOOKUP($A16,JumpData,4,FALSE))+W16</f>
        <v>27</v>
      </c>
      <c r="S16" s="298">
        <f>IF(ISNA(VLOOKUP($A16,RunData,4,FALSE)),0,VLOOKUP($A16,RunData,4,FALSE))+X16</f>
        <v>47</v>
      </c>
      <c r="T16" s="298">
        <f>IF(ISNA(VLOOKUP($A16,ThrowData,4,FALSE)),0,VLOOKUP($A16,ThrowData,4,FALSE))+Y16</f>
        <v>38</v>
      </c>
      <c r="U16" s="299">
        <f t="shared" si="2"/>
        <v>151</v>
      </c>
      <c r="V16">
        <f>IF(AND($F16&gt;0,NOT(M16),Flexing),FlexPC,0)</f>
        <v>0</v>
      </c>
      <c r="W16">
        <f>IF(AND($F16&gt;0,NOT(N16),Flexing),FlexPC,0)</f>
        <v>0</v>
      </c>
      <c r="X16">
        <f>IF(AND($F16&gt;0,NOT(O16),Flexing),FlexPC,0)</f>
        <v>0</v>
      </c>
      <c r="Y16">
        <f>IF(AND($F16&gt;0,NOT(P16),Flexing),FlexPC,0)</f>
        <v>0</v>
      </c>
      <c r="AA16" s="209">
        <f t="shared" si="3"/>
        <v>15</v>
      </c>
    </row>
    <row r="17">
      <c r="A17" s="206" t="str">
        <f>+Declarations!A17&amp;""</f>
        <v>16</v>
      </c>
      <c r="B17" t="str">
        <f>IF(LEN($A17),IF(LEN(Declarations!$B17)&gt;0,Declarations!$B17,"#"&amp;$A17),"")</f>
        <v>Jacob Green</v>
      </c>
      <c r="C17" s="209" t="str">
        <f t="array" ref="C17">IF(LEN(INDEX(DECLARATIONS,$AA17,3))&gt;0,INDEX(DECLARATIONS,$AA17,3),"...")</f>
        <v>Bournemouth AC</v>
      </c>
      <c r="D17" s="209" t="str">
        <f t="shared" si="1"/>
        <v>M</v>
      </c>
      <c r="E17" s="296" t="str">
        <f t="array" ref="E17">IF(ISNA($AA17),0,INDEX(DECLARATIONS,$AA17,5))</f>
        <v/>
      </c>
      <c r="F17" s="209" t="str">
        <f t="array" ref="F17">IF(ISNA($AA17),0,INDEX(DECLARATIONS,$AA17,7))</f>
        <v/>
      </c>
      <c r="G17" s="209" t="str">
        <f t="array" ref="G17">UPPER(IF(ISNA($AA17),"",INDEX(DECLARATIONS,$AA17,4)))</f>
        <v>M</v>
      </c>
      <c r="H17" t="str">
        <f>IF(AND(A17&gt;0,ISTEXT(B17)),IF(SECNAME="YES",LEFT(B17&amp;" ",FIND(" ",B17&amp;" ")+2)&amp;IF(F17&gt;0," ("&amp;F17&amp;")",""),B17&amp;IF(F17&gt;0," ("&amp;F17&amp;")","")),"#"&amp;$A17)</f>
        <v>Jacob Green</v>
      </c>
      <c r="I17" s="209">
        <f>IF(LEN($A17)&gt;0,IF(LEN($J17)&gt;0,MATCH(J17,MatchNames,0),EventIndex),0)</f>
        <v>6</v>
      </c>
      <c r="J17" s="209" t="str">
        <f>IF(LEN($A17)&gt;0,IF(LEN(Declarations!$F17)&gt;0,Declarations!$F17,conftype),"")</f>
        <v>QuadKids Club</v>
      </c>
      <c r="M17" s="297">
        <f>IF(ISNA(VLOOKUP($A17,SprintData,2,FALSE)),0,VLOOKUP($A17,SprintData,2,FALSE))</f>
        <v>13.6</v>
      </c>
      <c r="N17" s="297">
        <f>IF(ISNA(VLOOKUP($A17,JumpData,2,FALSE)),0,VLOOKUP($A17,JumpData,2,FALSE))</f>
        <v>2.43</v>
      </c>
      <c r="O17" s="297">
        <f>IF(ISNA(VLOOKUP($A17,RunData,2,FALSE)),0,VLOOKUP($A17,RunData,2,FALSE))</f>
        <v>2.27</v>
      </c>
      <c r="P17" s="297">
        <f>IF(ISNA(VLOOKUP($A17,ThrowData,2,FALSE)),0,VLOOKUP($A17,ThrowData,2,FALSE))</f>
        <v>20.21</v>
      </c>
      <c r="Q17" s="298">
        <f>IF(ISNA(VLOOKUP($A17,SprintData,4,FALSE)),0,VLOOKUP($A17,SprintData,4,FALSE))+V17</f>
        <v>34</v>
      </c>
      <c r="R17" s="298">
        <f>IF(ISNA(VLOOKUP($A17,JumpData,4,FALSE)),0,VLOOKUP($A17,JumpData,4,FALSE))+W17</f>
        <v>17</v>
      </c>
      <c r="S17" s="298">
        <f>IF(ISNA(VLOOKUP($A17,RunData,4,FALSE)),0,VLOOKUP($A17,RunData,4,FALSE))+X17</f>
        <v>43</v>
      </c>
      <c r="T17" s="298">
        <f>IF(ISNA(VLOOKUP($A17,ThrowData,4,FALSE)),0,VLOOKUP($A17,ThrowData,4,FALSE))+Y17</f>
        <v>40</v>
      </c>
      <c r="U17" s="299">
        <f t="shared" si="2"/>
        <v>134</v>
      </c>
      <c r="V17">
        <f>IF(AND($F17&gt;0,NOT(M17),Flexing),FlexPC,0)</f>
        <v>0</v>
      </c>
      <c r="W17">
        <f>IF(AND($F17&gt;0,NOT(N17),Flexing),FlexPC,0)</f>
        <v>0</v>
      </c>
      <c r="X17">
        <f>IF(AND($F17&gt;0,NOT(O17),Flexing),FlexPC,0)</f>
        <v>0</v>
      </c>
      <c r="Y17">
        <f>IF(AND($F17&gt;0,NOT(P17),Flexing),FlexPC,0)</f>
        <v>0</v>
      </c>
      <c r="AA17" s="209">
        <f t="shared" si="3"/>
        <v>16</v>
      </c>
    </row>
    <row r="18">
      <c r="A18" s="206" t="str">
        <f>+Declarations!A18&amp;""</f>
        <v>17</v>
      </c>
      <c r="B18" t="str">
        <f>IF(LEN($A18),IF(LEN(Declarations!$B18)&gt;0,Declarations!$B18,"#"&amp;$A18),"")</f>
        <v>Elliott Groom</v>
      </c>
      <c r="C18" s="209" t="str">
        <f t="array" ref="C18">IF(LEN(INDEX(DECLARATIONS,$AA18,3))&gt;0,INDEX(DECLARATIONS,$AA18,3),"...")</f>
        <v>Havant</v>
      </c>
      <c r="D18" s="209" t="str">
        <f t="shared" si="1"/>
        <v>M</v>
      </c>
      <c r="E18" s="296" t="str">
        <f t="array" ref="E18">IF(ISNA($AA18),0,INDEX(DECLARATIONS,$AA18,5))</f>
        <v/>
      </c>
      <c r="F18" s="209" t="str">
        <f t="array" ref="F18">IF(ISNA($AA18),0,INDEX(DECLARATIONS,$AA18,7))</f>
        <v/>
      </c>
      <c r="G18" s="209" t="str">
        <f t="array" ref="G18">UPPER(IF(ISNA($AA18),"",INDEX(DECLARATIONS,$AA18,4)))</f>
        <v>M</v>
      </c>
      <c r="H18" t="str">
        <f>IF(AND(A18&gt;0,ISTEXT(B18)),IF(SECNAME="YES",LEFT(B18&amp;" ",FIND(" ",B18&amp;" ")+2)&amp;IF(F18&gt;0," ("&amp;F18&amp;")",""),B18&amp;IF(F18&gt;0," ("&amp;F18&amp;")","")),"#"&amp;$A18)</f>
        <v>Elliott Groom</v>
      </c>
      <c r="I18" s="209">
        <f>IF(LEN($A18)&gt;0,IF(LEN($J18)&gt;0,MATCH(J18,MatchNames,0),EventIndex),0)</f>
        <v>6</v>
      </c>
      <c r="J18" s="209" t="str">
        <f>IF(LEN($A18)&gt;0,IF(LEN(Declarations!$F18)&gt;0,Declarations!$F18,conftype),"")</f>
        <v>QuadKids Club</v>
      </c>
      <c r="M18" s="297">
        <f>IF(ISNA(VLOOKUP($A18,SprintData,2,FALSE)),0,VLOOKUP($A18,SprintData,2,FALSE))</f>
        <v>0</v>
      </c>
      <c r="N18" s="297">
        <f>IF(ISNA(VLOOKUP($A18,JumpData,2,FALSE)),0,VLOOKUP($A18,JumpData,2,FALSE))</f>
        <v>0</v>
      </c>
      <c r="O18" s="297">
        <f>IF(ISNA(VLOOKUP($A18,RunData,2,FALSE)),0,VLOOKUP($A18,RunData,2,FALSE))</f>
        <v>0</v>
      </c>
      <c r="P18" s="297">
        <f>IF(ISNA(VLOOKUP($A18,ThrowData,2,FALSE)),0,VLOOKUP($A18,ThrowData,2,FALSE))</f>
        <v>0</v>
      </c>
      <c r="Q18" s="298">
        <f>IF(ISNA(VLOOKUP($A18,SprintData,4,FALSE)),0,VLOOKUP($A18,SprintData,4,FALSE))+V18</f>
        <v>0</v>
      </c>
      <c r="R18" s="298">
        <f>IF(ISNA(VLOOKUP($A18,JumpData,4,FALSE)),0,VLOOKUP($A18,JumpData,4,FALSE))+W18</f>
        <v>0</v>
      </c>
      <c r="S18" s="298">
        <f>IF(ISNA(VLOOKUP($A18,RunData,4,FALSE)),0,VLOOKUP($A18,RunData,4,FALSE))+X18</f>
        <v>0</v>
      </c>
      <c r="T18" s="298">
        <f>IF(ISNA(VLOOKUP($A18,ThrowData,4,FALSE)),0,VLOOKUP($A18,ThrowData,4,FALSE))+Y18</f>
        <v>0</v>
      </c>
      <c r="U18" s="299">
        <f t="shared" si="2"/>
        <v>0</v>
      </c>
      <c r="V18">
        <f>IF(AND($F18&gt;0,NOT(M18),Flexing),FlexPC,0)</f>
        <v>0</v>
      </c>
      <c r="W18">
        <f>IF(AND($F18&gt;0,NOT(N18),Flexing),FlexPC,0)</f>
        <v>0</v>
      </c>
      <c r="X18">
        <f>IF(AND($F18&gt;0,NOT(O18),Flexing),FlexPC,0)</f>
        <v>0</v>
      </c>
      <c r="Y18">
        <f>IF(AND($F18&gt;0,NOT(P18),Flexing),FlexPC,0)</f>
        <v>0</v>
      </c>
      <c r="AA18" s="209">
        <f t="shared" si="3"/>
        <v>17</v>
      </c>
    </row>
    <row r="19">
      <c r="A19" s="206" t="str">
        <f>+Declarations!A19&amp;""</f>
        <v>18</v>
      </c>
      <c r="B19" t="str">
        <f>IF(LEN($A19),IF(LEN(Declarations!$B19)&gt;0,Declarations!$B19,"#"&amp;$A19),"")</f>
        <v>William Launder</v>
      </c>
      <c r="C19" s="209" t="str">
        <f t="array" ref="C19">IF(LEN(INDEX(DECLARATIONS,$AA19,3))&gt;0,INDEX(DECLARATIONS,$AA19,3),"...")</f>
        <v>Bournemouth AC</v>
      </c>
      <c r="D19" s="209" t="str">
        <f t="shared" si="1"/>
        <v>M</v>
      </c>
      <c r="E19" s="296" t="str">
        <f t="array" ref="E19">IF(ISNA($AA19),0,INDEX(DECLARATIONS,$AA19,5))</f>
        <v/>
      </c>
      <c r="F19" s="209" t="str">
        <f t="array" ref="F19">IF(ISNA($AA19),0,INDEX(DECLARATIONS,$AA19,7))</f>
        <v/>
      </c>
      <c r="G19" s="209" t="str">
        <f t="array" ref="G19">UPPER(IF(ISNA($AA19),"",INDEX(DECLARATIONS,$AA19,4)))</f>
        <v>M</v>
      </c>
      <c r="H19" t="str">
        <f>IF(AND(A19&gt;0,ISTEXT(B19)),IF(SECNAME="YES",LEFT(B19&amp;" ",FIND(" ",B19&amp;" ")+2)&amp;IF(F19&gt;0," ("&amp;F19&amp;")",""),B19&amp;IF(F19&gt;0," ("&amp;F19&amp;")","")),"#"&amp;$A19)</f>
        <v>William Launder</v>
      </c>
      <c r="I19" s="209">
        <f>IF(LEN($A19)&gt;0,IF(LEN($J19)&gt;0,MATCH(J19,MatchNames,0),EventIndex),0)</f>
        <v>6</v>
      </c>
      <c r="J19" s="209" t="str">
        <f>IF(LEN($A19)&gt;0,IF(LEN(Declarations!$F19)&gt;0,Declarations!$F19,conftype),"")</f>
        <v>QuadKids Club</v>
      </c>
      <c r="M19" s="297">
        <f>IF(ISNA(VLOOKUP($A19,SprintData,2,FALSE)),0,VLOOKUP($A19,SprintData,2,FALSE))</f>
        <v>12.1</v>
      </c>
      <c r="N19" s="297">
        <f>IF(ISNA(VLOOKUP($A19,JumpData,2,FALSE)),0,VLOOKUP($A19,JumpData,2,FALSE))</f>
        <v>3.8</v>
      </c>
      <c r="O19" s="297">
        <f>IF(ISNA(VLOOKUP($A19,RunData,2,FALSE)),0,VLOOKUP($A19,RunData,2,FALSE))</f>
        <v>1.59</v>
      </c>
      <c r="P19" s="297">
        <f>IF(ISNA(VLOOKUP($A19,ThrowData,2,FALSE)),0,VLOOKUP($A19,ThrowData,2,FALSE))</f>
        <v>28.2</v>
      </c>
      <c r="Q19" s="298">
        <f>IF(ISNA(VLOOKUP($A19,SprintData,4,FALSE)),0,VLOOKUP($A19,SprintData,4,FALSE))+V19</f>
        <v>49</v>
      </c>
      <c r="R19" s="298">
        <f>IF(ISNA(VLOOKUP($A19,JumpData,4,FALSE)),0,VLOOKUP($A19,JumpData,4,FALSE))+W19</f>
        <v>63</v>
      </c>
      <c r="S19" s="298">
        <f>IF(ISNA(VLOOKUP($A19,RunData,4,FALSE)),0,VLOOKUP($A19,RunData,4,FALSE))+X19</f>
        <v>71</v>
      </c>
      <c r="T19" s="298">
        <f>IF(ISNA(VLOOKUP($A19,ThrowData,4,FALSE)),0,VLOOKUP($A19,ThrowData,4,FALSE))+Y19</f>
        <v>56</v>
      </c>
      <c r="U19" s="299">
        <f t="shared" si="2"/>
        <v>239</v>
      </c>
      <c r="V19">
        <f>IF(AND($F19&gt;0,NOT(M19),Flexing),FlexPC,0)</f>
        <v>0</v>
      </c>
      <c r="W19">
        <f>IF(AND($F19&gt;0,NOT(N19),Flexing),FlexPC,0)</f>
        <v>0</v>
      </c>
      <c r="X19">
        <f>IF(AND($F19&gt;0,NOT(O19),Flexing),FlexPC,0)</f>
        <v>0</v>
      </c>
      <c r="Y19">
        <f>IF(AND($F19&gt;0,NOT(P19),Flexing),FlexPC,0)</f>
        <v>0</v>
      </c>
      <c r="AA19" s="209">
        <f t="shared" si="3"/>
        <v>18</v>
      </c>
    </row>
    <row r="20">
      <c r="A20" s="206" t="str">
        <f>+Declarations!A20&amp;""</f>
        <v>19</v>
      </c>
      <c r="B20" t="str">
        <f>IF(LEN($A20),IF(LEN(Declarations!$B20)&gt;0,Declarations!$B20,"#"&amp;$A20),"")</f>
        <v>Marvin Marshall</v>
      </c>
      <c r="C20" s="209" t="str">
        <f t="array" ref="C20">IF(LEN(INDEX(DECLARATIONS,$AA20,3))&gt;0,INDEX(DECLARATIONS,$AA20,3),"...")</f>
        <v>Bournemouth AC</v>
      </c>
      <c r="D20" s="209" t="str">
        <f t="shared" si="1"/>
        <v>M</v>
      </c>
      <c r="E20" s="296" t="str">
        <f t="array" ref="E20">IF(ISNA($AA20),0,INDEX(DECLARATIONS,$AA20,5))</f>
        <v/>
      </c>
      <c r="F20" s="209" t="str">
        <f t="array" ref="F20">IF(ISNA($AA20),0,INDEX(DECLARATIONS,$AA20,7))</f>
        <v/>
      </c>
      <c r="G20" s="209" t="str">
        <f t="array" ref="G20">UPPER(IF(ISNA($AA20),"",INDEX(DECLARATIONS,$AA20,4)))</f>
        <v>M</v>
      </c>
      <c r="H20" t="str">
        <f>IF(AND(A20&gt;0,ISTEXT(B20)),IF(SECNAME="YES",LEFT(B20&amp;" ",FIND(" ",B20&amp;" ")+2)&amp;IF(F20&gt;0," ("&amp;F20&amp;")",""),B20&amp;IF(F20&gt;0," ("&amp;F20&amp;")","")),"#"&amp;$A20)</f>
        <v>Marvin Marshall</v>
      </c>
      <c r="I20" s="209">
        <f>IF(LEN($A20)&gt;0,IF(LEN($J20)&gt;0,MATCH(J20,MatchNames,0),EventIndex),0)</f>
        <v>6</v>
      </c>
      <c r="J20" s="209" t="str">
        <f>IF(LEN($A20)&gt;0,IF(LEN(Declarations!$F20)&gt;0,Declarations!$F20,conftype),"")</f>
        <v>QuadKids Club</v>
      </c>
      <c r="M20" s="297">
        <f>IF(ISNA(VLOOKUP($A20,SprintData,2,FALSE)),0,VLOOKUP($A20,SprintData,2,FALSE))</f>
        <v>14.3</v>
      </c>
      <c r="N20" s="297">
        <f>IF(ISNA(VLOOKUP($A20,JumpData,2,FALSE)),0,VLOOKUP($A20,JumpData,2,FALSE))</f>
        <v>2.11</v>
      </c>
      <c r="O20" s="297">
        <f>IF(ISNA(VLOOKUP($A20,RunData,2,FALSE)),0,VLOOKUP($A20,RunData,2,FALSE))</f>
        <v>3.03</v>
      </c>
      <c r="P20" s="297">
        <f>IF(ISNA(VLOOKUP($A20,ThrowData,2,FALSE)),0,VLOOKUP($A20,ThrowData,2,FALSE))</f>
        <v>11.75</v>
      </c>
      <c r="Q20" s="298">
        <f>IF(ISNA(VLOOKUP($A20,SprintData,4,FALSE)),0,VLOOKUP($A20,SprintData,4,FALSE))+V20</f>
        <v>27</v>
      </c>
      <c r="R20" s="298">
        <f>IF(ISNA(VLOOKUP($A20,JumpData,4,FALSE)),0,VLOOKUP($A20,JumpData,4,FALSE))+W20</f>
        <v>10</v>
      </c>
      <c r="S20" s="298">
        <f>IF(ISNA(VLOOKUP($A20,RunData,4,FALSE)),0,VLOOKUP($A20,RunData,4,FALSE))+X20</f>
        <v>10</v>
      </c>
      <c r="T20" s="298">
        <f>IF(ISNA(VLOOKUP($A20,ThrowData,4,FALSE)),0,VLOOKUP($A20,ThrowData,4,FALSE))+Y20</f>
        <v>23</v>
      </c>
      <c r="U20" s="299">
        <f t="shared" si="2"/>
        <v>70</v>
      </c>
      <c r="V20">
        <f>IF(AND($F20&gt;0,NOT(M20),Flexing),FlexPC,0)</f>
        <v>0</v>
      </c>
      <c r="W20">
        <f>IF(AND($F20&gt;0,NOT(N20),Flexing),FlexPC,0)</f>
        <v>0</v>
      </c>
      <c r="X20">
        <f>IF(AND($F20&gt;0,NOT(O20),Flexing),FlexPC,0)</f>
        <v>0</v>
      </c>
      <c r="Y20">
        <f>IF(AND($F20&gt;0,NOT(P20),Flexing),FlexPC,0)</f>
        <v>0</v>
      </c>
      <c r="AA20" s="209">
        <f t="shared" si="3"/>
        <v>19</v>
      </c>
    </row>
    <row r="21" ht="15.75" customHeight="1">
      <c r="A21" s="206" t="str">
        <f>+Declarations!A21&amp;""</f>
        <v>20</v>
      </c>
      <c r="B21" t="str">
        <f>IF(LEN($A21),IF(LEN(Declarations!$B21)&gt;0,Declarations!$B21,"#"&amp;$A21),"")</f>
        <v>Ciaran Merrett</v>
      </c>
      <c r="C21" s="209" t="str">
        <f t="array" ref="C21">IF(LEN(INDEX(DECLARATIONS,$AA21,3))&gt;0,INDEX(DECLARATIONS,$AA21,3),"...")</f>
        <v>Yate &amp; District AC</v>
      </c>
      <c r="D21" s="209" t="str">
        <f t="shared" si="1"/>
        <v>M</v>
      </c>
      <c r="E21" s="296" t="str">
        <f t="array" ref="E21">IF(ISNA($AA21),0,INDEX(DECLARATIONS,$AA21,5))</f>
        <v/>
      </c>
      <c r="F21" s="209" t="str">
        <f t="array" ref="F21">IF(ISNA($AA21),0,INDEX(DECLARATIONS,$AA21,7))</f>
        <v/>
      </c>
      <c r="G21" s="209" t="str">
        <f t="array" ref="G21">UPPER(IF(ISNA($AA21),"",INDEX(DECLARATIONS,$AA21,4)))</f>
        <v>M</v>
      </c>
      <c r="H21" t="str">
        <f>IF(AND(A21&gt;0,ISTEXT(B21)),IF(SECNAME="YES",LEFT(B21&amp;" ",FIND(" ",B21&amp;" ")+2)&amp;IF(F21&gt;0," ("&amp;F21&amp;")",""),B21&amp;IF(F21&gt;0," ("&amp;F21&amp;")","")),"#"&amp;$A21)</f>
        <v>Ciaran Merrett</v>
      </c>
      <c r="I21" s="209">
        <f>IF(LEN($A21)&gt;0,IF(LEN($J21)&gt;0,MATCH(J21,MatchNames,0),EventIndex),0)</f>
        <v>6</v>
      </c>
      <c r="J21" s="209" t="str">
        <f>IF(LEN($A21)&gt;0,IF(LEN(Declarations!$F21)&gt;0,Declarations!$F21,conftype),"")</f>
        <v>QuadKids Club</v>
      </c>
      <c r="M21" s="297">
        <f>IF(ISNA(VLOOKUP($A21,SprintData,2,FALSE)),0,VLOOKUP($A21,SprintData,2,FALSE))</f>
        <v>14.7</v>
      </c>
      <c r="N21" s="297">
        <f>IF(ISNA(VLOOKUP($A21,JumpData,2,FALSE)),0,VLOOKUP($A21,JumpData,2,FALSE))</f>
        <v>1.5</v>
      </c>
      <c r="O21" s="297">
        <f>IF(ISNA(VLOOKUP($A21,RunData,2,FALSE)),0,VLOOKUP($A21,RunData,2,FALSE))</f>
        <v>2.44</v>
      </c>
      <c r="P21" s="297">
        <f>IF(ISNA(VLOOKUP($A21,ThrowData,2,FALSE)),0,VLOOKUP($A21,ThrowData,2,FALSE))</f>
        <v>19.63</v>
      </c>
      <c r="Q21" s="298">
        <f>IF(ISNA(VLOOKUP($A21,SprintData,4,FALSE)),0,VLOOKUP($A21,SprintData,4,FALSE))+V21</f>
        <v>23</v>
      </c>
      <c r="R21" s="298">
        <f>IF(ISNA(VLOOKUP($A21,JumpData,4,FALSE)),0,VLOOKUP($A21,JumpData,4,FALSE))+W21</f>
        <v>10</v>
      </c>
      <c r="S21" s="298">
        <f>IF(ISNA(VLOOKUP($A21,RunData,4,FALSE)),0,VLOOKUP($A21,RunData,4,FALSE))+X21</f>
        <v>26</v>
      </c>
      <c r="T21" s="298">
        <f>IF(ISNA(VLOOKUP($A21,ThrowData,4,FALSE)),0,VLOOKUP($A21,ThrowData,4,FALSE))+Y21</f>
        <v>39</v>
      </c>
      <c r="U21" s="299">
        <f t="shared" si="2"/>
        <v>98</v>
      </c>
      <c r="V21">
        <f>IF(AND($F21&gt;0,NOT(M21),Flexing),FlexPC,0)</f>
        <v>0</v>
      </c>
      <c r="W21">
        <f>IF(AND($F21&gt;0,NOT(N21),Flexing),FlexPC,0)</f>
        <v>0</v>
      </c>
      <c r="X21">
        <f>IF(AND($F21&gt;0,NOT(O21),Flexing),FlexPC,0)</f>
        <v>0</v>
      </c>
      <c r="Y21">
        <f>IF(AND($F21&gt;0,NOT(P21),Flexing),FlexPC,0)</f>
        <v>0</v>
      </c>
      <c r="AA21" s="209">
        <f t="shared" si="3"/>
        <v>20</v>
      </c>
    </row>
    <row r="22" ht="15.75" customHeight="1">
      <c r="A22" s="206" t="str">
        <f>+Declarations!A22&amp;""</f>
        <v>21</v>
      </c>
      <c r="B22" t="str">
        <f>IF(LEN($A22),IF(LEN(Declarations!$B22)&gt;0,Declarations!$B22,"#"&amp;$A22),"")</f>
        <v>spare</v>
      </c>
      <c r="C22" s="209" t="str">
        <f t="array" ref="C22">IF(LEN(INDEX(DECLARATIONS,$AA22,3))&gt;0,INDEX(DECLARATIONS,$AA22,3),"...")</f>
        <v>...</v>
      </c>
      <c r="D22" s="209" t="str">
        <f t="shared" si="1"/>
        <v>M</v>
      </c>
      <c r="E22" s="296" t="str">
        <f t="array" ref="E22">IF(ISNA($AA22),0,INDEX(DECLARATIONS,$AA22,5))</f>
        <v/>
      </c>
      <c r="F22" s="209" t="str">
        <f t="array" ref="F22">IF(ISNA($AA22),0,INDEX(DECLARATIONS,$AA22,7))</f>
        <v/>
      </c>
      <c r="G22" s="209" t="str">
        <f t="array" ref="G22">UPPER(IF(ISNA($AA22),"",INDEX(DECLARATIONS,$AA22,4)))</f>
        <v>M</v>
      </c>
      <c r="H22" t="str">
        <f>IF(AND(A22&gt;0,ISTEXT(B22)),IF(SECNAME="YES",LEFT(B22&amp;" ",FIND(" ",B22&amp;" ")+2)&amp;IF(F22&gt;0," ("&amp;F22&amp;")",""),B22&amp;IF(F22&gt;0," ("&amp;F22&amp;")","")),"#"&amp;$A22)</f>
        <v>spare</v>
      </c>
      <c r="I22" s="209">
        <f>IF(LEN($A22)&gt;0,IF(LEN($J22)&gt;0,MATCH(J22,MatchNames,0),EventIndex),0)</f>
        <v>6</v>
      </c>
      <c r="J22" s="209" t="str">
        <f>IF(LEN($A22)&gt;0,IF(LEN(Declarations!$F22)&gt;0,Declarations!$F22,conftype),"")</f>
        <v>QuadKids Club</v>
      </c>
      <c r="M22" s="297">
        <f>IF(ISNA(VLOOKUP($A22,SprintData,2,FALSE)),0,VLOOKUP($A22,SprintData,2,FALSE))</f>
        <v>0</v>
      </c>
      <c r="N22" s="297">
        <f>IF(ISNA(VLOOKUP($A22,JumpData,2,FALSE)),0,VLOOKUP($A22,JumpData,2,FALSE))</f>
        <v>0</v>
      </c>
      <c r="O22" s="297">
        <f>IF(ISNA(VLOOKUP($A22,RunData,2,FALSE)),0,VLOOKUP($A22,RunData,2,FALSE))</f>
        <v>0</v>
      </c>
      <c r="P22" s="297">
        <f>IF(ISNA(VLOOKUP($A22,ThrowData,2,FALSE)),0,VLOOKUP($A22,ThrowData,2,FALSE))</f>
        <v>0</v>
      </c>
      <c r="Q22" s="298">
        <f>IF(ISNA(VLOOKUP($A22,SprintData,4,FALSE)),0,VLOOKUP($A22,SprintData,4,FALSE))+V22</f>
        <v>0</v>
      </c>
      <c r="R22" s="298">
        <f>IF(ISNA(VLOOKUP($A22,JumpData,4,FALSE)),0,VLOOKUP($A22,JumpData,4,FALSE))+W22</f>
        <v>0</v>
      </c>
      <c r="S22" s="298">
        <f>IF(ISNA(VLOOKUP($A22,RunData,4,FALSE)),0,VLOOKUP($A22,RunData,4,FALSE))+X22</f>
        <v>0</v>
      </c>
      <c r="T22" s="298">
        <f>IF(ISNA(VLOOKUP($A22,ThrowData,4,FALSE)),0,VLOOKUP($A22,ThrowData,4,FALSE))+Y22</f>
        <v>0</v>
      </c>
      <c r="U22" s="299">
        <f t="shared" si="2"/>
        <v>0</v>
      </c>
      <c r="V22">
        <f>IF(AND($F22&gt;0,NOT(M22),Flexing),FlexPC,0)</f>
        <v>0</v>
      </c>
      <c r="W22">
        <f>IF(AND($F22&gt;0,NOT(N22),Flexing),FlexPC,0)</f>
        <v>0</v>
      </c>
      <c r="X22">
        <f>IF(AND($F22&gt;0,NOT(O22),Flexing),FlexPC,0)</f>
        <v>0</v>
      </c>
      <c r="Y22">
        <f>IF(AND($F22&gt;0,NOT(P22),Flexing),FlexPC,0)</f>
        <v>0</v>
      </c>
      <c r="AA22" s="209">
        <f t="shared" si="3"/>
        <v>21</v>
      </c>
    </row>
    <row r="23" ht="15.75" customHeight="1">
      <c r="A23" s="206" t="str">
        <f>+Declarations!A23&amp;""</f>
        <v>22</v>
      </c>
      <c r="B23" t="str">
        <f>IF(LEN($A23),IF(LEN(Declarations!$B23)&gt;0,Declarations!$B23,"#"&amp;$A23),"")</f>
        <v>Rufus Parsons</v>
      </c>
      <c r="C23" s="209" t="str">
        <f t="array" ref="C23">IF(LEN(INDEX(DECLARATIONS,$AA23,3))&gt;0,INDEX(DECLARATIONS,$AA23,3),"...")</f>
        <v>Bournemouth AC</v>
      </c>
      <c r="D23" s="209" t="str">
        <f t="shared" si="1"/>
        <v>M</v>
      </c>
      <c r="E23" s="296" t="str">
        <f t="array" ref="E23">IF(ISNA($AA23),0,INDEX(DECLARATIONS,$AA23,5))</f>
        <v/>
      </c>
      <c r="F23" s="209" t="str">
        <f t="array" ref="F23">IF(ISNA($AA23),0,INDEX(DECLARATIONS,$AA23,7))</f>
        <v/>
      </c>
      <c r="G23" s="209" t="str">
        <f t="array" ref="G23">UPPER(IF(ISNA($AA23),"",INDEX(DECLARATIONS,$AA23,4)))</f>
        <v>M</v>
      </c>
      <c r="H23" t="str">
        <f>IF(AND(A23&gt;0,ISTEXT(B23)),IF(SECNAME="YES",LEFT(B23&amp;" ",FIND(" ",B23&amp;" ")+2)&amp;IF(F23&gt;0," ("&amp;F23&amp;")",""),B23&amp;IF(F23&gt;0," ("&amp;F23&amp;")","")),"#"&amp;$A23)</f>
        <v>Rufus Parsons</v>
      </c>
      <c r="I23" s="209">
        <f>IF(LEN($A23)&gt;0,IF(LEN($J23)&gt;0,MATCH(J23,MatchNames,0),EventIndex),0)</f>
        <v>6</v>
      </c>
      <c r="J23" s="209" t="str">
        <f>IF(LEN($A23)&gt;0,IF(LEN(Declarations!$F23)&gt;0,Declarations!$F23,conftype),"")</f>
        <v>QuadKids Club</v>
      </c>
      <c r="M23" s="297">
        <f>IF(ISNA(VLOOKUP($A23,SprintData,2,FALSE)),0,VLOOKUP($A23,SprintData,2,FALSE))</f>
        <v>14.4</v>
      </c>
      <c r="N23" s="297">
        <f>IF(ISNA(VLOOKUP($A23,JumpData,2,FALSE)),0,VLOOKUP($A23,JumpData,2,FALSE))</f>
        <v>2.3</v>
      </c>
      <c r="O23" s="297">
        <f>IF(ISNA(VLOOKUP($A23,RunData,2,FALSE)),0,VLOOKUP($A23,RunData,2,FALSE))</f>
        <v>2.4</v>
      </c>
      <c r="P23" s="297">
        <f>IF(ISNA(VLOOKUP($A23,ThrowData,2,FALSE)),0,VLOOKUP($A23,ThrowData,2,FALSE))</f>
        <v>15.12</v>
      </c>
      <c r="Q23" s="298">
        <f>IF(ISNA(VLOOKUP($A23,SprintData,4,FALSE)),0,VLOOKUP($A23,SprintData,4,FALSE))+V23</f>
        <v>26</v>
      </c>
      <c r="R23" s="298">
        <f>IF(ISNA(VLOOKUP($A23,JumpData,4,FALSE)),0,VLOOKUP($A23,JumpData,4,FALSE))+W23</f>
        <v>13</v>
      </c>
      <c r="S23" s="298">
        <f>IF(ISNA(VLOOKUP($A23,RunData,4,FALSE)),0,VLOOKUP($A23,RunData,4,FALSE))+X23</f>
        <v>30</v>
      </c>
      <c r="T23" s="298">
        <f>IF(ISNA(VLOOKUP($A23,ThrowData,4,FALSE)),0,VLOOKUP($A23,ThrowData,4,FALSE))+Y23</f>
        <v>30</v>
      </c>
      <c r="U23" s="299">
        <f t="shared" si="2"/>
        <v>99</v>
      </c>
      <c r="V23">
        <f>IF(AND($F23&gt;0,NOT(M23),Flexing),FlexPC,0)</f>
        <v>0</v>
      </c>
      <c r="W23">
        <f>IF(AND($F23&gt;0,NOT(N23),Flexing),FlexPC,0)</f>
        <v>0</v>
      </c>
      <c r="X23">
        <f>IF(AND($F23&gt;0,NOT(O23),Flexing),FlexPC,0)</f>
        <v>0</v>
      </c>
      <c r="Y23">
        <f>IF(AND($F23&gt;0,NOT(P23),Flexing),FlexPC,0)</f>
        <v>0</v>
      </c>
      <c r="AA23" s="209">
        <f t="shared" si="3"/>
        <v>22</v>
      </c>
    </row>
    <row r="24" ht="15.75" customHeight="1">
      <c r="A24" s="206" t="str">
        <f>+Declarations!A24&amp;""</f>
        <v>23</v>
      </c>
      <c r="B24" t="str">
        <f>IF(LEN($A24),IF(LEN(Declarations!$B24)&gt;0,Declarations!$B24,"#"&amp;$A24),"")</f>
        <v>Charlie Peters</v>
      </c>
      <c r="C24" s="209" t="str">
        <f t="array" ref="C24">IF(LEN(INDEX(DECLARATIONS,$AA24,3))&gt;0,INDEX(DECLARATIONS,$AA24,3),"...")</f>
        <v>Bournemouth AC</v>
      </c>
      <c r="D24" s="209" t="str">
        <f t="shared" si="1"/>
        <v>M</v>
      </c>
      <c r="E24" s="296" t="str">
        <f t="array" ref="E24">IF(ISNA($AA24),0,INDEX(DECLARATIONS,$AA24,5))</f>
        <v/>
      </c>
      <c r="F24" s="209" t="str">
        <f t="array" ref="F24">IF(ISNA($AA24),0,INDEX(DECLARATIONS,$AA24,7))</f>
        <v/>
      </c>
      <c r="G24" s="209" t="str">
        <f t="array" ref="G24">UPPER(IF(ISNA($AA24),"",INDEX(DECLARATIONS,$AA24,4)))</f>
        <v>M</v>
      </c>
      <c r="H24" t="str">
        <f>IF(AND(A24&gt;0,ISTEXT(B24)),IF(SECNAME="YES",LEFT(B24&amp;" ",FIND(" ",B24&amp;" ")+2)&amp;IF(F24&gt;0," ("&amp;F24&amp;")",""),B24&amp;IF(F24&gt;0," ("&amp;F24&amp;")","")),"#"&amp;$A24)</f>
        <v>Charlie Peters</v>
      </c>
      <c r="I24" s="209">
        <f>IF(LEN($A24)&gt;0,IF(LEN($J24)&gt;0,MATCH(J24,MatchNames,0),EventIndex),0)</f>
        <v>6</v>
      </c>
      <c r="J24" s="209" t="str">
        <f>IF(LEN($A24)&gt;0,IF(LEN(Declarations!$F24)&gt;0,Declarations!$F24,conftype),"")</f>
        <v>QuadKids Club</v>
      </c>
      <c r="M24" s="297">
        <f>IF(ISNA(VLOOKUP($A24,SprintData,2,FALSE)),0,VLOOKUP($A24,SprintData,2,FALSE))</f>
        <v>12.5</v>
      </c>
      <c r="N24" s="297">
        <f>IF(ISNA(VLOOKUP($A24,JumpData,2,FALSE)),0,VLOOKUP($A24,JumpData,2,FALSE))</f>
        <v>2.81</v>
      </c>
      <c r="O24" s="297">
        <f>IF(ISNA(VLOOKUP($A24,RunData,2,FALSE)),0,VLOOKUP($A24,RunData,2,FALSE))</f>
        <v>2.05</v>
      </c>
      <c r="P24" s="297">
        <f>IF(ISNA(VLOOKUP($A24,ThrowData,2,FALSE)),0,VLOOKUP($A24,ThrowData,2,FALSE))</f>
        <v>26.4</v>
      </c>
      <c r="Q24" s="298">
        <f>IF(ISNA(VLOOKUP($A24,SprintData,4,FALSE)),0,VLOOKUP($A24,SprintData,4,FALSE))+V24</f>
        <v>45</v>
      </c>
      <c r="R24" s="298">
        <f>IF(ISNA(VLOOKUP($A24,JumpData,4,FALSE)),0,VLOOKUP($A24,JumpData,4,FALSE))+W24</f>
        <v>30</v>
      </c>
      <c r="S24" s="298">
        <f>IF(ISNA(VLOOKUP($A24,RunData,4,FALSE)),0,VLOOKUP($A24,RunData,4,FALSE))+X24</f>
        <v>65</v>
      </c>
      <c r="T24" s="298">
        <f>IF(ISNA(VLOOKUP($A24,ThrowData,4,FALSE)),0,VLOOKUP($A24,ThrowData,4,FALSE))+Y24</f>
        <v>52</v>
      </c>
      <c r="U24" s="299">
        <f t="shared" si="2"/>
        <v>192</v>
      </c>
      <c r="V24">
        <f>IF(AND($F24&gt;0,NOT(M24),Flexing),FlexPC,0)</f>
        <v>0</v>
      </c>
      <c r="W24">
        <f>IF(AND($F24&gt;0,NOT(N24),Flexing),FlexPC,0)</f>
        <v>0</v>
      </c>
      <c r="X24">
        <f>IF(AND($F24&gt;0,NOT(O24),Flexing),FlexPC,0)</f>
        <v>0</v>
      </c>
      <c r="Y24">
        <f>IF(AND($F24&gt;0,NOT(P24),Flexing),FlexPC,0)</f>
        <v>0</v>
      </c>
      <c r="AA24" s="209">
        <f t="shared" si="3"/>
        <v>23</v>
      </c>
    </row>
    <row r="25" ht="15.75" customHeight="1">
      <c r="A25" s="206" t="str">
        <f>+Declarations!A25&amp;""</f>
        <v>24</v>
      </c>
      <c r="B25" t="str">
        <f>IF(LEN($A25),IF(LEN(Declarations!$B25)&gt;0,Declarations!$B25,"#"&amp;$A25),"")</f>
        <v>Elijah Robbins</v>
      </c>
      <c r="C25" s="209" t="str">
        <f t="array" ref="C25">IF(LEN(INDEX(DECLARATIONS,$AA25,3))&gt;0,INDEX(DECLARATIONS,$AA25,3),"...")</f>
        <v>Bournemouth AC</v>
      </c>
      <c r="D25" s="209" t="str">
        <f t="shared" si="1"/>
        <v>M</v>
      </c>
      <c r="E25" s="296" t="str">
        <f t="array" ref="E25">IF(ISNA($AA25),0,INDEX(DECLARATIONS,$AA25,5))</f>
        <v/>
      </c>
      <c r="F25" s="209" t="str">
        <f t="array" ref="F25">IF(ISNA($AA25),0,INDEX(DECLARATIONS,$AA25,7))</f>
        <v/>
      </c>
      <c r="G25" s="209" t="str">
        <f t="array" ref="G25">UPPER(IF(ISNA($AA25),"",INDEX(DECLARATIONS,$AA25,4)))</f>
        <v>M</v>
      </c>
      <c r="H25" t="str">
        <f>IF(AND(A25&gt;0,ISTEXT(B25)),IF(SECNAME="YES",LEFT(B25&amp;" ",FIND(" ",B25&amp;" ")+2)&amp;IF(F25&gt;0," ("&amp;F25&amp;")",""),B25&amp;IF(F25&gt;0," ("&amp;F25&amp;")","")),"#"&amp;$A25)</f>
        <v>Elijah Robbins</v>
      </c>
      <c r="I25" s="209">
        <f>IF(LEN($A25)&gt;0,IF(LEN($J25)&gt;0,MATCH(J25,MatchNames,0),EventIndex),0)</f>
        <v>6</v>
      </c>
      <c r="J25" s="209" t="str">
        <f>IF(LEN($A25)&gt;0,IF(LEN(Declarations!$F25)&gt;0,Declarations!$F25,conftype),"")</f>
        <v>QuadKids Club</v>
      </c>
      <c r="M25" s="297">
        <f>IF(ISNA(VLOOKUP($A25,SprintData,2,FALSE)),0,VLOOKUP($A25,SprintData,2,FALSE))</f>
        <v>14.7</v>
      </c>
      <c r="N25" s="297">
        <f>IF(ISNA(VLOOKUP($A25,JumpData,2,FALSE)),0,VLOOKUP($A25,JumpData,2,FALSE))</f>
        <v>2.4</v>
      </c>
      <c r="O25" s="297">
        <f>IF(ISNA(VLOOKUP($A25,RunData,2,FALSE)),0,VLOOKUP($A25,RunData,2,FALSE))</f>
        <v>2.5</v>
      </c>
      <c r="P25" s="297">
        <f>IF(ISNA(VLOOKUP($A25,ThrowData,2,FALSE)),0,VLOOKUP($A25,ThrowData,2,FALSE))</f>
        <v>9.45</v>
      </c>
      <c r="Q25" s="298">
        <f>IF(ISNA(VLOOKUP($A25,SprintData,4,FALSE)),0,VLOOKUP($A25,SprintData,4,FALSE))+V25</f>
        <v>23</v>
      </c>
      <c r="R25" s="298">
        <f>IF(ISNA(VLOOKUP($A25,JumpData,4,FALSE)),0,VLOOKUP($A25,JumpData,4,FALSE))+W25</f>
        <v>16</v>
      </c>
      <c r="S25" s="298">
        <f>IF(ISNA(VLOOKUP($A25,RunData,4,FALSE)),0,VLOOKUP($A25,RunData,4,FALSE))+X25</f>
        <v>20</v>
      </c>
      <c r="T25" s="298">
        <f>IF(ISNA(VLOOKUP($A25,ThrowData,4,FALSE)),0,VLOOKUP($A25,ThrowData,4,FALSE))+Y25</f>
        <v>18</v>
      </c>
      <c r="U25" s="299">
        <f t="shared" si="2"/>
        <v>77</v>
      </c>
      <c r="V25">
        <f>IF(AND($F25&gt;0,NOT(M25),Flexing),FlexPC,0)</f>
        <v>0</v>
      </c>
      <c r="W25">
        <f>IF(AND($F25&gt;0,NOT(N25),Flexing),FlexPC,0)</f>
        <v>0</v>
      </c>
      <c r="X25">
        <f>IF(AND($F25&gt;0,NOT(O25),Flexing),FlexPC,0)</f>
        <v>0</v>
      </c>
      <c r="Y25">
        <f>IF(AND($F25&gt;0,NOT(P25),Flexing),FlexPC,0)</f>
        <v>0</v>
      </c>
      <c r="AA25" s="209">
        <f t="shared" si="3"/>
        <v>24</v>
      </c>
    </row>
    <row r="26" ht="15.75" customHeight="1">
      <c r="A26" s="206" t="str">
        <f>+Declarations!A26&amp;""</f>
        <v>25</v>
      </c>
      <c r="B26" t="str">
        <f>IF(LEN($A26),IF(LEN(Declarations!$B26)&gt;0,Declarations!$B26,"#"&amp;$A26),"")</f>
        <v>Oscar Robertson</v>
      </c>
      <c r="C26" s="209" t="str">
        <f t="array" ref="C26">IF(LEN(INDEX(DECLARATIONS,$AA26,3))&gt;0,INDEX(DECLARATIONS,$AA26,3),"...")</f>
        <v>WADAC</v>
      </c>
      <c r="D26" s="209" t="str">
        <f t="shared" si="1"/>
        <v>M</v>
      </c>
      <c r="E26" s="296" t="str">
        <f t="array" ref="E26">IF(ISNA($AA26),0,INDEX(DECLARATIONS,$AA26,5))</f>
        <v/>
      </c>
      <c r="F26" s="209" t="str">
        <f t="array" ref="F26">IF(ISNA($AA26),0,INDEX(DECLARATIONS,$AA26,7))</f>
        <v/>
      </c>
      <c r="G26" s="209" t="str">
        <f t="array" ref="G26">UPPER(IF(ISNA($AA26),"",INDEX(DECLARATIONS,$AA26,4)))</f>
        <v>M</v>
      </c>
      <c r="H26" t="str">
        <f>IF(AND(A26&gt;0,ISTEXT(B26)),IF(SECNAME="YES",LEFT(B26&amp;" ",FIND(" ",B26&amp;" ")+2)&amp;IF(F26&gt;0," ("&amp;F26&amp;")",""),B26&amp;IF(F26&gt;0," ("&amp;F26&amp;")","")),"#"&amp;$A26)</f>
        <v>Oscar Robertson</v>
      </c>
      <c r="I26" s="209">
        <f>IF(LEN($A26)&gt;0,IF(LEN($J26)&gt;0,MATCH(J26,MatchNames,0),EventIndex),0)</f>
        <v>6</v>
      </c>
      <c r="J26" s="209" t="str">
        <f>IF(LEN($A26)&gt;0,IF(LEN(Declarations!$F26)&gt;0,Declarations!$F26,conftype),"")</f>
        <v>QuadKids Club</v>
      </c>
      <c r="M26" s="297">
        <f>IF(ISNA(VLOOKUP($A26,SprintData,2,FALSE)),0,VLOOKUP($A26,SprintData,2,FALSE))</f>
        <v>14</v>
      </c>
      <c r="N26" s="297">
        <f>IF(ISNA(VLOOKUP($A26,JumpData,2,FALSE)),0,VLOOKUP($A26,JumpData,2,FALSE))</f>
        <v>2.15</v>
      </c>
      <c r="O26" s="297">
        <f>IF(ISNA(VLOOKUP($A26,RunData,2,FALSE)),0,VLOOKUP($A26,RunData,2,FALSE))</f>
        <v>2.34</v>
      </c>
      <c r="P26" s="297">
        <f>IF(ISNA(VLOOKUP($A26,ThrowData,2,FALSE)),0,VLOOKUP($A26,ThrowData,2,FALSE))</f>
        <v>17.07</v>
      </c>
      <c r="Q26" s="298">
        <f>IF(ISNA(VLOOKUP($A26,SprintData,4,FALSE)),0,VLOOKUP($A26,SprintData,4,FALSE))+V26</f>
        <v>30</v>
      </c>
      <c r="R26" s="298">
        <f>IF(ISNA(VLOOKUP($A26,JumpData,4,FALSE)),0,VLOOKUP($A26,JumpData,4,FALSE))+W26</f>
        <v>10</v>
      </c>
      <c r="S26" s="298">
        <f>IF(ISNA(VLOOKUP($A26,RunData,4,FALSE)),0,VLOOKUP($A26,RunData,4,FALSE))+X26</f>
        <v>36</v>
      </c>
      <c r="T26" s="298">
        <f>IF(ISNA(VLOOKUP($A26,ThrowData,4,FALSE)),0,VLOOKUP($A26,ThrowData,4,FALSE))+Y26</f>
        <v>34</v>
      </c>
      <c r="U26" s="299">
        <f t="shared" si="2"/>
        <v>110</v>
      </c>
      <c r="V26">
        <f>IF(AND($F26&gt;0,NOT(M26),Flexing),FlexPC,0)</f>
        <v>0</v>
      </c>
      <c r="W26">
        <f>IF(AND($F26&gt;0,NOT(N26),Flexing),FlexPC,0)</f>
        <v>0</v>
      </c>
      <c r="X26">
        <f>IF(AND($F26&gt;0,NOT(O26),Flexing),FlexPC,0)</f>
        <v>0</v>
      </c>
      <c r="Y26">
        <f>IF(AND($F26&gt;0,NOT(P26),Flexing),FlexPC,0)</f>
        <v>0</v>
      </c>
      <c r="AA26" s="209">
        <f t="shared" si="3"/>
        <v>25</v>
      </c>
    </row>
    <row r="27" ht="15.75" customHeight="1">
      <c r="A27" s="206" t="str">
        <f>+Declarations!A27&amp;""</f>
        <v>26</v>
      </c>
      <c r="B27" t="str">
        <f>IF(LEN($A27),IF(LEN(Declarations!$B27)&gt;0,Declarations!$B27,"#"&amp;$A27),"")</f>
        <v>Jake Selwood</v>
      </c>
      <c r="C27" s="209" t="str">
        <f t="array" ref="C27">IF(LEN(INDEX(DECLARATIONS,$AA27,3))&gt;0,INDEX(DECLARATIONS,$AA27,3),"...")</f>
        <v>BAC</v>
      </c>
      <c r="D27" s="209" t="str">
        <f t="shared" si="1"/>
        <v>M</v>
      </c>
      <c r="E27" s="296" t="str">
        <f t="array" ref="E27">IF(ISNA($AA27),0,INDEX(DECLARATIONS,$AA27,5))</f>
        <v/>
      </c>
      <c r="F27" s="209" t="str">
        <f t="array" ref="F27">IF(ISNA($AA27),0,INDEX(DECLARATIONS,$AA27,7))</f>
        <v/>
      </c>
      <c r="G27" s="209" t="str">
        <f t="array" ref="G27">UPPER(IF(ISNA($AA27),"",INDEX(DECLARATIONS,$AA27,4)))</f>
        <v>M</v>
      </c>
      <c r="H27" t="str">
        <f>IF(AND(A27&gt;0,ISTEXT(B27)),IF(SECNAME="YES",LEFT(B27&amp;" ",FIND(" ",B27&amp;" ")+2)&amp;IF(F27&gt;0," ("&amp;F27&amp;")",""),B27&amp;IF(F27&gt;0," ("&amp;F27&amp;")","")),"#"&amp;$A27)</f>
        <v>Jake Selwood</v>
      </c>
      <c r="I27" s="209">
        <f>IF(LEN($A27)&gt;0,IF(LEN($J27)&gt;0,MATCH(J27,MatchNames,0),EventIndex),0)</f>
        <v>6</v>
      </c>
      <c r="J27" s="209" t="str">
        <f>IF(LEN($A27)&gt;0,IF(LEN(Declarations!$F27)&gt;0,Declarations!$F27,conftype),"")</f>
        <v>QuadKids Club</v>
      </c>
      <c r="M27" s="297">
        <f>IF(ISNA(VLOOKUP($A27,SprintData,2,FALSE)),0,VLOOKUP($A27,SprintData,2,FALSE))</f>
        <v>13</v>
      </c>
      <c r="N27" s="297">
        <f>IF(ISNA(VLOOKUP($A27,JumpData,2,FALSE)),0,VLOOKUP($A27,JumpData,2,FALSE))</f>
        <v>2.69</v>
      </c>
      <c r="O27" s="297">
        <f>IF(ISNA(VLOOKUP($A27,RunData,2,FALSE)),0,VLOOKUP($A27,RunData,2,FALSE))</f>
        <v>2.08</v>
      </c>
      <c r="P27" s="297">
        <f>IF(ISNA(VLOOKUP($A27,ThrowData,2,FALSE)),0,VLOOKUP($A27,ThrowData,2,FALSE))</f>
        <v>17.85</v>
      </c>
      <c r="Q27" s="298">
        <f>IF(ISNA(VLOOKUP($A27,SprintData,4,FALSE)),0,VLOOKUP($A27,SprintData,4,FALSE))+V27</f>
        <v>40</v>
      </c>
      <c r="R27" s="298">
        <f>IF(ISNA(VLOOKUP($A27,JumpData,4,FALSE)),0,VLOOKUP($A27,JumpData,4,FALSE))+W27</f>
        <v>26</v>
      </c>
      <c r="S27" s="298">
        <f>IF(ISNA(VLOOKUP($A27,RunData,4,FALSE)),0,VLOOKUP($A27,RunData,4,FALSE))+X27</f>
        <v>62</v>
      </c>
      <c r="T27" s="298">
        <f>IF(ISNA(VLOOKUP($A27,ThrowData,4,FALSE)),0,VLOOKUP($A27,ThrowData,4,FALSE))+Y27</f>
        <v>35</v>
      </c>
      <c r="U27" s="299">
        <f t="shared" si="2"/>
        <v>163</v>
      </c>
      <c r="V27">
        <f>IF(AND($F27&gt;0,NOT(M27),Flexing),FlexPC,0)</f>
        <v>0</v>
      </c>
      <c r="W27">
        <f>IF(AND($F27&gt;0,NOT(N27),Flexing),FlexPC,0)</f>
        <v>0</v>
      </c>
      <c r="X27">
        <f>IF(AND($F27&gt;0,NOT(O27),Flexing),FlexPC,0)</f>
        <v>0</v>
      </c>
      <c r="Y27">
        <f>IF(AND($F27&gt;0,NOT(P27),Flexing),FlexPC,0)</f>
        <v>0</v>
      </c>
      <c r="AA27" s="209">
        <f t="shared" si="3"/>
        <v>26</v>
      </c>
    </row>
    <row r="28" ht="15.75" customHeight="1">
      <c r="A28" s="206" t="str">
        <f>+Declarations!A28&amp;""</f>
        <v>27</v>
      </c>
      <c r="B28" t="str">
        <f>IF(LEN($A28),IF(LEN(Declarations!$B28)&gt;0,Declarations!$B28,"#"&amp;$A28),"")</f>
        <v>Liam Sharp</v>
      </c>
      <c r="C28" s="209" t="str">
        <f t="array" ref="C28">IF(LEN(INDEX(DECLARATIONS,$AA28,3))&gt;0,INDEX(DECLARATIONS,$AA28,3),"...")</f>
        <v>Bournemouth AC</v>
      </c>
      <c r="D28" s="209" t="str">
        <f t="shared" si="1"/>
        <v>M</v>
      </c>
      <c r="E28" s="296" t="str">
        <f t="array" ref="E28">IF(ISNA($AA28),0,INDEX(DECLARATIONS,$AA28,5))</f>
        <v/>
      </c>
      <c r="F28" s="209" t="str">
        <f t="array" ref="F28">IF(ISNA($AA28),0,INDEX(DECLARATIONS,$AA28,7))</f>
        <v/>
      </c>
      <c r="G28" s="209" t="str">
        <f t="array" ref="G28">UPPER(IF(ISNA($AA28),"",INDEX(DECLARATIONS,$AA28,4)))</f>
        <v>M</v>
      </c>
      <c r="H28" t="str">
        <f>IF(AND(A28&gt;0,ISTEXT(B28)),IF(SECNAME="YES",LEFT(B28&amp;" ",FIND(" ",B28&amp;" ")+2)&amp;IF(F28&gt;0," ("&amp;F28&amp;")",""),B28&amp;IF(F28&gt;0," ("&amp;F28&amp;")","")),"#"&amp;$A28)</f>
        <v>Liam Sharp</v>
      </c>
      <c r="I28" s="209">
        <f>IF(LEN($A28)&gt;0,IF(LEN($J28)&gt;0,MATCH(J28,MatchNames,0),EventIndex),0)</f>
        <v>6</v>
      </c>
      <c r="J28" s="209" t="str">
        <f>IF(LEN($A28)&gt;0,IF(LEN(Declarations!$F28)&gt;0,Declarations!$F28,conftype),"")</f>
        <v>QuadKids Club</v>
      </c>
      <c r="M28" s="297">
        <f>IF(ISNA(VLOOKUP($A28,SprintData,2,FALSE)),0,VLOOKUP($A28,SprintData,2,FALSE))</f>
        <v>14.3</v>
      </c>
      <c r="N28" s="297">
        <f>IF(ISNA(VLOOKUP($A28,JumpData,2,FALSE)),0,VLOOKUP($A28,JumpData,2,FALSE))</f>
        <v>2.06</v>
      </c>
      <c r="O28" s="297">
        <f>IF(ISNA(VLOOKUP($A28,RunData,2,FALSE)),0,VLOOKUP($A28,RunData,2,FALSE))</f>
        <v>2.21</v>
      </c>
      <c r="P28" s="297">
        <f>IF(ISNA(VLOOKUP($A28,ThrowData,2,FALSE)),0,VLOOKUP($A28,ThrowData,2,FALSE))</f>
        <v>17.37</v>
      </c>
      <c r="Q28" s="298">
        <f>IF(ISNA(VLOOKUP($A28,SprintData,4,FALSE)),0,VLOOKUP($A28,SprintData,4,FALSE))+V28</f>
        <v>27</v>
      </c>
      <c r="R28" s="298">
        <f>IF(ISNA(VLOOKUP($A28,JumpData,4,FALSE)),0,VLOOKUP($A28,JumpData,4,FALSE))+W28</f>
        <v>10</v>
      </c>
      <c r="S28" s="298">
        <f>IF(ISNA(VLOOKUP($A28,RunData,4,FALSE)),0,VLOOKUP($A28,RunData,4,FALSE))+X28</f>
        <v>49</v>
      </c>
      <c r="T28" s="298">
        <f>IF(ISNA(VLOOKUP($A28,ThrowData,4,FALSE)),0,VLOOKUP($A28,ThrowData,4,FALSE))+Y28</f>
        <v>34</v>
      </c>
      <c r="U28" s="299">
        <f t="shared" si="2"/>
        <v>120</v>
      </c>
      <c r="V28">
        <f>IF(AND($F28&gt;0,NOT(M28),Flexing),FlexPC,0)</f>
        <v>0</v>
      </c>
      <c r="W28">
        <f>IF(AND($F28&gt;0,NOT(N28),Flexing),FlexPC,0)</f>
        <v>0</v>
      </c>
      <c r="X28">
        <f>IF(AND($F28&gt;0,NOT(O28),Flexing),FlexPC,0)</f>
        <v>0</v>
      </c>
      <c r="Y28">
        <f>IF(AND($F28&gt;0,NOT(P28),Flexing),FlexPC,0)</f>
        <v>0</v>
      </c>
      <c r="AA28" s="209">
        <f t="shared" si="3"/>
        <v>27</v>
      </c>
    </row>
    <row r="29" ht="15.75" customHeight="1">
      <c r="A29" s="206" t="str">
        <f>+Declarations!A29&amp;""</f>
        <v>28</v>
      </c>
      <c r="B29" t="str">
        <f>IF(LEN($A29),IF(LEN(Declarations!$B29)&gt;0,Declarations!$B29,"#"&amp;$A29),"")</f>
        <v>Joshua Smith</v>
      </c>
      <c r="C29" s="209" t="str">
        <f t="array" ref="C29">IF(LEN(INDEX(DECLARATIONS,$AA29,3))&gt;0,INDEX(DECLARATIONS,$AA29,3),"...")</f>
        <v>WADAC</v>
      </c>
      <c r="D29" s="209" t="str">
        <f t="shared" si="1"/>
        <v>M</v>
      </c>
      <c r="E29" s="296" t="str">
        <f t="array" ref="E29">IF(ISNA($AA29),0,INDEX(DECLARATIONS,$AA29,5))</f>
        <v/>
      </c>
      <c r="F29" s="209" t="str">
        <f t="array" ref="F29">IF(ISNA($AA29),0,INDEX(DECLARATIONS,$AA29,7))</f>
        <v/>
      </c>
      <c r="G29" s="209" t="str">
        <f t="array" ref="G29">UPPER(IF(ISNA($AA29),"",INDEX(DECLARATIONS,$AA29,4)))</f>
        <v>M</v>
      </c>
      <c r="H29" t="str">
        <f>IF(AND(A29&gt;0,ISTEXT(B29)),IF(SECNAME="YES",LEFT(B29&amp;" ",FIND(" ",B29&amp;" ")+2)&amp;IF(F29&gt;0," ("&amp;F29&amp;")",""),B29&amp;IF(F29&gt;0," ("&amp;F29&amp;")","")),"#"&amp;$A29)</f>
        <v>Joshua Smith</v>
      </c>
      <c r="I29" s="209">
        <f>IF(LEN($A29)&gt;0,IF(LEN($J29)&gt;0,MATCH(J29,MatchNames,0),EventIndex),0)</f>
        <v>6</v>
      </c>
      <c r="J29" s="209" t="str">
        <f>IF(LEN($A29)&gt;0,IF(LEN(Declarations!$F29)&gt;0,Declarations!$F29,conftype),"")</f>
        <v>QuadKids Club</v>
      </c>
      <c r="M29" s="297">
        <f>IF(ISNA(VLOOKUP($A29,SprintData,2,FALSE)),0,VLOOKUP($A29,SprintData,2,FALSE))</f>
        <v>12.4</v>
      </c>
      <c r="N29" s="297">
        <f>IF(ISNA(VLOOKUP($A29,JumpData,2,FALSE)),0,VLOOKUP($A29,JumpData,2,FALSE))</f>
        <v>2.47</v>
      </c>
      <c r="O29" s="297">
        <f>IF(ISNA(VLOOKUP($A29,RunData,2,FALSE)),0,VLOOKUP($A29,RunData,2,FALSE))</f>
        <v>2.03</v>
      </c>
      <c r="P29" s="297">
        <f>IF(ISNA(VLOOKUP($A29,ThrowData,2,FALSE)),0,VLOOKUP($A29,ThrowData,2,FALSE))</f>
        <v>22.42</v>
      </c>
      <c r="Q29" s="298">
        <f>IF(ISNA(VLOOKUP($A29,SprintData,4,FALSE)),0,VLOOKUP($A29,SprintData,4,FALSE))+V29</f>
        <v>46</v>
      </c>
      <c r="R29" s="298">
        <f>IF(ISNA(VLOOKUP($A29,JumpData,4,FALSE)),0,VLOOKUP($A29,JumpData,4,FALSE))+W29</f>
        <v>19</v>
      </c>
      <c r="S29" s="298">
        <f>IF(ISNA(VLOOKUP($A29,RunData,4,FALSE)),0,VLOOKUP($A29,RunData,4,FALSE))+X29</f>
        <v>67</v>
      </c>
      <c r="T29" s="298">
        <f>IF(ISNA(VLOOKUP($A29,ThrowData,4,FALSE)),0,VLOOKUP($A29,ThrowData,4,FALSE))+Y29</f>
        <v>44</v>
      </c>
      <c r="U29" s="299">
        <f t="shared" si="2"/>
        <v>176</v>
      </c>
      <c r="V29">
        <f>IF(AND($F29&gt;0,NOT(M29),Flexing),FlexPC,0)</f>
        <v>0</v>
      </c>
      <c r="W29">
        <f>IF(AND($F29&gt;0,NOT(N29),Flexing),FlexPC,0)</f>
        <v>0</v>
      </c>
      <c r="X29">
        <f>IF(AND($F29&gt;0,NOT(O29),Flexing),FlexPC,0)</f>
        <v>0</v>
      </c>
      <c r="Y29">
        <f>IF(AND($F29&gt;0,NOT(P29),Flexing),FlexPC,0)</f>
        <v>0</v>
      </c>
      <c r="AA29" s="209">
        <f t="shared" si="3"/>
        <v>28</v>
      </c>
    </row>
    <row r="30" ht="15.75" customHeight="1">
      <c r="A30" s="206" t="str">
        <f>+Declarations!A30&amp;""</f>
        <v>29</v>
      </c>
      <c r="B30" t="str">
        <f>IF(LEN($A30),IF(LEN(Declarations!$B30)&gt;0,Declarations!$B30,"#"&amp;$A30),"")</f>
        <v>Leo Thomasson</v>
      </c>
      <c r="C30" s="209" t="str">
        <f t="array" ref="C30">IF(LEN(INDEX(DECLARATIONS,$AA30,3))&gt;0,INDEX(DECLARATIONS,$AA30,3),"...")</f>
        <v>Bournemouth AC</v>
      </c>
      <c r="D30" s="209" t="str">
        <f t="shared" si="1"/>
        <v>M</v>
      </c>
      <c r="E30" s="296" t="str">
        <f t="array" ref="E30">IF(ISNA($AA30),0,INDEX(DECLARATIONS,$AA30,5))</f>
        <v/>
      </c>
      <c r="F30" s="209" t="str">
        <f t="array" ref="F30">IF(ISNA($AA30),0,INDEX(DECLARATIONS,$AA30,7))</f>
        <v/>
      </c>
      <c r="G30" s="209" t="str">
        <f t="array" ref="G30">UPPER(IF(ISNA($AA30),"",INDEX(DECLARATIONS,$AA30,4)))</f>
        <v>M</v>
      </c>
      <c r="H30" t="str">
        <f>IF(AND(A30&gt;0,ISTEXT(B30)),IF(SECNAME="YES",LEFT(B30&amp;" ",FIND(" ",B30&amp;" ")+2)&amp;IF(F30&gt;0," ("&amp;F30&amp;")",""),B30&amp;IF(F30&gt;0," ("&amp;F30&amp;")","")),"#"&amp;$A30)</f>
        <v>Leo Thomasson</v>
      </c>
      <c r="I30" s="209">
        <f>IF(LEN($A30)&gt;0,IF(LEN($J30)&gt;0,MATCH(J30,MatchNames,0),EventIndex),0)</f>
        <v>6</v>
      </c>
      <c r="J30" s="209" t="str">
        <f>IF(LEN($A30)&gt;0,IF(LEN(Declarations!$F30)&gt;0,Declarations!$F30,conftype),"")</f>
        <v>QuadKids Club</v>
      </c>
      <c r="M30" s="297">
        <f>IF(ISNA(VLOOKUP($A30,SprintData,2,FALSE)),0,VLOOKUP($A30,SprintData,2,FALSE))</f>
        <v>12.3</v>
      </c>
      <c r="N30" s="297">
        <f>IF(ISNA(VLOOKUP($A30,JumpData,2,FALSE)),0,VLOOKUP($A30,JumpData,2,FALSE))</f>
        <v>3.33</v>
      </c>
      <c r="O30" s="297">
        <f>IF(ISNA(VLOOKUP($A30,RunData,2,FALSE)),0,VLOOKUP($A30,RunData,2,FALSE))</f>
        <v>2.07</v>
      </c>
      <c r="P30" s="297">
        <f>IF(ISNA(VLOOKUP($A30,ThrowData,2,FALSE)),0,VLOOKUP($A30,ThrowData,2,FALSE))</f>
        <v>27.3</v>
      </c>
      <c r="Q30" s="298">
        <f>IF(ISNA(VLOOKUP($A30,SprintData,4,FALSE)),0,VLOOKUP($A30,SprintData,4,FALSE))+V30</f>
        <v>47</v>
      </c>
      <c r="R30" s="298">
        <f>IF(ISNA(VLOOKUP($A30,JumpData,4,FALSE)),0,VLOOKUP($A30,JumpData,4,FALSE))+W30</f>
        <v>47</v>
      </c>
      <c r="S30" s="298">
        <f>IF(ISNA(VLOOKUP($A30,RunData,4,FALSE)),0,VLOOKUP($A30,RunData,4,FALSE))+X30</f>
        <v>63</v>
      </c>
      <c r="T30" s="298">
        <f>IF(ISNA(VLOOKUP($A30,ThrowData,4,FALSE)),0,VLOOKUP($A30,ThrowData,4,FALSE))+Y30</f>
        <v>54</v>
      </c>
      <c r="U30" s="299">
        <f t="shared" si="2"/>
        <v>211</v>
      </c>
      <c r="V30">
        <f>IF(AND($F30&gt;0,NOT(M30),Flexing),FlexPC,0)</f>
        <v>0</v>
      </c>
      <c r="W30">
        <f>IF(AND($F30&gt;0,NOT(N30),Flexing),FlexPC,0)</f>
        <v>0</v>
      </c>
      <c r="X30">
        <f>IF(AND($F30&gt;0,NOT(O30),Flexing),FlexPC,0)</f>
        <v>0</v>
      </c>
      <c r="Y30">
        <f>IF(AND($F30&gt;0,NOT(P30),Flexing),FlexPC,0)</f>
        <v>0</v>
      </c>
      <c r="AA30" s="209">
        <f t="shared" si="3"/>
        <v>29</v>
      </c>
    </row>
    <row r="31" ht="15.75" customHeight="1">
      <c r="A31" s="206" t="str">
        <f>+Declarations!A31&amp;""</f>
        <v>30</v>
      </c>
      <c r="B31" t="str">
        <f>IF(LEN($A31),IF(LEN(Declarations!$B31)&gt;0,Declarations!$B31,"#"&amp;$A31),"")</f>
        <v>Harley Vincent</v>
      </c>
      <c r="C31" s="209" t="str">
        <f t="array" ref="C31">IF(LEN(INDEX(DECLARATIONS,$AA31,3))&gt;0,INDEX(DECLARATIONS,$AA31,3),"...")</f>
        <v>Bournemouth AC</v>
      </c>
      <c r="D31" s="209" t="str">
        <f t="shared" si="1"/>
        <v>M</v>
      </c>
      <c r="E31" s="296" t="str">
        <f t="array" ref="E31">IF(ISNA($AA31),0,INDEX(DECLARATIONS,$AA31,5))</f>
        <v/>
      </c>
      <c r="F31" s="209" t="str">
        <f t="array" ref="F31">IF(ISNA($AA31),0,INDEX(DECLARATIONS,$AA31,7))</f>
        <v/>
      </c>
      <c r="G31" s="209" t="str">
        <f t="array" ref="G31">UPPER(IF(ISNA($AA31),"",INDEX(DECLARATIONS,$AA31,4)))</f>
        <v>M</v>
      </c>
      <c r="H31" t="str">
        <f>IF(AND(A31&gt;0,ISTEXT(B31)),IF(SECNAME="YES",LEFT(B31&amp;" ",FIND(" ",B31&amp;" ")+2)&amp;IF(F31&gt;0," ("&amp;F31&amp;")",""),B31&amp;IF(F31&gt;0," ("&amp;F31&amp;")","")),"#"&amp;$A31)</f>
        <v>Harley Vincent</v>
      </c>
      <c r="I31" s="209">
        <f>IF(LEN($A31)&gt;0,IF(LEN($J31)&gt;0,MATCH(J31,MatchNames,0),EventIndex),0)</f>
        <v>6</v>
      </c>
      <c r="J31" s="209" t="str">
        <f>IF(LEN($A31)&gt;0,IF(LEN(Declarations!$F31)&gt;0,Declarations!$F31,conftype),"")</f>
        <v>QuadKids Club</v>
      </c>
      <c r="M31" s="297">
        <f>IF(ISNA(VLOOKUP($A31,SprintData,2,FALSE)),0,VLOOKUP($A31,SprintData,2,FALSE))</f>
        <v>12.9</v>
      </c>
      <c r="N31" s="297">
        <f>IF(ISNA(VLOOKUP($A31,JumpData,2,FALSE)),0,VLOOKUP($A31,JumpData,2,FALSE))</f>
        <v>2.73</v>
      </c>
      <c r="O31" s="297">
        <f>IF(ISNA(VLOOKUP($A31,RunData,2,FALSE)),0,VLOOKUP($A31,RunData,2,FALSE))</f>
        <v>2.07</v>
      </c>
      <c r="P31" s="297">
        <f>IF(ISNA(VLOOKUP($A31,ThrowData,2,FALSE)),0,VLOOKUP($A31,ThrowData,2,FALSE))</f>
        <v>26.25</v>
      </c>
      <c r="Q31" s="298">
        <f>IF(ISNA(VLOOKUP($A31,SprintData,4,FALSE)),0,VLOOKUP($A31,SprintData,4,FALSE))+V31</f>
        <v>41</v>
      </c>
      <c r="R31" s="298">
        <f>IF(ISNA(VLOOKUP($A31,JumpData,4,FALSE)),0,VLOOKUP($A31,JumpData,4,FALSE))+W31</f>
        <v>27</v>
      </c>
      <c r="S31" s="298">
        <f>IF(ISNA(VLOOKUP($A31,RunData,4,FALSE)),0,VLOOKUP($A31,RunData,4,FALSE))+X31</f>
        <v>63</v>
      </c>
      <c r="T31" s="298">
        <f>IF(ISNA(VLOOKUP($A31,ThrowData,4,FALSE)),0,VLOOKUP($A31,ThrowData,4,FALSE))+Y31</f>
        <v>52</v>
      </c>
      <c r="U31" s="299">
        <f t="shared" si="2"/>
        <v>183</v>
      </c>
      <c r="V31">
        <f>IF(AND($F31&gt;0,NOT(M31),Flexing),FlexPC,0)</f>
        <v>0</v>
      </c>
      <c r="W31">
        <f>IF(AND($F31&gt;0,NOT(N31),Flexing),FlexPC,0)</f>
        <v>0</v>
      </c>
      <c r="X31">
        <f>IF(AND($F31&gt;0,NOT(O31),Flexing),FlexPC,0)</f>
        <v>0</v>
      </c>
      <c r="Y31">
        <f>IF(AND($F31&gt;0,NOT(P31),Flexing),FlexPC,0)</f>
        <v>0</v>
      </c>
      <c r="AA31" s="209">
        <f t="shared" si="3"/>
        <v>30</v>
      </c>
    </row>
    <row r="32" ht="15.75" customHeight="1">
      <c r="A32" s="206" t="str">
        <f>+Declarations!A32&amp;""</f>
        <v>31</v>
      </c>
      <c r="B32" t="str">
        <f>IF(LEN($A32),IF(LEN(Declarations!$B32)&gt;0,Declarations!$B32,"#"&amp;$A32),"")</f>
        <v>Leo Welstead</v>
      </c>
      <c r="C32" s="209" t="str">
        <f t="array" ref="C32">IF(LEN(INDEX(DECLARATIONS,$AA32,3))&gt;0,INDEX(DECLARATIONS,$AA32,3),"...")</f>
        <v>Wimborne AC</v>
      </c>
      <c r="D32" s="209" t="str">
        <f t="shared" si="1"/>
        <v>M</v>
      </c>
      <c r="E32" s="296" t="str">
        <f t="array" ref="E32">IF(ISNA($AA32),0,INDEX(DECLARATIONS,$AA32,5))</f>
        <v/>
      </c>
      <c r="F32" s="209" t="str">
        <f t="array" ref="F32">IF(ISNA($AA32),0,INDEX(DECLARATIONS,$AA32,7))</f>
        <v/>
      </c>
      <c r="G32" s="209" t="str">
        <f t="array" ref="G32">UPPER(IF(ISNA($AA32),"",INDEX(DECLARATIONS,$AA32,4)))</f>
        <v>M</v>
      </c>
      <c r="H32" t="str">
        <f>IF(AND(A32&gt;0,ISTEXT(B32)),IF(SECNAME="YES",LEFT(B32&amp;" ",FIND(" ",B32&amp;" ")+2)&amp;IF(F32&gt;0," ("&amp;F32&amp;")",""),B32&amp;IF(F32&gt;0," ("&amp;F32&amp;")","")),"#"&amp;$A32)</f>
        <v>Leo Welstead</v>
      </c>
      <c r="I32" s="209">
        <f>IF(LEN($A32)&gt;0,IF(LEN($J32)&gt;0,MATCH(J32,MatchNames,0),EventIndex),0)</f>
        <v>6</v>
      </c>
      <c r="J32" s="209" t="str">
        <f>IF(LEN($A32)&gt;0,IF(LEN(Declarations!$F32)&gt;0,Declarations!$F32,conftype),"")</f>
        <v>QuadKids Club</v>
      </c>
      <c r="M32" s="297">
        <f>IF(ISNA(VLOOKUP($A32,SprintData,2,FALSE)),0,VLOOKUP($A32,SprintData,2,FALSE))</f>
        <v>12.9</v>
      </c>
      <c r="N32" s="297">
        <f>IF(ISNA(VLOOKUP($A32,JumpData,2,FALSE)),0,VLOOKUP($A32,JumpData,2,FALSE))</f>
        <v>2.72</v>
      </c>
      <c r="O32" s="297">
        <f>IF(ISNA(VLOOKUP($A32,RunData,2,FALSE)),0,VLOOKUP($A32,RunData,2,FALSE))</f>
        <v>2.16</v>
      </c>
      <c r="P32" s="297">
        <f>IF(ISNA(VLOOKUP($A32,ThrowData,2,FALSE)),0,VLOOKUP($A32,ThrowData,2,FALSE))</f>
        <v>16.14</v>
      </c>
      <c r="Q32" s="298">
        <f>IF(ISNA(VLOOKUP($A32,SprintData,4,FALSE)),0,VLOOKUP($A32,SprintData,4,FALSE))+V32</f>
        <v>41</v>
      </c>
      <c r="R32" s="298">
        <f>IF(ISNA(VLOOKUP($A32,JumpData,4,FALSE)),0,VLOOKUP($A32,JumpData,4,FALSE))+W32</f>
        <v>27</v>
      </c>
      <c r="S32" s="298">
        <f>IF(ISNA(VLOOKUP($A32,RunData,4,FALSE)),0,VLOOKUP($A32,RunData,4,FALSE))+X32</f>
        <v>54</v>
      </c>
      <c r="T32" s="298">
        <f>IF(ISNA(VLOOKUP($A32,ThrowData,4,FALSE)),0,VLOOKUP($A32,ThrowData,4,FALSE))+Y32</f>
        <v>32</v>
      </c>
      <c r="U32" s="299">
        <f t="shared" si="2"/>
        <v>154</v>
      </c>
      <c r="V32">
        <f>IF(AND($F32&gt;0,NOT(M32),Flexing),FlexPC,0)</f>
        <v>0</v>
      </c>
      <c r="W32">
        <f>IF(AND($F32&gt;0,NOT(N32),Flexing),FlexPC,0)</f>
        <v>0</v>
      </c>
      <c r="X32">
        <f>IF(AND($F32&gt;0,NOT(O32),Flexing),FlexPC,0)</f>
        <v>0</v>
      </c>
      <c r="Y32">
        <f>IF(AND($F32&gt;0,NOT(P32),Flexing),FlexPC,0)</f>
        <v>0</v>
      </c>
      <c r="AA32" s="209">
        <f t="shared" si="3"/>
        <v>31</v>
      </c>
    </row>
    <row r="33" ht="15.75" customHeight="1">
      <c r="A33" s="206" t="str">
        <f>+Declarations!A33&amp;""</f>
        <v>32</v>
      </c>
      <c r="B33" t="str">
        <f>IF(LEN($A33),IF(LEN(Declarations!$B33)&gt;0,Declarations!$B33,"#"&amp;$A33),"")</f>
        <v>Otto Williams</v>
      </c>
      <c r="C33" s="209" t="str">
        <f t="array" ref="C33">IF(LEN(INDEX(DECLARATIONS,$AA33,3))&gt;0,INDEX(DECLARATIONS,$AA33,3),"...")</f>
        <v>Bournemouth AC</v>
      </c>
      <c r="D33" s="209" t="str">
        <f t="shared" si="1"/>
        <v>M</v>
      </c>
      <c r="E33" s="296" t="str">
        <f t="array" ref="E33">IF(ISNA($AA33),0,INDEX(DECLARATIONS,$AA33,5))</f>
        <v/>
      </c>
      <c r="F33" s="209" t="str">
        <f t="array" ref="F33">IF(ISNA($AA33),0,INDEX(DECLARATIONS,$AA33,7))</f>
        <v/>
      </c>
      <c r="G33" s="209" t="str">
        <f t="array" ref="G33">UPPER(IF(ISNA($AA33),"",INDEX(DECLARATIONS,$AA33,4)))</f>
        <v>M</v>
      </c>
      <c r="H33" t="str">
        <f>IF(AND(A33&gt;0,ISTEXT(B33)),IF(SECNAME="YES",LEFT(B33&amp;" ",FIND(" ",B33&amp;" ")+2)&amp;IF(F33&gt;0," ("&amp;F33&amp;")",""),B33&amp;IF(F33&gt;0," ("&amp;F33&amp;")","")),"#"&amp;$A33)</f>
        <v>Otto Williams</v>
      </c>
      <c r="I33" s="209">
        <f>IF(LEN($A33)&gt;0,IF(LEN($J33)&gt;0,MATCH(J33,MatchNames,0),EventIndex),0)</f>
        <v>6</v>
      </c>
      <c r="J33" s="209" t="str">
        <f>IF(LEN($A33)&gt;0,IF(LEN(Declarations!$F33)&gt;0,Declarations!$F33,conftype),"")</f>
        <v>QuadKids Club</v>
      </c>
      <c r="M33" s="297">
        <f>IF(ISNA(VLOOKUP($A33,SprintData,2,FALSE)),0,VLOOKUP($A33,SprintData,2,FALSE))</f>
        <v>12.7</v>
      </c>
      <c r="N33" s="297">
        <f>IF(ISNA(VLOOKUP($A33,JumpData,2,FALSE)),0,VLOOKUP($A33,JumpData,2,FALSE))</f>
        <v>2.59</v>
      </c>
      <c r="O33" s="297">
        <f>IF(ISNA(VLOOKUP($A33,RunData,2,FALSE)),0,VLOOKUP($A33,RunData,2,FALSE))</f>
        <v>2.15</v>
      </c>
      <c r="P33" s="297">
        <f>IF(ISNA(VLOOKUP($A33,ThrowData,2,FALSE)),0,VLOOKUP($A33,ThrowData,2,FALSE))</f>
        <v>26.29</v>
      </c>
      <c r="Q33" s="298">
        <f>IF(ISNA(VLOOKUP($A33,SprintData,4,FALSE)),0,VLOOKUP($A33,SprintData,4,FALSE))+V33</f>
        <v>43</v>
      </c>
      <c r="R33" s="298">
        <f>IF(ISNA(VLOOKUP($A33,JumpData,4,FALSE)),0,VLOOKUP($A33,JumpData,4,FALSE))+W33</f>
        <v>23</v>
      </c>
      <c r="S33" s="298">
        <f>IF(ISNA(VLOOKUP($A33,RunData,4,FALSE)),0,VLOOKUP($A33,RunData,4,FALSE))+X33</f>
        <v>55</v>
      </c>
      <c r="T33" s="298">
        <f>IF(ISNA(VLOOKUP($A33,ThrowData,4,FALSE)),0,VLOOKUP($A33,ThrowData,4,FALSE))+Y33</f>
        <v>52</v>
      </c>
      <c r="U33" s="299">
        <f t="shared" si="2"/>
        <v>173</v>
      </c>
      <c r="V33">
        <f>IF(AND($F33&gt;0,NOT(M33),Flexing),FlexPC,0)</f>
        <v>0</v>
      </c>
      <c r="W33">
        <f>IF(AND($F33&gt;0,NOT(N33),Flexing),FlexPC,0)</f>
        <v>0</v>
      </c>
      <c r="X33">
        <f>IF(AND($F33&gt;0,NOT(O33),Flexing),FlexPC,0)</f>
        <v>0</v>
      </c>
      <c r="Y33">
        <f>IF(AND($F33&gt;0,NOT(P33),Flexing),FlexPC,0)</f>
        <v>0</v>
      </c>
      <c r="AA33" s="209">
        <f t="shared" si="3"/>
        <v>32</v>
      </c>
    </row>
    <row r="34" ht="15.75" customHeight="1">
      <c r="A34" s="206" t="str">
        <f>+Declarations!A34&amp;""</f>
        <v>33</v>
      </c>
      <c r="B34" t="str">
        <f>IF(LEN($A34),IF(LEN(Declarations!$B34)&gt;0,Declarations!$B34,"#"&amp;$A34),"")</f>
        <v>Harry Williams</v>
      </c>
      <c r="C34" s="209" t="str">
        <f t="array" ref="C34">IF(LEN(INDEX(DECLARATIONS,$AA34,3))&gt;0,INDEX(DECLARATIONS,$AA34,3),"...")</f>
        <v>Poole Athletics Club </v>
      </c>
      <c r="D34" s="209" t="str">
        <f t="shared" si="1"/>
        <v>M</v>
      </c>
      <c r="E34" s="296" t="str">
        <f t="array" ref="E34">IF(ISNA($AA34),0,INDEX(DECLARATIONS,$AA34,5))</f>
        <v/>
      </c>
      <c r="F34" s="209" t="str">
        <f t="array" ref="F34">IF(ISNA($AA34),0,INDEX(DECLARATIONS,$AA34,7))</f>
        <v/>
      </c>
      <c r="G34" s="209" t="str">
        <f t="array" ref="G34">UPPER(IF(ISNA($AA34),"",INDEX(DECLARATIONS,$AA34,4)))</f>
        <v>M</v>
      </c>
      <c r="H34" t="str">
        <f>IF(AND(A34&gt;0,ISTEXT(B34)),IF(SECNAME="YES",LEFT(B34&amp;" ",FIND(" ",B34&amp;" ")+2)&amp;IF(F34&gt;0," ("&amp;F34&amp;")",""),B34&amp;IF(F34&gt;0," ("&amp;F34&amp;")","")),"#"&amp;$A34)</f>
        <v>Harry Williams</v>
      </c>
      <c r="I34" s="209">
        <f>IF(LEN($A34)&gt;0,IF(LEN($J34)&gt;0,MATCH(J34,MatchNames,0),EventIndex),0)</f>
        <v>6</v>
      </c>
      <c r="J34" s="209" t="str">
        <f>IF(LEN($A34)&gt;0,IF(LEN(Declarations!$F34)&gt;0,Declarations!$F34,conftype),"")</f>
        <v>QuadKids Club</v>
      </c>
      <c r="M34" s="297">
        <f>IF(ISNA(VLOOKUP($A34,SprintData,2,FALSE)),0,VLOOKUP($A34,SprintData,2,FALSE))</f>
        <v>12.4</v>
      </c>
      <c r="N34" s="297">
        <f>IF(ISNA(VLOOKUP($A34,JumpData,2,FALSE)),0,VLOOKUP($A34,JumpData,2,FALSE))</f>
        <v>3.22</v>
      </c>
      <c r="O34" s="297">
        <f>IF(ISNA(VLOOKUP($A34,RunData,2,FALSE)),0,VLOOKUP($A34,RunData,2,FALSE))</f>
        <v>2.08</v>
      </c>
      <c r="P34" s="297">
        <f>IF(ISNA(VLOOKUP($A34,ThrowData,2,FALSE)),0,VLOOKUP($A34,ThrowData,2,FALSE))</f>
        <v>0</v>
      </c>
      <c r="Q34" s="298">
        <f>IF(ISNA(VLOOKUP($A34,SprintData,4,FALSE)),0,VLOOKUP($A34,SprintData,4,FALSE))+V34</f>
        <v>46</v>
      </c>
      <c r="R34" s="298">
        <f>IF(ISNA(VLOOKUP($A34,JumpData,4,FALSE)),0,VLOOKUP($A34,JumpData,4,FALSE))+W34</f>
        <v>44</v>
      </c>
      <c r="S34" s="298">
        <f>IF(ISNA(VLOOKUP($A34,RunData,4,FALSE)),0,VLOOKUP($A34,RunData,4,FALSE))+X34</f>
        <v>62</v>
      </c>
      <c r="T34" s="298">
        <f>IF(ISNA(VLOOKUP($A34,ThrowData,4,FALSE)),0,VLOOKUP($A34,ThrowData,4,FALSE))+Y34</f>
        <v>0</v>
      </c>
      <c r="U34" s="299">
        <f t="shared" si="2"/>
        <v>152</v>
      </c>
      <c r="V34">
        <f>IF(AND($F34&gt;0,NOT(M34),Flexing),FlexPC,0)</f>
        <v>0</v>
      </c>
      <c r="W34">
        <f>IF(AND($F34&gt;0,NOT(N34),Flexing),FlexPC,0)</f>
        <v>0</v>
      </c>
      <c r="X34">
        <f>IF(AND($F34&gt;0,NOT(O34),Flexing),FlexPC,0)</f>
        <v>0</v>
      </c>
      <c r="Y34">
        <f>IF(AND($F34&gt;0,NOT(P34),Flexing),FlexPC,0)</f>
        <v>0</v>
      </c>
      <c r="AA34" s="209">
        <f t="shared" si="3"/>
        <v>33</v>
      </c>
    </row>
    <row r="35" ht="15.75" customHeight="1">
      <c r="A35" s="206" t="str">
        <f>+Declarations!A35&amp;""</f>
        <v>41</v>
      </c>
      <c r="B35" t="str">
        <f>IF(LEN($A35),IF(LEN(Declarations!$B35)&gt;0,Declarations!$B35,"#"&amp;$A35),"")</f>
        <v>Edee Abery</v>
      </c>
      <c r="C35" s="209" t="str">
        <f t="array" ref="C35">IF(LEN(INDEX(DECLARATIONS,$AA35,3))&gt;0,INDEX(DECLARATIONS,$AA35,3),"...")</f>
        <v>Copac</v>
      </c>
      <c r="D35" s="209" t="str">
        <f t="shared" si="1"/>
        <v>F</v>
      </c>
      <c r="E35" s="296" t="str">
        <f t="array" ref="E35">IF(ISNA($AA35),0,INDEX(DECLARATIONS,$AA35,5))</f>
        <v/>
      </c>
      <c r="F35" s="209" t="str">
        <f t="array" ref="F35">IF(ISNA($AA35),0,INDEX(DECLARATIONS,$AA35,7))</f>
        <v/>
      </c>
      <c r="G35" s="209" t="str">
        <f t="array" ref="G35">UPPER(IF(ISNA($AA35),"",INDEX(DECLARATIONS,$AA35,4)))</f>
        <v>F</v>
      </c>
      <c r="H35" t="str">
        <f>IF(AND(A35&gt;0,ISTEXT(B35)),IF(SECNAME="YES",LEFT(B35&amp;" ",FIND(" ",B35&amp;" ")+2)&amp;IF(F35&gt;0," ("&amp;F35&amp;")",""),B35&amp;IF(F35&gt;0," ("&amp;F35&amp;")","")),"#"&amp;$A35)</f>
        <v>Edee Abery</v>
      </c>
      <c r="I35" s="209">
        <f>IF(LEN($A35)&gt;0,IF(LEN($J35)&gt;0,MATCH(J35,MatchNames,0),EventIndex),0)</f>
        <v>6</v>
      </c>
      <c r="J35" s="209" t="str">
        <f>IF(LEN($A35)&gt;0,IF(LEN(Declarations!$F35)&gt;0,Declarations!$F35,conftype),"")</f>
        <v>QuadKids Club</v>
      </c>
      <c r="M35" s="297">
        <f>IF(ISNA(VLOOKUP($A35,SprintData,2,FALSE)),0,VLOOKUP($A35,SprintData,2,FALSE))</f>
        <v>13.3</v>
      </c>
      <c r="N35" s="297">
        <f>IF(ISNA(VLOOKUP($A35,JumpData,2,FALSE)),0,VLOOKUP($A35,JumpData,2,FALSE))</f>
        <v>2.84</v>
      </c>
      <c r="O35" s="297">
        <f>IF(ISNA(VLOOKUP($A35,RunData,2,FALSE)),0,VLOOKUP($A35,RunData,2,FALSE))</f>
        <v>2.4</v>
      </c>
      <c r="P35" s="297">
        <f>IF(ISNA(VLOOKUP($A35,ThrowData,2,FALSE)),0,VLOOKUP($A35,ThrowData,2,FALSE))</f>
        <v>12.82</v>
      </c>
      <c r="Q35" s="298">
        <f>IF(ISNA(VLOOKUP($A35,SprintData,4,FALSE)),0,VLOOKUP($A35,SprintData,4,FALSE))+V35</f>
        <v>37</v>
      </c>
      <c r="R35" s="298">
        <f>IF(ISNA(VLOOKUP($A35,JumpData,4,FALSE)),0,VLOOKUP($A35,JumpData,4,FALSE))+W35</f>
        <v>31</v>
      </c>
      <c r="S35" s="298">
        <f>IF(ISNA(VLOOKUP($A35,RunData,4,FALSE)),0,VLOOKUP($A35,RunData,4,FALSE))+X35</f>
        <v>30</v>
      </c>
      <c r="T35" s="298">
        <f>IF(ISNA(VLOOKUP($A35,ThrowData,4,FALSE)),0,VLOOKUP($A35,ThrowData,4,FALSE))+Y35</f>
        <v>25</v>
      </c>
      <c r="U35" s="299">
        <f t="shared" si="2"/>
        <v>123</v>
      </c>
      <c r="V35">
        <f>IF(AND($F35&gt;0,NOT(M35),Flexing),FlexPC,0)</f>
        <v>0</v>
      </c>
      <c r="W35">
        <f>IF(AND($F35&gt;0,NOT(N35),Flexing),FlexPC,0)</f>
        <v>0</v>
      </c>
      <c r="X35">
        <f>IF(AND($F35&gt;0,NOT(O35),Flexing),FlexPC,0)</f>
        <v>0</v>
      </c>
      <c r="Y35">
        <f>IF(AND($F35&gt;0,NOT(P35),Flexing),FlexPC,0)</f>
        <v>0</v>
      </c>
      <c r="AA35" s="209">
        <f t="shared" si="3"/>
        <v>34</v>
      </c>
    </row>
    <row r="36" ht="15.75" customHeight="1">
      <c r="A36" s="206" t="str">
        <f>+Declarations!A36&amp;""</f>
        <v>42</v>
      </c>
      <c r="B36" t="str">
        <f>IF(LEN($A36),IF(LEN(Declarations!$B36)&gt;0,Declarations!$B36,"#"&amp;$A36),"")</f>
        <v>Lucia Bertacchini</v>
      </c>
      <c r="C36" s="209" t="str">
        <f t="array" ref="C36">IF(LEN(INDEX(DECLARATIONS,$AA36,3))&gt;0,INDEX(DECLARATIONS,$AA36,3),"...")</f>
        <v>Winchester</v>
      </c>
      <c r="D36" s="209" t="str">
        <f t="shared" si="1"/>
        <v>F</v>
      </c>
      <c r="E36" s="296" t="str">
        <f t="array" ref="E36">IF(ISNA($AA36),0,INDEX(DECLARATIONS,$AA36,5))</f>
        <v/>
      </c>
      <c r="F36" s="209" t="str">
        <f t="array" ref="F36">IF(ISNA($AA36),0,INDEX(DECLARATIONS,$AA36,7))</f>
        <v/>
      </c>
      <c r="G36" s="209" t="str">
        <f t="array" ref="G36">UPPER(IF(ISNA($AA36),"",INDEX(DECLARATIONS,$AA36,4)))</f>
        <v>F</v>
      </c>
      <c r="H36" t="str">
        <f>IF(AND(A36&gt;0,ISTEXT(B36)),IF(SECNAME="YES",LEFT(B36&amp;" ",FIND(" ",B36&amp;" ")+2)&amp;IF(F36&gt;0," ("&amp;F36&amp;")",""),B36&amp;IF(F36&gt;0," ("&amp;F36&amp;")","")),"#"&amp;$A36)</f>
        <v>Lucia Bertacchini</v>
      </c>
      <c r="I36" s="209">
        <f>IF(LEN($A36)&gt;0,IF(LEN($J36)&gt;0,MATCH(J36,MatchNames,0),EventIndex),0)</f>
        <v>6</v>
      </c>
      <c r="J36" s="209" t="str">
        <f>IF(LEN($A36)&gt;0,IF(LEN(Declarations!$F36)&gt;0,Declarations!$F36,conftype),"")</f>
        <v>QuadKids Club</v>
      </c>
      <c r="M36" s="297">
        <f>IF(ISNA(VLOOKUP($A36,SprintData,2,FALSE)),0,VLOOKUP($A36,SprintData,2,FALSE))</f>
        <v>12.4</v>
      </c>
      <c r="N36" s="297">
        <f>IF(ISNA(VLOOKUP($A36,JumpData,2,FALSE)),0,VLOOKUP($A36,JumpData,2,FALSE))</f>
        <v>3.29</v>
      </c>
      <c r="O36" s="297">
        <f>IF(ISNA(VLOOKUP($A36,RunData,2,FALSE)),0,VLOOKUP($A36,RunData,2,FALSE))</f>
        <v>2.07</v>
      </c>
      <c r="P36" s="297">
        <f>IF(ISNA(VLOOKUP($A36,ThrowData,2,FALSE)),0,VLOOKUP($A36,ThrowData,2,FALSE))</f>
        <v>13.76</v>
      </c>
      <c r="Q36" s="298">
        <f>IF(ISNA(VLOOKUP($A36,SprintData,4,FALSE)),0,VLOOKUP($A36,SprintData,4,FALSE))+V36</f>
        <v>46</v>
      </c>
      <c r="R36" s="298">
        <f>IF(ISNA(VLOOKUP($A36,JumpData,4,FALSE)),0,VLOOKUP($A36,JumpData,4,FALSE))+W36</f>
        <v>46</v>
      </c>
      <c r="S36" s="298">
        <f>IF(ISNA(VLOOKUP($A36,RunData,4,FALSE)),0,VLOOKUP($A36,RunData,4,FALSE))+X36</f>
        <v>63</v>
      </c>
      <c r="T36" s="298">
        <f>IF(ISNA(VLOOKUP($A36,ThrowData,4,FALSE)),0,VLOOKUP($A36,ThrowData,4,FALSE))+Y36</f>
        <v>27</v>
      </c>
      <c r="U36" s="299">
        <f t="shared" si="2"/>
        <v>182</v>
      </c>
      <c r="V36">
        <f>IF(AND($F36&gt;0,NOT(M36),Flexing),FlexPC,0)</f>
        <v>0</v>
      </c>
      <c r="W36">
        <f>IF(AND($F36&gt;0,NOT(N36),Flexing),FlexPC,0)</f>
        <v>0</v>
      </c>
      <c r="X36">
        <f>IF(AND($F36&gt;0,NOT(O36),Flexing),FlexPC,0)</f>
        <v>0</v>
      </c>
      <c r="Y36">
        <f>IF(AND($F36&gt;0,NOT(P36),Flexing),FlexPC,0)</f>
        <v>0</v>
      </c>
      <c r="AA36" s="209">
        <f t="shared" si="3"/>
        <v>35</v>
      </c>
    </row>
    <row r="37" ht="15.75" customHeight="1">
      <c r="A37" s="206" t="str">
        <f>+Declarations!A37&amp;""</f>
        <v>43</v>
      </c>
      <c r="B37" t="str">
        <f>IF(LEN($A37),IF(LEN(Declarations!$B37)&gt;0,Declarations!$B37,"#"&amp;$A37),"")</f>
        <v>Carla Bream</v>
      </c>
      <c r="C37" s="209" t="str">
        <f t="array" ref="C37">IF(LEN(INDEX(DECLARATIONS,$AA37,3))&gt;0,INDEX(DECLARATIONS,$AA37,3),"...")</f>
        <v>Havant AC</v>
      </c>
      <c r="D37" s="209" t="str">
        <f t="shared" si="1"/>
        <v>F</v>
      </c>
      <c r="E37" s="296" t="str">
        <f t="array" ref="E37">IF(ISNA($AA37),0,INDEX(DECLARATIONS,$AA37,5))</f>
        <v/>
      </c>
      <c r="F37" s="209" t="str">
        <f t="array" ref="F37">IF(ISNA($AA37),0,INDEX(DECLARATIONS,$AA37,7))</f>
        <v/>
      </c>
      <c r="G37" s="209" t="str">
        <f t="array" ref="G37">UPPER(IF(ISNA($AA37),"",INDEX(DECLARATIONS,$AA37,4)))</f>
        <v>F</v>
      </c>
      <c r="H37" t="str">
        <f>IF(AND(A37&gt;0,ISTEXT(B37)),IF(SECNAME="YES",LEFT(B37&amp;" ",FIND(" ",B37&amp;" ")+2)&amp;IF(F37&gt;0," ("&amp;F37&amp;")",""),B37&amp;IF(F37&gt;0," ("&amp;F37&amp;")","")),"#"&amp;$A37)</f>
        <v>Carla Bream</v>
      </c>
      <c r="I37" s="209">
        <f>IF(LEN($A37)&gt;0,IF(LEN($J37)&gt;0,MATCH(J37,MatchNames,0),EventIndex),0)</f>
        <v>6</v>
      </c>
      <c r="J37" s="209" t="str">
        <f>IF(LEN($A37)&gt;0,IF(LEN(Declarations!$F37)&gt;0,Declarations!$F37,conftype),"")</f>
        <v>QuadKids Club</v>
      </c>
      <c r="M37" s="297">
        <f>IF(ISNA(VLOOKUP($A37,SprintData,2,FALSE)),0,VLOOKUP($A37,SprintData,2,FALSE))</f>
        <v>0</v>
      </c>
      <c r="N37" s="297">
        <f>IF(ISNA(VLOOKUP($A37,JumpData,2,FALSE)),0,VLOOKUP($A37,JumpData,2,FALSE))</f>
        <v>0</v>
      </c>
      <c r="O37" s="297">
        <f>IF(ISNA(VLOOKUP($A37,RunData,2,FALSE)),0,VLOOKUP($A37,RunData,2,FALSE))</f>
        <v>0</v>
      </c>
      <c r="P37" s="297">
        <f>IF(ISNA(VLOOKUP($A37,ThrowData,2,FALSE)),0,VLOOKUP($A37,ThrowData,2,FALSE))</f>
        <v>0</v>
      </c>
      <c r="Q37" s="298">
        <f>IF(ISNA(VLOOKUP($A37,SprintData,4,FALSE)),0,VLOOKUP($A37,SprintData,4,FALSE))+V37</f>
        <v>0</v>
      </c>
      <c r="R37" s="298">
        <f>IF(ISNA(VLOOKUP($A37,JumpData,4,FALSE)),0,VLOOKUP($A37,JumpData,4,FALSE))+W37</f>
        <v>0</v>
      </c>
      <c r="S37" s="298">
        <f>IF(ISNA(VLOOKUP($A37,RunData,4,FALSE)),0,VLOOKUP($A37,RunData,4,FALSE))+X37</f>
        <v>0</v>
      </c>
      <c r="T37" s="298">
        <f>IF(ISNA(VLOOKUP($A37,ThrowData,4,FALSE)),0,VLOOKUP($A37,ThrowData,4,FALSE))+Y37</f>
        <v>0</v>
      </c>
      <c r="U37" s="299">
        <f t="shared" si="2"/>
        <v>0</v>
      </c>
      <c r="V37">
        <f>IF(AND($F37&gt;0,NOT(M37),Flexing),FlexPC,0)</f>
        <v>0</v>
      </c>
      <c r="W37">
        <f>IF(AND($F37&gt;0,NOT(N37),Flexing),FlexPC,0)</f>
        <v>0</v>
      </c>
      <c r="X37">
        <f>IF(AND($F37&gt;0,NOT(O37),Flexing),FlexPC,0)</f>
        <v>0</v>
      </c>
      <c r="Y37">
        <f>IF(AND($F37&gt;0,NOT(P37),Flexing),FlexPC,0)</f>
        <v>0</v>
      </c>
      <c r="AA37" s="209">
        <f t="shared" si="3"/>
        <v>36</v>
      </c>
    </row>
    <row r="38" ht="15.75" customHeight="1">
      <c r="A38" s="206" t="str">
        <f>+Declarations!A38&amp;""</f>
        <v>44</v>
      </c>
      <c r="B38" t="str">
        <f>IF(LEN($A38),IF(LEN(Declarations!$B38)&gt;0,Declarations!$B38,"#"&amp;$A38),"")</f>
        <v>Isabel Cherrett</v>
      </c>
      <c r="C38" s="209" t="str">
        <f t="array" ref="C38">IF(LEN(INDEX(DECLARATIONS,$AA38,3))&gt;0,INDEX(DECLARATIONS,$AA38,3),"...")</f>
        <v>Bournemouth AC</v>
      </c>
      <c r="D38" s="209" t="str">
        <f t="shared" si="1"/>
        <v>F</v>
      </c>
      <c r="E38" s="296" t="str">
        <f t="array" ref="E38">IF(ISNA($AA38),0,INDEX(DECLARATIONS,$AA38,5))</f>
        <v/>
      </c>
      <c r="F38" s="209" t="str">
        <f t="array" ref="F38">IF(ISNA($AA38),0,INDEX(DECLARATIONS,$AA38,7))</f>
        <v/>
      </c>
      <c r="G38" s="209" t="str">
        <f t="array" ref="G38">UPPER(IF(ISNA($AA38),"",INDEX(DECLARATIONS,$AA38,4)))</f>
        <v>F</v>
      </c>
      <c r="H38" t="str">
        <f>IF(AND(A38&gt;0,ISTEXT(B38)),IF(SECNAME="YES",LEFT(B38&amp;" ",FIND(" ",B38&amp;" ")+2)&amp;IF(F38&gt;0," ("&amp;F38&amp;")",""),B38&amp;IF(F38&gt;0," ("&amp;F38&amp;")","")),"#"&amp;$A38)</f>
        <v>Isabel Cherrett</v>
      </c>
      <c r="I38" s="209">
        <f>IF(LEN($A38)&gt;0,IF(LEN($J38)&gt;0,MATCH(J38,MatchNames,0),EventIndex),0)</f>
        <v>6</v>
      </c>
      <c r="J38" s="209" t="str">
        <f>IF(LEN($A38)&gt;0,IF(LEN(Declarations!$F38)&gt;0,Declarations!$F38,conftype),"")</f>
        <v>QuadKids Club</v>
      </c>
      <c r="M38" s="297">
        <f>IF(ISNA(VLOOKUP($A38,SprintData,2,FALSE)),0,VLOOKUP($A38,SprintData,2,FALSE))</f>
        <v>13.9</v>
      </c>
      <c r="N38" s="297">
        <f>IF(ISNA(VLOOKUP($A38,JumpData,2,FALSE)),0,VLOOKUP($A38,JumpData,2,FALSE))</f>
        <v>2.51</v>
      </c>
      <c r="O38" s="297">
        <f>IF(ISNA(VLOOKUP($A38,RunData,2,FALSE)),0,VLOOKUP($A38,RunData,2,FALSE))</f>
        <v>2.07</v>
      </c>
      <c r="P38" s="297">
        <f>IF(ISNA(VLOOKUP($A38,ThrowData,2,FALSE)),0,VLOOKUP($A38,ThrowData,2,FALSE))</f>
        <v>13.21</v>
      </c>
      <c r="Q38" s="298">
        <f>IF(ISNA(VLOOKUP($A38,SprintData,4,FALSE)),0,VLOOKUP($A38,SprintData,4,FALSE))+V38</f>
        <v>31</v>
      </c>
      <c r="R38" s="298">
        <f>IF(ISNA(VLOOKUP($A38,JumpData,4,FALSE)),0,VLOOKUP($A38,JumpData,4,FALSE))+W38</f>
        <v>20</v>
      </c>
      <c r="S38" s="298">
        <f>IF(ISNA(VLOOKUP($A38,RunData,4,FALSE)),0,VLOOKUP($A38,RunData,4,FALSE))+X38</f>
        <v>63</v>
      </c>
      <c r="T38" s="298">
        <f>IF(ISNA(VLOOKUP($A38,ThrowData,4,FALSE)),0,VLOOKUP($A38,ThrowData,4,FALSE))+Y38</f>
        <v>26</v>
      </c>
      <c r="U38" s="299">
        <f t="shared" si="2"/>
        <v>140</v>
      </c>
      <c r="V38">
        <f>IF(AND($F38&gt;0,NOT(M38),Flexing),FlexPC,0)</f>
        <v>0</v>
      </c>
      <c r="W38">
        <f>IF(AND($F38&gt;0,NOT(N38),Flexing),FlexPC,0)</f>
        <v>0</v>
      </c>
      <c r="X38">
        <f>IF(AND($F38&gt;0,NOT(O38),Flexing),FlexPC,0)</f>
        <v>0</v>
      </c>
      <c r="Y38">
        <f>IF(AND($F38&gt;0,NOT(P38),Flexing),FlexPC,0)</f>
        <v>0</v>
      </c>
      <c r="AA38" s="209">
        <f t="shared" si="3"/>
        <v>37</v>
      </c>
    </row>
    <row r="39" ht="15.75" customHeight="1">
      <c r="A39" s="206" t="str">
        <f>+Declarations!A39&amp;""</f>
        <v>45</v>
      </c>
      <c r="B39" t="str">
        <f>IF(LEN($A39),IF(LEN(Declarations!$B39)&gt;0,Declarations!$B39,"#"&amp;$A39),"")</f>
        <v>Lily Coltman</v>
      </c>
      <c r="C39" s="209" t="str">
        <f t="array" ref="C39">IF(LEN(INDEX(DECLARATIONS,$AA39,3))&gt;0,INDEX(DECLARATIONS,$AA39,3),"...")</f>
        <v>Bournemouth AC</v>
      </c>
      <c r="D39" s="209" t="str">
        <f t="shared" si="1"/>
        <v>F</v>
      </c>
      <c r="E39" s="296" t="str">
        <f t="array" ref="E39">IF(ISNA($AA39),0,INDEX(DECLARATIONS,$AA39,5))</f>
        <v/>
      </c>
      <c r="F39" s="209" t="str">
        <f t="array" ref="F39">IF(ISNA($AA39),0,INDEX(DECLARATIONS,$AA39,7))</f>
        <v/>
      </c>
      <c r="G39" s="209" t="str">
        <f t="array" ref="G39">UPPER(IF(ISNA($AA39),"",INDEX(DECLARATIONS,$AA39,4)))</f>
        <v>F</v>
      </c>
      <c r="H39" t="str">
        <f>IF(AND(A39&gt;0,ISTEXT(B39)),IF(SECNAME="YES",LEFT(B39&amp;" ",FIND(" ",B39&amp;" ")+2)&amp;IF(F39&gt;0," ("&amp;F39&amp;")",""),B39&amp;IF(F39&gt;0," ("&amp;F39&amp;")","")),"#"&amp;$A39)</f>
        <v>Lily Coltman</v>
      </c>
      <c r="I39" s="209">
        <f>IF(LEN($A39)&gt;0,IF(LEN($J39)&gt;0,MATCH(J39,MatchNames,0),EventIndex),0)</f>
        <v>6</v>
      </c>
      <c r="J39" s="209" t="str">
        <f>IF(LEN($A39)&gt;0,IF(LEN(Declarations!$F39)&gt;0,Declarations!$F39,conftype),"")</f>
        <v>QuadKids Club</v>
      </c>
      <c r="M39" s="297">
        <f>IF(ISNA(VLOOKUP($A39,SprintData,2,FALSE)),0,VLOOKUP($A39,SprintData,2,FALSE))</f>
        <v>14.6</v>
      </c>
      <c r="N39" s="297">
        <f>IF(ISNA(VLOOKUP($A39,JumpData,2,FALSE)),0,VLOOKUP($A39,JumpData,2,FALSE))</f>
        <v>2.38</v>
      </c>
      <c r="O39" s="297">
        <f>IF(ISNA(VLOOKUP($A39,RunData,2,FALSE)),0,VLOOKUP($A39,RunData,2,FALSE))</f>
        <v>2.24</v>
      </c>
      <c r="P39" s="297">
        <f>IF(ISNA(VLOOKUP($A39,ThrowData,2,FALSE)),0,VLOOKUP($A39,ThrowData,2,FALSE))</f>
        <v>10.03</v>
      </c>
      <c r="Q39" s="298">
        <f>IF(ISNA(VLOOKUP($A39,SprintData,4,FALSE)),0,VLOOKUP($A39,SprintData,4,FALSE))+V39</f>
        <v>24</v>
      </c>
      <c r="R39" s="298">
        <f>IF(ISNA(VLOOKUP($A39,JumpData,4,FALSE)),0,VLOOKUP($A39,JumpData,4,FALSE))+W39</f>
        <v>15</v>
      </c>
      <c r="S39" s="298">
        <f>IF(ISNA(VLOOKUP($A39,RunData,4,FALSE)),0,VLOOKUP($A39,RunData,4,FALSE))+X39</f>
        <v>46</v>
      </c>
      <c r="T39" s="298">
        <f>IF(ISNA(VLOOKUP($A39,ThrowData,4,FALSE)),0,VLOOKUP($A39,ThrowData,4,FALSE))+Y39</f>
        <v>20</v>
      </c>
      <c r="U39" s="299">
        <f t="shared" si="2"/>
        <v>105</v>
      </c>
      <c r="V39">
        <f>IF(AND($F39&gt;0,NOT(M39),Flexing),FlexPC,0)</f>
        <v>0</v>
      </c>
      <c r="W39">
        <f>IF(AND($F39&gt;0,NOT(N39),Flexing),FlexPC,0)</f>
        <v>0</v>
      </c>
      <c r="X39">
        <f>IF(AND($F39&gt;0,NOT(O39),Flexing),FlexPC,0)</f>
        <v>0</v>
      </c>
      <c r="Y39">
        <f>IF(AND($F39&gt;0,NOT(P39),Flexing),FlexPC,0)</f>
        <v>0</v>
      </c>
      <c r="AA39" s="209">
        <f t="shared" si="3"/>
        <v>38</v>
      </c>
    </row>
    <row r="40" ht="15.75" customHeight="1">
      <c r="A40" s="206" t="str">
        <f>+Declarations!A40&amp;""</f>
        <v>46</v>
      </c>
      <c r="B40" t="str">
        <f>IF(LEN($A40),IF(LEN(Declarations!$B40)&gt;0,Declarations!$B40,"#"&amp;$A40),"")</f>
        <v>Sophie Cross</v>
      </c>
      <c r="C40" s="209" t="str">
        <f t="array" ref="C40">IF(LEN(INDEX(DECLARATIONS,$AA40,3))&gt;0,INDEX(DECLARATIONS,$AA40,3),"...")</f>
        <v>Southampton AC</v>
      </c>
      <c r="D40" s="209" t="str">
        <f t="shared" si="1"/>
        <v>F</v>
      </c>
      <c r="E40" s="296" t="str">
        <f t="array" ref="E40">IF(ISNA($AA40),0,INDEX(DECLARATIONS,$AA40,5))</f>
        <v/>
      </c>
      <c r="F40" s="209" t="str">
        <f t="array" ref="F40">IF(ISNA($AA40),0,INDEX(DECLARATIONS,$AA40,7))</f>
        <v/>
      </c>
      <c r="G40" s="209" t="str">
        <f t="array" ref="G40">UPPER(IF(ISNA($AA40),"",INDEX(DECLARATIONS,$AA40,4)))</f>
        <v>F</v>
      </c>
      <c r="H40" t="str">
        <f>IF(AND(A40&gt;0,ISTEXT(B40)),IF(SECNAME="YES",LEFT(B40&amp;" ",FIND(" ",B40&amp;" ")+2)&amp;IF(F40&gt;0," ("&amp;F40&amp;")",""),B40&amp;IF(F40&gt;0," ("&amp;F40&amp;")","")),"#"&amp;$A40)</f>
        <v>Sophie Cross</v>
      </c>
      <c r="I40" s="209">
        <f>IF(LEN($A40)&gt;0,IF(LEN($J40)&gt;0,MATCH(J40,MatchNames,0),EventIndex),0)</f>
        <v>6</v>
      </c>
      <c r="J40" s="209" t="str">
        <f>IF(LEN($A40)&gt;0,IF(LEN(Declarations!$F40)&gt;0,Declarations!$F40,conftype),"")</f>
        <v>QuadKids Club</v>
      </c>
      <c r="M40" s="297">
        <f>IF(ISNA(VLOOKUP($A40,SprintData,2,FALSE)),0,VLOOKUP($A40,SprintData,2,FALSE))</f>
        <v>13.2</v>
      </c>
      <c r="N40" s="297">
        <f>IF(ISNA(VLOOKUP($A40,JumpData,2,FALSE)),0,VLOOKUP($A40,JumpData,2,FALSE))</f>
        <v>3.1</v>
      </c>
      <c r="O40" s="297">
        <f>IF(ISNA(VLOOKUP($A40,RunData,2,FALSE)),0,VLOOKUP($A40,RunData,2,FALSE))</f>
        <v>2.14</v>
      </c>
      <c r="P40" s="297">
        <f>IF(ISNA(VLOOKUP($A40,ThrowData,2,FALSE)),0,VLOOKUP($A40,ThrowData,2,FALSE))</f>
        <v>16.14</v>
      </c>
      <c r="Q40" s="298">
        <f>IF(ISNA(VLOOKUP($A40,SprintData,4,FALSE)),0,VLOOKUP($A40,SprintData,4,FALSE))+V40</f>
        <v>38</v>
      </c>
      <c r="R40" s="298">
        <f>IF(ISNA(VLOOKUP($A40,JumpData,4,FALSE)),0,VLOOKUP($A40,JumpData,4,FALSE))+W40</f>
        <v>40</v>
      </c>
      <c r="S40" s="298">
        <f>IF(ISNA(VLOOKUP($A40,RunData,4,FALSE)),0,VLOOKUP($A40,RunData,4,FALSE))+X40</f>
        <v>56</v>
      </c>
      <c r="T40" s="298">
        <f>IF(ISNA(VLOOKUP($A40,ThrowData,4,FALSE)),0,VLOOKUP($A40,ThrowData,4,FALSE))+Y40</f>
        <v>32</v>
      </c>
      <c r="U40" s="299">
        <f t="shared" si="2"/>
        <v>166</v>
      </c>
      <c r="V40">
        <f>IF(AND($F40&gt;0,NOT(M40),Flexing),FlexPC,0)</f>
        <v>0</v>
      </c>
      <c r="W40">
        <f>IF(AND($F40&gt;0,NOT(N40),Flexing),FlexPC,0)</f>
        <v>0</v>
      </c>
      <c r="X40">
        <f>IF(AND($F40&gt;0,NOT(O40),Flexing),FlexPC,0)</f>
        <v>0</v>
      </c>
      <c r="Y40">
        <f>IF(AND($F40&gt;0,NOT(P40),Flexing),FlexPC,0)</f>
        <v>0</v>
      </c>
      <c r="AA40" s="209">
        <f t="shared" si="3"/>
        <v>39</v>
      </c>
    </row>
    <row r="41" ht="15.75" customHeight="1">
      <c r="A41" s="206" t="str">
        <f>+Declarations!A41&amp;""</f>
        <v>47</v>
      </c>
      <c r="B41" t="str">
        <f>IF(LEN($A41),IF(LEN(Declarations!$B41)&gt;0,Declarations!$B41,"#"&amp;$A41),"")</f>
        <v>Isis Dalton</v>
      </c>
      <c r="C41" s="209" t="str">
        <f t="array" ref="C41">IF(LEN(INDEX(DECLARATIONS,$AA41,3))&gt;0,INDEX(DECLARATIONS,$AA41,3),"...")</f>
        <v>Wimborne AC</v>
      </c>
      <c r="D41" s="209" t="str">
        <f t="shared" si="1"/>
        <v>F</v>
      </c>
      <c r="E41" s="296" t="str">
        <f t="array" ref="E41">IF(ISNA($AA41),0,INDEX(DECLARATIONS,$AA41,5))</f>
        <v/>
      </c>
      <c r="F41" s="209" t="str">
        <f t="array" ref="F41">IF(ISNA($AA41),0,INDEX(DECLARATIONS,$AA41,7))</f>
        <v/>
      </c>
      <c r="G41" s="209" t="str">
        <f t="array" ref="G41">UPPER(IF(ISNA($AA41),"",INDEX(DECLARATIONS,$AA41,4)))</f>
        <v>F</v>
      </c>
      <c r="H41" t="str">
        <f>IF(AND(A41&gt;0,ISTEXT(B41)),IF(SECNAME="YES",LEFT(B41&amp;" ",FIND(" ",B41&amp;" ")+2)&amp;IF(F41&gt;0," ("&amp;F41&amp;")",""),B41&amp;IF(F41&gt;0," ("&amp;F41&amp;")","")),"#"&amp;$A41)</f>
        <v>Isis Dalton</v>
      </c>
      <c r="I41" s="209">
        <f>IF(LEN($A41)&gt;0,IF(LEN($J41)&gt;0,MATCH(J41,MatchNames,0),EventIndex),0)</f>
        <v>6</v>
      </c>
      <c r="J41" s="209" t="str">
        <f>IF(LEN($A41)&gt;0,IF(LEN(Declarations!$F41)&gt;0,Declarations!$F41,conftype),"")</f>
        <v>QuadKids Club</v>
      </c>
      <c r="M41" s="297">
        <f>IF(ISNA(VLOOKUP($A41,SprintData,2,FALSE)),0,VLOOKUP($A41,SprintData,2,FALSE))</f>
        <v>13.1</v>
      </c>
      <c r="N41" s="297">
        <f>IF(ISNA(VLOOKUP($A41,JumpData,2,FALSE)),0,VLOOKUP($A41,JumpData,2,FALSE))</f>
        <v>3.38</v>
      </c>
      <c r="O41" s="297">
        <f>IF(ISNA(VLOOKUP($A41,RunData,2,FALSE)),0,VLOOKUP($A41,RunData,2,FALSE))</f>
        <v>0</v>
      </c>
      <c r="P41" s="297">
        <f>IF(ISNA(VLOOKUP($A41,ThrowData,2,FALSE)),0,VLOOKUP($A41,ThrowData,2,FALSE))</f>
        <v>13.91</v>
      </c>
      <c r="Q41" s="298">
        <f>IF(ISNA(VLOOKUP($A41,SprintData,4,FALSE)),0,VLOOKUP($A41,SprintData,4,FALSE))+V41</f>
        <v>39</v>
      </c>
      <c r="R41" s="298">
        <f>IF(ISNA(VLOOKUP($A41,JumpData,4,FALSE)),0,VLOOKUP($A41,JumpData,4,FALSE))+W41</f>
        <v>49</v>
      </c>
      <c r="S41" s="298">
        <f>IF(ISNA(VLOOKUP($A41,RunData,4,FALSE)),0,VLOOKUP($A41,RunData,4,FALSE))+X41</f>
        <v>0</v>
      </c>
      <c r="T41" s="298">
        <f>IF(ISNA(VLOOKUP($A41,ThrowData,4,FALSE)),0,VLOOKUP($A41,ThrowData,4,FALSE))+Y41</f>
        <v>27</v>
      </c>
      <c r="U41" s="299">
        <f t="shared" si="2"/>
        <v>115</v>
      </c>
      <c r="V41">
        <f>IF(AND($F41&gt;0,NOT(M41),Flexing),FlexPC,0)</f>
        <v>0</v>
      </c>
      <c r="W41">
        <f>IF(AND($F41&gt;0,NOT(N41),Flexing),FlexPC,0)</f>
        <v>0</v>
      </c>
      <c r="X41">
        <f>IF(AND($F41&gt;0,NOT(O41),Flexing),FlexPC,0)</f>
        <v>0</v>
      </c>
      <c r="Y41">
        <f>IF(AND($F41&gt;0,NOT(P41),Flexing),FlexPC,0)</f>
        <v>0</v>
      </c>
      <c r="AA41" s="209">
        <f t="shared" si="3"/>
        <v>40</v>
      </c>
    </row>
    <row r="42" ht="15.75" customHeight="1">
      <c r="A42" s="206" t="str">
        <f>+Declarations!A42&amp;""</f>
        <v>48</v>
      </c>
      <c r="B42" t="str">
        <f>IF(LEN($A42),IF(LEN(Declarations!$B42)&gt;0,Declarations!$B42,"#"&amp;$A42),"")</f>
        <v>Elizabeth Davie</v>
      </c>
      <c r="C42" s="209" t="str">
        <f t="array" ref="C42">IF(LEN(INDEX(DECLARATIONS,$AA42,3))&gt;0,INDEX(DECLARATIONS,$AA42,3),"...")</f>
        <v>BAC</v>
      </c>
      <c r="D42" s="209" t="str">
        <f t="shared" si="1"/>
        <v>F</v>
      </c>
      <c r="E42" s="296" t="str">
        <f t="array" ref="E42">IF(ISNA($AA42),0,INDEX(DECLARATIONS,$AA42,5))</f>
        <v/>
      </c>
      <c r="F42" s="209" t="str">
        <f t="array" ref="F42">IF(ISNA($AA42),0,INDEX(DECLARATIONS,$AA42,7))</f>
        <v/>
      </c>
      <c r="G42" s="209" t="str">
        <f t="array" ref="G42">UPPER(IF(ISNA($AA42),"",INDEX(DECLARATIONS,$AA42,4)))</f>
        <v>F</v>
      </c>
      <c r="H42" t="str">
        <f>IF(AND(A42&gt;0,ISTEXT(B42)),IF(SECNAME="YES",LEFT(B42&amp;" ",FIND(" ",B42&amp;" ")+2)&amp;IF(F42&gt;0," ("&amp;F42&amp;")",""),B42&amp;IF(F42&gt;0," ("&amp;F42&amp;")","")),"#"&amp;$A42)</f>
        <v>Elizabeth Davie</v>
      </c>
      <c r="I42" s="209">
        <f>IF(LEN($A42)&gt;0,IF(LEN($J42)&gt;0,MATCH(J42,MatchNames,0),EventIndex),0)</f>
        <v>6</v>
      </c>
      <c r="J42" s="209" t="str">
        <f>IF(LEN($A42)&gt;0,IF(LEN(Declarations!$F42)&gt;0,Declarations!$F42,conftype),"")</f>
        <v>QuadKids Club</v>
      </c>
      <c r="M42" s="297">
        <f>IF(ISNA(VLOOKUP($A42,SprintData,2,FALSE)),0,VLOOKUP($A42,SprintData,2,FALSE))</f>
        <v>12.6</v>
      </c>
      <c r="N42" s="297">
        <f>IF(ISNA(VLOOKUP($A42,JumpData,2,FALSE)),0,VLOOKUP($A42,JumpData,2,FALSE))</f>
        <v>2.97</v>
      </c>
      <c r="O42" s="297">
        <f>IF(ISNA(VLOOKUP($A42,RunData,2,FALSE)),0,VLOOKUP($A42,RunData,2,FALSE))</f>
        <v>2.25</v>
      </c>
      <c r="P42" s="297">
        <f>IF(ISNA(VLOOKUP($A42,ThrowData,2,FALSE)),0,VLOOKUP($A42,ThrowData,2,FALSE))</f>
        <v>15.04</v>
      </c>
      <c r="Q42" s="298">
        <f>IF(ISNA(VLOOKUP($A42,SprintData,4,FALSE)),0,VLOOKUP($A42,SprintData,4,FALSE))+V42</f>
        <v>44</v>
      </c>
      <c r="R42" s="298">
        <f>IF(ISNA(VLOOKUP($A42,JumpData,4,FALSE)),0,VLOOKUP($A42,JumpData,4,FALSE))+W42</f>
        <v>35</v>
      </c>
      <c r="S42" s="298">
        <f>IF(ISNA(VLOOKUP($A42,RunData,4,FALSE)),0,VLOOKUP($A42,RunData,4,FALSE))+X42</f>
        <v>45</v>
      </c>
      <c r="T42" s="298">
        <f>IF(ISNA(VLOOKUP($A42,ThrowData,4,FALSE)),0,VLOOKUP($A42,ThrowData,4,FALSE))+Y42</f>
        <v>30</v>
      </c>
      <c r="U42" s="299">
        <f t="shared" si="2"/>
        <v>154</v>
      </c>
      <c r="V42">
        <f>IF(AND($F42&gt;0,NOT(M42),Flexing),FlexPC,0)</f>
        <v>0</v>
      </c>
      <c r="W42">
        <f>IF(AND($F42&gt;0,NOT(N42),Flexing),FlexPC,0)</f>
        <v>0</v>
      </c>
      <c r="X42">
        <f>IF(AND($F42&gt;0,NOT(O42),Flexing),FlexPC,0)</f>
        <v>0</v>
      </c>
      <c r="Y42">
        <f>IF(AND($F42&gt;0,NOT(P42),Flexing),FlexPC,0)</f>
        <v>0</v>
      </c>
      <c r="AA42" s="209">
        <f t="shared" si="3"/>
        <v>41</v>
      </c>
    </row>
    <row r="43" ht="15.75" customHeight="1">
      <c r="A43" s="206" t="str">
        <f>+Declarations!A43&amp;""</f>
        <v>49</v>
      </c>
      <c r="B43" t="str">
        <f>IF(LEN($A43),IF(LEN(Declarations!$B43)&gt;0,Declarations!$B43,"#"&amp;$A43),"")</f>
        <v>Amelia Drew</v>
      </c>
      <c r="C43" s="209" t="str">
        <f t="array" ref="C43">IF(LEN(INDEX(DECLARATIONS,$AA43,3))&gt;0,INDEX(DECLARATIONS,$AA43,3),"...")</f>
        <v>Poole AC</v>
      </c>
      <c r="D43" s="209" t="str">
        <f t="shared" si="1"/>
        <v>F</v>
      </c>
      <c r="E43" s="296" t="str">
        <f t="array" ref="E43">IF(ISNA($AA43),0,INDEX(DECLARATIONS,$AA43,5))</f>
        <v/>
      </c>
      <c r="F43" s="209" t="str">
        <f t="array" ref="F43">IF(ISNA($AA43),0,INDEX(DECLARATIONS,$AA43,7))</f>
        <v/>
      </c>
      <c r="G43" s="209" t="str">
        <f t="array" ref="G43">UPPER(IF(ISNA($AA43),"",INDEX(DECLARATIONS,$AA43,4)))</f>
        <v>F</v>
      </c>
      <c r="H43" t="str">
        <f>IF(AND(A43&gt;0,ISTEXT(B43)),IF(SECNAME="YES",LEFT(B43&amp;" ",FIND(" ",B43&amp;" ")+2)&amp;IF(F43&gt;0," ("&amp;F43&amp;")",""),B43&amp;IF(F43&gt;0," ("&amp;F43&amp;")","")),"#"&amp;$A43)</f>
        <v>Amelia Drew</v>
      </c>
      <c r="I43" s="209">
        <f>IF(LEN($A43)&gt;0,IF(LEN($J43)&gt;0,MATCH(J43,MatchNames,0),EventIndex),0)</f>
        <v>6</v>
      </c>
      <c r="J43" s="209" t="str">
        <f>IF(LEN($A43)&gt;0,IF(LEN(Declarations!$F43)&gt;0,Declarations!$F43,conftype),"")</f>
        <v>QuadKids Club</v>
      </c>
      <c r="M43" s="297">
        <f>IF(ISNA(VLOOKUP($A43,SprintData,2,FALSE)),0,VLOOKUP($A43,SprintData,2,FALSE))</f>
        <v>15.8</v>
      </c>
      <c r="N43" s="297">
        <f>IF(ISNA(VLOOKUP($A43,JumpData,2,FALSE)),0,VLOOKUP($A43,JumpData,2,FALSE))</f>
        <v>1.2</v>
      </c>
      <c r="O43" s="297">
        <f>IF(ISNA(VLOOKUP($A43,RunData,2,FALSE)),0,VLOOKUP($A43,RunData,2,FALSE))</f>
        <v>2.34</v>
      </c>
      <c r="P43" s="297">
        <f>IF(ISNA(VLOOKUP($A43,ThrowData,2,FALSE)),0,VLOOKUP($A43,ThrowData,2,FALSE))</f>
        <v>9.95</v>
      </c>
      <c r="Q43" s="298">
        <f>IF(ISNA(VLOOKUP($A43,SprintData,4,FALSE)),0,VLOOKUP($A43,SprintData,4,FALSE))+V43</f>
        <v>11</v>
      </c>
      <c r="R43" s="298">
        <f>IF(ISNA(VLOOKUP($A43,JumpData,4,FALSE)),0,VLOOKUP($A43,JumpData,4,FALSE))+W43</f>
        <v>10</v>
      </c>
      <c r="S43" s="298">
        <f>IF(ISNA(VLOOKUP($A43,RunData,4,FALSE)),0,VLOOKUP($A43,RunData,4,FALSE))+X43</f>
        <v>36</v>
      </c>
      <c r="T43" s="298">
        <f>IF(ISNA(VLOOKUP($A43,ThrowData,4,FALSE)),0,VLOOKUP($A43,ThrowData,4,FALSE))+Y43</f>
        <v>19</v>
      </c>
      <c r="U43" s="299">
        <f t="shared" si="2"/>
        <v>76</v>
      </c>
      <c r="V43">
        <f>IF(AND($F43&gt;0,NOT(M43),Flexing),FlexPC,0)</f>
        <v>0</v>
      </c>
      <c r="W43">
        <f>IF(AND($F43&gt;0,NOT(N43),Flexing),FlexPC,0)</f>
        <v>0</v>
      </c>
      <c r="X43">
        <f>IF(AND($F43&gt;0,NOT(O43),Flexing),FlexPC,0)</f>
        <v>0</v>
      </c>
      <c r="Y43">
        <f>IF(AND($F43&gt;0,NOT(P43),Flexing),FlexPC,0)</f>
        <v>0</v>
      </c>
      <c r="AA43" s="209">
        <f t="shared" si="3"/>
        <v>42</v>
      </c>
    </row>
    <row r="44" ht="15.75" customHeight="1">
      <c r="A44" s="206" t="str">
        <f>+Declarations!A44&amp;""</f>
        <v>50</v>
      </c>
      <c r="B44" t="str">
        <f>IF(LEN($A44),IF(LEN(Declarations!$B44)&gt;0,Declarations!$B44,"#"&amp;$A44),"")</f>
        <v>Millie Drew</v>
      </c>
      <c r="C44" s="209" t="str">
        <f t="array" ref="C44">IF(LEN(INDEX(DECLARATIONS,$AA44,3))&gt;0,INDEX(DECLARATIONS,$AA44,3),"...")</f>
        <v>Bournemouth AC</v>
      </c>
      <c r="D44" s="209" t="str">
        <f t="shared" si="1"/>
        <v>F</v>
      </c>
      <c r="E44" s="296" t="str">
        <f t="array" ref="E44">IF(ISNA($AA44),0,INDEX(DECLARATIONS,$AA44,5))</f>
        <v/>
      </c>
      <c r="F44" s="209" t="str">
        <f t="array" ref="F44">IF(ISNA($AA44),0,INDEX(DECLARATIONS,$AA44,7))</f>
        <v/>
      </c>
      <c r="G44" s="209" t="str">
        <f t="array" ref="G44">UPPER(IF(ISNA($AA44),"",INDEX(DECLARATIONS,$AA44,4)))</f>
        <v>F</v>
      </c>
      <c r="H44" t="str">
        <f>IF(AND(A44&gt;0,ISTEXT(B44)),IF(SECNAME="YES",LEFT(B44&amp;" ",FIND(" ",B44&amp;" ")+2)&amp;IF(F44&gt;0," ("&amp;F44&amp;")",""),B44&amp;IF(F44&gt;0," ("&amp;F44&amp;")","")),"#"&amp;$A44)</f>
        <v>Millie Drew</v>
      </c>
      <c r="I44" s="209">
        <f>IF(LEN($A44)&gt;0,IF(LEN($J44)&gt;0,MATCH(J44,MatchNames,0),EventIndex),0)</f>
        <v>6</v>
      </c>
      <c r="J44" s="209" t="str">
        <f>IF(LEN($A44)&gt;0,IF(LEN(Declarations!$F44)&gt;0,Declarations!$F44,conftype),"")</f>
        <v>QuadKids Club</v>
      </c>
      <c r="M44" s="297">
        <f>IF(ISNA(VLOOKUP($A44,SprintData,2,FALSE)),0,VLOOKUP($A44,SprintData,2,FALSE))</f>
        <v>13.5</v>
      </c>
      <c r="N44" s="297">
        <f>IF(ISNA(VLOOKUP($A44,JumpData,2,FALSE)),0,VLOOKUP($A44,JumpData,2,FALSE))</f>
        <v>0</v>
      </c>
      <c r="O44" s="297">
        <f>IF(ISNA(VLOOKUP($A44,RunData,2,FALSE)),0,VLOOKUP($A44,RunData,2,FALSE))</f>
        <v>0</v>
      </c>
      <c r="P44" s="297">
        <f>IF(ISNA(VLOOKUP($A44,ThrowData,2,FALSE)),0,VLOOKUP($A44,ThrowData,2,FALSE))</f>
        <v>0</v>
      </c>
      <c r="Q44" s="298">
        <f>IF(ISNA(VLOOKUP($A44,SprintData,4,FALSE)),0,VLOOKUP($A44,SprintData,4,FALSE))+V44</f>
        <v>35</v>
      </c>
      <c r="R44" s="298">
        <f>IF(ISNA(VLOOKUP($A44,JumpData,4,FALSE)),0,VLOOKUP($A44,JumpData,4,FALSE))+W44</f>
        <v>0</v>
      </c>
      <c r="S44" s="298">
        <f>IF(ISNA(VLOOKUP($A44,RunData,4,FALSE)),0,VLOOKUP($A44,RunData,4,FALSE))+X44</f>
        <v>0</v>
      </c>
      <c r="T44" s="298">
        <f>IF(ISNA(VLOOKUP($A44,ThrowData,4,FALSE)),0,VLOOKUP($A44,ThrowData,4,FALSE))+Y44</f>
        <v>0</v>
      </c>
      <c r="U44" s="299">
        <f t="shared" si="2"/>
        <v>35</v>
      </c>
      <c r="V44">
        <f>IF(AND($F44&gt;0,NOT(M44),Flexing),FlexPC,0)</f>
        <v>0</v>
      </c>
      <c r="W44">
        <f>IF(AND($F44&gt;0,NOT(N44),Flexing),FlexPC,0)</f>
        <v>0</v>
      </c>
      <c r="X44">
        <f>IF(AND($F44&gt;0,NOT(O44),Flexing),FlexPC,0)</f>
        <v>0</v>
      </c>
      <c r="Y44">
        <f>IF(AND($F44&gt;0,NOT(P44),Flexing),FlexPC,0)</f>
        <v>0</v>
      </c>
      <c r="AA44" s="209">
        <f t="shared" si="3"/>
        <v>43</v>
      </c>
    </row>
    <row r="45" ht="15.75" customHeight="1">
      <c r="A45" s="206" t="str">
        <f>+Declarations!A45&amp;""</f>
        <v>51</v>
      </c>
      <c r="B45" t="str">
        <f>IF(LEN($A45),IF(LEN(Declarations!$B45)&gt;0,Declarations!$B45,"#"&amp;$A45),"")</f>
        <v>Evie Fuller</v>
      </c>
      <c r="C45" s="209" t="str">
        <f t="array" ref="C45">IF(LEN(INDEX(DECLARATIONS,$AA45,3))&gt;0,INDEX(DECLARATIONS,$AA45,3),"...")</f>
        <v>Wimborne AC</v>
      </c>
      <c r="D45" s="209" t="str">
        <f t="shared" si="1"/>
        <v>F</v>
      </c>
      <c r="E45" s="296" t="str">
        <f t="array" ref="E45">IF(ISNA($AA45),0,INDEX(DECLARATIONS,$AA45,5))</f>
        <v/>
      </c>
      <c r="F45" s="209" t="str">
        <f t="array" ref="F45">IF(ISNA($AA45),0,INDEX(DECLARATIONS,$AA45,7))</f>
        <v/>
      </c>
      <c r="G45" s="209" t="str">
        <f t="array" ref="G45">UPPER(IF(ISNA($AA45),"",INDEX(DECLARATIONS,$AA45,4)))</f>
        <v>F</v>
      </c>
      <c r="H45" t="str">
        <f>IF(AND(A45&gt;0,ISTEXT(B45)),IF(SECNAME="YES",LEFT(B45&amp;" ",FIND(" ",B45&amp;" ")+2)&amp;IF(F45&gt;0," ("&amp;F45&amp;")",""),B45&amp;IF(F45&gt;0," ("&amp;F45&amp;")","")),"#"&amp;$A45)</f>
        <v>Evie Fuller</v>
      </c>
      <c r="I45" s="209">
        <f>IF(LEN($A45)&gt;0,IF(LEN($J45)&gt;0,MATCH(J45,MatchNames,0),EventIndex),0)</f>
        <v>6</v>
      </c>
      <c r="J45" s="209" t="str">
        <f>IF(LEN($A45)&gt;0,IF(LEN(Declarations!$F45)&gt;0,Declarations!$F45,conftype),"")</f>
        <v>QuadKids Club</v>
      </c>
      <c r="M45" s="297">
        <f>IF(ISNA(VLOOKUP($A45,SprintData,2,FALSE)),0,VLOOKUP($A45,SprintData,2,FALSE))</f>
        <v>14.2</v>
      </c>
      <c r="N45" s="297">
        <f>IF(ISNA(VLOOKUP($A45,JumpData,2,FALSE)),0,VLOOKUP($A45,JumpData,2,FALSE))</f>
        <v>2.71</v>
      </c>
      <c r="O45" s="297">
        <f>IF(ISNA(VLOOKUP($A45,RunData,2,FALSE)),0,VLOOKUP($A45,RunData,2,FALSE))</f>
        <v>2.11</v>
      </c>
      <c r="P45" s="297">
        <f>IF(ISNA(VLOOKUP($A45,ThrowData,2,FALSE)),0,VLOOKUP($A45,ThrowData,2,FALSE))</f>
        <v>12.33</v>
      </c>
      <c r="Q45" s="298">
        <f>IF(ISNA(VLOOKUP($A45,SprintData,4,FALSE)),0,VLOOKUP($A45,SprintData,4,FALSE))+V45</f>
        <v>28</v>
      </c>
      <c r="R45" s="298">
        <f>IF(ISNA(VLOOKUP($A45,JumpData,4,FALSE)),0,VLOOKUP($A45,JumpData,4,FALSE))+W45</f>
        <v>27</v>
      </c>
      <c r="S45" s="298">
        <f>IF(ISNA(VLOOKUP($A45,RunData,4,FALSE)),0,VLOOKUP($A45,RunData,4,FALSE))+X45</f>
        <v>59</v>
      </c>
      <c r="T45" s="298">
        <f>IF(ISNA(VLOOKUP($A45,ThrowData,4,FALSE)),0,VLOOKUP($A45,ThrowData,4,FALSE))+Y45</f>
        <v>24</v>
      </c>
      <c r="U45" s="299">
        <f t="shared" si="2"/>
        <v>138</v>
      </c>
      <c r="V45">
        <f>IF(AND($F45&gt;0,NOT(M45),Flexing),FlexPC,0)</f>
        <v>0</v>
      </c>
      <c r="W45">
        <f>IF(AND($F45&gt;0,NOT(N45),Flexing),FlexPC,0)</f>
        <v>0</v>
      </c>
      <c r="X45">
        <f>IF(AND($F45&gt;0,NOT(O45),Flexing),FlexPC,0)</f>
        <v>0</v>
      </c>
      <c r="Y45">
        <f>IF(AND($F45&gt;0,NOT(P45),Flexing),FlexPC,0)</f>
        <v>0</v>
      </c>
      <c r="AA45" s="209">
        <f t="shared" si="3"/>
        <v>44</v>
      </c>
    </row>
    <row r="46" ht="15.75" customHeight="1">
      <c r="A46" s="206" t="str">
        <f>+Declarations!A46&amp;""</f>
        <v>52</v>
      </c>
      <c r="B46" t="str">
        <f>IF(LEN($A46),IF(LEN(Declarations!$B46)&gt;0,Declarations!$B46,"#"&amp;$A46),"")</f>
        <v>Izzy Garavini</v>
      </c>
      <c r="C46" s="209" t="str">
        <f t="array" ref="C46">IF(LEN(INDEX(DECLARATIONS,$AA46,3))&gt;0,INDEX(DECLARATIONS,$AA46,3),"...")</f>
        <v>Poole AC</v>
      </c>
      <c r="D46" s="209" t="str">
        <f t="shared" si="1"/>
        <v>F</v>
      </c>
      <c r="E46" s="296" t="str">
        <f t="array" ref="E46">IF(ISNA($AA46),0,INDEX(DECLARATIONS,$AA46,5))</f>
        <v/>
      </c>
      <c r="F46" s="209" t="str">
        <f t="array" ref="F46">IF(ISNA($AA46),0,INDEX(DECLARATIONS,$AA46,7))</f>
        <v/>
      </c>
      <c r="G46" s="209" t="str">
        <f t="array" ref="G46">UPPER(IF(ISNA($AA46),"",INDEX(DECLARATIONS,$AA46,4)))</f>
        <v>F</v>
      </c>
      <c r="H46" t="str">
        <f>IF(AND(A46&gt;0,ISTEXT(B46)),IF(SECNAME="YES",LEFT(B46&amp;" ",FIND(" ",B46&amp;" ")+2)&amp;IF(F46&gt;0," ("&amp;F46&amp;")",""),B46&amp;IF(F46&gt;0," ("&amp;F46&amp;")","")),"#"&amp;$A46)</f>
        <v>Izzy Garavini</v>
      </c>
      <c r="I46" s="209">
        <f>IF(LEN($A46)&gt;0,IF(LEN($J46)&gt;0,MATCH(J46,MatchNames,0),EventIndex),0)</f>
        <v>6</v>
      </c>
      <c r="J46" s="209" t="str">
        <f>IF(LEN($A46)&gt;0,IF(LEN(Declarations!$F46)&gt;0,Declarations!$F46,conftype),"")</f>
        <v>QuadKids Club</v>
      </c>
      <c r="M46" s="297">
        <f>IF(ISNA(VLOOKUP($A46,SprintData,2,FALSE)),0,VLOOKUP($A46,SprintData,2,FALSE))</f>
        <v>13.4</v>
      </c>
      <c r="N46" s="297">
        <f>IF(ISNA(VLOOKUP($A46,JumpData,2,FALSE)),0,VLOOKUP($A46,JumpData,2,FALSE))</f>
        <v>2.96</v>
      </c>
      <c r="O46" s="297">
        <f>IF(ISNA(VLOOKUP($A46,RunData,2,FALSE)),0,VLOOKUP($A46,RunData,2,FALSE))</f>
        <v>2.13</v>
      </c>
      <c r="P46" s="297">
        <f>IF(ISNA(VLOOKUP($A46,ThrowData,2,FALSE)),0,VLOOKUP($A46,ThrowData,2,FALSE))</f>
        <v>10.29</v>
      </c>
      <c r="Q46" s="298">
        <f>IF(ISNA(VLOOKUP($A46,SprintData,4,FALSE)),0,VLOOKUP($A46,SprintData,4,FALSE))+V46</f>
        <v>36</v>
      </c>
      <c r="R46" s="298">
        <f>IF(ISNA(VLOOKUP($A46,JumpData,4,FALSE)),0,VLOOKUP($A46,JumpData,4,FALSE))+W46</f>
        <v>35</v>
      </c>
      <c r="S46" s="298">
        <f>IF(ISNA(VLOOKUP($A46,RunData,4,FALSE)),0,VLOOKUP($A46,RunData,4,FALSE))+X46</f>
        <v>57</v>
      </c>
      <c r="T46" s="298">
        <f>IF(ISNA(VLOOKUP($A46,ThrowData,4,FALSE)),0,VLOOKUP($A46,ThrowData,4,FALSE))+Y46</f>
        <v>20</v>
      </c>
      <c r="U46" s="299">
        <f t="shared" si="2"/>
        <v>148</v>
      </c>
      <c r="V46">
        <f>IF(AND($F46&gt;0,NOT(M46),Flexing),FlexPC,0)</f>
        <v>0</v>
      </c>
      <c r="W46">
        <f>IF(AND($F46&gt;0,NOT(N46),Flexing),FlexPC,0)</f>
        <v>0</v>
      </c>
      <c r="X46">
        <f>IF(AND($F46&gt;0,NOT(O46),Flexing),FlexPC,0)</f>
        <v>0</v>
      </c>
      <c r="Y46">
        <f>IF(AND($F46&gt;0,NOT(P46),Flexing),FlexPC,0)</f>
        <v>0</v>
      </c>
      <c r="AA46" s="209">
        <f t="shared" si="3"/>
        <v>45</v>
      </c>
    </row>
    <row r="47" ht="15.75" customHeight="1">
      <c r="A47" s="206" t="str">
        <f>+Declarations!A47&amp;""</f>
        <v>53</v>
      </c>
      <c r="B47" t="str">
        <f>IF(LEN($A47),IF(LEN(Declarations!$B47)&gt;0,Declarations!$B47,"#"&amp;$A47),"")</f>
        <v>Amber Groom </v>
      </c>
      <c r="C47" s="209" t="str">
        <f t="array" ref="C47">IF(LEN(INDEX(DECLARATIONS,$AA47,3))&gt;0,INDEX(DECLARATIONS,$AA47,3),"...")</f>
        <v>Havant</v>
      </c>
      <c r="D47" s="209" t="str">
        <f t="shared" si="1"/>
        <v>F</v>
      </c>
      <c r="E47" s="296" t="str">
        <f t="array" ref="E47">IF(ISNA($AA47),0,INDEX(DECLARATIONS,$AA47,5))</f>
        <v/>
      </c>
      <c r="F47" s="209" t="str">
        <f t="array" ref="F47">IF(ISNA($AA47),0,INDEX(DECLARATIONS,$AA47,7))</f>
        <v/>
      </c>
      <c r="G47" s="209" t="str">
        <f t="array" ref="G47">UPPER(IF(ISNA($AA47),"",INDEX(DECLARATIONS,$AA47,4)))</f>
        <v>F</v>
      </c>
      <c r="H47" t="str">
        <f>IF(AND(A47&gt;0,ISTEXT(B47)),IF(SECNAME="YES",LEFT(B47&amp;" ",FIND(" ",B47&amp;" ")+2)&amp;IF(F47&gt;0," ("&amp;F47&amp;")",""),B47&amp;IF(F47&gt;0," ("&amp;F47&amp;")","")),"#"&amp;$A47)</f>
        <v>Amber Groom </v>
      </c>
      <c r="I47" s="209">
        <f>IF(LEN($A47)&gt;0,IF(LEN($J47)&gt;0,MATCH(J47,MatchNames,0),EventIndex),0)</f>
        <v>6</v>
      </c>
      <c r="J47" s="209" t="str">
        <f>IF(LEN($A47)&gt;0,IF(LEN(Declarations!$F47)&gt;0,Declarations!$F47,conftype),"")</f>
        <v>QuadKids Club</v>
      </c>
      <c r="M47" s="297">
        <f>IF(ISNA(VLOOKUP($A47,SprintData,2,FALSE)),0,VLOOKUP($A47,SprintData,2,FALSE))</f>
        <v>0</v>
      </c>
      <c r="N47" s="297">
        <f>IF(ISNA(VLOOKUP($A47,JumpData,2,FALSE)),0,VLOOKUP($A47,JumpData,2,FALSE))</f>
        <v>0</v>
      </c>
      <c r="O47" s="297">
        <f>IF(ISNA(VLOOKUP($A47,RunData,2,FALSE)),0,VLOOKUP($A47,RunData,2,FALSE))</f>
        <v>0</v>
      </c>
      <c r="P47" s="297">
        <f>IF(ISNA(VLOOKUP($A47,ThrowData,2,FALSE)),0,VLOOKUP($A47,ThrowData,2,FALSE))</f>
        <v>0</v>
      </c>
      <c r="Q47" s="298">
        <f>IF(ISNA(VLOOKUP($A47,SprintData,4,FALSE)),0,VLOOKUP($A47,SprintData,4,FALSE))+V47</f>
        <v>0</v>
      </c>
      <c r="R47" s="298">
        <f>IF(ISNA(VLOOKUP($A47,JumpData,4,FALSE)),0,VLOOKUP($A47,JumpData,4,FALSE))+W47</f>
        <v>0</v>
      </c>
      <c r="S47" s="298">
        <f>IF(ISNA(VLOOKUP($A47,RunData,4,FALSE)),0,VLOOKUP($A47,RunData,4,FALSE))+X47</f>
        <v>0</v>
      </c>
      <c r="T47" s="298">
        <f>IF(ISNA(VLOOKUP($A47,ThrowData,4,FALSE)),0,VLOOKUP($A47,ThrowData,4,FALSE))+Y47</f>
        <v>0</v>
      </c>
      <c r="U47" s="299">
        <f t="shared" si="2"/>
        <v>0</v>
      </c>
      <c r="V47">
        <f>IF(AND($F47&gt;0,NOT(M47),Flexing),FlexPC,0)</f>
        <v>0</v>
      </c>
      <c r="W47">
        <f>IF(AND($F47&gt;0,NOT(N47),Flexing),FlexPC,0)</f>
        <v>0</v>
      </c>
      <c r="X47">
        <f>IF(AND($F47&gt;0,NOT(O47),Flexing),FlexPC,0)</f>
        <v>0</v>
      </c>
      <c r="Y47">
        <f>IF(AND($F47&gt;0,NOT(P47),Flexing),FlexPC,0)</f>
        <v>0</v>
      </c>
      <c r="AA47" s="209">
        <f t="shared" si="3"/>
        <v>46</v>
      </c>
    </row>
    <row r="48" ht="15.75" customHeight="1">
      <c r="A48" s="206" t="str">
        <f>+Declarations!A48&amp;""</f>
        <v>54</v>
      </c>
      <c r="B48" t="str">
        <f>IF(LEN($A48),IF(LEN(Declarations!$B48)&gt;0,Declarations!$B48,"#"&amp;$A48),"")</f>
        <v>Emilia Parsons</v>
      </c>
      <c r="C48" s="209" t="str">
        <f t="array" ref="C48">IF(LEN(INDEX(DECLARATIONS,$AA48,3))&gt;0,INDEX(DECLARATIONS,$AA48,3),"...")</f>
        <v>Bournemouth AC</v>
      </c>
      <c r="D48" s="209" t="str">
        <f t="shared" si="1"/>
        <v>F</v>
      </c>
      <c r="E48" s="296" t="str">
        <f t="array" ref="E48">IF(ISNA($AA48),0,INDEX(DECLARATIONS,$AA48,5))</f>
        <v/>
      </c>
      <c r="F48" s="209" t="str">
        <f t="array" ref="F48">IF(ISNA($AA48),0,INDEX(DECLARATIONS,$AA48,7))</f>
        <v/>
      </c>
      <c r="G48" s="209" t="str">
        <f t="array" ref="G48">UPPER(IF(ISNA($AA48),"",INDEX(DECLARATIONS,$AA48,4)))</f>
        <v>F</v>
      </c>
      <c r="H48" t="str">
        <f>IF(AND(A48&gt;0,ISTEXT(B48)),IF(SECNAME="YES",LEFT(B48&amp;" ",FIND(" ",B48&amp;" ")+2)&amp;IF(F48&gt;0," ("&amp;F48&amp;")",""),B48&amp;IF(F48&gt;0," ("&amp;F48&amp;")","")),"#"&amp;$A48)</f>
        <v>Emilia Parsons</v>
      </c>
      <c r="I48" s="209">
        <f>IF(LEN($A48)&gt;0,IF(LEN($J48)&gt;0,MATCH(J48,MatchNames,0),EventIndex),0)</f>
        <v>6</v>
      </c>
      <c r="J48" s="209" t="str">
        <f>IF(LEN($A48)&gt;0,IF(LEN(Declarations!$F48)&gt;0,Declarations!$F48,conftype),"")</f>
        <v>QuadKids Club</v>
      </c>
      <c r="M48" s="297">
        <f>IF(ISNA(VLOOKUP($A48,SprintData,2,FALSE)),0,VLOOKUP($A48,SprintData,2,FALSE))</f>
        <v>15.2</v>
      </c>
      <c r="N48" s="297">
        <f>IF(ISNA(VLOOKUP($A48,JumpData,2,FALSE)),0,VLOOKUP($A48,JumpData,2,FALSE))</f>
        <v>1.77</v>
      </c>
      <c r="O48" s="297">
        <f>IF(ISNA(VLOOKUP($A48,RunData,2,FALSE)),0,VLOOKUP($A48,RunData,2,FALSE))</f>
        <v>2.52</v>
      </c>
      <c r="P48" s="297">
        <f>IF(ISNA(VLOOKUP($A48,ThrowData,2,FALSE)),0,VLOOKUP($A48,ThrowData,2,FALSE))</f>
        <v>9.14</v>
      </c>
      <c r="Q48" s="298">
        <f>IF(ISNA(VLOOKUP($A48,SprintData,4,FALSE)),0,VLOOKUP($A48,SprintData,4,FALSE))+V48</f>
        <v>18</v>
      </c>
      <c r="R48" s="298">
        <f>IF(ISNA(VLOOKUP($A48,JumpData,4,FALSE)),0,VLOOKUP($A48,JumpData,4,FALSE))+W48</f>
        <v>10</v>
      </c>
      <c r="S48" s="298">
        <f>IF(ISNA(VLOOKUP($A48,RunData,4,FALSE)),0,VLOOKUP($A48,RunData,4,FALSE))+X48</f>
        <v>18</v>
      </c>
      <c r="T48" s="298">
        <f>IF(ISNA(VLOOKUP($A48,ThrowData,4,FALSE)),0,VLOOKUP($A48,ThrowData,4,FALSE))+Y48</f>
        <v>18</v>
      </c>
      <c r="U48" s="299">
        <f t="shared" si="2"/>
        <v>64</v>
      </c>
      <c r="V48">
        <f>IF(AND($F48&gt;0,NOT(M48),Flexing),FlexPC,0)</f>
        <v>0</v>
      </c>
      <c r="W48">
        <f>IF(AND($F48&gt;0,NOT(N48),Flexing),FlexPC,0)</f>
        <v>0</v>
      </c>
      <c r="X48">
        <f>IF(AND($F48&gt;0,NOT(O48),Flexing),FlexPC,0)</f>
        <v>0</v>
      </c>
      <c r="Y48">
        <f>IF(AND($F48&gt;0,NOT(P48),Flexing),FlexPC,0)</f>
        <v>0</v>
      </c>
      <c r="AA48" s="209">
        <f t="shared" si="3"/>
        <v>47</v>
      </c>
    </row>
    <row r="49" ht="15.75" customHeight="1">
      <c r="A49" s="206" t="str">
        <f>+Declarations!A49&amp;""</f>
        <v>55</v>
      </c>
      <c r="B49" t="str">
        <f>IF(LEN($A49),IF(LEN(Declarations!$B49)&gt;0,Declarations!$B49,"#"&amp;$A49),"")</f>
        <v>Millie Hardcastle</v>
      </c>
      <c r="C49" s="209" t="str">
        <f t="array" ref="C49">IF(LEN(INDEX(DECLARATIONS,$AA49,3))&gt;0,INDEX(DECLARATIONS,$AA49,3),"...")</f>
        <v>WADAC</v>
      </c>
      <c r="D49" s="209" t="str">
        <f t="shared" si="1"/>
        <v>F</v>
      </c>
      <c r="E49" s="296" t="str">
        <f t="array" ref="E49">IF(ISNA($AA49),0,INDEX(DECLARATIONS,$AA49,5))</f>
        <v/>
      </c>
      <c r="F49" s="209" t="str">
        <f t="array" ref="F49">IF(ISNA($AA49),0,INDEX(DECLARATIONS,$AA49,7))</f>
        <v/>
      </c>
      <c r="G49" s="209" t="str">
        <f t="array" ref="G49">UPPER(IF(ISNA($AA49),"",INDEX(DECLARATIONS,$AA49,4)))</f>
        <v>F</v>
      </c>
      <c r="H49" t="str">
        <f>IF(AND(A49&gt;0,ISTEXT(B49)),IF(SECNAME="YES",LEFT(B49&amp;" ",FIND(" ",B49&amp;" ")+2)&amp;IF(F49&gt;0," ("&amp;F49&amp;")",""),B49&amp;IF(F49&gt;0," ("&amp;F49&amp;")","")),"#"&amp;$A49)</f>
        <v>Millie Hardcastle</v>
      </c>
      <c r="I49" s="209">
        <f>IF(LEN($A49)&gt;0,IF(LEN($J49)&gt;0,MATCH(J49,MatchNames,0),EventIndex),0)</f>
        <v>6</v>
      </c>
      <c r="J49" s="209" t="str">
        <f>IF(LEN($A49)&gt;0,IF(LEN(Declarations!$F49)&gt;0,Declarations!$F49,conftype),"")</f>
        <v>QuadKids Club</v>
      </c>
      <c r="M49" s="297">
        <f>IF(ISNA(VLOOKUP($A49,SprintData,2,FALSE)),0,VLOOKUP($A49,SprintData,2,FALSE))</f>
        <v>14.9</v>
      </c>
      <c r="N49" s="297">
        <f>IF(ISNA(VLOOKUP($A49,JumpData,2,FALSE)),0,VLOOKUP($A49,JumpData,2,FALSE))</f>
        <v>2.22</v>
      </c>
      <c r="O49" s="297">
        <f>IF(ISNA(VLOOKUP($A49,RunData,2,FALSE)),0,VLOOKUP($A49,RunData,2,FALSE))</f>
        <v>2.43</v>
      </c>
      <c r="P49" s="297">
        <f>IF(ISNA(VLOOKUP($A49,ThrowData,2,FALSE)),0,VLOOKUP($A49,ThrowData,2,FALSE))</f>
        <v>9.69</v>
      </c>
      <c r="Q49" s="298">
        <f>IF(ISNA(VLOOKUP($A49,SprintData,4,FALSE)),0,VLOOKUP($A49,SprintData,4,FALSE))+V49</f>
        <v>21</v>
      </c>
      <c r="R49" s="298">
        <f>IF(ISNA(VLOOKUP($A49,JumpData,4,FALSE)),0,VLOOKUP($A49,JumpData,4,FALSE))+W49</f>
        <v>10</v>
      </c>
      <c r="S49" s="298">
        <f>IF(ISNA(VLOOKUP($A49,RunData,4,FALSE)),0,VLOOKUP($A49,RunData,4,FALSE))+X49</f>
        <v>27</v>
      </c>
      <c r="T49" s="298">
        <f>IF(ISNA(VLOOKUP($A49,ThrowData,4,FALSE)),0,VLOOKUP($A49,ThrowData,4,FALSE))+Y49</f>
        <v>19</v>
      </c>
      <c r="U49" s="299">
        <f t="shared" si="2"/>
        <v>77</v>
      </c>
      <c r="V49">
        <f>IF(AND($F49&gt;0,NOT(M49),Flexing),FlexPC,0)</f>
        <v>0</v>
      </c>
      <c r="W49">
        <f>IF(AND($F49&gt;0,NOT(N49),Flexing),FlexPC,0)</f>
        <v>0</v>
      </c>
      <c r="X49">
        <f>IF(AND($F49&gt;0,NOT(O49),Flexing),FlexPC,0)</f>
        <v>0</v>
      </c>
      <c r="Y49">
        <f>IF(AND($F49&gt;0,NOT(P49),Flexing),FlexPC,0)</f>
        <v>0</v>
      </c>
      <c r="AA49" s="209">
        <f t="shared" si="3"/>
        <v>48</v>
      </c>
    </row>
    <row r="50" ht="15.75" customHeight="1">
      <c r="A50" s="206" t="str">
        <f>+Declarations!A50&amp;""</f>
        <v>56</v>
      </c>
      <c r="B50" t="str">
        <f>IF(LEN($A50),IF(LEN(Declarations!$B50)&gt;0,Declarations!$B50,"#"&amp;$A50),"")</f>
        <v>Layla Holdway</v>
      </c>
      <c r="C50" s="209" t="str">
        <f t="array" ref="C50">IF(LEN(INDEX(DECLARATIONS,$AA50,3))&gt;0,INDEX(DECLARATIONS,$AA50,3),"...")</f>
        <v>Havant AC</v>
      </c>
      <c r="D50" s="209" t="str">
        <f t="shared" si="1"/>
        <v>F</v>
      </c>
      <c r="E50" s="296" t="str">
        <f t="array" ref="E50">IF(ISNA($AA50),0,INDEX(DECLARATIONS,$AA50,5))</f>
        <v/>
      </c>
      <c r="F50" s="209" t="str">
        <f t="array" ref="F50">IF(ISNA($AA50),0,INDEX(DECLARATIONS,$AA50,7))</f>
        <v/>
      </c>
      <c r="G50" s="209" t="str">
        <f t="array" ref="G50">UPPER(IF(ISNA($AA50),"",INDEX(DECLARATIONS,$AA50,4)))</f>
        <v>F</v>
      </c>
      <c r="H50" t="str">
        <f>IF(AND(A50&gt;0,ISTEXT(B50)),IF(SECNAME="YES",LEFT(B50&amp;" ",FIND(" ",B50&amp;" ")+2)&amp;IF(F50&gt;0," ("&amp;F50&amp;")",""),B50&amp;IF(F50&gt;0," ("&amp;F50&amp;")","")),"#"&amp;$A50)</f>
        <v>Layla Holdway</v>
      </c>
      <c r="I50" s="209">
        <f>IF(LEN($A50)&gt;0,IF(LEN($J50)&gt;0,MATCH(J50,MatchNames,0),EventIndex),0)</f>
        <v>6</v>
      </c>
      <c r="J50" s="209" t="str">
        <f>IF(LEN($A50)&gt;0,IF(LEN(Declarations!$F50)&gt;0,Declarations!$F50,conftype),"")</f>
        <v>QuadKids Club</v>
      </c>
      <c r="M50" s="297">
        <f>IF(ISNA(VLOOKUP($A50,SprintData,2,FALSE)),0,VLOOKUP($A50,SprintData,2,FALSE))</f>
        <v>16.1</v>
      </c>
      <c r="N50" s="297">
        <f>IF(ISNA(VLOOKUP($A50,JumpData,2,FALSE)),0,VLOOKUP($A50,JumpData,2,FALSE))</f>
        <v>1.6</v>
      </c>
      <c r="O50" s="297">
        <f>IF(ISNA(VLOOKUP($A50,RunData,2,FALSE)),0,VLOOKUP($A50,RunData,2,FALSE))</f>
        <v>2.44</v>
      </c>
      <c r="P50" s="297">
        <f>IF(ISNA(VLOOKUP($A50,ThrowData,2,FALSE)),0,VLOOKUP($A50,ThrowData,2,FALSE))</f>
        <v>5.59</v>
      </c>
      <c r="Q50" s="298">
        <f>IF(ISNA(VLOOKUP($A50,SprintData,4,FALSE)),0,VLOOKUP($A50,SprintData,4,FALSE))+V50</f>
        <v>10</v>
      </c>
      <c r="R50" s="298">
        <f>IF(ISNA(VLOOKUP($A50,JumpData,4,FALSE)),0,VLOOKUP($A50,JumpData,4,FALSE))+W50</f>
        <v>10</v>
      </c>
      <c r="S50" s="298">
        <f>IF(ISNA(VLOOKUP($A50,RunData,4,FALSE)),0,VLOOKUP($A50,RunData,4,FALSE))+X50</f>
        <v>26</v>
      </c>
      <c r="T50" s="298">
        <f>IF(ISNA(VLOOKUP($A50,ThrowData,4,FALSE)),0,VLOOKUP($A50,ThrowData,4,FALSE))+Y50</f>
        <v>11</v>
      </c>
      <c r="U50" s="299">
        <f t="shared" si="2"/>
        <v>57</v>
      </c>
      <c r="V50">
        <f>IF(AND($F50&gt;0,NOT(M50),Flexing),FlexPC,0)</f>
        <v>0</v>
      </c>
      <c r="W50">
        <f>IF(AND($F50&gt;0,NOT(N50),Flexing),FlexPC,0)</f>
        <v>0</v>
      </c>
      <c r="X50">
        <f>IF(AND($F50&gt;0,NOT(O50),Flexing),FlexPC,0)</f>
        <v>0</v>
      </c>
      <c r="Y50">
        <f>IF(AND($F50&gt;0,NOT(P50),Flexing),FlexPC,0)</f>
        <v>0</v>
      </c>
      <c r="AA50" s="209">
        <f t="shared" si="3"/>
        <v>49</v>
      </c>
    </row>
    <row r="51" ht="15.75" customHeight="1">
      <c r="A51" s="206" t="str">
        <f>+Declarations!A51&amp;""</f>
        <v>57</v>
      </c>
      <c r="B51" t="str">
        <f>IF(LEN($A51),IF(LEN(Declarations!$B51)&gt;0,Declarations!$B51,"#"&amp;$A51),"")</f>
        <v>Esmee Hurst Atkins</v>
      </c>
      <c r="C51" s="209" t="str">
        <f t="array" ref="C51">IF(LEN(INDEX(DECLARATIONS,$AA51,3))&gt;0,INDEX(DECLARATIONS,$AA51,3),"...")</f>
        <v>BAC</v>
      </c>
      <c r="D51" s="209" t="str">
        <f t="shared" si="1"/>
        <v>F</v>
      </c>
      <c r="E51" s="296" t="str">
        <f t="array" ref="E51">IF(ISNA($AA51),0,INDEX(DECLARATIONS,$AA51,5))</f>
        <v/>
      </c>
      <c r="F51" s="209" t="str">
        <f t="array" ref="F51">IF(ISNA($AA51),0,INDEX(DECLARATIONS,$AA51,7))</f>
        <v/>
      </c>
      <c r="G51" s="209" t="str">
        <f t="array" ref="G51">UPPER(IF(ISNA($AA51),"",INDEX(DECLARATIONS,$AA51,4)))</f>
        <v>F</v>
      </c>
      <c r="H51" t="str">
        <f>IF(AND(A51&gt;0,ISTEXT(B51)),IF(SECNAME="YES",LEFT(B51&amp;" ",FIND(" ",B51&amp;" ")+2)&amp;IF(F51&gt;0," ("&amp;F51&amp;")",""),B51&amp;IF(F51&gt;0," ("&amp;F51&amp;")","")),"#"&amp;$A51)</f>
        <v>Esmee Hurst Atkins</v>
      </c>
      <c r="I51" s="209">
        <f>IF(LEN($A51)&gt;0,IF(LEN($J51)&gt;0,MATCH(J51,MatchNames,0),EventIndex),0)</f>
        <v>6</v>
      </c>
      <c r="J51" s="209" t="str">
        <f>IF(LEN($A51)&gt;0,IF(LEN(Declarations!$F51)&gt;0,Declarations!$F51,conftype),"")</f>
        <v>QuadKids Club</v>
      </c>
      <c r="M51" s="297">
        <f>IF(ISNA(VLOOKUP($A51,SprintData,2,FALSE)),0,VLOOKUP($A51,SprintData,2,FALSE))</f>
        <v>13.6</v>
      </c>
      <c r="N51" s="297">
        <f>IF(ISNA(VLOOKUP($A51,JumpData,2,FALSE)),0,VLOOKUP($A51,JumpData,2,FALSE))</f>
        <v>2.52</v>
      </c>
      <c r="O51" s="297">
        <f>IF(ISNA(VLOOKUP($A51,RunData,2,FALSE)),0,VLOOKUP($A51,RunData,2,FALSE))</f>
        <v>2.11</v>
      </c>
      <c r="P51" s="297">
        <f>IF(ISNA(VLOOKUP($A51,ThrowData,2,FALSE)),0,VLOOKUP($A51,ThrowData,2,FALSE))</f>
        <v>18.59</v>
      </c>
      <c r="Q51" s="298">
        <f>IF(ISNA(VLOOKUP($A51,SprintData,4,FALSE)),0,VLOOKUP($A51,SprintData,4,FALSE))+V51</f>
        <v>34</v>
      </c>
      <c r="R51" s="298">
        <f>IF(ISNA(VLOOKUP($A51,JumpData,4,FALSE)),0,VLOOKUP($A51,JumpData,4,FALSE))+W51</f>
        <v>20</v>
      </c>
      <c r="S51" s="298">
        <f>IF(ISNA(VLOOKUP($A51,RunData,4,FALSE)),0,VLOOKUP($A51,RunData,4,FALSE))+X51</f>
        <v>59</v>
      </c>
      <c r="T51" s="298">
        <f>IF(ISNA(VLOOKUP($A51,ThrowData,4,FALSE)),0,VLOOKUP($A51,ThrowData,4,FALSE))+Y51</f>
        <v>37</v>
      </c>
      <c r="U51" s="299">
        <f t="shared" si="2"/>
        <v>150</v>
      </c>
      <c r="V51">
        <f>IF(AND($F51&gt;0,NOT(M51),Flexing),FlexPC,0)</f>
        <v>0</v>
      </c>
      <c r="W51">
        <f>IF(AND($F51&gt;0,NOT(N51),Flexing),FlexPC,0)</f>
        <v>0</v>
      </c>
      <c r="X51">
        <f>IF(AND($F51&gt;0,NOT(O51),Flexing),FlexPC,0)</f>
        <v>0</v>
      </c>
      <c r="Y51">
        <f>IF(AND($F51&gt;0,NOT(P51),Flexing),FlexPC,0)</f>
        <v>0</v>
      </c>
      <c r="AA51" s="209">
        <f t="shared" si="3"/>
        <v>50</v>
      </c>
    </row>
    <row r="52" ht="15.75" customHeight="1">
      <c r="A52" s="206" t="str">
        <f>+Declarations!A52&amp;""</f>
        <v>58</v>
      </c>
      <c r="B52" t="str">
        <f>IF(LEN($A52),IF(LEN(Declarations!$B52)&gt;0,Declarations!$B52,"#"&amp;$A52),"")</f>
        <v>Matilda Hutton</v>
      </c>
      <c r="C52" s="209" t="str">
        <f t="array" ref="C52">IF(LEN(INDEX(DECLARATIONS,$AA52,3))&gt;0,INDEX(DECLARATIONS,$AA52,3),"...")</f>
        <v>City of Portsmouth</v>
      </c>
      <c r="D52" s="209" t="str">
        <f t="shared" si="1"/>
        <v>F</v>
      </c>
      <c r="E52" s="296" t="str">
        <f t="array" ref="E52">IF(ISNA($AA52),0,INDEX(DECLARATIONS,$AA52,5))</f>
        <v/>
      </c>
      <c r="F52" s="209" t="str">
        <f t="array" ref="F52">IF(ISNA($AA52),0,INDEX(DECLARATIONS,$AA52,7))</f>
        <v/>
      </c>
      <c r="G52" s="209" t="str">
        <f t="array" ref="G52">UPPER(IF(ISNA($AA52),"",INDEX(DECLARATIONS,$AA52,4)))</f>
        <v>F</v>
      </c>
      <c r="H52" t="str">
        <f>IF(AND(A52&gt;0,ISTEXT(B52)),IF(SECNAME="YES",LEFT(B52&amp;" ",FIND(" ",B52&amp;" ")+2)&amp;IF(F52&gt;0," ("&amp;F52&amp;")",""),B52&amp;IF(F52&gt;0," ("&amp;F52&amp;")","")),"#"&amp;$A52)</f>
        <v>Matilda Hutton</v>
      </c>
      <c r="I52" s="209">
        <f>IF(LEN($A52)&gt;0,IF(LEN($J52)&gt;0,MATCH(J52,MatchNames,0),EventIndex),0)</f>
        <v>6</v>
      </c>
      <c r="J52" s="209" t="str">
        <f>IF(LEN($A52)&gt;0,IF(LEN(Declarations!$F52)&gt;0,Declarations!$F52,conftype),"")</f>
        <v>QuadKids Club</v>
      </c>
      <c r="M52" s="297">
        <f>IF(ISNA(VLOOKUP($A52,SprintData,2,FALSE)),0,VLOOKUP($A52,SprintData,2,FALSE))</f>
        <v>12.7</v>
      </c>
      <c r="N52" s="297">
        <f>IF(ISNA(VLOOKUP($A52,JumpData,2,FALSE)),0,VLOOKUP($A52,JumpData,2,FALSE))</f>
        <v>2.84</v>
      </c>
      <c r="O52" s="297">
        <f>IF(ISNA(VLOOKUP($A52,RunData,2,FALSE)),0,VLOOKUP($A52,RunData,2,FALSE))</f>
        <v>2.34</v>
      </c>
      <c r="P52" s="297">
        <f>IF(ISNA(VLOOKUP($A52,ThrowData,2,FALSE)),0,VLOOKUP($A52,ThrowData,2,FALSE))</f>
        <v>22.84</v>
      </c>
      <c r="Q52" s="298">
        <f>IF(ISNA(VLOOKUP($A52,SprintData,4,FALSE)),0,VLOOKUP($A52,SprintData,4,FALSE))+V52</f>
        <v>43</v>
      </c>
      <c r="R52" s="298">
        <f>IF(ISNA(VLOOKUP($A52,JumpData,4,FALSE)),0,VLOOKUP($A52,JumpData,4,FALSE))+W52</f>
        <v>31</v>
      </c>
      <c r="S52" s="298">
        <f>IF(ISNA(VLOOKUP($A52,RunData,4,FALSE)),0,VLOOKUP($A52,RunData,4,FALSE))+X52</f>
        <v>36</v>
      </c>
      <c r="T52" s="298">
        <f>IF(ISNA(VLOOKUP($A52,ThrowData,4,FALSE)),0,VLOOKUP($A52,ThrowData,4,FALSE))+Y52</f>
        <v>45</v>
      </c>
      <c r="U52" s="299">
        <f t="shared" si="2"/>
        <v>155</v>
      </c>
      <c r="V52">
        <f>IF(AND($F52&gt;0,NOT(M52),Flexing),FlexPC,0)</f>
        <v>0</v>
      </c>
      <c r="W52">
        <f>IF(AND($F52&gt;0,NOT(N52),Flexing),FlexPC,0)</f>
        <v>0</v>
      </c>
      <c r="X52">
        <f>IF(AND($F52&gt;0,NOT(O52),Flexing),FlexPC,0)</f>
        <v>0</v>
      </c>
      <c r="Y52">
        <f>IF(AND($F52&gt;0,NOT(P52),Flexing),FlexPC,0)</f>
        <v>0</v>
      </c>
      <c r="AA52" s="209">
        <f t="shared" si="3"/>
        <v>51</v>
      </c>
    </row>
    <row r="53" ht="15.75" customHeight="1">
      <c r="A53" s="206" t="str">
        <f>+Declarations!A53&amp;""</f>
        <v>59</v>
      </c>
      <c r="B53" t="str">
        <f>IF(LEN($A53),IF(LEN(Declarations!$B53)&gt;0,Declarations!$B53,"#"&amp;$A53),"")</f>
        <v>Mia Ironside</v>
      </c>
      <c r="C53" s="209" t="str">
        <f t="array" ref="C53">IF(LEN(INDEX(DECLARATIONS,$AA53,3))&gt;0,INDEX(DECLARATIONS,$AA53,3),"...")</f>
        <v>Bournemouth AC</v>
      </c>
      <c r="D53" s="209" t="str">
        <f t="shared" si="1"/>
        <v>F</v>
      </c>
      <c r="E53" s="296" t="str">
        <f t="array" ref="E53">IF(ISNA($AA53),0,INDEX(DECLARATIONS,$AA53,5))</f>
        <v/>
      </c>
      <c r="F53" s="209" t="str">
        <f t="array" ref="F53">IF(ISNA($AA53),0,INDEX(DECLARATIONS,$AA53,7))</f>
        <v/>
      </c>
      <c r="G53" s="209" t="str">
        <f t="array" ref="G53">UPPER(IF(ISNA($AA53),"",INDEX(DECLARATIONS,$AA53,4)))</f>
        <v>F</v>
      </c>
      <c r="H53" t="str">
        <f>IF(AND(A53&gt;0,ISTEXT(B53)),IF(SECNAME="YES",LEFT(B53&amp;" ",FIND(" ",B53&amp;" ")+2)&amp;IF(F53&gt;0," ("&amp;F53&amp;")",""),B53&amp;IF(F53&gt;0," ("&amp;F53&amp;")","")),"#"&amp;$A53)</f>
        <v>Mia Ironside</v>
      </c>
      <c r="I53" s="209">
        <f>IF(LEN($A53)&gt;0,IF(LEN($J53)&gt;0,MATCH(J53,MatchNames,0),EventIndex),0)</f>
        <v>6</v>
      </c>
      <c r="J53" s="209" t="str">
        <f>IF(LEN($A53)&gt;0,IF(LEN(Declarations!$F53)&gt;0,Declarations!$F53,conftype),"")</f>
        <v>QuadKids Club</v>
      </c>
      <c r="M53" s="297">
        <f>IF(ISNA(VLOOKUP($A53,SprintData,2,FALSE)),0,VLOOKUP($A53,SprintData,2,FALSE))</f>
        <v>13.7</v>
      </c>
      <c r="N53" s="297">
        <f>IF(ISNA(VLOOKUP($A53,JumpData,2,FALSE)),0,VLOOKUP($A53,JumpData,2,FALSE))</f>
        <v>3.08</v>
      </c>
      <c r="O53" s="297">
        <f>IF(ISNA(VLOOKUP($A53,RunData,2,FALSE)),0,VLOOKUP($A53,RunData,2,FALSE))</f>
        <v>2.23</v>
      </c>
      <c r="P53" s="297">
        <f>IF(ISNA(VLOOKUP($A53,ThrowData,2,FALSE)),0,VLOOKUP($A53,ThrowData,2,FALSE))</f>
        <v>8.75</v>
      </c>
      <c r="Q53" s="298">
        <f>IF(ISNA(VLOOKUP($A53,SprintData,4,FALSE)),0,VLOOKUP($A53,SprintData,4,FALSE))+V53</f>
        <v>33</v>
      </c>
      <c r="R53" s="298">
        <f>IF(ISNA(VLOOKUP($A53,JumpData,4,FALSE)),0,VLOOKUP($A53,JumpData,4,FALSE))+W53</f>
        <v>39</v>
      </c>
      <c r="S53" s="298">
        <f>IF(ISNA(VLOOKUP($A53,RunData,4,FALSE)),0,VLOOKUP($A53,RunData,4,FALSE))+X53</f>
        <v>47</v>
      </c>
      <c r="T53" s="298">
        <f>IF(ISNA(VLOOKUP($A53,ThrowData,4,FALSE)),0,VLOOKUP($A53,ThrowData,4,FALSE))+Y53</f>
        <v>17</v>
      </c>
      <c r="U53" s="299">
        <f t="shared" si="2"/>
        <v>136</v>
      </c>
      <c r="V53">
        <f>IF(AND($F53&gt;0,NOT(M53),Flexing),FlexPC,0)</f>
        <v>0</v>
      </c>
      <c r="W53">
        <f>IF(AND($F53&gt;0,NOT(N53),Flexing),FlexPC,0)</f>
        <v>0</v>
      </c>
      <c r="X53">
        <f>IF(AND($F53&gt;0,NOT(O53),Flexing),FlexPC,0)</f>
        <v>0</v>
      </c>
      <c r="Y53">
        <f>IF(AND($F53&gt;0,NOT(P53),Flexing),FlexPC,0)</f>
        <v>0</v>
      </c>
      <c r="AA53" s="209">
        <f t="shared" si="3"/>
        <v>52</v>
      </c>
    </row>
    <row r="54" ht="15.75" customHeight="1">
      <c r="A54" s="206" t="str">
        <f>+Declarations!A54&amp;""</f>
        <v>60</v>
      </c>
      <c r="B54" t="str">
        <f>IF(LEN($A54),IF(LEN(Declarations!$B54)&gt;0,Declarations!$B54,"#"&amp;$A54),"")</f>
        <v>Chloe Johnson</v>
      </c>
      <c r="C54" s="209" t="str">
        <f t="array" ref="C54">IF(LEN(INDEX(DECLARATIONS,$AA54,3))&gt;0,INDEX(DECLARATIONS,$AA54,3),"...")</f>
        <v>New Forest Junior AC</v>
      </c>
      <c r="D54" s="209" t="str">
        <f t="shared" si="1"/>
        <v>F</v>
      </c>
      <c r="E54" s="296" t="str">
        <f t="array" ref="E54">IF(ISNA($AA54),0,INDEX(DECLARATIONS,$AA54,5))</f>
        <v/>
      </c>
      <c r="F54" s="209" t="str">
        <f t="array" ref="F54">IF(ISNA($AA54),0,INDEX(DECLARATIONS,$AA54,7))</f>
        <v/>
      </c>
      <c r="G54" s="209" t="str">
        <f t="array" ref="G54">UPPER(IF(ISNA($AA54),"",INDEX(DECLARATIONS,$AA54,4)))</f>
        <v>F</v>
      </c>
      <c r="H54" t="str">
        <f>IF(AND(A54&gt;0,ISTEXT(B54)),IF(SECNAME="YES",LEFT(B54&amp;" ",FIND(" ",B54&amp;" ")+2)&amp;IF(F54&gt;0," ("&amp;F54&amp;")",""),B54&amp;IF(F54&gt;0," ("&amp;F54&amp;")","")),"#"&amp;$A54)</f>
        <v>Chloe Johnson</v>
      </c>
      <c r="I54" s="209">
        <f>IF(LEN($A54)&gt;0,IF(LEN($J54)&gt;0,MATCH(J54,MatchNames,0),EventIndex),0)</f>
        <v>6</v>
      </c>
      <c r="J54" s="209" t="str">
        <f>IF(LEN($A54)&gt;0,IF(LEN(Declarations!$F54)&gt;0,Declarations!$F54,conftype),"")</f>
        <v>QuadKids Club</v>
      </c>
      <c r="M54" s="297">
        <f>IF(ISNA(VLOOKUP($A54,SprintData,2,FALSE)),0,VLOOKUP($A54,SprintData,2,FALSE))</f>
        <v>12.9</v>
      </c>
      <c r="N54" s="297">
        <f>IF(ISNA(VLOOKUP($A54,JumpData,2,FALSE)),0,VLOOKUP($A54,JumpData,2,FALSE))</f>
        <v>2.65</v>
      </c>
      <c r="O54" s="297">
        <f>IF(ISNA(VLOOKUP($A54,RunData,2,FALSE)),0,VLOOKUP($A54,RunData,2,FALSE))</f>
        <v>2.16</v>
      </c>
      <c r="P54" s="297">
        <f>IF(ISNA(VLOOKUP($A54,ThrowData,2,FALSE)),0,VLOOKUP($A54,ThrowData,2,FALSE))</f>
        <v>11.99</v>
      </c>
      <c r="Q54" s="298">
        <f>IF(ISNA(VLOOKUP($A54,SprintData,4,FALSE)),0,VLOOKUP($A54,SprintData,4,FALSE))+V54</f>
        <v>41</v>
      </c>
      <c r="R54" s="298">
        <f>IF(ISNA(VLOOKUP($A54,JumpData,4,FALSE)),0,VLOOKUP($A54,JumpData,4,FALSE))+W54</f>
        <v>25</v>
      </c>
      <c r="S54" s="298">
        <f>IF(ISNA(VLOOKUP($A54,RunData,4,FALSE)),0,VLOOKUP($A54,RunData,4,FALSE))+X54</f>
        <v>54</v>
      </c>
      <c r="T54" s="298">
        <f>IF(ISNA(VLOOKUP($A54,ThrowData,4,FALSE)),0,VLOOKUP($A54,ThrowData,4,FALSE))+Y54</f>
        <v>23</v>
      </c>
      <c r="U54" s="299">
        <f t="shared" si="2"/>
        <v>143</v>
      </c>
      <c r="V54">
        <f>IF(AND($F54&gt;0,NOT(M54),Flexing),FlexPC,0)</f>
        <v>0</v>
      </c>
      <c r="W54">
        <f>IF(AND($F54&gt;0,NOT(N54),Flexing),FlexPC,0)</f>
        <v>0</v>
      </c>
      <c r="X54">
        <f>IF(AND($F54&gt;0,NOT(O54),Flexing),FlexPC,0)</f>
        <v>0</v>
      </c>
      <c r="Y54">
        <f>IF(AND($F54&gt;0,NOT(P54),Flexing),FlexPC,0)</f>
        <v>0</v>
      </c>
      <c r="AA54" s="209">
        <f t="shared" si="3"/>
        <v>53</v>
      </c>
    </row>
    <row r="55" ht="15.75" customHeight="1">
      <c r="A55" s="206" t="str">
        <f>+Declarations!A55&amp;""</f>
        <v>61</v>
      </c>
      <c r="B55" t="str">
        <f>IF(LEN($A55),IF(LEN(Declarations!$B55)&gt;0,Declarations!$B55,"#"&amp;$A55),"")</f>
        <v>Katie Kilburn</v>
      </c>
      <c r="C55" s="209" t="str">
        <f t="array" ref="C55">IF(LEN(INDEX(DECLARATIONS,$AA55,3))&gt;0,INDEX(DECLARATIONS,$AA55,3),"...")</f>
        <v>BAC</v>
      </c>
      <c r="D55" s="209" t="str">
        <f t="shared" si="1"/>
        <v>F</v>
      </c>
      <c r="E55" s="296" t="str">
        <f t="array" ref="E55">IF(ISNA($AA55),0,INDEX(DECLARATIONS,$AA55,5))</f>
        <v/>
      </c>
      <c r="F55" s="209" t="str">
        <f t="array" ref="F55">IF(ISNA($AA55),0,INDEX(DECLARATIONS,$AA55,7))</f>
        <v/>
      </c>
      <c r="G55" s="209" t="str">
        <f t="array" ref="G55">UPPER(IF(ISNA($AA55),"",INDEX(DECLARATIONS,$AA55,4)))</f>
        <v>F</v>
      </c>
      <c r="H55" t="str">
        <f>IF(AND(A55&gt;0,ISTEXT(B55)),IF(SECNAME="YES",LEFT(B55&amp;" ",FIND(" ",B55&amp;" ")+2)&amp;IF(F55&gt;0," ("&amp;F55&amp;")",""),B55&amp;IF(F55&gt;0," ("&amp;F55&amp;")","")),"#"&amp;$A55)</f>
        <v>Katie Kilburn</v>
      </c>
      <c r="I55" s="209">
        <f>IF(LEN($A55)&gt;0,IF(LEN($J55)&gt;0,MATCH(J55,MatchNames,0),EventIndex),0)</f>
        <v>6</v>
      </c>
      <c r="J55" s="209" t="str">
        <f>IF(LEN($A55)&gt;0,IF(LEN(Declarations!$F55)&gt;0,Declarations!$F55,conftype),"")</f>
        <v>QuadKids Club</v>
      </c>
      <c r="M55" s="297">
        <f>IF(ISNA(VLOOKUP($A55,SprintData,2,FALSE)),0,VLOOKUP($A55,SprintData,2,FALSE))</f>
        <v>12.9</v>
      </c>
      <c r="N55" s="297">
        <f>IF(ISNA(VLOOKUP($A55,JumpData,2,FALSE)),0,VLOOKUP($A55,JumpData,2,FALSE))</f>
        <v>3.04</v>
      </c>
      <c r="O55" s="297">
        <f>IF(ISNA(VLOOKUP($A55,RunData,2,FALSE)),0,VLOOKUP($A55,RunData,2,FALSE))</f>
        <v>2.07</v>
      </c>
      <c r="P55" s="297">
        <f>IF(ISNA(VLOOKUP($A55,ThrowData,2,FALSE)),0,VLOOKUP($A55,ThrowData,2,FALSE))</f>
        <v>18.14</v>
      </c>
      <c r="Q55" s="298">
        <f>IF(ISNA(VLOOKUP($A55,SprintData,4,FALSE)),0,VLOOKUP($A55,SprintData,4,FALSE))+V55</f>
        <v>41</v>
      </c>
      <c r="R55" s="298">
        <f>IF(ISNA(VLOOKUP($A55,JumpData,4,FALSE)),0,VLOOKUP($A55,JumpData,4,FALSE))+W55</f>
        <v>38</v>
      </c>
      <c r="S55" s="298">
        <f>IF(ISNA(VLOOKUP($A55,RunData,4,FALSE)),0,VLOOKUP($A55,RunData,4,FALSE))+X55</f>
        <v>63</v>
      </c>
      <c r="T55" s="298">
        <f>IF(ISNA(VLOOKUP($A55,ThrowData,4,FALSE)),0,VLOOKUP($A55,ThrowData,4,FALSE))+Y55</f>
        <v>36</v>
      </c>
      <c r="U55" s="299">
        <f t="shared" si="2"/>
        <v>178</v>
      </c>
      <c r="V55">
        <f>IF(AND($F55&gt;0,NOT(M55),Flexing),FlexPC,0)</f>
        <v>0</v>
      </c>
      <c r="W55">
        <f>IF(AND($F55&gt;0,NOT(N55),Flexing),FlexPC,0)</f>
        <v>0</v>
      </c>
      <c r="X55">
        <f>IF(AND($F55&gt;0,NOT(O55),Flexing),FlexPC,0)</f>
        <v>0</v>
      </c>
      <c r="Y55">
        <f>IF(AND($F55&gt;0,NOT(P55),Flexing),FlexPC,0)</f>
        <v>0</v>
      </c>
      <c r="AA55" s="209">
        <f t="shared" si="3"/>
        <v>54</v>
      </c>
    </row>
    <row r="56" ht="15.75" customHeight="1">
      <c r="A56" s="206" t="str">
        <f>+Declarations!A56&amp;""</f>
        <v>62</v>
      </c>
      <c r="B56" t="str">
        <f>IF(LEN($A56),IF(LEN(Declarations!$B56)&gt;0,Declarations!$B56,"#"&amp;$A56),"")</f>
        <v>Abigail MacDonald</v>
      </c>
      <c r="C56" s="209" t="str">
        <f t="array" ref="C56">IF(LEN(INDEX(DECLARATIONS,$AA56,3))&gt;0,INDEX(DECLARATIONS,$AA56,3),"...")</f>
        <v>Andover AC</v>
      </c>
      <c r="D56" s="209" t="str">
        <f t="shared" si="1"/>
        <v>F</v>
      </c>
      <c r="E56" s="296" t="str">
        <f t="array" ref="E56">IF(ISNA($AA56),0,INDEX(DECLARATIONS,$AA56,5))</f>
        <v/>
      </c>
      <c r="F56" s="209" t="str">
        <f t="array" ref="F56">IF(ISNA($AA56),0,INDEX(DECLARATIONS,$AA56,7))</f>
        <v/>
      </c>
      <c r="G56" s="209" t="str">
        <f t="array" ref="G56">UPPER(IF(ISNA($AA56),"",INDEX(DECLARATIONS,$AA56,4)))</f>
        <v>F</v>
      </c>
      <c r="H56" t="str">
        <f>IF(AND(A56&gt;0,ISTEXT(B56)),IF(SECNAME="YES",LEFT(B56&amp;" ",FIND(" ",B56&amp;" ")+2)&amp;IF(F56&gt;0," ("&amp;F56&amp;")",""),B56&amp;IF(F56&gt;0," ("&amp;F56&amp;")","")),"#"&amp;$A56)</f>
        <v>Abigail MacDonald</v>
      </c>
      <c r="I56" s="209">
        <f>IF(LEN($A56)&gt;0,IF(LEN($J56)&gt;0,MATCH(J56,MatchNames,0),EventIndex),0)</f>
        <v>6</v>
      </c>
      <c r="J56" s="209" t="str">
        <f>IF(LEN($A56)&gt;0,IF(LEN(Declarations!$F56)&gt;0,Declarations!$F56,conftype),"")</f>
        <v>QuadKids Club</v>
      </c>
      <c r="M56" s="297">
        <f>IF(ISNA(VLOOKUP($A56,SprintData,2,FALSE)),0,VLOOKUP($A56,SprintData,2,FALSE))</f>
        <v>14.4</v>
      </c>
      <c r="N56" s="297">
        <f>IF(ISNA(VLOOKUP($A56,JumpData,2,FALSE)),0,VLOOKUP($A56,JumpData,2,FALSE))</f>
        <v>2.8</v>
      </c>
      <c r="O56" s="297">
        <f>IF(ISNA(VLOOKUP($A56,RunData,2,FALSE)),0,VLOOKUP($A56,RunData,2,FALSE))</f>
        <v>2.49</v>
      </c>
      <c r="P56" s="297">
        <f>IF(ISNA(VLOOKUP($A56,ThrowData,2,FALSE)),0,VLOOKUP($A56,ThrowData,2,FALSE))</f>
        <v>20.87</v>
      </c>
      <c r="Q56" s="298">
        <f>IF(ISNA(VLOOKUP($A56,SprintData,4,FALSE)),0,VLOOKUP($A56,SprintData,4,FALSE))+V56</f>
        <v>26</v>
      </c>
      <c r="R56" s="298">
        <f>IF(ISNA(VLOOKUP($A56,JumpData,4,FALSE)),0,VLOOKUP($A56,JumpData,4,FALSE))+W56</f>
        <v>30</v>
      </c>
      <c r="S56" s="298">
        <f>IF(ISNA(VLOOKUP($A56,RunData,4,FALSE)),0,VLOOKUP($A56,RunData,4,FALSE))+X56</f>
        <v>21</v>
      </c>
      <c r="T56" s="298">
        <f>IF(ISNA(VLOOKUP($A56,ThrowData,4,FALSE)),0,VLOOKUP($A56,ThrowData,4,FALSE))+Y56</f>
        <v>41</v>
      </c>
      <c r="U56" s="299">
        <f t="shared" si="2"/>
        <v>118</v>
      </c>
      <c r="V56">
        <f>IF(AND($F56&gt;0,NOT(M56),Flexing),FlexPC,0)</f>
        <v>0</v>
      </c>
      <c r="W56">
        <f>IF(AND($F56&gt;0,NOT(N56),Flexing),FlexPC,0)</f>
        <v>0</v>
      </c>
      <c r="X56">
        <f>IF(AND($F56&gt;0,NOT(O56),Flexing),FlexPC,0)</f>
        <v>0</v>
      </c>
      <c r="Y56">
        <f>IF(AND($F56&gt;0,NOT(P56),Flexing),FlexPC,0)</f>
        <v>0</v>
      </c>
      <c r="AA56" s="209">
        <f t="shared" si="3"/>
        <v>55</v>
      </c>
    </row>
    <row r="57" ht="15.75" customHeight="1">
      <c r="A57" s="206" t="str">
        <f>+Declarations!A57&amp;""</f>
        <v>63</v>
      </c>
      <c r="B57" t="str">
        <f>IF(LEN($A57),IF(LEN(Declarations!$B57)&gt;0,Declarations!$B57,"#"&amp;$A57),"")</f>
        <v>Jasmine Mahmoudi</v>
      </c>
      <c r="C57" s="209" t="str">
        <f t="array" ref="C57">IF(LEN(INDEX(DECLARATIONS,$AA57,3))&gt;0,INDEX(DECLARATIONS,$AA57,3),"...")</f>
        <v>Bournemouth AC</v>
      </c>
      <c r="D57" s="209" t="str">
        <f t="shared" si="1"/>
        <v>F</v>
      </c>
      <c r="E57" s="296" t="str">
        <f t="array" ref="E57">IF(ISNA($AA57),0,INDEX(DECLARATIONS,$AA57,5))</f>
        <v/>
      </c>
      <c r="F57" s="209" t="str">
        <f t="array" ref="F57">IF(ISNA($AA57),0,INDEX(DECLARATIONS,$AA57,7))</f>
        <v/>
      </c>
      <c r="G57" s="209" t="str">
        <f t="array" ref="G57">UPPER(IF(ISNA($AA57),"",INDEX(DECLARATIONS,$AA57,4)))</f>
        <v>F</v>
      </c>
      <c r="H57" t="str">
        <f>IF(AND(A57&gt;0,ISTEXT(B57)),IF(SECNAME="YES",LEFT(B57&amp;" ",FIND(" ",B57&amp;" ")+2)&amp;IF(F57&gt;0," ("&amp;F57&amp;")",""),B57&amp;IF(F57&gt;0," ("&amp;F57&amp;")","")),"#"&amp;$A57)</f>
        <v>Jasmine Mahmoudi</v>
      </c>
      <c r="I57" s="209">
        <f>IF(LEN($A57)&gt;0,IF(LEN($J57)&gt;0,MATCH(J57,MatchNames,0),EventIndex),0)</f>
        <v>6</v>
      </c>
      <c r="J57" s="209" t="str">
        <f>IF(LEN($A57)&gt;0,IF(LEN(Declarations!$F57)&gt;0,Declarations!$F57,conftype),"")</f>
        <v>QuadKids Club</v>
      </c>
      <c r="M57" s="297">
        <f>IF(ISNA(VLOOKUP($A57,SprintData,2,FALSE)),0,VLOOKUP($A57,SprintData,2,FALSE))</f>
        <v>14.8</v>
      </c>
      <c r="N57" s="297">
        <f>IF(ISNA(VLOOKUP($A57,JumpData,2,FALSE)),0,VLOOKUP($A57,JumpData,2,FALSE))</f>
        <v>1.85</v>
      </c>
      <c r="O57" s="297">
        <f>IF(ISNA(VLOOKUP($A57,RunData,2,FALSE)),0,VLOOKUP($A57,RunData,2,FALSE))</f>
        <v>2.32</v>
      </c>
      <c r="P57" s="297">
        <f>IF(ISNA(VLOOKUP($A57,ThrowData,2,FALSE)),0,VLOOKUP($A57,ThrowData,2,FALSE))</f>
        <v>10.16</v>
      </c>
      <c r="Q57" s="298">
        <f>IF(ISNA(VLOOKUP($A57,SprintData,4,FALSE)),0,VLOOKUP($A57,SprintData,4,FALSE))+V57</f>
        <v>22</v>
      </c>
      <c r="R57" s="298">
        <f>IF(ISNA(VLOOKUP($A57,JumpData,4,FALSE)),0,VLOOKUP($A57,JumpData,4,FALSE))+W57</f>
        <v>10</v>
      </c>
      <c r="S57" s="298">
        <f>IF(ISNA(VLOOKUP($A57,RunData,4,FALSE)),0,VLOOKUP($A57,RunData,4,FALSE))+X57</f>
        <v>38</v>
      </c>
      <c r="T57" s="298">
        <f>IF(ISNA(VLOOKUP($A57,ThrowData,4,FALSE)),0,VLOOKUP($A57,ThrowData,4,FALSE))+Y57</f>
        <v>20</v>
      </c>
      <c r="U57" s="299">
        <f t="shared" si="2"/>
        <v>90</v>
      </c>
      <c r="V57">
        <f>IF(AND($F57&gt;0,NOT(M57),Flexing),FlexPC,0)</f>
        <v>0</v>
      </c>
      <c r="W57">
        <f>IF(AND($F57&gt;0,NOT(N57),Flexing),FlexPC,0)</f>
        <v>0</v>
      </c>
      <c r="X57">
        <f>IF(AND($F57&gt;0,NOT(O57),Flexing),FlexPC,0)</f>
        <v>0</v>
      </c>
      <c r="Y57">
        <f>IF(AND($F57&gt;0,NOT(P57),Flexing),FlexPC,0)</f>
        <v>0</v>
      </c>
      <c r="AA57" s="209">
        <f t="shared" si="3"/>
        <v>56</v>
      </c>
    </row>
    <row r="58" ht="15.75" customHeight="1">
      <c r="A58" s="206" t="str">
        <f>+Declarations!A58&amp;""</f>
        <v>64</v>
      </c>
      <c r="B58" t="str">
        <f>IF(LEN($A58),IF(LEN(Declarations!$B58)&gt;0,Declarations!$B58,"#"&amp;$A58),"")</f>
        <v>Nyla May</v>
      </c>
      <c r="C58" s="209" t="str">
        <f t="array" ref="C58">IF(LEN(INDEX(DECLARATIONS,$AA58,3))&gt;0,INDEX(DECLARATIONS,$AA58,3),"...")</f>
        <v>Wimborne AC</v>
      </c>
      <c r="D58" s="209" t="str">
        <f t="shared" si="1"/>
        <v>F</v>
      </c>
      <c r="E58" s="296" t="str">
        <f t="array" ref="E58">IF(ISNA($AA58),0,INDEX(DECLARATIONS,$AA58,5))</f>
        <v/>
      </c>
      <c r="F58" s="209" t="str">
        <f t="array" ref="F58">IF(ISNA($AA58),0,INDEX(DECLARATIONS,$AA58,7))</f>
        <v/>
      </c>
      <c r="G58" s="209" t="str">
        <f t="array" ref="G58">UPPER(IF(ISNA($AA58),"",INDEX(DECLARATIONS,$AA58,4)))</f>
        <v>F</v>
      </c>
      <c r="H58" t="str">
        <f>IF(AND(A58&gt;0,ISTEXT(B58)),IF(SECNAME="YES",LEFT(B58&amp;" ",FIND(" ",B58&amp;" ")+2)&amp;IF(F58&gt;0," ("&amp;F58&amp;")",""),B58&amp;IF(F58&gt;0," ("&amp;F58&amp;")","")),"#"&amp;$A58)</f>
        <v>Nyla May</v>
      </c>
      <c r="I58" s="209">
        <f>IF(LEN($A58)&gt;0,IF(LEN($J58)&gt;0,MATCH(J58,MatchNames,0),EventIndex),0)</f>
        <v>6</v>
      </c>
      <c r="J58" s="209" t="str">
        <f>IF(LEN($A58)&gt;0,IF(LEN(Declarations!$F58)&gt;0,Declarations!$F58,conftype),"")</f>
        <v>QuadKids Club</v>
      </c>
      <c r="M58" s="297">
        <f>IF(ISNA(VLOOKUP($A58,SprintData,2,FALSE)),0,VLOOKUP($A58,SprintData,2,FALSE))</f>
        <v>0</v>
      </c>
      <c r="N58" s="297">
        <f>IF(ISNA(VLOOKUP($A58,JumpData,2,FALSE)),0,VLOOKUP($A58,JumpData,2,FALSE))</f>
        <v>0</v>
      </c>
      <c r="O58" s="297">
        <f>IF(ISNA(VLOOKUP($A58,RunData,2,FALSE)),0,VLOOKUP($A58,RunData,2,FALSE))</f>
        <v>0</v>
      </c>
      <c r="P58" s="297">
        <f>IF(ISNA(VLOOKUP($A58,ThrowData,2,FALSE)),0,VLOOKUP($A58,ThrowData,2,FALSE))</f>
        <v>0</v>
      </c>
      <c r="Q58" s="298">
        <f>IF(ISNA(VLOOKUP($A58,SprintData,4,FALSE)),0,VLOOKUP($A58,SprintData,4,FALSE))+V58</f>
        <v>0</v>
      </c>
      <c r="R58" s="298">
        <f>IF(ISNA(VLOOKUP($A58,JumpData,4,FALSE)),0,VLOOKUP($A58,JumpData,4,FALSE))+W58</f>
        <v>0</v>
      </c>
      <c r="S58" s="298">
        <f>IF(ISNA(VLOOKUP($A58,RunData,4,FALSE)),0,VLOOKUP($A58,RunData,4,FALSE))+X58</f>
        <v>0</v>
      </c>
      <c r="T58" s="298">
        <f>IF(ISNA(VLOOKUP($A58,ThrowData,4,FALSE)),0,VLOOKUP($A58,ThrowData,4,FALSE))+Y58</f>
        <v>0</v>
      </c>
      <c r="U58" s="299">
        <f t="shared" si="2"/>
        <v>0</v>
      </c>
      <c r="V58">
        <f>IF(AND($F58&gt;0,NOT(M58),Flexing),FlexPC,0)</f>
        <v>0</v>
      </c>
      <c r="W58">
        <f>IF(AND($F58&gt;0,NOT(N58),Flexing),FlexPC,0)</f>
        <v>0</v>
      </c>
      <c r="X58">
        <f>IF(AND($F58&gt;0,NOT(O58),Flexing),FlexPC,0)</f>
        <v>0</v>
      </c>
      <c r="Y58">
        <f>IF(AND($F58&gt;0,NOT(P58),Flexing),FlexPC,0)</f>
        <v>0</v>
      </c>
      <c r="AA58" s="209">
        <f t="shared" si="3"/>
        <v>57</v>
      </c>
    </row>
    <row r="59" ht="15.75" customHeight="1">
      <c r="A59" s="206" t="str">
        <f>+Declarations!A59&amp;""</f>
        <v>65</v>
      </c>
      <c r="B59" t="str">
        <f>IF(LEN($A59),IF(LEN(Declarations!$B59)&gt;0,Declarations!$B59,"#"&amp;$A59),"")</f>
        <v>Myla McNeill</v>
      </c>
      <c r="C59" s="209" t="str">
        <f t="array" ref="C59">IF(LEN(INDEX(DECLARATIONS,$AA59,3))&gt;0,INDEX(DECLARATIONS,$AA59,3),"...")</f>
        <v>Wimborne AC</v>
      </c>
      <c r="D59" s="209" t="str">
        <f t="shared" si="1"/>
        <v>F</v>
      </c>
      <c r="E59" s="296" t="str">
        <f t="array" ref="E59">IF(ISNA($AA59),0,INDEX(DECLARATIONS,$AA59,5))</f>
        <v/>
      </c>
      <c r="F59" s="209" t="str">
        <f t="array" ref="F59">IF(ISNA($AA59),0,INDEX(DECLARATIONS,$AA59,7))</f>
        <v/>
      </c>
      <c r="G59" s="209" t="str">
        <f t="array" ref="G59">UPPER(IF(ISNA($AA59),"",INDEX(DECLARATIONS,$AA59,4)))</f>
        <v>F</v>
      </c>
      <c r="H59" t="str">
        <f>IF(AND(A59&gt;0,ISTEXT(B59)),IF(SECNAME="YES",LEFT(B59&amp;" ",FIND(" ",B59&amp;" ")+2)&amp;IF(F59&gt;0," ("&amp;F59&amp;")",""),B59&amp;IF(F59&gt;0," ("&amp;F59&amp;")","")),"#"&amp;$A59)</f>
        <v>Myla McNeill</v>
      </c>
      <c r="I59" s="209">
        <f>IF(LEN($A59)&gt;0,IF(LEN($J59)&gt;0,MATCH(J59,MatchNames,0),EventIndex),0)</f>
        <v>6</v>
      </c>
      <c r="J59" s="209" t="str">
        <f>IF(LEN($A59)&gt;0,IF(LEN(Declarations!$F59)&gt;0,Declarations!$F59,conftype),"")</f>
        <v>QuadKids Club</v>
      </c>
      <c r="M59" s="297">
        <f>IF(ISNA(VLOOKUP($A59,SprintData,2,FALSE)),0,VLOOKUP($A59,SprintData,2,FALSE))</f>
        <v>13.6</v>
      </c>
      <c r="N59" s="297">
        <f>IF(ISNA(VLOOKUP($A59,JumpData,2,FALSE)),0,VLOOKUP($A59,JumpData,2,FALSE))</f>
        <v>2.63</v>
      </c>
      <c r="O59" s="297">
        <f>IF(ISNA(VLOOKUP($A59,RunData,2,FALSE)),0,VLOOKUP($A59,RunData,2,FALSE))</f>
        <v>2.32</v>
      </c>
      <c r="P59" s="297">
        <f>IF(ISNA(VLOOKUP($A59,ThrowData,2,FALSE)),0,VLOOKUP($A59,ThrowData,2,FALSE))</f>
        <v>9.77</v>
      </c>
      <c r="Q59" s="298">
        <f>IF(ISNA(VLOOKUP($A59,SprintData,4,FALSE)),0,VLOOKUP($A59,SprintData,4,FALSE))+V59</f>
        <v>34</v>
      </c>
      <c r="R59" s="298">
        <f>IF(ISNA(VLOOKUP($A59,JumpData,4,FALSE)),0,VLOOKUP($A59,JumpData,4,FALSE))+W59</f>
        <v>24</v>
      </c>
      <c r="S59" s="298">
        <f>IF(ISNA(VLOOKUP($A59,RunData,4,FALSE)),0,VLOOKUP($A59,RunData,4,FALSE))+X59</f>
        <v>38</v>
      </c>
      <c r="T59" s="298">
        <f>IF(ISNA(VLOOKUP($A59,ThrowData,4,FALSE)),0,VLOOKUP($A59,ThrowData,4,FALSE))+Y59</f>
        <v>19</v>
      </c>
      <c r="U59" s="299">
        <f t="shared" si="2"/>
        <v>115</v>
      </c>
      <c r="V59">
        <f>IF(AND($F59&gt;0,NOT(M59),Flexing),FlexPC,0)</f>
        <v>0</v>
      </c>
      <c r="W59">
        <f>IF(AND($F59&gt;0,NOT(N59),Flexing),FlexPC,0)</f>
        <v>0</v>
      </c>
      <c r="X59">
        <f>IF(AND($F59&gt;0,NOT(O59),Flexing),FlexPC,0)</f>
        <v>0</v>
      </c>
      <c r="Y59">
        <f>IF(AND($F59&gt;0,NOT(P59),Flexing),FlexPC,0)</f>
        <v>0</v>
      </c>
      <c r="AA59" s="209">
        <f t="shared" si="3"/>
        <v>58</v>
      </c>
    </row>
    <row r="60" ht="15.75" customHeight="1">
      <c r="A60" s="206" t="str">
        <f>+Declarations!A60&amp;""</f>
        <v>66</v>
      </c>
      <c r="B60" t="str">
        <f>IF(LEN($A60),IF(LEN(Declarations!$B60)&gt;0,Declarations!$B60,"#"&amp;$A60),"")</f>
        <v>Albha O'Brien</v>
      </c>
      <c r="C60" s="209" t="str">
        <f t="array" ref="C60">IF(LEN(INDEX(DECLARATIONS,$AA60,3))&gt;0,INDEX(DECLARATIONS,$AA60,3),"...")</f>
        <v>Bournemouth AC</v>
      </c>
      <c r="D60" s="209" t="str">
        <f t="shared" si="1"/>
        <v>F</v>
      </c>
      <c r="E60" s="296" t="str">
        <f t="array" ref="E60">IF(ISNA($AA60),0,INDEX(DECLARATIONS,$AA60,5))</f>
        <v/>
      </c>
      <c r="F60" s="209" t="str">
        <f t="array" ref="F60">IF(ISNA($AA60),0,INDEX(DECLARATIONS,$AA60,7))</f>
        <v/>
      </c>
      <c r="G60" s="209" t="str">
        <f t="array" ref="G60">UPPER(IF(ISNA($AA60),"",INDEX(DECLARATIONS,$AA60,4)))</f>
        <v>F</v>
      </c>
      <c r="H60" t="str">
        <f>IF(AND(A60&gt;0,ISTEXT(B60)),IF(SECNAME="YES",LEFT(B60&amp;" ",FIND(" ",B60&amp;" ")+2)&amp;IF(F60&gt;0," ("&amp;F60&amp;")",""),B60&amp;IF(F60&gt;0," ("&amp;F60&amp;")","")),"#"&amp;$A60)</f>
        <v>Albha O'Brien</v>
      </c>
      <c r="I60" s="209">
        <f>IF(LEN($A60)&gt;0,IF(LEN($J60)&gt;0,MATCH(J60,MatchNames,0),EventIndex),0)</f>
        <v>6</v>
      </c>
      <c r="J60" s="209" t="str">
        <f>IF(LEN($A60)&gt;0,IF(LEN(Declarations!$F60)&gt;0,Declarations!$F60,conftype),"")</f>
        <v>QuadKids Club</v>
      </c>
      <c r="M60" s="297">
        <f>IF(ISNA(VLOOKUP($A60,SprintData,2,FALSE)),0,VLOOKUP($A60,SprintData,2,FALSE))</f>
        <v>14.7</v>
      </c>
      <c r="N60" s="297">
        <f>IF(ISNA(VLOOKUP($A60,JumpData,2,FALSE)),0,VLOOKUP($A60,JumpData,2,FALSE))</f>
        <v>2.15</v>
      </c>
      <c r="O60" s="297">
        <f>IF(ISNA(VLOOKUP($A60,RunData,2,FALSE)),0,VLOOKUP($A60,RunData,2,FALSE))</f>
        <v>2.14</v>
      </c>
      <c r="P60" s="297">
        <f>IF(ISNA(VLOOKUP($A60,ThrowData,2,FALSE)),0,VLOOKUP($A60,ThrowData,2,FALSE))</f>
        <v>14.45</v>
      </c>
      <c r="Q60" s="298">
        <f>IF(ISNA(VLOOKUP($A60,SprintData,4,FALSE)),0,VLOOKUP($A60,SprintData,4,FALSE))+V60</f>
        <v>23</v>
      </c>
      <c r="R60" s="298">
        <f>IF(ISNA(VLOOKUP($A60,JumpData,4,FALSE)),0,VLOOKUP($A60,JumpData,4,FALSE))+W60</f>
        <v>10</v>
      </c>
      <c r="S60" s="298">
        <f>IF(ISNA(VLOOKUP($A60,RunData,4,FALSE)),0,VLOOKUP($A60,RunData,4,FALSE))+X60</f>
        <v>56</v>
      </c>
      <c r="T60" s="298">
        <f>IF(ISNA(VLOOKUP($A60,ThrowData,4,FALSE)),0,VLOOKUP($A60,ThrowData,4,FALSE))+Y60</f>
        <v>28</v>
      </c>
      <c r="U60" s="299">
        <f t="shared" si="2"/>
        <v>117</v>
      </c>
      <c r="V60">
        <f>IF(AND($F60&gt;0,NOT(M60),Flexing),FlexPC,0)</f>
        <v>0</v>
      </c>
      <c r="W60">
        <f>IF(AND($F60&gt;0,NOT(N60),Flexing),FlexPC,0)</f>
        <v>0</v>
      </c>
      <c r="X60">
        <f>IF(AND($F60&gt;0,NOT(O60),Flexing),FlexPC,0)</f>
        <v>0</v>
      </c>
      <c r="Y60">
        <f>IF(AND($F60&gt;0,NOT(P60),Flexing),FlexPC,0)</f>
        <v>0</v>
      </c>
      <c r="AA60" s="209">
        <f t="shared" si="3"/>
        <v>59</v>
      </c>
    </row>
    <row r="61" ht="15.75" customHeight="1">
      <c r="A61" s="206" t="str">
        <f>+Declarations!A61&amp;""</f>
        <v>67</v>
      </c>
      <c r="B61" t="str">
        <f>IF(LEN($A61),IF(LEN(Declarations!$B61)&gt;0,Declarations!$B61,"#"&amp;$A61),"")</f>
        <v>Clodagh O'Brien</v>
      </c>
      <c r="C61" s="209" t="str">
        <f t="array" ref="C61">IF(LEN(INDEX(DECLARATIONS,$AA61,3))&gt;0,INDEX(DECLARATIONS,$AA61,3),"...")</f>
        <v>Bournemouth AC</v>
      </c>
      <c r="D61" s="209" t="str">
        <f t="shared" si="1"/>
        <v>F</v>
      </c>
      <c r="E61" s="296" t="str">
        <f t="array" ref="E61">IF(ISNA($AA61),0,INDEX(DECLARATIONS,$AA61,5))</f>
        <v/>
      </c>
      <c r="F61" s="209" t="str">
        <f t="array" ref="F61">IF(ISNA($AA61),0,INDEX(DECLARATIONS,$AA61,7))</f>
        <v/>
      </c>
      <c r="G61" s="209" t="str">
        <f t="array" ref="G61">UPPER(IF(ISNA($AA61),"",INDEX(DECLARATIONS,$AA61,4)))</f>
        <v>F</v>
      </c>
      <c r="H61" t="str">
        <f>IF(AND(A61&gt;0,ISTEXT(B61)),IF(SECNAME="YES",LEFT(B61&amp;" ",FIND(" ",B61&amp;" ")+2)&amp;IF(F61&gt;0," ("&amp;F61&amp;")",""),B61&amp;IF(F61&gt;0," ("&amp;F61&amp;")","")),"#"&amp;$A61)</f>
        <v>Clodagh O'Brien</v>
      </c>
      <c r="I61" s="209">
        <f>IF(LEN($A61)&gt;0,IF(LEN($J61)&gt;0,MATCH(J61,MatchNames,0),EventIndex),0)</f>
        <v>6</v>
      </c>
      <c r="J61" s="209" t="str">
        <f>IF(LEN($A61)&gt;0,IF(LEN(Declarations!$F61)&gt;0,Declarations!$F61,conftype),"")</f>
        <v>QuadKids Club</v>
      </c>
      <c r="M61" s="297">
        <f>IF(ISNA(VLOOKUP($A61,SprintData,2,FALSE)),0,VLOOKUP($A61,SprintData,2,FALSE))</f>
        <v>13.3</v>
      </c>
      <c r="N61" s="297">
        <f>IF(ISNA(VLOOKUP($A61,JumpData,2,FALSE)),0,VLOOKUP($A61,JumpData,2,FALSE))</f>
        <v>2.37</v>
      </c>
      <c r="O61" s="297">
        <f>IF(ISNA(VLOOKUP($A61,RunData,2,FALSE)),0,VLOOKUP($A61,RunData,2,FALSE))</f>
        <v>2.18</v>
      </c>
      <c r="P61" s="297">
        <f>IF(ISNA(VLOOKUP($A61,ThrowData,2,FALSE)),0,VLOOKUP($A61,ThrowData,2,FALSE))</f>
        <v>22.29</v>
      </c>
      <c r="Q61" s="298">
        <f>IF(ISNA(VLOOKUP($A61,SprintData,4,FALSE)),0,VLOOKUP($A61,SprintData,4,FALSE))+V61</f>
        <v>37</v>
      </c>
      <c r="R61" s="298">
        <f>IF(ISNA(VLOOKUP($A61,JumpData,4,FALSE)),0,VLOOKUP($A61,JumpData,4,FALSE))+W61</f>
        <v>15</v>
      </c>
      <c r="S61" s="298">
        <f>IF(ISNA(VLOOKUP($A61,RunData,4,FALSE)),0,VLOOKUP($A61,RunData,4,FALSE))+X61</f>
        <v>52</v>
      </c>
      <c r="T61" s="298">
        <f>IF(ISNA(VLOOKUP($A61,ThrowData,4,FALSE)),0,VLOOKUP($A61,ThrowData,4,FALSE))+Y61</f>
        <v>44</v>
      </c>
      <c r="U61" s="299">
        <f t="shared" si="2"/>
        <v>148</v>
      </c>
      <c r="V61">
        <f>IF(AND($F61&gt;0,NOT(M61),Flexing),FlexPC,0)</f>
        <v>0</v>
      </c>
      <c r="W61">
        <f>IF(AND($F61&gt;0,NOT(N61),Flexing),FlexPC,0)</f>
        <v>0</v>
      </c>
      <c r="X61">
        <f>IF(AND($F61&gt;0,NOT(O61),Flexing),FlexPC,0)</f>
        <v>0</v>
      </c>
      <c r="Y61">
        <f>IF(AND($F61&gt;0,NOT(P61),Flexing),FlexPC,0)</f>
        <v>0</v>
      </c>
      <c r="AA61" s="209">
        <f t="shared" si="3"/>
        <v>60</v>
      </c>
    </row>
    <row r="62" ht="15.75" customHeight="1">
      <c r="A62" s="206" t="str">
        <f>+Declarations!A62&amp;""</f>
        <v>68</v>
      </c>
      <c r="B62" t="str">
        <f>IF(LEN($A62),IF(LEN(Declarations!$B62)&gt;0,Declarations!$B62,"#"&amp;$A62),"")</f>
        <v>Gracie Osman</v>
      </c>
      <c r="C62" s="209" t="str">
        <f t="array" ref="C62">IF(LEN(INDEX(DECLARATIONS,$AA62,3))&gt;0,INDEX(DECLARATIONS,$AA62,3),"...")</f>
        <v>Southampton AC</v>
      </c>
      <c r="D62" s="209" t="str">
        <f t="shared" si="1"/>
        <v>F</v>
      </c>
      <c r="E62" s="296" t="str">
        <f t="array" ref="E62">IF(ISNA($AA62),0,INDEX(DECLARATIONS,$AA62,5))</f>
        <v/>
      </c>
      <c r="F62" s="209" t="str">
        <f t="array" ref="F62">IF(ISNA($AA62),0,INDEX(DECLARATIONS,$AA62,7))</f>
        <v/>
      </c>
      <c r="G62" s="209" t="str">
        <f t="array" ref="G62">UPPER(IF(ISNA($AA62),"",INDEX(DECLARATIONS,$AA62,4)))</f>
        <v>F</v>
      </c>
      <c r="H62" t="str">
        <f>IF(AND(A62&gt;0,ISTEXT(B62)),IF(SECNAME="YES",LEFT(B62&amp;" ",FIND(" ",B62&amp;" ")+2)&amp;IF(F62&gt;0," ("&amp;F62&amp;")",""),B62&amp;IF(F62&gt;0," ("&amp;F62&amp;")","")),"#"&amp;$A62)</f>
        <v>Gracie Osman</v>
      </c>
      <c r="I62" s="209">
        <f>IF(LEN($A62)&gt;0,IF(LEN($J62)&gt;0,MATCH(J62,MatchNames,0),EventIndex),0)</f>
        <v>6</v>
      </c>
      <c r="J62" s="209" t="str">
        <f>IF(LEN($A62)&gt;0,IF(LEN(Declarations!$F62)&gt;0,Declarations!$F62,conftype),"")</f>
        <v>QuadKids Club</v>
      </c>
      <c r="M62" s="297">
        <f>IF(ISNA(VLOOKUP($A62,SprintData,2,FALSE)),0,VLOOKUP($A62,SprintData,2,FALSE))</f>
        <v>12.1</v>
      </c>
      <c r="N62" s="297">
        <f>IF(ISNA(VLOOKUP($A62,JumpData,2,FALSE)),0,VLOOKUP($A62,JumpData,2,FALSE))</f>
        <v>3.5</v>
      </c>
      <c r="O62" s="297">
        <f>IF(ISNA(VLOOKUP($A62,RunData,2,FALSE)),0,VLOOKUP($A62,RunData,2,FALSE))</f>
        <v>1.59</v>
      </c>
      <c r="P62" s="297">
        <f>IF(ISNA(VLOOKUP($A62,ThrowData,2,FALSE)),0,VLOOKUP($A62,ThrowData,2,FALSE))</f>
        <v>19.5</v>
      </c>
      <c r="Q62" s="298">
        <f>IF(ISNA(VLOOKUP($A62,SprintData,4,FALSE)),0,VLOOKUP($A62,SprintData,4,FALSE))+V62</f>
        <v>49</v>
      </c>
      <c r="R62" s="298">
        <f>IF(ISNA(VLOOKUP($A62,JumpData,4,FALSE)),0,VLOOKUP($A62,JumpData,4,FALSE))+W62</f>
        <v>53</v>
      </c>
      <c r="S62" s="298">
        <f>IF(ISNA(VLOOKUP($A62,RunData,4,FALSE)),0,VLOOKUP($A62,RunData,4,FALSE))+X62</f>
        <v>71</v>
      </c>
      <c r="T62" s="298">
        <f>IF(ISNA(VLOOKUP($A62,ThrowData,4,FALSE)),0,VLOOKUP($A62,ThrowData,4,FALSE))+Y62</f>
        <v>39</v>
      </c>
      <c r="U62" s="299">
        <f t="shared" si="2"/>
        <v>212</v>
      </c>
      <c r="V62">
        <f>IF(AND($F62&gt;0,NOT(M62),Flexing),FlexPC,0)</f>
        <v>0</v>
      </c>
      <c r="W62">
        <f>IF(AND($F62&gt;0,NOT(N62),Flexing),FlexPC,0)</f>
        <v>0</v>
      </c>
      <c r="X62">
        <f>IF(AND($F62&gt;0,NOT(O62),Flexing),FlexPC,0)</f>
        <v>0</v>
      </c>
      <c r="Y62">
        <f>IF(AND($F62&gt;0,NOT(P62),Flexing),FlexPC,0)</f>
        <v>0</v>
      </c>
      <c r="AA62" s="209">
        <f t="shared" si="3"/>
        <v>61</v>
      </c>
    </row>
    <row r="63" ht="15.75" customHeight="1">
      <c r="A63" s="206" t="str">
        <f>+Declarations!A63&amp;""</f>
        <v>69</v>
      </c>
      <c r="B63" t="str">
        <f>IF(LEN($A63),IF(LEN(Declarations!$B63)&gt;0,Declarations!$B63,"#"&amp;$A63),"")</f>
        <v>Isabelle Saint</v>
      </c>
      <c r="C63" s="209" t="str">
        <f t="array" ref="C63">IF(LEN(INDEX(DECLARATIONS,$AA63,3))&gt;0,INDEX(DECLARATIONS,$AA63,3),"...")</f>
        <v>Southampton AC</v>
      </c>
      <c r="D63" s="209" t="str">
        <f t="shared" si="1"/>
        <v>F</v>
      </c>
      <c r="E63" s="296" t="str">
        <f t="array" ref="E63">IF(ISNA($AA63),0,INDEX(DECLARATIONS,$AA63,5))</f>
        <v/>
      </c>
      <c r="F63" s="209" t="str">
        <f t="array" ref="F63">IF(ISNA($AA63),0,INDEX(DECLARATIONS,$AA63,7))</f>
        <v/>
      </c>
      <c r="G63" s="209" t="str">
        <f t="array" ref="G63">UPPER(IF(ISNA($AA63),"",INDEX(DECLARATIONS,$AA63,4)))</f>
        <v>F</v>
      </c>
      <c r="H63" t="str">
        <f>IF(AND(A63&gt;0,ISTEXT(B63)),IF(SECNAME="YES",LEFT(B63&amp;" ",FIND(" ",B63&amp;" ")+2)&amp;IF(F63&gt;0," ("&amp;F63&amp;")",""),B63&amp;IF(F63&gt;0," ("&amp;F63&amp;")","")),"#"&amp;$A63)</f>
        <v>Isabelle Saint</v>
      </c>
      <c r="I63" s="209">
        <f>IF(LEN($A63)&gt;0,IF(LEN($J63)&gt;0,MATCH(J63,MatchNames,0),EventIndex),0)</f>
        <v>6</v>
      </c>
      <c r="J63" s="209" t="str">
        <f>IF(LEN($A63)&gt;0,IF(LEN(Declarations!$F63)&gt;0,Declarations!$F63,conftype),"")</f>
        <v>QuadKids Club</v>
      </c>
      <c r="M63" s="297">
        <f>IF(ISNA(VLOOKUP($A63,SprintData,2,FALSE)),0,VLOOKUP($A63,SprintData,2,FALSE))</f>
        <v>11.7</v>
      </c>
      <c r="N63" s="297">
        <f>IF(ISNA(VLOOKUP($A63,JumpData,2,FALSE)),0,VLOOKUP($A63,JumpData,2,FALSE))</f>
        <v>2.91</v>
      </c>
      <c r="O63" s="297">
        <f>IF(ISNA(VLOOKUP($A63,RunData,2,FALSE)),0,VLOOKUP($A63,RunData,2,FALSE))</f>
        <v>2.27</v>
      </c>
      <c r="P63" s="297">
        <f>IF(ISNA(VLOOKUP($A63,ThrowData,2,FALSE)),0,VLOOKUP($A63,ThrowData,2,FALSE))</f>
        <v>13.61</v>
      </c>
      <c r="Q63" s="298">
        <f>IF(ISNA(VLOOKUP($A63,SprintData,4,FALSE)),0,VLOOKUP($A63,SprintData,4,FALSE))+V63</f>
        <v>53</v>
      </c>
      <c r="R63" s="298">
        <f>IF(ISNA(VLOOKUP($A63,JumpData,4,FALSE)),0,VLOOKUP($A63,JumpData,4,FALSE))+W63</f>
        <v>33</v>
      </c>
      <c r="S63" s="298">
        <f>IF(ISNA(VLOOKUP($A63,RunData,4,FALSE)),0,VLOOKUP($A63,RunData,4,FALSE))+X63</f>
        <v>43</v>
      </c>
      <c r="T63" s="298">
        <f>IF(ISNA(VLOOKUP($A63,ThrowData,4,FALSE)),0,VLOOKUP($A63,ThrowData,4,FALSE))+Y63</f>
        <v>27</v>
      </c>
      <c r="U63" s="299">
        <f t="shared" si="2"/>
        <v>156</v>
      </c>
      <c r="V63">
        <f>IF(AND($F63&gt;0,NOT(M63),Flexing),FlexPC,0)</f>
        <v>0</v>
      </c>
      <c r="W63">
        <f>IF(AND($F63&gt;0,NOT(N63),Flexing),FlexPC,0)</f>
        <v>0</v>
      </c>
      <c r="X63">
        <f>IF(AND($F63&gt;0,NOT(O63),Flexing),FlexPC,0)</f>
        <v>0</v>
      </c>
      <c r="Y63">
        <f>IF(AND($F63&gt;0,NOT(P63),Flexing),FlexPC,0)</f>
        <v>0</v>
      </c>
      <c r="AA63" s="209">
        <f t="shared" si="3"/>
        <v>62</v>
      </c>
    </row>
    <row r="64" ht="15.75" customHeight="1">
      <c r="A64" s="206" t="str">
        <f>+Declarations!A64&amp;""</f>
        <v>70</v>
      </c>
      <c r="B64" t="str">
        <f>IF(LEN($A64),IF(LEN(Declarations!$B64)&gt;0,Declarations!$B64,"#"&amp;$A64),"")</f>
        <v>Alexis Seymour</v>
      </c>
      <c r="C64" s="209" t="str">
        <f t="array" ref="C64">IF(LEN(INDEX(DECLARATIONS,$AA64,3))&gt;0,INDEX(DECLARATIONS,$AA64,3),"...")</f>
        <v>New forest junior AC</v>
      </c>
      <c r="D64" s="209" t="str">
        <f t="shared" si="1"/>
        <v>F</v>
      </c>
      <c r="E64" s="296" t="str">
        <f t="array" ref="E64">IF(ISNA($AA64),0,INDEX(DECLARATIONS,$AA64,5))</f>
        <v/>
      </c>
      <c r="F64" s="209" t="str">
        <f t="array" ref="F64">IF(ISNA($AA64),0,INDEX(DECLARATIONS,$AA64,7))</f>
        <v/>
      </c>
      <c r="G64" s="209" t="str">
        <f t="array" ref="G64">UPPER(IF(ISNA($AA64),"",INDEX(DECLARATIONS,$AA64,4)))</f>
        <v>F</v>
      </c>
      <c r="H64" t="str">
        <f>IF(AND(A64&gt;0,ISTEXT(B64)),IF(SECNAME="YES",LEFT(B64&amp;" ",FIND(" ",B64&amp;" ")+2)&amp;IF(F64&gt;0," ("&amp;F64&amp;")",""),B64&amp;IF(F64&gt;0," ("&amp;F64&amp;")","")),"#"&amp;$A64)</f>
        <v>Alexis Seymour</v>
      </c>
      <c r="I64" s="209">
        <f>IF(LEN($A64)&gt;0,IF(LEN($J64)&gt;0,MATCH(J64,MatchNames,0),EventIndex),0)</f>
        <v>6</v>
      </c>
      <c r="J64" s="209" t="str">
        <f>IF(LEN($A64)&gt;0,IF(LEN(Declarations!$F64)&gt;0,Declarations!$F64,conftype),"")</f>
        <v>QuadKids Club</v>
      </c>
      <c r="M64" s="297">
        <f>IF(ISNA(VLOOKUP($A64,SprintData,2,FALSE)),0,VLOOKUP($A64,SprintData,2,FALSE))</f>
        <v>12.5</v>
      </c>
      <c r="N64" s="297">
        <f>IF(ISNA(VLOOKUP($A64,JumpData,2,FALSE)),0,VLOOKUP($A64,JumpData,2,FALSE))</f>
        <v>3.45</v>
      </c>
      <c r="O64" s="297">
        <f>IF(ISNA(VLOOKUP($A64,RunData,2,FALSE)),0,VLOOKUP($A64,RunData,2,FALSE))</f>
        <v>2.15</v>
      </c>
      <c r="P64" s="297">
        <f>IF(ISNA(VLOOKUP($A64,ThrowData,2,FALSE)),0,VLOOKUP($A64,ThrowData,2,FALSE))</f>
        <v>18.94</v>
      </c>
      <c r="Q64" s="298">
        <f>IF(ISNA(VLOOKUP($A64,SprintData,4,FALSE)),0,VLOOKUP($A64,SprintData,4,FALSE))+V64</f>
        <v>45</v>
      </c>
      <c r="R64" s="298">
        <f>IF(ISNA(VLOOKUP($A64,JumpData,4,FALSE)),0,VLOOKUP($A64,JumpData,4,FALSE))+W64</f>
        <v>51</v>
      </c>
      <c r="S64" s="298">
        <f>IF(ISNA(VLOOKUP($A64,RunData,4,FALSE)),0,VLOOKUP($A64,RunData,4,FALSE))+X64</f>
        <v>55</v>
      </c>
      <c r="T64" s="298">
        <f>IF(ISNA(VLOOKUP($A64,ThrowData,4,FALSE)),0,VLOOKUP($A64,ThrowData,4,FALSE))+Y64</f>
        <v>37</v>
      </c>
      <c r="U64" s="299">
        <f t="shared" si="2"/>
        <v>188</v>
      </c>
      <c r="V64">
        <f>IF(AND($F64&gt;0,NOT(M64),Flexing),FlexPC,0)</f>
        <v>0</v>
      </c>
      <c r="W64">
        <f>IF(AND($F64&gt;0,NOT(N64),Flexing),FlexPC,0)</f>
        <v>0</v>
      </c>
      <c r="X64">
        <f>IF(AND($F64&gt;0,NOT(O64),Flexing),FlexPC,0)</f>
        <v>0</v>
      </c>
      <c r="Y64">
        <f>IF(AND($F64&gt;0,NOT(P64),Flexing),FlexPC,0)</f>
        <v>0</v>
      </c>
      <c r="AA64" s="209">
        <f t="shared" si="3"/>
        <v>63</v>
      </c>
    </row>
    <row r="65" ht="15.75" customHeight="1">
      <c r="A65" s="206" t="str">
        <f>+Declarations!A65&amp;""</f>
        <v>71</v>
      </c>
      <c r="B65" t="str">
        <f>IF(LEN($A65),IF(LEN(Declarations!$B65)&gt;0,Declarations!$B65,"#"&amp;$A65),"")</f>
        <v>Clover Smith</v>
      </c>
      <c r="C65" s="209" t="str">
        <f t="array" ref="C65">IF(LEN(INDEX(DECLARATIONS,$AA65,3))&gt;0,INDEX(DECLARATIONS,$AA65,3),"...")</f>
        <v>New Forest Junior AC</v>
      </c>
      <c r="D65" s="209" t="str">
        <f t="shared" si="1"/>
        <v>F</v>
      </c>
      <c r="E65" s="296" t="str">
        <f t="array" ref="E65">IF(ISNA($AA65),0,INDEX(DECLARATIONS,$AA65,5))</f>
        <v/>
      </c>
      <c r="F65" s="209" t="str">
        <f t="array" ref="F65">IF(ISNA($AA65),0,INDEX(DECLARATIONS,$AA65,7))</f>
        <v/>
      </c>
      <c r="G65" s="209" t="str">
        <f t="array" ref="G65">UPPER(IF(ISNA($AA65),"",INDEX(DECLARATIONS,$AA65,4)))</f>
        <v>F</v>
      </c>
      <c r="H65" t="str">
        <f>IF(AND(A65&gt;0,ISTEXT(B65)),IF(SECNAME="YES",LEFT(B65&amp;" ",FIND(" ",B65&amp;" ")+2)&amp;IF(F65&gt;0," ("&amp;F65&amp;")",""),B65&amp;IF(F65&gt;0," ("&amp;F65&amp;")","")),"#"&amp;$A65)</f>
        <v>Clover Smith</v>
      </c>
      <c r="I65" s="209">
        <f>IF(LEN($A65)&gt;0,IF(LEN($J65)&gt;0,MATCH(J65,MatchNames,0),EventIndex),0)</f>
        <v>6</v>
      </c>
      <c r="J65" s="209" t="str">
        <f>IF(LEN($A65)&gt;0,IF(LEN(Declarations!$F65)&gt;0,Declarations!$F65,conftype),"")</f>
        <v>QuadKids Club</v>
      </c>
      <c r="M65" s="297">
        <f>IF(ISNA(VLOOKUP($A65,SprintData,2,FALSE)),0,VLOOKUP($A65,SprintData,2,FALSE))</f>
        <v>13.2</v>
      </c>
      <c r="N65" s="297">
        <f>IF(ISNA(VLOOKUP($A65,JumpData,2,FALSE)),0,VLOOKUP($A65,JumpData,2,FALSE))</f>
        <v>2.84</v>
      </c>
      <c r="O65" s="297">
        <f>IF(ISNA(VLOOKUP($A65,RunData,2,FALSE)),0,VLOOKUP($A65,RunData,2,FALSE))</f>
        <v>2.22</v>
      </c>
      <c r="P65" s="297">
        <f>IF(ISNA(VLOOKUP($A65,ThrowData,2,FALSE)),0,VLOOKUP($A65,ThrowData,2,FALSE))</f>
        <v>17.3</v>
      </c>
      <c r="Q65" s="298">
        <f>IF(ISNA(VLOOKUP($A65,SprintData,4,FALSE)),0,VLOOKUP($A65,SprintData,4,FALSE))+V65</f>
        <v>38</v>
      </c>
      <c r="R65" s="298">
        <f>IF(ISNA(VLOOKUP($A65,JumpData,4,FALSE)),0,VLOOKUP($A65,JumpData,4,FALSE))+W65</f>
        <v>31</v>
      </c>
      <c r="S65" s="298">
        <f>IF(ISNA(VLOOKUP($A65,RunData,4,FALSE)),0,VLOOKUP($A65,RunData,4,FALSE))+X65</f>
        <v>48</v>
      </c>
      <c r="T65" s="298">
        <f>IF(ISNA(VLOOKUP($A65,ThrowData,4,FALSE)),0,VLOOKUP($A65,ThrowData,4,FALSE))+Y65</f>
        <v>34</v>
      </c>
      <c r="U65" s="299">
        <f t="shared" si="2"/>
        <v>151</v>
      </c>
      <c r="V65">
        <f>IF(AND($F65&gt;0,NOT(M65),Flexing),FlexPC,0)</f>
        <v>0</v>
      </c>
      <c r="W65">
        <f>IF(AND($F65&gt;0,NOT(N65),Flexing),FlexPC,0)</f>
        <v>0</v>
      </c>
      <c r="X65">
        <f>IF(AND($F65&gt;0,NOT(O65),Flexing),FlexPC,0)</f>
        <v>0</v>
      </c>
      <c r="Y65">
        <f>IF(AND($F65&gt;0,NOT(P65),Flexing),FlexPC,0)</f>
        <v>0</v>
      </c>
      <c r="AA65" s="209">
        <f t="shared" si="3"/>
        <v>64</v>
      </c>
    </row>
    <row r="66" ht="15.75" customHeight="1">
      <c r="A66" s="206" t="str">
        <f>+Declarations!A66&amp;""</f>
        <v>72</v>
      </c>
      <c r="B66" t="str">
        <f>IF(LEN($A66),IF(LEN(Declarations!$B66)&gt;0,Declarations!$B66,"#"&amp;$A66),"")</f>
        <v>Lucy Smith </v>
      </c>
      <c r="C66" s="209" t="str">
        <f t="array" ref="C66">IF(LEN(INDEX(DECLARATIONS,$AA66,3))&gt;0,INDEX(DECLARATIONS,$AA66,3),"...")</f>
        <v>Poole Runners</v>
      </c>
      <c r="D66" s="209" t="str">
        <f t="shared" si="1"/>
        <v>F</v>
      </c>
      <c r="E66" s="296" t="str">
        <f t="array" ref="E66">IF(ISNA($AA66),0,INDEX(DECLARATIONS,$AA66,5))</f>
        <v/>
      </c>
      <c r="F66" s="209" t="str">
        <f t="array" ref="F66">IF(ISNA($AA66),0,INDEX(DECLARATIONS,$AA66,7))</f>
        <v/>
      </c>
      <c r="G66" s="209" t="str">
        <f t="array" ref="G66">UPPER(IF(ISNA($AA66),"",INDEX(DECLARATIONS,$AA66,4)))</f>
        <v>F</v>
      </c>
      <c r="H66" t="str">
        <f>IF(AND(A66&gt;0,ISTEXT(B66)),IF(SECNAME="YES",LEFT(B66&amp;" ",FIND(" ",B66&amp;" ")+2)&amp;IF(F66&gt;0," ("&amp;F66&amp;")",""),B66&amp;IF(F66&gt;0," ("&amp;F66&amp;")","")),"#"&amp;$A66)</f>
        <v>Lucy Smith </v>
      </c>
      <c r="I66" s="209">
        <f>IF(LEN($A66)&gt;0,IF(LEN($J66)&gt;0,MATCH(J66,MatchNames,0),EventIndex),0)</f>
        <v>6</v>
      </c>
      <c r="J66" s="209" t="str">
        <f>IF(LEN($A66)&gt;0,IF(LEN(Declarations!$F66)&gt;0,Declarations!$F66,conftype),"")</f>
        <v>QuadKids Club</v>
      </c>
      <c r="M66" s="297">
        <f>IF(ISNA(VLOOKUP($A66,SprintData,2,FALSE)),0,VLOOKUP($A66,SprintData,2,FALSE))</f>
        <v>13.63</v>
      </c>
      <c r="N66" s="297">
        <f>IF(ISNA(VLOOKUP($A66,JumpData,2,FALSE)),0,VLOOKUP($A66,JumpData,2,FALSE))</f>
        <v>2.73</v>
      </c>
      <c r="O66" s="297">
        <f>IF(ISNA(VLOOKUP($A66,RunData,2,FALSE)),0,VLOOKUP($A66,RunData,2,FALSE))</f>
        <v>2.25</v>
      </c>
      <c r="P66" s="297">
        <f>IF(ISNA(VLOOKUP($A66,ThrowData,2,FALSE)),0,VLOOKUP($A66,ThrowData,2,FALSE))</f>
        <v>10.65</v>
      </c>
      <c r="Q66" s="298">
        <f>IF(ISNA(VLOOKUP($A66,SprintData,4,FALSE)),0,VLOOKUP($A66,SprintData,4,FALSE))+V66</f>
        <v>34</v>
      </c>
      <c r="R66" s="298">
        <f>IF(ISNA(VLOOKUP($A66,JumpData,4,FALSE)),0,VLOOKUP($A66,JumpData,4,FALSE))+W66</f>
        <v>27</v>
      </c>
      <c r="S66" s="298">
        <f>IF(ISNA(VLOOKUP($A66,RunData,4,FALSE)),0,VLOOKUP($A66,RunData,4,FALSE))+X66</f>
        <v>45</v>
      </c>
      <c r="T66" s="298">
        <f>IF(ISNA(VLOOKUP($A66,ThrowData,4,FALSE)),0,VLOOKUP($A66,ThrowData,4,FALSE))+Y66</f>
        <v>21</v>
      </c>
      <c r="U66" s="299">
        <f t="shared" si="2"/>
        <v>127</v>
      </c>
      <c r="V66">
        <f>IF(AND($F66&gt;0,NOT(M66),Flexing),FlexPC,0)</f>
        <v>0</v>
      </c>
      <c r="W66">
        <f>IF(AND($F66&gt;0,NOT(N66),Flexing),FlexPC,0)</f>
        <v>0</v>
      </c>
      <c r="X66">
        <f>IF(AND($F66&gt;0,NOT(O66),Flexing),FlexPC,0)</f>
        <v>0</v>
      </c>
      <c r="Y66">
        <f>IF(AND($F66&gt;0,NOT(P66),Flexing),FlexPC,0)</f>
        <v>0</v>
      </c>
      <c r="AA66" s="209">
        <f t="shared" si="3"/>
        <v>65</v>
      </c>
    </row>
    <row r="67" ht="15.75" customHeight="1">
      <c r="A67" s="206" t="str">
        <f>+Declarations!A67&amp;""</f>
        <v>73</v>
      </c>
      <c r="B67" t="str">
        <f>IF(LEN($A67),IF(LEN(Declarations!$B67)&gt;0,Declarations!$B67,"#"&amp;$A67),"")</f>
        <v>Bethany Smith</v>
      </c>
      <c r="C67" s="209" t="str">
        <f t="array" ref="C67">IF(LEN(INDEX(DECLARATIONS,$AA67,3))&gt;0,INDEX(DECLARATIONS,$AA67,3),"...")</f>
        <v>Poole Runner</v>
      </c>
      <c r="D67" s="209" t="str">
        <f t="shared" si="1"/>
        <v>F</v>
      </c>
      <c r="E67" s="296" t="str">
        <f t="array" ref="E67">IF(ISNA($AA67),0,INDEX(DECLARATIONS,$AA67,5))</f>
        <v/>
      </c>
      <c r="F67" s="209" t="str">
        <f t="array" ref="F67">IF(ISNA($AA67),0,INDEX(DECLARATIONS,$AA67,7))</f>
        <v/>
      </c>
      <c r="G67" s="209" t="str">
        <f t="array" ref="G67">UPPER(IF(ISNA($AA67),"",INDEX(DECLARATIONS,$AA67,4)))</f>
        <v>F</v>
      </c>
      <c r="H67" t="str">
        <f>IF(AND(A67&gt;0,ISTEXT(B67)),IF(SECNAME="YES",LEFT(B67&amp;" ",FIND(" ",B67&amp;" ")+2)&amp;IF(F67&gt;0," ("&amp;F67&amp;")",""),B67&amp;IF(F67&gt;0," ("&amp;F67&amp;")","")),"#"&amp;$A67)</f>
        <v>Bethany Smith</v>
      </c>
      <c r="I67" s="209">
        <f>IF(LEN($A67)&gt;0,IF(LEN($J67)&gt;0,MATCH(J67,MatchNames,0),EventIndex),0)</f>
        <v>6</v>
      </c>
      <c r="J67" s="209" t="str">
        <f>IF(LEN($A67)&gt;0,IF(LEN(Declarations!$F67)&gt;0,Declarations!$F67,conftype),"")</f>
        <v>QuadKids Club</v>
      </c>
      <c r="M67" s="297">
        <f>IF(ISNA(VLOOKUP($A67,SprintData,2,FALSE)),0,VLOOKUP($A67,SprintData,2,FALSE))</f>
        <v>12.6</v>
      </c>
      <c r="N67" s="297">
        <f>IF(ISNA(VLOOKUP($A67,JumpData,2,FALSE)),0,VLOOKUP($A67,JumpData,2,FALSE))</f>
        <v>3.01</v>
      </c>
      <c r="O67" s="297">
        <f>IF(ISNA(VLOOKUP($A67,RunData,2,FALSE)),0,VLOOKUP($A67,RunData,2,FALSE))</f>
        <v>2.14</v>
      </c>
      <c r="P67" s="297">
        <f>IF(ISNA(VLOOKUP($A67,ThrowData,2,FALSE)),0,VLOOKUP($A67,ThrowData,2,FALSE))</f>
        <v>13.76</v>
      </c>
      <c r="Q67" s="298">
        <f>IF(ISNA(VLOOKUP($A67,SprintData,4,FALSE)),0,VLOOKUP($A67,SprintData,4,FALSE))+V67</f>
        <v>44</v>
      </c>
      <c r="R67" s="298">
        <f>IF(ISNA(VLOOKUP($A67,JumpData,4,FALSE)),0,VLOOKUP($A67,JumpData,4,FALSE))+W67</f>
        <v>37</v>
      </c>
      <c r="S67" s="298">
        <f>IF(ISNA(VLOOKUP($A67,RunData,4,FALSE)),0,VLOOKUP($A67,RunData,4,FALSE))+X67</f>
        <v>56</v>
      </c>
      <c r="T67" s="298">
        <f>IF(ISNA(VLOOKUP($A67,ThrowData,4,FALSE)),0,VLOOKUP($A67,ThrowData,4,FALSE))+Y67</f>
        <v>27</v>
      </c>
      <c r="U67" s="299">
        <f t="shared" si="2"/>
        <v>164</v>
      </c>
      <c r="V67">
        <f>IF(AND($F67&gt;0,NOT(M67),Flexing),FlexPC,0)</f>
        <v>0</v>
      </c>
      <c r="W67">
        <f>IF(AND($F67&gt;0,NOT(N67),Flexing),FlexPC,0)</f>
        <v>0</v>
      </c>
      <c r="X67">
        <f>IF(AND($F67&gt;0,NOT(O67),Flexing),FlexPC,0)</f>
        <v>0</v>
      </c>
      <c r="Y67">
        <f>IF(AND($F67&gt;0,NOT(P67),Flexing),FlexPC,0)</f>
        <v>0</v>
      </c>
      <c r="AA67" s="209">
        <f t="shared" si="3"/>
        <v>66</v>
      </c>
    </row>
    <row r="68" ht="15.75" customHeight="1">
      <c r="A68" s="206" t="str">
        <f>+Declarations!A68&amp;""</f>
        <v>74</v>
      </c>
      <c r="B68" t="str">
        <f>IF(LEN($A68),IF(LEN(Declarations!$B68)&gt;0,Declarations!$B68,"#"&amp;$A68),"")</f>
        <v>Jessica Stanbrook</v>
      </c>
      <c r="C68" s="209" t="str">
        <f t="array" ref="C68">IF(LEN(INDEX(DECLARATIONS,$AA68,3))&gt;0,INDEX(DECLARATIONS,$AA68,3),"...")</f>
        <v>Portsmouth</v>
      </c>
      <c r="D68" s="209" t="str">
        <f t="shared" si="1"/>
        <v>F</v>
      </c>
      <c r="E68" s="296" t="str">
        <f t="array" ref="E68">IF(ISNA($AA68),0,INDEX(DECLARATIONS,$AA68,5))</f>
        <v/>
      </c>
      <c r="F68" s="209" t="str">
        <f t="array" ref="F68">IF(ISNA($AA68),0,INDEX(DECLARATIONS,$AA68,7))</f>
        <v/>
      </c>
      <c r="G68" s="209" t="str">
        <f t="array" ref="G68">UPPER(IF(ISNA($AA68),"",INDEX(DECLARATIONS,$AA68,4)))</f>
        <v>F</v>
      </c>
      <c r="H68" t="str">
        <f>IF(AND(A68&gt;0,ISTEXT(B68)),IF(SECNAME="YES",LEFT(B68&amp;" ",FIND(" ",B68&amp;" ")+2)&amp;IF(F68&gt;0," ("&amp;F68&amp;")",""),B68&amp;IF(F68&gt;0," ("&amp;F68&amp;")","")),"#"&amp;$A68)</f>
        <v>Jessica Stanbrook</v>
      </c>
      <c r="I68" s="209">
        <f>IF(LEN($A68)&gt;0,IF(LEN($J68)&gt;0,MATCH(J68,MatchNames,0),EventIndex),0)</f>
        <v>6</v>
      </c>
      <c r="J68" s="209" t="str">
        <f>IF(LEN($A68)&gt;0,IF(LEN(Declarations!$F68)&gt;0,Declarations!$F68,conftype),"")</f>
        <v>QuadKids Club</v>
      </c>
      <c r="M68" s="297">
        <f>IF(ISNA(VLOOKUP($A68,SprintData,2,FALSE)),0,VLOOKUP($A68,SprintData,2,FALSE))</f>
        <v>0</v>
      </c>
      <c r="N68" s="297">
        <f>IF(ISNA(VLOOKUP($A68,JumpData,2,FALSE)),0,VLOOKUP($A68,JumpData,2,FALSE))</f>
        <v>0</v>
      </c>
      <c r="O68" s="297">
        <f>IF(ISNA(VLOOKUP($A68,RunData,2,FALSE)),0,VLOOKUP($A68,RunData,2,FALSE))</f>
        <v>0</v>
      </c>
      <c r="P68" s="297">
        <f>IF(ISNA(VLOOKUP($A68,ThrowData,2,FALSE)),0,VLOOKUP($A68,ThrowData,2,FALSE))</f>
        <v>0</v>
      </c>
      <c r="Q68" s="298">
        <f>IF(ISNA(VLOOKUP($A68,SprintData,4,FALSE)),0,VLOOKUP($A68,SprintData,4,FALSE))+V68</f>
        <v>0</v>
      </c>
      <c r="R68" s="298">
        <f>IF(ISNA(VLOOKUP($A68,JumpData,4,FALSE)),0,VLOOKUP($A68,JumpData,4,FALSE))+W68</f>
        <v>0</v>
      </c>
      <c r="S68" s="298">
        <f>IF(ISNA(VLOOKUP($A68,RunData,4,FALSE)),0,VLOOKUP($A68,RunData,4,FALSE))+X68</f>
        <v>0</v>
      </c>
      <c r="T68" s="298">
        <f>IF(ISNA(VLOOKUP($A68,ThrowData,4,FALSE)),0,VLOOKUP($A68,ThrowData,4,FALSE))+Y68</f>
        <v>0</v>
      </c>
      <c r="U68" s="299">
        <f t="shared" si="2"/>
        <v>0</v>
      </c>
      <c r="V68">
        <f>IF(AND($F68&gt;0,NOT(M68),Flexing),FlexPC,0)</f>
        <v>0</v>
      </c>
      <c r="W68">
        <f>IF(AND($F68&gt;0,NOT(N68),Flexing),FlexPC,0)</f>
        <v>0</v>
      </c>
      <c r="X68">
        <f>IF(AND($F68&gt;0,NOT(O68),Flexing),FlexPC,0)</f>
        <v>0</v>
      </c>
      <c r="Y68">
        <f>IF(AND($F68&gt;0,NOT(P68),Flexing),FlexPC,0)</f>
        <v>0</v>
      </c>
      <c r="AA68" s="209">
        <f t="shared" si="3"/>
        <v>67</v>
      </c>
    </row>
    <row r="69" ht="15.75" customHeight="1">
      <c r="A69" s="206" t="str">
        <f>+Declarations!A69&amp;""</f>
        <v>75</v>
      </c>
      <c r="B69" t="str">
        <f>IF(LEN($A69),IF(LEN(Declarations!$B69)&gt;0,Declarations!$B69,"#"&amp;$A69),"")</f>
        <v>Poppy Taylor</v>
      </c>
      <c r="C69" s="209" t="str">
        <f t="array" ref="C69">IF(LEN(INDEX(DECLARATIONS,$AA69,3))&gt;0,INDEX(DECLARATIONS,$AA69,3),"...")</f>
        <v>Winchester</v>
      </c>
      <c r="D69" s="209" t="str">
        <f t="shared" si="1"/>
        <v>F</v>
      </c>
      <c r="E69" s="296" t="str">
        <f t="array" ref="E69">IF(ISNA($AA69),0,INDEX(DECLARATIONS,$AA69,5))</f>
        <v/>
      </c>
      <c r="F69" s="209" t="str">
        <f t="array" ref="F69">IF(ISNA($AA69),0,INDEX(DECLARATIONS,$AA69,7))</f>
        <v/>
      </c>
      <c r="G69" s="209" t="str">
        <f t="array" ref="G69">UPPER(IF(ISNA($AA69),"",INDEX(DECLARATIONS,$AA69,4)))</f>
        <v>F</v>
      </c>
      <c r="H69" t="str">
        <f>IF(AND(A69&gt;0,ISTEXT(B69)),IF(SECNAME="YES",LEFT(B69&amp;" ",FIND(" ",B69&amp;" ")+2)&amp;IF(F69&gt;0," ("&amp;F69&amp;")",""),B69&amp;IF(F69&gt;0," ("&amp;F69&amp;")","")),"#"&amp;$A69)</f>
        <v>Poppy Taylor</v>
      </c>
      <c r="I69" s="209">
        <f>IF(LEN($A69)&gt;0,IF(LEN($J69)&gt;0,MATCH(J69,MatchNames,0),EventIndex),0)</f>
        <v>6</v>
      </c>
      <c r="J69" s="209" t="str">
        <f>IF(LEN($A69)&gt;0,IF(LEN(Declarations!$F69)&gt;0,Declarations!$F69,conftype),"")</f>
        <v>QuadKids Club</v>
      </c>
      <c r="M69" s="297">
        <f>IF(ISNA(VLOOKUP($A69,SprintData,2,FALSE)),0,VLOOKUP($A69,SprintData,2,FALSE))</f>
        <v>13</v>
      </c>
      <c r="N69" s="297">
        <f>IF(ISNA(VLOOKUP($A69,JumpData,2,FALSE)),0,VLOOKUP($A69,JumpData,2,FALSE))</f>
        <v>2.87</v>
      </c>
      <c r="O69" s="297">
        <f>IF(ISNA(VLOOKUP($A69,RunData,2,FALSE)),0,VLOOKUP($A69,RunData,2,FALSE))</f>
        <v>2</v>
      </c>
      <c r="P69" s="297">
        <f>IF(ISNA(VLOOKUP($A69,ThrowData,2,FALSE)),0,VLOOKUP($A69,ThrowData,2,FALSE))</f>
        <v>23.53</v>
      </c>
      <c r="Q69" s="298">
        <f>IF(ISNA(VLOOKUP($A69,SprintData,4,FALSE)),0,VLOOKUP($A69,SprintData,4,FALSE))+V69</f>
        <v>40</v>
      </c>
      <c r="R69" s="298">
        <f>IF(ISNA(VLOOKUP($A69,JumpData,4,FALSE)),0,VLOOKUP($A69,JumpData,4,FALSE))+W69</f>
        <v>32</v>
      </c>
      <c r="S69" s="298">
        <f>IF(ISNA(VLOOKUP($A69,RunData,4,FALSE)),0,VLOOKUP($A69,RunData,4,FALSE))+X69</f>
        <v>70</v>
      </c>
      <c r="T69" s="298">
        <f>IF(ISNA(VLOOKUP($A69,ThrowData,4,FALSE)),0,VLOOKUP($A69,ThrowData,4,FALSE))+Y69</f>
        <v>47</v>
      </c>
      <c r="U69" s="299">
        <f t="shared" si="2"/>
        <v>189</v>
      </c>
      <c r="V69">
        <f>IF(AND($F69&gt;0,NOT(M69),Flexing),FlexPC,0)</f>
        <v>0</v>
      </c>
      <c r="W69">
        <f>IF(AND($F69&gt;0,NOT(N69),Flexing),FlexPC,0)</f>
        <v>0</v>
      </c>
      <c r="X69">
        <f>IF(AND($F69&gt;0,NOT(O69),Flexing),FlexPC,0)</f>
        <v>0</v>
      </c>
      <c r="Y69">
        <f>IF(AND($F69&gt;0,NOT(P69),Flexing),FlexPC,0)</f>
        <v>0</v>
      </c>
      <c r="AA69" s="209">
        <f t="shared" si="3"/>
        <v>68</v>
      </c>
    </row>
    <row r="70" ht="15.75" customHeight="1">
      <c r="A70" s="206" t="str">
        <f>+Declarations!A70&amp;""</f>
        <v>76</v>
      </c>
      <c r="B70" t="str">
        <f>IF(LEN($A70),IF(LEN(Declarations!$B70)&gt;0,Declarations!$B70,"#"&amp;$A70),"")</f>
        <v>Chrissie Thomson</v>
      </c>
      <c r="C70" s="209" t="str">
        <f t="array" ref="C70">IF(LEN(INDEX(DECLARATIONS,$AA70,3))&gt;0,INDEX(DECLARATIONS,$AA70,3),"...")</f>
        <v>Bournemouth AC</v>
      </c>
      <c r="D70" s="209" t="str">
        <f t="shared" si="1"/>
        <v>F</v>
      </c>
      <c r="E70" s="296" t="str">
        <f t="array" ref="E70">IF(ISNA($AA70),0,INDEX(DECLARATIONS,$AA70,5))</f>
        <v/>
      </c>
      <c r="F70" s="209" t="str">
        <f t="array" ref="F70">IF(ISNA($AA70),0,INDEX(DECLARATIONS,$AA70,7))</f>
        <v/>
      </c>
      <c r="G70" s="209" t="str">
        <f t="array" ref="G70">UPPER(IF(ISNA($AA70),"",INDEX(DECLARATIONS,$AA70,4)))</f>
        <v>F</v>
      </c>
      <c r="H70" t="str">
        <f>IF(AND(A70&gt;0,ISTEXT(B70)),IF(SECNAME="YES",LEFT(B70&amp;" ",FIND(" ",B70&amp;" ")+2)&amp;IF(F70&gt;0," ("&amp;F70&amp;")",""),B70&amp;IF(F70&gt;0," ("&amp;F70&amp;")","")),"#"&amp;$A70)</f>
        <v>Chrissie Thomson</v>
      </c>
      <c r="I70" s="209">
        <f>IF(LEN($A70)&gt;0,IF(LEN($J70)&gt;0,MATCH(J70,MatchNames,0),EventIndex),0)</f>
        <v>6</v>
      </c>
      <c r="J70" s="209" t="str">
        <f>IF(LEN($A70)&gt;0,IF(LEN(Declarations!$F70)&gt;0,Declarations!$F70,conftype),"")</f>
        <v>QuadKids Club</v>
      </c>
      <c r="M70" s="297">
        <f>IF(ISNA(VLOOKUP($A70,SprintData,2,FALSE)),0,VLOOKUP($A70,SprintData,2,FALSE))</f>
        <v>13.4</v>
      </c>
      <c r="N70" s="297">
        <f>IF(ISNA(VLOOKUP($A70,JumpData,2,FALSE)),0,VLOOKUP($A70,JumpData,2,FALSE))</f>
        <v>3.01</v>
      </c>
      <c r="O70" s="297">
        <f>IF(ISNA(VLOOKUP($A70,RunData,2,FALSE)),0,VLOOKUP($A70,RunData,2,FALSE))</f>
        <v>2.29</v>
      </c>
      <c r="P70" s="297">
        <f>IF(ISNA(VLOOKUP($A70,ThrowData,2,FALSE)),0,VLOOKUP($A70,ThrowData,2,FALSE))</f>
        <v>13.49</v>
      </c>
      <c r="Q70" s="298">
        <f>IF(ISNA(VLOOKUP($A70,SprintData,4,FALSE)),0,VLOOKUP($A70,SprintData,4,FALSE))+V70</f>
        <v>36</v>
      </c>
      <c r="R70" s="298">
        <f>IF(ISNA(VLOOKUP($A70,JumpData,4,FALSE)),0,VLOOKUP($A70,JumpData,4,FALSE))+W70</f>
        <v>37</v>
      </c>
      <c r="S70" s="298">
        <f>IF(ISNA(VLOOKUP($A70,RunData,4,FALSE)),0,VLOOKUP($A70,RunData,4,FALSE))+X70</f>
        <v>41</v>
      </c>
      <c r="T70" s="298">
        <f>IF(ISNA(VLOOKUP($A70,ThrowData,4,FALSE)),0,VLOOKUP($A70,ThrowData,4,FALSE))+Y70</f>
        <v>26</v>
      </c>
      <c r="U70" s="299">
        <f t="shared" si="2"/>
        <v>140</v>
      </c>
      <c r="V70">
        <f>IF(AND($F70&gt;0,NOT(M70),Flexing),FlexPC,0)</f>
        <v>0</v>
      </c>
      <c r="W70">
        <f>IF(AND($F70&gt;0,NOT(N70),Flexing),FlexPC,0)</f>
        <v>0</v>
      </c>
      <c r="X70">
        <f>IF(AND($F70&gt;0,NOT(O70),Flexing),FlexPC,0)</f>
        <v>0</v>
      </c>
      <c r="Y70">
        <f>IF(AND($F70&gt;0,NOT(P70),Flexing),FlexPC,0)</f>
        <v>0</v>
      </c>
      <c r="AA70" s="209">
        <f t="shared" si="3"/>
        <v>69</v>
      </c>
    </row>
    <row r="71" ht="15.75" customHeight="1">
      <c r="A71" s="206" t="str">
        <f>+Declarations!A71&amp;""</f>
        <v>77</v>
      </c>
      <c r="B71" t="str">
        <f>IF(LEN($A71),IF(LEN(Declarations!$B71)&gt;0,Declarations!$B71,"#"&amp;$A71),"")</f>
        <v>Darcey Thorne Henderson</v>
      </c>
      <c r="C71" s="209" t="str">
        <f t="array" ref="C71">IF(LEN(INDEX(DECLARATIONS,$AA71,3))&gt;0,INDEX(DECLARATIONS,$AA71,3),"...")</f>
        <v>Wadac </v>
      </c>
      <c r="D71" s="209" t="str">
        <f t="shared" si="1"/>
        <v>F</v>
      </c>
      <c r="E71" s="296" t="str">
        <f t="array" ref="E71">IF(ISNA($AA71),0,INDEX(DECLARATIONS,$AA71,5))</f>
        <v/>
      </c>
      <c r="F71" s="209" t="str">
        <f t="array" ref="F71">IF(ISNA($AA71),0,INDEX(DECLARATIONS,$AA71,7))</f>
        <v/>
      </c>
      <c r="G71" s="209" t="str">
        <f t="array" ref="G71">UPPER(IF(ISNA($AA71),"",INDEX(DECLARATIONS,$AA71,4)))</f>
        <v>F</v>
      </c>
      <c r="H71" t="str">
        <f>IF(AND(A71&gt;0,ISTEXT(B71)),IF(SECNAME="YES",LEFT(B71&amp;" ",FIND(" ",B71&amp;" ")+2)&amp;IF(F71&gt;0," ("&amp;F71&amp;")",""),B71&amp;IF(F71&gt;0," ("&amp;F71&amp;")","")),"#"&amp;$A71)</f>
        <v>Darcey Thorne Henderson</v>
      </c>
      <c r="I71" s="209">
        <f>IF(LEN($A71)&gt;0,IF(LEN($J71)&gt;0,MATCH(J71,MatchNames,0),EventIndex),0)</f>
        <v>6</v>
      </c>
      <c r="J71" s="209" t="str">
        <f>IF(LEN($A71)&gt;0,IF(LEN(Declarations!$F71)&gt;0,Declarations!$F71,conftype),"")</f>
        <v>QuadKids Club</v>
      </c>
      <c r="M71" s="297">
        <f>IF(ISNA(VLOOKUP($A71,SprintData,2,FALSE)),0,VLOOKUP($A71,SprintData,2,FALSE))</f>
        <v>14.9</v>
      </c>
      <c r="N71" s="297">
        <f>IF(ISNA(VLOOKUP($A71,JumpData,2,FALSE)),0,VLOOKUP($A71,JumpData,2,FALSE))</f>
        <v>1.7</v>
      </c>
      <c r="O71" s="297">
        <f>IF(ISNA(VLOOKUP($A71,RunData,2,FALSE)),0,VLOOKUP($A71,RunData,2,FALSE))</f>
        <v>0</v>
      </c>
      <c r="P71" s="297">
        <f>IF(ISNA(VLOOKUP($A71,ThrowData,2,FALSE)),0,VLOOKUP($A71,ThrowData,2,FALSE))</f>
        <v>10.74</v>
      </c>
      <c r="Q71" s="298">
        <f>IF(ISNA(VLOOKUP($A71,SprintData,4,FALSE)),0,VLOOKUP($A71,SprintData,4,FALSE))+V71</f>
        <v>21</v>
      </c>
      <c r="R71" s="298">
        <f>IF(ISNA(VLOOKUP($A71,JumpData,4,FALSE)),0,VLOOKUP($A71,JumpData,4,FALSE))+W71</f>
        <v>10</v>
      </c>
      <c r="S71" s="298">
        <f>IF(ISNA(VLOOKUP($A71,RunData,4,FALSE)),0,VLOOKUP($A71,RunData,4,FALSE))+X71</f>
        <v>0</v>
      </c>
      <c r="T71" s="298">
        <f>IF(ISNA(VLOOKUP($A71,ThrowData,4,FALSE)),0,VLOOKUP($A71,ThrowData,4,FALSE))+Y71</f>
        <v>21</v>
      </c>
      <c r="U71" s="299">
        <f t="shared" si="2"/>
        <v>52</v>
      </c>
      <c r="V71">
        <f>IF(AND($F71&gt;0,NOT(M71),Flexing),FlexPC,0)</f>
        <v>0</v>
      </c>
      <c r="W71">
        <f>IF(AND($F71&gt;0,NOT(N71),Flexing),FlexPC,0)</f>
        <v>0</v>
      </c>
      <c r="X71">
        <f>IF(AND($F71&gt;0,NOT(O71),Flexing),FlexPC,0)</f>
        <v>0</v>
      </c>
      <c r="Y71">
        <f>IF(AND($F71&gt;0,NOT(P71),Flexing),FlexPC,0)</f>
        <v>0</v>
      </c>
      <c r="AA71" s="209">
        <f t="shared" si="3"/>
        <v>70</v>
      </c>
    </row>
    <row r="72" ht="15.75" customHeight="1">
      <c r="A72" s="206" t="str">
        <f>+Declarations!A72&amp;""</f>
        <v>78</v>
      </c>
      <c r="B72" t="str">
        <f>IF(LEN($A72),IF(LEN(Declarations!$B72)&gt;0,Declarations!$B72,"#"&amp;$A72),"")</f>
        <v>Julieana Walsh</v>
      </c>
      <c r="C72" s="209" t="str">
        <f t="array" ref="C72">IF(LEN(INDEX(DECLARATIONS,$AA72,3))&gt;0,INDEX(DECLARATIONS,$AA72,3),"...")</f>
        <v>...</v>
      </c>
      <c r="D72" s="209" t="str">
        <f t="shared" si="1"/>
        <v>F</v>
      </c>
      <c r="E72" s="296" t="str">
        <f t="array" ref="E72">IF(ISNA($AA72),0,INDEX(DECLARATIONS,$AA72,5))</f>
        <v/>
      </c>
      <c r="F72" s="209" t="str">
        <f t="array" ref="F72">IF(ISNA($AA72),0,INDEX(DECLARATIONS,$AA72,7))</f>
        <v/>
      </c>
      <c r="G72" s="209" t="str">
        <f t="array" ref="G72">UPPER(IF(ISNA($AA72),"",INDEX(DECLARATIONS,$AA72,4)))</f>
        <v>F</v>
      </c>
      <c r="H72" t="str">
        <f>IF(AND(A72&gt;0,ISTEXT(B72)),IF(SECNAME="YES",LEFT(B72&amp;" ",FIND(" ",B72&amp;" ")+2)&amp;IF(F72&gt;0," ("&amp;F72&amp;")",""),B72&amp;IF(F72&gt;0," ("&amp;F72&amp;")","")),"#"&amp;$A72)</f>
        <v>Julieana Walsh</v>
      </c>
      <c r="I72" s="209">
        <f>IF(LEN($A72)&gt;0,IF(LEN($J72)&gt;0,MATCH(J72,MatchNames,0),EventIndex),0)</f>
        <v>6</v>
      </c>
      <c r="J72" s="209" t="str">
        <f>IF(LEN($A72)&gt;0,IF(LEN(Declarations!$F72)&gt;0,Declarations!$F72,conftype),"")</f>
        <v>QuadKids Club</v>
      </c>
      <c r="M72" s="297">
        <f>IF(ISNA(VLOOKUP($A72,SprintData,2,FALSE)),0,VLOOKUP($A72,SprintData,2,FALSE))</f>
        <v>12.4</v>
      </c>
      <c r="N72" s="297">
        <f>IF(ISNA(VLOOKUP($A72,JumpData,2,FALSE)),0,VLOOKUP($A72,JumpData,2,FALSE))</f>
        <v>3.03</v>
      </c>
      <c r="O72" s="297">
        <f>IF(ISNA(VLOOKUP($A72,RunData,2,FALSE)),0,VLOOKUP($A72,RunData,2,FALSE))</f>
        <v>2.03</v>
      </c>
      <c r="P72" s="297">
        <f>IF(ISNA(VLOOKUP($A72,ThrowData,2,FALSE)),0,VLOOKUP($A72,ThrowData,2,FALSE))</f>
        <v>21.62</v>
      </c>
      <c r="Q72" s="298">
        <f>IF(ISNA(VLOOKUP($A72,SprintData,4,FALSE)),0,VLOOKUP($A72,SprintData,4,FALSE))+V72</f>
        <v>46</v>
      </c>
      <c r="R72" s="298">
        <f>IF(ISNA(VLOOKUP($A72,JumpData,4,FALSE)),0,VLOOKUP($A72,JumpData,4,FALSE))+W72</f>
        <v>37</v>
      </c>
      <c r="S72" s="298">
        <f>IF(ISNA(VLOOKUP($A72,RunData,4,FALSE)),0,VLOOKUP($A72,RunData,4,FALSE))+X72</f>
        <v>67</v>
      </c>
      <c r="T72" s="298">
        <f>IF(ISNA(VLOOKUP($A72,ThrowData,4,FALSE)),0,VLOOKUP($A72,ThrowData,4,FALSE))+Y72</f>
        <v>43</v>
      </c>
      <c r="U72" s="299">
        <f t="shared" si="2"/>
        <v>193</v>
      </c>
      <c r="V72">
        <f>IF(AND($F72&gt;0,NOT(M72),Flexing),FlexPC,0)</f>
        <v>0</v>
      </c>
      <c r="W72">
        <f>IF(AND($F72&gt;0,NOT(N72),Flexing),FlexPC,0)</f>
        <v>0</v>
      </c>
      <c r="X72">
        <f>IF(AND($F72&gt;0,NOT(O72),Flexing),FlexPC,0)</f>
        <v>0</v>
      </c>
      <c r="Y72">
        <f>IF(AND($F72&gt;0,NOT(P72),Flexing),FlexPC,0)</f>
        <v>0</v>
      </c>
      <c r="AA72" s="209">
        <f t="shared" si="3"/>
        <v>71</v>
      </c>
    </row>
    <row r="73" ht="15.75" customHeight="1">
      <c r="A73" s="206" t="str">
        <f>+Declarations!A73&amp;""</f>
        <v>79</v>
      </c>
      <c r="B73" t="str">
        <f>IF(LEN($A73),IF(LEN(Declarations!$B73)&gt;0,Declarations!$B73,"#"&amp;$A73),"")</f>
        <v>Tonaya Welsh</v>
      </c>
      <c r="C73" s="209" t="str">
        <f t="array" ref="C73">IF(LEN(INDEX(DECLARATIONS,$AA73,3))&gt;0,INDEX(DECLARATIONS,$AA73,3),"...")</f>
        <v>Bournemouth AC</v>
      </c>
      <c r="D73" s="209" t="str">
        <f t="shared" si="1"/>
        <v>F</v>
      </c>
      <c r="E73" s="296" t="str">
        <f t="array" ref="E73">IF(ISNA($AA73),0,INDEX(DECLARATIONS,$AA73,5))</f>
        <v/>
      </c>
      <c r="F73" s="209" t="str">
        <f t="array" ref="F73">IF(ISNA($AA73),0,INDEX(DECLARATIONS,$AA73,7))</f>
        <v/>
      </c>
      <c r="G73" s="209" t="str">
        <f t="array" ref="G73">UPPER(IF(ISNA($AA73),"",INDEX(DECLARATIONS,$AA73,4)))</f>
        <v>F</v>
      </c>
      <c r="H73" t="str">
        <f>IF(AND(A73&gt;0,ISTEXT(B73)),IF(SECNAME="YES",LEFT(B73&amp;" ",FIND(" ",B73&amp;" ")+2)&amp;IF(F73&gt;0," ("&amp;F73&amp;")",""),B73&amp;IF(F73&gt;0," ("&amp;F73&amp;")","")),"#"&amp;$A73)</f>
        <v>Tonaya Welsh</v>
      </c>
      <c r="I73" s="209">
        <f>IF(LEN($A73)&gt;0,IF(LEN($J73)&gt;0,MATCH(J73,MatchNames,0),EventIndex),0)</f>
        <v>6</v>
      </c>
      <c r="J73" s="209" t="str">
        <f>IF(LEN($A73)&gt;0,IF(LEN(Declarations!$F73)&gt;0,Declarations!$F73,conftype),"")</f>
        <v>QuadKids Club</v>
      </c>
      <c r="M73" s="297">
        <f>IF(ISNA(VLOOKUP($A73,SprintData,2,FALSE)),0,VLOOKUP($A73,SprintData,2,FALSE))</f>
        <v>0</v>
      </c>
      <c r="N73" s="297">
        <f>IF(ISNA(VLOOKUP($A73,JumpData,2,FALSE)),0,VLOOKUP($A73,JumpData,2,FALSE))</f>
        <v>0</v>
      </c>
      <c r="O73" s="297">
        <f>IF(ISNA(VLOOKUP($A73,RunData,2,FALSE)),0,VLOOKUP($A73,RunData,2,FALSE))</f>
        <v>0</v>
      </c>
      <c r="P73" s="297">
        <f>IF(ISNA(VLOOKUP($A73,ThrowData,2,FALSE)),0,VLOOKUP($A73,ThrowData,2,FALSE))</f>
        <v>0</v>
      </c>
      <c r="Q73" s="298">
        <f>IF(ISNA(VLOOKUP($A73,SprintData,4,FALSE)),0,VLOOKUP($A73,SprintData,4,FALSE))+V73</f>
        <v>0</v>
      </c>
      <c r="R73" s="298">
        <f>IF(ISNA(VLOOKUP($A73,JumpData,4,FALSE)),0,VLOOKUP($A73,JumpData,4,FALSE))+W73</f>
        <v>0</v>
      </c>
      <c r="S73" s="298">
        <f>IF(ISNA(VLOOKUP($A73,RunData,4,FALSE)),0,VLOOKUP($A73,RunData,4,FALSE))+X73</f>
        <v>0</v>
      </c>
      <c r="T73" s="298">
        <f>IF(ISNA(VLOOKUP($A73,ThrowData,4,FALSE)),0,VLOOKUP($A73,ThrowData,4,FALSE))+Y73</f>
        <v>0</v>
      </c>
      <c r="U73" s="299">
        <f t="shared" si="2"/>
        <v>0</v>
      </c>
      <c r="V73">
        <f>IF(AND($F73&gt;0,NOT(M73),Flexing),FlexPC,0)</f>
        <v>0</v>
      </c>
      <c r="W73">
        <f>IF(AND($F73&gt;0,NOT(N73),Flexing),FlexPC,0)</f>
        <v>0</v>
      </c>
      <c r="X73">
        <f>IF(AND($F73&gt;0,NOT(O73),Flexing),FlexPC,0)</f>
        <v>0</v>
      </c>
      <c r="Y73">
        <f>IF(AND($F73&gt;0,NOT(P73),Flexing),FlexPC,0)</f>
        <v>0</v>
      </c>
      <c r="AA73" s="209">
        <f t="shared" si="3"/>
        <v>72</v>
      </c>
    </row>
    <row r="74" ht="15.75" customHeight="1">
      <c r="A74" s="206" t="str">
        <f>+Declarations!A74&amp;""</f>
        <v>80</v>
      </c>
      <c r="B74" t="str">
        <f>IF(LEN($A74),IF(LEN(Declarations!$B74)&gt;0,Declarations!$B74,"#"&amp;$A74),"")</f>
        <v>Lavender West</v>
      </c>
      <c r="C74" s="209" t="str">
        <f t="array" ref="C74">IF(LEN(INDEX(DECLARATIONS,$AA74,3))&gt;0,INDEX(DECLARATIONS,$AA74,3),"...")</f>
        <v>Wimborne AC</v>
      </c>
      <c r="D74" s="209" t="str">
        <f t="shared" si="1"/>
        <v>F</v>
      </c>
      <c r="E74" s="296" t="str">
        <f t="array" ref="E74">IF(ISNA($AA74),0,INDEX(DECLARATIONS,$AA74,5))</f>
        <v/>
      </c>
      <c r="F74" s="209" t="str">
        <f t="array" ref="F74">IF(ISNA($AA74),0,INDEX(DECLARATIONS,$AA74,7))</f>
        <v/>
      </c>
      <c r="G74" s="209" t="str">
        <f t="array" ref="G74">UPPER(IF(ISNA($AA74),"",INDEX(DECLARATIONS,$AA74,4)))</f>
        <v>F</v>
      </c>
      <c r="H74" t="str">
        <f>IF(AND(A74&gt;0,ISTEXT(B74)),IF(SECNAME="YES",LEFT(B74&amp;" ",FIND(" ",B74&amp;" ")+2)&amp;IF(F74&gt;0," ("&amp;F74&amp;")",""),B74&amp;IF(F74&gt;0," ("&amp;F74&amp;")","")),"#"&amp;$A74)</f>
        <v>Lavender West</v>
      </c>
      <c r="I74" s="209">
        <f>IF(LEN($A74)&gt;0,IF(LEN($J74)&gt;0,MATCH(J74,MatchNames,0),EventIndex),0)</f>
        <v>6</v>
      </c>
      <c r="J74" s="209" t="str">
        <f>IF(LEN($A74)&gt;0,IF(LEN(Declarations!$F74)&gt;0,Declarations!$F74,conftype),"")</f>
        <v>QuadKids Club</v>
      </c>
      <c r="M74" s="297">
        <f>IF(ISNA(VLOOKUP($A74,SprintData,2,FALSE)),0,VLOOKUP($A74,SprintData,2,FALSE))</f>
        <v>13.1</v>
      </c>
      <c r="N74" s="297">
        <f>IF(ISNA(VLOOKUP($A74,JumpData,2,FALSE)),0,VLOOKUP($A74,JumpData,2,FALSE))</f>
        <v>2.75</v>
      </c>
      <c r="O74" s="297">
        <f>IF(ISNA(VLOOKUP($A74,RunData,2,FALSE)),0,VLOOKUP($A74,RunData,2,FALSE))</f>
        <v>2.19</v>
      </c>
      <c r="P74" s="297">
        <f>IF(ISNA(VLOOKUP($A74,ThrowData,2,FALSE)),0,VLOOKUP($A74,ThrowData,2,FALSE))</f>
        <v>9.49</v>
      </c>
      <c r="Q74" s="298">
        <f>IF(ISNA(VLOOKUP($A74,SprintData,4,FALSE)),0,VLOOKUP($A74,SprintData,4,FALSE))+V74</f>
        <v>39</v>
      </c>
      <c r="R74" s="298">
        <f>IF(ISNA(VLOOKUP($A74,JumpData,4,FALSE)),0,VLOOKUP($A74,JumpData,4,FALSE))+W74</f>
        <v>28</v>
      </c>
      <c r="S74" s="298">
        <f>IF(ISNA(VLOOKUP($A74,RunData,4,FALSE)),0,VLOOKUP($A74,RunData,4,FALSE))+X74</f>
        <v>51</v>
      </c>
      <c r="T74" s="298">
        <f>IF(ISNA(VLOOKUP($A74,ThrowData,4,FALSE)),0,VLOOKUP($A74,ThrowData,4,FALSE))+Y74</f>
        <v>18</v>
      </c>
      <c r="U74" s="299">
        <f t="shared" si="2"/>
        <v>136</v>
      </c>
      <c r="V74">
        <f>IF(AND($F74&gt;0,NOT(M74),Flexing),FlexPC,0)</f>
        <v>0</v>
      </c>
      <c r="W74">
        <f>IF(AND($F74&gt;0,NOT(N74),Flexing),FlexPC,0)</f>
        <v>0</v>
      </c>
      <c r="X74">
        <f>IF(AND($F74&gt;0,NOT(O74),Flexing),FlexPC,0)</f>
        <v>0</v>
      </c>
      <c r="Y74">
        <f>IF(AND($F74&gt;0,NOT(P74),Flexing),FlexPC,0)</f>
        <v>0</v>
      </c>
      <c r="AA74" s="209">
        <f t="shared" si="3"/>
        <v>73</v>
      </c>
    </row>
    <row r="75" ht="15.75" customHeight="1">
      <c r="A75" s="206" t="str">
        <f>+Declarations!A75&amp;""</f>
        <v>81</v>
      </c>
      <c r="B75" t="str">
        <f>IF(LEN($A75),IF(LEN(Declarations!$B75)&gt;0,Declarations!$B75,"#"&amp;$A75),"")</f>
        <v>Verity Wilson</v>
      </c>
      <c r="C75" s="209" t="str">
        <f t="array" ref="C75">IF(LEN(INDEX(DECLARATIONS,$AA75,3))&gt;0,INDEX(DECLARATIONS,$AA75,3),"...")</f>
        <v>Poole ac</v>
      </c>
      <c r="D75" s="209" t="str">
        <f t="shared" si="1"/>
        <v>F</v>
      </c>
      <c r="E75" s="296" t="str">
        <f t="array" ref="E75">IF(ISNA($AA75),0,INDEX(DECLARATIONS,$AA75,5))</f>
        <v/>
      </c>
      <c r="F75" s="209" t="str">
        <f t="array" ref="F75">IF(ISNA($AA75),0,INDEX(DECLARATIONS,$AA75,7))</f>
        <v/>
      </c>
      <c r="G75" s="209" t="str">
        <f t="array" ref="G75">UPPER(IF(ISNA($AA75),"",INDEX(DECLARATIONS,$AA75,4)))</f>
        <v>F</v>
      </c>
      <c r="H75" t="str">
        <f>IF(AND(A75&gt;0,ISTEXT(B75)),IF(SECNAME="YES",LEFT(B75&amp;" ",FIND(" ",B75&amp;" ")+2)&amp;IF(F75&gt;0," ("&amp;F75&amp;")",""),B75&amp;IF(F75&gt;0," ("&amp;F75&amp;")","")),"#"&amp;$A75)</f>
        <v>Verity Wilson</v>
      </c>
      <c r="I75" s="209">
        <f>IF(LEN($A75)&gt;0,IF(LEN($J75)&gt;0,MATCH(J75,MatchNames,0),EventIndex),0)</f>
        <v>6</v>
      </c>
      <c r="J75" s="209" t="str">
        <f>IF(LEN($A75)&gt;0,IF(LEN(Declarations!$F75)&gt;0,Declarations!$F75,conftype),"")</f>
        <v>QuadKids Club</v>
      </c>
      <c r="M75" s="297">
        <f>IF(ISNA(VLOOKUP($A75,SprintData,2,FALSE)),0,VLOOKUP($A75,SprintData,2,FALSE))</f>
        <v>0</v>
      </c>
      <c r="N75" s="297">
        <f>IF(ISNA(VLOOKUP($A75,JumpData,2,FALSE)),0,VLOOKUP($A75,JumpData,2,FALSE))</f>
        <v>0</v>
      </c>
      <c r="O75" s="297">
        <f>IF(ISNA(VLOOKUP($A75,RunData,2,FALSE)),0,VLOOKUP($A75,RunData,2,FALSE))</f>
        <v>0</v>
      </c>
      <c r="P75" s="297">
        <f>IF(ISNA(VLOOKUP($A75,ThrowData,2,FALSE)),0,VLOOKUP($A75,ThrowData,2,FALSE))</f>
        <v>0</v>
      </c>
      <c r="Q75" s="298">
        <f>IF(ISNA(VLOOKUP($A75,SprintData,4,FALSE)),0,VLOOKUP($A75,SprintData,4,FALSE))+V75</f>
        <v>0</v>
      </c>
      <c r="R75" s="298">
        <f>IF(ISNA(VLOOKUP($A75,JumpData,4,FALSE)),0,VLOOKUP($A75,JumpData,4,FALSE))+W75</f>
        <v>0</v>
      </c>
      <c r="S75" s="298">
        <f>IF(ISNA(VLOOKUP($A75,RunData,4,FALSE)),0,VLOOKUP($A75,RunData,4,FALSE))+X75</f>
        <v>0</v>
      </c>
      <c r="T75" s="298">
        <f>IF(ISNA(VLOOKUP($A75,ThrowData,4,FALSE)),0,VLOOKUP($A75,ThrowData,4,FALSE))+Y75</f>
        <v>0</v>
      </c>
      <c r="U75" s="299">
        <f t="shared" si="2"/>
        <v>0</v>
      </c>
      <c r="V75">
        <f>IF(AND($F75&gt;0,NOT(M75),Flexing),FlexPC,0)</f>
        <v>0</v>
      </c>
      <c r="W75">
        <f>IF(AND($F75&gt;0,NOT(N75),Flexing),FlexPC,0)</f>
        <v>0</v>
      </c>
      <c r="X75">
        <f>IF(AND($F75&gt;0,NOT(O75),Flexing),FlexPC,0)</f>
        <v>0</v>
      </c>
      <c r="Y75">
        <f>IF(AND($F75&gt;0,NOT(P75),Flexing),FlexPC,0)</f>
        <v>0</v>
      </c>
      <c r="AA75" s="209">
        <f t="shared" si="3"/>
        <v>74</v>
      </c>
    </row>
    <row r="76" ht="15.75" customHeight="1">
      <c r="A76" s="206" t="str">
        <f>+Declarations!A76&amp;""</f>
        <v>82</v>
      </c>
      <c r="B76" t="str">
        <f>IF(LEN($A76),IF(LEN(Declarations!$B76)&gt;0,Declarations!$B76,"#"&amp;$A76),"")</f>
        <v>Shenique Xavier</v>
      </c>
      <c r="C76" s="209" t="str">
        <f t="array" ref="C76">IF(LEN(INDEX(DECLARATIONS,$AA76,3))&gt;0,INDEX(DECLARATIONS,$AA76,3),"...")</f>
        <v>New Forest Athletics </v>
      </c>
      <c r="D76" s="209" t="str">
        <f t="shared" si="1"/>
        <v>F</v>
      </c>
      <c r="E76" s="296" t="str">
        <f t="array" ref="E76">IF(ISNA($AA76),0,INDEX(DECLARATIONS,$AA76,5))</f>
        <v/>
      </c>
      <c r="F76" s="209" t="str">
        <f t="array" ref="F76">IF(ISNA($AA76),0,INDEX(DECLARATIONS,$AA76,7))</f>
        <v/>
      </c>
      <c r="G76" s="209" t="str">
        <f t="array" ref="G76">UPPER(IF(ISNA($AA76),"",INDEX(DECLARATIONS,$AA76,4)))</f>
        <v>F</v>
      </c>
      <c r="H76" t="str">
        <f>IF(AND(A76&gt;0,ISTEXT(B76)),IF(SECNAME="YES",LEFT(B76&amp;" ",FIND(" ",B76&amp;" ")+2)&amp;IF(F76&gt;0," ("&amp;F76&amp;")",""),B76&amp;IF(F76&gt;0," ("&amp;F76&amp;")","")),"#"&amp;$A76)</f>
        <v>Shenique Xavier</v>
      </c>
      <c r="I76" s="209">
        <f>IF(LEN($A76)&gt;0,IF(LEN($J76)&gt;0,MATCH(J76,MatchNames,0),EventIndex),0)</f>
        <v>6</v>
      </c>
      <c r="J76" s="209" t="str">
        <f>IF(LEN($A76)&gt;0,IF(LEN(Declarations!$F76)&gt;0,Declarations!$F76,conftype),"")</f>
        <v>QuadKids Club</v>
      </c>
      <c r="M76" s="297">
        <f>IF(ISNA(VLOOKUP($A76,SprintData,2,FALSE)),0,VLOOKUP($A76,SprintData,2,FALSE))</f>
        <v>11.1</v>
      </c>
      <c r="N76" s="297">
        <f>IF(ISNA(VLOOKUP($A76,JumpData,2,FALSE)),0,VLOOKUP($A76,JumpData,2,FALSE))</f>
        <v>3.15</v>
      </c>
      <c r="O76" s="297">
        <f>IF(ISNA(VLOOKUP($A76,RunData,2,FALSE)),0,VLOOKUP($A76,RunData,2,FALSE))</f>
        <v>2.03</v>
      </c>
      <c r="P76" s="297">
        <f>IF(ISNA(VLOOKUP($A76,ThrowData,2,FALSE)),0,VLOOKUP($A76,ThrowData,2,FALSE))</f>
        <v>16.39</v>
      </c>
      <c r="Q76" s="298">
        <f>IF(ISNA(VLOOKUP($A76,SprintData,4,FALSE)),0,VLOOKUP($A76,SprintData,4,FALSE))+V76</f>
        <v>59</v>
      </c>
      <c r="R76" s="298">
        <f>IF(ISNA(VLOOKUP($A76,JumpData,4,FALSE)),0,VLOOKUP($A76,JumpData,4,FALSE))+W76</f>
        <v>41</v>
      </c>
      <c r="S76" s="298">
        <f>IF(ISNA(VLOOKUP($A76,RunData,4,FALSE)),0,VLOOKUP($A76,RunData,4,FALSE))+X76</f>
        <v>67</v>
      </c>
      <c r="T76" s="298">
        <f>IF(ISNA(VLOOKUP($A76,ThrowData,4,FALSE)),0,VLOOKUP($A76,ThrowData,4,FALSE))+Y76</f>
        <v>32</v>
      </c>
      <c r="U76" s="299">
        <f t="shared" si="2"/>
        <v>199</v>
      </c>
      <c r="V76">
        <f>IF(AND($F76&gt;0,NOT(M76),Flexing),FlexPC,0)</f>
        <v>0</v>
      </c>
      <c r="W76">
        <f>IF(AND($F76&gt;0,NOT(N76),Flexing),FlexPC,0)</f>
        <v>0</v>
      </c>
      <c r="X76">
        <f>IF(AND($F76&gt;0,NOT(O76),Flexing),FlexPC,0)</f>
        <v>0</v>
      </c>
      <c r="Y76">
        <f>IF(AND($F76&gt;0,NOT(P76),Flexing),FlexPC,0)</f>
        <v>0</v>
      </c>
      <c r="AA76" s="209">
        <f t="shared" si="3"/>
        <v>75</v>
      </c>
    </row>
    <row r="77" ht="15.75" customHeight="1">
      <c r="A77" s="206" t="str">
        <f>+Declarations!A77&amp;""</f>
        <v>83</v>
      </c>
      <c r="B77" t="str">
        <f>IF(LEN($A77),IF(LEN(Declarations!$B77)&gt;0,Declarations!$B77,"#"&amp;$A77),"")</f>
        <v>Amelie Singletary</v>
      </c>
      <c r="C77" s="209" t="str">
        <f t="array" ref="C77">IF(LEN(INDEX(DECLARATIONS,$AA77,3))&gt;0,INDEX(DECLARATIONS,$AA77,3),"...")</f>
        <v>North Devon</v>
      </c>
      <c r="D77" s="209" t="str">
        <f t="shared" si="1"/>
        <v>F</v>
      </c>
      <c r="E77" s="296" t="str">
        <f t="array" ref="E77">IF(ISNA($AA77),0,INDEX(DECLARATIONS,$AA77,5))</f>
        <v/>
      </c>
      <c r="F77" s="209" t="str">
        <f t="array" ref="F77">IF(ISNA($AA77),0,INDEX(DECLARATIONS,$AA77,7))</f>
        <v/>
      </c>
      <c r="G77" s="209" t="str">
        <f t="array" ref="G77">UPPER(IF(ISNA($AA77),"",INDEX(DECLARATIONS,$AA77,4)))</f>
        <v>F</v>
      </c>
      <c r="H77" t="str">
        <f>IF(AND(A77&gt;0,ISTEXT(B77)),IF(SECNAME="YES",LEFT(B77&amp;" ",FIND(" ",B77&amp;" ")+2)&amp;IF(F77&gt;0," ("&amp;F77&amp;")",""),B77&amp;IF(F77&gt;0," ("&amp;F77&amp;")","")),"#"&amp;$A77)</f>
        <v>Amelie Singletary</v>
      </c>
      <c r="I77" s="209">
        <f>IF(LEN($A77)&gt;0,IF(LEN($J77)&gt;0,MATCH(J77,MatchNames,0),EventIndex),0)</f>
        <v>6</v>
      </c>
      <c r="J77" s="209" t="str">
        <f>IF(LEN($A77)&gt;0,IF(LEN(Declarations!$F77)&gt;0,Declarations!$F77,conftype),"")</f>
        <v>QuadKids Club</v>
      </c>
      <c r="M77" s="297">
        <f>IF(ISNA(VLOOKUP($A77,SprintData,2,FALSE)),0,VLOOKUP($A77,SprintData,2,FALSE))</f>
        <v>14.5</v>
      </c>
      <c r="N77" s="297">
        <f>IF(ISNA(VLOOKUP($A77,JumpData,2,FALSE)),0,VLOOKUP($A77,JumpData,2,FALSE))</f>
        <v>2.57</v>
      </c>
      <c r="O77" s="297">
        <f>IF(ISNA(VLOOKUP($A77,RunData,2,FALSE)),0,VLOOKUP($A77,RunData,2,FALSE))</f>
        <v>2.25</v>
      </c>
      <c r="P77" s="297">
        <f>IF(ISNA(VLOOKUP($A77,ThrowData,2,FALSE)),0,VLOOKUP($A77,ThrowData,2,FALSE))</f>
        <v>9.82</v>
      </c>
      <c r="Q77" s="298">
        <f>IF(ISNA(VLOOKUP($A77,SprintData,4,FALSE)),0,VLOOKUP($A77,SprintData,4,FALSE))+V77</f>
        <v>25</v>
      </c>
      <c r="R77" s="298">
        <f>IF(ISNA(VLOOKUP($A77,JumpData,4,FALSE)),0,VLOOKUP($A77,JumpData,4,FALSE))+W77</f>
        <v>22</v>
      </c>
      <c r="S77" s="298">
        <f>IF(ISNA(VLOOKUP($A77,RunData,4,FALSE)),0,VLOOKUP($A77,RunData,4,FALSE))+X77</f>
        <v>45</v>
      </c>
      <c r="T77" s="298">
        <f>IF(ISNA(VLOOKUP($A77,ThrowData,4,FALSE)),0,VLOOKUP($A77,ThrowData,4,FALSE))+Y77</f>
        <v>19</v>
      </c>
      <c r="U77" s="299">
        <f t="shared" si="2"/>
        <v>111</v>
      </c>
      <c r="V77">
        <f>IF(AND($F77&gt;0,NOT(M77),Flexing),FlexPC,0)</f>
        <v>0</v>
      </c>
      <c r="W77">
        <f>IF(AND($F77&gt;0,NOT(N77),Flexing),FlexPC,0)</f>
        <v>0</v>
      </c>
      <c r="X77">
        <f>IF(AND($F77&gt;0,NOT(O77),Flexing),FlexPC,0)</f>
        <v>0</v>
      </c>
      <c r="Y77">
        <f>IF(AND($F77&gt;0,NOT(P77),Flexing),FlexPC,0)</f>
        <v>0</v>
      </c>
      <c r="AA77" s="209">
        <f t="shared" si="3"/>
        <v>76</v>
      </c>
    </row>
    <row r="78" ht="15.75" customHeight="1">
      <c r="A78" s="206" t="str">
        <f>+Declarations!A78&amp;""</f>
        <v>84</v>
      </c>
      <c r="B78" t="str">
        <f>IF(LEN($A78),IF(LEN(Declarations!$B78)&gt;0,Declarations!$B78,"#"&amp;$A78),"")</f>
        <v>Lilia Flux</v>
      </c>
      <c r="C78" s="209" t="str">
        <f t="array" ref="C78">IF(LEN(INDEX(DECLARATIONS,$AA78,3))&gt;0,INDEX(DECLARATIONS,$AA78,3),"...")</f>
        <v>WSPH</v>
      </c>
      <c r="D78" s="209" t="str">
        <f t="shared" si="1"/>
        <v>F</v>
      </c>
      <c r="E78" s="296" t="str">
        <f t="array" ref="E78">IF(ISNA($AA78),0,INDEX(DECLARATIONS,$AA78,5))</f>
        <v/>
      </c>
      <c r="F78" s="209" t="str">
        <f t="array" ref="F78">IF(ISNA($AA78),0,INDEX(DECLARATIONS,$AA78,7))</f>
        <v/>
      </c>
      <c r="G78" s="209" t="str">
        <f t="array" ref="G78">UPPER(IF(ISNA($AA78),"",INDEX(DECLARATIONS,$AA78,4)))</f>
        <v>F</v>
      </c>
      <c r="H78" t="str">
        <f>IF(AND(A78&gt;0,ISTEXT(B78)),IF(SECNAME="YES",LEFT(B78&amp;" ",FIND(" ",B78&amp;" ")+2)&amp;IF(F78&gt;0," ("&amp;F78&amp;")",""),B78&amp;IF(F78&gt;0," ("&amp;F78&amp;")","")),"#"&amp;$A78)</f>
        <v>Lilia Flux</v>
      </c>
      <c r="I78" s="209">
        <f>IF(LEN($A78)&gt;0,IF(LEN($J78)&gt;0,MATCH(J78,MatchNames,0),EventIndex),0)</f>
        <v>6</v>
      </c>
      <c r="J78" s="209" t="str">
        <f>IF(LEN($A78)&gt;0,IF(LEN(Declarations!$F78)&gt;0,Declarations!$F78,conftype),"")</f>
        <v>QuadKids Club</v>
      </c>
      <c r="M78" s="297">
        <f>IF(ISNA(VLOOKUP($A78,SprintData,2,FALSE)),0,VLOOKUP($A78,SprintData,2,FALSE))</f>
        <v>13.2</v>
      </c>
      <c r="N78" s="297">
        <f>IF(ISNA(VLOOKUP($A78,JumpData,2,FALSE)),0,VLOOKUP($A78,JumpData,2,FALSE))</f>
        <v>3.06</v>
      </c>
      <c r="O78" s="297">
        <f>IF(ISNA(VLOOKUP($A78,RunData,2,FALSE)),0,VLOOKUP($A78,RunData,2,FALSE))</f>
        <v>2.23</v>
      </c>
      <c r="P78" s="297">
        <f>IF(ISNA(VLOOKUP($A78,ThrowData,2,FALSE)),0,VLOOKUP($A78,ThrowData,2,FALSE))</f>
        <v>19.56</v>
      </c>
      <c r="Q78" s="298">
        <f>IF(ISNA(VLOOKUP($A78,SprintData,4,FALSE)),0,VLOOKUP($A78,SprintData,4,FALSE))+V78</f>
        <v>38</v>
      </c>
      <c r="R78" s="298">
        <f>IF(ISNA(VLOOKUP($A78,JumpData,4,FALSE)),0,VLOOKUP($A78,JumpData,4,FALSE))+W78</f>
        <v>38</v>
      </c>
      <c r="S78" s="298">
        <f>IF(ISNA(VLOOKUP($A78,RunData,4,FALSE)),0,VLOOKUP($A78,RunData,4,FALSE))+X78</f>
        <v>47</v>
      </c>
      <c r="T78" s="298">
        <f>IF(ISNA(VLOOKUP($A78,ThrowData,4,FALSE)),0,VLOOKUP($A78,ThrowData,4,FALSE))+Y78</f>
        <v>39</v>
      </c>
      <c r="U78" s="299">
        <f t="shared" si="2"/>
        <v>162</v>
      </c>
      <c r="V78">
        <f>IF(AND($F78&gt;0,NOT(M78),Flexing),FlexPC,0)</f>
        <v>0</v>
      </c>
      <c r="W78">
        <f>IF(AND($F78&gt;0,NOT(N78),Flexing),FlexPC,0)</f>
        <v>0</v>
      </c>
      <c r="X78">
        <f>IF(AND($F78&gt;0,NOT(O78),Flexing),FlexPC,0)</f>
        <v>0</v>
      </c>
      <c r="Y78">
        <f>IF(AND($F78&gt;0,NOT(P78),Flexing),FlexPC,0)</f>
        <v>0</v>
      </c>
      <c r="AA78" s="209">
        <f t="shared" si="3"/>
        <v>77</v>
      </c>
    </row>
    <row r="79" ht="15.75" customHeight="1">
      <c r="A79" s="206" t="str">
        <f>+Declarations!A79&amp;""</f>
        <v/>
      </c>
      <c r="B79" t="str">
        <f>IF(LEN($A79),IF(LEN(Declarations!$B79)&gt;0,Declarations!$B79,"#"&amp;$A79),"")</f>
        <v/>
      </c>
      <c r="C79" s="209" t="str">
        <f t="array" ref="C79">IF(LEN(INDEX(DECLARATIONS,$AA79,3))&gt;0,INDEX(DECLARATIONS,$AA79,3),"...")</f>
        <v>...</v>
      </c>
      <c r="D79" s="209" t="str">
        <f t="shared" si="1"/>
        <v/>
      </c>
      <c r="E79" s="296" t="str">
        <f t="array" ref="E79">IF(ISNA($AA79),0,INDEX(DECLARATIONS,$AA79,5))</f>
        <v/>
      </c>
      <c r="F79" s="209" t="str">
        <f t="array" ref="F79">IF(ISNA($AA79),0,INDEX(DECLARATIONS,$AA79,7))</f>
        <v/>
      </c>
      <c r="G79" s="209" t="str">
        <f t="array" ref="G79">UPPER(IF(ISNA($AA79),"",INDEX(DECLARATIONS,$AA79,4)))</f>
        <v/>
      </c>
      <c r="H79" t="str">
        <f>IF(AND(A79&gt;0,ISTEXT(B79)),IF(SECNAME="YES",LEFT(B79&amp;" ",FIND(" ",B79&amp;" ")+2)&amp;IF(F79&gt;0," ("&amp;F79&amp;")",""),B79&amp;IF(F79&gt;0," ("&amp;F79&amp;")","")),"#"&amp;$A79)</f>
        <v/>
      </c>
      <c r="I79" s="209">
        <f>IF(LEN($A79)&gt;0,IF(LEN($J79)&gt;0,MATCH(J79,MatchNames,0),EventIndex),0)</f>
        <v>0</v>
      </c>
      <c r="J79" s="209" t="str">
        <f>IF(LEN($A79)&gt;0,IF(LEN(Declarations!$F79)&gt;0,Declarations!$F79,conftype),"")</f>
        <v/>
      </c>
      <c r="M79" s="297">
        <f>IF(ISNA(VLOOKUP($A79,SprintData,2,FALSE)),0,VLOOKUP($A79,SprintData,2,FALSE))</f>
        <v>0</v>
      </c>
      <c r="N79" s="297">
        <f>IF(ISNA(VLOOKUP($A79,JumpData,2,FALSE)),0,VLOOKUP($A79,JumpData,2,FALSE))</f>
        <v>0</v>
      </c>
      <c r="O79" s="297">
        <f>IF(ISNA(VLOOKUP($A79,RunData,2,FALSE)),0,VLOOKUP($A79,RunData,2,FALSE))</f>
        <v>0</v>
      </c>
      <c r="P79" s="297">
        <f>IF(ISNA(VLOOKUP($A79,ThrowData,2,FALSE)),0,VLOOKUP($A79,ThrowData,2,FALSE))</f>
        <v>0</v>
      </c>
      <c r="Q79" s="298">
        <f>IF(ISNA(VLOOKUP($A79,SprintData,4,FALSE)),0,VLOOKUP($A79,SprintData,4,FALSE))+V79</f>
        <v>0</v>
      </c>
      <c r="R79" s="298">
        <f>IF(ISNA(VLOOKUP($A79,JumpData,4,FALSE)),0,VLOOKUP($A79,JumpData,4,FALSE))+W79</f>
        <v>0</v>
      </c>
      <c r="S79" s="298">
        <f>IF(ISNA(VLOOKUP($A79,RunData,4,FALSE)),0,VLOOKUP($A79,RunData,4,FALSE))+X79</f>
        <v>0</v>
      </c>
      <c r="T79" s="298">
        <f>IF(ISNA(VLOOKUP($A79,ThrowData,4,FALSE)),0,VLOOKUP($A79,ThrowData,4,FALSE))+Y79</f>
        <v>0</v>
      </c>
      <c r="U79" s="299">
        <f t="shared" si="2"/>
        <v>0</v>
      </c>
      <c r="V79">
        <f>IF(AND($F79&gt;0,NOT(M79),Flexing),FlexPC,0)</f>
        <v>0</v>
      </c>
      <c r="W79">
        <f>IF(AND($F79&gt;0,NOT(N79),Flexing),FlexPC,0)</f>
        <v>0</v>
      </c>
      <c r="X79">
        <f>IF(AND($F79&gt;0,NOT(O79),Flexing),FlexPC,0)</f>
        <v>0</v>
      </c>
      <c r="Y79">
        <f>IF(AND($F79&gt;0,NOT(P79),Flexing),FlexPC,0)</f>
        <v>0</v>
      </c>
      <c r="AA79" s="209">
        <f t="shared" si="3"/>
        <v>78</v>
      </c>
    </row>
    <row r="80" ht="15.75" customHeight="1">
      <c r="A80" s="206" t="str">
        <f>+Declarations!A80&amp;""</f>
        <v/>
      </c>
      <c r="B80" t="str">
        <f>IF(LEN($A80),IF(LEN(Declarations!$B80)&gt;0,Declarations!$B80,"#"&amp;$A80),"")</f>
        <v/>
      </c>
      <c r="C80" s="209" t="str">
        <f t="array" ref="C80">IF(LEN(INDEX(DECLARATIONS,$AA80,3))&gt;0,INDEX(DECLARATIONS,$AA80,3),"...")</f>
        <v>...</v>
      </c>
      <c r="D80" s="209" t="str">
        <f t="shared" si="1"/>
        <v/>
      </c>
      <c r="E80" s="296" t="str">
        <f t="array" ref="E80">IF(ISNA($AA80),0,INDEX(DECLARATIONS,$AA80,5))</f>
        <v/>
      </c>
      <c r="F80" s="209" t="str">
        <f t="array" ref="F80">IF(ISNA($AA80),0,INDEX(DECLARATIONS,$AA80,7))</f>
        <v/>
      </c>
      <c r="G80" s="209" t="str">
        <f t="array" ref="G80">UPPER(IF(ISNA($AA80),"",INDEX(DECLARATIONS,$AA80,4)))</f>
        <v/>
      </c>
      <c r="H80" t="str">
        <f>IF(AND(A80&gt;0,ISTEXT(B80)),IF(SECNAME="YES",LEFT(B80&amp;" ",FIND(" ",B80&amp;" ")+2)&amp;IF(F80&gt;0," ("&amp;F80&amp;")",""),B80&amp;IF(F80&gt;0," ("&amp;F80&amp;")","")),"#"&amp;$A80)</f>
        <v/>
      </c>
      <c r="I80" s="209">
        <f>IF(LEN($A80)&gt;0,IF(LEN($J80)&gt;0,MATCH(J80,MatchNames,0),EventIndex),0)</f>
        <v>0</v>
      </c>
      <c r="J80" s="209" t="str">
        <f>IF(LEN($A80)&gt;0,IF(LEN(Declarations!$F80)&gt;0,Declarations!$F80,conftype),"")</f>
        <v/>
      </c>
      <c r="M80" s="297">
        <f>IF(ISNA(VLOOKUP($A80,SprintData,2,FALSE)),0,VLOOKUP($A80,SprintData,2,FALSE))</f>
        <v>0</v>
      </c>
      <c r="N80" s="297">
        <f>IF(ISNA(VLOOKUP($A80,JumpData,2,FALSE)),0,VLOOKUP($A80,JumpData,2,FALSE))</f>
        <v>0</v>
      </c>
      <c r="O80" s="297">
        <f>IF(ISNA(VLOOKUP($A80,RunData,2,FALSE)),0,VLOOKUP($A80,RunData,2,FALSE))</f>
        <v>0</v>
      </c>
      <c r="P80" s="297">
        <f>IF(ISNA(VLOOKUP($A80,ThrowData,2,FALSE)),0,VLOOKUP($A80,ThrowData,2,FALSE))</f>
        <v>0</v>
      </c>
      <c r="Q80" s="298">
        <f>IF(ISNA(VLOOKUP($A80,SprintData,4,FALSE)),0,VLOOKUP($A80,SprintData,4,FALSE))+V80</f>
        <v>0</v>
      </c>
      <c r="R80" s="298">
        <f>IF(ISNA(VLOOKUP($A80,JumpData,4,FALSE)),0,VLOOKUP($A80,JumpData,4,FALSE))+W80</f>
        <v>0</v>
      </c>
      <c r="S80" s="298">
        <f>IF(ISNA(VLOOKUP($A80,RunData,4,FALSE)),0,VLOOKUP($A80,RunData,4,FALSE))+X80</f>
        <v>0</v>
      </c>
      <c r="T80" s="298">
        <f>IF(ISNA(VLOOKUP($A80,ThrowData,4,FALSE)),0,VLOOKUP($A80,ThrowData,4,FALSE))+Y80</f>
        <v>0</v>
      </c>
      <c r="U80" s="299">
        <f t="shared" si="2"/>
        <v>0</v>
      </c>
      <c r="V80">
        <f>IF(AND($F80&gt;0,NOT(M80),Flexing),FlexPC,0)</f>
        <v>0</v>
      </c>
      <c r="W80">
        <f>IF(AND($F80&gt;0,NOT(N80),Flexing),FlexPC,0)</f>
        <v>0</v>
      </c>
      <c r="X80">
        <f>IF(AND($F80&gt;0,NOT(O80),Flexing),FlexPC,0)</f>
        <v>0</v>
      </c>
      <c r="Y80">
        <f>IF(AND($F80&gt;0,NOT(P80),Flexing),FlexPC,0)</f>
        <v>0</v>
      </c>
      <c r="AA80" s="209">
        <f t="shared" si="3"/>
        <v>79</v>
      </c>
    </row>
    <row r="81" ht="15.75" customHeight="1">
      <c r="A81" s="206" t="str">
        <f>+Declarations!A81&amp;""</f>
        <v/>
      </c>
      <c r="B81" t="str">
        <f>IF(LEN($A81),IF(LEN(Declarations!$B81)&gt;0,Declarations!$B81,"#"&amp;$A81),"")</f>
        <v/>
      </c>
      <c r="C81" s="209" t="str">
        <f t="array" ref="C81">IF(LEN(INDEX(DECLARATIONS,$AA81,3))&gt;0,INDEX(DECLARATIONS,$AA81,3),"...")</f>
        <v>...</v>
      </c>
      <c r="D81" s="209" t="str">
        <f t="shared" si="1"/>
        <v/>
      </c>
      <c r="E81" s="296" t="str">
        <f t="array" ref="E81">IF(ISNA($AA81),0,INDEX(DECLARATIONS,$AA81,5))</f>
        <v/>
      </c>
      <c r="F81" s="209" t="str">
        <f t="array" ref="F81">IF(ISNA($AA81),0,INDEX(DECLARATIONS,$AA81,7))</f>
        <v/>
      </c>
      <c r="G81" s="209" t="str">
        <f t="array" ref="G81">UPPER(IF(ISNA($AA81),"",INDEX(DECLARATIONS,$AA81,4)))</f>
        <v/>
      </c>
      <c r="H81" t="str">
        <f>IF(AND(A81&gt;0,ISTEXT(B81)),IF(SECNAME="YES",LEFT(B81&amp;" ",FIND(" ",B81&amp;" ")+2)&amp;IF(F81&gt;0," ("&amp;F81&amp;")",""),B81&amp;IF(F81&gt;0," ("&amp;F81&amp;")","")),"#"&amp;$A81)</f>
        <v/>
      </c>
      <c r="I81" s="209">
        <f>IF(LEN($A81)&gt;0,IF(LEN($J81)&gt;0,MATCH(J81,MatchNames,0),EventIndex),0)</f>
        <v>0</v>
      </c>
      <c r="J81" s="209" t="str">
        <f>IF(LEN($A81)&gt;0,IF(LEN(Declarations!$F81)&gt;0,Declarations!$F81,conftype),"")</f>
        <v/>
      </c>
      <c r="M81" s="297">
        <f>IF(ISNA(VLOOKUP($A81,SprintData,2,FALSE)),0,VLOOKUP($A81,SprintData,2,FALSE))</f>
        <v>0</v>
      </c>
      <c r="N81" s="297">
        <f>IF(ISNA(VLOOKUP($A81,JumpData,2,FALSE)),0,VLOOKUP($A81,JumpData,2,FALSE))</f>
        <v>0</v>
      </c>
      <c r="O81" s="297">
        <f>IF(ISNA(VLOOKUP($A81,RunData,2,FALSE)),0,VLOOKUP($A81,RunData,2,FALSE))</f>
        <v>0</v>
      </c>
      <c r="P81" s="297">
        <f>IF(ISNA(VLOOKUP($A81,ThrowData,2,FALSE)),0,VLOOKUP($A81,ThrowData,2,FALSE))</f>
        <v>0</v>
      </c>
      <c r="Q81" s="298">
        <f>IF(ISNA(VLOOKUP($A81,SprintData,4,FALSE)),0,VLOOKUP($A81,SprintData,4,FALSE))+V81</f>
        <v>0</v>
      </c>
      <c r="R81" s="298">
        <f>IF(ISNA(VLOOKUP($A81,JumpData,4,FALSE)),0,VLOOKUP($A81,JumpData,4,FALSE))+W81</f>
        <v>0</v>
      </c>
      <c r="S81" s="298">
        <f>IF(ISNA(VLOOKUP($A81,RunData,4,FALSE)),0,VLOOKUP($A81,RunData,4,FALSE))+X81</f>
        <v>0</v>
      </c>
      <c r="T81" s="298">
        <f>IF(ISNA(VLOOKUP($A81,ThrowData,4,FALSE)),0,VLOOKUP($A81,ThrowData,4,FALSE))+Y81</f>
        <v>0</v>
      </c>
      <c r="U81" s="299">
        <f t="shared" si="2"/>
        <v>0</v>
      </c>
      <c r="V81">
        <f>IF(AND($F81&gt;0,NOT(M81),Flexing),FlexPC,0)</f>
        <v>0</v>
      </c>
      <c r="W81">
        <f>IF(AND($F81&gt;0,NOT(N81),Flexing),FlexPC,0)</f>
        <v>0</v>
      </c>
      <c r="X81">
        <f>IF(AND($F81&gt;0,NOT(O81),Flexing),FlexPC,0)</f>
        <v>0</v>
      </c>
      <c r="Y81">
        <f>IF(AND($F81&gt;0,NOT(P81),Flexing),FlexPC,0)</f>
        <v>0</v>
      </c>
      <c r="AA81" s="209">
        <f t="shared" si="3"/>
        <v>80</v>
      </c>
    </row>
    <row r="82" ht="15.75" customHeight="1">
      <c r="A82" s="206" t="str">
        <f>+Declarations!A82&amp;""</f>
        <v/>
      </c>
      <c r="B82" t="str">
        <f>IF(LEN($A82),IF(LEN(Declarations!$B82)&gt;0,Declarations!$B82,"#"&amp;$A82),"")</f>
        <v/>
      </c>
      <c r="C82" s="209" t="str">
        <f t="array" ref="C82">IF(LEN(INDEX(DECLARATIONS,$AA82,3))&gt;0,INDEX(DECLARATIONS,$AA82,3),"...")</f>
        <v>...</v>
      </c>
      <c r="D82" s="209" t="str">
        <f t="shared" si="1"/>
        <v/>
      </c>
      <c r="E82" s="296" t="str">
        <f t="array" ref="E82">IF(ISNA($AA82),0,INDEX(DECLARATIONS,$AA82,5))</f>
        <v/>
      </c>
      <c r="F82" s="209" t="str">
        <f t="array" ref="F82">IF(ISNA($AA82),0,INDEX(DECLARATIONS,$AA82,7))</f>
        <v/>
      </c>
      <c r="G82" s="209" t="str">
        <f t="array" ref="G82">UPPER(IF(ISNA($AA82),"",INDEX(DECLARATIONS,$AA82,4)))</f>
        <v/>
      </c>
      <c r="H82" t="str">
        <f>IF(AND(A82&gt;0,ISTEXT(B82)),IF(SECNAME="YES",LEFT(B82&amp;" ",FIND(" ",B82&amp;" ")+2)&amp;IF(F82&gt;0," ("&amp;F82&amp;")",""),B82&amp;IF(F82&gt;0," ("&amp;F82&amp;")","")),"#"&amp;$A82)</f>
        <v/>
      </c>
      <c r="I82" s="209">
        <f>IF(LEN($A82)&gt;0,IF(LEN($J82)&gt;0,MATCH(J82,MatchNames,0),EventIndex),0)</f>
        <v>0</v>
      </c>
      <c r="J82" s="209" t="str">
        <f>IF(LEN($A82)&gt;0,IF(LEN(Declarations!$F82)&gt;0,Declarations!$F82,conftype),"")</f>
        <v/>
      </c>
      <c r="M82" s="297">
        <f>IF(ISNA(VLOOKUP($A82,SprintData,2,FALSE)),0,VLOOKUP($A82,SprintData,2,FALSE))</f>
        <v>0</v>
      </c>
      <c r="N82" s="297">
        <f>IF(ISNA(VLOOKUP($A82,JumpData,2,FALSE)),0,VLOOKUP($A82,JumpData,2,FALSE))</f>
        <v>0</v>
      </c>
      <c r="O82" s="297">
        <f>IF(ISNA(VLOOKUP($A82,RunData,2,FALSE)),0,VLOOKUP($A82,RunData,2,FALSE))</f>
        <v>0</v>
      </c>
      <c r="P82" s="297">
        <f>IF(ISNA(VLOOKUP($A82,ThrowData,2,FALSE)),0,VLOOKUP($A82,ThrowData,2,FALSE))</f>
        <v>0</v>
      </c>
      <c r="Q82" s="298">
        <f>IF(ISNA(VLOOKUP($A82,SprintData,4,FALSE)),0,VLOOKUP($A82,SprintData,4,FALSE))+V82</f>
        <v>0</v>
      </c>
      <c r="R82" s="298">
        <f>IF(ISNA(VLOOKUP($A82,JumpData,4,FALSE)),0,VLOOKUP($A82,JumpData,4,FALSE))+W82</f>
        <v>0</v>
      </c>
      <c r="S82" s="298">
        <f>IF(ISNA(VLOOKUP($A82,RunData,4,FALSE)),0,VLOOKUP($A82,RunData,4,FALSE))+X82</f>
        <v>0</v>
      </c>
      <c r="T82" s="298">
        <f>IF(ISNA(VLOOKUP($A82,ThrowData,4,FALSE)),0,VLOOKUP($A82,ThrowData,4,FALSE))+Y82</f>
        <v>0</v>
      </c>
      <c r="U82" s="299">
        <f t="shared" si="2"/>
        <v>0</v>
      </c>
      <c r="V82">
        <f>IF(AND($F82&gt;0,NOT(M82),Flexing),FlexPC,0)</f>
        <v>0</v>
      </c>
      <c r="W82">
        <f>IF(AND($F82&gt;0,NOT(N82),Flexing),FlexPC,0)</f>
        <v>0</v>
      </c>
      <c r="X82">
        <f>IF(AND($F82&gt;0,NOT(O82),Flexing),FlexPC,0)</f>
        <v>0</v>
      </c>
      <c r="Y82">
        <f>IF(AND($F82&gt;0,NOT(P82),Flexing),FlexPC,0)</f>
        <v>0</v>
      </c>
      <c r="AA82" s="209">
        <f t="shared" si="3"/>
        <v>81</v>
      </c>
    </row>
    <row r="83" ht="15.75" customHeight="1">
      <c r="A83" s="206" t="str">
        <f>+Declarations!A83&amp;""</f>
        <v/>
      </c>
      <c r="B83" t="str">
        <f>IF(LEN($A83),IF(LEN(Declarations!$B83)&gt;0,Declarations!$B83,"#"&amp;$A83),"")</f>
        <v/>
      </c>
      <c r="C83" s="209" t="str">
        <f t="array" ref="C83">IF(LEN(INDEX(DECLARATIONS,$AA83,3))&gt;0,INDEX(DECLARATIONS,$AA83,3),"...")</f>
        <v>...</v>
      </c>
      <c r="D83" s="209" t="str">
        <f t="shared" si="1"/>
        <v/>
      </c>
      <c r="E83" s="296" t="str">
        <f t="array" ref="E83">IF(ISNA($AA83),0,INDEX(DECLARATIONS,$AA83,5))</f>
        <v/>
      </c>
      <c r="F83" s="209" t="str">
        <f t="array" ref="F83">IF(ISNA($AA83),0,INDEX(DECLARATIONS,$AA83,7))</f>
        <v/>
      </c>
      <c r="G83" s="209" t="str">
        <f t="array" ref="G83">UPPER(IF(ISNA($AA83),"",INDEX(DECLARATIONS,$AA83,4)))</f>
        <v/>
      </c>
      <c r="H83" t="str">
        <f>IF(AND(A83&gt;0,ISTEXT(B83)),IF(SECNAME="YES",LEFT(B83&amp;" ",FIND(" ",B83&amp;" ")+2)&amp;IF(F83&gt;0," ("&amp;F83&amp;")",""),B83&amp;IF(F83&gt;0," ("&amp;F83&amp;")","")),"#"&amp;$A83)</f>
        <v/>
      </c>
      <c r="I83" s="209">
        <f>IF(LEN($A83)&gt;0,IF(LEN($J83)&gt;0,MATCH(J83,MatchNames,0),EventIndex),0)</f>
        <v>0</v>
      </c>
      <c r="J83" s="209" t="str">
        <f>IF(LEN($A83)&gt;0,IF(LEN(Declarations!$F83)&gt;0,Declarations!$F83,conftype),"")</f>
        <v/>
      </c>
      <c r="M83" s="297">
        <f>IF(ISNA(VLOOKUP($A83,SprintData,2,FALSE)),0,VLOOKUP($A83,SprintData,2,FALSE))</f>
        <v>0</v>
      </c>
      <c r="N83" s="297">
        <f>IF(ISNA(VLOOKUP($A83,JumpData,2,FALSE)),0,VLOOKUP($A83,JumpData,2,FALSE))</f>
        <v>0</v>
      </c>
      <c r="O83" s="297">
        <f>IF(ISNA(VLOOKUP($A83,RunData,2,FALSE)),0,VLOOKUP($A83,RunData,2,FALSE))</f>
        <v>0</v>
      </c>
      <c r="P83" s="297">
        <f>IF(ISNA(VLOOKUP($A83,ThrowData,2,FALSE)),0,VLOOKUP($A83,ThrowData,2,FALSE))</f>
        <v>0</v>
      </c>
      <c r="Q83" s="298">
        <f>IF(ISNA(VLOOKUP($A83,SprintData,4,FALSE)),0,VLOOKUP($A83,SprintData,4,FALSE))+V83</f>
        <v>0</v>
      </c>
      <c r="R83" s="298">
        <f>IF(ISNA(VLOOKUP($A83,JumpData,4,FALSE)),0,VLOOKUP($A83,JumpData,4,FALSE))+W83</f>
        <v>0</v>
      </c>
      <c r="S83" s="298">
        <f>IF(ISNA(VLOOKUP($A83,RunData,4,FALSE)),0,VLOOKUP($A83,RunData,4,FALSE))+X83</f>
        <v>0</v>
      </c>
      <c r="T83" s="298">
        <f>IF(ISNA(VLOOKUP($A83,ThrowData,4,FALSE)),0,VLOOKUP($A83,ThrowData,4,FALSE))+Y83</f>
        <v>0</v>
      </c>
      <c r="U83" s="299">
        <f t="shared" si="2"/>
        <v>0</v>
      </c>
      <c r="V83">
        <f>IF(AND($F83&gt;0,NOT(M83),Flexing),FlexPC,0)</f>
        <v>0</v>
      </c>
      <c r="W83">
        <f>IF(AND($F83&gt;0,NOT(N83),Flexing),FlexPC,0)</f>
        <v>0</v>
      </c>
      <c r="X83">
        <f>IF(AND($F83&gt;0,NOT(O83),Flexing),FlexPC,0)</f>
        <v>0</v>
      </c>
      <c r="Y83">
        <f>IF(AND($F83&gt;0,NOT(P83),Flexing),FlexPC,0)</f>
        <v>0</v>
      </c>
      <c r="AA83" s="209">
        <f t="shared" si="3"/>
        <v>82</v>
      </c>
    </row>
    <row r="84" ht="15.75" customHeight="1">
      <c r="A84" s="206" t="str">
        <f>+Declarations!A84&amp;""</f>
        <v/>
      </c>
      <c r="B84" t="str">
        <f>IF(LEN($A84),IF(LEN(Declarations!$B84)&gt;0,Declarations!$B84,"#"&amp;$A84),"")</f>
        <v/>
      </c>
      <c r="C84" s="209" t="str">
        <f t="array" ref="C84">IF(LEN(INDEX(DECLARATIONS,$AA84,3))&gt;0,INDEX(DECLARATIONS,$AA84,3),"...")</f>
        <v>...</v>
      </c>
      <c r="D84" s="209" t="str">
        <f t="shared" si="1"/>
        <v/>
      </c>
      <c r="E84" s="296" t="str">
        <f t="array" ref="E84">IF(ISNA($AA84),0,INDEX(DECLARATIONS,$AA84,5))</f>
        <v/>
      </c>
      <c r="F84" s="209" t="str">
        <f t="array" ref="F84">IF(ISNA($AA84),0,INDEX(DECLARATIONS,$AA84,7))</f>
        <v/>
      </c>
      <c r="G84" s="209" t="str">
        <f t="array" ref="G84">UPPER(IF(ISNA($AA84),"",INDEX(DECLARATIONS,$AA84,4)))</f>
        <v/>
      </c>
      <c r="H84" t="str">
        <f>IF(AND(A84&gt;0,ISTEXT(B84)),IF(SECNAME="YES",LEFT(B84&amp;" ",FIND(" ",B84&amp;" ")+2)&amp;IF(F84&gt;0," ("&amp;F84&amp;")",""),B84&amp;IF(F84&gt;0," ("&amp;F84&amp;")","")),"#"&amp;$A84)</f>
        <v/>
      </c>
      <c r="I84" s="209">
        <f>IF(LEN($A84)&gt;0,IF(LEN($J84)&gt;0,MATCH(J84,MatchNames,0),EventIndex),0)</f>
        <v>0</v>
      </c>
      <c r="J84" s="209" t="str">
        <f>IF(LEN($A84)&gt;0,IF(LEN(Declarations!$F84)&gt;0,Declarations!$F84,conftype),"")</f>
        <v/>
      </c>
      <c r="M84" s="297">
        <f>IF(ISNA(VLOOKUP($A84,SprintData,2,FALSE)),0,VLOOKUP($A84,SprintData,2,FALSE))</f>
        <v>0</v>
      </c>
      <c r="N84" s="297">
        <f>IF(ISNA(VLOOKUP($A84,JumpData,2,FALSE)),0,VLOOKUP($A84,JumpData,2,FALSE))</f>
        <v>0</v>
      </c>
      <c r="O84" s="297">
        <f>IF(ISNA(VLOOKUP($A84,RunData,2,FALSE)),0,VLOOKUP($A84,RunData,2,FALSE))</f>
        <v>0</v>
      </c>
      <c r="P84" s="297">
        <f>IF(ISNA(VLOOKUP($A84,ThrowData,2,FALSE)),0,VLOOKUP($A84,ThrowData,2,FALSE))</f>
        <v>0</v>
      </c>
      <c r="Q84" s="298">
        <f>IF(ISNA(VLOOKUP($A84,SprintData,4,FALSE)),0,VLOOKUP($A84,SprintData,4,FALSE))+V84</f>
        <v>0</v>
      </c>
      <c r="R84" s="298">
        <f>IF(ISNA(VLOOKUP($A84,JumpData,4,FALSE)),0,VLOOKUP($A84,JumpData,4,FALSE))+W84</f>
        <v>0</v>
      </c>
      <c r="S84" s="298">
        <f>IF(ISNA(VLOOKUP($A84,RunData,4,FALSE)),0,VLOOKUP($A84,RunData,4,FALSE))+X84</f>
        <v>0</v>
      </c>
      <c r="T84" s="298">
        <f>IF(ISNA(VLOOKUP($A84,ThrowData,4,FALSE)),0,VLOOKUP($A84,ThrowData,4,FALSE))+Y84</f>
        <v>0</v>
      </c>
      <c r="U84" s="299">
        <f t="shared" si="2"/>
        <v>0</v>
      </c>
      <c r="V84">
        <f>IF(AND($F84&gt;0,NOT(M84),Flexing),FlexPC,0)</f>
        <v>0</v>
      </c>
      <c r="W84">
        <f>IF(AND($F84&gt;0,NOT(N84),Flexing),FlexPC,0)</f>
        <v>0</v>
      </c>
      <c r="X84">
        <f>IF(AND($F84&gt;0,NOT(O84),Flexing),FlexPC,0)</f>
        <v>0</v>
      </c>
      <c r="Y84">
        <f>IF(AND($F84&gt;0,NOT(P84),Flexing),FlexPC,0)</f>
        <v>0</v>
      </c>
      <c r="AA84" s="209">
        <f t="shared" si="3"/>
        <v>83</v>
      </c>
    </row>
    <row r="85" ht="15.75" customHeight="1">
      <c r="A85" s="206" t="str">
        <f>+Declarations!A85&amp;""</f>
        <v/>
      </c>
      <c r="B85" t="str">
        <f>IF(LEN($A85),IF(LEN(Declarations!$B85)&gt;0,Declarations!$B85,"#"&amp;$A85),"")</f>
        <v/>
      </c>
      <c r="C85" s="209" t="str">
        <f t="array" ref="C85">IF(LEN(INDEX(DECLARATIONS,$AA85,3))&gt;0,INDEX(DECLARATIONS,$AA85,3),"...")</f>
        <v>...</v>
      </c>
      <c r="D85" s="209" t="str">
        <f t="shared" si="1"/>
        <v/>
      </c>
      <c r="E85" s="296" t="str">
        <f t="array" ref="E85">IF(ISNA($AA85),0,INDEX(DECLARATIONS,$AA85,5))</f>
        <v/>
      </c>
      <c r="F85" s="209" t="str">
        <f t="array" ref="F85">IF(ISNA($AA85),0,INDEX(DECLARATIONS,$AA85,7))</f>
        <v/>
      </c>
      <c r="G85" s="209" t="str">
        <f t="array" ref="G85">UPPER(IF(ISNA($AA85),"",INDEX(DECLARATIONS,$AA85,4)))</f>
        <v/>
      </c>
      <c r="H85" t="str">
        <f>IF(AND(A85&gt;0,ISTEXT(B85)),IF(SECNAME="YES",LEFT(B85&amp;" ",FIND(" ",B85&amp;" ")+2)&amp;IF(F85&gt;0," ("&amp;F85&amp;")",""),B85&amp;IF(F85&gt;0," ("&amp;F85&amp;")","")),"#"&amp;$A85)</f>
        <v/>
      </c>
      <c r="I85" s="209">
        <f>IF(LEN($A85)&gt;0,IF(LEN($J85)&gt;0,MATCH(J85,MatchNames,0),EventIndex),0)</f>
        <v>0</v>
      </c>
      <c r="J85" s="209" t="str">
        <f>IF(LEN($A85)&gt;0,IF(LEN(Declarations!$F85)&gt;0,Declarations!$F85,conftype),"")</f>
        <v/>
      </c>
      <c r="M85" s="297">
        <f>IF(ISNA(VLOOKUP($A85,SprintData,2,FALSE)),0,VLOOKUP($A85,SprintData,2,FALSE))</f>
        <v>0</v>
      </c>
      <c r="N85" s="297">
        <f>IF(ISNA(VLOOKUP($A85,JumpData,2,FALSE)),0,VLOOKUP($A85,JumpData,2,FALSE))</f>
        <v>0</v>
      </c>
      <c r="O85" s="297">
        <f>IF(ISNA(VLOOKUP($A85,RunData,2,FALSE)),0,VLOOKUP($A85,RunData,2,FALSE))</f>
        <v>0</v>
      </c>
      <c r="P85" s="297">
        <f>IF(ISNA(VLOOKUP($A85,ThrowData,2,FALSE)),0,VLOOKUP($A85,ThrowData,2,FALSE))</f>
        <v>0</v>
      </c>
      <c r="Q85" s="298">
        <f>IF(ISNA(VLOOKUP($A85,SprintData,4,FALSE)),0,VLOOKUP($A85,SprintData,4,FALSE))+V85</f>
        <v>0</v>
      </c>
      <c r="R85" s="298">
        <f>IF(ISNA(VLOOKUP($A85,JumpData,4,FALSE)),0,VLOOKUP($A85,JumpData,4,FALSE))+W85</f>
        <v>0</v>
      </c>
      <c r="S85" s="298">
        <f>IF(ISNA(VLOOKUP($A85,RunData,4,FALSE)),0,VLOOKUP($A85,RunData,4,FALSE))+X85</f>
        <v>0</v>
      </c>
      <c r="T85" s="298">
        <f>IF(ISNA(VLOOKUP($A85,ThrowData,4,FALSE)),0,VLOOKUP($A85,ThrowData,4,FALSE))+Y85</f>
        <v>0</v>
      </c>
      <c r="U85" s="299">
        <f t="shared" si="2"/>
        <v>0</v>
      </c>
      <c r="V85">
        <f>IF(AND($F85&gt;0,NOT(M85),Flexing),FlexPC,0)</f>
        <v>0</v>
      </c>
      <c r="W85">
        <f>IF(AND($F85&gt;0,NOT(N85),Flexing),FlexPC,0)</f>
        <v>0</v>
      </c>
      <c r="X85">
        <f>IF(AND($F85&gt;0,NOT(O85),Flexing),FlexPC,0)</f>
        <v>0</v>
      </c>
      <c r="Y85">
        <f>IF(AND($F85&gt;0,NOT(P85),Flexing),FlexPC,0)</f>
        <v>0</v>
      </c>
      <c r="AA85" s="209">
        <f t="shared" si="3"/>
        <v>84</v>
      </c>
    </row>
    <row r="86" ht="15.75" customHeight="1">
      <c r="A86" s="206" t="str">
        <f>+Declarations!A86&amp;""</f>
        <v/>
      </c>
      <c r="B86" t="str">
        <f>IF(LEN($A86),IF(LEN(Declarations!$B86)&gt;0,Declarations!$B86,"#"&amp;$A86),"")</f>
        <v/>
      </c>
      <c r="C86" s="209" t="str">
        <f t="array" ref="C86">IF(LEN(INDEX(DECLARATIONS,$AA86,3))&gt;0,INDEX(DECLARATIONS,$AA86,3),"...")</f>
        <v>...</v>
      </c>
      <c r="D86" s="209" t="str">
        <f t="shared" si="1"/>
        <v/>
      </c>
      <c r="E86" s="296" t="str">
        <f t="array" ref="E86">IF(ISNA($AA86),0,INDEX(DECLARATIONS,$AA86,5))</f>
        <v/>
      </c>
      <c r="F86" s="209" t="str">
        <f t="array" ref="F86">IF(ISNA($AA86),0,INDEX(DECLARATIONS,$AA86,7))</f>
        <v/>
      </c>
      <c r="G86" s="209" t="str">
        <f t="array" ref="G86">UPPER(IF(ISNA($AA86),"",INDEX(DECLARATIONS,$AA86,4)))</f>
        <v/>
      </c>
      <c r="H86" t="str">
        <f>IF(AND(A86&gt;0,ISTEXT(B86)),IF(SECNAME="YES",LEFT(B86&amp;" ",FIND(" ",B86&amp;" ")+2)&amp;IF(F86&gt;0," ("&amp;F86&amp;")",""),B86&amp;IF(F86&gt;0," ("&amp;F86&amp;")","")),"#"&amp;$A86)</f>
        <v/>
      </c>
      <c r="I86" s="209">
        <f>IF(LEN($A86)&gt;0,IF(LEN($J86)&gt;0,MATCH(J86,MatchNames,0),EventIndex),0)</f>
        <v>0</v>
      </c>
      <c r="J86" s="209" t="str">
        <f>IF(LEN($A86)&gt;0,IF(LEN(Declarations!$F86)&gt;0,Declarations!$F86,conftype),"")</f>
        <v/>
      </c>
      <c r="M86" s="297">
        <f>IF(ISNA(VLOOKUP($A86,SprintData,2,FALSE)),0,VLOOKUP($A86,SprintData,2,FALSE))</f>
        <v>0</v>
      </c>
      <c r="N86" s="297">
        <f>IF(ISNA(VLOOKUP($A86,JumpData,2,FALSE)),0,VLOOKUP($A86,JumpData,2,FALSE))</f>
        <v>0</v>
      </c>
      <c r="O86" s="297">
        <f>IF(ISNA(VLOOKUP($A86,RunData,2,FALSE)),0,VLOOKUP($A86,RunData,2,FALSE))</f>
        <v>0</v>
      </c>
      <c r="P86" s="297">
        <f>IF(ISNA(VLOOKUP($A86,ThrowData,2,FALSE)),0,VLOOKUP($A86,ThrowData,2,FALSE))</f>
        <v>0</v>
      </c>
      <c r="Q86" s="298">
        <f>IF(ISNA(VLOOKUP($A86,SprintData,4,FALSE)),0,VLOOKUP($A86,SprintData,4,FALSE))+V86</f>
        <v>0</v>
      </c>
      <c r="R86" s="298">
        <f>IF(ISNA(VLOOKUP($A86,JumpData,4,FALSE)),0,VLOOKUP($A86,JumpData,4,FALSE))+W86</f>
        <v>0</v>
      </c>
      <c r="S86" s="298">
        <f>IF(ISNA(VLOOKUP($A86,RunData,4,FALSE)),0,VLOOKUP($A86,RunData,4,FALSE))+X86</f>
        <v>0</v>
      </c>
      <c r="T86" s="298">
        <f>IF(ISNA(VLOOKUP($A86,ThrowData,4,FALSE)),0,VLOOKUP($A86,ThrowData,4,FALSE))+Y86</f>
        <v>0</v>
      </c>
      <c r="U86" s="299">
        <f t="shared" si="2"/>
        <v>0</v>
      </c>
      <c r="V86">
        <f>IF(AND($F86&gt;0,NOT(M86),Flexing),FlexPC,0)</f>
        <v>0</v>
      </c>
      <c r="W86">
        <f>IF(AND($F86&gt;0,NOT(N86),Flexing),FlexPC,0)</f>
        <v>0</v>
      </c>
      <c r="X86">
        <f>IF(AND($F86&gt;0,NOT(O86),Flexing),FlexPC,0)</f>
        <v>0</v>
      </c>
      <c r="Y86">
        <f>IF(AND($F86&gt;0,NOT(P86),Flexing),FlexPC,0)</f>
        <v>0</v>
      </c>
      <c r="AA86" s="209">
        <f t="shared" si="3"/>
        <v>85</v>
      </c>
    </row>
    <row r="87" ht="15.75" customHeight="1">
      <c r="A87" s="206" t="str">
        <f>+Declarations!A87&amp;""</f>
        <v/>
      </c>
      <c r="B87" t="str">
        <f>IF(LEN($A87),IF(LEN(Declarations!$B87)&gt;0,Declarations!$B87,"#"&amp;$A87),"")</f>
        <v/>
      </c>
      <c r="C87" s="209" t="str">
        <f t="array" ref="C87">IF(LEN(INDEX(DECLARATIONS,$AA87,3))&gt;0,INDEX(DECLARATIONS,$AA87,3),"...")</f>
        <v>...</v>
      </c>
      <c r="D87" s="209" t="str">
        <f t="shared" si="1"/>
        <v/>
      </c>
      <c r="E87" s="296" t="str">
        <f t="array" ref="E87">IF(ISNA($AA87),0,INDEX(DECLARATIONS,$AA87,5))</f>
        <v/>
      </c>
      <c r="F87" s="209" t="str">
        <f t="array" ref="F87">IF(ISNA($AA87),0,INDEX(DECLARATIONS,$AA87,7))</f>
        <v/>
      </c>
      <c r="G87" s="209" t="str">
        <f t="array" ref="G87">UPPER(IF(ISNA($AA87),"",INDEX(DECLARATIONS,$AA87,4)))</f>
        <v/>
      </c>
      <c r="H87" t="str">
        <f>IF(AND(A87&gt;0,ISTEXT(B87)),IF(SECNAME="YES",LEFT(B87&amp;" ",FIND(" ",B87&amp;" ")+2)&amp;IF(F87&gt;0," ("&amp;F87&amp;")",""),B87&amp;IF(F87&gt;0," ("&amp;F87&amp;")","")),"#"&amp;$A87)</f>
        <v/>
      </c>
      <c r="I87" s="209">
        <f>IF(LEN($A87)&gt;0,IF(LEN($J87)&gt;0,MATCH(J87,MatchNames,0),EventIndex),0)</f>
        <v>0</v>
      </c>
      <c r="J87" s="209" t="str">
        <f>IF(LEN($A87)&gt;0,IF(LEN(Declarations!$F87)&gt;0,Declarations!$F87,conftype),"")</f>
        <v/>
      </c>
      <c r="M87" s="297">
        <f>IF(ISNA(VLOOKUP($A87,SprintData,2,FALSE)),0,VLOOKUP($A87,SprintData,2,FALSE))</f>
        <v>0</v>
      </c>
      <c r="N87" s="297">
        <f>IF(ISNA(VLOOKUP($A87,JumpData,2,FALSE)),0,VLOOKUP($A87,JumpData,2,FALSE))</f>
        <v>0</v>
      </c>
      <c r="O87" s="297">
        <f>IF(ISNA(VLOOKUP($A87,RunData,2,FALSE)),0,VLOOKUP($A87,RunData,2,FALSE))</f>
        <v>0</v>
      </c>
      <c r="P87" s="297">
        <f>IF(ISNA(VLOOKUP($A87,ThrowData,2,FALSE)),0,VLOOKUP($A87,ThrowData,2,FALSE))</f>
        <v>0</v>
      </c>
      <c r="Q87" s="298">
        <f>IF(ISNA(VLOOKUP($A87,SprintData,4,FALSE)),0,VLOOKUP($A87,SprintData,4,FALSE))+V87</f>
        <v>0</v>
      </c>
      <c r="R87" s="298">
        <f>IF(ISNA(VLOOKUP($A87,JumpData,4,FALSE)),0,VLOOKUP($A87,JumpData,4,FALSE))+W87</f>
        <v>0</v>
      </c>
      <c r="S87" s="298">
        <f>IF(ISNA(VLOOKUP($A87,RunData,4,FALSE)),0,VLOOKUP($A87,RunData,4,FALSE))+X87</f>
        <v>0</v>
      </c>
      <c r="T87" s="298">
        <f>IF(ISNA(VLOOKUP($A87,ThrowData,4,FALSE)),0,VLOOKUP($A87,ThrowData,4,FALSE))+Y87</f>
        <v>0</v>
      </c>
      <c r="U87" s="299">
        <f t="shared" si="2"/>
        <v>0</v>
      </c>
      <c r="V87">
        <f>IF(AND($F87&gt;0,NOT(M87),Flexing),FlexPC,0)</f>
        <v>0</v>
      </c>
      <c r="W87">
        <f>IF(AND($F87&gt;0,NOT(N87),Flexing),FlexPC,0)</f>
        <v>0</v>
      </c>
      <c r="X87">
        <f>IF(AND($F87&gt;0,NOT(O87),Flexing),FlexPC,0)</f>
        <v>0</v>
      </c>
      <c r="Y87">
        <f>IF(AND($F87&gt;0,NOT(P87),Flexing),FlexPC,0)</f>
        <v>0</v>
      </c>
      <c r="AA87" s="209">
        <f t="shared" si="3"/>
        <v>86</v>
      </c>
    </row>
    <row r="88" ht="15.75" customHeight="1">
      <c r="A88" s="206" t="str">
        <f>+Declarations!A88&amp;""</f>
        <v/>
      </c>
      <c r="B88" t="str">
        <f>IF(LEN($A88),IF(LEN(Declarations!$B88)&gt;0,Declarations!$B88,"#"&amp;$A88),"")</f>
        <v/>
      </c>
      <c r="C88" s="209" t="str">
        <f t="array" ref="C88">IF(LEN(INDEX(DECLARATIONS,$AA88,3))&gt;0,INDEX(DECLARATIONS,$AA88,3),"...")</f>
        <v>...</v>
      </c>
      <c r="D88" s="209" t="str">
        <f t="shared" si="1"/>
        <v/>
      </c>
      <c r="E88" s="296" t="str">
        <f t="array" ref="E88">IF(ISNA($AA88),0,INDEX(DECLARATIONS,$AA88,5))</f>
        <v/>
      </c>
      <c r="F88" s="209" t="str">
        <f t="array" ref="F88">IF(ISNA($AA88),0,INDEX(DECLARATIONS,$AA88,7))</f>
        <v/>
      </c>
      <c r="G88" s="209" t="str">
        <f t="array" ref="G88">UPPER(IF(ISNA($AA88),"",INDEX(DECLARATIONS,$AA88,4)))</f>
        <v/>
      </c>
      <c r="H88" t="str">
        <f>IF(AND(A88&gt;0,ISTEXT(B88)),IF(SECNAME="YES",LEFT(B88&amp;" ",FIND(" ",B88&amp;" ")+2)&amp;IF(F88&gt;0," ("&amp;F88&amp;")",""),B88&amp;IF(F88&gt;0," ("&amp;F88&amp;")","")),"#"&amp;$A88)</f>
        <v/>
      </c>
      <c r="I88" s="209">
        <f>IF(LEN($A88)&gt;0,IF(LEN($J88)&gt;0,MATCH(J88,MatchNames,0),EventIndex),0)</f>
        <v>0</v>
      </c>
      <c r="J88" s="209" t="str">
        <f>IF(LEN($A88)&gt;0,IF(LEN(Declarations!$F88)&gt;0,Declarations!$F88,conftype),"")</f>
        <v/>
      </c>
      <c r="M88" s="297">
        <f>IF(ISNA(VLOOKUP($A88,SprintData,2,FALSE)),0,VLOOKUP($A88,SprintData,2,FALSE))</f>
        <v>0</v>
      </c>
      <c r="N88" s="297">
        <f>IF(ISNA(VLOOKUP($A88,JumpData,2,FALSE)),0,VLOOKUP($A88,JumpData,2,FALSE))</f>
        <v>0</v>
      </c>
      <c r="O88" s="297">
        <f>IF(ISNA(VLOOKUP($A88,RunData,2,FALSE)),0,VLOOKUP($A88,RunData,2,FALSE))</f>
        <v>0</v>
      </c>
      <c r="P88" s="297">
        <f>IF(ISNA(VLOOKUP($A88,ThrowData,2,FALSE)),0,VLOOKUP($A88,ThrowData,2,FALSE))</f>
        <v>0</v>
      </c>
      <c r="Q88" s="298">
        <f>IF(ISNA(VLOOKUP($A88,SprintData,4,FALSE)),0,VLOOKUP($A88,SprintData,4,FALSE))+V88</f>
        <v>0</v>
      </c>
      <c r="R88" s="298">
        <f>IF(ISNA(VLOOKUP($A88,JumpData,4,FALSE)),0,VLOOKUP($A88,JumpData,4,FALSE))+W88</f>
        <v>0</v>
      </c>
      <c r="S88" s="298">
        <f>IF(ISNA(VLOOKUP($A88,RunData,4,FALSE)),0,VLOOKUP($A88,RunData,4,FALSE))+X88</f>
        <v>0</v>
      </c>
      <c r="T88" s="298">
        <f>IF(ISNA(VLOOKUP($A88,ThrowData,4,FALSE)),0,VLOOKUP($A88,ThrowData,4,FALSE))+Y88</f>
        <v>0</v>
      </c>
      <c r="U88" s="299">
        <f t="shared" si="2"/>
        <v>0</v>
      </c>
      <c r="V88">
        <f>IF(AND($F88&gt;0,NOT(M88),Flexing),FlexPC,0)</f>
        <v>0</v>
      </c>
      <c r="W88">
        <f>IF(AND($F88&gt;0,NOT(N88),Flexing),FlexPC,0)</f>
        <v>0</v>
      </c>
      <c r="X88">
        <f>IF(AND($F88&gt;0,NOT(O88),Flexing),FlexPC,0)</f>
        <v>0</v>
      </c>
      <c r="Y88">
        <f>IF(AND($F88&gt;0,NOT(P88),Flexing),FlexPC,0)</f>
        <v>0</v>
      </c>
      <c r="AA88" s="209">
        <f t="shared" si="3"/>
        <v>87</v>
      </c>
    </row>
    <row r="89" ht="15.75" customHeight="1">
      <c r="A89" s="206" t="str">
        <f>+Declarations!A89&amp;""</f>
        <v/>
      </c>
      <c r="B89" t="str">
        <f>IF(LEN($A89),IF(LEN(Declarations!$B89)&gt;0,Declarations!$B89,"#"&amp;$A89),"")</f>
        <v/>
      </c>
      <c r="C89" s="209" t="str">
        <f t="array" ref="C89">IF(LEN(INDEX(DECLARATIONS,$AA89,3))&gt;0,INDEX(DECLARATIONS,$AA89,3),"...")</f>
        <v>...</v>
      </c>
      <c r="D89" s="209" t="str">
        <f t="shared" si="1"/>
        <v/>
      </c>
      <c r="E89" s="296" t="str">
        <f t="array" ref="E89">IF(ISNA($AA89),0,INDEX(DECLARATIONS,$AA89,5))</f>
        <v/>
      </c>
      <c r="F89" s="209" t="str">
        <f t="array" ref="F89">IF(ISNA($AA89),0,INDEX(DECLARATIONS,$AA89,7))</f>
        <v/>
      </c>
      <c r="G89" s="209" t="str">
        <f t="array" ref="G89">UPPER(IF(ISNA($AA89),"",INDEX(DECLARATIONS,$AA89,4)))</f>
        <v/>
      </c>
      <c r="H89" t="str">
        <f>IF(AND(A89&gt;0,ISTEXT(B89)),IF(SECNAME="YES",LEFT(B89&amp;" ",FIND(" ",B89&amp;" ")+2)&amp;IF(F89&gt;0," ("&amp;F89&amp;")",""),B89&amp;IF(F89&gt;0," ("&amp;F89&amp;")","")),"#"&amp;$A89)</f>
        <v/>
      </c>
      <c r="I89" s="209">
        <f>IF(LEN($A89)&gt;0,IF(LEN($J89)&gt;0,MATCH(J89,MatchNames,0),EventIndex),0)</f>
        <v>0</v>
      </c>
      <c r="J89" s="209" t="str">
        <f>IF(LEN($A89)&gt;0,IF(LEN(Declarations!$F89)&gt;0,Declarations!$F89,conftype),"")</f>
        <v/>
      </c>
      <c r="M89" s="297">
        <f>IF(ISNA(VLOOKUP($A89,SprintData,2,FALSE)),0,VLOOKUP($A89,SprintData,2,FALSE))</f>
        <v>0</v>
      </c>
      <c r="N89" s="297">
        <f>IF(ISNA(VLOOKUP($A89,JumpData,2,FALSE)),0,VLOOKUP($A89,JumpData,2,FALSE))</f>
        <v>0</v>
      </c>
      <c r="O89" s="297">
        <f>IF(ISNA(VLOOKUP($A89,RunData,2,FALSE)),0,VLOOKUP($A89,RunData,2,FALSE))</f>
        <v>0</v>
      </c>
      <c r="P89" s="297">
        <f>IF(ISNA(VLOOKUP($A89,ThrowData,2,FALSE)),0,VLOOKUP($A89,ThrowData,2,FALSE))</f>
        <v>0</v>
      </c>
      <c r="Q89" s="298">
        <f>IF(ISNA(VLOOKUP($A89,SprintData,4,FALSE)),0,VLOOKUP($A89,SprintData,4,FALSE))+V89</f>
        <v>0</v>
      </c>
      <c r="R89" s="298">
        <f>IF(ISNA(VLOOKUP($A89,JumpData,4,FALSE)),0,VLOOKUP($A89,JumpData,4,FALSE))+W89</f>
        <v>0</v>
      </c>
      <c r="S89" s="298">
        <f>IF(ISNA(VLOOKUP($A89,RunData,4,FALSE)),0,VLOOKUP($A89,RunData,4,FALSE))+X89</f>
        <v>0</v>
      </c>
      <c r="T89" s="298">
        <f>IF(ISNA(VLOOKUP($A89,ThrowData,4,FALSE)),0,VLOOKUP($A89,ThrowData,4,FALSE))+Y89</f>
        <v>0</v>
      </c>
      <c r="U89" s="299">
        <f t="shared" si="2"/>
        <v>0</v>
      </c>
      <c r="V89">
        <f>IF(AND($F89&gt;0,NOT(M89),Flexing),FlexPC,0)</f>
        <v>0</v>
      </c>
      <c r="W89">
        <f>IF(AND($F89&gt;0,NOT(N89),Flexing),FlexPC,0)</f>
        <v>0</v>
      </c>
      <c r="X89">
        <f>IF(AND($F89&gt;0,NOT(O89),Flexing),FlexPC,0)</f>
        <v>0</v>
      </c>
      <c r="Y89">
        <f>IF(AND($F89&gt;0,NOT(P89),Flexing),FlexPC,0)</f>
        <v>0</v>
      </c>
      <c r="AA89" s="209">
        <f t="shared" si="3"/>
        <v>88</v>
      </c>
    </row>
    <row r="90" ht="15.75" customHeight="1">
      <c r="A90" s="206" t="str">
        <f>+Declarations!A90&amp;""</f>
        <v/>
      </c>
      <c r="B90" t="str">
        <f>IF(LEN($A90),IF(LEN(Declarations!$B90)&gt;0,Declarations!$B90,"#"&amp;$A90),"")</f>
        <v/>
      </c>
      <c r="C90" s="209" t="str">
        <f t="array" ref="C90">IF(LEN(INDEX(DECLARATIONS,$AA90,3))&gt;0,INDEX(DECLARATIONS,$AA90,3),"...")</f>
        <v>...</v>
      </c>
      <c r="D90" s="209" t="str">
        <f t="shared" si="1"/>
        <v/>
      </c>
      <c r="E90" s="296" t="str">
        <f t="array" ref="E90">IF(ISNA($AA90),0,INDEX(DECLARATIONS,$AA90,5))</f>
        <v/>
      </c>
      <c r="F90" s="209" t="str">
        <f t="array" ref="F90">IF(ISNA($AA90),0,INDEX(DECLARATIONS,$AA90,7))</f>
        <v/>
      </c>
      <c r="G90" s="209" t="str">
        <f t="array" ref="G90">UPPER(IF(ISNA($AA90),"",INDEX(DECLARATIONS,$AA90,4)))</f>
        <v/>
      </c>
      <c r="H90" t="str">
        <f>IF(AND(A90&gt;0,ISTEXT(B90)),IF(SECNAME="YES",LEFT(B90&amp;" ",FIND(" ",B90&amp;" ")+2)&amp;IF(F90&gt;0," ("&amp;F90&amp;")",""),B90&amp;IF(F90&gt;0," ("&amp;F90&amp;")","")),"#"&amp;$A90)</f>
        <v/>
      </c>
      <c r="I90" s="209">
        <f>IF(LEN($A90)&gt;0,IF(LEN($J90)&gt;0,MATCH(J90,MatchNames,0),EventIndex),0)</f>
        <v>0</v>
      </c>
      <c r="J90" s="209" t="str">
        <f>IF(LEN($A90)&gt;0,IF(LEN(Declarations!$F90)&gt;0,Declarations!$F90,conftype),"")</f>
        <v/>
      </c>
      <c r="M90" s="297">
        <f>IF(ISNA(VLOOKUP($A90,SprintData,2,FALSE)),0,VLOOKUP($A90,SprintData,2,FALSE))</f>
        <v>0</v>
      </c>
      <c r="N90" s="297">
        <f>IF(ISNA(VLOOKUP($A90,JumpData,2,FALSE)),0,VLOOKUP($A90,JumpData,2,FALSE))</f>
        <v>0</v>
      </c>
      <c r="O90" s="297">
        <f>IF(ISNA(VLOOKUP($A90,RunData,2,FALSE)),0,VLOOKUP($A90,RunData,2,FALSE))</f>
        <v>0</v>
      </c>
      <c r="P90" s="297">
        <f>IF(ISNA(VLOOKUP($A90,ThrowData,2,FALSE)),0,VLOOKUP($A90,ThrowData,2,FALSE))</f>
        <v>0</v>
      </c>
      <c r="Q90" s="298">
        <f>IF(ISNA(VLOOKUP($A90,SprintData,4,FALSE)),0,VLOOKUP($A90,SprintData,4,FALSE))+V90</f>
        <v>0</v>
      </c>
      <c r="R90" s="298">
        <f>IF(ISNA(VLOOKUP($A90,JumpData,4,FALSE)),0,VLOOKUP($A90,JumpData,4,FALSE))+W90</f>
        <v>0</v>
      </c>
      <c r="S90" s="298">
        <f>IF(ISNA(VLOOKUP($A90,RunData,4,FALSE)),0,VLOOKUP($A90,RunData,4,FALSE))+X90</f>
        <v>0</v>
      </c>
      <c r="T90" s="298">
        <f>IF(ISNA(VLOOKUP($A90,ThrowData,4,FALSE)),0,VLOOKUP($A90,ThrowData,4,FALSE))+Y90</f>
        <v>0</v>
      </c>
      <c r="U90" s="299">
        <f t="shared" si="2"/>
        <v>0</v>
      </c>
      <c r="V90">
        <f>IF(AND($F90&gt;0,NOT(M90),Flexing),FlexPC,0)</f>
        <v>0</v>
      </c>
      <c r="W90">
        <f>IF(AND($F90&gt;0,NOT(N90),Flexing),FlexPC,0)</f>
        <v>0</v>
      </c>
      <c r="X90">
        <f>IF(AND($F90&gt;0,NOT(O90),Flexing),FlexPC,0)</f>
        <v>0</v>
      </c>
      <c r="Y90">
        <f>IF(AND($F90&gt;0,NOT(P90),Flexing),FlexPC,0)</f>
        <v>0</v>
      </c>
      <c r="AA90" s="209">
        <f t="shared" si="3"/>
        <v>89</v>
      </c>
    </row>
    <row r="91" ht="15.75" customHeight="1">
      <c r="A91" s="206" t="str">
        <f>+Declarations!A91&amp;""</f>
        <v/>
      </c>
      <c r="B91" t="str">
        <f>IF(LEN($A91),IF(LEN(Declarations!$B91)&gt;0,Declarations!$B91,"#"&amp;$A91),"")</f>
        <v/>
      </c>
      <c r="C91" s="209" t="str">
        <f t="array" ref="C91">IF(LEN(INDEX(DECLARATIONS,$AA91,3))&gt;0,INDEX(DECLARATIONS,$AA91,3),"...")</f>
        <v>...</v>
      </c>
      <c r="D91" s="209" t="str">
        <f t="shared" si="1"/>
        <v/>
      </c>
      <c r="E91" s="296" t="str">
        <f t="array" ref="E91">IF(ISNA($AA91),0,INDEX(DECLARATIONS,$AA91,5))</f>
        <v/>
      </c>
      <c r="F91" s="209" t="str">
        <f t="array" ref="F91">IF(ISNA($AA91),0,INDEX(DECLARATIONS,$AA91,7))</f>
        <v/>
      </c>
      <c r="G91" s="209" t="str">
        <f t="array" ref="G91">UPPER(IF(ISNA($AA91),"",INDEX(DECLARATIONS,$AA91,4)))</f>
        <v/>
      </c>
      <c r="H91" t="str">
        <f>IF(AND(A91&gt;0,ISTEXT(B91)),IF(SECNAME="YES",LEFT(B91&amp;" ",FIND(" ",B91&amp;" ")+2)&amp;IF(F91&gt;0," ("&amp;F91&amp;")",""),B91&amp;IF(F91&gt;0," ("&amp;F91&amp;")","")),"#"&amp;$A91)</f>
        <v/>
      </c>
      <c r="I91" s="209">
        <f>IF(LEN($A91)&gt;0,IF(LEN($J91)&gt;0,MATCH(J91,MatchNames,0),EventIndex),0)</f>
        <v>0</v>
      </c>
      <c r="J91" s="209" t="str">
        <f>IF(LEN($A91)&gt;0,IF(LEN(Declarations!$F91)&gt;0,Declarations!$F91,conftype),"")</f>
        <v/>
      </c>
      <c r="M91" s="297">
        <f>IF(ISNA(VLOOKUP($A91,SprintData,2,FALSE)),0,VLOOKUP($A91,SprintData,2,FALSE))</f>
        <v>0</v>
      </c>
      <c r="N91" s="297">
        <f>IF(ISNA(VLOOKUP($A91,JumpData,2,FALSE)),0,VLOOKUP($A91,JumpData,2,FALSE))</f>
        <v>0</v>
      </c>
      <c r="O91" s="297">
        <f>IF(ISNA(VLOOKUP($A91,RunData,2,FALSE)),0,VLOOKUP($A91,RunData,2,FALSE))</f>
        <v>0</v>
      </c>
      <c r="P91" s="297">
        <f>IF(ISNA(VLOOKUP($A91,ThrowData,2,FALSE)),0,VLOOKUP($A91,ThrowData,2,FALSE))</f>
        <v>0</v>
      </c>
      <c r="Q91" s="298">
        <f>IF(ISNA(VLOOKUP($A91,SprintData,4,FALSE)),0,VLOOKUP($A91,SprintData,4,FALSE))+V91</f>
        <v>0</v>
      </c>
      <c r="R91" s="298">
        <f>IF(ISNA(VLOOKUP($A91,JumpData,4,FALSE)),0,VLOOKUP($A91,JumpData,4,FALSE))+W91</f>
        <v>0</v>
      </c>
      <c r="S91" s="298">
        <f>IF(ISNA(VLOOKUP($A91,RunData,4,FALSE)),0,VLOOKUP($A91,RunData,4,FALSE))+X91</f>
        <v>0</v>
      </c>
      <c r="T91" s="298">
        <f>IF(ISNA(VLOOKUP($A91,ThrowData,4,FALSE)),0,VLOOKUP($A91,ThrowData,4,FALSE))+Y91</f>
        <v>0</v>
      </c>
      <c r="U91" s="299">
        <f t="shared" si="2"/>
        <v>0</v>
      </c>
      <c r="V91">
        <f>IF(AND($F91&gt;0,NOT(M91),Flexing),FlexPC,0)</f>
        <v>0</v>
      </c>
      <c r="W91">
        <f>IF(AND($F91&gt;0,NOT(N91),Flexing),FlexPC,0)</f>
        <v>0</v>
      </c>
      <c r="X91">
        <f>IF(AND($F91&gt;0,NOT(O91),Flexing),FlexPC,0)</f>
        <v>0</v>
      </c>
      <c r="Y91">
        <f>IF(AND($F91&gt;0,NOT(P91),Flexing),FlexPC,0)</f>
        <v>0</v>
      </c>
      <c r="AA91" s="209">
        <f t="shared" si="3"/>
        <v>90</v>
      </c>
    </row>
    <row r="92" ht="15.75" customHeight="1">
      <c r="A92" s="206" t="str">
        <f>+Declarations!A92&amp;""</f>
        <v/>
      </c>
      <c r="B92" t="str">
        <f>IF(LEN($A92),IF(LEN(Declarations!$B92)&gt;0,Declarations!$B92,"#"&amp;$A92),"")</f>
        <v/>
      </c>
      <c r="C92" s="209" t="str">
        <f t="array" ref="C92">IF(LEN(INDEX(DECLARATIONS,$AA92,3))&gt;0,INDEX(DECLARATIONS,$AA92,3),"...")</f>
        <v>...</v>
      </c>
      <c r="D92" s="209" t="str">
        <f t="shared" si="1"/>
        <v/>
      </c>
      <c r="E92" s="296" t="str">
        <f t="array" ref="E92">IF(ISNA($AA92),0,INDEX(DECLARATIONS,$AA92,5))</f>
        <v/>
      </c>
      <c r="F92" s="209" t="str">
        <f t="array" ref="F92">IF(ISNA($AA92),0,INDEX(DECLARATIONS,$AA92,7))</f>
        <v/>
      </c>
      <c r="G92" s="209" t="str">
        <f t="array" ref="G92">UPPER(IF(ISNA($AA92),"",INDEX(DECLARATIONS,$AA92,4)))</f>
        <v/>
      </c>
      <c r="H92" t="str">
        <f>IF(AND(A92&gt;0,ISTEXT(B92)),IF(SECNAME="YES",LEFT(B92&amp;" ",FIND(" ",B92&amp;" ")+2)&amp;IF(F92&gt;0," ("&amp;F92&amp;")",""),B92&amp;IF(F92&gt;0," ("&amp;F92&amp;")","")),"#"&amp;$A92)</f>
        <v/>
      </c>
      <c r="I92" s="209">
        <f>IF(LEN($A92)&gt;0,IF(LEN($J92)&gt;0,MATCH(J92,MatchNames,0),EventIndex),0)</f>
        <v>0</v>
      </c>
      <c r="J92" s="209" t="str">
        <f>IF(LEN($A92)&gt;0,IF(LEN(Declarations!$F92)&gt;0,Declarations!$F92,conftype),"")</f>
        <v/>
      </c>
      <c r="M92" s="297">
        <f>IF(ISNA(VLOOKUP($A92,SprintData,2,FALSE)),0,VLOOKUP($A92,SprintData,2,FALSE))</f>
        <v>0</v>
      </c>
      <c r="N92" s="297">
        <f>IF(ISNA(VLOOKUP($A92,JumpData,2,FALSE)),0,VLOOKUP($A92,JumpData,2,FALSE))</f>
        <v>0</v>
      </c>
      <c r="O92" s="297">
        <f>IF(ISNA(VLOOKUP($A92,RunData,2,FALSE)),0,VLOOKUP($A92,RunData,2,FALSE))</f>
        <v>0</v>
      </c>
      <c r="P92" s="297">
        <f>IF(ISNA(VLOOKUP($A92,ThrowData,2,FALSE)),0,VLOOKUP($A92,ThrowData,2,FALSE))</f>
        <v>0</v>
      </c>
      <c r="Q92" s="298">
        <f>IF(ISNA(VLOOKUP($A92,SprintData,4,FALSE)),0,VLOOKUP($A92,SprintData,4,FALSE))+V92</f>
        <v>0</v>
      </c>
      <c r="R92" s="298">
        <f>IF(ISNA(VLOOKUP($A92,JumpData,4,FALSE)),0,VLOOKUP($A92,JumpData,4,FALSE))+W92</f>
        <v>0</v>
      </c>
      <c r="S92" s="298">
        <f>IF(ISNA(VLOOKUP($A92,RunData,4,FALSE)),0,VLOOKUP($A92,RunData,4,FALSE))+X92</f>
        <v>0</v>
      </c>
      <c r="T92" s="298">
        <f>IF(ISNA(VLOOKUP($A92,ThrowData,4,FALSE)),0,VLOOKUP($A92,ThrowData,4,FALSE))+Y92</f>
        <v>0</v>
      </c>
      <c r="U92" s="299">
        <f t="shared" si="2"/>
        <v>0</v>
      </c>
      <c r="V92">
        <f>IF(AND($F92&gt;0,NOT(M92),Flexing),FlexPC,0)</f>
        <v>0</v>
      </c>
      <c r="W92">
        <f>IF(AND($F92&gt;0,NOT(N92),Flexing),FlexPC,0)</f>
        <v>0</v>
      </c>
      <c r="X92">
        <f>IF(AND($F92&gt;0,NOT(O92),Flexing),FlexPC,0)</f>
        <v>0</v>
      </c>
      <c r="Y92">
        <f>IF(AND($F92&gt;0,NOT(P92),Flexing),FlexPC,0)</f>
        <v>0</v>
      </c>
      <c r="AA92" s="209">
        <f t="shared" si="3"/>
        <v>91</v>
      </c>
    </row>
    <row r="93" ht="15.75" customHeight="1">
      <c r="A93" s="206" t="str">
        <f>+Declarations!A93&amp;""</f>
        <v/>
      </c>
      <c r="B93" t="str">
        <f>IF(LEN($A93),IF(LEN(Declarations!$B93)&gt;0,Declarations!$B93,"#"&amp;$A93),"")</f>
        <v/>
      </c>
      <c r="C93" s="209" t="str">
        <f t="array" ref="C93">IF(LEN(INDEX(DECLARATIONS,$AA93,3))&gt;0,INDEX(DECLARATIONS,$AA93,3),"...")</f>
        <v>...</v>
      </c>
      <c r="D93" s="209" t="str">
        <f t="shared" si="1"/>
        <v/>
      </c>
      <c r="E93" s="296" t="str">
        <f t="array" ref="E93">IF(ISNA($AA93),0,INDEX(DECLARATIONS,$AA93,5))</f>
        <v/>
      </c>
      <c r="F93" s="209" t="str">
        <f t="array" ref="F93">IF(ISNA($AA93),0,INDEX(DECLARATIONS,$AA93,7))</f>
        <v/>
      </c>
      <c r="G93" s="209" t="str">
        <f t="array" ref="G93">UPPER(IF(ISNA($AA93),"",INDEX(DECLARATIONS,$AA93,4)))</f>
        <v/>
      </c>
      <c r="H93" t="str">
        <f>IF(AND(A93&gt;0,ISTEXT(B93)),IF(SECNAME="YES",LEFT(B93&amp;" ",FIND(" ",B93&amp;" ")+2)&amp;IF(F93&gt;0," ("&amp;F93&amp;")",""),B93&amp;IF(F93&gt;0," ("&amp;F93&amp;")","")),"#"&amp;$A93)</f>
        <v/>
      </c>
      <c r="I93" s="209">
        <f>IF(LEN($A93)&gt;0,IF(LEN($J93)&gt;0,MATCH(J93,MatchNames,0),EventIndex),0)</f>
        <v>0</v>
      </c>
      <c r="J93" s="209" t="str">
        <f>IF(LEN($A93)&gt;0,IF(LEN(Declarations!$F93)&gt;0,Declarations!$F93,conftype),"")</f>
        <v/>
      </c>
      <c r="M93" s="297">
        <f>IF(ISNA(VLOOKUP($A93,SprintData,2,FALSE)),0,VLOOKUP($A93,SprintData,2,FALSE))</f>
        <v>0</v>
      </c>
      <c r="N93" s="297">
        <f>IF(ISNA(VLOOKUP($A93,JumpData,2,FALSE)),0,VLOOKUP($A93,JumpData,2,FALSE))</f>
        <v>0</v>
      </c>
      <c r="O93" s="297">
        <f>IF(ISNA(VLOOKUP($A93,RunData,2,FALSE)),0,VLOOKUP($A93,RunData,2,FALSE))</f>
        <v>0</v>
      </c>
      <c r="P93" s="297">
        <f>IF(ISNA(VLOOKUP($A93,ThrowData,2,FALSE)),0,VLOOKUP($A93,ThrowData,2,FALSE))</f>
        <v>0</v>
      </c>
      <c r="Q93" s="298">
        <f>IF(ISNA(VLOOKUP($A93,SprintData,4,FALSE)),0,VLOOKUP($A93,SprintData,4,FALSE))+V93</f>
        <v>0</v>
      </c>
      <c r="R93" s="298">
        <f>IF(ISNA(VLOOKUP($A93,JumpData,4,FALSE)),0,VLOOKUP($A93,JumpData,4,FALSE))+W93</f>
        <v>0</v>
      </c>
      <c r="S93" s="298">
        <f>IF(ISNA(VLOOKUP($A93,RunData,4,FALSE)),0,VLOOKUP($A93,RunData,4,FALSE))+X93</f>
        <v>0</v>
      </c>
      <c r="T93" s="298">
        <f>IF(ISNA(VLOOKUP($A93,ThrowData,4,FALSE)),0,VLOOKUP($A93,ThrowData,4,FALSE))+Y93</f>
        <v>0</v>
      </c>
      <c r="U93" s="299">
        <f t="shared" si="2"/>
        <v>0</v>
      </c>
      <c r="V93">
        <f>IF(AND($F93&gt;0,NOT(M93),Flexing),FlexPC,0)</f>
        <v>0</v>
      </c>
      <c r="W93">
        <f>IF(AND($F93&gt;0,NOT(N93),Flexing),FlexPC,0)</f>
        <v>0</v>
      </c>
      <c r="X93">
        <f>IF(AND($F93&gt;0,NOT(O93),Flexing),FlexPC,0)</f>
        <v>0</v>
      </c>
      <c r="Y93">
        <f>IF(AND($F93&gt;0,NOT(P93),Flexing),FlexPC,0)</f>
        <v>0</v>
      </c>
      <c r="AA93" s="209">
        <f t="shared" si="3"/>
        <v>92</v>
      </c>
    </row>
    <row r="94" ht="15.75" customHeight="1">
      <c r="A94" s="206" t="str">
        <f>+Declarations!A94&amp;""</f>
        <v/>
      </c>
      <c r="B94" t="str">
        <f>IF(LEN($A94),IF(LEN(Declarations!$B94)&gt;0,Declarations!$B94,"#"&amp;$A94),"")</f>
        <v/>
      </c>
      <c r="C94" s="209" t="str">
        <f t="array" ref="C94">IF(LEN(INDEX(DECLARATIONS,$AA94,3))&gt;0,INDEX(DECLARATIONS,$AA94,3),"...")</f>
        <v>...</v>
      </c>
      <c r="D94" s="209" t="str">
        <f t="shared" si="1"/>
        <v/>
      </c>
      <c r="E94" s="296" t="str">
        <f t="array" ref="E94">IF(ISNA($AA94),0,INDEX(DECLARATIONS,$AA94,5))</f>
        <v/>
      </c>
      <c r="F94" s="209" t="str">
        <f t="array" ref="F94">IF(ISNA($AA94),0,INDEX(DECLARATIONS,$AA94,7))</f>
        <v/>
      </c>
      <c r="G94" s="209" t="str">
        <f t="array" ref="G94">UPPER(IF(ISNA($AA94),"",INDEX(DECLARATIONS,$AA94,4)))</f>
        <v/>
      </c>
      <c r="H94" t="str">
        <f>IF(AND(A94&gt;0,ISTEXT(B94)),IF(SECNAME="YES",LEFT(B94&amp;" ",FIND(" ",B94&amp;" ")+2)&amp;IF(F94&gt;0," ("&amp;F94&amp;")",""),B94&amp;IF(F94&gt;0," ("&amp;F94&amp;")","")),"#"&amp;$A94)</f>
        <v/>
      </c>
      <c r="I94" s="209">
        <f>IF(LEN($A94)&gt;0,IF(LEN($J94)&gt;0,MATCH(J94,MatchNames,0),EventIndex),0)</f>
        <v>0</v>
      </c>
      <c r="J94" s="209" t="str">
        <f>IF(LEN($A94)&gt;0,IF(LEN(Declarations!$F94)&gt;0,Declarations!$F94,conftype),"")</f>
        <v/>
      </c>
      <c r="M94" s="297">
        <f>IF(ISNA(VLOOKUP($A94,SprintData,2,FALSE)),0,VLOOKUP($A94,SprintData,2,FALSE))</f>
        <v>0</v>
      </c>
      <c r="N94" s="297">
        <f>IF(ISNA(VLOOKUP($A94,JumpData,2,FALSE)),0,VLOOKUP($A94,JumpData,2,FALSE))</f>
        <v>0</v>
      </c>
      <c r="O94" s="297">
        <f>IF(ISNA(VLOOKUP($A94,RunData,2,FALSE)),0,VLOOKUP($A94,RunData,2,FALSE))</f>
        <v>0</v>
      </c>
      <c r="P94" s="297">
        <f>IF(ISNA(VLOOKUP($A94,ThrowData,2,FALSE)),0,VLOOKUP($A94,ThrowData,2,FALSE))</f>
        <v>0</v>
      </c>
      <c r="Q94" s="298">
        <f>IF(ISNA(VLOOKUP($A94,SprintData,4,FALSE)),0,VLOOKUP($A94,SprintData,4,FALSE))+V94</f>
        <v>0</v>
      </c>
      <c r="R94" s="298">
        <f>IF(ISNA(VLOOKUP($A94,JumpData,4,FALSE)),0,VLOOKUP($A94,JumpData,4,FALSE))+W94</f>
        <v>0</v>
      </c>
      <c r="S94" s="298">
        <f>IF(ISNA(VLOOKUP($A94,RunData,4,FALSE)),0,VLOOKUP($A94,RunData,4,FALSE))+X94</f>
        <v>0</v>
      </c>
      <c r="T94" s="298">
        <f>IF(ISNA(VLOOKUP($A94,ThrowData,4,FALSE)),0,VLOOKUP($A94,ThrowData,4,FALSE))+Y94</f>
        <v>0</v>
      </c>
      <c r="U94" s="299">
        <f t="shared" si="2"/>
        <v>0</v>
      </c>
      <c r="V94">
        <f>IF(AND($F94&gt;0,NOT(M94),Flexing),FlexPC,0)</f>
        <v>0</v>
      </c>
      <c r="W94">
        <f>IF(AND($F94&gt;0,NOT(N94),Flexing),FlexPC,0)</f>
        <v>0</v>
      </c>
      <c r="X94">
        <f>IF(AND($F94&gt;0,NOT(O94),Flexing),FlexPC,0)</f>
        <v>0</v>
      </c>
      <c r="Y94">
        <f>IF(AND($F94&gt;0,NOT(P94),Flexing),FlexPC,0)</f>
        <v>0</v>
      </c>
      <c r="AA94" s="209">
        <f t="shared" si="3"/>
        <v>93</v>
      </c>
    </row>
    <row r="95" ht="15.75" customHeight="1">
      <c r="A95" s="206" t="str">
        <f>+Declarations!A95&amp;""</f>
        <v/>
      </c>
      <c r="B95" t="str">
        <f>IF(LEN($A95),IF(LEN(Declarations!$B95)&gt;0,Declarations!$B95,"#"&amp;$A95),"")</f>
        <v/>
      </c>
      <c r="C95" s="209" t="str">
        <f t="array" ref="C95">IF(LEN(INDEX(DECLARATIONS,$AA95,3))&gt;0,INDEX(DECLARATIONS,$AA95,3),"...")</f>
        <v>...</v>
      </c>
      <c r="D95" s="209" t="str">
        <f t="shared" si="1"/>
        <v/>
      </c>
      <c r="E95" s="296" t="str">
        <f t="array" ref="E95">IF(ISNA($AA95),0,INDEX(DECLARATIONS,$AA95,5))</f>
        <v/>
      </c>
      <c r="F95" s="209" t="str">
        <f t="array" ref="F95">IF(ISNA($AA95),0,INDEX(DECLARATIONS,$AA95,7))</f>
        <v/>
      </c>
      <c r="G95" s="209" t="str">
        <f t="array" ref="G95">UPPER(IF(ISNA($AA95),"",INDEX(DECLARATIONS,$AA95,4)))</f>
        <v/>
      </c>
      <c r="H95" t="str">
        <f>IF(AND(A95&gt;0,ISTEXT(B95)),IF(SECNAME="YES",LEFT(B95&amp;" ",FIND(" ",B95&amp;" ")+2)&amp;IF(F95&gt;0," ("&amp;F95&amp;")",""),B95&amp;IF(F95&gt;0," ("&amp;F95&amp;")","")),"#"&amp;$A95)</f>
        <v/>
      </c>
      <c r="I95" s="209">
        <f>IF(LEN($A95)&gt;0,IF(LEN($J95)&gt;0,MATCH(J95,MatchNames,0),EventIndex),0)</f>
        <v>0</v>
      </c>
      <c r="J95" s="209" t="str">
        <f>IF(LEN($A95)&gt;0,IF(LEN(Declarations!$F95)&gt;0,Declarations!$F95,conftype),"")</f>
        <v/>
      </c>
      <c r="M95" s="297">
        <f>IF(ISNA(VLOOKUP($A95,SprintData,2,FALSE)),0,VLOOKUP($A95,SprintData,2,FALSE))</f>
        <v>0</v>
      </c>
      <c r="N95" s="297">
        <f>IF(ISNA(VLOOKUP($A95,JumpData,2,FALSE)),0,VLOOKUP($A95,JumpData,2,FALSE))</f>
        <v>0</v>
      </c>
      <c r="O95" s="297">
        <f>IF(ISNA(VLOOKUP($A95,RunData,2,FALSE)),0,VLOOKUP($A95,RunData,2,FALSE))</f>
        <v>0</v>
      </c>
      <c r="P95" s="297">
        <f>IF(ISNA(VLOOKUP($A95,ThrowData,2,FALSE)),0,VLOOKUP($A95,ThrowData,2,FALSE))</f>
        <v>0</v>
      </c>
      <c r="Q95" s="298">
        <f>IF(ISNA(VLOOKUP($A95,SprintData,4,FALSE)),0,VLOOKUP($A95,SprintData,4,FALSE))+V95</f>
        <v>0</v>
      </c>
      <c r="R95" s="298">
        <f>IF(ISNA(VLOOKUP($A95,JumpData,4,FALSE)),0,VLOOKUP($A95,JumpData,4,FALSE))+W95</f>
        <v>0</v>
      </c>
      <c r="S95" s="298">
        <f>IF(ISNA(VLOOKUP($A95,RunData,4,FALSE)),0,VLOOKUP($A95,RunData,4,FALSE))+X95</f>
        <v>0</v>
      </c>
      <c r="T95" s="298">
        <f>IF(ISNA(VLOOKUP($A95,ThrowData,4,FALSE)),0,VLOOKUP($A95,ThrowData,4,FALSE))+Y95</f>
        <v>0</v>
      </c>
      <c r="U95" s="299">
        <f t="shared" si="2"/>
        <v>0</v>
      </c>
      <c r="V95">
        <f>IF(AND($F95&gt;0,NOT(M95),Flexing),FlexPC,0)</f>
        <v>0</v>
      </c>
      <c r="W95">
        <f>IF(AND($F95&gt;0,NOT(N95),Flexing),FlexPC,0)</f>
        <v>0</v>
      </c>
      <c r="X95">
        <f>IF(AND($F95&gt;0,NOT(O95),Flexing),FlexPC,0)</f>
        <v>0</v>
      </c>
      <c r="Y95">
        <f>IF(AND($F95&gt;0,NOT(P95),Flexing),FlexPC,0)</f>
        <v>0</v>
      </c>
      <c r="AA95" s="209">
        <f t="shared" si="3"/>
        <v>94</v>
      </c>
    </row>
    <row r="96" ht="15.75" customHeight="1">
      <c r="A96" s="206" t="str">
        <f>+Declarations!A96&amp;""</f>
        <v/>
      </c>
      <c r="B96" t="str">
        <f>IF(LEN($A96),IF(LEN(Declarations!$B96)&gt;0,Declarations!$B96,"#"&amp;$A96),"")</f>
        <v/>
      </c>
      <c r="C96" s="209" t="str">
        <f t="array" ref="C96">IF(LEN(INDEX(DECLARATIONS,$AA96,3))&gt;0,INDEX(DECLARATIONS,$AA96,3),"...")</f>
        <v>...</v>
      </c>
      <c r="D96" s="209" t="str">
        <f t="shared" si="1"/>
        <v/>
      </c>
      <c r="E96" s="296" t="str">
        <f t="array" ref="E96">IF(ISNA($AA96),0,INDEX(DECLARATIONS,$AA96,5))</f>
        <v/>
      </c>
      <c r="F96" s="209" t="str">
        <f t="array" ref="F96">IF(ISNA($AA96),0,INDEX(DECLARATIONS,$AA96,7))</f>
        <v/>
      </c>
      <c r="G96" s="209" t="str">
        <f t="array" ref="G96">UPPER(IF(ISNA($AA96),"",INDEX(DECLARATIONS,$AA96,4)))</f>
        <v/>
      </c>
      <c r="H96" t="str">
        <f>IF(AND(A96&gt;0,ISTEXT(B96)),IF(SECNAME="YES",LEFT(B96&amp;" ",FIND(" ",B96&amp;" ")+2)&amp;IF(F96&gt;0," ("&amp;F96&amp;")",""),B96&amp;IF(F96&gt;0," ("&amp;F96&amp;")","")),"#"&amp;$A96)</f>
        <v/>
      </c>
      <c r="I96" s="209">
        <f>IF(LEN($A96)&gt;0,IF(LEN($J96)&gt;0,MATCH(J96,MatchNames,0),EventIndex),0)</f>
        <v>0</v>
      </c>
      <c r="J96" s="209" t="str">
        <f>IF(LEN($A96)&gt;0,IF(LEN(Declarations!$F96)&gt;0,Declarations!$F96,conftype),"")</f>
        <v/>
      </c>
      <c r="M96" s="297">
        <f>IF(ISNA(VLOOKUP($A96,SprintData,2,FALSE)),0,VLOOKUP($A96,SprintData,2,FALSE))</f>
        <v>0</v>
      </c>
      <c r="N96" s="297">
        <f>IF(ISNA(VLOOKUP($A96,JumpData,2,FALSE)),0,VLOOKUP($A96,JumpData,2,FALSE))</f>
        <v>0</v>
      </c>
      <c r="O96" s="297">
        <f>IF(ISNA(VLOOKUP($A96,RunData,2,FALSE)),0,VLOOKUP($A96,RunData,2,FALSE))</f>
        <v>0</v>
      </c>
      <c r="P96" s="297">
        <f>IF(ISNA(VLOOKUP($A96,ThrowData,2,FALSE)),0,VLOOKUP($A96,ThrowData,2,FALSE))</f>
        <v>0</v>
      </c>
      <c r="Q96" s="298">
        <f>IF(ISNA(VLOOKUP($A96,SprintData,4,FALSE)),0,VLOOKUP($A96,SprintData,4,FALSE))+V96</f>
        <v>0</v>
      </c>
      <c r="R96" s="298">
        <f>IF(ISNA(VLOOKUP($A96,JumpData,4,FALSE)),0,VLOOKUP($A96,JumpData,4,FALSE))+W96</f>
        <v>0</v>
      </c>
      <c r="S96" s="298">
        <f>IF(ISNA(VLOOKUP($A96,RunData,4,FALSE)),0,VLOOKUP($A96,RunData,4,FALSE))+X96</f>
        <v>0</v>
      </c>
      <c r="T96" s="298">
        <f>IF(ISNA(VLOOKUP($A96,ThrowData,4,FALSE)),0,VLOOKUP($A96,ThrowData,4,FALSE))+Y96</f>
        <v>0</v>
      </c>
      <c r="U96" s="299">
        <f t="shared" si="2"/>
        <v>0</v>
      </c>
      <c r="V96">
        <f>IF(AND($F96&gt;0,NOT(M96),Flexing),FlexPC,0)</f>
        <v>0</v>
      </c>
      <c r="W96">
        <f>IF(AND($F96&gt;0,NOT(N96),Flexing),FlexPC,0)</f>
        <v>0</v>
      </c>
      <c r="X96">
        <f>IF(AND($F96&gt;0,NOT(O96),Flexing),FlexPC,0)</f>
        <v>0</v>
      </c>
      <c r="Y96">
        <f>IF(AND($F96&gt;0,NOT(P96),Flexing),FlexPC,0)</f>
        <v>0</v>
      </c>
      <c r="AA96" s="209">
        <f t="shared" si="3"/>
        <v>95</v>
      </c>
    </row>
    <row r="97" ht="15.75" customHeight="1">
      <c r="A97" s="206" t="str">
        <f>+Declarations!A97&amp;""</f>
        <v/>
      </c>
      <c r="B97" t="str">
        <f>IF(LEN($A97),IF(LEN(Declarations!$B97)&gt;0,Declarations!$B97,"#"&amp;$A97),"")</f>
        <v/>
      </c>
      <c r="C97" s="209" t="str">
        <f t="array" ref="C97">IF(LEN(INDEX(DECLARATIONS,$AA97,3))&gt;0,INDEX(DECLARATIONS,$AA97,3),"...")</f>
        <v>...</v>
      </c>
      <c r="D97" s="209" t="str">
        <f t="shared" si="1"/>
        <v/>
      </c>
      <c r="E97" s="296" t="str">
        <f t="array" ref="E97">IF(ISNA($AA97),0,INDEX(DECLARATIONS,$AA97,5))</f>
        <v/>
      </c>
      <c r="F97" s="209" t="str">
        <f t="array" ref="F97">IF(ISNA($AA97),0,INDEX(DECLARATIONS,$AA97,7))</f>
        <v/>
      </c>
      <c r="G97" s="209" t="str">
        <f t="array" ref="G97">UPPER(IF(ISNA($AA97),"",INDEX(DECLARATIONS,$AA97,4)))</f>
        <v/>
      </c>
      <c r="H97" t="str">
        <f>IF(AND(A97&gt;0,ISTEXT(B97)),IF(SECNAME="YES",LEFT(B97&amp;" ",FIND(" ",B97&amp;" ")+2)&amp;IF(F97&gt;0," ("&amp;F97&amp;")",""),B97&amp;IF(F97&gt;0," ("&amp;F97&amp;")","")),"#"&amp;$A97)</f>
        <v/>
      </c>
      <c r="I97" s="209">
        <f>IF(LEN($A97)&gt;0,IF(LEN($J97)&gt;0,MATCH(J97,MatchNames,0),EventIndex),0)</f>
        <v>0</v>
      </c>
      <c r="J97" s="209" t="str">
        <f>IF(LEN($A97)&gt;0,IF(LEN(Declarations!$F97)&gt;0,Declarations!$F97,conftype),"")</f>
        <v/>
      </c>
      <c r="M97" s="297">
        <f>IF(ISNA(VLOOKUP($A97,SprintData,2,FALSE)),0,VLOOKUP($A97,SprintData,2,FALSE))</f>
        <v>0</v>
      </c>
      <c r="N97" s="297">
        <f>IF(ISNA(VLOOKUP($A97,JumpData,2,FALSE)),0,VLOOKUP($A97,JumpData,2,FALSE))</f>
        <v>0</v>
      </c>
      <c r="O97" s="297">
        <f>IF(ISNA(VLOOKUP($A97,RunData,2,FALSE)),0,VLOOKUP($A97,RunData,2,FALSE))</f>
        <v>0</v>
      </c>
      <c r="P97" s="297">
        <f>IF(ISNA(VLOOKUP($A97,ThrowData,2,FALSE)),0,VLOOKUP($A97,ThrowData,2,FALSE))</f>
        <v>0</v>
      </c>
      <c r="Q97" s="298">
        <f>IF(ISNA(VLOOKUP($A97,SprintData,4,FALSE)),0,VLOOKUP($A97,SprintData,4,FALSE))+V97</f>
        <v>0</v>
      </c>
      <c r="R97" s="298">
        <f>IF(ISNA(VLOOKUP($A97,JumpData,4,FALSE)),0,VLOOKUP($A97,JumpData,4,FALSE))+W97</f>
        <v>0</v>
      </c>
      <c r="S97" s="298">
        <f>IF(ISNA(VLOOKUP($A97,RunData,4,FALSE)),0,VLOOKUP($A97,RunData,4,FALSE))+X97</f>
        <v>0</v>
      </c>
      <c r="T97" s="298">
        <f>IF(ISNA(VLOOKUP($A97,ThrowData,4,FALSE)),0,VLOOKUP($A97,ThrowData,4,FALSE))+Y97</f>
        <v>0</v>
      </c>
      <c r="U97" s="299">
        <f t="shared" si="2"/>
        <v>0</v>
      </c>
      <c r="V97">
        <f>IF(AND($F97&gt;0,NOT(M97),Flexing),FlexPC,0)</f>
        <v>0</v>
      </c>
      <c r="W97">
        <f>IF(AND($F97&gt;0,NOT(N97),Flexing),FlexPC,0)</f>
        <v>0</v>
      </c>
      <c r="X97">
        <f>IF(AND($F97&gt;0,NOT(O97),Flexing),FlexPC,0)</f>
        <v>0</v>
      </c>
      <c r="Y97">
        <f>IF(AND($F97&gt;0,NOT(P97),Flexing),FlexPC,0)</f>
        <v>0</v>
      </c>
      <c r="AA97" s="209">
        <f t="shared" si="3"/>
        <v>96</v>
      </c>
    </row>
    <row r="98" ht="15.75" customHeight="1">
      <c r="A98" s="206" t="str">
        <f>+Declarations!A98&amp;""</f>
        <v/>
      </c>
      <c r="B98" t="str">
        <f>IF(LEN($A98),IF(LEN(Declarations!$B98)&gt;0,Declarations!$B98,"#"&amp;$A98),"")</f>
        <v/>
      </c>
      <c r="C98" s="209" t="str">
        <f t="array" ref="C98">IF(LEN(INDEX(DECLARATIONS,$AA98,3))&gt;0,INDEX(DECLARATIONS,$AA98,3),"...")</f>
        <v>...</v>
      </c>
      <c r="D98" s="209" t="str">
        <f t="shared" si="1"/>
        <v/>
      </c>
      <c r="E98" s="296" t="str">
        <f t="array" ref="E98">IF(ISNA($AA98),0,INDEX(DECLARATIONS,$AA98,5))</f>
        <v/>
      </c>
      <c r="F98" s="209" t="str">
        <f t="array" ref="F98">IF(ISNA($AA98),0,INDEX(DECLARATIONS,$AA98,7))</f>
        <v/>
      </c>
      <c r="G98" s="209" t="str">
        <f t="array" ref="G98">UPPER(IF(ISNA($AA98),"",INDEX(DECLARATIONS,$AA98,4)))</f>
        <v/>
      </c>
      <c r="H98" t="str">
        <f>IF(AND(A98&gt;0,ISTEXT(B98)),IF(SECNAME="YES",LEFT(B98&amp;" ",FIND(" ",B98&amp;" ")+2)&amp;IF(F98&gt;0," ("&amp;F98&amp;")",""),B98&amp;IF(F98&gt;0," ("&amp;F98&amp;")","")),"#"&amp;$A98)</f>
        <v/>
      </c>
      <c r="I98" s="209">
        <f>IF(LEN($A98)&gt;0,IF(LEN($J98)&gt;0,MATCH(J98,MatchNames,0),EventIndex),0)</f>
        <v>0</v>
      </c>
      <c r="J98" s="209" t="str">
        <f>IF(LEN($A98)&gt;0,IF(LEN(Declarations!$F98)&gt;0,Declarations!$F98,conftype),"")</f>
        <v/>
      </c>
      <c r="M98" s="297">
        <f>IF(ISNA(VLOOKUP($A98,SprintData,2,FALSE)),0,VLOOKUP($A98,SprintData,2,FALSE))</f>
        <v>0</v>
      </c>
      <c r="N98" s="297">
        <f>IF(ISNA(VLOOKUP($A98,JumpData,2,FALSE)),0,VLOOKUP($A98,JumpData,2,FALSE))</f>
        <v>0</v>
      </c>
      <c r="O98" s="297">
        <f>IF(ISNA(VLOOKUP($A98,RunData,2,FALSE)),0,VLOOKUP($A98,RunData,2,FALSE))</f>
        <v>0</v>
      </c>
      <c r="P98" s="297">
        <f>IF(ISNA(VLOOKUP($A98,ThrowData,2,FALSE)),0,VLOOKUP($A98,ThrowData,2,FALSE))</f>
        <v>0</v>
      </c>
      <c r="Q98" s="298">
        <f>IF(ISNA(VLOOKUP($A98,SprintData,4,FALSE)),0,VLOOKUP($A98,SprintData,4,FALSE))+V98</f>
        <v>0</v>
      </c>
      <c r="R98" s="298">
        <f>IF(ISNA(VLOOKUP($A98,JumpData,4,FALSE)),0,VLOOKUP($A98,JumpData,4,FALSE))+W98</f>
        <v>0</v>
      </c>
      <c r="S98" s="298">
        <f>IF(ISNA(VLOOKUP($A98,RunData,4,FALSE)),0,VLOOKUP($A98,RunData,4,FALSE))+X98</f>
        <v>0</v>
      </c>
      <c r="T98" s="298">
        <f>IF(ISNA(VLOOKUP($A98,ThrowData,4,FALSE)),0,VLOOKUP($A98,ThrowData,4,FALSE))+Y98</f>
        <v>0</v>
      </c>
      <c r="U98" s="299">
        <f t="shared" si="2"/>
        <v>0</v>
      </c>
      <c r="V98">
        <f>IF(AND($F98&gt;0,NOT(M98),Flexing),FlexPC,0)</f>
        <v>0</v>
      </c>
      <c r="W98">
        <f>IF(AND($F98&gt;0,NOT(N98),Flexing),FlexPC,0)</f>
        <v>0</v>
      </c>
      <c r="X98">
        <f>IF(AND($F98&gt;0,NOT(O98),Flexing),FlexPC,0)</f>
        <v>0</v>
      </c>
      <c r="Y98">
        <f>IF(AND($F98&gt;0,NOT(P98),Flexing),FlexPC,0)</f>
        <v>0</v>
      </c>
      <c r="AA98" s="209">
        <f t="shared" si="3"/>
        <v>97</v>
      </c>
    </row>
    <row r="99" ht="15.75" customHeight="1">
      <c r="A99" s="206" t="str">
        <f>+Declarations!A99&amp;""</f>
        <v/>
      </c>
      <c r="B99" t="str">
        <f>IF(LEN($A99),IF(LEN(Declarations!$B99)&gt;0,Declarations!$B99,"#"&amp;$A99),"")</f>
        <v/>
      </c>
      <c r="C99" s="209" t="str">
        <f t="array" ref="C99">IF(LEN(INDEX(DECLARATIONS,$AA99,3))&gt;0,INDEX(DECLARATIONS,$AA99,3),"...")</f>
        <v>...</v>
      </c>
      <c r="D99" s="209" t="str">
        <f t="shared" si="1"/>
        <v/>
      </c>
      <c r="E99" s="296" t="str">
        <f t="array" ref="E99">IF(ISNA($AA99),0,INDEX(DECLARATIONS,$AA99,5))</f>
        <v/>
      </c>
      <c r="F99" s="209" t="str">
        <f t="array" ref="F99">IF(ISNA($AA99),0,INDEX(DECLARATIONS,$AA99,7))</f>
        <v/>
      </c>
      <c r="G99" s="209" t="str">
        <f t="array" ref="G99">UPPER(IF(ISNA($AA99),"",INDEX(DECLARATIONS,$AA99,4)))</f>
        <v/>
      </c>
      <c r="H99" t="str">
        <f>IF(AND(A99&gt;0,ISTEXT(B99)),IF(SECNAME="YES",LEFT(B99&amp;" ",FIND(" ",B99&amp;" ")+2)&amp;IF(F99&gt;0," ("&amp;F99&amp;")",""),B99&amp;IF(F99&gt;0," ("&amp;F99&amp;")","")),"#"&amp;$A99)</f>
        <v/>
      </c>
      <c r="I99" s="209">
        <f>IF(LEN($A99)&gt;0,IF(LEN($J99)&gt;0,MATCH(J99,MatchNames,0),EventIndex),0)</f>
        <v>0</v>
      </c>
      <c r="J99" s="209" t="str">
        <f>IF(LEN($A99)&gt;0,IF(LEN(Declarations!$F99)&gt;0,Declarations!$F99,conftype),"")</f>
        <v/>
      </c>
      <c r="M99" s="297">
        <f>IF(ISNA(VLOOKUP($A99,SprintData,2,FALSE)),0,VLOOKUP($A99,SprintData,2,FALSE))</f>
        <v>0</v>
      </c>
      <c r="N99" s="297">
        <f>IF(ISNA(VLOOKUP($A99,JumpData,2,FALSE)),0,VLOOKUP($A99,JumpData,2,FALSE))</f>
        <v>0</v>
      </c>
      <c r="O99" s="297">
        <f>IF(ISNA(VLOOKUP($A99,RunData,2,FALSE)),0,VLOOKUP($A99,RunData,2,FALSE))</f>
        <v>0</v>
      </c>
      <c r="P99" s="297">
        <f>IF(ISNA(VLOOKUP($A99,ThrowData,2,FALSE)),0,VLOOKUP($A99,ThrowData,2,FALSE))</f>
        <v>0</v>
      </c>
      <c r="Q99" s="298">
        <f>IF(ISNA(VLOOKUP($A99,SprintData,4,FALSE)),0,VLOOKUP($A99,SprintData,4,FALSE))+V99</f>
        <v>0</v>
      </c>
      <c r="R99" s="298">
        <f>IF(ISNA(VLOOKUP($A99,JumpData,4,FALSE)),0,VLOOKUP($A99,JumpData,4,FALSE))+W99</f>
        <v>0</v>
      </c>
      <c r="S99" s="298">
        <f>IF(ISNA(VLOOKUP($A99,RunData,4,FALSE)),0,VLOOKUP($A99,RunData,4,FALSE))+X99</f>
        <v>0</v>
      </c>
      <c r="T99" s="298">
        <f>IF(ISNA(VLOOKUP($A99,ThrowData,4,FALSE)),0,VLOOKUP($A99,ThrowData,4,FALSE))+Y99</f>
        <v>0</v>
      </c>
      <c r="U99" s="299">
        <f t="shared" si="2"/>
        <v>0</v>
      </c>
      <c r="V99">
        <f>IF(AND($F99&gt;0,NOT(M99),Flexing),FlexPC,0)</f>
        <v>0</v>
      </c>
      <c r="W99">
        <f>IF(AND($F99&gt;0,NOT(N99),Flexing),FlexPC,0)</f>
        <v>0</v>
      </c>
      <c r="X99">
        <f>IF(AND($F99&gt;0,NOT(O99),Flexing),FlexPC,0)</f>
        <v>0</v>
      </c>
      <c r="Y99">
        <f>IF(AND($F99&gt;0,NOT(P99),Flexing),FlexPC,0)</f>
        <v>0</v>
      </c>
      <c r="AA99" s="209">
        <f t="shared" si="3"/>
        <v>98</v>
      </c>
    </row>
    <row r="100" ht="15.75" customHeight="1">
      <c r="A100" s="206" t="str">
        <f>+Declarations!A100&amp;""</f>
        <v/>
      </c>
      <c r="B100" t="str">
        <f>IF(LEN($A100),IF(LEN(Declarations!$B100)&gt;0,Declarations!$B100,"#"&amp;$A100),"")</f>
        <v/>
      </c>
      <c r="C100" s="209" t="str">
        <f t="array" ref="C100">IF(LEN(INDEX(DECLARATIONS,$AA100,3))&gt;0,INDEX(DECLARATIONS,$AA100,3),"...")</f>
        <v>...</v>
      </c>
      <c r="D100" s="209" t="str">
        <f t="shared" si="1"/>
        <v/>
      </c>
      <c r="E100" s="296" t="str">
        <f t="array" ref="E100">IF(ISNA($AA100),0,INDEX(DECLARATIONS,$AA100,5))</f>
        <v/>
      </c>
      <c r="F100" s="209" t="str">
        <f t="array" ref="F100">IF(ISNA($AA100),0,INDEX(DECLARATIONS,$AA100,7))</f>
        <v/>
      </c>
      <c r="G100" s="209" t="str">
        <f t="array" ref="G100">UPPER(IF(ISNA($AA100),"",INDEX(DECLARATIONS,$AA100,4)))</f>
        <v/>
      </c>
      <c r="H100" t="str">
        <f>IF(AND(A100&gt;0,ISTEXT(B100)),IF(SECNAME="YES",LEFT(B100&amp;" ",FIND(" ",B100&amp;" ")+2)&amp;IF(F100&gt;0," ("&amp;F100&amp;")",""),B100&amp;IF(F100&gt;0," ("&amp;F100&amp;")","")),"#"&amp;$A100)</f>
        <v/>
      </c>
      <c r="I100" s="209">
        <f>IF(LEN($A100)&gt;0,IF(LEN($J100)&gt;0,MATCH(J100,MatchNames,0),EventIndex),0)</f>
        <v>0</v>
      </c>
      <c r="J100" s="209" t="str">
        <f>IF(LEN($A100)&gt;0,IF(LEN(Declarations!$F100)&gt;0,Declarations!$F100,conftype),"")</f>
        <v/>
      </c>
      <c r="M100" s="297">
        <f>IF(ISNA(VLOOKUP($A100,SprintData,2,FALSE)),0,VLOOKUP($A100,SprintData,2,FALSE))</f>
        <v>0</v>
      </c>
      <c r="N100" s="297">
        <f>IF(ISNA(VLOOKUP($A100,JumpData,2,FALSE)),0,VLOOKUP($A100,JumpData,2,FALSE))</f>
        <v>0</v>
      </c>
      <c r="O100" s="297">
        <f>IF(ISNA(VLOOKUP($A100,RunData,2,FALSE)),0,VLOOKUP($A100,RunData,2,FALSE))</f>
        <v>0</v>
      </c>
      <c r="P100" s="297">
        <f>IF(ISNA(VLOOKUP($A100,ThrowData,2,FALSE)),0,VLOOKUP($A100,ThrowData,2,FALSE))</f>
        <v>0</v>
      </c>
      <c r="Q100" s="298">
        <f>IF(ISNA(VLOOKUP($A100,SprintData,4,FALSE)),0,VLOOKUP($A100,SprintData,4,FALSE))+V100</f>
        <v>0</v>
      </c>
      <c r="R100" s="298">
        <f>IF(ISNA(VLOOKUP($A100,JumpData,4,FALSE)),0,VLOOKUP($A100,JumpData,4,FALSE))+W100</f>
        <v>0</v>
      </c>
      <c r="S100" s="298">
        <f>IF(ISNA(VLOOKUP($A100,RunData,4,FALSE)),0,VLOOKUP($A100,RunData,4,FALSE))+X100</f>
        <v>0</v>
      </c>
      <c r="T100" s="298">
        <f>IF(ISNA(VLOOKUP($A100,ThrowData,4,FALSE)),0,VLOOKUP($A100,ThrowData,4,FALSE))+Y100</f>
        <v>0</v>
      </c>
      <c r="U100" s="299">
        <f t="shared" si="2"/>
        <v>0</v>
      </c>
      <c r="V100">
        <f>IF(AND($F100&gt;0,NOT(M100),Flexing),FlexPC,0)</f>
        <v>0</v>
      </c>
      <c r="W100">
        <f>IF(AND($F100&gt;0,NOT(N100),Flexing),FlexPC,0)</f>
        <v>0</v>
      </c>
      <c r="X100">
        <f>IF(AND($F100&gt;0,NOT(O100),Flexing),FlexPC,0)</f>
        <v>0</v>
      </c>
      <c r="Y100">
        <f>IF(AND($F100&gt;0,NOT(P100),Flexing),FlexPC,0)</f>
        <v>0</v>
      </c>
      <c r="AA100" s="209">
        <f t="shared" si="3"/>
        <v>99</v>
      </c>
    </row>
    <row r="101" ht="15.75" customHeight="1">
      <c r="A101" s="206" t="str">
        <f>+Declarations!A101&amp;""</f>
        <v/>
      </c>
      <c r="B101" t="str">
        <f>IF(LEN($A101),IF(LEN(Declarations!$B101)&gt;0,Declarations!$B101,"#"&amp;$A101),"")</f>
        <v/>
      </c>
      <c r="C101" s="209" t="str">
        <f t="array" ref="C101">IF(LEN(INDEX(DECLARATIONS,$AA101,3))&gt;0,INDEX(DECLARATIONS,$AA101,3),"...")</f>
        <v>...</v>
      </c>
      <c r="D101" s="209" t="str">
        <f t="shared" si="1"/>
        <v/>
      </c>
      <c r="E101" s="296" t="str">
        <f t="array" ref="E101">IF(ISNA($AA101),0,INDEX(DECLARATIONS,$AA101,5))</f>
        <v/>
      </c>
      <c r="F101" s="209" t="str">
        <f t="array" ref="F101">IF(ISNA($AA101),0,INDEX(DECLARATIONS,$AA101,7))</f>
        <v/>
      </c>
      <c r="G101" s="209" t="str">
        <f t="array" ref="G101">UPPER(IF(ISNA($AA101),"",INDEX(DECLARATIONS,$AA101,4)))</f>
        <v/>
      </c>
      <c r="H101" t="str">
        <f>IF(AND(A101&gt;0,ISTEXT(B101)),IF(SECNAME="YES",LEFT(B101&amp;" ",FIND(" ",B101&amp;" ")+2)&amp;IF(F101&gt;0," ("&amp;F101&amp;")",""),B101&amp;IF(F101&gt;0," ("&amp;F101&amp;")","")),"#"&amp;$A101)</f>
        <v/>
      </c>
      <c r="I101" s="209">
        <f>IF(LEN($A101)&gt;0,IF(LEN($J101)&gt;0,MATCH(J101,MatchNames,0),EventIndex),0)</f>
        <v>0</v>
      </c>
      <c r="J101" s="209" t="str">
        <f>IF(LEN($A101)&gt;0,IF(LEN(Declarations!$F101)&gt;0,Declarations!$F101,conftype),"")</f>
        <v/>
      </c>
      <c r="M101" s="297">
        <f>IF(ISNA(VLOOKUP($A101,SprintData,2,FALSE)),0,VLOOKUP($A101,SprintData,2,FALSE))</f>
        <v>0</v>
      </c>
      <c r="N101" s="297">
        <f>IF(ISNA(VLOOKUP($A101,JumpData,2,FALSE)),0,VLOOKUP($A101,JumpData,2,FALSE))</f>
        <v>0</v>
      </c>
      <c r="O101" s="297">
        <f>IF(ISNA(VLOOKUP($A101,RunData,2,FALSE)),0,VLOOKUP($A101,RunData,2,FALSE))</f>
        <v>0</v>
      </c>
      <c r="P101" s="297">
        <f>IF(ISNA(VLOOKUP($A101,ThrowData,2,FALSE)),0,VLOOKUP($A101,ThrowData,2,FALSE))</f>
        <v>0</v>
      </c>
      <c r="Q101" s="298">
        <f>IF(ISNA(VLOOKUP($A101,SprintData,4,FALSE)),0,VLOOKUP($A101,SprintData,4,FALSE))+V101</f>
        <v>0</v>
      </c>
      <c r="R101" s="298">
        <f>IF(ISNA(VLOOKUP($A101,JumpData,4,FALSE)),0,VLOOKUP($A101,JumpData,4,FALSE))+W101</f>
        <v>0</v>
      </c>
      <c r="S101" s="298">
        <f>IF(ISNA(VLOOKUP($A101,RunData,4,FALSE)),0,VLOOKUP($A101,RunData,4,FALSE))+X101</f>
        <v>0</v>
      </c>
      <c r="T101" s="298">
        <f>IF(ISNA(VLOOKUP($A101,ThrowData,4,FALSE)),0,VLOOKUP($A101,ThrowData,4,FALSE))+Y101</f>
        <v>0</v>
      </c>
      <c r="U101" s="299">
        <f t="shared" si="2"/>
        <v>0</v>
      </c>
      <c r="V101">
        <f>IF(AND($F101&gt;0,NOT(M101),Flexing),FlexPC,0)</f>
        <v>0</v>
      </c>
      <c r="W101">
        <f>IF(AND($F101&gt;0,NOT(N101),Flexing),FlexPC,0)</f>
        <v>0</v>
      </c>
      <c r="X101">
        <f>IF(AND($F101&gt;0,NOT(O101),Flexing),FlexPC,0)</f>
        <v>0</v>
      </c>
      <c r="Y101">
        <f>IF(AND($F101&gt;0,NOT(P101),Flexing),FlexPC,0)</f>
        <v>0</v>
      </c>
      <c r="AA101" s="209">
        <f t="shared" si="3"/>
        <v>100</v>
      </c>
    </row>
    <row r="102" ht="15.75" customHeight="1">
      <c r="A102" s="206" t="str">
        <f>+Declarations!A102&amp;""</f>
        <v/>
      </c>
      <c r="B102" t="str">
        <f>IF(LEN($A102),IF(LEN(Declarations!$B102)&gt;0,Declarations!$B102,"#"&amp;$A102),"")</f>
        <v/>
      </c>
      <c r="C102" s="209" t="str">
        <f t="array" ref="C102">IF(LEN(INDEX(DECLARATIONS,$AA102,3))&gt;0,INDEX(DECLARATIONS,$AA102,3),"...")</f>
        <v>...</v>
      </c>
      <c r="D102" s="209" t="str">
        <f t="shared" si="1"/>
        <v/>
      </c>
      <c r="E102" s="296" t="str">
        <f t="array" ref="E102">IF(ISNA($AA102),0,INDEX(DECLARATIONS,$AA102,5))</f>
        <v/>
      </c>
      <c r="F102" s="209" t="str">
        <f t="array" ref="F102">IF(ISNA($AA102),0,INDEX(DECLARATIONS,$AA102,7))</f>
        <v/>
      </c>
      <c r="G102" s="209" t="str">
        <f t="array" ref="G102">UPPER(IF(ISNA($AA102),"",INDEX(DECLARATIONS,$AA102,4)))</f>
        <v/>
      </c>
      <c r="H102" t="str">
        <f>IF(AND(A102&gt;0,ISTEXT(B102)),IF(SECNAME="YES",LEFT(B102&amp;" ",FIND(" ",B102&amp;" ")+2)&amp;IF(F102&gt;0," ("&amp;F102&amp;")",""),B102&amp;IF(F102&gt;0," ("&amp;F102&amp;")","")),"#"&amp;$A102)</f>
        <v/>
      </c>
      <c r="I102" s="209">
        <f>IF(LEN($A102)&gt;0,IF(LEN($J102)&gt;0,MATCH(J102,MatchNames,0),EventIndex),0)</f>
        <v>0</v>
      </c>
      <c r="J102" s="209" t="str">
        <f>IF(LEN($A102)&gt;0,IF(LEN(Declarations!$F102)&gt;0,Declarations!$F102,conftype),"")</f>
        <v/>
      </c>
      <c r="M102" s="297">
        <f>IF(ISNA(VLOOKUP($A102,SprintData,2,FALSE)),0,VLOOKUP($A102,SprintData,2,FALSE))</f>
        <v>0</v>
      </c>
      <c r="N102" s="297">
        <f>IF(ISNA(VLOOKUP($A102,JumpData,2,FALSE)),0,VLOOKUP($A102,JumpData,2,FALSE))</f>
        <v>0</v>
      </c>
      <c r="O102" s="297">
        <f>IF(ISNA(VLOOKUP($A102,RunData,2,FALSE)),0,VLOOKUP($A102,RunData,2,FALSE))</f>
        <v>0</v>
      </c>
      <c r="P102" s="297">
        <f>IF(ISNA(VLOOKUP($A102,ThrowData,2,FALSE)),0,VLOOKUP($A102,ThrowData,2,FALSE))</f>
        <v>0</v>
      </c>
      <c r="Q102" s="298">
        <f>IF(ISNA(VLOOKUP($A102,SprintData,4,FALSE)),0,VLOOKUP($A102,SprintData,4,FALSE))+V102</f>
        <v>0</v>
      </c>
      <c r="R102" s="298">
        <f>IF(ISNA(VLOOKUP($A102,JumpData,4,FALSE)),0,VLOOKUP($A102,JumpData,4,FALSE))+W102</f>
        <v>0</v>
      </c>
      <c r="S102" s="298">
        <f>IF(ISNA(VLOOKUP($A102,RunData,4,FALSE)),0,VLOOKUP($A102,RunData,4,FALSE))+X102</f>
        <v>0</v>
      </c>
      <c r="T102" s="298">
        <f>IF(ISNA(VLOOKUP($A102,ThrowData,4,FALSE)),0,VLOOKUP($A102,ThrowData,4,FALSE))+Y102</f>
        <v>0</v>
      </c>
      <c r="U102" s="299">
        <f t="shared" si="2"/>
        <v>0</v>
      </c>
      <c r="V102">
        <f>IF(AND($F102&gt;0,NOT(M102),Flexing),FlexPC,0)</f>
        <v>0</v>
      </c>
      <c r="W102">
        <f>IF(AND($F102&gt;0,NOT(N102),Flexing),FlexPC,0)</f>
        <v>0</v>
      </c>
      <c r="X102">
        <f>IF(AND($F102&gt;0,NOT(O102),Flexing),FlexPC,0)</f>
        <v>0</v>
      </c>
      <c r="Y102">
        <f>IF(AND($F102&gt;0,NOT(P102),Flexing),FlexPC,0)</f>
        <v>0</v>
      </c>
      <c r="AA102" s="209">
        <f t="shared" si="3"/>
        <v>101</v>
      </c>
    </row>
    <row r="103" ht="15.75" customHeight="1">
      <c r="A103" s="206" t="str">
        <f>+Declarations!A103&amp;""</f>
        <v/>
      </c>
      <c r="B103" t="str">
        <f>IF(LEN($A103),IF(LEN(Declarations!$B103)&gt;0,Declarations!$B103,"#"&amp;$A103),"")</f>
        <v/>
      </c>
      <c r="C103" s="209" t="str">
        <f t="array" ref="C103">IF(LEN(INDEX(DECLARATIONS,$AA103,3))&gt;0,INDEX(DECLARATIONS,$AA103,3),"...")</f>
        <v>...</v>
      </c>
      <c r="D103" s="209" t="str">
        <f t="shared" si="1"/>
        <v/>
      </c>
      <c r="E103" s="296" t="str">
        <f t="array" ref="E103">IF(ISNA($AA103),0,INDEX(DECLARATIONS,$AA103,5))</f>
        <v/>
      </c>
      <c r="F103" s="209" t="str">
        <f t="array" ref="F103">IF(ISNA($AA103),0,INDEX(DECLARATIONS,$AA103,7))</f>
        <v/>
      </c>
      <c r="G103" s="209" t="str">
        <f t="array" ref="G103">UPPER(IF(ISNA($AA103),"",INDEX(DECLARATIONS,$AA103,4)))</f>
        <v/>
      </c>
      <c r="H103" t="str">
        <f>IF(AND(A103&gt;0,ISTEXT(B103)),IF(SECNAME="YES",LEFT(B103&amp;" ",FIND(" ",B103&amp;" ")+2)&amp;IF(F103&gt;0," ("&amp;F103&amp;")",""),B103&amp;IF(F103&gt;0," ("&amp;F103&amp;")","")),"#"&amp;$A103)</f>
        <v/>
      </c>
      <c r="I103" s="209">
        <f>IF(LEN($A103)&gt;0,IF(LEN($J103)&gt;0,MATCH(J103,MatchNames,0),EventIndex),0)</f>
        <v>0</v>
      </c>
      <c r="J103" s="209" t="str">
        <f>IF(LEN($A103)&gt;0,IF(LEN(Declarations!$F103)&gt;0,Declarations!$F103,conftype),"")</f>
        <v/>
      </c>
      <c r="M103" s="297">
        <f>IF(ISNA(VLOOKUP($A103,SprintData,2,FALSE)),0,VLOOKUP($A103,SprintData,2,FALSE))</f>
        <v>0</v>
      </c>
      <c r="N103" s="297">
        <f>IF(ISNA(VLOOKUP($A103,JumpData,2,FALSE)),0,VLOOKUP($A103,JumpData,2,FALSE))</f>
        <v>0</v>
      </c>
      <c r="O103" s="297">
        <f>IF(ISNA(VLOOKUP($A103,RunData,2,FALSE)),0,VLOOKUP($A103,RunData,2,FALSE))</f>
        <v>0</v>
      </c>
      <c r="P103" s="297">
        <f>IF(ISNA(VLOOKUP($A103,ThrowData,2,FALSE)),0,VLOOKUP($A103,ThrowData,2,FALSE))</f>
        <v>0</v>
      </c>
      <c r="Q103" s="298">
        <f>IF(ISNA(VLOOKUP($A103,SprintData,4,FALSE)),0,VLOOKUP($A103,SprintData,4,FALSE))+V103</f>
        <v>0</v>
      </c>
      <c r="R103" s="298">
        <f>IF(ISNA(VLOOKUP($A103,JumpData,4,FALSE)),0,VLOOKUP($A103,JumpData,4,FALSE))+W103</f>
        <v>0</v>
      </c>
      <c r="S103" s="298">
        <f>IF(ISNA(VLOOKUP($A103,RunData,4,FALSE)),0,VLOOKUP($A103,RunData,4,FALSE))+X103</f>
        <v>0</v>
      </c>
      <c r="T103" s="298">
        <f>IF(ISNA(VLOOKUP($A103,ThrowData,4,FALSE)),0,VLOOKUP($A103,ThrowData,4,FALSE))+Y103</f>
        <v>0</v>
      </c>
      <c r="U103" s="299">
        <f t="shared" si="2"/>
        <v>0</v>
      </c>
      <c r="V103">
        <f>IF(AND($F103&gt;0,NOT(M103),Flexing),FlexPC,0)</f>
        <v>0</v>
      </c>
      <c r="W103">
        <f>IF(AND($F103&gt;0,NOT(N103),Flexing),FlexPC,0)</f>
        <v>0</v>
      </c>
      <c r="X103">
        <f>IF(AND($F103&gt;0,NOT(O103),Flexing),FlexPC,0)</f>
        <v>0</v>
      </c>
      <c r="Y103">
        <f>IF(AND($F103&gt;0,NOT(P103),Flexing),FlexPC,0)</f>
        <v>0</v>
      </c>
      <c r="AA103" s="209">
        <f t="shared" si="3"/>
        <v>102</v>
      </c>
    </row>
    <row r="104" ht="15.75" customHeight="1">
      <c r="A104" s="206" t="str">
        <f>+Declarations!A104&amp;""</f>
        <v/>
      </c>
      <c r="B104" t="str">
        <f>IF(LEN($A104),IF(LEN(Declarations!$B104)&gt;0,Declarations!$B104,"#"&amp;$A104),"")</f>
        <v/>
      </c>
      <c r="C104" s="209" t="str">
        <f t="array" ref="C104">IF(LEN(INDEX(DECLARATIONS,$AA104,3))&gt;0,INDEX(DECLARATIONS,$AA104,3),"...")</f>
        <v>...</v>
      </c>
      <c r="D104" s="209" t="str">
        <f t="shared" si="1"/>
        <v/>
      </c>
      <c r="E104" s="296" t="str">
        <f t="array" ref="E104">IF(ISNA($AA104),0,INDEX(DECLARATIONS,$AA104,5))</f>
        <v/>
      </c>
      <c r="F104" s="209" t="str">
        <f t="array" ref="F104">IF(ISNA($AA104),0,INDEX(DECLARATIONS,$AA104,7))</f>
        <v/>
      </c>
      <c r="G104" s="209" t="str">
        <f t="array" ref="G104">UPPER(IF(ISNA($AA104),"",INDEX(DECLARATIONS,$AA104,4)))</f>
        <v/>
      </c>
      <c r="H104" t="str">
        <f>IF(AND(A104&gt;0,ISTEXT(B104)),IF(SECNAME="YES",LEFT(B104&amp;" ",FIND(" ",B104&amp;" ")+2)&amp;IF(F104&gt;0," ("&amp;F104&amp;")",""),B104&amp;IF(F104&gt;0," ("&amp;F104&amp;")","")),"#"&amp;$A104)</f>
        <v/>
      </c>
      <c r="I104" s="209">
        <f>IF(LEN($A104)&gt;0,IF(LEN($J104)&gt;0,MATCH(J104,MatchNames,0),EventIndex),0)</f>
        <v>0</v>
      </c>
      <c r="J104" s="209" t="str">
        <f>IF(LEN($A104)&gt;0,IF(LEN(Declarations!$F104)&gt;0,Declarations!$F104,conftype),"")</f>
        <v/>
      </c>
      <c r="M104" s="297">
        <f>IF(ISNA(VLOOKUP($A104,SprintData,2,FALSE)),0,VLOOKUP($A104,SprintData,2,FALSE))</f>
        <v>0</v>
      </c>
      <c r="N104" s="297">
        <f>IF(ISNA(VLOOKUP($A104,JumpData,2,FALSE)),0,VLOOKUP($A104,JumpData,2,FALSE))</f>
        <v>0</v>
      </c>
      <c r="O104" s="297">
        <f>IF(ISNA(VLOOKUP($A104,RunData,2,FALSE)),0,VLOOKUP($A104,RunData,2,FALSE))</f>
        <v>0</v>
      </c>
      <c r="P104" s="297">
        <f>IF(ISNA(VLOOKUP($A104,ThrowData,2,FALSE)),0,VLOOKUP($A104,ThrowData,2,FALSE))</f>
        <v>0</v>
      </c>
      <c r="Q104" s="298">
        <f>IF(ISNA(VLOOKUP($A104,SprintData,4,FALSE)),0,VLOOKUP($A104,SprintData,4,FALSE))+V104</f>
        <v>0</v>
      </c>
      <c r="R104" s="298">
        <f>IF(ISNA(VLOOKUP($A104,JumpData,4,FALSE)),0,VLOOKUP($A104,JumpData,4,FALSE))+W104</f>
        <v>0</v>
      </c>
      <c r="S104" s="298">
        <f>IF(ISNA(VLOOKUP($A104,RunData,4,FALSE)),0,VLOOKUP($A104,RunData,4,FALSE))+X104</f>
        <v>0</v>
      </c>
      <c r="T104" s="298">
        <f>IF(ISNA(VLOOKUP($A104,ThrowData,4,FALSE)),0,VLOOKUP($A104,ThrowData,4,FALSE))+Y104</f>
        <v>0</v>
      </c>
      <c r="U104" s="299">
        <f t="shared" si="2"/>
        <v>0</v>
      </c>
      <c r="V104">
        <f>IF(AND($F104&gt;0,NOT(M104),Flexing),FlexPC,0)</f>
        <v>0</v>
      </c>
      <c r="W104">
        <f>IF(AND($F104&gt;0,NOT(N104),Flexing),FlexPC,0)</f>
        <v>0</v>
      </c>
      <c r="X104">
        <f>IF(AND($F104&gt;0,NOT(O104),Flexing),FlexPC,0)</f>
        <v>0</v>
      </c>
      <c r="Y104">
        <f>IF(AND($F104&gt;0,NOT(P104),Flexing),FlexPC,0)</f>
        <v>0</v>
      </c>
      <c r="AA104" s="209">
        <f t="shared" si="3"/>
        <v>103</v>
      </c>
    </row>
    <row r="105" ht="15.75" customHeight="1">
      <c r="A105" s="206" t="str">
        <f>+Declarations!A105&amp;""</f>
        <v/>
      </c>
      <c r="B105" t="str">
        <f>IF(LEN($A105),IF(LEN(Declarations!$B105)&gt;0,Declarations!$B105,"#"&amp;$A105),"")</f>
        <v/>
      </c>
      <c r="C105" s="209" t="str">
        <f t="array" ref="C105">IF(LEN(INDEX(DECLARATIONS,$AA105,3))&gt;0,INDEX(DECLARATIONS,$AA105,3),"...")</f>
        <v>...</v>
      </c>
      <c r="D105" s="209" t="str">
        <f t="shared" si="1"/>
        <v/>
      </c>
      <c r="E105" s="296" t="str">
        <f t="array" ref="E105">IF(ISNA($AA105),0,INDEX(DECLARATIONS,$AA105,5))</f>
        <v/>
      </c>
      <c r="F105" s="209" t="str">
        <f t="array" ref="F105">IF(ISNA($AA105),0,INDEX(DECLARATIONS,$AA105,7))</f>
        <v/>
      </c>
      <c r="G105" s="209" t="str">
        <f t="array" ref="G105">UPPER(IF(ISNA($AA105),"",INDEX(DECLARATIONS,$AA105,4)))</f>
        <v/>
      </c>
      <c r="H105" t="str">
        <f>IF(AND(A105&gt;0,ISTEXT(B105)),IF(SECNAME="YES",LEFT(B105&amp;" ",FIND(" ",B105&amp;" ")+2)&amp;IF(F105&gt;0," ("&amp;F105&amp;")",""),B105&amp;IF(F105&gt;0," ("&amp;F105&amp;")","")),"#"&amp;$A105)</f>
        <v/>
      </c>
      <c r="I105" s="209">
        <f>IF(LEN($A105)&gt;0,IF(LEN($J105)&gt;0,MATCH(J105,MatchNames,0),EventIndex),0)</f>
        <v>0</v>
      </c>
      <c r="J105" s="209" t="str">
        <f>IF(LEN($A105)&gt;0,IF(LEN(Declarations!$F105)&gt;0,Declarations!$F105,conftype),"")</f>
        <v/>
      </c>
      <c r="M105" s="297">
        <f>IF(ISNA(VLOOKUP($A105,SprintData,2,FALSE)),0,VLOOKUP($A105,SprintData,2,FALSE))</f>
        <v>0</v>
      </c>
      <c r="N105" s="297">
        <f>IF(ISNA(VLOOKUP($A105,JumpData,2,FALSE)),0,VLOOKUP($A105,JumpData,2,FALSE))</f>
        <v>0</v>
      </c>
      <c r="O105" s="297">
        <f>IF(ISNA(VLOOKUP($A105,RunData,2,FALSE)),0,VLOOKUP($A105,RunData,2,FALSE))</f>
        <v>0</v>
      </c>
      <c r="P105" s="297">
        <f>IF(ISNA(VLOOKUP($A105,ThrowData,2,FALSE)),0,VLOOKUP($A105,ThrowData,2,FALSE))</f>
        <v>0</v>
      </c>
      <c r="Q105" s="298">
        <f>IF(ISNA(VLOOKUP($A105,SprintData,4,FALSE)),0,VLOOKUP($A105,SprintData,4,FALSE))+V105</f>
        <v>0</v>
      </c>
      <c r="R105" s="298">
        <f>IF(ISNA(VLOOKUP($A105,JumpData,4,FALSE)),0,VLOOKUP($A105,JumpData,4,FALSE))+W105</f>
        <v>0</v>
      </c>
      <c r="S105" s="298">
        <f>IF(ISNA(VLOOKUP($A105,RunData,4,FALSE)),0,VLOOKUP($A105,RunData,4,FALSE))+X105</f>
        <v>0</v>
      </c>
      <c r="T105" s="298">
        <f>IF(ISNA(VLOOKUP($A105,ThrowData,4,FALSE)),0,VLOOKUP($A105,ThrowData,4,FALSE))+Y105</f>
        <v>0</v>
      </c>
      <c r="U105" s="299">
        <f t="shared" si="2"/>
        <v>0</v>
      </c>
      <c r="V105">
        <f>IF(AND($F105&gt;0,NOT(M105),Flexing),FlexPC,0)</f>
        <v>0</v>
      </c>
      <c r="W105">
        <f>IF(AND($F105&gt;0,NOT(N105),Flexing),FlexPC,0)</f>
        <v>0</v>
      </c>
      <c r="X105">
        <f>IF(AND($F105&gt;0,NOT(O105),Flexing),FlexPC,0)</f>
        <v>0</v>
      </c>
      <c r="Y105">
        <f>IF(AND($F105&gt;0,NOT(P105),Flexing),FlexPC,0)</f>
        <v>0</v>
      </c>
      <c r="AA105" s="209">
        <f t="shared" si="3"/>
        <v>104</v>
      </c>
    </row>
    <row r="106" ht="15.75" customHeight="1">
      <c r="A106" s="206" t="str">
        <f>+Declarations!A106&amp;""</f>
        <v/>
      </c>
      <c r="B106" t="str">
        <f>IF(LEN($A106),IF(LEN(Declarations!$B106)&gt;0,Declarations!$B106,"#"&amp;$A106),"")</f>
        <v/>
      </c>
      <c r="C106" s="209" t="str">
        <f t="array" ref="C106">IF(LEN(INDEX(DECLARATIONS,$AA106,3))&gt;0,INDEX(DECLARATIONS,$AA106,3),"...")</f>
        <v>...</v>
      </c>
      <c r="D106" s="209" t="str">
        <f t="shared" si="1"/>
        <v/>
      </c>
      <c r="E106" s="296" t="str">
        <f t="array" ref="E106">IF(ISNA($AA106),0,INDEX(DECLARATIONS,$AA106,5))</f>
        <v/>
      </c>
      <c r="F106" s="209" t="str">
        <f t="array" ref="F106">IF(ISNA($AA106),0,INDEX(DECLARATIONS,$AA106,7))</f>
        <v/>
      </c>
      <c r="G106" s="209" t="str">
        <f t="array" ref="G106">UPPER(IF(ISNA($AA106),"",INDEX(DECLARATIONS,$AA106,4)))</f>
        <v/>
      </c>
      <c r="H106" t="str">
        <f>IF(AND(A106&gt;0,ISTEXT(B106)),IF(SECNAME="YES",LEFT(B106&amp;" ",FIND(" ",B106&amp;" ")+2)&amp;IF(F106&gt;0," ("&amp;F106&amp;")",""),B106&amp;IF(F106&gt;0," ("&amp;F106&amp;")","")),"#"&amp;$A106)</f>
        <v/>
      </c>
      <c r="I106" s="209">
        <f>IF(LEN($A106)&gt;0,IF(LEN($J106)&gt;0,MATCH(J106,MatchNames,0),EventIndex),0)</f>
        <v>0</v>
      </c>
      <c r="J106" s="209" t="str">
        <f>IF(LEN($A106)&gt;0,IF(LEN(Declarations!$F106)&gt;0,Declarations!$F106,conftype),"")</f>
        <v/>
      </c>
      <c r="M106" s="297">
        <f>IF(ISNA(VLOOKUP($A106,SprintData,2,FALSE)),0,VLOOKUP($A106,SprintData,2,FALSE))</f>
        <v>0</v>
      </c>
      <c r="N106" s="297">
        <f>IF(ISNA(VLOOKUP($A106,JumpData,2,FALSE)),0,VLOOKUP($A106,JumpData,2,FALSE))</f>
        <v>0</v>
      </c>
      <c r="O106" s="297">
        <f>IF(ISNA(VLOOKUP($A106,RunData,2,FALSE)),0,VLOOKUP($A106,RunData,2,FALSE))</f>
        <v>0</v>
      </c>
      <c r="P106" s="297">
        <f>IF(ISNA(VLOOKUP($A106,ThrowData,2,FALSE)),0,VLOOKUP($A106,ThrowData,2,FALSE))</f>
        <v>0</v>
      </c>
      <c r="Q106" s="298">
        <f>IF(ISNA(VLOOKUP($A106,SprintData,4,FALSE)),0,VLOOKUP($A106,SprintData,4,FALSE))+V106</f>
        <v>0</v>
      </c>
      <c r="R106" s="298">
        <f>IF(ISNA(VLOOKUP($A106,JumpData,4,FALSE)),0,VLOOKUP($A106,JumpData,4,FALSE))+W106</f>
        <v>0</v>
      </c>
      <c r="S106" s="298">
        <f>IF(ISNA(VLOOKUP($A106,RunData,4,FALSE)),0,VLOOKUP($A106,RunData,4,FALSE))+X106</f>
        <v>0</v>
      </c>
      <c r="T106" s="298">
        <f>IF(ISNA(VLOOKUP($A106,ThrowData,4,FALSE)),0,VLOOKUP($A106,ThrowData,4,FALSE))+Y106</f>
        <v>0</v>
      </c>
      <c r="U106" s="299">
        <f t="shared" si="2"/>
        <v>0</v>
      </c>
      <c r="V106">
        <f>IF(AND($F106&gt;0,NOT(M106),Flexing),FlexPC,0)</f>
        <v>0</v>
      </c>
      <c r="W106">
        <f>IF(AND($F106&gt;0,NOT(N106),Flexing),FlexPC,0)</f>
        <v>0</v>
      </c>
      <c r="X106">
        <f>IF(AND($F106&gt;0,NOT(O106),Flexing),FlexPC,0)</f>
        <v>0</v>
      </c>
      <c r="Y106">
        <f>IF(AND($F106&gt;0,NOT(P106),Flexing),FlexPC,0)</f>
        <v>0</v>
      </c>
      <c r="AA106" s="209">
        <f t="shared" si="3"/>
        <v>105</v>
      </c>
    </row>
    <row r="107" ht="15.75" customHeight="1">
      <c r="A107" s="206" t="str">
        <f>+Declarations!A107&amp;""</f>
        <v/>
      </c>
      <c r="B107" t="str">
        <f>IF(LEN($A107),IF(LEN(Declarations!$B107)&gt;0,Declarations!$B107,"#"&amp;$A107),"")</f>
        <v/>
      </c>
      <c r="C107" s="209" t="str">
        <f t="array" ref="C107">IF(LEN(INDEX(DECLARATIONS,$AA107,3))&gt;0,INDEX(DECLARATIONS,$AA107,3),"...")</f>
        <v>...</v>
      </c>
      <c r="D107" s="209" t="str">
        <f t="shared" si="1"/>
        <v/>
      </c>
      <c r="E107" s="296" t="str">
        <f t="array" ref="E107">IF(ISNA($AA107),0,INDEX(DECLARATIONS,$AA107,5))</f>
        <v/>
      </c>
      <c r="F107" s="209" t="str">
        <f t="array" ref="F107">IF(ISNA($AA107),0,INDEX(DECLARATIONS,$AA107,7))</f>
        <v/>
      </c>
      <c r="G107" s="209" t="str">
        <f t="array" ref="G107">UPPER(IF(ISNA($AA107),"",INDEX(DECLARATIONS,$AA107,4)))</f>
        <v/>
      </c>
      <c r="H107" t="str">
        <f>IF(AND(A107&gt;0,ISTEXT(B107)),IF(SECNAME="YES",LEFT(B107&amp;" ",FIND(" ",B107&amp;" ")+2)&amp;IF(F107&gt;0," ("&amp;F107&amp;")",""),B107&amp;IF(F107&gt;0," ("&amp;F107&amp;")","")),"#"&amp;$A107)</f>
        <v/>
      </c>
      <c r="I107" s="209">
        <f>IF(LEN($A107)&gt;0,IF(LEN($J107)&gt;0,MATCH(J107,MatchNames,0),EventIndex),0)</f>
        <v>0</v>
      </c>
      <c r="J107" s="209" t="str">
        <f>IF(LEN($A107)&gt;0,IF(LEN(Declarations!$F107)&gt;0,Declarations!$F107,conftype),"")</f>
        <v/>
      </c>
      <c r="M107" s="297">
        <f>IF(ISNA(VLOOKUP($A107,SprintData,2,FALSE)),0,VLOOKUP($A107,SprintData,2,FALSE))</f>
        <v>0</v>
      </c>
      <c r="N107" s="297">
        <f>IF(ISNA(VLOOKUP($A107,JumpData,2,FALSE)),0,VLOOKUP($A107,JumpData,2,FALSE))</f>
        <v>0</v>
      </c>
      <c r="O107" s="297">
        <f>IF(ISNA(VLOOKUP($A107,RunData,2,FALSE)),0,VLOOKUP($A107,RunData,2,FALSE))</f>
        <v>0</v>
      </c>
      <c r="P107" s="297">
        <f>IF(ISNA(VLOOKUP($A107,ThrowData,2,FALSE)),0,VLOOKUP($A107,ThrowData,2,FALSE))</f>
        <v>0</v>
      </c>
      <c r="Q107" s="298">
        <f>IF(ISNA(VLOOKUP($A107,SprintData,4,FALSE)),0,VLOOKUP($A107,SprintData,4,FALSE))+V107</f>
        <v>0</v>
      </c>
      <c r="R107" s="298">
        <f>IF(ISNA(VLOOKUP($A107,JumpData,4,FALSE)),0,VLOOKUP($A107,JumpData,4,FALSE))+W107</f>
        <v>0</v>
      </c>
      <c r="S107" s="298">
        <f>IF(ISNA(VLOOKUP($A107,RunData,4,FALSE)),0,VLOOKUP($A107,RunData,4,FALSE))+X107</f>
        <v>0</v>
      </c>
      <c r="T107" s="298">
        <f>IF(ISNA(VLOOKUP($A107,ThrowData,4,FALSE)),0,VLOOKUP($A107,ThrowData,4,FALSE))+Y107</f>
        <v>0</v>
      </c>
      <c r="U107" s="299">
        <f t="shared" si="2"/>
        <v>0</v>
      </c>
      <c r="V107">
        <f>IF(AND($F107&gt;0,NOT(M107),Flexing),FlexPC,0)</f>
        <v>0</v>
      </c>
      <c r="W107">
        <f>IF(AND($F107&gt;0,NOT(N107),Flexing),FlexPC,0)</f>
        <v>0</v>
      </c>
      <c r="X107">
        <f>IF(AND($F107&gt;0,NOT(O107),Flexing),FlexPC,0)</f>
        <v>0</v>
      </c>
      <c r="Y107">
        <f>IF(AND($F107&gt;0,NOT(P107),Flexing),FlexPC,0)</f>
        <v>0</v>
      </c>
      <c r="AA107" s="209">
        <f t="shared" si="3"/>
        <v>106</v>
      </c>
    </row>
    <row r="108" ht="15.75" customHeight="1">
      <c r="A108" s="206" t="str">
        <f>+Declarations!A108&amp;""</f>
        <v/>
      </c>
      <c r="B108" t="str">
        <f>IF(LEN($A108),IF(LEN(Declarations!$B108)&gt;0,Declarations!$B108,"#"&amp;$A108),"")</f>
        <v/>
      </c>
      <c r="C108" s="209" t="str">
        <f t="array" ref="C108">IF(LEN(INDEX(DECLARATIONS,$AA108,3))&gt;0,INDEX(DECLARATIONS,$AA108,3),"...")</f>
        <v>...</v>
      </c>
      <c r="D108" s="209" t="str">
        <f t="shared" si="1"/>
        <v/>
      </c>
      <c r="E108" s="296" t="str">
        <f t="array" ref="E108">IF(ISNA($AA108),0,INDEX(DECLARATIONS,$AA108,5))</f>
        <v/>
      </c>
      <c r="F108" s="209" t="str">
        <f t="array" ref="F108">IF(ISNA($AA108),0,INDEX(DECLARATIONS,$AA108,7))</f>
        <v/>
      </c>
      <c r="G108" s="209" t="str">
        <f t="array" ref="G108">UPPER(IF(ISNA($AA108),"",INDEX(DECLARATIONS,$AA108,4)))</f>
        <v/>
      </c>
      <c r="H108" t="str">
        <f>IF(AND(A108&gt;0,ISTEXT(B108)),IF(SECNAME="YES",LEFT(B108&amp;" ",FIND(" ",B108&amp;" ")+2)&amp;IF(F108&gt;0," ("&amp;F108&amp;")",""),B108&amp;IF(F108&gt;0," ("&amp;F108&amp;")","")),"#"&amp;$A108)</f>
        <v/>
      </c>
      <c r="I108" s="209">
        <f>IF(LEN($A108)&gt;0,IF(LEN($J108)&gt;0,MATCH(J108,MatchNames,0),EventIndex),0)</f>
        <v>0</v>
      </c>
      <c r="J108" s="209" t="str">
        <f>IF(LEN($A108)&gt;0,IF(LEN(Declarations!$F108)&gt;0,Declarations!$F108,conftype),"")</f>
        <v/>
      </c>
      <c r="M108" s="297">
        <f>IF(ISNA(VLOOKUP($A108,SprintData,2,FALSE)),0,VLOOKUP($A108,SprintData,2,FALSE))</f>
        <v>0</v>
      </c>
      <c r="N108" s="297">
        <f>IF(ISNA(VLOOKUP($A108,JumpData,2,FALSE)),0,VLOOKUP($A108,JumpData,2,FALSE))</f>
        <v>0</v>
      </c>
      <c r="O108" s="297">
        <f>IF(ISNA(VLOOKUP($A108,RunData,2,FALSE)),0,VLOOKUP($A108,RunData,2,FALSE))</f>
        <v>0</v>
      </c>
      <c r="P108" s="297">
        <f>IF(ISNA(VLOOKUP($A108,ThrowData,2,FALSE)),0,VLOOKUP($A108,ThrowData,2,FALSE))</f>
        <v>0</v>
      </c>
      <c r="Q108" s="298">
        <f>IF(ISNA(VLOOKUP($A108,SprintData,4,FALSE)),0,VLOOKUP($A108,SprintData,4,FALSE))+V108</f>
        <v>0</v>
      </c>
      <c r="R108" s="298">
        <f>IF(ISNA(VLOOKUP($A108,JumpData,4,FALSE)),0,VLOOKUP($A108,JumpData,4,FALSE))+W108</f>
        <v>0</v>
      </c>
      <c r="S108" s="298">
        <f>IF(ISNA(VLOOKUP($A108,RunData,4,FALSE)),0,VLOOKUP($A108,RunData,4,FALSE))+X108</f>
        <v>0</v>
      </c>
      <c r="T108" s="298">
        <f>IF(ISNA(VLOOKUP($A108,ThrowData,4,FALSE)),0,VLOOKUP($A108,ThrowData,4,FALSE))+Y108</f>
        <v>0</v>
      </c>
      <c r="U108" s="299">
        <f t="shared" si="2"/>
        <v>0</v>
      </c>
      <c r="V108">
        <f>IF(AND($F108&gt;0,NOT(M108),Flexing),FlexPC,0)</f>
        <v>0</v>
      </c>
      <c r="W108">
        <f>IF(AND($F108&gt;0,NOT(N108),Flexing),FlexPC,0)</f>
        <v>0</v>
      </c>
      <c r="X108">
        <f>IF(AND($F108&gt;0,NOT(O108),Flexing),FlexPC,0)</f>
        <v>0</v>
      </c>
      <c r="Y108">
        <f>IF(AND($F108&gt;0,NOT(P108),Flexing),FlexPC,0)</f>
        <v>0</v>
      </c>
      <c r="AA108" s="209">
        <f t="shared" si="3"/>
        <v>107</v>
      </c>
    </row>
    <row r="109" ht="15.75" customHeight="1">
      <c r="A109" s="206" t="str">
        <f>+Declarations!A109&amp;""</f>
        <v/>
      </c>
      <c r="B109" t="str">
        <f>IF(LEN($A109),IF(LEN(Declarations!$B109)&gt;0,Declarations!$B109,"#"&amp;$A109),"")</f>
        <v/>
      </c>
      <c r="C109" s="209" t="str">
        <f t="array" ref="C109">IF(LEN(INDEX(DECLARATIONS,$AA109,3))&gt;0,INDEX(DECLARATIONS,$AA109,3),"...")</f>
        <v>...</v>
      </c>
      <c r="D109" s="209" t="str">
        <f t="shared" si="1"/>
        <v/>
      </c>
      <c r="E109" s="296" t="str">
        <f t="array" ref="E109">IF(ISNA($AA109),0,INDEX(DECLARATIONS,$AA109,5))</f>
        <v/>
      </c>
      <c r="F109" s="209" t="str">
        <f t="array" ref="F109">IF(ISNA($AA109),0,INDEX(DECLARATIONS,$AA109,7))</f>
        <v/>
      </c>
      <c r="G109" s="209" t="str">
        <f t="array" ref="G109">UPPER(IF(ISNA($AA109),"",INDEX(DECLARATIONS,$AA109,4)))</f>
        <v/>
      </c>
      <c r="H109" t="str">
        <f>IF(AND(A109&gt;0,ISTEXT(B109)),IF(SECNAME="YES",LEFT(B109&amp;" ",FIND(" ",B109&amp;" ")+2)&amp;IF(F109&gt;0," ("&amp;F109&amp;")",""),B109&amp;IF(F109&gt;0," ("&amp;F109&amp;")","")),"#"&amp;$A109)</f>
        <v/>
      </c>
      <c r="I109" s="209">
        <f>IF(LEN($A109)&gt;0,IF(LEN($J109)&gt;0,MATCH(J109,MatchNames,0),EventIndex),0)</f>
        <v>0</v>
      </c>
      <c r="J109" s="209" t="str">
        <f>IF(LEN($A109)&gt;0,IF(LEN(Declarations!$F109)&gt;0,Declarations!$F109,conftype),"")</f>
        <v/>
      </c>
      <c r="M109" s="297">
        <f>IF(ISNA(VLOOKUP($A109,SprintData,2,FALSE)),0,VLOOKUP($A109,SprintData,2,FALSE))</f>
        <v>0</v>
      </c>
      <c r="N109" s="297">
        <f>IF(ISNA(VLOOKUP($A109,JumpData,2,FALSE)),0,VLOOKUP($A109,JumpData,2,FALSE))</f>
        <v>0</v>
      </c>
      <c r="O109" s="297">
        <f>IF(ISNA(VLOOKUP($A109,RunData,2,FALSE)),0,VLOOKUP($A109,RunData,2,FALSE))</f>
        <v>0</v>
      </c>
      <c r="P109" s="297">
        <f>IF(ISNA(VLOOKUP($A109,ThrowData,2,FALSE)),0,VLOOKUP($A109,ThrowData,2,FALSE))</f>
        <v>0</v>
      </c>
      <c r="Q109" s="298">
        <f>IF(ISNA(VLOOKUP($A109,SprintData,4,FALSE)),0,VLOOKUP($A109,SprintData,4,FALSE))+V109</f>
        <v>0</v>
      </c>
      <c r="R109" s="298">
        <f>IF(ISNA(VLOOKUP($A109,JumpData,4,FALSE)),0,VLOOKUP($A109,JumpData,4,FALSE))+W109</f>
        <v>0</v>
      </c>
      <c r="S109" s="298">
        <f>IF(ISNA(VLOOKUP($A109,RunData,4,FALSE)),0,VLOOKUP($A109,RunData,4,FALSE))+X109</f>
        <v>0</v>
      </c>
      <c r="T109" s="298">
        <f>IF(ISNA(VLOOKUP($A109,ThrowData,4,FALSE)),0,VLOOKUP($A109,ThrowData,4,FALSE))+Y109</f>
        <v>0</v>
      </c>
      <c r="U109" s="299">
        <f t="shared" si="2"/>
        <v>0</v>
      </c>
      <c r="V109">
        <f>IF(AND($F109&gt;0,NOT(M109),Flexing),FlexPC,0)</f>
        <v>0</v>
      </c>
      <c r="W109">
        <f>IF(AND($F109&gt;0,NOT(N109),Flexing),FlexPC,0)</f>
        <v>0</v>
      </c>
      <c r="X109">
        <f>IF(AND($F109&gt;0,NOT(O109),Flexing),FlexPC,0)</f>
        <v>0</v>
      </c>
      <c r="Y109">
        <f>IF(AND($F109&gt;0,NOT(P109),Flexing),FlexPC,0)</f>
        <v>0</v>
      </c>
      <c r="AA109" s="209">
        <f t="shared" si="3"/>
        <v>108</v>
      </c>
    </row>
    <row r="110" ht="15.75" customHeight="1">
      <c r="A110" s="206" t="str">
        <f>+Declarations!A110&amp;""</f>
        <v/>
      </c>
      <c r="B110" t="str">
        <f>IF(LEN($A110),IF(LEN(Declarations!$B110)&gt;0,Declarations!$B110,"#"&amp;$A110),"")</f>
        <v/>
      </c>
      <c r="C110" s="209" t="str">
        <f t="array" ref="C110">IF(LEN(INDEX(DECLARATIONS,$AA110,3))&gt;0,INDEX(DECLARATIONS,$AA110,3),"...")</f>
        <v>...</v>
      </c>
      <c r="D110" s="209" t="str">
        <f t="shared" si="1"/>
        <v/>
      </c>
      <c r="E110" s="296" t="str">
        <f t="array" ref="E110">IF(ISNA($AA110),0,INDEX(DECLARATIONS,$AA110,5))</f>
        <v/>
      </c>
      <c r="F110" s="209" t="str">
        <f t="array" ref="F110">IF(ISNA($AA110),0,INDEX(DECLARATIONS,$AA110,7))</f>
        <v/>
      </c>
      <c r="G110" s="209" t="str">
        <f t="array" ref="G110">UPPER(IF(ISNA($AA110),"",INDEX(DECLARATIONS,$AA110,4)))</f>
        <v/>
      </c>
      <c r="H110" t="str">
        <f>IF(AND(A110&gt;0,ISTEXT(B110)),IF(SECNAME="YES",LEFT(B110&amp;" ",FIND(" ",B110&amp;" ")+2)&amp;IF(F110&gt;0," ("&amp;F110&amp;")",""),B110&amp;IF(F110&gt;0," ("&amp;F110&amp;")","")),"#"&amp;$A110)</f>
        <v/>
      </c>
      <c r="I110" s="209">
        <f>IF(LEN($A110)&gt;0,IF(LEN($J110)&gt;0,MATCH(J110,MatchNames,0),EventIndex),0)</f>
        <v>0</v>
      </c>
      <c r="J110" s="209" t="str">
        <f>IF(LEN($A110)&gt;0,IF(LEN(Declarations!$F110)&gt;0,Declarations!$F110,conftype),"")</f>
        <v/>
      </c>
      <c r="M110" s="297">
        <f>IF(ISNA(VLOOKUP($A110,SprintData,2,FALSE)),0,VLOOKUP($A110,SprintData,2,FALSE))</f>
        <v>0</v>
      </c>
      <c r="N110" s="297">
        <f>IF(ISNA(VLOOKUP($A110,JumpData,2,FALSE)),0,VLOOKUP($A110,JumpData,2,FALSE))</f>
        <v>0</v>
      </c>
      <c r="O110" s="297">
        <f>IF(ISNA(VLOOKUP($A110,RunData,2,FALSE)),0,VLOOKUP($A110,RunData,2,FALSE))</f>
        <v>0</v>
      </c>
      <c r="P110" s="297">
        <f>IF(ISNA(VLOOKUP($A110,ThrowData,2,FALSE)),0,VLOOKUP($A110,ThrowData,2,FALSE))</f>
        <v>0</v>
      </c>
      <c r="Q110" s="298">
        <f>IF(ISNA(VLOOKUP($A110,SprintData,4,FALSE)),0,VLOOKUP($A110,SprintData,4,FALSE))+V110</f>
        <v>0</v>
      </c>
      <c r="R110" s="298">
        <f>IF(ISNA(VLOOKUP($A110,JumpData,4,FALSE)),0,VLOOKUP($A110,JumpData,4,FALSE))+W110</f>
        <v>0</v>
      </c>
      <c r="S110" s="298">
        <f>IF(ISNA(VLOOKUP($A110,RunData,4,FALSE)),0,VLOOKUP($A110,RunData,4,FALSE))+X110</f>
        <v>0</v>
      </c>
      <c r="T110" s="298">
        <f>IF(ISNA(VLOOKUP($A110,ThrowData,4,FALSE)),0,VLOOKUP($A110,ThrowData,4,FALSE))+Y110</f>
        <v>0</v>
      </c>
      <c r="U110" s="299">
        <f t="shared" si="2"/>
        <v>0</v>
      </c>
      <c r="V110">
        <f>IF(AND($F110&gt;0,NOT(M110),Flexing),FlexPC,0)</f>
        <v>0</v>
      </c>
      <c r="W110">
        <f>IF(AND($F110&gt;0,NOT(N110),Flexing),FlexPC,0)</f>
        <v>0</v>
      </c>
      <c r="X110">
        <f>IF(AND($F110&gt;0,NOT(O110),Flexing),FlexPC,0)</f>
        <v>0</v>
      </c>
      <c r="Y110">
        <f>IF(AND($F110&gt;0,NOT(P110),Flexing),FlexPC,0)</f>
        <v>0</v>
      </c>
      <c r="AA110" s="209">
        <f t="shared" si="3"/>
        <v>109</v>
      </c>
    </row>
    <row r="111" ht="15.75" customHeight="1">
      <c r="A111" s="206" t="str">
        <f>+Declarations!A111&amp;""</f>
        <v/>
      </c>
      <c r="B111" t="str">
        <f>IF(LEN($A111),IF(LEN(Declarations!$B111)&gt;0,Declarations!$B111,"#"&amp;$A111),"")</f>
        <v/>
      </c>
      <c r="C111" s="209" t="str">
        <f t="array" ref="C111">IF(LEN(INDEX(DECLARATIONS,$AA111,3))&gt;0,INDEX(DECLARATIONS,$AA111,3),"...")</f>
        <v>...</v>
      </c>
      <c r="D111" s="209" t="str">
        <f t="shared" si="1"/>
        <v/>
      </c>
      <c r="E111" s="296" t="str">
        <f t="array" ref="E111">IF(ISNA($AA111),0,INDEX(DECLARATIONS,$AA111,5))</f>
        <v/>
      </c>
      <c r="F111" s="209" t="str">
        <f t="array" ref="F111">IF(ISNA($AA111),0,INDEX(DECLARATIONS,$AA111,7))</f>
        <v/>
      </c>
      <c r="G111" s="209" t="str">
        <f t="array" ref="G111">UPPER(IF(ISNA($AA111),"",INDEX(DECLARATIONS,$AA111,4)))</f>
        <v/>
      </c>
      <c r="H111" t="str">
        <f>IF(AND(A111&gt;0,ISTEXT(B111)),IF(SECNAME="YES",LEFT(B111&amp;" ",FIND(" ",B111&amp;" ")+2)&amp;IF(F111&gt;0," ("&amp;F111&amp;")",""),B111&amp;IF(F111&gt;0," ("&amp;F111&amp;")","")),"#"&amp;$A111)</f>
        <v/>
      </c>
      <c r="I111" s="209">
        <f>IF(LEN($A111)&gt;0,IF(LEN($J111)&gt;0,MATCH(J111,MatchNames,0),EventIndex),0)</f>
        <v>0</v>
      </c>
      <c r="J111" s="209" t="str">
        <f>IF(LEN($A111)&gt;0,IF(LEN(Declarations!$F111)&gt;0,Declarations!$F111,conftype),"")</f>
        <v/>
      </c>
      <c r="M111" s="297">
        <f>IF(ISNA(VLOOKUP($A111,SprintData,2,FALSE)),0,VLOOKUP($A111,SprintData,2,FALSE))</f>
        <v>0</v>
      </c>
      <c r="N111" s="297">
        <f>IF(ISNA(VLOOKUP($A111,JumpData,2,FALSE)),0,VLOOKUP($A111,JumpData,2,FALSE))</f>
        <v>0</v>
      </c>
      <c r="O111" s="297">
        <f>IF(ISNA(VLOOKUP($A111,RunData,2,FALSE)),0,VLOOKUP($A111,RunData,2,FALSE))</f>
        <v>0</v>
      </c>
      <c r="P111" s="297">
        <f>IF(ISNA(VLOOKUP($A111,ThrowData,2,FALSE)),0,VLOOKUP($A111,ThrowData,2,FALSE))</f>
        <v>0</v>
      </c>
      <c r="Q111" s="298">
        <f>IF(ISNA(VLOOKUP($A111,SprintData,4,FALSE)),0,VLOOKUP($A111,SprintData,4,FALSE))+V111</f>
        <v>0</v>
      </c>
      <c r="R111" s="298">
        <f>IF(ISNA(VLOOKUP($A111,JumpData,4,FALSE)),0,VLOOKUP($A111,JumpData,4,FALSE))+W111</f>
        <v>0</v>
      </c>
      <c r="S111" s="298">
        <f>IF(ISNA(VLOOKUP($A111,RunData,4,FALSE)),0,VLOOKUP($A111,RunData,4,FALSE))+X111</f>
        <v>0</v>
      </c>
      <c r="T111" s="298">
        <f>IF(ISNA(VLOOKUP($A111,ThrowData,4,FALSE)),0,VLOOKUP($A111,ThrowData,4,FALSE))+Y111</f>
        <v>0</v>
      </c>
      <c r="U111" s="299">
        <f t="shared" si="2"/>
        <v>0</v>
      </c>
      <c r="V111">
        <f>IF(AND($F111&gt;0,NOT(M111),Flexing),FlexPC,0)</f>
        <v>0</v>
      </c>
      <c r="W111">
        <f>IF(AND($F111&gt;0,NOT(N111),Flexing),FlexPC,0)</f>
        <v>0</v>
      </c>
      <c r="X111">
        <f>IF(AND($F111&gt;0,NOT(O111),Flexing),FlexPC,0)</f>
        <v>0</v>
      </c>
      <c r="Y111">
        <f>IF(AND($F111&gt;0,NOT(P111),Flexing),FlexPC,0)</f>
        <v>0</v>
      </c>
      <c r="AA111" s="209">
        <f t="shared" si="3"/>
        <v>110</v>
      </c>
    </row>
    <row r="112" ht="15.75" customHeight="1">
      <c r="A112" s="206" t="str">
        <f>+Declarations!A112&amp;""</f>
        <v/>
      </c>
      <c r="B112" t="str">
        <f>IF(LEN($A112),IF(LEN(Declarations!$B112)&gt;0,Declarations!$B112,"#"&amp;$A112),"")</f>
        <v/>
      </c>
      <c r="C112" s="209" t="str">
        <f t="array" ref="C112">IF(LEN(INDEX(DECLARATIONS,$AA112,3))&gt;0,INDEX(DECLARATIONS,$AA112,3),"...")</f>
        <v>...</v>
      </c>
      <c r="D112" s="209" t="str">
        <f t="shared" si="1"/>
        <v/>
      </c>
      <c r="E112" s="296" t="str">
        <f t="array" ref="E112">IF(ISNA($AA112),0,INDEX(DECLARATIONS,$AA112,5))</f>
        <v/>
      </c>
      <c r="F112" s="209" t="str">
        <f t="array" ref="F112">IF(ISNA($AA112),0,INDEX(DECLARATIONS,$AA112,7))</f>
        <v/>
      </c>
      <c r="G112" s="209" t="str">
        <f t="array" ref="G112">UPPER(IF(ISNA($AA112),"",INDEX(DECLARATIONS,$AA112,4)))</f>
        <v/>
      </c>
      <c r="H112" t="str">
        <f>IF(AND(A112&gt;0,ISTEXT(B112)),IF(SECNAME="YES",LEFT(B112&amp;" ",FIND(" ",B112&amp;" ")+2)&amp;IF(F112&gt;0," ("&amp;F112&amp;")",""),B112&amp;IF(F112&gt;0," ("&amp;F112&amp;")","")),"#"&amp;$A112)</f>
        <v/>
      </c>
      <c r="I112" s="209">
        <f>IF(LEN($A112)&gt;0,IF(LEN($J112)&gt;0,MATCH(J112,MatchNames,0),EventIndex),0)</f>
        <v>0</v>
      </c>
      <c r="J112" s="209" t="str">
        <f>IF(LEN($A112)&gt;0,IF(LEN(Declarations!$F112)&gt;0,Declarations!$F112,conftype),"")</f>
        <v/>
      </c>
      <c r="M112" s="297">
        <f>IF(ISNA(VLOOKUP($A112,SprintData,2,FALSE)),0,VLOOKUP($A112,SprintData,2,FALSE))</f>
        <v>0</v>
      </c>
      <c r="N112" s="297">
        <f>IF(ISNA(VLOOKUP($A112,JumpData,2,FALSE)),0,VLOOKUP($A112,JumpData,2,FALSE))</f>
        <v>0</v>
      </c>
      <c r="O112" s="297">
        <f>IF(ISNA(VLOOKUP($A112,RunData,2,FALSE)),0,VLOOKUP($A112,RunData,2,FALSE))</f>
        <v>0</v>
      </c>
      <c r="P112" s="297">
        <f>IF(ISNA(VLOOKUP($A112,ThrowData,2,FALSE)),0,VLOOKUP($A112,ThrowData,2,FALSE))</f>
        <v>0</v>
      </c>
      <c r="Q112" s="298">
        <f>IF(ISNA(VLOOKUP($A112,SprintData,4,FALSE)),0,VLOOKUP($A112,SprintData,4,FALSE))+V112</f>
        <v>0</v>
      </c>
      <c r="R112" s="298">
        <f>IF(ISNA(VLOOKUP($A112,JumpData,4,FALSE)),0,VLOOKUP($A112,JumpData,4,FALSE))+W112</f>
        <v>0</v>
      </c>
      <c r="S112" s="298">
        <f>IF(ISNA(VLOOKUP($A112,RunData,4,FALSE)),0,VLOOKUP($A112,RunData,4,FALSE))+X112</f>
        <v>0</v>
      </c>
      <c r="T112" s="298">
        <f>IF(ISNA(VLOOKUP($A112,ThrowData,4,FALSE)),0,VLOOKUP($A112,ThrowData,4,FALSE))+Y112</f>
        <v>0</v>
      </c>
      <c r="U112" s="299">
        <f t="shared" si="2"/>
        <v>0</v>
      </c>
      <c r="V112">
        <f>IF(AND($F112&gt;0,NOT(M112),Flexing),FlexPC,0)</f>
        <v>0</v>
      </c>
      <c r="W112">
        <f>IF(AND($F112&gt;0,NOT(N112),Flexing),FlexPC,0)</f>
        <v>0</v>
      </c>
      <c r="X112">
        <f>IF(AND($F112&gt;0,NOT(O112),Flexing),FlexPC,0)</f>
        <v>0</v>
      </c>
      <c r="Y112">
        <f>IF(AND($F112&gt;0,NOT(P112),Flexing),FlexPC,0)</f>
        <v>0</v>
      </c>
      <c r="AA112" s="209">
        <f t="shared" si="3"/>
        <v>111</v>
      </c>
    </row>
    <row r="113" ht="15.75" customHeight="1">
      <c r="A113" s="206" t="str">
        <f>+Declarations!A113&amp;""</f>
        <v/>
      </c>
      <c r="B113" t="str">
        <f>IF(LEN($A113),IF(LEN(Declarations!$B113)&gt;0,Declarations!$B113,"#"&amp;$A113),"")</f>
        <v/>
      </c>
      <c r="C113" s="209" t="str">
        <f t="array" ref="C113">IF(LEN(INDEX(DECLARATIONS,$AA113,3))&gt;0,INDEX(DECLARATIONS,$AA113,3),"...")</f>
        <v>...</v>
      </c>
      <c r="D113" s="209" t="str">
        <f t="shared" si="1"/>
        <v/>
      </c>
      <c r="E113" s="296" t="str">
        <f t="array" ref="E113">IF(ISNA($AA113),0,INDEX(DECLARATIONS,$AA113,5))</f>
        <v/>
      </c>
      <c r="F113" s="209" t="str">
        <f t="array" ref="F113">IF(ISNA($AA113),0,INDEX(DECLARATIONS,$AA113,7))</f>
        <v/>
      </c>
      <c r="G113" s="209" t="str">
        <f t="array" ref="G113">UPPER(IF(ISNA($AA113),"",INDEX(DECLARATIONS,$AA113,4)))</f>
        <v/>
      </c>
      <c r="H113" t="str">
        <f>IF(AND(A113&gt;0,ISTEXT(B113)),IF(SECNAME="YES",LEFT(B113&amp;" ",FIND(" ",B113&amp;" ")+2)&amp;IF(F113&gt;0," ("&amp;F113&amp;")",""),B113&amp;IF(F113&gt;0," ("&amp;F113&amp;")","")),"#"&amp;$A113)</f>
        <v/>
      </c>
      <c r="I113" s="209">
        <f>IF(LEN($A113)&gt;0,IF(LEN($J113)&gt;0,MATCH(J113,MatchNames,0),EventIndex),0)</f>
        <v>0</v>
      </c>
      <c r="J113" s="209" t="str">
        <f>IF(LEN($A113)&gt;0,IF(LEN(Declarations!$F113)&gt;0,Declarations!$F113,conftype),"")</f>
        <v/>
      </c>
      <c r="M113" s="297">
        <f>IF(ISNA(VLOOKUP($A113,SprintData,2,FALSE)),0,VLOOKUP($A113,SprintData,2,FALSE))</f>
        <v>0</v>
      </c>
      <c r="N113" s="297">
        <f>IF(ISNA(VLOOKUP($A113,JumpData,2,FALSE)),0,VLOOKUP($A113,JumpData,2,FALSE))</f>
        <v>0</v>
      </c>
      <c r="O113" s="297">
        <f>IF(ISNA(VLOOKUP($A113,RunData,2,FALSE)),0,VLOOKUP($A113,RunData,2,FALSE))</f>
        <v>0</v>
      </c>
      <c r="P113" s="297">
        <f>IF(ISNA(VLOOKUP($A113,ThrowData,2,FALSE)),0,VLOOKUP($A113,ThrowData,2,FALSE))</f>
        <v>0</v>
      </c>
      <c r="Q113" s="298">
        <f>IF(ISNA(VLOOKUP($A113,SprintData,4,FALSE)),0,VLOOKUP($A113,SprintData,4,FALSE))+V113</f>
        <v>0</v>
      </c>
      <c r="R113" s="298">
        <f>IF(ISNA(VLOOKUP($A113,JumpData,4,FALSE)),0,VLOOKUP($A113,JumpData,4,FALSE))+W113</f>
        <v>0</v>
      </c>
      <c r="S113" s="298">
        <f>IF(ISNA(VLOOKUP($A113,RunData,4,FALSE)),0,VLOOKUP($A113,RunData,4,FALSE))+X113</f>
        <v>0</v>
      </c>
      <c r="T113" s="298">
        <f>IF(ISNA(VLOOKUP($A113,ThrowData,4,FALSE)),0,VLOOKUP($A113,ThrowData,4,FALSE))+Y113</f>
        <v>0</v>
      </c>
      <c r="U113" s="299">
        <f t="shared" si="2"/>
        <v>0</v>
      </c>
      <c r="V113">
        <f>IF(AND($F113&gt;0,NOT(M113),Flexing),FlexPC,0)</f>
        <v>0</v>
      </c>
      <c r="W113">
        <f>IF(AND($F113&gt;0,NOT(N113),Flexing),FlexPC,0)</f>
        <v>0</v>
      </c>
      <c r="X113">
        <f>IF(AND($F113&gt;0,NOT(O113),Flexing),FlexPC,0)</f>
        <v>0</v>
      </c>
      <c r="Y113">
        <f>IF(AND($F113&gt;0,NOT(P113),Flexing),FlexPC,0)</f>
        <v>0</v>
      </c>
      <c r="AA113" s="209">
        <f t="shared" si="3"/>
        <v>112</v>
      </c>
    </row>
    <row r="114" ht="15.75" customHeight="1">
      <c r="A114" s="206" t="str">
        <f>+Declarations!A114&amp;""</f>
        <v/>
      </c>
      <c r="B114" t="str">
        <f>IF(LEN($A114),IF(LEN(Declarations!$B114)&gt;0,Declarations!$B114,"#"&amp;$A114),"")</f>
        <v/>
      </c>
      <c r="C114" s="209" t="str">
        <f t="array" ref="C114">IF(LEN(INDEX(DECLARATIONS,$AA114,3))&gt;0,INDEX(DECLARATIONS,$AA114,3),"...")</f>
        <v>...</v>
      </c>
      <c r="D114" s="209" t="str">
        <f t="shared" si="1"/>
        <v/>
      </c>
      <c r="E114" s="296" t="str">
        <f t="array" ref="E114">IF(ISNA($AA114),0,INDEX(DECLARATIONS,$AA114,5))</f>
        <v/>
      </c>
      <c r="F114" s="209" t="str">
        <f t="array" ref="F114">IF(ISNA($AA114),0,INDEX(DECLARATIONS,$AA114,7))</f>
        <v/>
      </c>
      <c r="G114" s="209" t="str">
        <f t="array" ref="G114">UPPER(IF(ISNA($AA114),"",INDEX(DECLARATIONS,$AA114,4)))</f>
        <v/>
      </c>
      <c r="H114" t="str">
        <f>IF(AND(A114&gt;0,ISTEXT(B114)),IF(SECNAME="YES",LEFT(B114&amp;" ",FIND(" ",B114&amp;" ")+2)&amp;IF(F114&gt;0," ("&amp;F114&amp;")",""),B114&amp;IF(F114&gt;0," ("&amp;F114&amp;")","")),"#"&amp;$A114)</f>
        <v/>
      </c>
      <c r="I114" s="209">
        <f>IF(LEN($A114)&gt;0,IF(LEN($J114)&gt;0,MATCH(J114,MatchNames,0),EventIndex),0)</f>
        <v>0</v>
      </c>
      <c r="J114" s="209" t="str">
        <f>IF(LEN($A114)&gt;0,IF(LEN(Declarations!$F114)&gt;0,Declarations!$F114,conftype),"")</f>
        <v/>
      </c>
      <c r="M114" s="297">
        <f>IF(ISNA(VLOOKUP($A114,SprintData,2,FALSE)),0,VLOOKUP($A114,SprintData,2,FALSE))</f>
        <v>0</v>
      </c>
      <c r="N114" s="297">
        <f>IF(ISNA(VLOOKUP($A114,JumpData,2,FALSE)),0,VLOOKUP($A114,JumpData,2,FALSE))</f>
        <v>0</v>
      </c>
      <c r="O114" s="297">
        <f>IF(ISNA(VLOOKUP($A114,RunData,2,FALSE)),0,VLOOKUP($A114,RunData,2,FALSE))</f>
        <v>0</v>
      </c>
      <c r="P114" s="297">
        <f>IF(ISNA(VLOOKUP($A114,ThrowData,2,FALSE)),0,VLOOKUP($A114,ThrowData,2,FALSE))</f>
        <v>0</v>
      </c>
      <c r="Q114" s="298">
        <f>IF(ISNA(VLOOKUP($A114,SprintData,4,FALSE)),0,VLOOKUP($A114,SprintData,4,FALSE))+V114</f>
        <v>0</v>
      </c>
      <c r="R114" s="298">
        <f>IF(ISNA(VLOOKUP($A114,JumpData,4,FALSE)),0,VLOOKUP($A114,JumpData,4,FALSE))+W114</f>
        <v>0</v>
      </c>
      <c r="S114" s="298">
        <f>IF(ISNA(VLOOKUP($A114,RunData,4,FALSE)),0,VLOOKUP($A114,RunData,4,FALSE))+X114</f>
        <v>0</v>
      </c>
      <c r="T114" s="298">
        <f>IF(ISNA(VLOOKUP($A114,ThrowData,4,FALSE)),0,VLOOKUP($A114,ThrowData,4,FALSE))+Y114</f>
        <v>0</v>
      </c>
      <c r="U114" s="299">
        <f t="shared" si="2"/>
        <v>0</v>
      </c>
      <c r="V114">
        <f>IF(AND($F114&gt;0,NOT(M114),Flexing),FlexPC,0)</f>
        <v>0</v>
      </c>
      <c r="W114">
        <f>IF(AND($F114&gt;0,NOT(N114),Flexing),FlexPC,0)</f>
        <v>0</v>
      </c>
      <c r="X114">
        <f>IF(AND($F114&gt;0,NOT(O114),Flexing),FlexPC,0)</f>
        <v>0</v>
      </c>
      <c r="Y114">
        <f>IF(AND($F114&gt;0,NOT(P114),Flexing),FlexPC,0)</f>
        <v>0</v>
      </c>
      <c r="AA114" s="209">
        <f t="shared" si="3"/>
        <v>113</v>
      </c>
    </row>
    <row r="115" ht="15.75" customHeight="1">
      <c r="A115" s="206" t="str">
        <f>+Declarations!A115&amp;""</f>
        <v/>
      </c>
      <c r="B115" t="str">
        <f>IF(LEN($A115),IF(LEN(Declarations!$B115)&gt;0,Declarations!$B115,"#"&amp;$A115),"")</f>
        <v/>
      </c>
      <c r="C115" s="209" t="str">
        <f t="array" ref="C115">IF(LEN(INDEX(DECLARATIONS,$AA115,3))&gt;0,INDEX(DECLARATIONS,$AA115,3),"...")</f>
        <v>...</v>
      </c>
      <c r="D115" s="209" t="str">
        <f t="shared" si="1"/>
        <v/>
      </c>
      <c r="E115" s="296" t="str">
        <f t="array" ref="E115">IF(ISNA($AA115),0,INDEX(DECLARATIONS,$AA115,5))</f>
        <v/>
      </c>
      <c r="F115" s="209" t="str">
        <f t="array" ref="F115">IF(ISNA($AA115),0,INDEX(DECLARATIONS,$AA115,7))</f>
        <v/>
      </c>
      <c r="G115" s="209" t="str">
        <f t="array" ref="G115">UPPER(IF(ISNA($AA115),"",INDEX(DECLARATIONS,$AA115,4)))</f>
        <v/>
      </c>
      <c r="H115" t="str">
        <f>IF(AND(A115&gt;0,ISTEXT(B115)),IF(SECNAME="YES",LEFT(B115&amp;" ",FIND(" ",B115&amp;" ")+2)&amp;IF(F115&gt;0," ("&amp;F115&amp;")",""),B115&amp;IF(F115&gt;0," ("&amp;F115&amp;")","")),"#"&amp;$A115)</f>
        <v/>
      </c>
      <c r="I115" s="209">
        <f>IF(LEN($A115)&gt;0,IF(LEN($J115)&gt;0,MATCH(J115,MatchNames,0),EventIndex),0)</f>
        <v>0</v>
      </c>
      <c r="J115" s="209" t="str">
        <f>IF(LEN($A115)&gt;0,IF(LEN(Declarations!$F115)&gt;0,Declarations!$F115,conftype),"")</f>
        <v/>
      </c>
      <c r="M115" s="297">
        <f>IF(ISNA(VLOOKUP($A115,SprintData,2,FALSE)),0,VLOOKUP($A115,SprintData,2,FALSE))</f>
        <v>0</v>
      </c>
      <c r="N115" s="297">
        <f>IF(ISNA(VLOOKUP($A115,JumpData,2,FALSE)),0,VLOOKUP($A115,JumpData,2,FALSE))</f>
        <v>0</v>
      </c>
      <c r="O115" s="297">
        <f>IF(ISNA(VLOOKUP($A115,RunData,2,FALSE)),0,VLOOKUP($A115,RunData,2,FALSE))</f>
        <v>0</v>
      </c>
      <c r="P115" s="297">
        <f>IF(ISNA(VLOOKUP($A115,ThrowData,2,FALSE)),0,VLOOKUP($A115,ThrowData,2,FALSE))</f>
        <v>0</v>
      </c>
      <c r="Q115" s="298">
        <f>IF(ISNA(VLOOKUP($A115,SprintData,4,FALSE)),0,VLOOKUP($A115,SprintData,4,FALSE))+V115</f>
        <v>0</v>
      </c>
      <c r="R115" s="298">
        <f>IF(ISNA(VLOOKUP($A115,JumpData,4,FALSE)),0,VLOOKUP($A115,JumpData,4,FALSE))+W115</f>
        <v>0</v>
      </c>
      <c r="S115" s="298">
        <f>IF(ISNA(VLOOKUP($A115,RunData,4,FALSE)),0,VLOOKUP($A115,RunData,4,FALSE))+X115</f>
        <v>0</v>
      </c>
      <c r="T115" s="298">
        <f>IF(ISNA(VLOOKUP($A115,ThrowData,4,FALSE)),0,VLOOKUP($A115,ThrowData,4,FALSE))+Y115</f>
        <v>0</v>
      </c>
      <c r="U115" s="299">
        <f t="shared" si="2"/>
        <v>0</v>
      </c>
      <c r="V115">
        <f>IF(AND($F115&gt;0,NOT(M115),Flexing),FlexPC,0)</f>
        <v>0</v>
      </c>
      <c r="W115">
        <f>IF(AND($F115&gt;0,NOT(N115),Flexing),FlexPC,0)</f>
        <v>0</v>
      </c>
      <c r="X115">
        <f>IF(AND($F115&gt;0,NOT(O115),Flexing),FlexPC,0)</f>
        <v>0</v>
      </c>
      <c r="Y115">
        <f>IF(AND($F115&gt;0,NOT(P115),Flexing),FlexPC,0)</f>
        <v>0</v>
      </c>
      <c r="AA115" s="209">
        <f t="shared" si="3"/>
        <v>114</v>
      </c>
    </row>
    <row r="116" ht="15.75" customHeight="1">
      <c r="A116" s="206" t="str">
        <f>+Declarations!A116&amp;""</f>
        <v/>
      </c>
      <c r="B116" t="str">
        <f>IF(LEN($A116),IF(LEN(Declarations!$B116)&gt;0,Declarations!$B116,"#"&amp;$A116),"")</f>
        <v/>
      </c>
      <c r="C116" s="209" t="str">
        <f t="array" ref="C116">IF(LEN(INDEX(DECLARATIONS,$AA116,3))&gt;0,INDEX(DECLARATIONS,$AA116,3),"...")</f>
        <v>...</v>
      </c>
      <c r="D116" s="209" t="str">
        <f t="shared" si="1"/>
        <v/>
      </c>
      <c r="E116" s="296" t="str">
        <f t="array" ref="E116">IF(ISNA($AA116),0,INDEX(DECLARATIONS,$AA116,5))</f>
        <v/>
      </c>
      <c r="F116" s="209" t="str">
        <f t="array" ref="F116">IF(ISNA($AA116),0,INDEX(DECLARATIONS,$AA116,7))</f>
        <v/>
      </c>
      <c r="G116" s="209" t="str">
        <f t="array" ref="G116">UPPER(IF(ISNA($AA116),"",INDEX(DECLARATIONS,$AA116,4)))</f>
        <v/>
      </c>
      <c r="H116" t="str">
        <f>IF(AND(A116&gt;0,ISTEXT(B116)),IF(SECNAME="YES",LEFT(B116&amp;" ",FIND(" ",B116&amp;" ")+2)&amp;IF(F116&gt;0," ("&amp;F116&amp;")",""),B116&amp;IF(F116&gt;0," ("&amp;F116&amp;")","")),"#"&amp;$A116)</f>
        <v/>
      </c>
      <c r="I116" s="209">
        <f>IF(LEN($A116)&gt;0,IF(LEN($J116)&gt;0,MATCH(J116,MatchNames,0),EventIndex),0)</f>
        <v>0</v>
      </c>
      <c r="J116" s="209" t="str">
        <f>IF(LEN($A116)&gt;0,IF(LEN(Declarations!$F116)&gt;0,Declarations!$F116,conftype),"")</f>
        <v/>
      </c>
      <c r="M116" s="297">
        <f>IF(ISNA(VLOOKUP($A116,SprintData,2,FALSE)),0,VLOOKUP($A116,SprintData,2,FALSE))</f>
        <v>0</v>
      </c>
      <c r="N116" s="297">
        <f>IF(ISNA(VLOOKUP($A116,JumpData,2,FALSE)),0,VLOOKUP($A116,JumpData,2,FALSE))</f>
        <v>0</v>
      </c>
      <c r="O116" s="297">
        <f>IF(ISNA(VLOOKUP($A116,RunData,2,FALSE)),0,VLOOKUP($A116,RunData,2,FALSE))</f>
        <v>0</v>
      </c>
      <c r="P116" s="297">
        <f>IF(ISNA(VLOOKUP($A116,ThrowData,2,FALSE)),0,VLOOKUP($A116,ThrowData,2,FALSE))</f>
        <v>0</v>
      </c>
      <c r="Q116" s="298">
        <f>IF(ISNA(VLOOKUP($A116,SprintData,4,FALSE)),0,VLOOKUP($A116,SprintData,4,FALSE))+V116</f>
        <v>0</v>
      </c>
      <c r="R116" s="298">
        <f>IF(ISNA(VLOOKUP($A116,JumpData,4,FALSE)),0,VLOOKUP($A116,JumpData,4,FALSE))+W116</f>
        <v>0</v>
      </c>
      <c r="S116" s="298">
        <f>IF(ISNA(VLOOKUP($A116,RunData,4,FALSE)),0,VLOOKUP($A116,RunData,4,FALSE))+X116</f>
        <v>0</v>
      </c>
      <c r="T116" s="298">
        <f>IF(ISNA(VLOOKUP($A116,ThrowData,4,FALSE)),0,VLOOKUP($A116,ThrowData,4,FALSE))+Y116</f>
        <v>0</v>
      </c>
      <c r="U116" s="299">
        <f t="shared" si="2"/>
        <v>0</v>
      </c>
      <c r="V116">
        <f>IF(AND($F116&gt;0,NOT(M116),Flexing),FlexPC,0)</f>
        <v>0</v>
      </c>
      <c r="W116">
        <f>IF(AND($F116&gt;0,NOT(N116),Flexing),FlexPC,0)</f>
        <v>0</v>
      </c>
      <c r="X116">
        <f>IF(AND($F116&gt;0,NOT(O116),Flexing),FlexPC,0)</f>
        <v>0</v>
      </c>
      <c r="Y116">
        <f>IF(AND($F116&gt;0,NOT(P116),Flexing),FlexPC,0)</f>
        <v>0</v>
      </c>
      <c r="AA116" s="209">
        <f t="shared" si="3"/>
        <v>115</v>
      </c>
    </row>
    <row r="117" ht="15.75" customHeight="1">
      <c r="A117" s="206" t="str">
        <f>+Declarations!A117&amp;""</f>
        <v/>
      </c>
      <c r="B117" t="str">
        <f>IF(LEN($A117),IF(LEN(Declarations!$B117)&gt;0,Declarations!$B117,"#"&amp;$A117),"")</f>
        <v/>
      </c>
      <c r="C117" s="209" t="str">
        <f t="array" ref="C117">IF(LEN(INDEX(DECLARATIONS,$AA117,3))&gt;0,INDEX(DECLARATIONS,$AA117,3),"...")</f>
        <v>...</v>
      </c>
      <c r="D117" s="209" t="str">
        <f t="shared" si="1"/>
        <v/>
      </c>
      <c r="E117" s="296" t="str">
        <f t="array" ref="E117">IF(ISNA($AA117),0,INDEX(DECLARATIONS,$AA117,5))</f>
        <v/>
      </c>
      <c r="F117" s="209" t="str">
        <f t="array" ref="F117">IF(ISNA($AA117),0,INDEX(DECLARATIONS,$AA117,7))</f>
        <v/>
      </c>
      <c r="G117" s="209" t="str">
        <f t="array" ref="G117">UPPER(IF(ISNA($AA117),"",INDEX(DECLARATIONS,$AA117,4)))</f>
        <v/>
      </c>
      <c r="H117" t="str">
        <f>IF(AND(A117&gt;0,ISTEXT(B117)),IF(SECNAME="YES",LEFT(B117&amp;" ",FIND(" ",B117&amp;" ")+2)&amp;IF(F117&gt;0," ("&amp;F117&amp;")",""),B117&amp;IF(F117&gt;0," ("&amp;F117&amp;")","")),"#"&amp;$A117)</f>
        <v/>
      </c>
      <c r="I117" s="209">
        <f>IF(LEN($A117)&gt;0,IF(LEN($J117)&gt;0,MATCH(J117,MatchNames,0),EventIndex),0)</f>
        <v>0</v>
      </c>
      <c r="J117" s="209" t="str">
        <f>IF(LEN($A117)&gt;0,IF(LEN(Declarations!$F117)&gt;0,Declarations!$F117,conftype),"")</f>
        <v/>
      </c>
      <c r="M117" s="297">
        <f>IF(ISNA(VLOOKUP($A117,SprintData,2,FALSE)),0,VLOOKUP($A117,SprintData,2,FALSE))</f>
        <v>0</v>
      </c>
      <c r="N117" s="297">
        <f>IF(ISNA(VLOOKUP($A117,JumpData,2,FALSE)),0,VLOOKUP($A117,JumpData,2,FALSE))</f>
        <v>0</v>
      </c>
      <c r="O117" s="297">
        <f>IF(ISNA(VLOOKUP($A117,RunData,2,FALSE)),0,VLOOKUP($A117,RunData,2,FALSE))</f>
        <v>0</v>
      </c>
      <c r="P117" s="297">
        <f>IF(ISNA(VLOOKUP($A117,ThrowData,2,FALSE)),0,VLOOKUP($A117,ThrowData,2,FALSE))</f>
        <v>0</v>
      </c>
      <c r="Q117" s="298">
        <f>IF(ISNA(VLOOKUP($A117,SprintData,4,FALSE)),0,VLOOKUP($A117,SprintData,4,FALSE))+V117</f>
        <v>0</v>
      </c>
      <c r="R117" s="298">
        <f>IF(ISNA(VLOOKUP($A117,JumpData,4,FALSE)),0,VLOOKUP($A117,JumpData,4,FALSE))+W117</f>
        <v>0</v>
      </c>
      <c r="S117" s="298">
        <f>IF(ISNA(VLOOKUP($A117,RunData,4,FALSE)),0,VLOOKUP($A117,RunData,4,FALSE))+X117</f>
        <v>0</v>
      </c>
      <c r="T117" s="298">
        <f>IF(ISNA(VLOOKUP($A117,ThrowData,4,FALSE)),0,VLOOKUP($A117,ThrowData,4,FALSE))+Y117</f>
        <v>0</v>
      </c>
      <c r="U117" s="299">
        <f t="shared" si="2"/>
        <v>0</v>
      </c>
      <c r="V117">
        <f>IF(AND($F117&gt;0,NOT(M117),Flexing),FlexPC,0)</f>
        <v>0</v>
      </c>
      <c r="W117">
        <f>IF(AND($F117&gt;0,NOT(N117),Flexing),FlexPC,0)</f>
        <v>0</v>
      </c>
      <c r="X117">
        <f>IF(AND($F117&gt;0,NOT(O117),Flexing),FlexPC,0)</f>
        <v>0</v>
      </c>
      <c r="Y117">
        <f>IF(AND($F117&gt;0,NOT(P117),Flexing),FlexPC,0)</f>
        <v>0</v>
      </c>
      <c r="AA117" s="209">
        <f t="shared" si="3"/>
        <v>116</v>
      </c>
    </row>
    <row r="118" ht="15.75" customHeight="1">
      <c r="A118" s="206" t="str">
        <f>+Declarations!A118&amp;""</f>
        <v/>
      </c>
      <c r="B118" t="str">
        <f>IF(LEN($A118),IF(LEN(Declarations!$B118)&gt;0,Declarations!$B118,"#"&amp;$A118),"")</f>
        <v/>
      </c>
      <c r="C118" s="209" t="str">
        <f t="array" ref="C118">IF(LEN(INDEX(DECLARATIONS,$AA118,3))&gt;0,INDEX(DECLARATIONS,$AA118,3),"...")</f>
        <v>...</v>
      </c>
      <c r="D118" s="209" t="str">
        <f t="shared" si="1"/>
        <v/>
      </c>
      <c r="E118" s="296" t="str">
        <f t="array" ref="E118">IF(ISNA($AA118),0,INDEX(DECLARATIONS,$AA118,5))</f>
        <v/>
      </c>
      <c r="F118" s="209" t="str">
        <f t="array" ref="F118">IF(ISNA($AA118),0,INDEX(DECLARATIONS,$AA118,7))</f>
        <v/>
      </c>
      <c r="G118" s="209" t="str">
        <f t="array" ref="G118">UPPER(IF(ISNA($AA118),"",INDEX(DECLARATIONS,$AA118,4)))</f>
        <v/>
      </c>
      <c r="H118" t="str">
        <f>IF(AND(A118&gt;0,ISTEXT(B118)),IF(SECNAME="YES",LEFT(B118&amp;" ",FIND(" ",B118&amp;" ")+2)&amp;IF(F118&gt;0," ("&amp;F118&amp;")",""),B118&amp;IF(F118&gt;0," ("&amp;F118&amp;")","")),"#"&amp;$A118)</f>
        <v/>
      </c>
      <c r="I118" s="209">
        <f>IF(LEN($A118)&gt;0,IF(LEN($J118)&gt;0,MATCH(J118,MatchNames,0),EventIndex),0)</f>
        <v>0</v>
      </c>
      <c r="J118" s="209" t="str">
        <f>IF(LEN($A118)&gt;0,IF(LEN(Declarations!$F118)&gt;0,Declarations!$F118,conftype),"")</f>
        <v/>
      </c>
      <c r="M118" s="297">
        <f>IF(ISNA(VLOOKUP($A118,SprintData,2,FALSE)),0,VLOOKUP($A118,SprintData,2,FALSE))</f>
        <v>0</v>
      </c>
      <c r="N118" s="297">
        <f>IF(ISNA(VLOOKUP($A118,JumpData,2,FALSE)),0,VLOOKUP($A118,JumpData,2,FALSE))</f>
        <v>0</v>
      </c>
      <c r="O118" s="297">
        <f>IF(ISNA(VLOOKUP($A118,RunData,2,FALSE)),0,VLOOKUP($A118,RunData,2,FALSE))</f>
        <v>0</v>
      </c>
      <c r="P118" s="297">
        <f>IF(ISNA(VLOOKUP($A118,ThrowData,2,FALSE)),0,VLOOKUP($A118,ThrowData,2,FALSE))</f>
        <v>0</v>
      </c>
      <c r="Q118" s="298">
        <f>IF(ISNA(VLOOKUP($A118,SprintData,4,FALSE)),0,VLOOKUP($A118,SprintData,4,FALSE))+V118</f>
        <v>0</v>
      </c>
      <c r="R118" s="298">
        <f>IF(ISNA(VLOOKUP($A118,JumpData,4,FALSE)),0,VLOOKUP($A118,JumpData,4,FALSE))+W118</f>
        <v>0</v>
      </c>
      <c r="S118" s="298">
        <f>IF(ISNA(VLOOKUP($A118,RunData,4,FALSE)),0,VLOOKUP($A118,RunData,4,FALSE))+X118</f>
        <v>0</v>
      </c>
      <c r="T118" s="298">
        <f>IF(ISNA(VLOOKUP($A118,ThrowData,4,FALSE)),0,VLOOKUP($A118,ThrowData,4,FALSE))+Y118</f>
        <v>0</v>
      </c>
      <c r="U118" s="299">
        <f t="shared" si="2"/>
        <v>0</v>
      </c>
      <c r="V118">
        <f>IF(AND($F118&gt;0,NOT(M118),Flexing),FlexPC,0)</f>
        <v>0</v>
      </c>
      <c r="W118">
        <f>IF(AND($F118&gt;0,NOT(N118),Flexing),FlexPC,0)</f>
        <v>0</v>
      </c>
      <c r="X118">
        <f>IF(AND($F118&gt;0,NOT(O118),Flexing),FlexPC,0)</f>
        <v>0</v>
      </c>
      <c r="Y118">
        <f>IF(AND($F118&gt;0,NOT(P118),Flexing),FlexPC,0)</f>
        <v>0</v>
      </c>
      <c r="AA118" s="209">
        <f t="shared" si="3"/>
        <v>117</v>
      </c>
    </row>
    <row r="119" ht="15.75" customHeight="1">
      <c r="A119" s="206" t="str">
        <f>+Declarations!A119&amp;""</f>
        <v/>
      </c>
      <c r="B119" t="str">
        <f>IF(LEN($A119),IF(LEN(Declarations!$B119)&gt;0,Declarations!$B119,"#"&amp;$A119),"")</f>
        <v/>
      </c>
      <c r="C119" s="209" t="str">
        <f t="array" ref="C119">IF(LEN(INDEX(DECLARATIONS,$AA119,3))&gt;0,INDEX(DECLARATIONS,$AA119,3),"...")</f>
        <v>...</v>
      </c>
      <c r="D119" s="209" t="str">
        <f t="shared" si="1"/>
        <v/>
      </c>
      <c r="E119" s="296" t="str">
        <f t="array" ref="E119">IF(ISNA($AA119),0,INDEX(DECLARATIONS,$AA119,5))</f>
        <v/>
      </c>
      <c r="F119" s="209" t="str">
        <f t="array" ref="F119">IF(ISNA($AA119),0,INDEX(DECLARATIONS,$AA119,7))</f>
        <v/>
      </c>
      <c r="G119" s="209" t="str">
        <f t="array" ref="G119">UPPER(IF(ISNA($AA119),"",INDEX(DECLARATIONS,$AA119,4)))</f>
        <v/>
      </c>
      <c r="H119" t="str">
        <f>IF(AND(A119&gt;0,ISTEXT(B119)),IF(SECNAME="YES",LEFT(B119&amp;" ",FIND(" ",B119&amp;" ")+2)&amp;IF(F119&gt;0," ("&amp;F119&amp;")",""),B119&amp;IF(F119&gt;0," ("&amp;F119&amp;")","")),"#"&amp;$A119)</f>
        <v/>
      </c>
      <c r="I119" s="209">
        <f>IF(LEN($A119)&gt;0,IF(LEN($J119)&gt;0,MATCH(J119,MatchNames,0),EventIndex),0)</f>
        <v>0</v>
      </c>
      <c r="J119" s="209" t="str">
        <f>IF(LEN($A119)&gt;0,IF(LEN(Declarations!$F119)&gt;0,Declarations!$F119,conftype),"")</f>
        <v/>
      </c>
      <c r="M119" s="297">
        <f>IF(ISNA(VLOOKUP($A119,SprintData,2,FALSE)),0,VLOOKUP($A119,SprintData,2,FALSE))</f>
        <v>0</v>
      </c>
      <c r="N119" s="297">
        <f>IF(ISNA(VLOOKUP($A119,JumpData,2,FALSE)),0,VLOOKUP($A119,JumpData,2,FALSE))</f>
        <v>0</v>
      </c>
      <c r="O119" s="297">
        <f>IF(ISNA(VLOOKUP($A119,RunData,2,FALSE)),0,VLOOKUP($A119,RunData,2,FALSE))</f>
        <v>0</v>
      </c>
      <c r="P119" s="297">
        <f>IF(ISNA(VLOOKUP($A119,ThrowData,2,FALSE)),0,VLOOKUP($A119,ThrowData,2,FALSE))</f>
        <v>0</v>
      </c>
      <c r="Q119" s="298">
        <f>IF(ISNA(VLOOKUP($A119,SprintData,4,FALSE)),0,VLOOKUP($A119,SprintData,4,FALSE))+V119</f>
        <v>0</v>
      </c>
      <c r="R119" s="298">
        <f>IF(ISNA(VLOOKUP($A119,JumpData,4,FALSE)),0,VLOOKUP($A119,JumpData,4,FALSE))+W119</f>
        <v>0</v>
      </c>
      <c r="S119" s="298">
        <f>IF(ISNA(VLOOKUP($A119,RunData,4,FALSE)),0,VLOOKUP($A119,RunData,4,FALSE))+X119</f>
        <v>0</v>
      </c>
      <c r="T119" s="298">
        <f>IF(ISNA(VLOOKUP($A119,ThrowData,4,FALSE)),0,VLOOKUP($A119,ThrowData,4,FALSE))+Y119</f>
        <v>0</v>
      </c>
      <c r="U119" s="299">
        <f t="shared" si="2"/>
        <v>0</v>
      </c>
      <c r="V119">
        <f>IF(AND($F119&gt;0,NOT(M119),Flexing),FlexPC,0)</f>
        <v>0</v>
      </c>
      <c r="W119">
        <f>IF(AND($F119&gt;0,NOT(N119),Flexing),FlexPC,0)</f>
        <v>0</v>
      </c>
      <c r="X119">
        <f>IF(AND($F119&gt;0,NOT(O119),Flexing),FlexPC,0)</f>
        <v>0</v>
      </c>
      <c r="Y119">
        <f>IF(AND($F119&gt;0,NOT(P119),Flexing),FlexPC,0)</f>
        <v>0</v>
      </c>
      <c r="AA119" s="209">
        <f t="shared" si="3"/>
        <v>118</v>
      </c>
    </row>
    <row r="120" ht="15.75" customHeight="1">
      <c r="A120" s="206" t="str">
        <f>+Declarations!A120&amp;""</f>
        <v/>
      </c>
      <c r="B120" t="str">
        <f>IF(LEN($A120),IF(LEN(Declarations!$B120)&gt;0,Declarations!$B120,"#"&amp;$A120),"")</f>
        <v/>
      </c>
      <c r="C120" s="209" t="str">
        <f t="array" ref="C120">IF(LEN(INDEX(DECLARATIONS,$AA120,3))&gt;0,INDEX(DECLARATIONS,$AA120,3),"...")</f>
        <v>...</v>
      </c>
      <c r="D120" s="209" t="str">
        <f t="shared" si="1"/>
        <v/>
      </c>
      <c r="E120" s="296" t="str">
        <f t="array" ref="E120">IF(ISNA($AA120),0,INDEX(DECLARATIONS,$AA120,5))</f>
        <v/>
      </c>
      <c r="F120" s="209" t="str">
        <f t="array" ref="F120">IF(ISNA($AA120),0,INDEX(DECLARATIONS,$AA120,7))</f>
        <v/>
      </c>
      <c r="G120" s="209" t="str">
        <f t="array" ref="G120">UPPER(IF(ISNA($AA120),"",INDEX(DECLARATIONS,$AA120,4)))</f>
        <v/>
      </c>
      <c r="H120" t="str">
        <f>IF(AND(A120&gt;0,ISTEXT(B120)),IF(SECNAME="YES",LEFT(B120&amp;" ",FIND(" ",B120&amp;" ")+2)&amp;IF(F120&gt;0," ("&amp;F120&amp;")",""),B120&amp;IF(F120&gt;0," ("&amp;F120&amp;")","")),"#"&amp;$A120)</f>
        <v/>
      </c>
      <c r="I120" s="209">
        <f>IF(LEN($A120)&gt;0,IF(LEN($J120)&gt;0,MATCH(J120,MatchNames,0),EventIndex),0)</f>
        <v>0</v>
      </c>
      <c r="J120" s="209" t="str">
        <f>IF(LEN($A120)&gt;0,IF(LEN(Declarations!$F120)&gt;0,Declarations!$F120,conftype),"")</f>
        <v/>
      </c>
      <c r="M120" s="297">
        <f>IF(ISNA(VLOOKUP($A120,SprintData,2,FALSE)),0,VLOOKUP($A120,SprintData,2,FALSE))</f>
        <v>0</v>
      </c>
      <c r="N120" s="297">
        <f>IF(ISNA(VLOOKUP($A120,JumpData,2,FALSE)),0,VLOOKUP($A120,JumpData,2,FALSE))</f>
        <v>0</v>
      </c>
      <c r="O120" s="297">
        <f>IF(ISNA(VLOOKUP($A120,RunData,2,FALSE)),0,VLOOKUP($A120,RunData,2,FALSE))</f>
        <v>0</v>
      </c>
      <c r="P120" s="297">
        <f>IF(ISNA(VLOOKUP($A120,ThrowData,2,FALSE)),0,VLOOKUP($A120,ThrowData,2,FALSE))</f>
        <v>0</v>
      </c>
      <c r="Q120" s="298">
        <f>IF(ISNA(VLOOKUP($A120,SprintData,4,FALSE)),0,VLOOKUP($A120,SprintData,4,FALSE))+V120</f>
        <v>0</v>
      </c>
      <c r="R120" s="298">
        <f>IF(ISNA(VLOOKUP($A120,JumpData,4,FALSE)),0,VLOOKUP($A120,JumpData,4,FALSE))+W120</f>
        <v>0</v>
      </c>
      <c r="S120" s="298">
        <f>IF(ISNA(VLOOKUP($A120,RunData,4,FALSE)),0,VLOOKUP($A120,RunData,4,FALSE))+X120</f>
        <v>0</v>
      </c>
      <c r="T120" s="298">
        <f>IF(ISNA(VLOOKUP($A120,ThrowData,4,FALSE)),0,VLOOKUP($A120,ThrowData,4,FALSE))+Y120</f>
        <v>0</v>
      </c>
      <c r="U120" s="299">
        <f t="shared" si="2"/>
        <v>0</v>
      </c>
      <c r="V120">
        <f>IF(AND($F120&gt;0,NOT(M120),Flexing),FlexPC,0)</f>
        <v>0</v>
      </c>
      <c r="W120">
        <f>IF(AND($F120&gt;0,NOT(N120),Flexing),FlexPC,0)</f>
        <v>0</v>
      </c>
      <c r="X120">
        <f>IF(AND($F120&gt;0,NOT(O120),Flexing),FlexPC,0)</f>
        <v>0</v>
      </c>
      <c r="Y120">
        <f>IF(AND($F120&gt;0,NOT(P120),Flexing),FlexPC,0)</f>
        <v>0</v>
      </c>
      <c r="AA120" s="209">
        <f t="shared" si="3"/>
        <v>119</v>
      </c>
    </row>
    <row r="121" ht="15.75" customHeight="1">
      <c r="A121" s="206" t="str">
        <f>+Declarations!A121&amp;""</f>
        <v/>
      </c>
      <c r="B121" t="str">
        <f>IF(LEN($A121),IF(LEN(Declarations!$B121)&gt;0,Declarations!$B121,"#"&amp;$A121),"")</f>
        <v/>
      </c>
      <c r="C121" s="209" t="str">
        <f t="array" ref="C121">IF(LEN(INDEX(DECLARATIONS,$AA121,3))&gt;0,INDEX(DECLARATIONS,$AA121,3),"...")</f>
        <v>...</v>
      </c>
      <c r="D121" s="209" t="str">
        <f t="shared" si="1"/>
        <v/>
      </c>
      <c r="E121" s="296" t="str">
        <f t="array" ref="E121">IF(ISNA($AA121),0,INDEX(DECLARATIONS,$AA121,5))</f>
        <v/>
      </c>
      <c r="F121" s="209" t="str">
        <f t="array" ref="F121">IF(ISNA($AA121),0,INDEX(DECLARATIONS,$AA121,7))</f>
        <v/>
      </c>
      <c r="G121" s="209" t="str">
        <f t="array" ref="G121">UPPER(IF(ISNA($AA121),"",INDEX(DECLARATIONS,$AA121,4)))</f>
        <v/>
      </c>
      <c r="H121" t="str">
        <f>IF(AND(A121&gt;0,ISTEXT(B121)),IF(SECNAME="YES",LEFT(B121&amp;" ",FIND(" ",B121&amp;" ")+2)&amp;IF(F121&gt;0," ("&amp;F121&amp;")",""),B121&amp;IF(F121&gt;0," ("&amp;F121&amp;")","")),"#"&amp;$A121)</f>
        <v/>
      </c>
      <c r="I121" s="209">
        <f>IF(LEN($A121)&gt;0,IF(LEN($J121)&gt;0,MATCH(J121,MatchNames,0),EventIndex),0)</f>
        <v>0</v>
      </c>
      <c r="J121" s="209" t="str">
        <f>IF(LEN($A121)&gt;0,IF(LEN(Declarations!$F121)&gt;0,Declarations!$F121,conftype),"")</f>
        <v/>
      </c>
      <c r="M121" s="297">
        <f>IF(ISNA(VLOOKUP($A121,SprintData,2,FALSE)),0,VLOOKUP($A121,SprintData,2,FALSE))</f>
        <v>0</v>
      </c>
      <c r="N121" s="297">
        <f>IF(ISNA(VLOOKUP($A121,JumpData,2,FALSE)),0,VLOOKUP($A121,JumpData,2,FALSE))</f>
        <v>0</v>
      </c>
      <c r="O121" s="297">
        <f>IF(ISNA(VLOOKUP($A121,RunData,2,FALSE)),0,VLOOKUP($A121,RunData,2,FALSE))</f>
        <v>0</v>
      </c>
      <c r="P121" s="297">
        <f>IF(ISNA(VLOOKUP($A121,ThrowData,2,FALSE)),0,VLOOKUP($A121,ThrowData,2,FALSE))</f>
        <v>0</v>
      </c>
      <c r="Q121" s="298">
        <f>IF(ISNA(VLOOKUP($A121,SprintData,4,FALSE)),0,VLOOKUP($A121,SprintData,4,FALSE))+V121</f>
        <v>0</v>
      </c>
      <c r="R121" s="298">
        <f>IF(ISNA(VLOOKUP($A121,JumpData,4,FALSE)),0,VLOOKUP($A121,JumpData,4,FALSE))+W121</f>
        <v>0</v>
      </c>
      <c r="S121" s="298">
        <f>IF(ISNA(VLOOKUP($A121,RunData,4,FALSE)),0,VLOOKUP($A121,RunData,4,FALSE))+X121</f>
        <v>0</v>
      </c>
      <c r="T121" s="298">
        <f>IF(ISNA(VLOOKUP($A121,ThrowData,4,FALSE)),0,VLOOKUP($A121,ThrowData,4,FALSE))+Y121</f>
        <v>0</v>
      </c>
      <c r="U121" s="299">
        <f t="shared" si="2"/>
        <v>0</v>
      </c>
      <c r="V121">
        <f>IF(AND($F121&gt;0,NOT(M121),Flexing),FlexPC,0)</f>
        <v>0</v>
      </c>
      <c r="W121">
        <f>IF(AND($F121&gt;0,NOT(N121),Flexing),FlexPC,0)</f>
        <v>0</v>
      </c>
      <c r="X121">
        <f>IF(AND($F121&gt;0,NOT(O121),Flexing),FlexPC,0)</f>
        <v>0</v>
      </c>
      <c r="Y121">
        <f>IF(AND($F121&gt;0,NOT(P121),Flexing),FlexPC,0)</f>
        <v>0</v>
      </c>
      <c r="AA121" s="209">
        <f t="shared" si="3"/>
        <v>120</v>
      </c>
    </row>
    <row r="122" ht="15.75" customHeight="1">
      <c r="A122" s="206" t="str">
        <f>+Declarations!A122&amp;""</f>
        <v/>
      </c>
      <c r="B122" t="str">
        <f>IF(LEN($A122),IF(LEN(Declarations!$B122)&gt;0,Declarations!$B122,"#"&amp;$A122),"")</f>
        <v/>
      </c>
      <c r="C122" s="209" t="str">
        <f t="array" ref="C122">IF(LEN(INDEX(DECLARATIONS,$AA122,3))&gt;0,INDEX(DECLARATIONS,$AA122,3),"...")</f>
        <v>...</v>
      </c>
      <c r="D122" s="209" t="str">
        <f t="shared" si="1"/>
        <v/>
      </c>
      <c r="E122" s="296" t="str">
        <f t="array" ref="E122">IF(ISNA($AA122),0,INDEX(DECLARATIONS,$AA122,5))</f>
        <v/>
      </c>
      <c r="F122" s="209" t="str">
        <f t="array" ref="F122">IF(ISNA($AA122),0,INDEX(DECLARATIONS,$AA122,7))</f>
        <v/>
      </c>
      <c r="G122" s="209" t="str">
        <f t="array" ref="G122">UPPER(IF(ISNA($AA122),"",INDEX(DECLARATIONS,$AA122,4)))</f>
        <v/>
      </c>
      <c r="H122" t="str">
        <f>IF(AND(A122&gt;0,ISTEXT(B122)),IF(SECNAME="YES",LEFT(B122&amp;" ",FIND(" ",B122&amp;" ")+2)&amp;IF(F122&gt;0," ("&amp;F122&amp;")",""),B122&amp;IF(F122&gt;0," ("&amp;F122&amp;")","")),"#"&amp;$A122)</f>
        <v/>
      </c>
      <c r="I122" s="209">
        <f>IF(LEN($A122)&gt;0,IF(LEN($J122)&gt;0,MATCH(J122,MatchNames,0),EventIndex),0)</f>
        <v>0</v>
      </c>
      <c r="J122" s="209" t="str">
        <f>IF(LEN($A122)&gt;0,IF(LEN(Declarations!$F122)&gt;0,Declarations!$F122,conftype),"")</f>
        <v/>
      </c>
      <c r="M122" s="297">
        <f>IF(ISNA(VLOOKUP($A122,SprintData,2,FALSE)),0,VLOOKUP($A122,SprintData,2,FALSE))</f>
        <v>0</v>
      </c>
      <c r="N122" s="297">
        <f>IF(ISNA(VLOOKUP($A122,JumpData,2,FALSE)),0,VLOOKUP($A122,JumpData,2,FALSE))</f>
        <v>0</v>
      </c>
      <c r="O122" s="297">
        <f>IF(ISNA(VLOOKUP($A122,RunData,2,FALSE)),0,VLOOKUP($A122,RunData,2,FALSE))</f>
        <v>0</v>
      </c>
      <c r="P122" s="297">
        <f>IF(ISNA(VLOOKUP($A122,ThrowData,2,FALSE)),0,VLOOKUP($A122,ThrowData,2,FALSE))</f>
        <v>0</v>
      </c>
      <c r="Q122" s="298">
        <f>IF(ISNA(VLOOKUP($A122,SprintData,4,FALSE)),0,VLOOKUP($A122,SprintData,4,FALSE))+V122</f>
        <v>0</v>
      </c>
      <c r="R122" s="298">
        <f>IF(ISNA(VLOOKUP($A122,JumpData,4,FALSE)),0,VLOOKUP($A122,JumpData,4,FALSE))+W122</f>
        <v>0</v>
      </c>
      <c r="S122" s="298">
        <f>IF(ISNA(VLOOKUP($A122,RunData,4,FALSE)),0,VLOOKUP($A122,RunData,4,FALSE))+X122</f>
        <v>0</v>
      </c>
      <c r="T122" s="298">
        <f>IF(ISNA(VLOOKUP($A122,ThrowData,4,FALSE)),0,VLOOKUP($A122,ThrowData,4,FALSE))+Y122</f>
        <v>0</v>
      </c>
      <c r="U122" s="299">
        <f t="shared" si="2"/>
        <v>0</v>
      </c>
      <c r="V122">
        <f>IF(AND($F122&gt;0,NOT(M122),Flexing),FlexPC,0)</f>
        <v>0</v>
      </c>
      <c r="W122">
        <f>IF(AND($F122&gt;0,NOT(N122),Flexing),FlexPC,0)</f>
        <v>0</v>
      </c>
      <c r="X122">
        <f>IF(AND($F122&gt;0,NOT(O122),Flexing),FlexPC,0)</f>
        <v>0</v>
      </c>
      <c r="Y122">
        <f>IF(AND($F122&gt;0,NOT(P122),Flexing),FlexPC,0)</f>
        <v>0</v>
      </c>
      <c r="AA122" s="209">
        <f t="shared" si="3"/>
        <v>121</v>
      </c>
    </row>
    <row r="123" ht="15.75" customHeight="1">
      <c r="A123" s="206" t="str">
        <f>+Declarations!A123&amp;""</f>
        <v/>
      </c>
      <c r="B123" t="str">
        <f>IF(LEN($A123),IF(LEN(Declarations!$B123)&gt;0,Declarations!$B123,"#"&amp;$A123),"")</f>
        <v/>
      </c>
      <c r="C123" s="209" t="str">
        <f t="array" ref="C123">IF(LEN(INDEX(DECLARATIONS,$AA123,3))&gt;0,INDEX(DECLARATIONS,$AA123,3),"...")</f>
        <v>...</v>
      </c>
      <c r="D123" s="209" t="str">
        <f t="shared" si="1"/>
        <v/>
      </c>
      <c r="E123" s="296" t="str">
        <f t="array" ref="E123">IF(ISNA($AA123),0,INDEX(DECLARATIONS,$AA123,5))</f>
        <v/>
      </c>
      <c r="F123" s="209" t="str">
        <f t="array" ref="F123">IF(ISNA($AA123),0,INDEX(DECLARATIONS,$AA123,7))</f>
        <v/>
      </c>
      <c r="G123" s="209" t="str">
        <f t="array" ref="G123">UPPER(IF(ISNA($AA123),"",INDEX(DECLARATIONS,$AA123,4)))</f>
        <v/>
      </c>
      <c r="H123" t="str">
        <f>IF(AND(A123&gt;0,ISTEXT(B123)),IF(SECNAME="YES",LEFT(B123&amp;" ",FIND(" ",B123&amp;" ")+2)&amp;IF(F123&gt;0," ("&amp;F123&amp;")",""),B123&amp;IF(F123&gt;0," ("&amp;F123&amp;")","")),"#"&amp;$A123)</f>
        <v/>
      </c>
      <c r="I123" s="209">
        <f>IF(LEN($A123)&gt;0,IF(LEN($J123)&gt;0,MATCH(J123,MatchNames,0),EventIndex),0)</f>
        <v>0</v>
      </c>
      <c r="J123" s="209" t="str">
        <f>IF(LEN($A123)&gt;0,IF(LEN(Declarations!$F123)&gt;0,Declarations!$F123,conftype),"")</f>
        <v/>
      </c>
      <c r="M123" s="297">
        <f>IF(ISNA(VLOOKUP($A123,SprintData,2,FALSE)),0,VLOOKUP($A123,SprintData,2,FALSE))</f>
        <v>0</v>
      </c>
      <c r="N123" s="297">
        <f>IF(ISNA(VLOOKUP($A123,JumpData,2,FALSE)),0,VLOOKUP($A123,JumpData,2,FALSE))</f>
        <v>0</v>
      </c>
      <c r="O123" s="297">
        <f>IF(ISNA(VLOOKUP($A123,RunData,2,FALSE)),0,VLOOKUP($A123,RunData,2,FALSE))</f>
        <v>0</v>
      </c>
      <c r="P123" s="297">
        <f>IF(ISNA(VLOOKUP($A123,ThrowData,2,FALSE)),0,VLOOKUP($A123,ThrowData,2,FALSE))</f>
        <v>0</v>
      </c>
      <c r="Q123" s="298">
        <f>IF(ISNA(VLOOKUP($A123,SprintData,4,FALSE)),0,VLOOKUP($A123,SprintData,4,FALSE))+V123</f>
        <v>0</v>
      </c>
      <c r="R123" s="298">
        <f>IF(ISNA(VLOOKUP($A123,JumpData,4,FALSE)),0,VLOOKUP($A123,JumpData,4,FALSE))+W123</f>
        <v>0</v>
      </c>
      <c r="S123" s="298">
        <f>IF(ISNA(VLOOKUP($A123,RunData,4,FALSE)),0,VLOOKUP($A123,RunData,4,FALSE))+X123</f>
        <v>0</v>
      </c>
      <c r="T123" s="298">
        <f>IF(ISNA(VLOOKUP($A123,ThrowData,4,FALSE)),0,VLOOKUP($A123,ThrowData,4,FALSE))+Y123</f>
        <v>0</v>
      </c>
      <c r="U123" s="299">
        <f t="shared" si="2"/>
        <v>0</v>
      </c>
      <c r="V123">
        <f>IF(AND($F123&gt;0,NOT(M123),Flexing),FlexPC,0)</f>
        <v>0</v>
      </c>
      <c r="W123">
        <f>IF(AND($F123&gt;0,NOT(N123),Flexing),FlexPC,0)</f>
        <v>0</v>
      </c>
      <c r="X123">
        <f>IF(AND($F123&gt;0,NOT(O123),Flexing),FlexPC,0)</f>
        <v>0</v>
      </c>
      <c r="Y123">
        <f>IF(AND($F123&gt;0,NOT(P123),Flexing),FlexPC,0)</f>
        <v>0</v>
      </c>
      <c r="AA123" s="209">
        <f t="shared" si="3"/>
        <v>122</v>
      </c>
    </row>
    <row r="124" ht="15.75" customHeight="1">
      <c r="A124" s="206" t="str">
        <f>+Declarations!A124&amp;""</f>
        <v/>
      </c>
      <c r="B124" t="str">
        <f>IF(LEN($A124),IF(LEN(Declarations!$B124)&gt;0,Declarations!$B124,"#"&amp;$A124),"")</f>
        <v/>
      </c>
      <c r="C124" s="209" t="str">
        <f t="array" ref="C124">IF(LEN(INDEX(DECLARATIONS,$AA124,3))&gt;0,INDEX(DECLARATIONS,$AA124,3),"...")</f>
        <v>...</v>
      </c>
      <c r="D124" s="209" t="str">
        <f t="shared" si="1"/>
        <v/>
      </c>
      <c r="E124" s="296" t="str">
        <f t="array" ref="E124">IF(ISNA($AA124),0,INDEX(DECLARATIONS,$AA124,5))</f>
        <v/>
      </c>
      <c r="F124" s="209" t="str">
        <f t="array" ref="F124">IF(ISNA($AA124),0,INDEX(DECLARATIONS,$AA124,7))</f>
        <v/>
      </c>
      <c r="G124" s="209" t="str">
        <f t="array" ref="G124">UPPER(IF(ISNA($AA124),"",INDEX(DECLARATIONS,$AA124,4)))</f>
        <v/>
      </c>
      <c r="H124" t="str">
        <f>IF(AND(A124&gt;0,ISTEXT(B124)),IF(SECNAME="YES",LEFT(B124&amp;" ",FIND(" ",B124&amp;" ")+2)&amp;IF(F124&gt;0," ("&amp;F124&amp;")",""),B124&amp;IF(F124&gt;0," ("&amp;F124&amp;")","")),"#"&amp;$A124)</f>
        <v/>
      </c>
      <c r="I124" s="209">
        <f>IF(LEN($A124)&gt;0,IF(LEN($J124)&gt;0,MATCH(J124,MatchNames,0),EventIndex),0)</f>
        <v>0</v>
      </c>
      <c r="J124" s="209" t="str">
        <f>IF(LEN($A124)&gt;0,IF(LEN(Declarations!$F124)&gt;0,Declarations!$F124,conftype),"")</f>
        <v/>
      </c>
      <c r="M124" s="297">
        <f>IF(ISNA(VLOOKUP($A124,SprintData,2,FALSE)),0,VLOOKUP($A124,SprintData,2,FALSE))</f>
        <v>0</v>
      </c>
      <c r="N124" s="297">
        <f>IF(ISNA(VLOOKUP($A124,JumpData,2,FALSE)),0,VLOOKUP($A124,JumpData,2,FALSE))</f>
        <v>0</v>
      </c>
      <c r="O124" s="297">
        <f>IF(ISNA(VLOOKUP($A124,RunData,2,FALSE)),0,VLOOKUP($A124,RunData,2,FALSE))</f>
        <v>0</v>
      </c>
      <c r="P124" s="297">
        <f>IF(ISNA(VLOOKUP($A124,ThrowData,2,FALSE)),0,VLOOKUP($A124,ThrowData,2,FALSE))</f>
        <v>0</v>
      </c>
      <c r="Q124" s="298">
        <f>IF(ISNA(VLOOKUP($A124,SprintData,4,FALSE)),0,VLOOKUP($A124,SprintData,4,FALSE))+V124</f>
        <v>0</v>
      </c>
      <c r="R124" s="298">
        <f>IF(ISNA(VLOOKUP($A124,JumpData,4,FALSE)),0,VLOOKUP($A124,JumpData,4,FALSE))+W124</f>
        <v>0</v>
      </c>
      <c r="S124" s="298">
        <f>IF(ISNA(VLOOKUP($A124,RunData,4,FALSE)),0,VLOOKUP($A124,RunData,4,FALSE))+X124</f>
        <v>0</v>
      </c>
      <c r="T124" s="298">
        <f>IF(ISNA(VLOOKUP($A124,ThrowData,4,FALSE)),0,VLOOKUP($A124,ThrowData,4,FALSE))+Y124</f>
        <v>0</v>
      </c>
      <c r="U124" s="299">
        <f t="shared" si="2"/>
        <v>0</v>
      </c>
      <c r="V124">
        <f>IF(AND($F124&gt;0,NOT(M124),Flexing),FlexPC,0)</f>
        <v>0</v>
      </c>
      <c r="W124">
        <f>IF(AND($F124&gt;0,NOT(N124),Flexing),FlexPC,0)</f>
        <v>0</v>
      </c>
      <c r="X124">
        <f>IF(AND($F124&gt;0,NOT(O124),Flexing),FlexPC,0)</f>
        <v>0</v>
      </c>
      <c r="Y124">
        <f>IF(AND($F124&gt;0,NOT(P124),Flexing),FlexPC,0)</f>
        <v>0</v>
      </c>
      <c r="AA124" s="209">
        <f t="shared" si="3"/>
        <v>123</v>
      </c>
    </row>
    <row r="125" ht="15.75" customHeight="1">
      <c r="A125" s="206" t="str">
        <f>+Declarations!A125&amp;""</f>
        <v/>
      </c>
      <c r="B125" t="str">
        <f>IF(LEN($A125),IF(LEN(Declarations!$B125)&gt;0,Declarations!$B125,"#"&amp;$A125),"")</f>
        <v/>
      </c>
      <c r="C125" s="209" t="str">
        <f t="array" ref="C125">IF(LEN(INDEX(DECLARATIONS,$AA125,3))&gt;0,INDEX(DECLARATIONS,$AA125,3),"...")</f>
        <v>...</v>
      </c>
      <c r="D125" s="209" t="str">
        <f t="shared" si="1"/>
        <v/>
      </c>
      <c r="E125" s="296" t="str">
        <f t="array" ref="E125">IF(ISNA($AA125),0,INDEX(DECLARATIONS,$AA125,5))</f>
        <v/>
      </c>
      <c r="F125" s="209" t="str">
        <f t="array" ref="F125">IF(ISNA($AA125),0,INDEX(DECLARATIONS,$AA125,7))</f>
        <v/>
      </c>
      <c r="G125" s="209" t="str">
        <f t="array" ref="G125">UPPER(IF(ISNA($AA125),"",INDEX(DECLARATIONS,$AA125,4)))</f>
        <v/>
      </c>
      <c r="H125" t="str">
        <f>IF(AND(A125&gt;0,ISTEXT(B125)),IF(SECNAME="YES",LEFT(B125&amp;" ",FIND(" ",B125&amp;" ")+2)&amp;IF(F125&gt;0," ("&amp;F125&amp;")",""),B125&amp;IF(F125&gt;0," ("&amp;F125&amp;")","")),"#"&amp;$A125)</f>
        <v/>
      </c>
      <c r="I125" s="209">
        <f>IF(LEN($A125)&gt;0,IF(LEN($J125)&gt;0,MATCH(J125,MatchNames,0),EventIndex),0)</f>
        <v>0</v>
      </c>
      <c r="J125" s="209" t="str">
        <f>IF(LEN($A125)&gt;0,IF(LEN(Declarations!$F125)&gt;0,Declarations!$F125,conftype),"")</f>
        <v/>
      </c>
      <c r="M125" s="297">
        <f>IF(ISNA(VLOOKUP($A125,SprintData,2,FALSE)),0,VLOOKUP($A125,SprintData,2,FALSE))</f>
        <v>0</v>
      </c>
      <c r="N125" s="297">
        <f>IF(ISNA(VLOOKUP($A125,JumpData,2,FALSE)),0,VLOOKUP($A125,JumpData,2,FALSE))</f>
        <v>0</v>
      </c>
      <c r="O125" s="297">
        <f>IF(ISNA(VLOOKUP($A125,RunData,2,FALSE)),0,VLOOKUP($A125,RunData,2,FALSE))</f>
        <v>0</v>
      </c>
      <c r="P125" s="297">
        <f>IF(ISNA(VLOOKUP($A125,ThrowData,2,FALSE)),0,VLOOKUP($A125,ThrowData,2,FALSE))</f>
        <v>0</v>
      </c>
      <c r="Q125" s="298">
        <f>IF(ISNA(VLOOKUP($A125,SprintData,4,FALSE)),0,VLOOKUP($A125,SprintData,4,FALSE))+V125</f>
        <v>0</v>
      </c>
      <c r="R125" s="298">
        <f>IF(ISNA(VLOOKUP($A125,JumpData,4,FALSE)),0,VLOOKUP($A125,JumpData,4,FALSE))+W125</f>
        <v>0</v>
      </c>
      <c r="S125" s="298">
        <f>IF(ISNA(VLOOKUP($A125,RunData,4,FALSE)),0,VLOOKUP($A125,RunData,4,FALSE))+X125</f>
        <v>0</v>
      </c>
      <c r="T125" s="298">
        <f>IF(ISNA(VLOOKUP($A125,ThrowData,4,FALSE)),0,VLOOKUP($A125,ThrowData,4,FALSE))+Y125</f>
        <v>0</v>
      </c>
      <c r="U125" s="299">
        <f t="shared" si="2"/>
        <v>0</v>
      </c>
      <c r="V125">
        <f>IF(AND($F125&gt;0,NOT(M125),Flexing),FlexPC,0)</f>
        <v>0</v>
      </c>
      <c r="W125">
        <f>IF(AND($F125&gt;0,NOT(N125),Flexing),FlexPC,0)</f>
        <v>0</v>
      </c>
      <c r="X125">
        <f>IF(AND($F125&gt;0,NOT(O125),Flexing),FlexPC,0)</f>
        <v>0</v>
      </c>
      <c r="Y125">
        <f>IF(AND($F125&gt;0,NOT(P125),Flexing),FlexPC,0)</f>
        <v>0</v>
      </c>
      <c r="AA125" s="209">
        <f t="shared" si="3"/>
        <v>124</v>
      </c>
    </row>
    <row r="126" ht="15.75" customHeight="1">
      <c r="A126" s="206" t="str">
        <f>+Declarations!A126&amp;""</f>
        <v/>
      </c>
      <c r="B126" t="str">
        <f>IF(LEN($A126),IF(LEN(Declarations!$B126)&gt;0,Declarations!$B126,"#"&amp;$A126),"")</f>
        <v/>
      </c>
      <c r="C126" s="209" t="str">
        <f t="array" ref="C126">IF(LEN(INDEX(DECLARATIONS,$AA126,3))&gt;0,INDEX(DECLARATIONS,$AA126,3),"...")</f>
        <v>...</v>
      </c>
      <c r="D126" s="209" t="str">
        <f t="shared" si="1"/>
        <v/>
      </c>
      <c r="E126" s="296" t="str">
        <f t="array" ref="E126">IF(ISNA($AA126),0,INDEX(DECLARATIONS,$AA126,5))</f>
        <v/>
      </c>
      <c r="F126" s="209" t="str">
        <f t="array" ref="F126">IF(ISNA($AA126),0,INDEX(DECLARATIONS,$AA126,7))</f>
        <v/>
      </c>
      <c r="G126" s="209" t="str">
        <f t="array" ref="G126">UPPER(IF(ISNA($AA126),"",INDEX(DECLARATIONS,$AA126,4)))</f>
        <v/>
      </c>
      <c r="H126" t="str">
        <f>IF(AND(A126&gt;0,ISTEXT(B126)),IF(SECNAME="YES",LEFT(B126&amp;" ",FIND(" ",B126&amp;" ")+2)&amp;IF(F126&gt;0," ("&amp;F126&amp;")",""),B126&amp;IF(F126&gt;0," ("&amp;F126&amp;")","")),"#"&amp;$A126)</f>
        <v/>
      </c>
      <c r="I126" s="209">
        <f>IF(LEN($A126)&gt;0,IF(LEN($J126)&gt;0,MATCH(J126,MatchNames,0),EventIndex),0)</f>
        <v>0</v>
      </c>
      <c r="J126" s="209" t="str">
        <f>IF(LEN($A126)&gt;0,IF(LEN(Declarations!$F126)&gt;0,Declarations!$F126,conftype),"")</f>
        <v/>
      </c>
      <c r="M126" s="297">
        <f>IF(ISNA(VLOOKUP($A126,SprintData,2,FALSE)),0,VLOOKUP($A126,SprintData,2,FALSE))</f>
        <v>0</v>
      </c>
      <c r="N126" s="297">
        <f>IF(ISNA(VLOOKUP($A126,JumpData,2,FALSE)),0,VLOOKUP($A126,JumpData,2,FALSE))</f>
        <v>0</v>
      </c>
      <c r="O126" s="297">
        <f>IF(ISNA(VLOOKUP($A126,RunData,2,FALSE)),0,VLOOKUP($A126,RunData,2,FALSE))</f>
        <v>0</v>
      </c>
      <c r="P126" s="297">
        <f>IF(ISNA(VLOOKUP($A126,ThrowData,2,FALSE)),0,VLOOKUP($A126,ThrowData,2,FALSE))</f>
        <v>0</v>
      </c>
      <c r="Q126" s="298">
        <f>IF(ISNA(VLOOKUP($A126,SprintData,4,FALSE)),0,VLOOKUP($A126,SprintData,4,FALSE))+V126</f>
        <v>0</v>
      </c>
      <c r="R126" s="298">
        <f>IF(ISNA(VLOOKUP($A126,JumpData,4,FALSE)),0,VLOOKUP($A126,JumpData,4,FALSE))+W126</f>
        <v>0</v>
      </c>
      <c r="S126" s="298">
        <f>IF(ISNA(VLOOKUP($A126,RunData,4,FALSE)),0,VLOOKUP($A126,RunData,4,FALSE))+X126</f>
        <v>0</v>
      </c>
      <c r="T126" s="298">
        <f>IF(ISNA(VLOOKUP($A126,ThrowData,4,FALSE)),0,VLOOKUP($A126,ThrowData,4,FALSE))+Y126</f>
        <v>0</v>
      </c>
      <c r="U126" s="299">
        <f t="shared" si="2"/>
        <v>0</v>
      </c>
      <c r="V126">
        <f>IF(AND($F126&gt;0,NOT(M126),Flexing),FlexPC,0)</f>
        <v>0</v>
      </c>
      <c r="W126">
        <f>IF(AND($F126&gt;0,NOT(N126),Flexing),FlexPC,0)</f>
        <v>0</v>
      </c>
      <c r="X126">
        <f>IF(AND($F126&gt;0,NOT(O126),Flexing),FlexPC,0)</f>
        <v>0</v>
      </c>
      <c r="Y126">
        <f>IF(AND($F126&gt;0,NOT(P126),Flexing),FlexPC,0)</f>
        <v>0</v>
      </c>
      <c r="AA126" s="209">
        <f t="shared" si="3"/>
        <v>125</v>
      </c>
    </row>
    <row r="127" ht="15.75" customHeight="1">
      <c r="A127" s="206" t="str">
        <f>+Declarations!A127&amp;""</f>
        <v/>
      </c>
      <c r="B127" t="str">
        <f>IF(LEN($A127),IF(LEN(Declarations!$B127)&gt;0,Declarations!$B127,"#"&amp;$A127),"")</f>
        <v/>
      </c>
      <c r="C127" s="209" t="str">
        <f t="array" ref="C127">IF(LEN(INDEX(DECLARATIONS,$AA127,3))&gt;0,INDEX(DECLARATIONS,$AA127,3),"...")</f>
        <v>...</v>
      </c>
      <c r="D127" s="209" t="str">
        <f t="shared" si="1"/>
        <v/>
      </c>
      <c r="E127" s="296" t="str">
        <f t="array" ref="E127">IF(ISNA($AA127),0,INDEX(DECLARATIONS,$AA127,5))</f>
        <v/>
      </c>
      <c r="F127" s="209" t="str">
        <f t="array" ref="F127">IF(ISNA($AA127),0,INDEX(DECLARATIONS,$AA127,7))</f>
        <v/>
      </c>
      <c r="G127" s="209" t="str">
        <f t="array" ref="G127">UPPER(IF(ISNA($AA127),"",INDEX(DECLARATIONS,$AA127,4)))</f>
        <v/>
      </c>
      <c r="H127" t="str">
        <f>IF(AND(A127&gt;0,ISTEXT(B127)),IF(SECNAME="YES",LEFT(B127&amp;" ",FIND(" ",B127&amp;" ")+2)&amp;IF(F127&gt;0," ("&amp;F127&amp;")",""),B127&amp;IF(F127&gt;0," ("&amp;F127&amp;")","")),"#"&amp;$A127)</f>
        <v/>
      </c>
      <c r="I127" s="209">
        <f>IF(LEN($A127)&gt;0,IF(LEN($J127)&gt;0,MATCH(J127,MatchNames,0),EventIndex),0)</f>
        <v>0</v>
      </c>
      <c r="J127" s="209" t="str">
        <f>IF(LEN($A127)&gt;0,IF(LEN(Declarations!$F127)&gt;0,Declarations!$F127,conftype),"")</f>
        <v/>
      </c>
      <c r="M127" s="297">
        <f>IF(ISNA(VLOOKUP($A127,SprintData,2,FALSE)),0,VLOOKUP($A127,SprintData,2,FALSE))</f>
        <v>0</v>
      </c>
      <c r="N127" s="297">
        <f>IF(ISNA(VLOOKUP($A127,JumpData,2,FALSE)),0,VLOOKUP($A127,JumpData,2,FALSE))</f>
        <v>0</v>
      </c>
      <c r="O127" s="297">
        <f>IF(ISNA(VLOOKUP($A127,RunData,2,FALSE)),0,VLOOKUP($A127,RunData,2,FALSE))</f>
        <v>0</v>
      </c>
      <c r="P127" s="297">
        <f>IF(ISNA(VLOOKUP($A127,ThrowData,2,FALSE)),0,VLOOKUP($A127,ThrowData,2,FALSE))</f>
        <v>0</v>
      </c>
      <c r="Q127" s="298">
        <f>IF(ISNA(VLOOKUP($A127,SprintData,4,FALSE)),0,VLOOKUP($A127,SprintData,4,FALSE))+V127</f>
        <v>0</v>
      </c>
      <c r="R127" s="298">
        <f>IF(ISNA(VLOOKUP($A127,JumpData,4,FALSE)),0,VLOOKUP($A127,JumpData,4,FALSE))+W127</f>
        <v>0</v>
      </c>
      <c r="S127" s="298">
        <f>IF(ISNA(VLOOKUP($A127,RunData,4,FALSE)),0,VLOOKUP($A127,RunData,4,FALSE))+X127</f>
        <v>0</v>
      </c>
      <c r="T127" s="298">
        <f>IF(ISNA(VLOOKUP($A127,ThrowData,4,FALSE)),0,VLOOKUP($A127,ThrowData,4,FALSE))+Y127</f>
        <v>0</v>
      </c>
      <c r="U127" s="299">
        <f t="shared" si="2"/>
        <v>0</v>
      </c>
      <c r="V127">
        <f>IF(AND($F127&gt;0,NOT(M127),Flexing),FlexPC,0)</f>
        <v>0</v>
      </c>
      <c r="W127">
        <f>IF(AND($F127&gt;0,NOT(N127),Flexing),FlexPC,0)</f>
        <v>0</v>
      </c>
      <c r="X127">
        <f>IF(AND($F127&gt;0,NOT(O127),Flexing),FlexPC,0)</f>
        <v>0</v>
      </c>
      <c r="Y127">
        <f>IF(AND($F127&gt;0,NOT(P127),Flexing),FlexPC,0)</f>
        <v>0</v>
      </c>
      <c r="AA127" s="209">
        <f t="shared" si="3"/>
        <v>126</v>
      </c>
    </row>
    <row r="128" ht="15.75" customHeight="1">
      <c r="A128" s="206" t="str">
        <f>+Declarations!A128&amp;""</f>
        <v/>
      </c>
      <c r="B128" t="str">
        <f>IF(LEN($A128),IF(LEN(Declarations!$B128)&gt;0,Declarations!$B128,"#"&amp;$A128),"")</f>
        <v/>
      </c>
      <c r="C128" s="209" t="str">
        <f t="array" ref="C128">IF(LEN(INDEX(DECLARATIONS,$AA128,3))&gt;0,INDEX(DECLARATIONS,$AA128,3),"...")</f>
        <v>...</v>
      </c>
      <c r="D128" s="209" t="str">
        <f t="shared" si="1"/>
        <v/>
      </c>
      <c r="E128" s="296" t="str">
        <f t="array" ref="E128">IF(ISNA($AA128),0,INDEX(DECLARATIONS,$AA128,5))</f>
        <v/>
      </c>
      <c r="F128" s="209" t="str">
        <f t="array" ref="F128">IF(ISNA($AA128),0,INDEX(DECLARATIONS,$AA128,7))</f>
        <v/>
      </c>
      <c r="G128" s="209" t="str">
        <f t="array" ref="G128">UPPER(IF(ISNA($AA128),"",INDEX(DECLARATIONS,$AA128,4)))</f>
        <v/>
      </c>
      <c r="H128" t="str">
        <f>IF(AND(A128&gt;0,ISTEXT(B128)),IF(SECNAME="YES",LEFT(B128&amp;" ",FIND(" ",B128&amp;" ")+2)&amp;IF(F128&gt;0," ("&amp;F128&amp;")",""),B128&amp;IF(F128&gt;0," ("&amp;F128&amp;")","")),"#"&amp;$A128)</f>
        <v/>
      </c>
      <c r="I128" s="209">
        <f>IF(LEN($A128)&gt;0,IF(LEN($J128)&gt;0,MATCH(J128,MatchNames,0),EventIndex),0)</f>
        <v>0</v>
      </c>
      <c r="J128" s="209" t="str">
        <f>IF(LEN($A128)&gt;0,IF(LEN(Declarations!$F128)&gt;0,Declarations!$F128,conftype),"")</f>
        <v/>
      </c>
      <c r="M128" s="297">
        <f>IF(ISNA(VLOOKUP($A128,SprintData,2,FALSE)),0,VLOOKUP($A128,SprintData,2,FALSE))</f>
        <v>0</v>
      </c>
      <c r="N128" s="297">
        <f>IF(ISNA(VLOOKUP($A128,JumpData,2,FALSE)),0,VLOOKUP($A128,JumpData,2,FALSE))</f>
        <v>0</v>
      </c>
      <c r="O128" s="297">
        <f>IF(ISNA(VLOOKUP($A128,RunData,2,FALSE)),0,VLOOKUP($A128,RunData,2,FALSE))</f>
        <v>0</v>
      </c>
      <c r="P128" s="297">
        <f>IF(ISNA(VLOOKUP($A128,ThrowData,2,FALSE)),0,VLOOKUP($A128,ThrowData,2,FALSE))</f>
        <v>0</v>
      </c>
      <c r="Q128" s="298">
        <f>IF(ISNA(VLOOKUP($A128,SprintData,4,FALSE)),0,VLOOKUP($A128,SprintData,4,FALSE))+V128</f>
        <v>0</v>
      </c>
      <c r="R128" s="298">
        <f>IF(ISNA(VLOOKUP($A128,JumpData,4,FALSE)),0,VLOOKUP($A128,JumpData,4,FALSE))+W128</f>
        <v>0</v>
      </c>
      <c r="S128" s="298">
        <f>IF(ISNA(VLOOKUP($A128,RunData,4,FALSE)),0,VLOOKUP($A128,RunData,4,FALSE))+X128</f>
        <v>0</v>
      </c>
      <c r="T128" s="298">
        <f>IF(ISNA(VLOOKUP($A128,ThrowData,4,FALSE)),0,VLOOKUP($A128,ThrowData,4,FALSE))+Y128</f>
        <v>0</v>
      </c>
      <c r="U128" s="299">
        <f t="shared" si="2"/>
        <v>0</v>
      </c>
      <c r="V128">
        <f>IF(AND($F128&gt;0,NOT(M128),Flexing),FlexPC,0)</f>
        <v>0</v>
      </c>
      <c r="W128">
        <f>IF(AND($F128&gt;0,NOT(N128),Flexing),FlexPC,0)</f>
        <v>0</v>
      </c>
      <c r="X128">
        <f>IF(AND($F128&gt;0,NOT(O128),Flexing),FlexPC,0)</f>
        <v>0</v>
      </c>
      <c r="Y128">
        <f>IF(AND($F128&gt;0,NOT(P128),Flexing),FlexPC,0)</f>
        <v>0</v>
      </c>
      <c r="AA128" s="209">
        <f t="shared" si="3"/>
        <v>127</v>
      </c>
    </row>
    <row r="129" ht="15.75" customHeight="1">
      <c r="A129" s="206" t="str">
        <f>+Declarations!A129&amp;""</f>
        <v/>
      </c>
      <c r="B129" t="str">
        <f>IF(LEN($A129),IF(LEN(Declarations!$B129)&gt;0,Declarations!$B129,"#"&amp;$A129),"")</f>
        <v/>
      </c>
      <c r="C129" s="209" t="str">
        <f t="array" ref="C129">IF(LEN(INDEX(DECLARATIONS,$AA129,3))&gt;0,INDEX(DECLARATIONS,$AA129,3),"...")</f>
        <v>...</v>
      </c>
      <c r="D129" s="209" t="str">
        <f t="shared" si="1"/>
        <v/>
      </c>
      <c r="E129" s="296" t="str">
        <f t="array" ref="E129">IF(ISNA($AA129),0,INDEX(DECLARATIONS,$AA129,5))</f>
        <v/>
      </c>
      <c r="F129" s="209" t="str">
        <f t="array" ref="F129">IF(ISNA($AA129),0,INDEX(DECLARATIONS,$AA129,7))</f>
        <v/>
      </c>
      <c r="G129" s="209" t="str">
        <f t="array" ref="G129">UPPER(IF(ISNA($AA129),"",INDEX(DECLARATIONS,$AA129,4)))</f>
        <v/>
      </c>
      <c r="H129" t="str">
        <f>IF(AND(A129&gt;0,ISTEXT(B129)),IF(SECNAME="YES",LEFT(B129&amp;" ",FIND(" ",B129&amp;" ")+2)&amp;IF(F129&gt;0," ("&amp;F129&amp;")",""),B129&amp;IF(F129&gt;0," ("&amp;F129&amp;")","")),"#"&amp;$A129)</f>
        <v/>
      </c>
      <c r="I129" s="209">
        <f>IF(LEN($A129)&gt;0,IF(LEN($J129)&gt;0,MATCH(J129,MatchNames,0),EventIndex),0)</f>
        <v>0</v>
      </c>
      <c r="J129" s="209" t="str">
        <f>IF(LEN($A129)&gt;0,IF(LEN(Declarations!$F129)&gt;0,Declarations!$F129,conftype),"")</f>
        <v/>
      </c>
      <c r="M129" s="297">
        <f>IF(ISNA(VLOOKUP($A129,SprintData,2,FALSE)),0,VLOOKUP($A129,SprintData,2,FALSE))</f>
        <v>0</v>
      </c>
      <c r="N129" s="297">
        <f>IF(ISNA(VLOOKUP($A129,JumpData,2,FALSE)),0,VLOOKUP($A129,JumpData,2,FALSE))</f>
        <v>0</v>
      </c>
      <c r="O129" s="297">
        <f>IF(ISNA(VLOOKUP($A129,RunData,2,FALSE)),0,VLOOKUP($A129,RunData,2,FALSE))</f>
        <v>0</v>
      </c>
      <c r="P129" s="297">
        <f>IF(ISNA(VLOOKUP($A129,ThrowData,2,FALSE)),0,VLOOKUP($A129,ThrowData,2,FALSE))</f>
        <v>0</v>
      </c>
      <c r="Q129" s="298">
        <f>IF(ISNA(VLOOKUP($A129,SprintData,4,FALSE)),0,VLOOKUP($A129,SprintData,4,FALSE))+V129</f>
        <v>0</v>
      </c>
      <c r="R129" s="298">
        <f>IF(ISNA(VLOOKUP($A129,JumpData,4,FALSE)),0,VLOOKUP($A129,JumpData,4,FALSE))+W129</f>
        <v>0</v>
      </c>
      <c r="S129" s="298">
        <f>IF(ISNA(VLOOKUP($A129,RunData,4,FALSE)),0,VLOOKUP($A129,RunData,4,FALSE))+X129</f>
        <v>0</v>
      </c>
      <c r="T129" s="298">
        <f>IF(ISNA(VLOOKUP($A129,ThrowData,4,FALSE)),0,VLOOKUP($A129,ThrowData,4,FALSE))+Y129</f>
        <v>0</v>
      </c>
      <c r="U129" s="299">
        <f t="shared" si="2"/>
        <v>0</v>
      </c>
      <c r="V129">
        <f>IF(AND($F129&gt;0,NOT(M129),Flexing),FlexPC,0)</f>
        <v>0</v>
      </c>
      <c r="W129">
        <f>IF(AND($F129&gt;0,NOT(N129),Flexing),FlexPC,0)</f>
        <v>0</v>
      </c>
      <c r="X129">
        <f>IF(AND($F129&gt;0,NOT(O129),Flexing),FlexPC,0)</f>
        <v>0</v>
      </c>
      <c r="Y129">
        <f>IF(AND($F129&gt;0,NOT(P129),Flexing),FlexPC,0)</f>
        <v>0</v>
      </c>
      <c r="AA129" s="209">
        <f t="shared" si="3"/>
        <v>128</v>
      </c>
    </row>
    <row r="130" ht="15.75" customHeight="1">
      <c r="A130" s="206" t="str">
        <f>+Declarations!A130&amp;""</f>
        <v/>
      </c>
      <c r="B130" t="str">
        <f>IF(LEN($A130),IF(LEN(Declarations!$B130)&gt;0,Declarations!$B130,"#"&amp;$A130),"")</f>
        <v/>
      </c>
      <c r="C130" s="209" t="str">
        <f t="array" ref="C130">IF(LEN(INDEX(DECLARATIONS,$AA130,3))&gt;0,INDEX(DECLARATIONS,$AA130,3),"...")</f>
        <v>...</v>
      </c>
      <c r="D130" s="209" t="str">
        <f t="shared" si="1"/>
        <v/>
      </c>
      <c r="E130" s="296" t="str">
        <f t="array" ref="E130">IF(ISNA($AA130),0,INDEX(DECLARATIONS,$AA130,5))</f>
        <v/>
      </c>
      <c r="F130" s="209" t="str">
        <f t="array" ref="F130">IF(ISNA($AA130),0,INDEX(DECLARATIONS,$AA130,7))</f>
        <v/>
      </c>
      <c r="G130" s="209" t="str">
        <f t="array" ref="G130">UPPER(IF(ISNA($AA130),"",INDEX(DECLARATIONS,$AA130,4)))</f>
        <v/>
      </c>
      <c r="H130" t="str">
        <f>IF(AND(A130&gt;0,ISTEXT(B130)),IF(SECNAME="YES",LEFT(B130&amp;" ",FIND(" ",B130&amp;" ")+2)&amp;IF(F130&gt;0," ("&amp;F130&amp;")",""),B130&amp;IF(F130&gt;0," ("&amp;F130&amp;")","")),"#"&amp;$A130)</f>
        <v/>
      </c>
      <c r="I130" s="209">
        <f>IF(LEN($A130)&gt;0,IF(LEN($J130)&gt;0,MATCH(J130,MatchNames,0),EventIndex),0)</f>
        <v>0</v>
      </c>
      <c r="J130" s="209" t="str">
        <f>IF(LEN($A130)&gt;0,IF(LEN(Declarations!$F130)&gt;0,Declarations!$F130,conftype),"")</f>
        <v/>
      </c>
      <c r="M130" s="297">
        <f>IF(ISNA(VLOOKUP($A130,SprintData,2,FALSE)),0,VLOOKUP($A130,SprintData,2,FALSE))</f>
        <v>0</v>
      </c>
      <c r="N130" s="297">
        <f>IF(ISNA(VLOOKUP($A130,JumpData,2,FALSE)),0,VLOOKUP($A130,JumpData,2,FALSE))</f>
        <v>0</v>
      </c>
      <c r="O130" s="297">
        <f>IF(ISNA(VLOOKUP($A130,RunData,2,FALSE)),0,VLOOKUP($A130,RunData,2,FALSE))</f>
        <v>0</v>
      </c>
      <c r="P130" s="297">
        <f>IF(ISNA(VLOOKUP($A130,ThrowData,2,FALSE)),0,VLOOKUP($A130,ThrowData,2,FALSE))</f>
        <v>0</v>
      </c>
      <c r="Q130" s="298">
        <f>IF(ISNA(VLOOKUP($A130,SprintData,4,FALSE)),0,VLOOKUP($A130,SprintData,4,FALSE))+V130</f>
        <v>0</v>
      </c>
      <c r="R130" s="298">
        <f>IF(ISNA(VLOOKUP($A130,JumpData,4,FALSE)),0,VLOOKUP($A130,JumpData,4,FALSE))+W130</f>
        <v>0</v>
      </c>
      <c r="S130" s="298">
        <f>IF(ISNA(VLOOKUP($A130,RunData,4,FALSE)),0,VLOOKUP($A130,RunData,4,FALSE))+X130</f>
        <v>0</v>
      </c>
      <c r="T130" s="298">
        <f>IF(ISNA(VLOOKUP($A130,ThrowData,4,FALSE)),0,VLOOKUP($A130,ThrowData,4,FALSE))+Y130</f>
        <v>0</v>
      </c>
      <c r="U130" s="299">
        <f t="shared" si="2"/>
        <v>0</v>
      </c>
      <c r="V130">
        <f>IF(AND($F130&gt;0,NOT(M130),Flexing),FlexPC,0)</f>
        <v>0</v>
      </c>
      <c r="W130">
        <f>IF(AND($F130&gt;0,NOT(N130),Flexing),FlexPC,0)</f>
        <v>0</v>
      </c>
      <c r="X130">
        <f>IF(AND($F130&gt;0,NOT(O130),Flexing),FlexPC,0)</f>
        <v>0</v>
      </c>
      <c r="Y130">
        <f>IF(AND($F130&gt;0,NOT(P130),Flexing),FlexPC,0)</f>
        <v>0</v>
      </c>
      <c r="AA130" s="209">
        <f t="shared" si="3"/>
        <v>129</v>
      </c>
    </row>
    <row r="131" ht="15.75" customHeight="1">
      <c r="A131" s="206" t="str">
        <f>+Declarations!A131&amp;""</f>
        <v/>
      </c>
      <c r="B131" t="str">
        <f>IF(LEN($A131),IF(LEN(Declarations!$B131)&gt;0,Declarations!$B131,"#"&amp;$A131),"")</f>
        <v/>
      </c>
      <c r="C131" s="209" t="str">
        <f t="array" ref="C131">IF(LEN(INDEX(DECLARATIONS,$AA131,3))&gt;0,INDEX(DECLARATIONS,$AA131,3),"...")</f>
        <v>...</v>
      </c>
      <c r="D131" s="209" t="str">
        <f t="shared" si="1"/>
        <v/>
      </c>
      <c r="E131" s="296" t="str">
        <f t="array" ref="E131">IF(ISNA($AA131),0,INDEX(DECLARATIONS,$AA131,5))</f>
        <v/>
      </c>
      <c r="F131" s="209" t="str">
        <f t="array" ref="F131">IF(ISNA($AA131),0,INDEX(DECLARATIONS,$AA131,7))</f>
        <v/>
      </c>
      <c r="G131" s="209" t="str">
        <f t="array" ref="G131">UPPER(IF(ISNA($AA131),"",INDEX(DECLARATIONS,$AA131,4)))</f>
        <v/>
      </c>
      <c r="H131" t="str">
        <f>IF(AND(A131&gt;0,ISTEXT(B131)),IF(SECNAME="YES",LEFT(B131&amp;" ",FIND(" ",B131&amp;" ")+2)&amp;IF(F131&gt;0," ("&amp;F131&amp;")",""),B131&amp;IF(F131&gt;0," ("&amp;F131&amp;")","")),"#"&amp;$A131)</f>
        <v/>
      </c>
      <c r="I131" s="209">
        <f>IF(LEN($A131)&gt;0,IF(LEN($J131)&gt;0,MATCH(J131,MatchNames,0),EventIndex),0)</f>
        <v>0</v>
      </c>
      <c r="J131" s="209" t="str">
        <f>IF(LEN($A131)&gt;0,IF(LEN(Declarations!$F131)&gt;0,Declarations!$F131,conftype),"")</f>
        <v/>
      </c>
      <c r="M131" s="297">
        <f>IF(ISNA(VLOOKUP($A131,SprintData,2,FALSE)),0,VLOOKUP($A131,SprintData,2,FALSE))</f>
        <v>0</v>
      </c>
      <c r="N131" s="297">
        <f>IF(ISNA(VLOOKUP($A131,JumpData,2,FALSE)),0,VLOOKUP($A131,JumpData,2,FALSE))</f>
        <v>0</v>
      </c>
      <c r="O131" s="297">
        <f>IF(ISNA(VLOOKUP($A131,RunData,2,FALSE)),0,VLOOKUP($A131,RunData,2,FALSE))</f>
        <v>0</v>
      </c>
      <c r="P131" s="297">
        <f>IF(ISNA(VLOOKUP($A131,ThrowData,2,FALSE)),0,VLOOKUP($A131,ThrowData,2,FALSE))</f>
        <v>0</v>
      </c>
      <c r="Q131" s="298">
        <f>IF(ISNA(VLOOKUP($A131,SprintData,4,FALSE)),0,VLOOKUP($A131,SprintData,4,FALSE))+V131</f>
        <v>0</v>
      </c>
      <c r="R131" s="298">
        <f>IF(ISNA(VLOOKUP($A131,JumpData,4,FALSE)),0,VLOOKUP($A131,JumpData,4,FALSE))+W131</f>
        <v>0</v>
      </c>
      <c r="S131" s="298">
        <f>IF(ISNA(VLOOKUP($A131,RunData,4,FALSE)),0,VLOOKUP($A131,RunData,4,FALSE))+X131</f>
        <v>0</v>
      </c>
      <c r="T131" s="298">
        <f>IF(ISNA(VLOOKUP($A131,ThrowData,4,FALSE)),0,VLOOKUP($A131,ThrowData,4,FALSE))+Y131</f>
        <v>0</v>
      </c>
      <c r="U131" s="299">
        <f t="shared" si="2"/>
        <v>0</v>
      </c>
      <c r="V131">
        <f>IF(AND($F131&gt;0,NOT(M131),Flexing),FlexPC,0)</f>
        <v>0</v>
      </c>
      <c r="W131">
        <f>IF(AND($F131&gt;0,NOT(N131),Flexing),FlexPC,0)</f>
        <v>0</v>
      </c>
      <c r="X131">
        <f>IF(AND($F131&gt;0,NOT(O131),Flexing),FlexPC,0)</f>
        <v>0</v>
      </c>
      <c r="Y131">
        <f>IF(AND($F131&gt;0,NOT(P131),Flexing),FlexPC,0)</f>
        <v>0</v>
      </c>
      <c r="AA131" s="209">
        <f t="shared" si="3"/>
        <v>130</v>
      </c>
    </row>
    <row r="132" ht="15.75" customHeight="1">
      <c r="A132" s="206" t="str">
        <f>+Declarations!A132&amp;""</f>
        <v/>
      </c>
      <c r="B132" t="str">
        <f>IF(LEN($A132),IF(LEN(Declarations!$B132)&gt;0,Declarations!$B132,"#"&amp;$A132),"")</f>
        <v/>
      </c>
      <c r="C132" s="209" t="str">
        <f t="array" ref="C132">IF(LEN(INDEX(DECLARATIONS,$AA132,3))&gt;0,INDEX(DECLARATIONS,$AA132,3),"...")</f>
        <v>...</v>
      </c>
      <c r="D132" s="209" t="str">
        <f t="shared" si="1"/>
        <v/>
      </c>
      <c r="E132" s="296" t="str">
        <f t="array" ref="E132">IF(ISNA($AA132),0,INDEX(DECLARATIONS,$AA132,5))</f>
        <v/>
      </c>
      <c r="F132" s="209" t="str">
        <f t="array" ref="F132">IF(ISNA($AA132),0,INDEX(DECLARATIONS,$AA132,7))</f>
        <v/>
      </c>
      <c r="G132" s="209" t="str">
        <f t="array" ref="G132">UPPER(IF(ISNA($AA132),"",INDEX(DECLARATIONS,$AA132,4)))</f>
        <v/>
      </c>
      <c r="H132" t="str">
        <f>IF(AND(A132&gt;0,ISTEXT(B132)),IF(SECNAME="YES",LEFT(B132&amp;" ",FIND(" ",B132&amp;" ")+2)&amp;IF(F132&gt;0," ("&amp;F132&amp;")",""),B132&amp;IF(F132&gt;0," ("&amp;F132&amp;")","")),"#"&amp;$A132)</f>
        <v/>
      </c>
      <c r="I132" s="209">
        <f>IF(LEN($A132)&gt;0,IF(LEN($J132)&gt;0,MATCH(J132,MatchNames,0),EventIndex),0)</f>
        <v>0</v>
      </c>
      <c r="J132" s="209" t="str">
        <f>IF(LEN($A132)&gt;0,IF(LEN(Declarations!$F132)&gt;0,Declarations!$F132,conftype),"")</f>
        <v/>
      </c>
      <c r="M132" s="297">
        <f>IF(ISNA(VLOOKUP($A132,SprintData,2,FALSE)),0,VLOOKUP($A132,SprintData,2,FALSE))</f>
        <v>0</v>
      </c>
      <c r="N132" s="297">
        <f>IF(ISNA(VLOOKUP($A132,JumpData,2,FALSE)),0,VLOOKUP($A132,JumpData,2,FALSE))</f>
        <v>0</v>
      </c>
      <c r="O132" s="297">
        <f>IF(ISNA(VLOOKUP($A132,RunData,2,FALSE)),0,VLOOKUP($A132,RunData,2,FALSE))</f>
        <v>0</v>
      </c>
      <c r="P132" s="297">
        <f>IF(ISNA(VLOOKUP($A132,ThrowData,2,FALSE)),0,VLOOKUP($A132,ThrowData,2,FALSE))</f>
        <v>0</v>
      </c>
      <c r="Q132" s="298">
        <f>IF(ISNA(VLOOKUP($A132,SprintData,4,FALSE)),0,VLOOKUP($A132,SprintData,4,FALSE))+V132</f>
        <v>0</v>
      </c>
      <c r="R132" s="298">
        <f>IF(ISNA(VLOOKUP($A132,JumpData,4,FALSE)),0,VLOOKUP($A132,JumpData,4,FALSE))+W132</f>
        <v>0</v>
      </c>
      <c r="S132" s="298">
        <f>IF(ISNA(VLOOKUP($A132,RunData,4,FALSE)),0,VLOOKUP($A132,RunData,4,FALSE))+X132</f>
        <v>0</v>
      </c>
      <c r="T132" s="298">
        <f>IF(ISNA(VLOOKUP($A132,ThrowData,4,FALSE)),0,VLOOKUP($A132,ThrowData,4,FALSE))+Y132</f>
        <v>0</v>
      </c>
      <c r="U132" s="299">
        <f t="shared" si="2"/>
        <v>0</v>
      </c>
      <c r="V132">
        <f>IF(AND($F132&gt;0,NOT(M132),Flexing),FlexPC,0)</f>
        <v>0</v>
      </c>
      <c r="W132">
        <f>IF(AND($F132&gt;0,NOT(N132),Flexing),FlexPC,0)</f>
        <v>0</v>
      </c>
      <c r="X132">
        <f>IF(AND($F132&gt;0,NOT(O132),Flexing),FlexPC,0)</f>
        <v>0</v>
      </c>
      <c r="Y132">
        <f>IF(AND($F132&gt;0,NOT(P132),Flexing),FlexPC,0)</f>
        <v>0</v>
      </c>
      <c r="AA132" s="209">
        <f t="shared" si="3"/>
        <v>131</v>
      </c>
    </row>
    <row r="133" ht="15.75" customHeight="1">
      <c r="A133" s="206" t="str">
        <f>+Declarations!A133&amp;""</f>
        <v/>
      </c>
      <c r="B133" t="str">
        <f>IF(LEN($A133),IF(LEN(Declarations!$B133)&gt;0,Declarations!$B133,"#"&amp;$A133),"")</f>
        <v/>
      </c>
      <c r="C133" s="209" t="str">
        <f t="array" ref="C133">IF(LEN(INDEX(DECLARATIONS,$AA133,3))&gt;0,INDEX(DECLARATIONS,$AA133,3),"...")</f>
        <v>...</v>
      </c>
      <c r="D133" s="209" t="str">
        <f t="shared" si="1"/>
        <v/>
      </c>
      <c r="E133" s="296" t="str">
        <f t="array" ref="E133">IF(ISNA($AA133),0,INDEX(DECLARATIONS,$AA133,5))</f>
        <v/>
      </c>
      <c r="F133" s="209" t="str">
        <f t="array" ref="F133">IF(ISNA($AA133),0,INDEX(DECLARATIONS,$AA133,7))</f>
        <v/>
      </c>
      <c r="G133" s="209" t="str">
        <f t="array" ref="G133">UPPER(IF(ISNA($AA133),"",INDEX(DECLARATIONS,$AA133,4)))</f>
        <v/>
      </c>
      <c r="H133" t="str">
        <f>IF(AND(A133&gt;0,ISTEXT(B133)),IF(SECNAME="YES",LEFT(B133&amp;" ",FIND(" ",B133&amp;" ")+2)&amp;IF(F133&gt;0," ("&amp;F133&amp;")",""),B133&amp;IF(F133&gt;0," ("&amp;F133&amp;")","")),"#"&amp;$A133)</f>
        <v/>
      </c>
      <c r="I133" s="209">
        <f>IF(LEN($A133)&gt;0,IF(LEN($J133)&gt;0,MATCH(J133,MatchNames,0),EventIndex),0)</f>
        <v>0</v>
      </c>
      <c r="J133" s="209" t="str">
        <f>IF(LEN($A133)&gt;0,IF(LEN(Declarations!$F133)&gt;0,Declarations!$F133,conftype),"")</f>
        <v/>
      </c>
      <c r="M133" s="297">
        <f>IF(ISNA(VLOOKUP($A133,SprintData,2,FALSE)),0,VLOOKUP($A133,SprintData,2,FALSE))</f>
        <v>0</v>
      </c>
      <c r="N133" s="297">
        <f>IF(ISNA(VLOOKUP($A133,JumpData,2,FALSE)),0,VLOOKUP($A133,JumpData,2,FALSE))</f>
        <v>0</v>
      </c>
      <c r="O133" s="297">
        <f>IF(ISNA(VLOOKUP($A133,RunData,2,FALSE)),0,VLOOKUP($A133,RunData,2,FALSE))</f>
        <v>0</v>
      </c>
      <c r="P133" s="297">
        <f>IF(ISNA(VLOOKUP($A133,ThrowData,2,FALSE)),0,VLOOKUP($A133,ThrowData,2,FALSE))</f>
        <v>0</v>
      </c>
      <c r="Q133" s="298">
        <f>IF(ISNA(VLOOKUP($A133,SprintData,4,FALSE)),0,VLOOKUP($A133,SprintData,4,FALSE))+V133</f>
        <v>0</v>
      </c>
      <c r="R133" s="298">
        <f>IF(ISNA(VLOOKUP($A133,JumpData,4,FALSE)),0,VLOOKUP($A133,JumpData,4,FALSE))+W133</f>
        <v>0</v>
      </c>
      <c r="S133" s="298">
        <f>IF(ISNA(VLOOKUP($A133,RunData,4,FALSE)),0,VLOOKUP($A133,RunData,4,FALSE))+X133</f>
        <v>0</v>
      </c>
      <c r="T133" s="298">
        <f>IF(ISNA(VLOOKUP($A133,ThrowData,4,FALSE)),0,VLOOKUP($A133,ThrowData,4,FALSE))+Y133</f>
        <v>0</v>
      </c>
      <c r="U133" s="299">
        <f t="shared" si="2"/>
        <v>0</v>
      </c>
      <c r="V133">
        <f>IF(AND($F133&gt;0,NOT(M133),Flexing),FlexPC,0)</f>
        <v>0</v>
      </c>
      <c r="W133">
        <f>IF(AND($F133&gt;0,NOT(N133),Flexing),FlexPC,0)</f>
        <v>0</v>
      </c>
      <c r="X133">
        <f>IF(AND($F133&gt;0,NOT(O133),Flexing),FlexPC,0)</f>
        <v>0</v>
      </c>
      <c r="Y133">
        <f>IF(AND($F133&gt;0,NOT(P133),Flexing),FlexPC,0)</f>
        <v>0</v>
      </c>
      <c r="AA133" s="209">
        <f t="shared" si="3"/>
        <v>132</v>
      </c>
    </row>
    <row r="134" ht="15.75" customHeight="1">
      <c r="A134" s="206" t="str">
        <f>+Declarations!A134&amp;""</f>
        <v/>
      </c>
      <c r="B134" t="str">
        <f>IF(LEN($A134),IF(LEN(Declarations!$B134)&gt;0,Declarations!$B134,"#"&amp;$A134),"")</f>
        <v/>
      </c>
      <c r="C134" s="209" t="str">
        <f t="array" ref="C134">IF(LEN(INDEX(DECLARATIONS,$AA134,3))&gt;0,INDEX(DECLARATIONS,$AA134,3),"...")</f>
        <v>...</v>
      </c>
      <c r="D134" s="209" t="str">
        <f t="shared" si="1"/>
        <v/>
      </c>
      <c r="E134" s="296" t="str">
        <f t="array" ref="E134">IF(ISNA($AA134),0,INDEX(DECLARATIONS,$AA134,5))</f>
        <v/>
      </c>
      <c r="F134" s="209" t="str">
        <f t="array" ref="F134">IF(ISNA($AA134),0,INDEX(DECLARATIONS,$AA134,7))</f>
        <v/>
      </c>
      <c r="G134" s="209" t="str">
        <f t="array" ref="G134">UPPER(IF(ISNA($AA134),"",INDEX(DECLARATIONS,$AA134,4)))</f>
        <v/>
      </c>
      <c r="H134" t="str">
        <f>IF(AND(A134&gt;0,ISTEXT(B134)),IF(SECNAME="YES",LEFT(B134&amp;" ",FIND(" ",B134&amp;" ")+2)&amp;IF(F134&gt;0," ("&amp;F134&amp;")",""),B134&amp;IF(F134&gt;0," ("&amp;F134&amp;")","")),"#"&amp;$A134)</f>
        <v/>
      </c>
      <c r="I134" s="209">
        <f>IF(LEN($A134)&gt;0,IF(LEN($J134)&gt;0,MATCH(J134,MatchNames,0),EventIndex),0)</f>
        <v>0</v>
      </c>
      <c r="J134" s="209" t="str">
        <f>IF(LEN($A134)&gt;0,IF(LEN(Declarations!$F134)&gt;0,Declarations!$F134,conftype),"")</f>
        <v/>
      </c>
      <c r="M134" s="297">
        <f>IF(ISNA(VLOOKUP($A134,SprintData,2,FALSE)),0,VLOOKUP($A134,SprintData,2,FALSE))</f>
        <v>0</v>
      </c>
      <c r="N134" s="297">
        <f>IF(ISNA(VLOOKUP($A134,JumpData,2,FALSE)),0,VLOOKUP($A134,JumpData,2,FALSE))</f>
        <v>0</v>
      </c>
      <c r="O134" s="297">
        <f>IF(ISNA(VLOOKUP($A134,RunData,2,FALSE)),0,VLOOKUP($A134,RunData,2,FALSE))</f>
        <v>0</v>
      </c>
      <c r="P134" s="297">
        <f>IF(ISNA(VLOOKUP($A134,ThrowData,2,FALSE)),0,VLOOKUP($A134,ThrowData,2,FALSE))</f>
        <v>0</v>
      </c>
      <c r="Q134" s="298">
        <f>IF(ISNA(VLOOKUP($A134,SprintData,4,FALSE)),0,VLOOKUP($A134,SprintData,4,FALSE))+V134</f>
        <v>0</v>
      </c>
      <c r="R134" s="298">
        <f>IF(ISNA(VLOOKUP($A134,JumpData,4,FALSE)),0,VLOOKUP($A134,JumpData,4,FALSE))+W134</f>
        <v>0</v>
      </c>
      <c r="S134" s="298">
        <f>IF(ISNA(VLOOKUP($A134,RunData,4,FALSE)),0,VLOOKUP($A134,RunData,4,FALSE))+X134</f>
        <v>0</v>
      </c>
      <c r="T134" s="298">
        <f>IF(ISNA(VLOOKUP($A134,ThrowData,4,FALSE)),0,VLOOKUP($A134,ThrowData,4,FALSE))+Y134</f>
        <v>0</v>
      </c>
      <c r="U134" s="299">
        <f t="shared" si="2"/>
        <v>0</v>
      </c>
      <c r="V134">
        <f>IF(AND($F134&gt;0,NOT(M134),Flexing),FlexPC,0)</f>
        <v>0</v>
      </c>
      <c r="W134">
        <f>IF(AND($F134&gt;0,NOT(N134),Flexing),FlexPC,0)</f>
        <v>0</v>
      </c>
      <c r="X134">
        <f>IF(AND($F134&gt;0,NOT(O134),Flexing),FlexPC,0)</f>
        <v>0</v>
      </c>
      <c r="Y134">
        <f>IF(AND($F134&gt;0,NOT(P134),Flexing),FlexPC,0)</f>
        <v>0</v>
      </c>
      <c r="AA134" s="209">
        <f t="shared" si="3"/>
        <v>133</v>
      </c>
    </row>
    <row r="135" ht="15.75" customHeight="1">
      <c r="A135" s="206" t="str">
        <f>+Declarations!A135&amp;""</f>
        <v/>
      </c>
      <c r="B135" t="str">
        <f>IF(LEN($A135),IF(LEN(Declarations!$B135)&gt;0,Declarations!$B135,"#"&amp;$A135),"")</f>
        <v/>
      </c>
      <c r="C135" s="209" t="str">
        <f t="array" ref="C135">IF(LEN(INDEX(DECLARATIONS,$AA135,3))&gt;0,INDEX(DECLARATIONS,$AA135,3),"...")</f>
        <v>...</v>
      </c>
      <c r="D135" s="209" t="str">
        <f t="shared" si="1"/>
        <v/>
      </c>
      <c r="E135" s="296" t="str">
        <f t="array" ref="E135">IF(ISNA($AA135),0,INDEX(DECLARATIONS,$AA135,5))</f>
        <v/>
      </c>
      <c r="F135" s="209" t="str">
        <f t="array" ref="F135">IF(ISNA($AA135),0,INDEX(DECLARATIONS,$AA135,7))</f>
        <v/>
      </c>
      <c r="G135" s="209" t="str">
        <f t="array" ref="G135">UPPER(IF(ISNA($AA135),"",INDEX(DECLARATIONS,$AA135,4)))</f>
        <v/>
      </c>
      <c r="H135" t="str">
        <f>IF(AND(A135&gt;0,ISTEXT(B135)),IF(SECNAME="YES",LEFT(B135&amp;" ",FIND(" ",B135&amp;" ")+2)&amp;IF(F135&gt;0," ("&amp;F135&amp;")",""),B135&amp;IF(F135&gt;0," ("&amp;F135&amp;")","")),"#"&amp;$A135)</f>
        <v/>
      </c>
      <c r="I135" s="209">
        <f>IF(LEN($A135)&gt;0,IF(LEN($J135)&gt;0,MATCH(J135,MatchNames,0),EventIndex),0)</f>
        <v>0</v>
      </c>
      <c r="J135" s="209" t="str">
        <f>IF(LEN($A135)&gt;0,IF(LEN(Declarations!$F135)&gt;0,Declarations!$F135,conftype),"")</f>
        <v/>
      </c>
      <c r="M135" s="297">
        <f>IF(ISNA(VLOOKUP($A135,SprintData,2,FALSE)),0,VLOOKUP($A135,SprintData,2,FALSE))</f>
        <v>0</v>
      </c>
      <c r="N135" s="297">
        <f>IF(ISNA(VLOOKUP($A135,JumpData,2,FALSE)),0,VLOOKUP($A135,JumpData,2,FALSE))</f>
        <v>0</v>
      </c>
      <c r="O135" s="297">
        <f>IF(ISNA(VLOOKUP($A135,RunData,2,FALSE)),0,VLOOKUP($A135,RunData,2,FALSE))</f>
        <v>0</v>
      </c>
      <c r="P135" s="297">
        <f>IF(ISNA(VLOOKUP($A135,ThrowData,2,FALSE)),0,VLOOKUP($A135,ThrowData,2,FALSE))</f>
        <v>0</v>
      </c>
      <c r="Q135" s="298">
        <f>IF(ISNA(VLOOKUP($A135,SprintData,4,FALSE)),0,VLOOKUP($A135,SprintData,4,FALSE))+V135</f>
        <v>0</v>
      </c>
      <c r="R135" s="298">
        <f>IF(ISNA(VLOOKUP($A135,JumpData,4,FALSE)),0,VLOOKUP($A135,JumpData,4,FALSE))+W135</f>
        <v>0</v>
      </c>
      <c r="S135" s="298">
        <f>IF(ISNA(VLOOKUP($A135,RunData,4,FALSE)),0,VLOOKUP($A135,RunData,4,FALSE))+X135</f>
        <v>0</v>
      </c>
      <c r="T135" s="298">
        <f>IF(ISNA(VLOOKUP($A135,ThrowData,4,FALSE)),0,VLOOKUP($A135,ThrowData,4,FALSE))+Y135</f>
        <v>0</v>
      </c>
      <c r="U135" s="299">
        <f t="shared" si="2"/>
        <v>0</v>
      </c>
      <c r="V135">
        <f>IF(AND($F135&gt;0,NOT(M135),Flexing),FlexPC,0)</f>
        <v>0</v>
      </c>
      <c r="W135">
        <f>IF(AND($F135&gt;0,NOT(N135),Flexing),FlexPC,0)</f>
        <v>0</v>
      </c>
      <c r="X135">
        <f>IF(AND($F135&gt;0,NOT(O135),Flexing),FlexPC,0)</f>
        <v>0</v>
      </c>
      <c r="Y135">
        <f>IF(AND($F135&gt;0,NOT(P135),Flexing),FlexPC,0)</f>
        <v>0</v>
      </c>
      <c r="AA135" s="209">
        <f t="shared" si="3"/>
        <v>134</v>
      </c>
    </row>
    <row r="136" ht="15.75" customHeight="1">
      <c r="A136" s="206" t="str">
        <f>+Declarations!A136&amp;""</f>
        <v/>
      </c>
      <c r="B136" t="str">
        <f>IF(LEN($A136),IF(LEN(Declarations!$B136)&gt;0,Declarations!$B136,"#"&amp;$A136),"")</f>
        <v/>
      </c>
      <c r="C136" s="209" t="str">
        <f t="array" ref="C136">IF(LEN(INDEX(DECLARATIONS,$AA136,3))&gt;0,INDEX(DECLARATIONS,$AA136,3),"...")</f>
        <v>...</v>
      </c>
      <c r="D136" s="209" t="str">
        <f t="shared" si="1"/>
        <v/>
      </c>
      <c r="E136" s="296" t="str">
        <f t="array" ref="E136">IF(ISNA($AA136),0,INDEX(DECLARATIONS,$AA136,5))</f>
        <v/>
      </c>
      <c r="F136" s="209" t="str">
        <f t="array" ref="F136">IF(ISNA($AA136),0,INDEX(DECLARATIONS,$AA136,7))</f>
        <v/>
      </c>
      <c r="G136" s="209" t="str">
        <f t="array" ref="G136">UPPER(IF(ISNA($AA136),"",INDEX(DECLARATIONS,$AA136,4)))</f>
        <v/>
      </c>
      <c r="H136" t="str">
        <f>IF(AND(A136&gt;0,ISTEXT(B136)),IF(SECNAME="YES",LEFT(B136&amp;" ",FIND(" ",B136&amp;" ")+2)&amp;IF(F136&gt;0," ("&amp;F136&amp;")",""),B136&amp;IF(F136&gt;0," ("&amp;F136&amp;")","")),"#"&amp;$A136)</f>
        <v/>
      </c>
      <c r="I136" s="209">
        <f>IF(LEN($A136)&gt;0,IF(LEN($J136)&gt;0,MATCH(J136,MatchNames,0),EventIndex),0)</f>
        <v>0</v>
      </c>
      <c r="J136" s="209" t="str">
        <f>IF(LEN($A136)&gt;0,IF(LEN(Declarations!$F136)&gt;0,Declarations!$F136,conftype),"")</f>
        <v/>
      </c>
      <c r="M136" s="297">
        <f>IF(ISNA(VLOOKUP($A136,SprintData,2,FALSE)),0,VLOOKUP($A136,SprintData,2,FALSE))</f>
        <v>0</v>
      </c>
      <c r="N136" s="297">
        <f>IF(ISNA(VLOOKUP($A136,JumpData,2,FALSE)),0,VLOOKUP($A136,JumpData,2,FALSE))</f>
        <v>0</v>
      </c>
      <c r="O136" s="297">
        <f>IF(ISNA(VLOOKUP($A136,RunData,2,FALSE)),0,VLOOKUP($A136,RunData,2,FALSE))</f>
        <v>0</v>
      </c>
      <c r="P136" s="297">
        <f>IF(ISNA(VLOOKUP($A136,ThrowData,2,FALSE)),0,VLOOKUP($A136,ThrowData,2,FALSE))</f>
        <v>0</v>
      </c>
      <c r="Q136" s="298">
        <f>IF(ISNA(VLOOKUP($A136,SprintData,4,FALSE)),0,VLOOKUP($A136,SprintData,4,FALSE))+V136</f>
        <v>0</v>
      </c>
      <c r="R136" s="298">
        <f>IF(ISNA(VLOOKUP($A136,JumpData,4,FALSE)),0,VLOOKUP($A136,JumpData,4,FALSE))+W136</f>
        <v>0</v>
      </c>
      <c r="S136" s="298">
        <f>IF(ISNA(VLOOKUP($A136,RunData,4,FALSE)),0,VLOOKUP($A136,RunData,4,FALSE))+X136</f>
        <v>0</v>
      </c>
      <c r="T136" s="298">
        <f>IF(ISNA(VLOOKUP($A136,ThrowData,4,FALSE)),0,VLOOKUP($A136,ThrowData,4,FALSE))+Y136</f>
        <v>0</v>
      </c>
      <c r="U136" s="299">
        <f t="shared" si="2"/>
        <v>0</v>
      </c>
      <c r="V136">
        <f>IF(AND($F136&gt;0,NOT(M136),Flexing),FlexPC,0)</f>
        <v>0</v>
      </c>
      <c r="W136">
        <f>IF(AND($F136&gt;0,NOT(N136),Flexing),FlexPC,0)</f>
        <v>0</v>
      </c>
      <c r="X136">
        <f>IF(AND($F136&gt;0,NOT(O136),Flexing),FlexPC,0)</f>
        <v>0</v>
      </c>
      <c r="Y136">
        <f>IF(AND($F136&gt;0,NOT(P136),Flexing),FlexPC,0)</f>
        <v>0</v>
      </c>
      <c r="AA136" s="209">
        <f t="shared" si="3"/>
        <v>135</v>
      </c>
    </row>
    <row r="137" ht="15.75" customHeight="1">
      <c r="A137" s="206" t="str">
        <f>+Declarations!A137&amp;""</f>
        <v/>
      </c>
      <c r="B137" t="str">
        <f>IF(LEN($A137),IF(LEN(Declarations!$B137)&gt;0,Declarations!$B137,"#"&amp;$A137),"")</f>
        <v/>
      </c>
      <c r="C137" s="209" t="str">
        <f t="array" ref="C137">IF(LEN(INDEX(DECLARATIONS,$AA137,3))&gt;0,INDEX(DECLARATIONS,$AA137,3),"...")</f>
        <v>...</v>
      </c>
      <c r="D137" s="209" t="str">
        <f t="shared" si="1"/>
        <v/>
      </c>
      <c r="E137" s="296" t="str">
        <f t="array" ref="E137">IF(ISNA($AA137),0,INDEX(DECLARATIONS,$AA137,5))</f>
        <v/>
      </c>
      <c r="F137" s="209" t="str">
        <f t="array" ref="F137">IF(ISNA($AA137),0,INDEX(DECLARATIONS,$AA137,7))</f>
        <v/>
      </c>
      <c r="G137" s="209" t="str">
        <f t="array" ref="G137">UPPER(IF(ISNA($AA137),"",INDEX(DECLARATIONS,$AA137,4)))</f>
        <v/>
      </c>
      <c r="H137" t="str">
        <f>IF(AND(A137&gt;0,ISTEXT(B137)),IF(SECNAME="YES",LEFT(B137&amp;" ",FIND(" ",B137&amp;" ")+2)&amp;IF(F137&gt;0," ("&amp;F137&amp;")",""),B137&amp;IF(F137&gt;0," ("&amp;F137&amp;")","")),"#"&amp;$A137)</f>
        <v/>
      </c>
      <c r="I137" s="209">
        <f>IF(LEN($A137)&gt;0,IF(LEN($J137)&gt;0,MATCH(J137,MatchNames,0),EventIndex),0)</f>
        <v>0</v>
      </c>
      <c r="J137" s="209" t="str">
        <f>IF(LEN($A137)&gt;0,IF(LEN(Declarations!$F137)&gt;0,Declarations!$F137,conftype),"")</f>
        <v/>
      </c>
      <c r="M137" s="297">
        <f>IF(ISNA(VLOOKUP($A137,SprintData,2,FALSE)),0,VLOOKUP($A137,SprintData,2,FALSE))</f>
        <v>0</v>
      </c>
      <c r="N137" s="297">
        <f>IF(ISNA(VLOOKUP($A137,JumpData,2,FALSE)),0,VLOOKUP($A137,JumpData,2,FALSE))</f>
        <v>0</v>
      </c>
      <c r="O137" s="297">
        <f>IF(ISNA(VLOOKUP($A137,RunData,2,FALSE)),0,VLOOKUP($A137,RunData,2,FALSE))</f>
        <v>0</v>
      </c>
      <c r="P137" s="297">
        <f>IF(ISNA(VLOOKUP($A137,ThrowData,2,FALSE)),0,VLOOKUP($A137,ThrowData,2,FALSE))</f>
        <v>0</v>
      </c>
      <c r="Q137" s="298">
        <f>IF(ISNA(VLOOKUP($A137,SprintData,4,FALSE)),0,VLOOKUP($A137,SprintData,4,FALSE))+V137</f>
        <v>0</v>
      </c>
      <c r="R137" s="298">
        <f>IF(ISNA(VLOOKUP($A137,JumpData,4,FALSE)),0,VLOOKUP($A137,JumpData,4,FALSE))+W137</f>
        <v>0</v>
      </c>
      <c r="S137" s="298">
        <f>IF(ISNA(VLOOKUP($A137,RunData,4,FALSE)),0,VLOOKUP($A137,RunData,4,FALSE))+X137</f>
        <v>0</v>
      </c>
      <c r="T137" s="298">
        <f>IF(ISNA(VLOOKUP($A137,ThrowData,4,FALSE)),0,VLOOKUP($A137,ThrowData,4,FALSE))+Y137</f>
        <v>0</v>
      </c>
      <c r="U137" s="299">
        <f t="shared" si="2"/>
        <v>0</v>
      </c>
      <c r="V137">
        <f>IF(AND($F137&gt;0,NOT(M137),Flexing),FlexPC,0)</f>
        <v>0</v>
      </c>
      <c r="W137">
        <f>IF(AND($F137&gt;0,NOT(N137),Flexing),FlexPC,0)</f>
        <v>0</v>
      </c>
      <c r="X137">
        <f>IF(AND($F137&gt;0,NOT(O137),Flexing),FlexPC,0)</f>
        <v>0</v>
      </c>
      <c r="Y137">
        <f>IF(AND($F137&gt;0,NOT(P137),Flexing),FlexPC,0)</f>
        <v>0</v>
      </c>
      <c r="AA137" s="209">
        <f t="shared" si="3"/>
        <v>136</v>
      </c>
    </row>
    <row r="138" ht="15.75" customHeight="1">
      <c r="A138" s="206" t="str">
        <f>+Declarations!A138&amp;""</f>
        <v/>
      </c>
      <c r="B138" t="str">
        <f>IF(LEN($A138),IF(LEN(Declarations!$B138)&gt;0,Declarations!$B138,"#"&amp;$A138),"")</f>
        <v/>
      </c>
      <c r="C138" s="209" t="str">
        <f t="array" ref="C138">IF(LEN(INDEX(DECLARATIONS,$AA138,3))&gt;0,INDEX(DECLARATIONS,$AA138,3),"...")</f>
        <v>...</v>
      </c>
      <c r="D138" s="209" t="str">
        <f t="shared" si="1"/>
        <v/>
      </c>
      <c r="E138" s="296" t="str">
        <f t="array" ref="E138">IF(ISNA($AA138),0,INDEX(DECLARATIONS,$AA138,5))</f>
        <v/>
      </c>
      <c r="F138" s="209" t="str">
        <f t="array" ref="F138">IF(ISNA($AA138),0,INDEX(DECLARATIONS,$AA138,7))</f>
        <v/>
      </c>
      <c r="G138" s="209" t="str">
        <f t="array" ref="G138">UPPER(IF(ISNA($AA138),"",INDEX(DECLARATIONS,$AA138,4)))</f>
        <v/>
      </c>
      <c r="H138" t="str">
        <f>IF(AND(A138&gt;0,ISTEXT(B138)),IF(SECNAME="YES",LEFT(B138&amp;" ",FIND(" ",B138&amp;" ")+2)&amp;IF(F138&gt;0," ("&amp;F138&amp;")",""),B138&amp;IF(F138&gt;0," ("&amp;F138&amp;")","")),"#"&amp;$A138)</f>
        <v/>
      </c>
      <c r="I138" s="209">
        <f>IF(LEN($A138)&gt;0,IF(LEN($J138)&gt;0,MATCH(J138,MatchNames,0),EventIndex),0)</f>
        <v>0</v>
      </c>
      <c r="J138" s="209" t="str">
        <f>IF(LEN($A138)&gt;0,IF(LEN(Declarations!$F138)&gt;0,Declarations!$F138,conftype),"")</f>
        <v/>
      </c>
      <c r="M138" s="297">
        <f>IF(ISNA(VLOOKUP($A138,SprintData,2,FALSE)),0,VLOOKUP($A138,SprintData,2,FALSE))</f>
        <v>0</v>
      </c>
      <c r="N138" s="297">
        <f>IF(ISNA(VLOOKUP($A138,JumpData,2,FALSE)),0,VLOOKUP($A138,JumpData,2,FALSE))</f>
        <v>0</v>
      </c>
      <c r="O138" s="297">
        <f>IF(ISNA(VLOOKUP($A138,RunData,2,FALSE)),0,VLOOKUP($A138,RunData,2,FALSE))</f>
        <v>0</v>
      </c>
      <c r="P138" s="297">
        <f>IF(ISNA(VLOOKUP($A138,ThrowData,2,FALSE)),0,VLOOKUP($A138,ThrowData,2,FALSE))</f>
        <v>0</v>
      </c>
      <c r="Q138" s="298">
        <f>IF(ISNA(VLOOKUP($A138,SprintData,4,FALSE)),0,VLOOKUP($A138,SprintData,4,FALSE))+V138</f>
        <v>0</v>
      </c>
      <c r="R138" s="298">
        <f>IF(ISNA(VLOOKUP($A138,JumpData,4,FALSE)),0,VLOOKUP($A138,JumpData,4,FALSE))+W138</f>
        <v>0</v>
      </c>
      <c r="S138" s="298">
        <f>IF(ISNA(VLOOKUP($A138,RunData,4,FALSE)),0,VLOOKUP($A138,RunData,4,FALSE))+X138</f>
        <v>0</v>
      </c>
      <c r="T138" s="298">
        <f>IF(ISNA(VLOOKUP($A138,ThrowData,4,FALSE)),0,VLOOKUP($A138,ThrowData,4,FALSE))+Y138</f>
        <v>0</v>
      </c>
      <c r="U138" s="299">
        <f t="shared" si="2"/>
        <v>0</v>
      </c>
      <c r="V138">
        <f>IF(AND($F138&gt;0,NOT(M138),Flexing),FlexPC,0)</f>
        <v>0</v>
      </c>
      <c r="W138">
        <f>IF(AND($F138&gt;0,NOT(N138),Flexing),FlexPC,0)</f>
        <v>0</v>
      </c>
      <c r="X138">
        <f>IF(AND($F138&gt;0,NOT(O138),Flexing),FlexPC,0)</f>
        <v>0</v>
      </c>
      <c r="Y138">
        <f>IF(AND($F138&gt;0,NOT(P138),Flexing),FlexPC,0)</f>
        <v>0</v>
      </c>
      <c r="AA138" s="209">
        <f t="shared" si="3"/>
        <v>137</v>
      </c>
    </row>
    <row r="139" ht="15.75" customHeight="1">
      <c r="A139" s="206" t="str">
        <f>+Declarations!A139&amp;""</f>
        <v/>
      </c>
      <c r="B139" t="str">
        <f>IF(LEN($A139),IF(LEN(Declarations!$B139)&gt;0,Declarations!$B139,"#"&amp;$A139),"")</f>
        <v/>
      </c>
      <c r="C139" s="209" t="str">
        <f t="array" ref="C139">IF(LEN(INDEX(DECLARATIONS,$AA139,3))&gt;0,INDEX(DECLARATIONS,$AA139,3),"...")</f>
        <v>...</v>
      </c>
      <c r="D139" s="209" t="str">
        <f t="shared" si="1"/>
        <v/>
      </c>
      <c r="E139" s="296" t="str">
        <f t="array" ref="E139">IF(ISNA($AA139),0,INDEX(DECLARATIONS,$AA139,5))</f>
        <v/>
      </c>
      <c r="F139" s="209" t="str">
        <f t="array" ref="F139">IF(ISNA($AA139),0,INDEX(DECLARATIONS,$AA139,7))</f>
        <v/>
      </c>
      <c r="G139" s="209" t="str">
        <f t="array" ref="G139">UPPER(IF(ISNA($AA139),"",INDEX(DECLARATIONS,$AA139,4)))</f>
        <v/>
      </c>
      <c r="H139" t="str">
        <f>IF(AND(A139&gt;0,ISTEXT(B139)),IF(SECNAME="YES",LEFT(B139&amp;" ",FIND(" ",B139&amp;" ")+2)&amp;IF(F139&gt;0," ("&amp;F139&amp;")",""),B139&amp;IF(F139&gt;0," ("&amp;F139&amp;")","")),"#"&amp;$A139)</f>
        <v/>
      </c>
      <c r="I139" s="209">
        <f>IF(LEN($A139)&gt;0,IF(LEN($J139)&gt;0,MATCH(J139,MatchNames,0),EventIndex),0)</f>
        <v>0</v>
      </c>
      <c r="J139" s="209" t="str">
        <f>IF(LEN($A139)&gt;0,IF(LEN(Declarations!$F139)&gt;0,Declarations!$F139,conftype),"")</f>
        <v/>
      </c>
      <c r="M139" s="297">
        <f>IF(ISNA(VLOOKUP($A139,SprintData,2,FALSE)),0,VLOOKUP($A139,SprintData,2,FALSE))</f>
        <v>0</v>
      </c>
      <c r="N139" s="297">
        <f>IF(ISNA(VLOOKUP($A139,JumpData,2,FALSE)),0,VLOOKUP($A139,JumpData,2,FALSE))</f>
        <v>0</v>
      </c>
      <c r="O139" s="297">
        <f>IF(ISNA(VLOOKUP($A139,RunData,2,FALSE)),0,VLOOKUP($A139,RunData,2,FALSE))</f>
        <v>0</v>
      </c>
      <c r="P139" s="297">
        <f>IF(ISNA(VLOOKUP($A139,ThrowData,2,FALSE)),0,VLOOKUP($A139,ThrowData,2,FALSE))</f>
        <v>0</v>
      </c>
      <c r="Q139" s="298">
        <f>IF(ISNA(VLOOKUP($A139,SprintData,4,FALSE)),0,VLOOKUP($A139,SprintData,4,FALSE))+V139</f>
        <v>0</v>
      </c>
      <c r="R139" s="298">
        <f>IF(ISNA(VLOOKUP($A139,JumpData,4,FALSE)),0,VLOOKUP($A139,JumpData,4,FALSE))+W139</f>
        <v>0</v>
      </c>
      <c r="S139" s="298">
        <f>IF(ISNA(VLOOKUP($A139,RunData,4,FALSE)),0,VLOOKUP($A139,RunData,4,FALSE))+X139</f>
        <v>0</v>
      </c>
      <c r="T139" s="298">
        <f>IF(ISNA(VLOOKUP($A139,ThrowData,4,FALSE)),0,VLOOKUP($A139,ThrowData,4,FALSE))+Y139</f>
        <v>0</v>
      </c>
      <c r="U139" s="299">
        <f t="shared" si="2"/>
        <v>0</v>
      </c>
      <c r="V139">
        <f>IF(AND($F139&gt;0,NOT(M139),Flexing),FlexPC,0)</f>
        <v>0</v>
      </c>
      <c r="W139">
        <f>IF(AND($F139&gt;0,NOT(N139),Flexing),FlexPC,0)</f>
        <v>0</v>
      </c>
      <c r="X139">
        <f>IF(AND($F139&gt;0,NOT(O139),Flexing),FlexPC,0)</f>
        <v>0</v>
      </c>
      <c r="Y139">
        <f>IF(AND($F139&gt;0,NOT(P139),Flexing),FlexPC,0)</f>
        <v>0</v>
      </c>
      <c r="AA139" s="209">
        <f t="shared" si="3"/>
        <v>138</v>
      </c>
    </row>
    <row r="140" ht="15.75" customHeight="1">
      <c r="A140" s="206" t="str">
        <f>+Declarations!A140&amp;""</f>
        <v/>
      </c>
      <c r="B140" t="str">
        <f>IF(LEN($A140),IF(LEN(Declarations!$B140)&gt;0,Declarations!$B140,"#"&amp;$A140),"")</f>
        <v/>
      </c>
      <c r="C140" s="209" t="str">
        <f t="array" ref="C140">IF(LEN(INDEX(DECLARATIONS,$AA140,3))&gt;0,INDEX(DECLARATIONS,$AA140,3),"...")</f>
        <v>...</v>
      </c>
      <c r="D140" s="209" t="str">
        <f t="shared" si="1"/>
        <v/>
      </c>
      <c r="E140" s="296" t="str">
        <f t="array" ref="E140">IF(ISNA($AA140),0,INDEX(DECLARATIONS,$AA140,5))</f>
        <v/>
      </c>
      <c r="F140" s="209" t="str">
        <f t="array" ref="F140">IF(ISNA($AA140),0,INDEX(DECLARATIONS,$AA140,7))</f>
        <v/>
      </c>
      <c r="G140" s="209" t="str">
        <f t="array" ref="G140">UPPER(IF(ISNA($AA140),"",INDEX(DECLARATIONS,$AA140,4)))</f>
        <v/>
      </c>
      <c r="H140" t="str">
        <f>IF(AND(A140&gt;0,ISTEXT(B140)),IF(SECNAME="YES",LEFT(B140&amp;" ",FIND(" ",B140&amp;" ")+2)&amp;IF(F140&gt;0," ("&amp;F140&amp;")",""),B140&amp;IF(F140&gt;0," ("&amp;F140&amp;")","")),"#"&amp;$A140)</f>
        <v/>
      </c>
      <c r="I140" s="209">
        <f>IF(LEN($A140)&gt;0,IF(LEN($J140)&gt;0,MATCH(J140,MatchNames,0),EventIndex),0)</f>
        <v>0</v>
      </c>
      <c r="J140" s="209" t="str">
        <f>IF(LEN($A140)&gt;0,IF(LEN(Declarations!$F140)&gt;0,Declarations!$F140,conftype),"")</f>
        <v/>
      </c>
      <c r="M140" s="297">
        <f>IF(ISNA(VLOOKUP($A140,SprintData,2,FALSE)),0,VLOOKUP($A140,SprintData,2,FALSE))</f>
        <v>0</v>
      </c>
      <c r="N140" s="297">
        <f>IF(ISNA(VLOOKUP($A140,JumpData,2,FALSE)),0,VLOOKUP($A140,JumpData,2,FALSE))</f>
        <v>0</v>
      </c>
      <c r="O140" s="297">
        <f>IF(ISNA(VLOOKUP($A140,RunData,2,FALSE)),0,VLOOKUP($A140,RunData,2,FALSE))</f>
        <v>0</v>
      </c>
      <c r="P140" s="297">
        <f>IF(ISNA(VLOOKUP($A140,ThrowData,2,FALSE)),0,VLOOKUP($A140,ThrowData,2,FALSE))</f>
        <v>0</v>
      </c>
      <c r="Q140" s="298">
        <f>IF(ISNA(VLOOKUP($A140,SprintData,4,FALSE)),0,VLOOKUP($A140,SprintData,4,FALSE))+V140</f>
        <v>0</v>
      </c>
      <c r="R140" s="298">
        <f>IF(ISNA(VLOOKUP($A140,JumpData,4,FALSE)),0,VLOOKUP($A140,JumpData,4,FALSE))+W140</f>
        <v>0</v>
      </c>
      <c r="S140" s="298">
        <f>IF(ISNA(VLOOKUP($A140,RunData,4,FALSE)),0,VLOOKUP($A140,RunData,4,FALSE))+X140</f>
        <v>0</v>
      </c>
      <c r="T140" s="298">
        <f>IF(ISNA(VLOOKUP($A140,ThrowData,4,FALSE)),0,VLOOKUP($A140,ThrowData,4,FALSE))+Y140</f>
        <v>0</v>
      </c>
      <c r="U140" s="299">
        <f t="shared" si="2"/>
        <v>0</v>
      </c>
      <c r="V140">
        <f>IF(AND($F140&gt;0,NOT(M140),Flexing),FlexPC,0)</f>
        <v>0</v>
      </c>
      <c r="W140">
        <f>IF(AND($F140&gt;0,NOT(N140),Flexing),FlexPC,0)</f>
        <v>0</v>
      </c>
      <c r="X140">
        <f>IF(AND($F140&gt;0,NOT(O140),Flexing),FlexPC,0)</f>
        <v>0</v>
      </c>
      <c r="Y140">
        <f>IF(AND($F140&gt;0,NOT(P140),Flexing),FlexPC,0)</f>
        <v>0</v>
      </c>
      <c r="AA140" s="209">
        <f t="shared" si="3"/>
        <v>139</v>
      </c>
    </row>
    <row r="141" ht="15.75" customHeight="1">
      <c r="A141" s="206" t="str">
        <f>+Declarations!A141&amp;""</f>
        <v/>
      </c>
      <c r="B141" t="str">
        <f>IF(LEN($A141),IF(LEN(Declarations!$B141)&gt;0,Declarations!$B141,"#"&amp;$A141),"")</f>
        <v/>
      </c>
      <c r="C141" s="209" t="str">
        <f t="array" ref="C141">IF(LEN(INDEX(DECLARATIONS,$AA141,3))&gt;0,INDEX(DECLARATIONS,$AA141,3),"...")</f>
        <v>...</v>
      </c>
      <c r="D141" s="209" t="str">
        <f t="shared" si="1"/>
        <v/>
      </c>
      <c r="E141" s="296" t="str">
        <f t="array" ref="E141">IF(ISNA($AA141),0,INDEX(DECLARATIONS,$AA141,5))</f>
        <v/>
      </c>
      <c r="F141" s="209" t="str">
        <f t="array" ref="F141">IF(ISNA($AA141),0,INDEX(DECLARATIONS,$AA141,7))</f>
        <v/>
      </c>
      <c r="G141" s="209" t="str">
        <f t="array" ref="G141">UPPER(IF(ISNA($AA141),"",INDEX(DECLARATIONS,$AA141,4)))</f>
        <v/>
      </c>
      <c r="H141" t="str">
        <f>IF(AND(A141&gt;0,ISTEXT(B141)),IF(SECNAME="YES",LEFT(B141&amp;" ",FIND(" ",B141&amp;" ")+2)&amp;IF(F141&gt;0," ("&amp;F141&amp;")",""),B141&amp;IF(F141&gt;0," ("&amp;F141&amp;")","")),"#"&amp;$A141)</f>
        <v/>
      </c>
      <c r="I141" s="209">
        <f>IF(LEN($A141)&gt;0,IF(LEN($J141)&gt;0,MATCH(J141,MatchNames,0),EventIndex),0)</f>
        <v>0</v>
      </c>
      <c r="J141" s="209" t="str">
        <f>IF(LEN($A141)&gt;0,IF(LEN(Declarations!$F141)&gt;0,Declarations!$F141,conftype),"")</f>
        <v/>
      </c>
      <c r="M141" s="297">
        <f>IF(ISNA(VLOOKUP($A141,SprintData,2,FALSE)),0,VLOOKUP($A141,SprintData,2,FALSE))</f>
        <v>0</v>
      </c>
      <c r="N141" s="297">
        <f>IF(ISNA(VLOOKUP($A141,JumpData,2,FALSE)),0,VLOOKUP($A141,JumpData,2,FALSE))</f>
        <v>0</v>
      </c>
      <c r="O141" s="297">
        <f>IF(ISNA(VLOOKUP($A141,RunData,2,FALSE)),0,VLOOKUP($A141,RunData,2,FALSE))</f>
        <v>0</v>
      </c>
      <c r="P141" s="297">
        <f>IF(ISNA(VLOOKUP($A141,ThrowData,2,FALSE)),0,VLOOKUP($A141,ThrowData,2,FALSE))</f>
        <v>0</v>
      </c>
      <c r="Q141" s="298">
        <f>IF(ISNA(VLOOKUP($A141,SprintData,4,FALSE)),0,VLOOKUP($A141,SprintData,4,FALSE))+V141</f>
        <v>0</v>
      </c>
      <c r="R141" s="298">
        <f>IF(ISNA(VLOOKUP($A141,JumpData,4,FALSE)),0,VLOOKUP($A141,JumpData,4,FALSE))+W141</f>
        <v>0</v>
      </c>
      <c r="S141" s="298">
        <f>IF(ISNA(VLOOKUP($A141,RunData,4,FALSE)),0,VLOOKUP($A141,RunData,4,FALSE))+X141</f>
        <v>0</v>
      </c>
      <c r="T141" s="298">
        <f>IF(ISNA(VLOOKUP($A141,ThrowData,4,FALSE)),0,VLOOKUP($A141,ThrowData,4,FALSE))+Y141</f>
        <v>0</v>
      </c>
      <c r="U141" s="299">
        <f t="shared" si="2"/>
        <v>0</v>
      </c>
      <c r="V141">
        <f>IF(AND($F141&gt;0,NOT(M141),Flexing),FlexPC,0)</f>
        <v>0</v>
      </c>
      <c r="W141">
        <f>IF(AND($F141&gt;0,NOT(N141),Flexing),FlexPC,0)</f>
        <v>0</v>
      </c>
      <c r="X141">
        <f>IF(AND($F141&gt;0,NOT(O141),Flexing),FlexPC,0)</f>
        <v>0</v>
      </c>
      <c r="Y141">
        <f>IF(AND($F141&gt;0,NOT(P141),Flexing),FlexPC,0)</f>
        <v>0</v>
      </c>
      <c r="AA141" s="209">
        <f t="shared" si="3"/>
        <v>140</v>
      </c>
    </row>
    <row r="142" ht="15.75" customHeight="1">
      <c r="A142" s="206" t="str">
        <f>+Declarations!A142&amp;""</f>
        <v/>
      </c>
      <c r="B142" t="str">
        <f>IF(LEN($A142),IF(LEN(Declarations!$B142)&gt;0,Declarations!$B142,"#"&amp;$A142),"")</f>
        <v/>
      </c>
      <c r="C142" s="209" t="str">
        <f t="array" ref="C142">IF(LEN(INDEX(DECLARATIONS,$AA142,3))&gt;0,INDEX(DECLARATIONS,$AA142,3),"...")</f>
        <v>...</v>
      </c>
      <c r="D142" s="209" t="str">
        <f t="shared" si="1"/>
        <v/>
      </c>
      <c r="E142" s="296" t="str">
        <f t="array" ref="E142">IF(ISNA($AA142),0,INDEX(DECLARATIONS,$AA142,5))</f>
        <v/>
      </c>
      <c r="F142" s="209" t="str">
        <f t="array" ref="F142">IF(ISNA($AA142),0,INDEX(DECLARATIONS,$AA142,7))</f>
        <v/>
      </c>
      <c r="G142" s="209" t="str">
        <f t="array" ref="G142">UPPER(IF(ISNA($AA142),"",INDEX(DECLARATIONS,$AA142,4)))</f>
        <v/>
      </c>
      <c r="H142" t="str">
        <f>IF(AND(A142&gt;0,ISTEXT(B142)),IF(SECNAME="YES",LEFT(B142&amp;" ",FIND(" ",B142&amp;" ")+2)&amp;IF(F142&gt;0," ("&amp;F142&amp;")",""),B142&amp;IF(F142&gt;0," ("&amp;F142&amp;")","")),"#"&amp;$A142)</f>
        <v/>
      </c>
      <c r="I142" s="209">
        <f>IF(LEN($A142)&gt;0,IF(LEN($J142)&gt;0,MATCH(J142,MatchNames,0),EventIndex),0)</f>
        <v>0</v>
      </c>
      <c r="J142" s="209" t="str">
        <f>IF(LEN($A142)&gt;0,IF(LEN(Declarations!$F142)&gt;0,Declarations!$F142,conftype),"")</f>
        <v/>
      </c>
      <c r="M142" s="297">
        <f>IF(ISNA(VLOOKUP($A142,SprintData,2,FALSE)),0,VLOOKUP($A142,SprintData,2,FALSE))</f>
        <v>0</v>
      </c>
      <c r="N142" s="297">
        <f>IF(ISNA(VLOOKUP($A142,JumpData,2,FALSE)),0,VLOOKUP($A142,JumpData,2,FALSE))</f>
        <v>0</v>
      </c>
      <c r="O142" s="297">
        <f>IF(ISNA(VLOOKUP($A142,RunData,2,FALSE)),0,VLOOKUP($A142,RunData,2,FALSE))</f>
        <v>0</v>
      </c>
      <c r="P142" s="297">
        <f>IF(ISNA(VLOOKUP($A142,ThrowData,2,FALSE)),0,VLOOKUP($A142,ThrowData,2,FALSE))</f>
        <v>0</v>
      </c>
      <c r="Q142" s="298">
        <f>IF(ISNA(VLOOKUP($A142,SprintData,4,FALSE)),0,VLOOKUP($A142,SprintData,4,FALSE))+V142</f>
        <v>0</v>
      </c>
      <c r="R142" s="298">
        <f>IF(ISNA(VLOOKUP($A142,JumpData,4,FALSE)),0,VLOOKUP($A142,JumpData,4,FALSE))+W142</f>
        <v>0</v>
      </c>
      <c r="S142" s="298">
        <f>IF(ISNA(VLOOKUP($A142,RunData,4,FALSE)),0,VLOOKUP($A142,RunData,4,FALSE))+X142</f>
        <v>0</v>
      </c>
      <c r="T142" s="298">
        <f>IF(ISNA(VLOOKUP($A142,ThrowData,4,FALSE)),0,VLOOKUP($A142,ThrowData,4,FALSE))+Y142</f>
        <v>0</v>
      </c>
      <c r="U142" s="299">
        <f t="shared" si="2"/>
        <v>0</v>
      </c>
      <c r="V142">
        <f>IF(AND($F142&gt;0,NOT(M142),Flexing),FlexPC,0)</f>
        <v>0</v>
      </c>
      <c r="W142">
        <f>IF(AND($F142&gt;0,NOT(N142),Flexing),FlexPC,0)</f>
        <v>0</v>
      </c>
      <c r="X142">
        <f>IF(AND($F142&gt;0,NOT(O142),Flexing),FlexPC,0)</f>
        <v>0</v>
      </c>
      <c r="Y142">
        <f>IF(AND($F142&gt;0,NOT(P142),Flexing),FlexPC,0)</f>
        <v>0</v>
      </c>
      <c r="AA142" s="209">
        <f t="shared" si="3"/>
        <v>141</v>
      </c>
    </row>
    <row r="143" ht="15.75" customHeight="1">
      <c r="A143" s="206" t="str">
        <f>+Declarations!A143&amp;""</f>
        <v/>
      </c>
      <c r="B143" t="str">
        <f>IF(LEN($A143),IF(LEN(Declarations!$B143)&gt;0,Declarations!$B143,"#"&amp;$A143),"")</f>
        <v/>
      </c>
      <c r="C143" s="209" t="str">
        <f t="array" ref="C143">IF(LEN(INDEX(DECLARATIONS,$AA143,3))&gt;0,INDEX(DECLARATIONS,$AA143,3),"...")</f>
        <v>...</v>
      </c>
      <c r="D143" s="209" t="str">
        <f t="shared" si="1"/>
        <v/>
      </c>
      <c r="E143" s="296" t="str">
        <f t="array" ref="E143">IF(ISNA($AA143),0,INDEX(DECLARATIONS,$AA143,5))</f>
        <v/>
      </c>
      <c r="F143" s="209" t="str">
        <f t="array" ref="F143">IF(ISNA($AA143),0,INDEX(DECLARATIONS,$AA143,7))</f>
        <v/>
      </c>
      <c r="G143" s="209" t="str">
        <f t="array" ref="G143">UPPER(IF(ISNA($AA143),"",INDEX(DECLARATIONS,$AA143,4)))</f>
        <v/>
      </c>
      <c r="H143" t="str">
        <f>IF(AND(A143&gt;0,ISTEXT(B143)),IF(SECNAME="YES",LEFT(B143&amp;" ",FIND(" ",B143&amp;" ")+2)&amp;IF(F143&gt;0," ("&amp;F143&amp;")",""),B143&amp;IF(F143&gt;0," ("&amp;F143&amp;")","")),"#"&amp;$A143)</f>
        <v/>
      </c>
      <c r="I143" s="209">
        <f>IF(LEN($A143)&gt;0,IF(LEN($J143)&gt;0,MATCH(J143,MatchNames,0),EventIndex),0)</f>
        <v>0</v>
      </c>
      <c r="J143" s="209" t="str">
        <f>IF(LEN($A143)&gt;0,IF(LEN(Declarations!$F143)&gt;0,Declarations!$F143,conftype),"")</f>
        <v/>
      </c>
      <c r="M143" s="297">
        <f>IF(ISNA(VLOOKUP($A143,SprintData,2,FALSE)),0,VLOOKUP($A143,SprintData,2,FALSE))</f>
        <v>0</v>
      </c>
      <c r="N143" s="297">
        <f>IF(ISNA(VLOOKUP($A143,JumpData,2,FALSE)),0,VLOOKUP($A143,JumpData,2,FALSE))</f>
        <v>0</v>
      </c>
      <c r="O143" s="297">
        <f>IF(ISNA(VLOOKUP($A143,RunData,2,FALSE)),0,VLOOKUP($A143,RunData,2,FALSE))</f>
        <v>0</v>
      </c>
      <c r="P143" s="297">
        <f>IF(ISNA(VLOOKUP($A143,ThrowData,2,FALSE)),0,VLOOKUP($A143,ThrowData,2,FALSE))</f>
        <v>0</v>
      </c>
      <c r="Q143" s="298">
        <f>IF(ISNA(VLOOKUP($A143,SprintData,4,FALSE)),0,VLOOKUP($A143,SprintData,4,FALSE))+V143</f>
        <v>0</v>
      </c>
      <c r="R143" s="298">
        <f>IF(ISNA(VLOOKUP($A143,JumpData,4,FALSE)),0,VLOOKUP($A143,JumpData,4,FALSE))+W143</f>
        <v>0</v>
      </c>
      <c r="S143" s="298">
        <f>IF(ISNA(VLOOKUP($A143,RunData,4,FALSE)),0,VLOOKUP($A143,RunData,4,FALSE))+X143</f>
        <v>0</v>
      </c>
      <c r="T143" s="298">
        <f>IF(ISNA(VLOOKUP($A143,ThrowData,4,FALSE)),0,VLOOKUP($A143,ThrowData,4,FALSE))+Y143</f>
        <v>0</v>
      </c>
      <c r="U143" s="299">
        <f t="shared" si="2"/>
        <v>0</v>
      </c>
      <c r="V143">
        <f>IF(AND($F143&gt;0,NOT(M143),Flexing),FlexPC,0)</f>
        <v>0</v>
      </c>
      <c r="W143">
        <f>IF(AND($F143&gt;0,NOT(N143),Flexing),FlexPC,0)</f>
        <v>0</v>
      </c>
      <c r="X143">
        <f>IF(AND($F143&gt;0,NOT(O143),Flexing),FlexPC,0)</f>
        <v>0</v>
      </c>
      <c r="Y143">
        <f>IF(AND($F143&gt;0,NOT(P143),Flexing),FlexPC,0)</f>
        <v>0</v>
      </c>
      <c r="AA143" s="209">
        <f t="shared" si="3"/>
        <v>142</v>
      </c>
    </row>
    <row r="144" ht="15.75" customHeight="1">
      <c r="A144" s="206" t="str">
        <f>+Declarations!A144&amp;""</f>
        <v/>
      </c>
      <c r="B144" t="str">
        <f>IF(LEN($A144),IF(LEN(Declarations!$B144)&gt;0,Declarations!$B144,"#"&amp;$A144),"")</f>
        <v/>
      </c>
      <c r="C144" s="209" t="str">
        <f t="array" ref="C144">IF(LEN(INDEX(DECLARATIONS,$AA144,3))&gt;0,INDEX(DECLARATIONS,$AA144,3),"...")</f>
        <v>...</v>
      </c>
      <c r="D144" s="209" t="str">
        <f t="shared" si="1"/>
        <v/>
      </c>
      <c r="E144" s="296" t="str">
        <f t="array" ref="E144">IF(ISNA($AA144),0,INDEX(DECLARATIONS,$AA144,5))</f>
        <v/>
      </c>
      <c r="F144" s="209" t="str">
        <f t="array" ref="F144">IF(ISNA($AA144),0,INDEX(DECLARATIONS,$AA144,7))</f>
        <v/>
      </c>
      <c r="G144" s="209" t="str">
        <f t="array" ref="G144">UPPER(IF(ISNA($AA144),"",INDEX(DECLARATIONS,$AA144,4)))</f>
        <v/>
      </c>
      <c r="H144" t="str">
        <f>IF(AND(A144&gt;0,ISTEXT(B144)),IF(SECNAME="YES",LEFT(B144&amp;" ",FIND(" ",B144&amp;" ")+2)&amp;IF(F144&gt;0," ("&amp;F144&amp;")",""),B144&amp;IF(F144&gt;0," ("&amp;F144&amp;")","")),"#"&amp;$A144)</f>
        <v/>
      </c>
      <c r="I144" s="209">
        <f>IF(LEN($A144)&gt;0,IF(LEN($J144)&gt;0,MATCH(J144,MatchNames,0),EventIndex),0)</f>
        <v>0</v>
      </c>
      <c r="J144" s="209" t="str">
        <f>IF(LEN($A144)&gt;0,IF(LEN(Declarations!$F144)&gt;0,Declarations!$F144,conftype),"")</f>
        <v/>
      </c>
      <c r="M144" s="297">
        <f>IF(ISNA(VLOOKUP($A144,SprintData,2,FALSE)),0,VLOOKUP($A144,SprintData,2,FALSE))</f>
        <v>0</v>
      </c>
      <c r="N144" s="297">
        <f>IF(ISNA(VLOOKUP($A144,JumpData,2,FALSE)),0,VLOOKUP($A144,JumpData,2,FALSE))</f>
        <v>0</v>
      </c>
      <c r="O144" s="297">
        <f>IF(ISNA(VLOOKUP($A144,RunData,2,FALSE)),0,VLOOKUP($A144,RunData,2,FALSE))</f>
        <v>0</v>
      </c>
      <c r="P144" s="297">
        <f>IF(ISNA(VLOOKUP($A144,ThrowData,2,FALSE)),0,VLOOKUP($A144,ThrowData,2,FALSE))</f>
        <v>0</v>
      </c>
      <c r="Q144" s="298">
        <f>IF(ISNA(VLOOKUP($A144,SprintData,4,FALSE)),0,VLOOKUP($A144,SprintData,4,FALSE))+V144</f>
        <v>0</v>
      </c>
      <c r="R144" s="298">
        <f>IF(ISNA(VLOOKUP($A144,JumpData,4,FALSE)),0,VLOOKUP($A144,JumpData,4,FALSE))+W144</f>
        <v>0</v>
      </c>
      <c r="S144" s="298">
        <f>IF(ISNA(VLOOKUP($A144,RunData,4,FALSE)),0,VLOOKUP($A144,RunData,4,FALSE))+X144</f>
        <v>0</v>
      </c>
      <c r="T144" s="298">
        <f>IF(ISNA(VLOOKUP($A144,ThrowData,4,FALSE)),0,VLOOKUP($A144,ThrowData,4,FALSE))+Y144</f>
        <v>0</v>
      </c>
      <c r="U144" s="299">
        <f t="shared" si="2"/>
        <v>0</v>
      </c>
      <c r="V144">
        <f>IF(AND($F144&gt;0,NOT(M144),Flexing),FlexPC,0)</f>
        <v>0</v>
      </c>
      <c r="W144">
        <f>IF(AND($F144&gt;0,NOT(N144),Flexing),FlexPC,0)</f>
        <v>0</v>
      </c>
      <c r="X144">
        <f>IF(AND($F144&gt;0,NOT(O144),Flexing),FlexPC,0)</f>
        <v>0</v>
      </c>
      <c r="Y144">
        <f>IF(AND($F144&gt;0,NOT(P144),Flexing),FlexPC,0)</f>
        <v>0</v>
      </c>
      <c r="AA144" s="209">
        <f t="shared" si="3"/>
        <v>143</v>
      </c>
    </row>
    <row r="145" ht="15.75" customHeight="1">
      <c r="A145" s="206" t="str">
        <f>+Declarations!A145&amp;""</f>
        <v/>
      </c>
      <c r="B145" t="str">
        <f>IF(LEN($A145),IF(LEN(Declarations!$B145)&gt;0,Declarations!$B145,"#"&amp;$A145),"")</f>
        <v/>
      </c>
      <c r="C145" s="209" t="str">
        <f t="array" ref="C145">IF(LEN(INDEX(DECLARATIONS,$AA145,3))&gt;0,INDEX(DECLARATIONS,$AA145,3),"...")</f>
        <v>...</v>
      </c>
      <c r="D145" s="209" t="str">
        <f t="shared" si="1"/>
        <v/>
      </c>
      <c r="E145" s="296" t="str">
        <f t="array" ref="E145">IF(ISNA($AA145),0,INDEX(DECLARATIONS,$AA145,5))</f>
        <v/>
      </c>
      <c r="F145" s="209" t="str">
        <f t="array" ref="F145">IF(ISNA($AA145),0,INDEX(DECLARATIONS,$AA145,7))</f>
        <v/>
      </c>
      <c r="G145" s="209" t="str">
        <f t="array" ref="G145">UPPER(IF(ISNA($AA145),"",INDEX(DECLARATIONS,$AA145,4)))</f>
        <v/>
      </c>
      <c r="H145" t="str">
        <f>IF(AND(A145&gt;0,ISTEXT(B145)),IF(SECNAME="YES",LEFT(B145&amp;" ",FIND(" ",B145&amp;" ")+2)&amp;IF(F145&gt;0," ("&amp;F145&amp;")",""),B145&amp;IF(F145&gt;0," ("&amp;F145&amp;")","")),"#"&amp;$A145)</f>
        <v/>
      </c>
      <c r="I145" s="209">
        <f>IF(LEN($A145)&gt;0,IF(LEN($J145)&gt;0,MATCH(J145,MatchNames,0),EventIndex),0)</f>
        <v>0</v>
      </c>
      <c r="J145" s="209" t="str">
        <f>IF(LEN($A145)&gt;0,IF(LEN(Declarations!$F145)&gt;0,Declarations!$F145,conftype),"")</f>
        <v/>
      </c>
      <c r="M145" s="297">
        <f>IF(ISNA(VLOOKUP($A145,SprintData,2,FALSE)),0,VLOOKUP($A145,SprintData,2,FALSE))</f>
        <v>0</v>
      </c>
      <c r="N145" s="297">
        <f>IF(ISNA(VLOOKUP($A145,JumpData,2,FALSE)),0,VLOOKUP($A145,JumpData,2,FALSE))</f>
        <v>0</v>
      </c>
      <c r="O145" s="297">
        <f>IF(ISNA(VLOOKUP($A145,RunData,2,FALSE)),0,VLOOKUP($A145,RunData,2,FALSE))</f>
        <v>0</v>
      </c>
      <c r="P145" s="297">
        <f>IF(ISNA(VLOOKUP($A145,ThrowData,2,FALSE)),0,VLOOKUP($A145,ThrowData,2,FALSE))</f>
        <v>0</v>
      </c>
      <c r="Q145" s="298">
        <f>IF(ISNA(VLOOKUP($A145,SprintData,4,FALSE)),0,VLOOKUP($A145,SprintData,4,FALSE))+V145</f>
        <v>0</v>
      </c>
      <c r="R145" s="298">
        <f>IF(ISNA(VLOOKUP($A145,JumpData,4,FALSE)),0,VLOOKUP($A145,JumpData,4,FALSE))+W145</f>
        <v>0</v>
      </c>
      <c r="S145" s="298">
        <f>IF(ISNA(VLOOKUP($A145,RunData,4,FALSE)),0,VLOOKUP($A145,RunData,4,FALSE))+X145</f>
        <v>0</v>
      </c>
      <c r="T145" s="298">
        <f>IF(ISNA(VLOOKUP($A145,ThrowData,4,FALSE)),0,VLOOKUP($A145,ThrowData,4,FALSE))+Y145</f>
        <v>0</v>
      </c>
      <c r="U145" s="299">
        <f t="shared" si="2"/>
        <v>0</v>
      </c>
      <c r="V145">
        <f>IF(AND($F145&gt;0,NOT(M145),Flexing),FlexPC,0)</f>
        <v>0</v>
      </c>
      <c r="W145">
        <f>IF(AND($F145&gt;0,NOT(N145),Flexing),FlexPC,0)</f>
        <v>0</v>
      </c>
      <c r="X145">
        <f>IF(AND($F145&gt;0,NOT(O145),Flexing),FlexPC,0)</f>
        <v>0</v>
      </c>
      <c r="Y145">
        <f>IF(AND($F145&gt;0,NOT(P145),Flexing),FlexPC,0)</f>
        <v>0</v>
      </c>
      <c r="AA145" s="209">
        <f t="shared" si="3"/>
        <v>144</v>
      </c>
    </row>
    <row r="146" ht="15.75" customHeight="1">
      <c r="A146" s="206" t="str">
        <f>+Declarations!A146&amp;""</f>
        <v/>
      </c>
      <c r="B146" t="str">
        <f>IF(LEN($A146),IF(LEN(Declarations!$B146)&gt;0,Declarations!$B146,"#"&amp;$A146),"")</f>
        <v/>
      </c>
      <c r="C146" s="209" t="str">
        <f t="array" ref="C146">IF(LEN(INDEX(DECLARATIONS,$AA146,3))&gt;0,INDEX(DECLARATIONS,$AA146,3),"...")</f>
        <v>...</v>
      </c>
      <c r="D146" s="209" t="str">
        <f t="shared" si="1"/>
        <v/>
      </c>
      <c r="E146" s="296" t="str">
        <f t="array" ref="E146">IF(ISNA($AA146),0,INDEX(DECLARATIONS,$AA146,5))</f>
        <v/>
      </c>
      <c r="F146" s="209" t="str">
        <f t="array" ref="F146">IF(ISNA($AA146),0,INDEX(DECLARATIONS,$AA146,7))</f>
        <v/>
      </c>
      <c r="G146" s="209" t="str">
        <f t="array" ref="G146">UPPER(IF(ISNA($AA146),"",INDEX(DECLARATIONS,$AA146,4)))</f>
        <v/>
      </c>
      <c r="H146" t="str">
        <f>IF(AND(A146&gt;0,ISTEXT(B146)),IF(SECNAME="YES",LEFT(B146&amp;" ",FIND(" ",B146&amp;" ")+2)&amp;IF(F146&gt;0," ("&amp;F146&amp;")",""),B146&amp;IF(F146&gt;0," ("&amp;F146&amp;")","")),"#"&amp;$A146)</f>
        <v/>
      </c>
      <c r="I146" s="209">
        <f>IF(LEN($A146)&gt;0,IF(LEN($J146)&gt;0,MATCH(J146,MatchNames,0),EventIndex),0)</f>
        <v>0</v>
      </c>
      <c r="J146" s="209" t="str">
        <f>IF(LEN($A146)&gt;0,IF(LEN(Declarations!$F146)&gt;0,Declarations!$F146,conftype),"")</f>
        <v/>
      </c>
      <c r="M146" s="297">
        <f>IF(ISNA(VLOOKUP($A146,SprintData,2,FALSE)),0,VLOOKUP($A146,SprintData,2,FALSE))</f>
        <v>0</v>
      </c>
      <c r="N146" s="297">
        <f>IF(ISNA(VLOOKUP($A146,JumpData,2,FALSE)),0,VLOOKUP($A146,JumpData,2,FALSE))</f>
        <v>0</v>
      </c>
      <c r="O146" s="297">
        <f>IF(ISNA(VLOOKUP($A146,RunData,2,FALSE)),0,VLOOKUP($A146,RunData,2,FALSE))</f>
        <v>0</v>
      </c>
      <c r="P146" s="297">
        <f>IF(ISNA(VLOOKUP($A146,ThrowData,2,FALSE)),0,VLOOKUP($A146,ThrowData,2,FALSE))</f>
        <v>0</v>
      </c>
      <c r="Q146" s="298">
        <f>IF(ISNA(VLOOKUP($A146,SprintData,4,FALSE)),0,VLOOKUP($A146,SprintData,4,FALSE))+V146</f>
        <v>0</v>
      </c>
      <c r="R146" s="298">
        <f>IF(ISNA(VLOOKUP($A146,JumpData,4,FALSE)),0,VLOOKUP($A146,JumpData,4,FALSE))+W146</f>
        <v>0</v>
      </c>
      <c r="S146" s="298">
        <f>IF(ISNA(VLOOKUP($A146,RunData,4,FALSE)),0,VLOOKUP($A146,RunData,4,FALSE))+X146</f>
        <v>0</v>
      </c>
      <c r="T146" s="298">
        <f>IF(ISNA(VLOOKUP($A146,ThrowData,4,FALSE)),0,VLOOKUP($A146,ThrowData,4,FALSE))+Y146</f>
        <v>0</v>
      </c>
      <c r="U146" s="299">
        <f t="shared" si="2"/>
        <v>0</v>
      </c>
      <c r="V146">
        <f>IF(AND($F146&gt;0,NOT(M146),Flexing),FlexPC,0)</f>
        <v>0</v>
      </c>
      <c r="W146">
        <f>IF(AND($F146&gt;0,NOT(N146),Flexing),FlexPC,0)</f>
        <v>0</v>
      </c>
      <c r="X146">
        <f>IF(AND($F146&gt;0,NOT(O146),Flexing),FlexPC,0)</f>
        <v>0</v>
      </c>
      <c r="Y146">
        <f>IF(AND($F146&gt;0,NOT(P146),Flexing),FlexPC,0)</f>
        <v>0</v>
      </c>
      <c r="AA146" s="209">
        <f t="shared" si="3"/>
        <v>145</v>
      </c>
    </row>
    <row r="147" ht="15.75" customHeight="1">
      <c r="A147" s="206" t="str">
        <f>+Declarations!A147&amp;""</f>
        <v/>
      </c>
      <c r="B147" t="str">
        <f>IF(LEN($A147),IF(LEN(Declarations!$B147)&gt;0,Declarations!$B147,"#"&amp;$A147),"")</f>
        <v/>
      </c>
      <c r="C147" s="209" t="str">
        <f t="array" ref="C147">IF(LEN(INDEX(DECLARATIONS,$AA147,3))&gt;0,INDEX(DECLARATIONS,$AA147,3),"...")</f>
        <v>...</v>
      </c>
      <c r="D147" s="209" t="str">
        <f t="shared" si="1"/>
        <v/>
      </c>
      <c r="E147" s="296" t="str">
        <f t="array" ref="E147">IF(ISNA($AA147),0,INDEX(DECLARATIONS,$AA147,5))</f>
        <v/>
      </c>
      <c r="F147" s="209" t="str">
        <f t="array" ref="F147">IF(ISNA($AA147),0,INDEX(DECLARATIONS,$AA147,7))</f>
        <v/>
      </c>
      <c r="G147" s="209" t="str">
        <f t="array" ref="G147">UPPER(IF(ISNA($AA147),"",INDEX(DECLARATIONS,$AA147,4)))</f>
        <v/>
      </c>
      <c r="H147" t="str">
        <f>IF(AND(A147&gt;0,ISTEXT(B147)),IF(SECNAME="YES",LEFT(B147&amp;" ",FIND(" ",B147&amp;" ")+2)&amp;IF(F147&gt;0," ("&amp;F147&amp;")",""),B147&amp;IF(F147&gt;0," ("&amp;F147&amp;")","")),"#"&amp;$A147)</f>
        <v/>
      </c>
      <c r="I147" s="209">
        <f>IF(LEN($A147)&gt;0,IF(LEN($J147)&gt;0,MATCH(J147,MatchNames,0),EventIndex),0)</f>
        <v>0</v>
      </c>
      <c r="J147" s="209" t="str">
        <f>IF(LEN($A147)&gt;0,IF(LEN(Declarations!$F147)&gt;0,Declarations!$F147,conftype),"")</f>
        <v/>
      </c>
      <c r="M147" s="297">
        <f>IF(ISNA(VLOOKUP($A147,SprintData,2,FALSE)),0,VLOOKUP($A147,SprintData,2,FALSE))</f>
        <v>0</v>
      </c>
      <c r="N147" s="297">
        <f>IF(ISNA(VLOOKUP($A147,JumpData,2,FALSE)),0,VLOOKUP($A147,JumpData,2,FALSE))</f>
        <v>0</v>
      </c>
      <c r="O147" s="297">
        <f>IF(ISNA(VLOOKUP($A147,RunData,2,FALSE)),0,VLOOKUP($A147,RunData,2,FALSE))</f>
        <v>0</v>
      </c>
      <c r="P147" s="297">
        <f>IF(ISNA(VLOOKUP($A147,ThrowData,2,FALSE)),0,VLOOKUP($A147,ThrowData,2,FALSE))</f>
        <v>0</v>
      </c>
      <c r="Q147" s="298">
        <f>IF(ISNA(VLOOKUP($A147,SprintData,4,FALSE)),0,VLOOKUP($A147,SprintData,4,FALSE))+V147</f>
        <v>0</v>
      </c>
      <c r="R147" s="298">
        <f>IF(ISNA(VLOOKUP($A147,JumpData,4,FALSE)),0,VLOOKUP($A147,JumpData,4,FALSE))+W147</f>
        <v>0</v>
      </c>
      <c r="S147" s="298">
        <f>IF(ISNA(VLOOKUP($A147,RunData,4,FALSE)),0,VLOOKUP($A147,RunData,4,FALSE))+X147</f>
        <v>0</v>
      </c>
      <c r="T147" s="298">
        <f>IF(ISNA(VLOOKUP($A147,ThrowData,4,FALSE)),0,VLOOKUP($A147,ThrowData,4,FALSE))+Y147</f>
        <v>0</v>
      </c>
      <c r="U147" s="299">
        <f t="shared" si="2"/>
        <v>0</v>
      </c>
      <c r="V147">
        <f>IF(AND($F147&gt;0,NOT(M147),Flexing),FlexPC,0)</f>
        <v>0</v>
      </c>
      <c r="W147">
        <f>IF(AND($F147&gt;0,NOT(N147),Flexing),FlexPC,0)</f>
        <v>0</v>
      </c>
      <c r="X147">
        <f>IF(AND($F147&gt;0,NOT(O147),Flexing),FlexPC,0)</f>
        <v>0</v>
      </c>
      <c r="Y147">
        <f>IF(AND($F147&gt;0,NOT(P147),Flexing),FlexPC,0)</f>
        <v>0</v>
      </c>
      <c r="AA147" s="209">
        <f t="shared" si="3"/>
        <v>146</v>
      </c>
    </row>
    <row r="148" ht="15.75" customHeight="1">
      <c r="A148" s="206" t="str">
        <f>+Declarations!A148&amp;""</f>
        <v/>
      </c>
      <c r="B148" t="str">
        <f>IF(LEN($A148),IF(LEN(Declarations!$B148)&gt;0,Declarations!$B148,"#"&amp;$A148),"")</f>
        <v/>
      </c>
      <c r="C148" s="209" t="str">
        <f t="array" ref="C148">IF(LEN(INDEX(DECLARATIONS,$AA148,3))&gt;0,INDEX(DECLARATIONS,$AA148,3),"...")</f>
        <v>...</v>
      </c>
      <c r="D148" s="209" t="str">
        <f t="shared" si="1"/>
        <v/>
      </c>
      <c r="E148" s="296" t="str">
        <f t="array" ref="E148">IF(ISNA($AA148),0,INDEX(DECLARATIONS,$AA148,5))</f>
        <v/>
      </c>
      <c r="F148" s="209" t="str">
        <f t="array" ref="F148">IF(ISNA($AA148),0,INDEX(DECLARATIONS,$AA148,7))</f>
        <v/>
      </c>
      <c r="G148" s="209" t="str">
        <f t="array" ref="G148">UPPER(IF(ISNA($AA148),"",INDEX(DECLARATIONS,$AA148,4)))</f>
        <v/>
      </c>
      <c r="H148" t="str">
        <f>IF(AND(A148&gt;0,ISTEXT(B148)),IF(SECNAME="YES",LEFT(B148&amp;" ",FIND(" ",B148&amp;" ")+2)&amp;IF(F148&gt;0," ("&amp;F148&amp;")",""),B148&amp;IF(F148&gt;0," ("&amp;F148&amp;")","")),"#"&amp;$A148)</f>
        <v/>
      </c>
      <c r="I148" s="209">
        <f>IF(LEN($A148)&gt;0,IF(LEN($J148)&gt;0,MATCH(J148,MatchNames,0),EventIndex),0)</f>
        <v>0</v>
      </c>
      <c r="J148" s="209" t="str">
        <f>IF(LEN($A148)&gt;0,IF(LEN(Declarations!$F148)&gt;0,Declarations!$F148,conftype),"")</f>
        <v/>
      </c>
      <c r="M148" s="297">
        <f>IF(ISNA(VLOOKUP($A148,SprintData,2,FALSE)),0,VLOOKUP($A148,SprintData,2,FALSE))</f>
        <v>0</v>
      </c>
      <c r="N148" s="297">
        <f>IF(ISNA(VLOOKUP($A148,JumpData,2,FALSE)),0,VLOOKUP($A148,JumpData,2,FALSE))</f>
        <v>0</v>
      </c>
      <c r="O148" s="297">
        <f>IF(ISNA(VLOOKUP($A148,RunData,2,FALSE)),0,VLOOKUP($A148,RunData,2,FALSE))</f>
        <v>0</v>
      </c>
      <c r="P148" s="297">
        <f>IF(ISNA(VLOOKUP($A148,ThrowData,2,FALSE)),0,VLOOKUP($A148,ThrowData,2,FALSE))</f>
        <v>0</v>
      </c>
      <c r="Q148" s="298">
        <f>IF(ISNA(VLOOKUP($A148,SprintData,4,FALSE)),0,VLOOKUP($A148,SprintData,4,FALSE))+V148</f>
        <v>0</v>
      </c>
      <c r="R148" s="298">
        <f>IF(ISNA(VLOOKUP($A148,JumpData,4,FALSE)),0,VLOOKUP($A148,JumpData,4,FALSE))+W148</f>
        <v>0</v>
      </c>
      <c r="S148" s="298">
        <f>IF(ISNA(VLOOKUP($A148,RunData,4,FALSE)),0,VLOOKUP($A148,RunData,4,FALSE))+X148</f>
        <v>0</v>
      </c>
      <c r="T148" s="298">
        <f>IF(ISNA(VLOOKUP($A148,ThrowData,4,FALSE)),0,VLOOKUP($A148,ThrowData,4,FALSE))+Y148</f>
        <v>0</v>
      </c>
      <c r="U148" s="299">
        <f t="shared" si="2"/>
        <v>0</v>
      </c>
      <c r="V148">
        <f>IF(AND($F148&gt;0,NOT(M148),Flexing),FlexPC,0)</f>
        <v>0</v>
      </c>
      <c r="W148">
        <f>IF(AND($F148&gt;0,NOT(N148),Flexing),FlexPC,0)</f>
        <v>0</v>
      </c>
      <c r="X148">
        <f>IF(AND($F148&gt;0,NOT(O148),Flexing),FlexPC,0)</f>
        <v>0</v>
      </c>
      <c r="Y148">
        <f>IF(AND($F148&gt;0,NOT(P148),Flexing),FlexPC,0)</f>
        <v>0</v>
      </c>
      <c r="AA148" s="209">
        <f t="shared" si="3"/>
        <v>147</v>
      </c>
    </row>
    <row r="149" ht="15.75" customHeight="1">
      <c r="A149" s="206" t="str">
        <f>+Declarations!A149&amp;""</f>
        <v/>
      </c>
      <c r="B149" t="str">
        <f>IF(LEN($A149),IF(LEN(Declarations!$B149)&gt;0,Declarations!$B149,"#"&amp;$A149),"")</f>
        <v/>
      </c>
      <c r="C149" s="209" t="str">
        <f t="array" ref="C149">IF(LEN(INDEX(DECLARATIONS,$AA149,3))&gt;0,INDEX(DECLARATIONS,$AA149,3),"...")</f>
        <v>...</v>
      </c>
      <c r="D149" s="209" t="str">
        <f t="shared" si="1"/>
        <v/>
      </c>
      <c r="E149" s="296" t="str">
        <f t="array" ref="E149">IF(ISNA($AA149),0,INDEX(DECLARATIONS,$AA149,5))</f>
        <v/>
      </c>
      <c r="F149" s="209" t="str">
        <f t="array" ref="F149">IF(ISNA($AA149),0,INDEX(DECLARATIONS,$AA149,7))</f>
        <v/>
      </c>
      <c r="G149" s="209" t="str">
        <f t="array" ref="G149">UPPER(IF(ISNA($AA149),"",INDEX(DECLARATIONS,$AA149,4)))</f>
        <v/>
      </c>
      <c r="H149" t="str">
        <f>IF(AND(A149&gt;0,ISTEXT(B149)),IF(SECNAME="YES",LEFT(B149&amp;" ",FIND(" ",B149&amp;" ")+2)&amp;IF(F149&gt;0," ("&amp;F149&amp;")",""),B149&amp;IF(F149&gt;0," ("&amp;F149&amp;")","")),"#"&amp;$A149)</f>
        <v/>
      </c>
      <c r="I149" s="209">
        <f>IF(LEN($A149)&gt;0,IF(LEN($J149)&gt;0,MATCH(J149,MatchNames,0),EventIndex),0)</f>
        <v>0</v>
      </c>
      <c r="J149" s="209" t="str">
        <f>IF(LEN($A149)&gt;0,IF(LEN(Declarations!$F149)&gt;0,Declarations!$F149,conftype),"")</f>
        <v/>
      </c>
      <c r="M149" s="297">
        <f>IF(ISNA(VLOOKUP($A149,SprintData,2,FALSE)),0,VLOOKUP($A149,SprintData,2,FALSE))</f>
        <v>0</v>
      </c>
      <c r="N149" s="297">
        <f>IF(ISNA(VLOOKUP($A149,JumpData,2,FALSE)),0,VLOOKUP($A149,JumpData,2,FALSE))</f>
        <v>0</v>
      </c>
      <c r="O149" s="297">
        <f>IF(ISNA(VLOOKUP($A149,RunData,2,FALSE)),0,VLOOKUP($A149,RunData,2,FALSE))</f>
        <v>0</v>
      </c>
      <c r="P149" s="297">
        <f>IF(ISNA(VLOOKUP($A149,ThrowData,2,FALSE)),0,VLOOKUP($A149,ThrowData,2,FALSE))</f>
        <v>0</v>
      </c>
      <c r="Q149" s="298">
        <f>IF(ISNA(VLOOKUP($A149,SprintData,4,FALSE)),0,VLOOKUP($A149,SprintData,4,FALSE))+V149</f>
        <v>0</v>
      </c>
      <c r="R149" s="298">
        <f>IF(ISNA(VLOOKUP($A149,JumpData,4,FALSE)),0,VLOOKUP($A149,JumpData,4,FALSE))+W149</f>
        <v>0</v>
      </c>
      <c r="S149" s="298">
        <f>IF(ISNA(VLOOKUP($A149,RunData,4,FALSE)),0,VLOOKUP($A149,RunData,4,FALSE))+X149</f>
        <v>0</v>
      </c>
      <c r="T149" s="298">
        <f>IF(ISNA(VLOOKUP($A149,ThrowData,4,FALSE)),0,VLOOKUP($A149,ThrowData,4,FALSE))+Y149</f>
        <v>0</v>
      </c>
      <c r="U149" s="299">
        <f t="shared" si="2"/>
        <v>0</v>
      </c>
      <c r="V149">
        <f>IF(AND($F149&gt;0,NOT(M149),Flexing),FlexPC,0)</f>
        <v>0</v>
      </c>
      <c r="W149">
        <f>IF(AND($F149&gt;0,NOT(N149),Flexing),FlexPC,0)</f>
        <v>0</v>
      </c>
      <c r="X149">
        <f>IF(AND($F149&gt;0,NOT(O149),Flexing),FlexPC,0)</f>
        <v>0</v>
      </c>
      <c r="Y149">
        <f>IF(AND($F149&gt;0,NOT(P149),Flexing),FlexPC,0)</f>
        <v>0</v>
      </c>
      <c r="AA149" s="209">
        <f t="shared" si="3"/>
        <v>148</v>
      </c>
    </row>
    <row r="150" ht="15.75" customHeight="1">
      <c r="A150" s="206" t="str">
        <f>+Declarations!A150&amp;""</f>
        <v/>
      </c>
      <c r="B150" t="str">
        <f>IF(LEN($A150),IF(LEN(Declarations!$B150)&gt;0,Declarations!$B150,"#"&amp;$A150),"")</f>
        <v/>
      </c>
      <c r="C150" s="209" t="str">
        <f t="array" ref="C150">IF(LEN(INDEX(DECLARATIONS,$AA150,3))&gt;0,INDEX(DECLARATIONS,$AA150,3),"...")</f>
        <v>...</v>
      </c>
      <c r="D150" s="209" t="str">
        <f t="shared" si="1"/>
        <v/>
      </c>
      <c r="E150" s="296" t="str">
        <f t="array" ref="E150">IF(ISNA($AA150),0,INDEX(DECLARATIONS,$AA150,5))</f>
        <v/>
      </c>
      <c r="F150" s="209" t="str">
        <f t="array" ref="F150">IF(ISNA($AA150),0,INDEX(DECLARATIONS,$AA150,7))</f>
        <v/>
      </c>
      <c r="G150" s="209" t="str">
        <f t="array" ref="G150">UPPER(IF(ISNA($AA150),"",INDEX(DECLARATIONS,$AA150,4)))</f>
        <v/>
      </c>
      <c r="H150" t="str">
        <f>IF(AND(A150&gt;0,ISTEXT(B150)),IF(SECNAME="YES",LEFT(B150&amp;" ",FIND(" ",B150&amp;" ")+2)&amp;IF(F150&gt;0," ("&amp;F150&amp;")",""),B150&amp;IF(F150&gt;0," ("&amp;F150&amp;")","")),"#"&amp;$A150)</f>
        <v/>
      </c>
      <c r="I150" s="209">
        <f>IF(LEN($A150)&gt;0,IF(LEN($J150)&gt;0,MATCH(J150,MatchNames,0),EventIndex),0)</f>
        <v>0</v>
      </c>
      <c r="J150" s="209" t="str">
        <f>IF(LEN($A150)&gt;0,IF(LEN(Declarations!$F150)&gt;0,Declarations!$F150,conftype),"")</f>
        <v/>
      </c>
      <c r="M150" s="297">
        <f>IF(ISNA(VLOOKUP($A150,SprintData,2,FALSE)),0,VLOOKUP($A150,SprintData,2,FALSE))</f>
        <v>0</v>
      </c>
      <c r="N150" s="297">
        <f>IF(ISNA(VLOOKUP($A150,JumpData,2,FALSE)),0,VLOOKUP($A150,JumpData,2,FALSE))</f>
        <v>0</v>
      </c>
      <c r="O150" s="297">
        <f>IF(ISNA(VLOOKUP($A150,RunData,2,FALSE)),0,VLOOKUP($A150,RunData,2,FALSE))</f>
        <v>0</v>
      </c>
      <c r="P150" s="297">
        <f>IF(ISNA(VLOOKUP($A150,ThrowData,2,FALSE)),0,VLOOKUP($A150,ThrowData,2,FALSE))</f>
        <v>0</v>
      </c>
      <c r="Q150" s="298">
        <f>IF(ISNA(VLOOKUP($A150,SprintData,4,FALSE)),0,VLOOKUP($A150,SprintData,4,FALSE))+V150</f>
        <v>0</v>
      </c>
      <c r="R150" s="298">
        <f>IF(ISNA(VLOOKUP($A150,JumpData,4,FALSE)),0,VLOOKUP($A150,JumpData,4,FALSE))+W150</f>
        <v>0</v>
      </c>
      <c r="S150" s="298">
        <f>IF(ISNA(VLOOKUP($A150,RunData,4,FALSE)),0,VLOOKUP($A150,RunData,4,FALSE))+X150</f>
        <v>0</v>
      </c>
      <c r="T150" s="298">
        <f>IF(ISNA(VLOOKUP($A150,ThrowData,4,FALSE)),0,VLOOKUP($A150,ThrowData,4,FALSE))+Y150</f>
        <v>0</v>
      </c>
      <c r="U150" s="299">
        <f t="shared" si="2"/>
        <v>0</v>
      </c>
      <c r="V150">
        <f>IF(AND($F150&gt;0,NOT(M150),Flexing),FlexPC,0)</f>
        <v>0</v>
      </c>
      <c r="W150">
        <f>IF(AND($F150&gt;0,NOT(N150),Flexing),FlexPC,0)</f>
        <v>0</v>
      </c>
      <c r="X150">
        <f>IF(AND($F150&gt;0,NOT(O150),Flexing),FlexPC,0)</f>
        <v>0</v>
      </c>
      <c r="Y150">
        <f>IF(AND($F150&gt;0,NOT(P150),Flexing),FlexPC,0)</f>
        <v>0</v>
      </c>
      <c r="AA150" s="209">
        <f t="shared" si="3"/>
        <v>149</v>
      </c>
    </row>
    <row r="151" ht="15.75" customHeight="1">
      <c r="A151" s="206" t="str">
        <f>+Declarations!A151&amp;""</f>
        <v/>
      </c>
      <c r="B151" t="str">
        <f>IF(LEN($A151),IF(LEN(Declarations!$B151)&gt;0,Declarations!$B151,"#"&amp;$A151),"")</f>
        <v/>
      </c>
      <c r="C151" s="209" t="str">
        <f t="array" ref="C151">IF(LEN(INDEX(DECLARATIONS,$AA151,3))&gt;0,INDEX(DECLARATIONS,$AA151,3),"...")</f>
        <v>...</v>
      </c>
      <c r="D151" s="209" t="str">
        <f t="shared" si="1"/>
        <v/>
      </c>
      <c r="E151" s="296" t="str">
        <f t="array" ref="E151">IF(ISNA($AA151),0,INDEX(DECLARATIONS,$AA151,5))</f>
        <v/>
      </c>
      <c r="F151" s="209" t="str">
        <f t="array" ref="F151">IF(ISNA($AA151),0,INDEX(DECLARATIONS,$AA151,7))</f>
        <v/>
      </c>
      <c r="G151" s="209" t="str">
        <f t="array" ref="G151">UPPER(IF(ISNA($AA151),"",INDEX(DECLARATIONS,$AA151,4)))</f>
        <v/>
      </c>
      <c r="H151" t="str">
        <f>IF(AND(A151&gt;0,ISTEXT(B151)),IF(SECNAME="YES",LEFT(B151&amp;" ",FIND(" ",B151&amp;" ")+2)&amp;IF(F151&gt;0," ("&amp;F151&amp;")",""),B151&amp;IF(F151&gt;0," ("&amp;F151&amp;")","")),"#"&amp;$A151)</f>
        <v/>
      </c>
      <c r="I151" s="209">
        <f>IF(LEN($A151)&gt;0,IF(LEN($J151)&gt;0,MATCH(J151,MatchNames,0),EventIndex),0)</f>
        <v>0</v>
      </c>
      <c r="J151" s="209" t="str">
        <f>IF(LEN($A151)&gt;0,IF(LEN(Declarations!$F151)&gt;0,Declarations!$F151,conftype),"")</f>
        <v/>
      </c>
      <c r="M151" s="297">
        <f>IF(ISNA(VLOOKUP($A151,SprintData,2,FALSE)),0,VLOOKUP($A151,SprintData,2,FALSE))</f>
        <v>0</v>
      </c>
      <c r="N151" s="297">
        <f>IF(ISNA(VLOOKUP($A151,JumpData,2,FALSE)),0,VLOOKUP($A151,JumpData,2,FALSE))</f>
        <v>0</v>
      </c>
      <c r="O151" s="297">
        <f>IF(ISNA(VLOOKUP($A151,RunData,2,FALSE)),0,VLOOKUP($A151,RunData,2,FALSE))</f>
        <v>0</v>
      </c>
      <c r="P151" s="297">
        <f>IF(ISNA(VLOOKUP($A151,ThrowData,2,FALSE)),0,VLOOKUP($A151,ThrowData,2,FALSE))</f>
        <v>0</v>
      </c>
      <c r="Q151" s="298">
        <f>IF(ISNA(VLOOKUP($A151,SprintData,4,FALSE)),0,VLOOKUP($A151,SprintData,4,FALSE))+V151</f>
        <v>0</v>
      </c>
      <c r="R151" s="298">
        <f>IF(ISNA(VLOOKUP($A151,JumpData,4,FALSE)),0,VLOOKUP($A151,JumpData,4,FALSE))+W151</f>
        <v>0</v>
      </c>
      <c r="S151" s="298">
        <f>IF(ISNA(VLOOKUP($A151,RunData,4,FALSE)),0,VLOOKUP($A151,RunData,4,FALSE))+X151</f>
        <v>0</v>
      </c>
      <c r="T151" s="298">
        <f>IF(ISNA(VLOOKUP($A151,ThrowData,4,FALSE)),0,VLOOKUP($A151,ThrowData,4,FALSE))+Y151</f>
        <v>0</v>
      </c>
      <c r="U151" s="299">
        <f t="shared" si="2"/>
        <v>0</v>
      </c>
      <c r="V151">
        <f>IF(AND($F151&gt;0,NOT(M151),Flexing),FlexPC,0)</f>
        <v>0</v>
      </c>
      <c r="W151">
        <f>IF(AND($F151&gt;0,NOT(N151),Flexing),FlexPC,0)</f>
        <v>0</v>
      </c>
      <c r="X151">
        <f>IF(AND($F151&gt;0,NOT(O151),Flexing),FlexPC,0)</f>
        <v>0</v>
      </c>
      <c r="Y151">
        <f>IF(AND($F151&gt;0,NOT(P151),Flexing),FlexPC,0)</f>
        <v>0</v>
      </c>
      <c r="AA151" s="209">
        <f t="shared" si="3"/>
        <v>150</v>
      </c>
    </row>
    <row r="152" ht="15.75" customHeight="1">
      <c r="A152" s="206" t="str">
        <f>+Declarations!A152&amp;""</f>
        <v/>
      </c>
      <c r="B152" t="str">
        <f>IF(LEN($A152),IF(LEN(Declarations!$B152)&gt;0,Declarations!$B152,"#"&amp;$A152),"")</f>
        <v/>
      </c>
      <c r="C152" s="209" t="str">
        <f t="array" ref="C152">IF(LEN(INDEX(DECLARATIONS,$AA152,3))&gt;0,INDEX(DECLARATIONS,$AA152,3),"...")</f>
        <v>...</v>
      </c>
      <c r="D152" s="209" t="str">
        <f t="shared" si="1"/>
        <v/>
      </c>
      <c r="E152" s="296" t="str">
        <f t="array" ref="E152">IF(ISNA($AA152),0,INDEX(DECLARATIONS,$AA152,5))</f>
        <v/>
      </c>
      <c r="F152" s="209" t="str">
        <f t="array" ref="F152">IF(ISNA($AA152),0,INDEX(DECLARATIONS,$AA152,7))</f>
        <v/>
      </c>
      <c r="G152" s="209" t="str">
        <f t="array" ref="G152">UPPER(IF(ISNA($AA152),"",INDEX(DECLARATIONS,$AA152,4)))</f>
        <v/>
      </c>
      <c r="H152" t="str">
        <f>IF(AND(A152&gt;0,ISTEXT(B152)),IF(SECNAME="YES",LEFT(B152&amp;" ",FIND(" ",B152&amp;" ")+2)&amp;IF(F152&gt;0," ("&amp;F152&amp;")",""),B152&amp;IF(F152&gt;0," ("&amp;F152&amp;")","")),"#"&amp;$A152)</f>
        <v/>
      </c>
      <c r="I152" s="209">
        <f>IF(LEN($A152)&gt;0,IF(LEN($J152)&gt;0,MATCH(J152,MatchNames,0),EventIndex),0)</f>
        <v>0</v>
      </c>
      <c r="J152" s="209" t="str">
        <f>IF(LEN($A152)&gt;0,IF(LEN(Declarations!$F152)&gt;0,Declarations!$F152,conftype),"")</f>
        <v/>
      </c>
      <c r="M152" s="297">
        <f>IF(ISNA(VLOOKUP($A152,SprintData,2,FALSE)),0,VLOOKUP($A152,SprintData,2,FALSE))</f>
        <v>0</v>
      </c>
      <c r="N152" s="297">
        <f>IF(ISNA(VLOOKUP($A152,JumpData,2,FALSE)),0,VLOOKUP($A152,JumpData,2,FALSE))</f>
        <v>0</v>
      </c>
      <c r="O152" s="297">
        <f>IF(ISNA(VLOOKUP($A152,RunData,2,FALSE)),0,VLOOKUP($A152,RunData,2,FALSE))</f>
        <v>0</v>
      </c>
      <c r="P152" s="297">
        <f>IF(ISNA(VLOOKUP($A152,ThrowData,2,FALSE)),0,VLOOKUP($A152,ThrowData,2,FALSE))</f>
        <v>0</v>
      </c>
      <c r="Q152" s="298">
        <f>IF(ISNA(VLOOKUP($A152,SprintData,4,FALSE)),0,VLOOKUP($A152,SprintData,4,FALSE))+V152</f>
        <v>0</v>
      </c>
      <c r="R152" s="298">
        <f>IF(ISNA(VLOOKUP($A152,JumpData,4,FALSE)),0,VLOOKUP($A152,JumpData,4,FALSE))+W152</f>
        <v>0</v>
      </c>
      <c r="S152" s="298">
        <f>IF(ISNA(VLOOKUP($A152,RunData,4,FALSE)),0,VLOOKUP($A152,RunData,4,FALSE))+X152</f>
        <v>0</v>
      </c>
      <c r="T152" s="298">
        <f>IF(ISNA(VLOOKUP($A152,ThrowData,4,FALSE)),0,VLOOKUP($A152,ThrowData,4,FALSE))+Y152</f>
        <v>0</v>
      </c>
      <c r="U152" s="299">
        <f t="shared" si="2"/>
        <v>0</v>
      </c>
      <c r="V152">
        <f>IF(AND($F152&gt;0,NOT(M152),Flexing),FlexPC,0)</f>
        <v>0</v>
      </c>
      <c r="W152">
        <f>IF(AND($F152&gt;0,NOT(N152),Flexing),FlexPC,0)</f>
        <v>0</v>
      </c>
      <c r="X152">
        <f>IF(AND($F152&gt;0,NOT(O152),Flexing),FlexPC,0)</f>
        <v>0</v>
      </c>
      <c r="Y152">
        <f>IF(AND($F152&gt;0,NOT(P152),Flexing),FlexPC,0)</f>
        <v>0</v>
      </c>
      <c r="AA152" s="209">
        <f t="shared" si="3"/>
        <v>151</v>
      </c>
    </row>
    <row r="153" ht="15.75" customHeight="1">
      <c r="A153" s="206" t="str">
        <f>+Declarations!A153&amp;""</f>
        <v/>
      </c>
      <c r="B153" t="str">
        <f>IF(LEN($A153),IF(LEN(Declarations!$B153)&gt;0,Declarations!$B153,"#"&amp;$A153),"")</f>
        <v/>
      </c>
      <c r="C153" s="209" t="str">
        <f t="array" ref="C153">IF(LEN(INDEX(DECLARATIONS,$AA153,3))&gt;0,INDEX(DECLARATIONS,$AA153,3),"...")</f>
        <v>...</v>
      </c>
      <c r="D153" s="209" t="str">
        <f t="shared" si="1"/>
        <v/>
      </c>
      <c r="E153" s="296" t="str">
        <f t="array" ref="E153">IF(ISNA($AA153),0,INDEX(DECLARATIONS,$AA153,5))</f>
        <v/>
      </c>
      <c r="F153" s="209" t="str">
        <f t="array" ref="F153">IF(ISNA($AA153),0,INDEX(DECLARATIONS,$AA153,7))</f>
        <v/>
      </c>
      <c r="G153" s="209" t="str">
        <f t="array" ref="G153">UPPER(IF(ISNA($AA153),"",INDEX(DECLARATIONS,$AA153,4)))</f>
        <v/>
      </c>
      <c r="H153" t="str">
        <f>IF(AND(A153&gt;0,ISTEXT(B153)),IF(SECNAME="YES",LEFT(B153&amp;" ",FIND(" ",B153&amp;" ")+2)&amp;IF(F153&gt;0," ("&amp;F153&amp;")",""),B153&amp;IF(F153&gt;0," ("&amp;F153&amp;")","")),"#"&amp;$A153)</f>
        <v/>
      </c>
      <c r="I153" s="209">
        <f>IF(LEN($A153)&gt;0,IF(LEN($J153)&gt;0,MATCH(J153,MatchNames,0),EventIndex),0)</f>
        <v>0</v>
      </c>
      <c r="J153" s="209" t="str">
        <f>IF(LEN($A153)&gt;0,IF(LEN(Declarations!$F153)&gt;0,Declarations!$F153,conftype),"")</f>
        <v/>
      </c>
      <c r="M153" s="297">
        <f>IF(ISNA(VLOOKUP($A153,SprintData,2,FALSE)),0,VLOOKUP($A153,SprintData,2,FALSE))</f>
        <v>0</v>
      </c>
      <c r="N153" s="297">
        <f>IF(ISNA(VLOOKUP($A153,JumpData,2,FALSE)),0,VLOOKUP($A153,JumpData,2,FALSE))</f>
        <v>0</v>
      </c>
      <c r="O153" s="297">
        <f>IF(ISNA(VLOOKUP($A153,RunData,2,FALSE)),0,VLOOKUP($A153,RunData,2,FALSE))</f>
        <v>0</v>
      </c>
      <c r="P153" s="297">
        <f>IF(ISNA(VLOOKUP($A153,ThrowData,2,FALSE)),0,VLOOKUP($A153,ThrowData,2,FALSE))</f>
        <v>0</v>
      </c>
      <c r="Q153" s="298">
        <f>IF(ISNA(VLOOKUP($A153,SprintData,4,FALSE)),0,VLOOKUP($A153,SprintData,4,FALSE))+V153</f>
        <v>0</v>
      </c>
      <c r="R153" s="298">
        <f>IF(ISNA(VLOOKUP($A153,JumpData,4,FALSE)),0,VLOOKUP($A153,JumpData,4,FALSE))+W153</f>
        <v>0</v>
      </c>
      <c r="S153" s="298">
        <f>IF(ISNA(VLOOKUP($A153,RunData,4,FALSE)),0,VLOOKUP($A153,RunData,4,FALSE))+X153</f>
        <v>0</v>
      </c>
      <c r="T153" s="298">
        <f>IF(ISNA(VLOOKUP($A153,ThrowData,4,FALSE)),0,VLOOKUP($A153,ThrowData,4,FALSE))+Y153</f>
        <v>0</v>
      </c>
      <c r="U153" s="299">
        <f t="shared" si="2"/>
        <v>0</v>
      </c>
      <c r="V153">
        <f>IF(AND($F153&gt;0,NOT(M153),Flexing),FlexPC,0)</f>
        <v>0</v>
      </c>
      <c r="W153">
        <f>IF(AND($F153&gt;0,NOT(N153),Flexing),FlexPC,0)</f>
        <v>0</v>
      </c>
      <c r="X153">
        <f>IF(AND($F153&gt;0,NOT(O153),Flexing),FlexPC,0)</f>
        <v>0</v>
      </c>
      <c r="Y153">
        <f>IF(AND($F153&gt;0,NOT(P153),Flexing),FlexPC,0)</f>
        <v>0</v>
      </c>
      <c r="AA153" s="209">
        <f t="shared" si="3"/>
        <v>152</v>
      </c>
    </row>
    <row r="154" ht="15.75" customHeight="1">
      <c r="A154" s="206" t="str">
        <f>+Declarations!A154&amp;""</f>
        <v/>
      </c>
      <c r="B154" t="str">
        <f>IF(LEN($A154),IF(LEN(Declarations!$B154)&gt;0,Declarations!$B154,"#"&amp;$A154),"")</f>
        <v/>
      </c>
      <c r="C154" s="209" t="str">
        <f t="array" ref="C154">IF(LEN(INDEX(DECLARATIONS,$AA154,3))&gt;0,INDEX(DECLARATIONS,$AA154,3),"...")</f>
        <v>...</v>
      </c>
      <c r="D154" s="209" t="str">
        <f t="shared" si="1"/>
        <v/>
      </c>
      <c r="E154" s="296" t="str">
        <f t="array" ref="E154">IF(ISNA($AA154),0,INDEX(DECLARATIONS,$AA154,5))</f>
        <v/>
      </c>
      <c r="F154" s="209" t="str">
        <f t="array" ref="F154">IF(ISNA($AA154),0,INDEX(DECLARATIONS,$AA154,7))</f>
        <v/>
      </c>
      <c r="G154" s="209" t="str">
        <f t="array" ref="G154">UPPER(IF(ISNA($AA154),"",INDEX(DECLARATIONS,$AA154,4)))</f>
        <v/>
      </c>
      <c r="H154" t="str">
        <f>IF(AND(A154&gt;0,ISTEXT(B154)),IF(SECNAME="YES",LEFT(B154&amp;" ",FIND(" ",B154&amp;" ")+2)&amp;IF(F154&gt;0," ("&amp;F154&amp;")",""),B154&amp;IF(F154&gt;0," ("&amp;F154&amp;")","")),"#"&amp;$A154)</f>
        <v/>
      </c>
      <c r="I154" s="209">
        <f>IF(LEN($A154)&gt;0,IF(LEN($J154)&gt;0,MATCH(J154,MatchNames,0),EventIndex),0)</f>
        <v>0</v>
      </c>
      <c r="J154" s="209" t="str">
        <f>IF(LEN($A154)&gt;0,IF(LEN(Declarations!$F154)&gt;0,Declarations!$F154,conftype),"")</f>
        <v/>
      </c>
      <c r="M154" s="297">
        <f>IF(ISNA(VLOOKUP($A154,SprintData,2,FALSE)),0,VLOOKUP($A154,SprintData,2,FALSE))</f>
        <v>0</v>
      </c>
      <c r="N154" s="297">
        <f>IF(ISNA(VLOOKUP($A154,JumpData,2,FALSE)),0,VLOOKUP($A154,JumpData,2,FALSE))</f>
        <v>0</v>
      </c>
      <c r="O154" s="297">
        <f>IF(ISNA(VLOOKUP($A154,RunData,2,FALSE)),0,VLOOKUP($A154,RunData,2,FALSE))</f>
        <v>0</v>
      </c>
      <c r="P154" s="297">
        <f>IF(ISNA(VLOOKUP($A154,ThrowData,2,FALSE)),0,VLOOKUP($A154,ThrowData,2,FALSE))</f>
        <v>0</v>
      </c>
      <c r="Q154" s="298">
        <f>IF(ISNA(VLOOKUP($A154,SprintData,4,FALSE)),0,VLOOKUP($A154,SprintData,4,FALSE))+V154</f>
        <v>0</v>
      </c>
      <c r="R154" s="298">
        <f>IF(ISNA(VLOOKUP($A154,JumpData,4,FALSE)),0,VLOOKUP($A154,JumpData,4,FALSE))+W154</f>
        <v>0</v>
      </c>
      <c r="S154" s="298">
        <f>IF(ISNA(VLOOKUP($A154,RunData,4,FALSE)),0,VLOOKUP($A154,RunData,4,FALSE))+X154</f>
        <v>0</v>
      </c>
      <c r="T154" s="298">
        <f>IF(ISNA(VLOOKUP($A154,ThrowData,4,FALSE)),0,VLOOKUP($A154,ThrowData,4,FALSE))+Y154</f>
        <v>0</v>
      </c>
      <c r="U154" s="299">
        <f t="shared" si="2"/>
        <v>0</v>
      </c>
      <c r="V154">
        <f>IF(AND($F154&gt;0,NOT(M154),Flexing),FlexPC,0)</f>
        <v>0</v>
      </c>
      <c r="W154">
        <f>IF(AND($F154&gt;0,NOT(N154),Flexing),FlexPC,0)</f>
        <v>0</v>
      </c>
      <c r="X154">
        <f>IF(AND($F154&gt;0,NOT(O154),Flexing),FlexPC,0)</f>
        <v>0</v>
      </c>
      <c r="Y154">
        <f>IF(AND($F154&gt;0,NOT(P154),Flexing),FlexPC,0)</f>
        <v>0</v>
      </c>
      <c r="AA154" s="209">
        <f t="shared" si="3"/>
        <v>153</v>
      </c>
    </row>
    <row r="155" ht="15.75" customHeight="1">
      <c r="A155" s="206" t="str">
        <f>+Declarations!A155&amp;""</f>
        <v/>
      </c>
      <c r="B155" t="str">
        <f>IF(LEN($A155),IF(LEN(Declarations!$B155)&gt;0,Declarations!$B155,"#"&amp;$A155),"")</f>
        <v/>
      </c>
      <c r="C155" s="209" t="str">
        <f t="array" ref="C155">IF(LEN(INDEX(DECLARATIONS,$AA155,3))&gt;0,INDEX(DECLARATIONS,$AA155,3),"...")</f>
        <v>...</v>
      </c>
      <c r="D155" s="209" t="str">
        <f t="shared" si="1"/>
        <v/>
      </c>
      <c r="E155" s="296" t="str">
        <f t="array" ref="E155">IF(ISNA($AA155),0,INDEX(DECLARATIONS,$AA155,5))</f>
        <v/>
      </c>
      <c r="F155" s="209" t="str">
        <f t="array" ref="F155">IF(ISNA($AA155),0,INDEX(DECLARATIONS,$AA155,7))</f>
        <v/>
      </c>
      <c r="G155" s="209" t="str">
        <f t="array" ref="G155">UPPER(IF(ISNA($AA155),"",INDEX(DECLARATIONS,$AA155,4)))</f>
        <v/>
      </c>
      <c r="H155" t="str">
        <f>IF(AND(A155&gt;0,ISTEXT(B155)),IF(SECNAME="YES",LEFT(B155&amp;" ",FIND(" ",B155&amp;" ")+2)&amp;IF(F155&gt;0," ("&amp;F155&amp;")",""),B155&amp;IF(F155&gt;0," ("&amp;F155&amp;")","")),"#"&amp;$A155)</f>
        <v/>
      </c>
      <c r="I155" s="209">
        <f>IF(LEN($A155)&gt;0,IF(LEN($J155)&gt;0,MATCH(J155,MatchNames,0),EventIndex),0)</f>
        <v>0</v>
      </c>
      <c r="J155" s="209" t="str">
        <f>IF(LEN($A155)&gt;0,IF(LEN(Declarations!$F155)&gt;0,Declarations!$F155,conftype),"")</f>
        <v/>
      </c>
      <c r="M155" s="297">
        <f>IF(ISNA(VLOOKUP($A155,SprintData,2,FALSE)),0,VLOOKUP($A155,SprintData,2,FALSE))</f>
        <v>0</v>
      </c>
      <c r="N155" s="297">
        <f>IF(ISNA(VLOOKUP($A155,JumpData,2,FALSE)),0,VLOOKUP($A155,JumpData,2,FALSE))</f>
        <v>0</v>
      </c>
      <c r="O155" s="297">
        <f>IF(ISNA(VLOOKUP($A155,RunData,2,FALSE)),0,VLOOKUP($A155,RunData,2,FALSE))</f>
        <v>0</v>
      </c>
      <c r="P155" s="297">
        <f>IF(ISNA(VLOOKUP($A155,ThrowData,2,FALSE)),0,VLOOKUP($A155,ThrowData,2,FALSE))</f>
        <v>0</v>
      </c>
      <c r="Q155" s="298">
        <f>IF(ISNA(VLOOKUP($A155,SprintData,4,FALSE)),0,VLOOKUP($A155,SprintData,4,FALSE))+V155</f>
        <v>0</v>
      </c>
      <c r="R155" s="298">
        <f>IF(ISNA(VLOOKUP($A155,JumpData,4,FALSE)),0,VLOOKUP($A155,JumpData,4,FALSE))+W155</f>
        <v>0</v>
      </c>
      <c r="S155" s="298">
        <f>IF(ISNA(VLOOKUP($A155,RunData,4,FALSE)),0,VLOOKUP($A155,RunData,4,FALSE))+X155</f>
        <v>0</v>
      </c>
      <c r="T155" s="298">
        <f>IF(ISNA(VLOOKUP($A155,ThrowData,4,FALSE)),0,VLOOKUP($A155,ThrowData,4,FALSE))+Y155</f>
        <v>0</v>
      </c>
      <c r="U155" s="299">
        <f t="shared" si="2"/>
        <v>0</v>
      </c>
      <c r="V155">
        <f>IF(AND($F155&gt;0,NOT(M155),Flexing),FlexPC,0)</f>
        <v>0</v>
      </c>
      <c r="W155">
        <f>IF(AND($F155&gt;0,NOT(N155),Flexing),FlexPC,0)</f>
        <v>0</v>
      </c>
      <c r="X155">
        <f>IF(AND($F155&gt;0,NOT(O155),Flexing),FlexPC,0)</f>
        <v>0</v>
      </c>
      <c r="Y155">
        <f>IF(AND($F155&gt;0,NOT(P155),Flexing),FlexPC,0)</f>
        <v>0</v>
      </c>
      <c r="AA155" s="209">
        <f t="shared" si="3"/>
        <v>154</v>
      </c>
    </row>
    <row r="156" ht="15.75" customHeight="1">
      <c r="A156" s="206" t="str">
        <f>+Declarations!A156&amp;""</f>
        <v/>
      </c>
      <c r="B156" t="str">
        <f>IF(LEN($A156),IF(LEN(Declarations!$B156)&gt;0,Declarations!$B156,"#"&amp;$A156),"")</f>
        <v/>
      </c>
      <c r="C156" s="209" t="str">
        <f t="array" ref="C156">IF(LEN(INDEX(DECLARATIONS,$AA156,3))&gt;0,INDEX(DECLARATIONS,$AA156,3),"...")</f>
        <v>...</v>
      </c>
      <c r="D156" s="209" t="str">
        <f t="shared" si="1"/>
        <v/>
      </c>
      <c r="E156" s="296" t="str">
        <f t="array" ref="E156">IF(ISNA($AA156),0,INDEX(DECLARATIONS,$AA156,5))</f>
        <v/>
      </c>
      <c r="F156" s="209" t="str">
        <f t="array" ref="F156">IF(ISNA($AA156),0,INDEX(DECLARATIONS,$AA156,7))</f>
        <v/>
      </c>
      <c r="G156" s="209" t="str">
        <f t="array" ref="G156">UPPER(IF(ISNA($AA156),"",INDEX(DECLARATIONS,$AA156,4)))</f>
        <v/>
      </c>
      <c r="H156" t="str">
        <f>IF(AND(A156&gt;0,ISTEXT(B156)),IF(SECNAME="YES",LEFT(B156&amp;" ",FIND(" ",B156&amp;" ")+2)&amp;IF(F156&gt;0," ("&amp;F156&amp;")",""),B156&amp;IF(F156&gt;0," ("&amp;F156&amp;")","")),"#"&amp;$A156)</f>
        <v/>
      </c>
      <c r="I156" s="209">
        <f>IF(LEN($A156)&gt;0,IF(LEN($J156)&gt;0,MATCH(J156,MatchNames,0),EventIndex),0)</f>
        <v>0</v>
      </c>
      <c r="J156" s="209" t="str">
        <f>IF(LEN($A156)&gt;0,IF(LEN(Declarations!$F156)&gt;0,Declarations!$F156,conftype),"")</f>
        <v/>
      </c>
      <c r="M156" s="297">
        <f>IF(ISNA(VLOOKUP($A156,SprintData,2,FALSE)),0,VLOOKUP($A156,SprintData,2,FALSE))</f>
        <v>0</v>
      </c>
      <c r="N156" s="297">
        <f>IF(ISNA(VLOOKUP($A156,JumpData,2,FALSE)),0,VLOOKUP($A156,JumpData,2,FALSE))</f>
        <v>0</v>
      </c>
      <c r="O156" s="297">
        <f>IF(ISNA(VLOOKUP($A156,RunData,2,FALSE)),0,VLOOKUP($A156,RunData,2,FALSE))</f>
        <v>0</v>
      </c>
      <c r="P156" s="297">
        <f>IF(ISNA(VLOOKUP($A156,ThrowData,2,FALSE)),0,VLOOKUP($A156,ThrowData,2,FALSE))</f>
        <v>0</v>
      </c>
      <c r="Q156" s="298">
        <f>IF(ISNA(VLOOKUP($A156,SprintData,4,FALSE)),0,VLOOKUP($A156,SprintData,4,FALSE))+V156</f>
        <v>0</v>
      </c>
      <c r="R156" s="298">
        <f>IF(ISNA(VLOOKUP($A156,JumpData,4,FALSE)),0,VLOOKUP($A156,JumpData,4,FALSE))+W156</f>
        <v>0</v>
      </c>
      <c r="S156" s="298">
        <f>IF(ISNA(VLOOKUP($A156,RunData,4,FALSE)),0,VLOOKUP($A156,RunData,4,FALSE))+X156</f>
        <v>0</v>
      </c>
      <c r="T156" s="298">
        <f>IF(ISNA(VLOOKUP($A156,ThrowData,4,FALSE)),0,VLOOKUP($A156,ThrowData,4,FALSE))+Y156</f>
        <v>0</v>
      </c>
      <c r="U156" s="299">
        <f t="shared" si="2"/>
        <v>0</v>
      </c>
      <c r="V156">
        <f>IF(AND($F156&gt;0,NOT(M156),Flexing),FlexPC,0)</f>
        <v>0</v>
      </c>
      <c r="W156">
        <f>IF(AND($F156&gt;0,NOT(N156),Flexing),FlexPC,0)</f>
        <v>0</v>
      </c>
      <c r="X156">
        <f>IF(AND($F156&gt;0,NOT(O156),Flexing),FlexPC,0)</f>
        <v>0</v>
      </c>
      <c r="Y156">
        <f>IF(AND($F156&gt;0,NOT(P156),Flexing),FlexPC,0)</f>
        <v>0</v>
      </c>
      <c r="AA156" s="209">
        <f t="shared" si="3"/>
        <v>155</v>
      </c>
    </row>
    <row r="157" ht="15.75" customHeight="1">
      <c r="A157" s="206" t="str">
        <f>+Declarations!A157&amp;""</f>
        <v/>
      </c>
      <c r="B157" t="str">
        <f>IF(LEN($A157),IF(LEN(Declarations!$B157)&gt;0,Declarations!$B157,"#"&amp;$A157),"")</f>
        <v/>
      </c>
      <c r="C157" s="209" t="str">
        <f t="array" ref="C157">IF(LEN(INDEX(DECLARATIONS,$AA157,3))&gt;0,INDEX(DECLARATIONS,$AA157,3),"...")</f>
        <v>...</v>
      </c>
      <c r="D157" s="209" t="str">
        <f t="shared" si="1"/>
        <v/>
      </c>
      <c r="E157" s="296" t="str">
        <f t="array" ref="E157">IF(ISNA($AA157),0,INDEX(DECLARATIONS,$AA157,5))</f>
        <v/>
      </c>
      <c r="F157" s="209" t="str">
        <f t="array" ref="F157">IF(ISNA($AA157),0,INDEX(DECLARATIONS,$AA157,7))</f>
        <v/>
      </c>
      <c r="G157" s="209" t="str">
        <f t="array" ref="G157">UPPER(IF(ISNA($AA157),"",INDEX(DECLARATIONS,$AA157,4)))</f>
        <v/>
      </c>
      <c r="H157" t="str">
        <f>IF(AND(A157&gt;0,ISTEXT(B157)),IF(SECNAME="YES",LEFT(B157&amp;" ",FIND(" ",B157&amp;" ")+2)&amp;IF(F157&gt;0," ("&amp;F157&amp;")",""),B157&amp;IF(F157&gt;0," ("&amp;F157&amp;")","")),"#"&amp;$A157)</f>
        <v/>
      </c>
      <c r="I157" s="209">
        <f>IF(LEN($A157)&gt;0,IF(LEN($J157)&gt;0,MATCH(J157,MatchNames,0),EventIndex),0)</f>
        <v>0</v>
      </c>
      <c r="J157" s="209" t="str">
        <f>IF(LEN($A157)&gt;0,IF(LEN(Declarations!$F157)&gt;0,Declarations!$F157,conftype),"")</f>
        <v/>
      </c>
      <c r="M157" s="297">
        <f>IF(ISNA(VLOOKUP($A157,SprintData,2,FALSE)),0,VLOOKUP($A157,SprintData,2,FALSE))</f>
        <v>0</v>
      </c>
      <c r="N157" s="297">
        <f>IF(ISNA(VLOOKUP($A157,JumpData,2,FALSE)),0,VLOOKUP($A157,JumpData,2,FALSE))</f>
        <v>0</v>
      </c>
      <c r="O157" s="297">
        <f>IF(ISNA(VLOOKUP($A157,RunData,2,FALSE)),0,VLOOKUP($A157,RunData,2,FALSE))</f>
        <v>0</v>
      </c>
      <c r="P157" s="297">
        <f>IF(ISNA(VLOOKUP($A157,ThrowData,2,FALSE)),0,VLOOKUP($A157,ThrowData,2,FALSE))</f>
        <v>0</v>
      </c>
      <c r="Q157" s="298">
        <f>IF(ISNA(VLOOKUP($A157,SprintData,4,FALSE)),0,VLOOKUP($A157,SprintData,4,FALSE))+V157</f>
        <v>0</v>
      </c>
      <c r="R157" s="298">
        <f>IF(ISNA(VLOOKUP($A157,JumpData,4,FALSE)),0,VLOOKUP($A157,JumpData,4,FALSE))+W157</f>
        <v>0</v>
      </c>
      <c r="S157" s="298">
        <f>IF(ISNA(VLOOKUP($A157,RunData,4,FALSE)),0,VLOOKUP($A157,RunData,4,FALSE))+X157</f>
        <v>0</v>
      </c>
      <c r="T157" s="298">
        <f>IF(ISNA(VLOOKUP($A157,ThrowData,4,FALSE)),0,VLOOKUP($A157,ThrowData,4,FALSE))+Y157</f>
        <v>0</v>
      </c>
      <c r="U157" s="299">
        <f t="shared" si="2"/>
        <v>0</v>
      </c>
      <c r="V157">
        <f>IF(AND($F157&gt;0,NOT(M157),Flexing),FlexPC,0)</f>
        <v>0</v>
      </c>
      <c r="W157">
        <f>IF(AND($F157&gt;0,NOT(N157),Flexing),FlexPC,0)</f>
        <v>0</v>
      </c>
      <c r="X157">
        <f>IF(AND($F157&gt;0,NOT(O157),Flexing),FlexPC,0)</f>
        <v>0</v>
      </c>
      <c r="Y157">
        <f>IF(AND($F157&gt;0,NOT(P157),Flexing),FlexPC,0)</f>
        <v>0</v>
      </c>
      <c r="AA157" s="209">
        <f t="shared" si="3"/>
        <v>156</v>
      </c>
    </row>
    <row r="158" ht="15.75" customHeight="1">
      <c r="A158" s="206" t="str">
        <f>+Declarations!A158&amp;""</f>
        <v/>
      </c>
      <c r="B158" t="str">
        <f>IF(LEN($A158),IF(LEN(Declarations!$B158)&gt;0,Declarations!$B158,"#"&amp;$A158),"")</f>
        <v/>
      </c>
      <c r="C158" s="209" t="str">
        <f t="array" ref="C158">IF(LEN(INDEX(DECLARATIONS,$AA158,3))&gt;0,INDEX(DECLARATIONS,$AA158,3),"...")</f>
        <v>...</v>
      </c>
      <c r="D158" s="209" t="str">
        <f t="shared" si="1"/>
        <v/>
      </c>
      <c r="E158" s="296" t="str">
        <f t="array" ref="E158">IF(ISNA($AA158),0,INDEX(DECLARATIONS,$AA158,5))</f>
        <v/>
      </c>
      <c r="F158" s="209" t="str">
        <f t="array" ref="F158">IF(ISNA($AA158),0,INDEX(DECLARATIONS,$AA158,7))</f>
        <v/>
      </c>
      <c r="G158" s="209" t="str">
        <f t="array" ref="G158">UPPER(IF(ISNA($AA158),"",INDEX(DECLARATIONS,$AA158,4)))</f>
        <v/>
      </c>
      <c r="H158" t="str">
        <f>IF(AND(A158&gt;0,ISTEXT(B158)),IF(SECNAME="YES",LEFT(B158&amp;" ",FIND(" ",B158&amp;" ")+2)&amp;IF(F158&gt;0," ("&amp;F158&amp;")",""),B158&amp;IF(F158&gt;0," ("&amp;F158&amp;")","")),"#"&amp;$A158)</f>
        <v/>
      </c>
      <c r="I158" s="209">
        <f>IF(LEN($A158)&gt;0,IF(LEN($J158)&gt;0,MATCH(J158,MatchNames,0),EventIndex),0)</f>
        <v>0</v>
      </c>
      <c r="J158" s="209" t="str">
        <f>IF(LEN($A158)&gt;0,IF(LEN(Declarations!$F158)&gt;0,Declarations!$F158,conftype),"")</f>
        <v/>
      </c>
      <c r="M158" s="297">
        <f>IF(ISNA(VLOOKUP($A158,SprintData,2,FALSE)),0,VLOOKUP($A158,SprintData,2,FALSE))</f>
        <v>0</v>
      </c>
      <c r="N158" s="297">
        <f>IF(ISNA(VLOOKUP($A158,JumpData,2,FALSE)),0,VLOOKUP($A158,JumpData,2,FALSE))</f>
        <v>0</v>
      </c>
      <c r="O158" s="297">
        <f>IF(ISNA(VLOOKUP($A158,RunData,2,FALSE)),0,VLOOKUP($A158,RunData,2,FALSE))</f>
        <v>0</v>
      </c>
      <c r="P158" s="297">
        <f>IF(ISNA(VLOOKUP($A158,ThrowData,2,FALSE)),0,VLOOKUP($A158,ThrowData,2,FALSE))</f>
        <v>0</v>
      </c>
      <c r="Q158" s="298">
        <f>IF(ISNA(VLOOKUP($A158,SprintData,4,FALSE)),0,VLOOKUP($A158,SprintData,4,FALSE))+V158</f>
        <v>0</v>
      </c>
      <c r="R158" s="298">
        <f>IF(ISNA(VLOOKUP($A158,JumpData,4,FALSE)),0,VLOOKUP($A158,JumpData,4,FALSE))+W158</f>
        <v>0</v>
      </c>
      <c r="S158" s="298">
        <f>IF(ISNA(VLOOKUP($A158,RunData,4,FALSE)),0,VLOOKUP($A158,RunData,4,FALSE))+X158</f>
        <v>0</v>
      </c>
      <c r="T158" s="298">
        <f>IF(ISNA(VLOOKUP($A158,ThrowData,4,FALSE)),0,VLOOKUP($A158,ThrowData,4,FALSE))+Y158</f>
        <v>0</v>
      </c>
      <c r="U158" s="299">
        <f t="shared" si="2"/>
        <v>0</v>
      </c>
      <c r="V158">
        <f>IF(AND($F158&gt;0,NOT(M158),Flexing),FlexPC,0)</f>
        <v>0</v>
      </c>
      <c r="W158">
        <f>IF(AND($F158&gt;0,NOT(N158),Flexing),FlexPC,0)</f>
        <v>0</v>
      </c>
      <c r="X158">
        <f>IF(AND($F158&gt;0,NOT(O158),Flexing),FlexPC,0)</f>
        <v>0</v>
      </c>
      <c r="Y158">
        <f>IF(AND($F158&gt;0,NOT(P158),Flexing),FlexPC,0)</f>
        <v>0</v>
      </c>
      <c r="AA158" s="209">
        <f t="shared" si="3"/>
        <v>157</v>
      </c>
    </row>
    <row r="159" ht="15.75" customHeight="1">
      <c r="A159" s="206" t="str">
        <f>+Declarations!A159&amp;""</f>
        <v/>
      </c>
      <c r="B159" t="str">
        <f>IF(LEN($A159),IF(LEN(Declarations!$B159)&gt;0,Declarations!$B159,"#"&amp;$A159),"")</f>
        <v/>
      </c>
      <c r="C159" s="209" t="str">
        <f t="array" ref="C159">IF(LEN(INDEX(DECLARATIONS,$AA159,3))&gt;0,INDEX(DECLARATIONS,$AA159,3),"...")</f>
        <v>...</v>
      </c>
      <c r="D159" s="209" t="str">
        <f t="shared" si="1"/>
        <v/>
      </c>
      <c r="E159" s="296" t="str">
        <f t="array" ref="E159">IF(ISNA($AA159),0,INDEX(DECLARATIONS,$AA159,5))</f>
        <v/>
      </c>
      <c r="F159" s="209" t="str">
        <f t="array" ref="F159">IF(ISNA($AA159),0,INDEX(DECLARATIONS,$AA159,7))</f>
        <v/>
      </c>
      <c r="G159" s="209" t="str">
        <f t="array" ref="G159">UPPER(IF(ISNA($AA159),"",INDEX(DECLARATIONS,$AA159,4)))</f>
        <v/>
      </c>
      <c r="H159" t="str">
        <f>IF(AND(A159&gt;0,ISTEXT(B159)),IF(SECNAME="YES",LEFT(B159&amp;" ",FIND(" ",B159&amp;" ")+2)&amp;IF(F159&gt;0," ("&amp;F159&amp;")",""),B159&amp;IF(F159&gt;0," ("&amp;F159&amp;")","")),"#"&amp;$A159)</f>
        <v/>
      </c>
      <c r="I159" s="209">
        <f>IF(LEN($A159)&gt;0,IF(LEN($J159)&gt;0,MATCH(J159,MatchNames,0),EventIndex),0)</f>
        <v>0</v>
      </c>
      <c r="J159" s="209" t="str">
        <f>IF(LEN($A159)&gt;0,IF(LEN(Declarations!$F159)&gt;0,Declarations!$F159,conftype),"")</f>
        <v/>
      </c>
      <c r="M159" s="297">
        <f>IF(ISNA(VLOOKUP($A159,SprintData,2,FALSE)),0,VLOOKUP($A159,SprintData,2,FALSE))</f>
        <v>0</v>
      </c>
      <c r="N159" s="297">
        <f>IF(ISNA(VLOOKUP($A159,JumpData,2,FALSE)),0,VLOOKUP($A159,JumpData,2,FALSE))</f>
        <v>0</v>
      </c>
      <c r="O159" s="297">
        <f>IF(ISNA(VLOOKUP($A159,RunData,2,FALSE)),0,VLOOKUP($A159,RunData,2,FALSE))</f>
        <v>0</v>
      </c>
      <c r="P159" s="297">
        <f>IF(ISNA(VLOOKUP($A159,ThrowData,2,FALSE)),0,VLOOKUP($A159,ThrowData,2,FALSE))</f>
        <v>0</v>
      </c>
      <c r="Q159" s="298">
        <f>IF(ISNA(VLOOKUP($A159,SprintData,4,FALSE)),0,VLOOKUP($A159,SprintData,4,FALSE))+V159</f>
        <v>0</v>
      </c>
      <c r="R159" s="298">
        <f>IF(ISNA(VLOOKUP($A159,JumpData,4,FALSE)),0,VLOOKUP($A159,JumpData,4,FALSE))+W159</f>
        <v>0</v>
      </c>
      <c r="S159" s="298">
        <f>IF(ISNA(VLOOKUP($A159,RunData,4,FALSE)),0,VLOOKUP($A159,RunData,4,FALSE))+X159</f>
        <v>0</v>
      </c>
      <c r="T159" s="298">
        <f>IF(ISNA(VLOOKUP($A159,ThrowData,4,FALSE)),0,VLOOKUP($A159,ThrowData,4,FALSE))+Y159</f>
        <v>0</v>
      </c>
      <c r="U159" s="299">
        <f t="shared" si="2"/>
        <v>0</v>
      </c>
      <c r="V159">
        <f>IF(AND($F159&gt;0,NOT(M159),Flexing),FlexPC,0)</f>
        <v>0</v>
      </c>
      <c r="W159">
        <f>IF(AND($F159&gt;0,NOT(N159),Flexing),FlexPC,0)</f>
        <v>0</v>
      </c>
      <c r="X159">
        <f>IF(AND($F159&gt;0,NOT(O159),Flexing),FlexPC,0)</f>
        <v>0</v>
      </c>
      <c r="Y159">
        <f>IF(AND($F159&gt;0,NOT(P159),Flexing),FlexPC,0)</f>
        <v>0</v>
      </c>
      <c r="AA159" s="209">
        <f t="shared" si="3"/>
        <v>158</v>
      </c>
    </row>
    <row r="160" ht="15.75" customHeight="1">
      <c r="A160" s="206" t="str">
        <f>+Declarations!A160&amp;""</f>
        <v/>
      </c>
      <c r="B160" t="str">
        <f>IF(LEN($A160),IF(LEN(Declarations!$B160)&gt;0,Declarations!$B160,"#"&amp;$A160),"")</f>
        <v/>
      </c>
      <c r="C160" s="209" t="str">
        <f t="array" ref="C160">IF(LEN(INDEX(DECLARATIONS,$AA160,3))&gt;0,INDEX(DECLARATIONS,$AA160,3),"...")</f>
        <v>...</v>
      </c>
      <c r="D160" s="209" t="str">
        <f t="shared" si="1"/>
        <v/>
      </c>
      <c r="E160" s="296" t="str">
        <f t="array" ref="E160">IF(ISNA($AA160),0,INDEX(DECLARATIONS,$AA160,5))</f>
        <v/>
      </c>
      <c r="F160" s="209" t="str">
        <f t="array" ref="F160">IF(ISNA($AA160),0,INDEX(DECLARATIONS,$AA160,7))</f>
        <v/>
      </c>
      <c r="G160" s="209" t="str">
        <f t="array" ref="G160">UPPER(IF(ISNA($AA160),"",INDEX(DECLARATIONS,$AA160,4)))</f>
        <v/>
      </c>
      <c r="H160" t="str">
        <f>IF(AND(A160&gt;0,ISTEXT(B160)),IF(SECNAME="YES",LEFT(B160&amp;" ",FIND(" ",B160&amp;" ")+2)&amp;IF(F160&gt;0," ("&amp;F160&amp;")",""),B160&amp;IF(F160&gt;0," ("&amp;F160&amp;")","")),"#"&amp;$A160)</f>
        <v/>
      </c>
      <c r="I160" s="209">
        <f>IF(LEN($A160)&gt;0,IF(LEN($J160)&gt;0,MATCH(J160,MatchNames,0),EventIndex),0)</f>
        <v>0</v>
      </c>
      <c r="J160" s="209" t="str">
        <f>IF(LEN($A160)&gt;0,IF(LEN(Declarations!$F160)&gt;0,Declarations!$F160,conftype),"")</f>
        <v/>
      </c>
      <c r="M160" s="297">
        <f>IF(ISNA(VLOOKUP($A160,SprintData,2,FALSE)),0,VLOOKUP($A160,SprintData,2,FALSE))</f>
        <v>0</v>
      </c>
      <c r="N160" s="297">
        <f>IF(ISNA(VLOOKUP($A160,JumpData,2,FALSE)),0,VLOOKUP($A160,JumpData,2,FALSE))</f>
        <v>0</v>
      </c>
      <c r="O160" s="297">
        <f>IF(ISNA(VLOOKUP($A160,RunData,2,FALSE)),0,VLOOKUP($A160,RunData,2,FALSE))</f>
        <v>0</v>
      </c>
      <c r="P160" s="297">
        <f>IF(ISNA(VLOOKUP($A160,ThrowData,2,FALSE)),0,VLOOKUP($A160,ThrowData,2,FALSE))</f>
        <v>0</v>
      </c>
      <c r="Q160" s="298">
        <f>IF(ISNA(VLOOKUP($A160,SprintData,4,FALSE)),0,VLOOKUP($A160,SprintData,4,FALSE))+V160</f>
        <v>0</v>
      </c>
      <c r="R160" s="298">
        <f>IF(ISNA(VLOOKUP($A160,JumpData,4,FALSE)),0,VLOOKUP($A160,JumpData,4,FALSE))+W160</f>
        <v>0</v>
      </c>
      <c r="S160" s="298">
        <f>IF(ISNA(VLOOKUP($A160,RunData,4,FALSE)),0,VLOOKUP($A160,RunData,4,FALSE))+X160</f>
        <v>0</v>
      </c>
      <c r="T160" s="298">
        <f>IF(ISNA(VLOOKUP($A160,ThrowData,4,FALSE)),0,VLOOKUP($A160,ThrowData,4,FALSE))+Y160</f>
        <v>0</v>
      </c>
      <c r="U160" s="299">
        <f t="shared" si="2"/>
        <v>0</v>
      </c>
      <c r="V160">
        <f>IF(AND($F160&gt;0,NOT(M160),Flexing),FlexPC,0)</f>
        <v>0</v>
      </c>
      <c r="W160">
        <f>IF(AND($F160&gt;0,NOT(N160),Flexing),FlexPC,0)</f>
        <v>0</v>
      </c>
      <c r="X160">
        <f>IF(AND($F160&gt;0,NOT(O160),Flexing),FlexPC,0)</f>
        <v>0</v>
      </c>
      <c r="Y160">
        <f>IF(AND($F160&gt;0,NOT(P160),Flexing),FlexPC,0)</f>
        <v>0</v>
      </c>
      <c r="AA160" s="209">
        <f t="shared" si="3"/>
        <v>159</v>
      </c>
    </row>
    <row r="161" ht="15.75" customHeight="1">
      <c r="A161" s="206" t="str">
        <f>+Declarations!A161&amp;""</f>
        <v/>
      </c>
      <c r="B161" t="str">
        <f>IF(LEN($A161),IF(LEN(Declarations!$B161)&gt;0,Declarations!$B161,"#"&amp;$A161),"")</f>
        <v/>
      </c>
      <c r="C161" s="209" t="str">
        <f t="array" ref="C161">IF(LEN(INDEX(DECLARATIONS,$AA161,3))&gt;0,INDEX(DECLARATIONS,$AA161,3),"...")</f>
        <v>...</v>
      </c>
      <c r="D161" s="209" t="str">
        <f t="shared" si="1"/>
        <v/>
      </c>
      <c r="E161" s="296" t="str">
        <f t="array" ref="E161">IF(ISNA($AA161),0,INDEX(DECLARATIONS,$AA161,5))</f>
        <v/>
      </c>
      <c r="F161" s="209" t="str">
        <f t="array" ref="F161">IF(ISNA($AA161),0,INDEX(DECLARATIONS,$AA161,7))</f>
        <v/>
      </c>
      <c r="G161" s="209" t="str">
        <f t="array" ref="G161">UPPER(IF(ISNA($AA161),"",INDEX(DECLARATIONS,$AA161,4)))</f>
        <v/>
      </c>
      <c r="H161" t="str">
        <f>IF(AND(A161&gt;0,ISTEXT(B161)),IF(SECNAME="YES",LEFT(B161&amp;" ",FIND(" ",B161&amp;" ")+2)&amp;IF(F161&gt;0," ("&amp;F161&amp;")",""),B161&amp;IF(F161&gt;0," ("&amp;F161&amp;")","")),"#"&amp;$A161)</f>
        <v/>
      </c>
      <c r="I161" s="209">
        <f>IF(LEN($A161)&gt;0,IF(LEN($J161)&gt;0,MATCH(J161,MatchNames,0),EventIndex),0)</f>
        <v>0</v>
      </c>
      <c r="J161" s="209" t="str">
        <f>IF(LEN($A161)&gt;0,IF(LEN(Declarations!$F161)&gt;0,Declarations!$F161,conftype),"")</f>
        <v/>
      </c>
      <c r="M161" s="297">
        <f>IF(ISNA(VLOOKUP($A161,SprintData,2,FALSE)),0,VLOOKUP($A161,SprintData,2,FALSE))</f>
        <v>0</v>
      </c>
      <c r="N161" s="297">
        <f>IF(ISNA(VLOOKUP($A161,JumpData,2,FALSE)),0,VLOOKUP($A161,JumpData,2,FALSE))</f>
        <v>0</v>
      </c>
      <c r="O161" s="297">
        <f>IF(ISNA(VLOOKUP($A161,RunData,2,FALSE)),0,VLOOKUP($A161,RunData,2,FALSE))</f>
        <v>0</v>
      </c>
      <c r="P161" s="297">
        <f>IF(ISNA(VLOOKUP($A161,ThrowData,2,FALSE)),0,VLOOKUP($A161,ThrowData,2,FALSE))</f>
        <v>0</v>
      </c>
      <c r="Q161" s="298">
        <f>IF(ISNA(VLOOKUP($A161,SprintData,4,FALSE)),0,VLOOKUP($A161,SprintData,4,FALSE))+V161</f>
        <v>0</v>
      </c>
      <c r="R161" s="298">
        <f>IF(ISNA(VLOOKUP($A161,JumpData,4,FALSE)),0,VLOOKUP($A161,JumpData,4,FALSE))+W161</f>
        <v>0</v>
      </c>
      <c r="S161" s="298">
        <f>IF(ISNA(VLOOKUP($A161,RunData,4,FALSE)),0,VLOOKUP($A161,RunData,4,FALSE))+X161</f>
        <v>0</v>
      </c>
      <c r="T161" s="298">
        <f>IF(ISNA(VLOOKUP($A161,ThrowData,4,FALSE)),0,VLOOKUP($A161,ThrowData,4,FALSE))+Y161</f>
        <v>0</v>
      </c>
      <c r="U161" s="299">
        <f t="shared" si="2"/>
        <v>0</v>
      </c>
      <c r="V161">
        <f>IF(AND($F161&gt;0,NOT(M161),Flexing),FlexPC,0)</f>
        <v>0</v>
      </c>
      <c r="W161">
        <f>IF(AND($F161&gt;0,NOT(N161),Flexing),FlexPC,0)</f>
        <v>0</v>
      </c>
      <c r="X161">
        <f>IF(AND($F161&gt;0,NOT(O161),Flexing),FlexPC,0)</f>
        <v>0</v>
      </c>
      <c r="Y161">
        <f>IF(AND($F161&gt;0,NOT(P161),Flexing),FlexPC,0)</f>
        <v>0</v>
      </c>
      <c r="AA161" s="209">
        <f t="shared" si="3"/>
        <v>160</v>
      </c>
    </row>
    <row r="162" ht="15.75" customHeight="1">
      <c r="A162" s="206" t="str">
        <f>+Declarations!A162&amp;""</f>
        <v/>
      </c>
      <c r="B162" t="str">
        <f>IF(LEN($A162),IF(LEN(Declarations!$B162)&gt;0,Declarations!$B162,"#"&amp;$A162),"")</f>
        <v/>
      </c>
      <c r="C162" s="209" t="str">
        <f t="array" ref="C162">IF(LEN(INDEX(DECLARATIONS,$AA162,3))&gt;0,INDEX(DECLARATIONS,$AA162,3),"...")</f>
        <v>...</v>
      </c>
      <c r="D162" s="209" t="str">
        <f t="shared" si="1"/>
        <v/>
      </c>
      <c r="E162" s="296" t="str">
        <f t="array" ref="E162">IF(ISNA($AA162),0,INDEX(DECLARATIONS,$AA162,5))</f>
        <v/>
      </c>
      <c r="F162" s="209" t="str">
        <f t="array" ref="F162">IF(ISNA($AA162),0,INDEX(DECLARATIONS,$AA162,7))</f>
        <v/>
      </c>
      <c r="G162" s="209" t="str">
        <f t="array" ref="G162">UPPER(IF(ISNA($AA162),"",INDEX(DECLARATIONS,$AA162,4)))</f>
        <v/>
      </c>
      <c r="H162" t="str">
        <f>IF(AND(A162&gt;0,ISTEXT(B162)),IF(SECNAME="YES",LEFT(B162&amp;" ",FIND(" ",B162&amp;" ")+2)&amp;IF(F162&gt;0," ("&amp;F162&amp;")",""),B162&amp;IF(F162&gt;0," ("&amp;F162&amp;")","")),"#"&amp;$A162)</f>
        <v/>
      </c>
      <c r="I162" s="209">
        <f>IF(LEN($A162)&gt;0,IF(LEN($J162)&gt;0,MATCH(J162,MatchNames,0),EventIndex),0)</f>
        <v>0</v>
      </c>
      <c r="J162" s="209" t="str">
        <f>IF(LEN($A162)&gt;0,IF(LEN(Declarations!$F162)&gt;0,Declarations!$F162,conftype),"")</f>
        <v/>
      </c>
      <c r="M162" s="297">
        <f>IF(ISNA(VLOOKUP($A162,SprintData,2,FALSE)),0,VLOOKUP($A162,SprintData,2,FALSE))</f>
        <v>0</v>
      </c>
      <c r="N162" s="297">
        <f>IF(ISNA(VLOOKUP($A162,JumpData,2,FALSE)),0,VLOOKUP($A162,JumpData,2,FALSE))</f>
        <v>0</v>
      </c>
      <c r="O162" s="297">
        <f>IF(ISNA(VLOOKUP($A162,RunData,2,FALSE)),0,VLOOKUP($A162,RunData,2,FALSE))</f>
        <v>0</v>
      </c>
      <c r="P162" s="297">
        <f>IF(ISNA(VLOOKUP($A162,ThrowData,2,FALSE)),0,VLOOKUP($A162,ThrowData,2,FALSE))</f>
        <v>0</v>
      </c>
      <c r="Q162" s="298">
        <f>IF(ISNA(VLOOKUP($A162,SprintData,4,FALSE)),0,VLOOKUP($A162,SprintData,4,FALSE))+V162</f>
        <v>0</v>
      </c>
      <c r="R162" s="298">
        <f>IF(ISNA(VLOOKUP($A162,JumpData,4,FALSE)),0,VLOOKUP($A162,JumpData,4,FALSE))+W162</f>
        <v>0</v>
      </c>
      <c r="S162" s="298">
        <f>IF(ISNA(VLOOKUP($A162,RunData,4,FALSE)),0,VLOOKUP($A162,RunData,4,FALSE))+X162</f>
        <v>0</v>
      </c>
      <c r="T162" s="298">
        <f>IF(ISNA(VLOOKUP($A162,ThrowData,4,FALSE)),0,VLOOKUP($A162,ThrowData,4,FALSE))+Y162</f>
        <v>0</v>
      </c>
      <c r="U162" s="299">
        <f t="shared" si="2"/>
        <v>0</v>
      </c>
      <c r="V162">
        <f>IF(AND($F162&gt;0,NOT(M162),Flexing),FlexPC,0)</f>
        <v>0</v>
      </c>
      <c r="W162">
        <f>IF(AND($F162&gt;0,NOT(N162),Flexing),FlexPC,0)</f>
        <v>0</v>
      </c>
      <c r="X162">
        <f>IF(AND($F162&gt;0,NOT(O162),Flexing),FlexPC,0)</f>
        <v>0</v>
      </c>
      <c r="Y162">
        <f>IF(AND($F162&gt;0,NOT(P162),Flexing),FlexPC,0)</f>
        <v>0</v>
      </c>
      <c r="AA162" s="209">
        <f t="shared" si="3"/>
        <v>161</v>
      </c>
    </row>
    <row r="163" ht="15.75" customHeight="1">
      <c r="A163" s="206" t="str">
        <f>+Declarations!A163&amp;""</f>
        <v/>
      </c>
      <c r="B163" t="str">
        <f>IF(LEN($A163),IF(LEN(Declarations!$B163)&gt;0,Declarations!$B163,"#"&amp;$A163),"")</f>
        <v/>
      </c>
      <c r="C163" s="209" t="str">
        <f t="array" ref="C163">IF(LEN(INDEX(DECLARATIONS,$AA163,3))&gt;0,INDEX(DECLARATIONS,$AA163,3),"...")</f>
        <v>...</v>
      </c>
      <c r="D163" s="209" t="str">
        <f t="shared" si="1"/>
        <v/>
      </c>
      <c r="E163" s="296" t="str">
        <f t="array" ref="E163">IF(ISNA($AA163),0,INDEX(DECLARATIONS,$AA163,5))</f>
        <v/>
      </c>
      <c r="F163" s="209" t="str">
        <f t="array" ref="F163">IF(ISNA($AA163),0,INDEX(DECLARATIONS,$AA163,7))</f>
        <v/>
      </c>
      <c r="G163" s="209" t="str">
        <f t="array" ref="G163">UPPER(IF(ISNA($AA163),"",INDEX(DECLARATIONS,$AA163,4)))</f>
        <v/>
      </c>
      <c r="H163" t="str">
        <f>IF(AND(A163&gt;0,ISTEXT(B163)),IF(SECNAME="YES",LEFT(B163&amp;" ",FIND(" ",B163&amp;" ")+2)&amp;IF(F163&gt;0," ("&amp;F163&amp;")",""),B163&amp;IF(F163&gt;0," ("&amp;F163&amp;")","")),"#"&amp;$A163)</f>
        <v/>
      </c>
      <c r="I163" s="209">
        <f>IF(LEN($A163)&gt;0,IF(LEN($J163)&gt;0,MATCH(J163,MatchNames,0),EventIndex),0)</f>
        <v>0</v>
      </c>
      <c r="J163" s="209" t="str">
        <f>IF(LEN($A163)&gt;0,IF(LEN(Declarations!$F163)&gt;0,Declarations!$F163,conftype),"")</f>
        <v/>
      </c>
      <c r="M163" s="297">
        <f>IF(ISNA(VLOOKUP($A163,SprintData,2,FALSE)),0,VLOOKUP($A163,SprintData,2,FALSE))</f>
        <v>0</v>
      </c>
      <c r="N163" s="297">
        <f>IF(ISNA(VLOOKUP($A163,JumpData,2,FALSE)),0,VLOOKUP($A163,JumpData,2,FALSE))</f>
        <v>0</v>
      </c>
      <c r="O163" s="297">
        <f>IF(ISNA(VLOOKUP($A163,RunData,2,FALSE)),0,VLOOKUP($A163,RunData,2,FALSE))</f>
        <v>0</v>
      </c>
      <c r="P163" s="297">
        <f>IF(ISNA(VLOOKUP($A163,ThrowData,2,FALSE)),0,VLOOKUP($A163,ThrowData,2,FALSE))</f>
        <v>0</v>
      </c>
      <c r="Q163" s="298">
        <f>IF(ISNA(VLOOKUP($A163,SprintData,4,FALSE)),0,VLOOKUP($A163,SprintData,4,FALSE))+V163</f>
        <v>0</v>
      </c>
      <c r="R163" s="298">
        <f>IF(ISNA(VLOOKUP($A163,JumpData,4,FALSE)),0,VLOOKUP($A163,JumpData,4,FALSE))+W163</f>
        <v>0</v>
      </c>
      <c r="S163" s="298">
        <f>IF(ISNA(VLOOKUP($A163,RunData,4,FALSE)),0,VLOOKUP($A163,RunData,4,FALSE))+X163</f>
        <v>0</v>
      </c>
      <c r="T163" s="298">
        <f>IF(ISNA(VLOOKUP($A163,ThrowData,4,FALSE)),0,VLOOKUP($A163,ThrowData,4,FALSE))+Y163</f>
        <v>0</v>
      </c>
      <c r="U163" s="299">
        <f t="shared" si="2"/>
        <v>0</v>
      </c>
      <c r="V163">
        <f>IF(AND($F163&gt;0,NOT(M163),Flexing),FlexPC,0)</f>
        <v>0</v>
      </c>
      <c r="W163">
        <f>IF(AND($F163&gt;0,NOT(N163),Flexing),FlexPC,0)</f>
        <v>0</v>
      </c>
      <c r="X163">
        <f>IF(AND($F163&gt;0,NOT(O163),Flexing),FlexPC,0)</f>
        <v>0</v>
      </c>
      <c r="Y163">
        <f>IF(AND($F163&gt;0,NOT(P163),Flexing),FlexPC,0)</f>
        <v>0</v>
      </c>
      <c r="AA163" s="209">
        <f t="shared" si="3"/>
        <v>162</v>
      </c>
    </row>
    <row r="164" ht="15.75" customHeight="1">
      <c r="A164" s="206" t="str">
        <f>+Declarations!A164&amp;""</f>
        <v/>
      </c>
      <c r="B164" t="str">
        <f>IF(LEN($A164),IF(LEN(Declarations!$B164)&gt;0,Declarations!$B164,"#"&amp;$A164),"")</f>
        <v/>
      </c>
      <c r="C164" s="209" t="str">
        <f t="array" ref="C164">IF(LEN(INDEX(DECLARATIONS,$AA164,3))&gt;0,INDEX(DECLARATIONS,$AA164,3),"...")</f>
        <v>...</v>
      </c>
      <c r="D164" s="209" t="str">
        <f t="shared" si="1"/>
        <v/>
      </c>
      <c r="E164" s="296" t="str">
        <f t="array" ref="E164">IF(ISNA($AA164),0,INDEX(DECLARATIONS,$AA164,5))</f>
        <v/>
      </c>
      <c r="F164" s="209" t="str">
        <f t="array" ref="F164">IF(ISNA($AA164),0,INDEX(DECLARATIONS,$AA164,7))</f>
        <v/>
      </c>
      <c r="G164" s="209" t="str">
        <f t="array" ref="G164">UPPER(IF(ISNA($AA164),"",INDEX(DECLARATIONS,$AA164,4)))</f>
        <v/>
      </c>
      <c r="H164" t="str">
        <f>IF(AND(A164&gt;0,ISTEXT(B164)),IF(SECNAME="YES",LEFT(B164&amp;" ",FIND(" ",B164&amp;" ")+2)&amp;IF(F164&gt;0," ("&amp;F164&amp;")",""),B164&amp;IF(F164&gt;0," ("&amp;F164&amp;")","")),"#"&amp;$A164)</f>
        <v/>
      </c>
      <c r="I164" s="209">
        <f>IF(LEN($A164)&gt;0,IF(LEN($J164)&gt;0,MATCH(J164,MatchNames,0),EventIndex),0)</f>
        <v>0</v>
      </c>
      <c r="J164" s="209" t="str">
        <f>IF(LEN($A164)&gt;0,IF(LEN(Declarations!$F164)&gt;0,Declarations!$F164,conftype),"")</f>
        <v/>
      </c>
      <c r="M164" s="297">
        <f>IF(ISNA(VLOOKUP($A164,SprintData,2,FALSE)),0,VLOOKUP($A164,SprintData,2,FALSE))</f>
        <v>0</v>
      </c>
      <c r="N164" s="297">
        <f>IF(ISNA(VLOOKUP($A164,JumpData,2,FALSE)),0,VLOOKUP($A164,JumpData,2,FALSE))</f>
        <v>0</v>
      </c>
      <c r="O164" s="297">
        <f>IF(ISNA(VLOOKUP($A164,RunData,2,FALSE)),0,VLOOKUP($A164,RunData,2,FALSE))</f>
        <v>0</v>
      </c>
      <c r="P164" s="297">
        <f>IF(ISNA(VLOOKUP($A164,ThrowData,2,FALSE)),0,VLOOKUP($A164,ThrowData,2,FALSE))</f>
        <v>0</v>
      </c>
      <c r="Q164" s="298">
        <f>IF(ISNA(VLOOKUP($A164,SprintData,4,FALSE)),0,VLOOKUP($A164,SprintData,4,FALSE))+V164</f>
        <v>0</v>
      </c>
      <c r="R164" s="298">
        <f>IF(ISNA(VLOOKUP($A164,JumpData,4,FALSE)),0,VLOOKUP($A164,JumpData,4,FALSE))+W164</f>
        <v>0</v>
      </c>
      <c r="S164" s="298">
        <f>IF(ISNA(VLOOKUP($A164,RunData,4,FALSE)),0,VLOOKUP($A164,RunData,4,FALSE))+X164</f>
        <v>0</v>
      </c>
      <c r="T164" s="298">
        <f>IF(ISNA(VLOOKUP($A164,ThrowData,4,FALSE)),0,VLOOKUP($A164,ThrowData,4,FALSE))+Y164</f>
        <v>0</v>
      </c>
      <c r="U164" s="299">
        <f t="shared" si="2"/>
        <v>0</v>
      </c>
      <c r="V164">
        <f>IF(AND($F164&gt;0,NOT(M164),Flexing),FlexPC,0)</f>
        <v>0</v>
      </c>
      <c r="W164">
        <f>IF(AND($F164&gt;0,NOT(N164),Flexing),FlexPC,0)</f>
        <v>0</v>
      </c>
      <c r="X164">
        <f>IF(AND($F164&gt;0,NOT(O164),Flexing),FlexPC,0)</f>
        <v>0</v>
      </c>
      <c r="Y164">
        <f>IF(AND($F164&gt;0,NOT(P164),Flexing),FlexPC,0)</f>
        <v>0</v>
      </c>
      <c r="AA164" s="209">
        <f t="shared" si="3"/>
        <v>163</v>
      </c>
    </row>
    <row r="165" ht="15.75" customHeight="1">
      <c r="A165" s="206" t="str">
        <f>+Declarations!A165&amp;""</f>
        <v/>
      </c>
      <c r="B165" t="str">
        <f>IF(LEN($A165),IF(LEN(Declarations!$B165)&gt;0,Declarations!$B165,"#"&amp;$A165),"")</f>
        <v/>
      </c>
      <c r="C165" s="209" t="str">
        <f t="array" ref="C165">IF(LEN(INDEX(DECLARATIONS,$AA165,3))&gt;0,INDEX(DECLARATIONS,$AA165,3),"...")</f>
        <v>...</v>
      </c>
      <c r="D165" s="209" t="str">
        <f t="shared" si="1"/>
        <v/>
      </c>
      <c r="E165" s="296" t="str">
        <f t="array" ref="E165">IF(ISNA($AA165),0,INDEX(DECLARATIONS,$AA165,5))</f>
        <v/>
      </c>
      <c r="F165" s="209" t="str">
        <f t="array" ref="F165">IF(ISNA($AA165),0,INDEX(DECLARATIONS,$AA165,7))</f>
        <v/>
      </c>
      <c r="G165" s="209" t="str">
        <f t="array" ref="G165">UPPER(IF(ISNA($AA165),"",INDEX(DECLARATIONS,$AA165,4)))</f>
        <v/>
      </c>
      <c r="H165" t="str">
        <f>IF(AND(A165&gt;0,ISTEXT(B165)),IF(SECNAME="YES",LEFT(B165&amp;" ",FIND(" ",B165&amp;" ")+2)&amp;IF(F165&gt;0," ("&amp;F165&amp;")",""),B165&amp;IF(F165&gt;0," ("&amp;F165&amp;")","")),"#"&amp;$A165)</f>
        <v/>
      </c>
      <c r="I165" s="209">
        <f>IF(LEN($A165)&gt;0,IF(LEN($J165)&gt;0,MATCH(J165,MatchNames,0),EventIndex),0)</f>
        <v>0</v>
      </c>
      <c r="J165" s="209" t="str">
        <f>IF(LEN($A165)&gt;0,IF(LEN(Declarations!$F165)&gt;0,Declarations!$F165,conftype),"")</f>
        <v/>
      </c>
      <c r="M165" s="297">
        <f>IF(ISNA(VLOOKUP($A165,SprintData,2,FALSE)),0,VLOOKUP($A165,SprintData,2,FALSE))</f>
        <v>0</v>
      </c>
      <c r="N165" s="297">
        <f>IF(ISNA(VLOOKUP($A165,JumpData,2,FALSE)),0,VLOOKUP($A165,JumpData,2,FALSE))</f>
        <v>0</v>
      </c>
      <c r="O165" s="297">
        <f>IF(ISNA(VLOOKUP($A165,RunData,2,FALSE)),0,VLOOKUP($A165,RunData,2,FALSE))</f>
        <v>0</v>
      </c>
      <c r="P165" s="297">
        <f>IF(ISNA(VLOOKUP($A165,ThrowData,2,FALSE)),0,VLOOKUP($A165,ThrowData,2,FALSE))</f>
        <v>0</v>
      </c>
      <c r="Q165" s="298">
        <f>IF(ISNA(VLOOKUP($A165,SprintData,4,FALSE)),0,VLOOKUP($A165,SprintData,4,FALSE))+V165</f>
        <v>0</v>
      </c>
      <c r="R165" s="298">
        <f>IF(ISNA(VLOOKUP($A165,JumpData,4,FALSE)),0,VLOOKUP($A165,JumpData,4,FALSE))+W165</f>
        <v>0</v>
      </c>
      <c r="S165" s="298">
        <f>IF(ISNA(VLOOKUP($A165,RunData,4,FALSE)),0,VLOOKUP($A165,RunData,4,FALSE))+X165</f>
        <v>0</v>
      </c>
      <c r="T165" s="298">
        <f>IF(ISNA(VLOOKUP($A165,ThrowData,4,FALSE)),0,VLOOKUP($A165,ThrowData,4,FALSE))+Y165</f>
        <v>0</v>
      </c>
      <c r="U165" s="299">
        <f t="shared" si="2"/>
        <v>0</v>
      </c>
      <c r="V165">
        <f>IF(AND($F165&gt;0,NOT(M165),Flexing),FlexPC,0)</f>
        <v>0</v>
      </c>
      <c r="W165">
        <f>IF(AND($F165&gt;0,NOT(N165),Flexing),FlexPC,0)</f>
        <v>0</v>
      </c>
      <c r="X165">
        <f>IF(AND($F165&gt;0,NOT(O165),Flexing),FlexPC,0)</f>
        <v>0</v>
      </c>
      <c r="Y165">
        <f>IF(AND($F165&gt;0,NOT(P165),Flexing),FlexPC,0)</f>
        <v>0</v>
      </c>
      <c r="AA165" s="209">
        <f t="shared" si="3"/>
        <v>164</v>
      </c>
    </row>
    <row r="166" ht="15.75" customHeight="1">
      <c r="A166" s="206" t="str">
        <f>+Declarations!A166&amp;""</f>
        <v/>
      </c>
      <c r="B166" t="str">
        <f>IF(LEN($A166),IF(LEN(Declarations!$B166)&gt;0,Declarations!$B166,"#"&amp;$A166),"")</f>
        <v/>
      </c>
      <c r="C166" s="209" t="str">
        <f t="array" ref="C166">IF(LEN(INDEX(DECLARATIONS,$AA166,3))&gt;0,INDEX(DECLARATIONS,$AA166,3),"...")</f>
        <v>...</v>
      </c>
      <c r="D166" s="209" t="str">
        <f t="shared" si="1"/>
        <v/>
      </c>
      <c r="E166" s="296" t="str">
        <f t="array" ref="E166">IF(ISNA($AA166),0,INDEX(DECLARATIONS,$AA166,5))</f>
        <v/>
      </c>
      <c r="F166" s="209" t="str">
        <f t="array" ref="F166">IF(ISNA($AA166),0,INDEX(DECLARATIONS,$AA166,7))</f>
        <v/>
      </c>
      <c r="G166" s="209" t="str">
        <f t="array" ref="G166">UPPER(IF(ISNA($AA166),"",INDEX(DECLARATIONS,$AA166,4)))</f>
        <v/>
      </c>
      <c r="H166" t="str">
        <f>IF(AND(A166&gt;0,ISTEXT(B166)),IF(SECNAME="YES",LEFT(B166&amp;" ",FIND(" ",B166&amp;" ")+2)&amp;IF(F166&gt;0," ("&amp;F166&amp;")",""),B166&amp;IF(F166&gt;0," ("&amp;F166&amp;")","")),"#"&amp;$A166)</f>
        <v/>
      </c>
      <c r="I166" s="209">
        <f>IF(LEN($A166)&gt;0,IF(LEN($J166)&gt;0,MATCH(J166,MatchNames,0),EventIndex),0)</f>
        <v>0</v>
      </c>
      <c r="J166" s="209" t="str">
        <f>IF(LEN($A166)&gt;0,IF(LEN(Declarations!$F166)&gt;0,Declarations!$F166,conftype),"")</f>
        <v/>
      </c>
      <c r="M166" s="297">
        <f>IF(ISNA(VLOOKUP($A166,SprintData,2,FALSE)),0,VLOOKUP($A166,SprintData,2,FALSE))</f>
        <v>0</v>
      </c>
      <c r="N166" s="297">
        <f>IF(ISNA(VLOOKUP($A166,JumpData,2,FALSE)),0,VLOOKUP($A166,JumpData,2,FALSE))</f>
        <v>0</v>
      </c>
      <c r="O166" s="297">
        <f>IF(ISNA(VLOOKUP($A166,RunData,2,FALSE)),0,VLOOKUP($A166,RunData,2,FALSE))</f>
        <v>0</v>
      </c>
      <c r="P166" s="297">
        <f>IF(ISNA(VLOOKUP($A166,ThrowData,2,FALSE)),0,VLOOKUP($A166,ThrowData,2,FALSE))</f>
        <v>0</v>
      </c>
      <c r="Q166" s="298">
        <f>IF(ISNA(VLOOKUP($A166,SprintData,4,FALSE)),0,VLOOKUP($A166,SprintData,4,FALSE))+V166</f>
        <v>0</v>
      </c>
      <c r="R166" s="298">
        <f>IF(ISNA(VLOOKUP($A166,JumpData,4,FALSE)),0,VLOOKUP($A166,JumpData,4,FALSE))+W166</f>
        <v>0</v>
      </c>
      <c r="S166" s="298">
        <f>IF(ISNA(VLOOKUP($A166,RunData,4,FALSE)),0,VLOOKUP($A166,RunData,4,FALSE))+X166</f>
        <v>0</v>
      </c>
      <c r="T166" s="298">
        <f>IF(ISNA(VLOOKUP($A166,ThrowData,4,FALSE)),0,VLOOKUP($A166,ThrowData,4,FALSE))+Y166</f>
        <v>0</v>
      </c>
      <c r="U166" s="299">
        <f t="shared" si="2"/>
        <v>0</v>
      </c>
      <c r="V166">
        <f>IF(AND($F166&gt;0,NOT(M166),Flexing),FlexPC,0)</f>
        <v>0</v>
      </c>
      <c r="W166">
        <f>IF(AND($F166&gt;0,NOT(N166),Flexing),FlexPC,0)</f>
        <v>0</v>
      </c>
      <c r="X166">
        <f>IF(AND($F166&gt;0,NOT(O166),Flexing),FlexPC,0)</f>
        <v>0</v>
      </c>
      <c r="Y166">
        <f>IF(AND($F166&gt;0,NOT(P166),Flexing),FlexPC,0)</f>
        <v>0</v>
      </c>
      <c r="AA166" s="209">
        <f t="shared" si="3"/>
        <v>165</v>
      </c>
    </row>
    <row r="167" ht="15.75" customHeight="1">
      <c r="A167" s="206" t="str">
        <f>+Declarations!A167&amp;""</f>
        <v/>
      </c>
      <c r="B167" t="str">
        <f>IF(LEN($A167),IF(LEN(Declarations!$B167)&gt;0,Declarations!$B167,"#"&amp;$A167),"")</f>
        <v/>
      </c>
      <c r="C167" s="209" t="str">
        <f t="array" ref="C167">IF(LEN(INDEX(DECLARATIONS,$AA167,3))&gt;0,INDEX(DECLARATIONS,$AA167,3),"...")</f>
        <v>...</v>
      </c>
      <c r="D167" s="209" t="str">
        <f t="shared" si="1"/>
        <v/>
      </c>
      <c r="E167" s="296" t="str">
        <f t="array" ref="E167">IF(ISNA($AA167),0,INDEX(DECLARATIONS,$AA167,5))</f>
        <v/>
      </c>
      <c r="F167" s="209" t="str">
        <f t="array" ref="F167">IF(ISNA($AA167),0,INDEX(DECLARATIONS,$AA167,7))</f>
        <v/>
      </c>
      <c r="G167" s="209" t="str">
        <f t="array" ref="G167">UPPER(IF(ISNA($AA167),"",INDEX(DECLARATIONS,$AA167,4)))</f>
        <v/>
      </c>
      <c r="H167" t="str">
        <f>IF(AND(A167&gt;0,ISTEXT(B167)),IF(SECNAME="YES",LEFT(B167&amp;" ",FIND(" ",B167&amp;" ")+2)&amp;IF(F167&gt;0," ("&amp;F167&amp;")",""),B167&amp;IF(F167&gt;0," ("&amp;F167&amp;")","")),"#"&amp;$A167)</f>
        <v/>
      </c>
      <c r="I167" s="209">
        <f>IF(LEN($A167)&gt;0,IF(LEN($J167)&gt;0,MATCH(J167,MatchNames,0),EventIndex),0)</f>
        <v>0</v>
      </c>
      <c r="J167" s="209" t="str">
        <f>IF(LEN($A167)&gt;0,IF(LEN(Declarations!$F167)&gt;0,Declarations!$F167,conftype),"")</f>
        <v/>
      </c>
      <c r="M167" s="297">
        <f>IF(ISNA(VLOOKUP($A167,SprintData,2,FALSE)),0,VLOOKUP($A167,SprintData,2,FALSE))</f>
        <v>0</v>
      </c>
      <c r="N167" s="297">
        <f>IF(ISNA(VLOOKUP($A167,JumpData,2,FALSE)),0,VLOOKUP($A167,JumpData,2,FALSE))</f>
        <v>0</v>
      </c>
      <c r="O167" s="297">
        <f>IF(ISNA(VLOOKUP($A167,RunData,2,FALSE)),0,VLOOKUP($A167,RunData,2,FALSE))</f>
        <v>0</v>
      </c>
      <c r="P167" s="297">
        <f>IF(ISNA(VLOOKUP($A167,ThrowData,2,FALSE)),0,VLOOKUP($A167,ThrowData,2,FALSE))</f>
        <v>0</v>
      </c>
      <c r="Q167" s="298">
        <f>IF(ISNA(VLOOKUP($A167,SprintData,4,FALSE)),0,VLOOKUP($A167,SprintData,4,FALSE))+V167</f>
        <v>0</v>
      </c>
      <c r="R167" s="298">
        <f>IF(ISNA(VLOOKUP($A167,JumpData,4,FALSE)),0,VLOOKUP($A167,JumpData,4,FALSE))+W167</f>
        <v>0</v>
      </c>
      <c r="S167" s="298">
        <f>IF(ISNA(VLOOKUP($A167,RunData,4,FALSE)),0,VLOOKUP($A167,RunData,4,FALSE))+X167</f>
        <v>0</v>
      </c>
      <c r="T167" s="298">
        <f>IF(ISNA(VLOOKUP($A167,ThrowData,4,FALSE)),0,VLOOKUP($A167,ThrowData,4,FALSE))+Y167</f>
        <v>0</v>
      </c>
      <c r="U167" s="299">
        <f t="shared" si="2"/>
        <v>0</v>
      </c>
      <c r="V167">
        <f>IF(AND($F167&gt;0,NOT(M167),Flexing),FlexPC,0)</f>
        <v>0</v>
      </c>
      <c r="W167">
        <f>IF(AND($F167&gt;0,NOT(N167),Flexing),FlexPC,0)</f>
        <v>0</v>
      </c>
      <c r="X167">
        <f>IF(AND($F167&gt;0,NOT(O167),Flexing),FlexPC,0)</f>
        <v>0</v>
      </c>
      <c r="Y167">
        <f>IF(AND($F167&gt;0,NOT(P167),Flexing),FlexPC,0)</f>
        <v>0</v>
      </c>
      <c r="AA167" s="209">
        <f t="shared" si="3"/>
        <v>166</v>
      </c>
    </row>
    <row r="168" ht="15.75" customHeight="1">
      <c r="A168" s="206" t="str">
        <f>+Declarations!A168&amp;""</f>
        <v/>
      </c>
      <c r="B168" t="str">
        <f>IF(LEN($A168),IF(LEN(Declarations!$B168)&gt;0,Declarations!$B168,"#"&amp;$A168),"")</f>
        <v/>
      </c>
      <c r="C168" s="209" t="str">
        <f t="array" ref="C168">IF(LEN(INDEX(DECLARATIONS,$AA168,3))&gt;0,INDEX(DECLARATIONS,$AA168,3),"...")</f>
        <v>...</v>
      </c>
      <c r="D168" s="209" t="str">
        <f t="shared" si="1"/>
        <v/>
      </c>
      <c r="E168" s="296" t="str">
        <f t="array" ref="E168">IF(ISNA($AA168),0,INDEX(DECLARATIONS,$AA168,5))</f>
        <v/>
      </c>
      <c r="F168" s="209" t="str">
        <f t="array" ref="F168">IF(ISNA($AA168),0,INDEX(DECLARATIONS,$AA168,7))</f>
        <v/>
      </c>
      <c r="G168" s="209" t="str">
        <f t="array" ref="G168">UPPER(IF(ISNA($AA168),"",INDEX(DECLARATIONS,$AA168,4)))</f>
        <v/>
      </c>
      <c r="H168" t="str">
        <f>IF(AND(A168&gt;0,ISTEXT(B168)),IF(SECNAME="YES",LEFT(B168&amp;" ",FIND(" ",B168&amp;" ")+2)&amp;IF(F168&gt;0," ("&amp;F168&amp;")",""),B168&amp;IF(F168&gt;0," ("&amp;F168&amp;")","")),"#"&amp;$A168)</f>
        <v/>
      </c>
      <c r="I168" s="209">
        <f>IF(LEN($A168)&gt;0,IF(LEN($J168)&gt;0,MATCH(J168,MatchNames,0),EventIndex),0)</f>
        <v>0</v>
      </c>
      <c r="J168" s="209" t="str">
        <f>IF(LEN($A168)&gt;0,IF(LEN(Declarations!$F168)&gt;0,Declarations!$F168,conftype),"")</f>
        <v/>
      </c>
      <c r="M168" s="297">
        <f>IF(ISNA(VLOOKUP($A168,SprintData,2,FALSE)),0,VLOOKUP($A168,SprintData,2,FALSE))</f>
        <v>0</v>
      </c>
      <c r="N168" s="297">
        <f>IF(ISNA(VLOOKUP($A168,JumpData,2,FALSE)),0,VLOOKUP($A168,JumpData,2,FALSE))</f>
        <v>0</v>
      </c>
      <c r="O168" s="297">
        <f>IF(ISNA(VLOOKUP($A168,RunData,2,FALSE)),0,VLOOKUP($A168,RunData,2,FALSE))</f>
        <v>0</v>
      </c>
      <c r="P168" s="297">
        <f>IF(ISNA(VLOOKUP($A168,ThrowData,2,FALSE)),0,VLOOKUP($A168,ThrowData,2,FALSE))</f>
        <v>0</v>
      </c>
      <c r="Q168" s="298">
        <f>IF(ISNA(VLOOKUP($A168,SprintData,4,FALSE)),0,VLOOKUP($A168,SprintData,4,FALSE))+V168</f>
        <v>0</v>
      </c>
      <c r="R168" s="298">
        <f>IF(ISNA(VLOOKUP($A168,JumpData,4,FALSE)),0,VLOOKUP($A168,JumpData,4,FALSE))+W168</f>
        <v>0</v>
      </c>
      <c r="S168" s="298">
        <f>IF(ISNA(VLOOKUP($A168,RunData,4,FALSE)),0,VLOOKUP($A168,RunData,4,FALSE))+X168</f>
        <v>0</v>
      </c>
      <c r="T168" s="298">
        <f>IF(ISNA(VLOOKUP($A168,ThrowData,4,FALSE)),0,VLOOKUP($A168,ThrowData,4,FALSE))+Y168</f>
        <v>0</v>
      </c>
      <c r="U168" s="299">
        <f t="shared" si="2"/>
        <v>0</v>
      </c>
      <c r="V168">
        <f>IF(AND($F168&gt;0,NOT(M168),Flexing),FlexPC,0)</f>
        <v>0</v>
      </c>
      <c r="W168">
        <f>IF(AND($F168&gt;0,NOT(N168),Flexing),FlexPC,0)</f>
        <v>0</v>
      </c>
      <c r="X168">
        <f>IF(AND($F168&gt;0,NOT(O168),Flexing),FlexPC,0)</f>
        <v>0</v>
      </c>
      <c r="Y168">
        <f>IF(AND($F168&gt;0,NOT(P168),Flexing),FlexPC,0)</f>
        <v>0</v>
      </c>
      <c r="AA168" s="209">
        <f t="shared" si="3"/>
        <v>167</v>
      </c>
    </row>
    <row r="169" ht="15.75" customHeight="1">
      <c r="A169" s="206" t="str">
        <f>+Declarations!A169&amp;""</f>
        <v/>
      </c>
      <c r="B169" t="str">
        <f>IF(LEN($A169),IF(LEN(Declarations!$B169)&gt;0,Declarations!$B169,"#"&amp;$A169),"")</f>
        <v/>
      </c>
      <c r="C169" s="209" t="str">
        <f t="array" ref="C169">IF(LEN(INDEX(DECLARATIONS,$AA169,3))&gt;0,INDEX(DECLARATIONS,$AA169,3),"...")</f>
        <v>...</v>
      </c>
      <c r="D169" s="209" t="str">
        <f t="shared" si="1"/>
        <v/>
      </c>
      <c r="E169" s="296" t="str">
        <f t="array" ref="E169">IF(ISNA($AA169),0,INDEX(DECLARATIONS,$AA169,5))</f>
        <v/>
      </c>
      <c r="F169" s="209" t="str">
        <f t="array" ref="F169">IF(ISNA($AA169),0,INDEX(DECLARATIONS,$AA169,7))</f>
        <v/>
      </c>
      <c r="G169" s="209" t="str">
        <f t="array" ref="G169">UPPER(IF(ISNA($AA169),"",INDEX(DECLARATIONS,$AA169,4)))</f>
        <v/>
      </c>
      <c r="H169" t="str">
        <f>IF(AND(A169&gt;0,ISTEXT(B169)),IF(SECNAME="YES",LEFT(B169&amp;" ",FIND(" ",B169&amp;" ")+2)&amp;IF(F169&gt;0," ("&amp;F169&amp;")",""),B169&amp;IF(F169&gt;0," ("&amp;F169&amp;")","")),"#"&amp;$A169)</f>
        <v/>
      </c>
      <c r="I169" s="209">
        <f>IF(LEN($A169)&gt;0,IF(LEN($J169)&gt;0,MATCH(J169,MatchNames,0),EventIndex),0)</f>
        <v>0</v>
      </c>
      <c r="J169" s="209" t="str">
        <f>IF(LEN($A169)&gt;0,IF(LEN(Declarations!$F169)&gt;0,Declarations!$F169,conftype),"")</f>
        <v/>
      </c>
      <c r="M169" s="297">
        <f>IF(ISNA(VLOOKUP($A169,SprintData,2,FALSE)),0,VLOOKUP($A169,SprintData,2,FALSE))</f>
        <v>0</v>
      </c>
      <c r="N169" s="297">
        <f>IF(ISNA(VLOOKUP($A169,JumpData,2,FALSE)),0,VLOOKUP($A169,JumpData,2,FALSE))</f>
        <v>0</v>
      </c>
      <c r="O169" s="297">
        <f>IF(ISNA(VLOOKUP($A169,RunData,2,FALSE)),0,VLOOKUP($A169,RunData,2,FALSE))</f>
        <v>0</v>
      </c>
      <c r="P169" s="297">
        <f>IF(ISNA(VLOOKUP($A169,ThrowData,2,FALSE)),0,VLOOKUP($A169,ThrowData,2,FALSE))</f>
        <v>0</v>
      </c>
      <c r="Q169" s="298">
        <f>IF(ISNA(VLOOKUP($A169,SprintData,4,FALSE)),0,VLOOKUP($A169,SprintData,4,FALSE))+V169</f>
        <v>0</v>
      </c>
      <c r="R169" s="298">
        <f>IF(ISNA(VLOOKUP($A169,JumpData,4,FALSE)),0,VLOOKUP($A169,JumpData,4,FALSE))+W169</f>
        <v>0</v>
      </c>
      <c r="S169" s="298">
        <f>IF(ISNA(VLOOKUP($A169,RunData,4,FALSE)),0,VLOOKUP($A169,RunData,4,FALSE))+X169</f>
        <v>0</v>
      </c>
      <c r="T169" s="298">
        <f>IF(ISNA(VLOOKUP($A169,ThrowData,4,FALSE)),0,VLOOKUP($A169,ThrowData,4,FALSE))+Y169</f>
        <v>0</v>
      </c>
      <c r="U169" s="299">
        <f t="shared" si="2"/>
        <v>0</v>
      </c>
      <c r="V169">
        <f>IF(AND($F169&gt;0,NOT(M169),Flexing),FlexPC,0)</f>
        <v>0</v>
      </c>
      <c r="W169">
        <f>IF(AND($F169&gt;0,NOT(N169),Flexing),FlexPC,0)</f>
        <v>0</v>
      </c>
      <c r="X169">
        <f>IF(AND($F169&gt;0,NOT(O169),Flexing),FlexPC,0)</f>
        <v>0</v>
      </c>
      <c r="Y169">
        <f>IF(AND($F169&gt;0,NOT(P169),Flexing),FlexPC,0)</f>
        <v>0</v>
      </c>
      <c r="AA169" s="209">
        <f t="shared" si="3"/>
        <v>168</v>
      </c>
    </row>
    <row r="170" ht="15.75" customHeight="1">
      <c r="A170" s="206" t="str">
        <f>+Declarations!A170&amp;""</f>
        <v/>
      </c>
      <c r="B170" t="str">
        <f>IF(LEN($A170),IF(LEN(Declarations!$B170)&gt;0,Declarations!$B170,"#"&amp;$A170),"")</f>
        <v/>
      </c>
      <c r="C170" s="209" t="str">
        <f t="array" ref="C170">IF(LEN(INDEX(DECLARATIONS,$AA170,3))&gt;0,INDEX(DECLARATIONS,$AA170,3),"...")</f>
        <v>...</v>
      </c>
      <c r="D170" s="209" t="str">
        <f t="shared" si="1"/>
        <v/>
      </c>
      <c r="E170" s="296" t="str">
        <f t="array" ref="E170">IF(ISNA($AA170),0,INDEX(DECLARATIONS,$AA170,5))</f>
        <v/>
      </c>
      <c r="F170" s="209" t="str">
        <f t="array" ref="F170">IF(ISNA($AA170),0,INDEX(DECLARATIONS,$AA170,7))</f>
        <v/>
      </c>
      <c r="G170" s="209" t="str">
        <f t="array" ref="G170">UPPER(IF(ISNA($AA170),"",INDEX(DECLARATIONS,$AA170,4)))</f>
        <v/>
      </c>
      <c r="H170" t="str">
        <f>IF(AND(A170&gt;0,ISTEXT(B170)),IF(SECNAME="YES",LEFT(B170&amp;" ",FIND(" ",B170&amp;" ")+2)&amp;IF(F170&gt;0," ("&amp;F170&amp;")",""),B170&amp;IF(F170&gt;0," ("&amp;F170&amp;")","")),"#"&amp;$A170)</f>
        <v/>
      </c>
      <c r="I170" s="209">
        <f>IF(LEN($A170)&gt;0,IF(LEN($J170)&gt;0,MATCH(J170,MatchNames,0),EventIndex),0)</f>
        <v>0</v>
      </c>
      <c r="J170" s="209" t="str">
        <f>IF(LEN($A170)&gt;0,IF(LEN(Declarations!$F170)&gt;0,Declarations!$F170,conftype),"")</f>
        <v/>
      </c>
      <c r="M170" s="297">
        <f>IF(ISNA(VLOOKUP($A170,SprintData,2,FALSE)),0,VLOOKUP($A170,SprintData,2,FALSE))</f>
        <v>0</v>
      </c>
      <c r="N170" s="297">
        <f>IF(ISNA(VLOOKUP($A170,JumpData,2,FALSE)),0,VLOOKUP($A170,JumpData,2,FALSE))</f>
        <v>0</v>
      </c>
      <c r="O170" s="297">
        <f>IF(ISNA(VLOOKUP($A170,RunData,2,FALSE)),0,VLOOKUP($A170,RunData,2,FALSE))</f>
        <v>0</v>
      </c>
      <c r="P170" s="297">
        <f>IF(ISNA(VLOOKUP($A170,ThrowData,2,FALSE)),0,VLOOKUP($A170,ThrowData,2,FALSE))</f>
        <v>0</v>
      </c>
      <c r="Q170" s="298">
        <f>IF(ISNA(VLOOKUP($A170,SprintData,4,FALSE)),0,VLOOKUP($A170,SprintData,4,FALSE))+V170</f>
        <v>0</v>
      </c>
      <c r="R170" s="298">
        <f>IF(ISNA(VLOOKUP($A170,JumpData,4,FALSE)),0,VLOOKUP($A170,JumpData,4,FALSE))+W170</f>
        <v>0</v>
      </c>
      <c r="S170" s="298">
        <f>IF(ISNA(VLOOKUP($A170,RunData,4,FALSE)),0,VLOOKUP($A170,RunData,4,FALSE))+X170</f>
        <v>0</v>
      </c>
      <c r="T170" s="298">
        <f>IF(ISNA(VLOOKUP($A170,ThrowData,4,FALSE)),0,VLOOKUP($A170,ThrowData,4,FALSE))+Y170</f>
        <v>0</v>
      </c>
      <c r="U170" s="299">
        <f t="shared" si="2"/>
        <v>0</v>
      </c>
      <c r="V170">
        <f>IF(AND($F170&gt;0,NOT(M170),Flexing),FlexPC,0)</f>
        <v>0</v>
      </c>
      <c r="W170">
        <f>IF(AND($F170&gt;0,NOT(N170),Flexing),FlexPC,0)</f>
        <v>0</v>
      </c>
      <c r="X170">
        <f>IF(AND($F170&gt;0,NOT(O170),Flexing),FlexPC,0)</f>
        <v>0</v>
      </c>
      <c r="Y170">
        <f>IF(AND($F170&gt;0,NOT(P170),Flexing),FlexPC,0)</f>
        <v>0</v>
      </c>
      <c r="AA170" s="209">
        <f t="shared" si="3"/>
        <v>169</v>
      </c>
    </row>
    <row r="171" ht="15.75" customHeight="1">
      <c r="A171" s="206" t="str">
        <f>+Declarations!A171&amp;""</f>
        <v/>
      </c>
      <c r="B171" t="str">
        <f>IF(LEN($A171),IF(LEN(Declarations!$B171)&gt;0,Declarations!$B171,"#"&amp;$A171),"")</f>
        <v/>
      </c>
      <c r="C171" s="209" t="str">
        <f t="array" ref="C171">IF(LEN(INDEX(DECLARATIONS,$AA171,3))&gt;0,INDEX(DECLARATIONS,$AA171,3),"...")</f>
        <v>...</v>
      </c>
      <c r="D171" s="209" t="str">
        <f t="shared" si="1"/>
        <v/>
      </c>
      <c r="E171" s="296" t="str">
        <f t="array" ref="E171">IF(ISNA($AA171),0,INDEX(DECLARATIONS,$AA171,5))</f>
        <v/>
      </c>
      <c r="F171" s="209" t="str">
        <f t="array" ref="F171">IF(ISNA($AA171),0,INDEX(DECLARATIONS,$AA171,7))</f>
        <v/>
      </c>
      <c r="G171" s="209" t="str">
        <f t="array" ref="G171">UPPER(IF(ISNA($AA171),"",INDEX(DECLARATIONS,$AA171,4)))</f>
        <v/>
      </c>
      <c r="H171" t="str">
        <f>IF(AND(A171&gt;0,ISTEXT(B171)),IF(SECNAME="YES",LEFT(B171&amp;" ",FIND(" ",B171&amp;" ")+2)&amp;IF(F171&gt;0," ("&amp;F171&amp;")",""),B171&amp;IF(F171&gt;0," ("&amp;F171&amp;")","")),"#"&amp;$A171)</f>
        <v/>
      </c>
      <c r="I171" s="209">
        <f>IF(LEN($A171)&gt;0,IF(LEN($J171)&gt;0,MATCH(J171,MatchNames,0),EventIndex),0)</f>
        <v>0</v>
      </c>
      <c r="J171" s="209" t="str">
        <f>IF(LEN($A171)&gt;0,IF(LEN(Declarations!$F171)&gt;0,Declarations!$F171,conftype),"")</f>
        <v/>
      </c>
      <c r="M171" s="297">
        <f>IF(ISNA(VLOOKUP($A171,SprintData,2,FALSE)),0,VLOOKUP($A171,SprintData,2,FALSE))</f>
        <v>0</v>
      </c>
      <c r="N171" s="297">
        <f>IF(ISNA(VLOOKUP($A171,JumpData,2,FALSE)),0,VLOOKUP($A171,JumpData,2,FALSE))</f>
        <v>0</v>
      </c>
      <c r="O171" s="297">
        <f>IF(ISNA(VLOOKUP($A171,RunData,2,FALSE)),0,VLOOKUP($A171,RunData,2,FALSE))</f>
        <v>0</v>
      </c>
      <c r="P171" s="297">
        <f>IF(ISNA(VLOOKUP($A171,ThrowData,2,FALSE)),0,VLOOKUP($A171,ThrowData,2,FALSE))</f>
        <v>0</v>
      </c>
      <c r="Q171" s="298">
        <f>IF(ISNA(VLOOKUP($A171,SprintData,4,FALSE)),0,VLOOKUP($A171,SprintData,4,FALSE))+V171</f>
        <v>0</v>
      </c>
      <c r="R171" s="298">
        <f>IF(ISNA(VLOOKUP($A171,JumpData,4,FALSE)),0,VLOOKUP($A171,JumpData,4,FALSE))+W171</f>
        <v>0</v>
      </c>
      <c r="S171" s="298">
        <f>IF(ISNA(VLOOKUP($A171,RunData,4,FALSE)),0,VLOOKUP($A171,RunData,4,FALSE))+X171</f>
        <v>0</v>
      </c>
      <c r="T171" s="298">
        <f>IF(ISNA(VLOOKUP($A171,ThrowData,4,FALSE)),0,VLOOKUP($A171,ThrowData,4,FALSE))+Y171</f>
        <v>0</v>
      </c>
      <c r="U171" s="299">
        <f t="shared" si="2"/>
        <v>0</v>
      </c>
      <c r="V171">
        <f>IF(AND($F171&gt;0,NOT(M171),Flexing),FlexPC,0)</f>
        <v>0</v>
      </c>
      <c r="W171">
        <f>IF(AND($F171&gt;0,NOT(N171),Flexing),FlexPC,0)</f>
        <v>0</v>
      </c>
      <c r="X171">
        <f>IF(AND($F171&gt;0,NOT(O171),Flexing),FlexPC,0)</f>
        <v>0</v>
      </c>
      <c r="Y171">
        <f>IF(AND($F171&gt;0,NOT(P171),Flexing),FlexPC,0)</f>
        <v>0</v>
      </c>
      <c r="AA171" s="209">
        <f t="shared" si="3"/>
        <v>170</v>
      </c>
    </row>
    <row r="172" ht="15.75" customHeight="1">
      <c r="A172" s="206" t="str">
        <f>+Declarations!A172&amp;""</f>
        <v/>
      </c>
      <c r="B172" t="str">
        <f>IF(LEN($A172),IF(LEN(Declarations!$B172)&gt;0,Declarations!$B172,"#"&amp;$A172),"")</f>
        <v/>
      </c>
      <c r="C172" s="209" t="str">
        <f t="array" ref="C172">IF(LEN(INDEX(DECLARATIONS,$AA172,3))&gt;0,INDEX(DECLARATIONS,$AA172,3),"...")</f>
        <v>...</v>
      </c>
      <c r="D172" s="209" t="str">
        <f t="shared" si="1"/>
        <v/>
      </c>
      <c r="E172" s="296" t="str">
        <f t="array" ref="E172">IF(ISNA($AA172),0,INDEX(DECLARATIONS,$AA172,5))</f>
        <v/>
      </c>
      <c r="F172" s="209" t="str">
        <f t="array" ref="F172">IF(ISNA($AA172),0,INDEX(DECLARATIONS,$AA172,7))</f>
        <v/>
      </c>
      <c r="G172" s="209" t="str">
        <f t="array" ref="G172">UPPER(IF(ISNA($AA172),"",INDEX(DECLARATIONS,$AA172,4)))</f>
        <v/>
      </c>
      <c r="H172" t="str">
        <f>IF(AND(A172&gt;0,ISTEXT(B172)),IF(SECNAME="YES",LEFT(B172&amp;" ",FIND(" ",B172&amp;" ")+2)&amp;IF(F172&gt;0," ("&amp;F172&amp;")",""),B172&amp;IF(F172&gt;0," ("&amp;F172&amp;")","")),"#"&amp;$A172)</f>
        <v/>
      </c>
      <c r="I172" s="209">
        <f>IF(LEN($A172)&gt;0,IF(LEN($J172)&gt;0,MATCH(J172,MatchNames,0),EventIndex),0)</f>
        <v>0</v>
      </c>
      <c r="J172" s="209" t="str">
        <f>IF(LEN($A172)&gt;0,IF(LEN(Declarations!$F172)&gt;0,Declarations!$F172,conftype),"")</f>
        <v/>
      </c>
      <c r="M172" s="297">
        <f>IF(ISNA(VLOOKUP($A172,SprintData,2,FALSE)),0,VLOOKUP($A172,SprintData,2,FALSE))</f>
        <v>0</v>
      </c>
      <c r="N172" s="297">
        <f>IF(ISNA(VLOOKUP($A172,JumpData,2,FALSE)),0,VLOOKUP($A172,JumpData,2,FALSE))</f>
        <v>0</v>
      </c>
      <c r="O172" s="297">
        <f>IF(ISNA(VLOOKUP($A172,RunData,2,FALSE)),0,VLOOKUP($A172,RunData,2,FALSE))</f>
        <v>0</v>
      </c>
      <c r="P172" s="297">
        <f>IF(ISNA(VLOOKUP($A172,ThrowData,2,FALSE)),0,VLOOKUP($A172,ThrowData,2,FALSE))</f>
        <v>0</v>
      </c>
      <c r="Q172" s="298">
        <f>IF(ISNA(VLOOKUP($A172,SprintData,4,FALSE)),0,VLOOKUP($A172,SprintData,4,FALSE))+V172</f>
        <v>0</v>
      </c>
      <c r="R172" s="298">
        <f>IF(ISNA(VLOOKUP($A172,JumpData,4,FALSE)),0,VLOOKUP($A172,JumpData,4,FALSE))+W172</f>
        <v>0</v>
      </c>
      <c r="S172" s="298">
        <f>IF(ISNA(VLOOKUP($A172,RunData,4,FALSE)),0,VLOOKUP($A172,RunData,4,FALSE))+X172</f>
        <v>0</v>
      </c>
      <c r="T172" s="298">
        <f>IF(ISNA(VLOOKUP($A172,ThrowData,4,FALSE)),0,VLOOKUP($A172,ThrowData,4,FALSE))+Y172</f>
        <v>0</v>
      </c>
      <c r="U172" s="299">
        <f t="shared" si="2"/>
        <v>0</v>
      </c>
      <c r="V172">
        <f>IF(AND($F172&gt;0,NOT(M172),Flexing),FlexPC,0)</f>
        <v>0</v>
      </c>
      <c r="W172">
        <f>IF(AND($F172&gt;0,NOT(N172),Flexing),FlexPC,0)</f>
        <v>0</v>
      </c>
      <c r="X172">
        <f>IF(AND($F172&gt;0,NOT(O172),Flexing),FlexPC,0)</f>
        <v>0</v>
      </c>
      <c r="Y172">
        <f>IF(AND($F172&gt;0,NOT(P172),Flexing),FlexPC,0)</f>
        <v>0</v>
      </c>
      <c r="AA172" s="209">
        <f t="shared" si="3"/>
        <v>171</v>
      </c>
    </row>
    <row r="173" ht="15.75" customHeight="1">
      <c r="A173" s="206" t="str">
        <f>+Declarations!A173&amp;""</f>
        <v/>
      </c>
      <c r="B173" t="str">
        <f>IF(LEN($A173),IF(LEN(Declarations!$B173)&gt;0,Declarations!$B173,"#"&amp;$A173),"")</f>
        <v/>
      </c>
      <c r="C173" s="209" t="str">
        <f t="array" ref="C173">IF(LEN(INDEX(DECLARATIONS,$AA173,3))&gt;0,INDEX(DECLARATIONS,$AA173,3),"...")</f>
        <v>...</v>
      </c>
      <c r="D173" s="209" t="str">
        <f t="shared" si="1"/>
        <v/>
      </c>
      <c r="E173" s="296" t="str">
        <f t="array" ref="E173">IF(ISNA($AA173),0,INDEX(DECLARATIONS,$AA173,5))</f>
        <v/>
      </c>
      <c r="F173" s="209" t="str">
        <f t="array" ref="F173">IF(ISNA($AA173),0,INDEX(DECLARATIONS,$AA173,7))</f>
        <v/>
      </c>
      <c r="G173" s="209" t="str">
        <f t="array" ref="G173">UPPER(IF(ISNA($AA173),"",INDEX(DECLARATIONS,$AA173,4)))</f>
        <v/>
      </c>
      <c r="H173" t="str">
        <f>IF(AND(A173&gt;0,ISTEXT(B173)),IF(SECNAME="YES",LEFT(B173&amp;" ",FIND(" ",B173&amp;" ")+2)&amp;IF(F173&gt;0," ("&amp;F173&amp;")",""),B173&amp;IF(F173&gt;0," ("&amp;F173&amp;")","")),"#"&amp;$A173)</f>
        <v/>
      </c>
      <c r="I173" s="209">
        <f>IF(LEN($A173)&gt;0,IF(LEN($J173)&gt;0,MATCH(J173,MatchNames,0),EventIndex),0)</f>
        <v>0</v>
      </c>
      <c r="J173" s="209" t="str">
        <f>IF(LEN($A173)&gt;0,IF(LEN(Declarations!$F173)&gt;0,Declarations!$F173,conftype),"")</f>
        <v/>
      </c>
      <c r="M173" s="297">
        <f>IF(ISNA(VLOOKUP($A173,SprintData,2,FALSE)),0,VLOOKUP($A173,SprintData,2,FALSE))</f>
        <v>0</v>
      </c>
      <c r="N173" s="297">
        <f>IF(ISNA(VLOOKUP($A173,JumpData,2,FALSE)),0,VLOOKUP($A173,JumpData,2,FALSE))</f>
        <v>0</v>
      </c>
      <c r="O173" s="297">
        <f>IF(ISNA(VLOOKUP($A173,RunData,2,FALSE)),0,VLOOKUP($A173,RunData,2,FALSE))</f>
        <v>0</v>
      </c>
      <c r="P173" s="297">
        <f>IF(ISNA(VLOOKUP($A173,ThrowData,2,FALSE)),0,VLOOKUP($A173,ThrowData,2,FALSE))</f>
        <v>0</v>
      </c>
      <c r="Q173" s="298">
        <f>IF(ISNA(VLOOKUP($A173,SprintData,4,FALSE)),0,VLOOKUP($A173,SprintData,4,FALSE))+V173</f>
        <v>0</v>
      </c>
      <c r="R173" s="298">
        <f>IF(ISNA(VLOOKUP($A173,JumpData,4,FALSE)),0,VLOOKUP($A173,JumpData,4,FALSE))+W173</f>
        <v>0</v>
      </c>
      <c r="S173" s="298">
        <f>IF(ISNA(VLOOKUP($A173,RunData,4,FALSE)),0,VLOOKUP($A173,RunData,4,FALSE))+X173</f>
        <v>0</v>
      </c>
      <c r="T173" s="298">
        <f>IF(ISNA(VLOOKUP($A173,ThrowData,4,FALSE)),0,VLOOKUP($A173,ThrowData,4,FALSE))+Y173</f>
        <v>0</v>
      </c>
      <c r="U173" s="299">
        <f t="shared" si="2"/>
        <v>0</v>
      </c>
      <c r="V173">
        <f>IF(AND($F173&gt;0,NOT(M173),Flexing),FlexPC,0)</f>
        <v>0</v>
      </c>
      <c r="W173">
        <f>IF(AND($F173&gt;0,NOT(N173),Flexing),FlexPC,0)</f>
        <v>0</v>
      </c>
      <c r="X173">
        <f>IF(AND($F173&gt;0,NOT(O173),Flexing),FlexPC,0)</f>
        <v>0</v>
      </c>
      <c r="Y173">
        <f>IF(AND($F173&gt;0,NOT(P173),Flexing),FlexPC,0)</f>
        <v>0</v>
      </c>
      <c r="AA173" s="209">
        <f t="shared" si="3"/>
        <v>172</v>
      </c>
    </row>
    <row r="174" ht="15.75" customHeight="1">
      <c r="A174" s="206" t="str">
        <f>+Declarations!A174&amp;""</f>
        <v/>
      </c>
      <c r="B174" t="str">
        <f>IF(LEN($A174),IF(LEN(Declarations!$B174)&gt;0,Declarations!$B174,"#"&amp;$A174),"")</f>
        <v/>
      </c>
      <c r="C174" s="209" t="str">
        <f t="array" ref="C174">IF(LEN(INDEX(DECLARATIONS,$AA174,3))&gt;0,INDEX(DECLARATIONS,$AA174,3),"...")</f>
        <v>...</v>
      </c>
      <c r="D174" s="209" t="str">
        <f t="shared" si="1"/>
        <v/>
      </c>
      <c r="E174" s="296" t="str">
        <f t="array" ref="E174">IF(ISNA($AA174),0,INDEX(DECLARATIONS,$AA174,5))</f>
        <v/>
      </c>
      <c r="F174" s="209" t="str">
        <f t="array" ref="F174">IF(ISNA($AA174),0,INDEX(DECLARATIONS,$AA174,7))</f>
        <v/>
      </c>
      <c r="G174" s="209" t="str">
        <f t="array" ref="G174">UPPER(IF(ISNA($AA174),"",INDEX(DECLARATIONS,$AA174,4)))</f>
        <v/>
      </c>
      <c r="H174" t="str">
        <f>IF(AND(A174&gt;0,ISTEXT(B174)),IF(SECNAME="YES",LEFT(B174&amp;" ",FIND(" ",B174&amp;" ")+2)&amp;IF(F174&gt;0," ("&amp;F174&amp;")",""),B174&amp;IF(F174&gt;0," ("&amp;F174&amp;")","")),"#"&amp;$A174)</f>
        <v/>
      </c>
      <c r="I174" s="209">
        <f>IF(LEN($A174)&gt;0,IF(LEN($J174)&gt;0,MATCH(J174,MatchNames,0),EventIndex),0)</f>
        <v>0</v>
      </c>
      <c r="J174" s="209" t="str">
        <f>IF(LEN($A174)&gt;0,IF(LEN(Declarations!$F174)&gt;0,Declarations!$F174,conftype),"")</f>
        <v/>
      </c>
      <c r="M174" s="297">
        <f>IF(ISNA(VLOOKUP($A174,SprintData,2,FALSE)),0,VLOOKUP($A174,SprintData,2,FALSE))</f>
        <v>0</v>
      </c>
      <c r="N174" s="297">
        <f>IF(ISNA(VLOOKUP($A174,JumpData,2,FALSE)),0,VLOOKUP($A174,JumpData,2,FALSE))</f>
        <v>0</v>
      </c>
      <c r="O174" s="297">
        <f>IF(ISNA(VLOOKUP($A174,RunData,2,FALSE)),0,VLOOKUP($A174,RunData,2,FALSE))</f>
        <v>0</v>
      </c>
      <c r="P174" s="297">
        <f>IF(ISNA(VLOOKUP($A174,ThrowData,2,FALSE)),0,VLOOKUP($A174,ThrowData,2,FALSE))</f>
        <v>0</v>
      </c>
      <c r="Q174" s="298">
        <f>IF(ISNA(VLOOKUP($A174,SprintData,4,FALSE)),0,VLOOKUP($A174,SprintData,4,FALSE))+V174</f>
        <v>0</v>
      </c>
      <c r="R174" s="298">
        <f>IF(ISNA(VLOOKUP($A174,JumpData,4,FALSE)),0,VLOOKUP($A174,JumpData,4,FALSE))+W174</f>
        <v>0</v>
      </c>
      <c r="S174" s="298">
        <f>IF(ISNA(VLOOKUP($A174,RunData,4,FALSE)),0,VLOOKUP($A174,RunData,4,FALSE))+X174</f>
        <v>0</v>
      </c>
      <c r="T174" s="298">
        <f>IF(ISNA(VLOOKUP($A174,ThrowData,4,FALSE)),0,VLOOKUP($A174,ThrowData,4,FALSE))+Y174</f>
        <v>0</v>
      </c>
      <c r="U174" s="299">
        <f t="shared" si="2"/>
        <v>0</v>
      </c>
      <c r="V174">
        <f>IF(AND($F174&gt;0,NOT(M174),Flexing),FlexPC,0)</f>
        <v>0</v>
      </c>
      <c r="W174">
        <f>IF(AND($F174&gt;0,NOT(N174),Flexing),FlexPC,0)</f>
        <v>0</v>
      </c>
      <c r="X174">
        <f>IF(AND($F174&gt;0,NOT(O174),Flexing),FlexPC,0)</f>
        <v>0</v>
      </c>
      <c r="Y174">
        <f>IF(AND($F174&gt;0,NOT(P174),Flexing),FlexPC,0)</f>
        <v>0</v>
      </c>
      <c r="AA174" s="209">
        <f t="shared" si="3"/>
        <v>173</v>
      </c>
    </row>
    <row r="175" ht="15.75" customHeight="1">
      <c r="A175" s="206" t="str">
        <f>+Declarations!A175&amp;""</f>
        <v/>
      </c>
      <c r="B175" t="str">
        <f>IF(LEN($A175),IF(LEN(Declarations!$B175)&gt;0,Declarations!$B175,"#"&amp;$A175),"")</f>
        <v/>
      </c>
      <c r="C175" s="209" t="str">
        <f t="array" ref="C175">IF(LEN(INDEX(DECLARATIONS,$AA175,3))&gt;0,INDEX(DECLARATIONS,$AA175,3),"...")</f>
        <v>...</v>
      </c>
      <c r="D175" s="209" t="str">
        <f t="shared" si="1"/>
        <v/>
      </c>
      <c r="E175" s="296" t="str">
        <f t="array" ref="E175">IF(ISNA($AA175),0,INDEX(DECLARATIONS,$AA175,5))</f>
        <v/>
      </c>
      <c r="F175" s="209" t="str">
        <f t="array" ref="F175">IF(ISNA($AA175),0,INDEX(DECLARATIONS,$AA175,7))</f>
        <v/>
      </c>
      <c r="G175" s="209" t="str">
        <f t="array" ref="G175">UPPER(IF(ISNA($AA175),"",INDEX(DECLARATIONS,$AA175,4)))</f>
        <v/>
      </c>
      <c r="H175" t="str">
        <f>IF(AND(A175&gt;0,ISTEXT(B175)),IF(SECNAME="YES",LEFT(B175&amp;" ",FIND(" ",B175&amp;" ")+2)&amp;IF(F175&gt;0," ("&amp;F175&amp;")",""),B175&amp;IF(F175&gt;0," ("&amp;F175&amp;")","")),"#"&amp;$A175)</f>
        <v/>
      </c>
      <c r="I175" s="209">
        <f>IF(LEN($A175)&gt;0,IF(LEN($J175)&gt;0,MATCH(J175,MatchNames,0),EventIndex),0)</f>
        <v>0</v>
      </c>
      <c r="J175" s="209" t="str">
        <f>IF(LEN($A175)&gt;0,IF(LEN(Declarations!$F175)&gt;0,Declarations!$F175,conftype),"")</f>
        <v/>
      </c>
      <c r="M175" s="297">
        <f>IF(ISNA(VLOOKUP($A175,SprintData,2,FALSE)),0,VLOOKUP($A175,SprintData,2,FALSE))</f>
        <v>0</v>
      </c>
      <c r="N175" s="297">
        <f>IF(ISNA(VLOOKUP($A175,JumpData,2,FALSE)),0,VLOOKUP($A175,JumpData,2,FALSE))</f>
        <v>0</v>
      </c>
      <c r="O175" s="297">
        <f>IF(ISNA(VLOOKUP($A175,RunData,2,FALSE)),0,VLOOKUP($A175,RunData,2,FALSE))</f>
        <v>0</v>
      </c>
      <c r="P175" s="297">
        <f>IF(ISNA(VLOOKUP($A175,ThrowData,2,FALSE)),0,VLOOKUP($A175,ThrowData,2,FALSE))</f>
        <v>0</v>
      </c>
      <c r="Q175" s="298">
        <f>IF(ISNA(VLOOKUP($A175,SprintData,4,FALSE)),0,VLOOKUP($A175,SprintData,4,FALSE))+V175</f>
        <v>0</v>
      </c>
      <c r="R175" s="298">
        <f>IF(ISNA(VLOOKUP($A175,JumpData,4,FALSE)),0,VLOOKUP($A175,JumpData,4,FALSE))+W175</f>
        <v>0</v>
      </c>
      <c r="S175" s="298">
        <f>IF(ISNA(VLOOKUP($A175,RunData,4,FALSE)),0,VLOOKUP($A175,RunData,4,FALSE))+X175</f>
        <v>0</v>
      </c>
      <c r="T175" s="298">
        <f>IF(ISNA(VLOOKUP($A175,ThrowData,4,FALSE)),0,VLOOKUP($A175,ThrowData,4,FALSE))+Y175</f>
        <v>0</v>
      </c>
      <c r="U175" s="299">
        <f t="shared" si="2"/>
        <v>0</v>
      </c>
      <c r="V175">
        <f>IF(AND($F175&gt;0,NOT(M175),Flexing),FlexPC,0)</f>
        <v>0</v>
      </c>
      <c r="W175">
        <f>IF(AND($F175&gt;0,NOT(N175),Flexing),FlexPC,0)</f>
        <v>0</v>
      </c>
      <c r="X175">
        <f>IF(AND($F175&gt;0,NOT(O175),Flexing),FlexPC,0)</f>
        <v>0</v>
      </c>
      <c r="Y175">
        <f>IF(AND($F175&gt;0,NOT(P175),Flexing),FlexPC,0)</f>
        <v>0</v>
      </c>
      <c r="AA175" s="209">
        <f t="shared" si="3"/>
        <v>174</v>
      </c>
    </row>
    <row r="176" ht="15.75" customHeight="1">
      <c r="A176" s="206" t="str">
        <f>+Declarations!A176&amp;""</f>
        <v/>
      </c>
      <c r="B176" t="str">
        <f>IF(LEN($A176),IF(LEN(Declarations!$B176)&gt;0,Declarations!$B176,"#"&amp;$A176),"")</f>
        <v/>
      </c>
      <c r="C176" s="209" t="str">
        <f t="array" ref="C176">IF(LEN(INDEX(DECLARATIONS,$AA176,3))&gt;0,INDEX(DECLARATIONS,$AA176,3),"...")</f>
        <v>...</v>
      </c>
      <c r="D176" s="209" t="str">
        <f t="shared" si="1"/>
        <v/>
      </c>
      <c r="E176" s="296" t="str">
        <f t="array" ref="E176">IF(ISNA($AA176),0,INDEX(DECLARATIONS,$AA176,5))</f>
        <v/>
      </c>
      <c r="F176" s="209" t="str">
        <f t="array" ref="F176">IF(ISNA($AA176),0,INDEX(DECLARATIONS,$AA176,7))</f>
        <v/>
      </c>
      <c r="G176" s="209" t="str">
        <f t="array" ref="G176">UPPER(IF(ISNA($AA176),"",INDEX(DECLARATIONS,$AA176,4)))</f>
        <v/>
      </c>
      <c r="H176" t="str">
        <f>IF(AND(A176&gt;0,ISTEXT(B176)),IF(SECNAME="YES",LEFT(B176&amp;" ",FIND(" ",B176&amp;" ")+2)&amp;IF(F176&gt;0," ("&amp;F176&amp;")",""),B176&amp;IF(F176&gt;0," ("&amp;F176&amp;")","")),"#"&amp;$A176)</f>
        <v/>
      </c>
      <c r="I176" s="209">
        <f>IF(LEN($A176)&gt;0,IF(LEN($J176)&gt;0,MATCH(J176,MatchNames,0),EventIndex),0)</f>
        <v>0</v>
      </c>
      <c r="J176" s="209" t="str">
        <f>IF(LEN($A176)&gt;0,IF(LEN(Declarations!$F176)&gt;0,Declarations!$F176,conftype),"")</f>
        <v/>
      </c>
      <c r="M176" s="297">
        <f>IF(ISNA(VLOOKUP($A176,SprintData,2,FALSE)),0,VLOOKUP($A176,SprintData,2,FALSE))</f>
        <v>0</v>
      </c>
      <c r="N176" s="297">
        <f>IF(ISNA(VLOOKUP($A176,JumpData,2,FALSE)),0,VLOOKUP($A176,JumpData,2,FALSE))</f>
        <v>0</v>
      </c>
      <c r="O176" s="297">
        <f>IF(ISNA(VLOOKUP($A176,RunData,2,FALSE)),0,VLOOKUP($A176,RunData,2,FALSE))</f>
        <v>0</v>
      </c>
      <c r="P176" s="297">
        <f>IF(ISNA(VLOOKUP($A176,ThrowData,2,FALSE)),0,VLOOKUP($A176,ThrowData,2,FALSE))</f>
        <v>0</v>
      </c>
      <c r="Q176" s="298">
        <f>IF(ISNA(VLOOKUP($A176,SprintData,4,FALSE)),0,VLOOKUP($A176,SprintData,4,FALSE))+V176</f>
        <v>0</v>
      </c>
      <c r="R176" s="298">
        <f>IF(ISNA(VLOOKUP($A176,JumpData,4,FALSE)),0,VLOOKUP($A176,JumpData,4,FALSE))+W176</f>
        <v>0</v>
      </c>
      <c r="S176" s="298">
        <f>IF(ISNA(VLOOKUP($A176,RunData,4,FALSE)),0,VLOOKUP($A176,RunData,4,FALSE))+X176</f>
        <v>0</v>
      </c>
      <c r="T176" s="298">
        <f>IF(ISNA(VLOOKUP($A176,ThrowData,4,FALSE)),0,VLOOKUP($A176,ThrowData,4,FALSE))+Y176</f>
        <v>0</v>
      </c>
      <c r="U176" s="299">
        <f t="shared" si="2"/>
        <v>0</v>
      </c>
      <c r="V176">
        <f>IF(AND($F176&gt;0,NOT(M176),Flexing),FlexPC,0)</f>
        <v>0</v>
      </c>
      <c r="W176">
        <f>IF(AND($F176&gt;0,NOT(N176),Flexing),FlexPC,0)</f>
        <v>0</v>
      </c>
      <c r="X176">
        <f>IF(AND($F176&gt;0,NOT(O176),Flexing),FlexPC,0)</f>
        <v>0</v>
      </c>
      <c r="Y176">
        <f>IF(AND($F176&gt;0,NOT(P176),Flexing),FlexPC,0)</f>
        <v>0</v>
      </c>
      <c r="AA176" s="209">
        <f t="shared" si="3"/>
        <v>175</v>
      </c>
    </row>
    <row r="177" ht="15.75" customHeight="1">
      <c r="A177" s="206" t="str">
        <f>+Declarations!A177&amp;""</f>
        <v/>
      </c>
      <c r="B177" t="str">
        <f>IF(LEN($A177),IF(LEN(Declarations!$B177)&gt;0,Declarations!$B177,"#"&amp;$A177),"")</f>
        <v/>
      </c>
      <c r="C177" s="209" t="str">
        <f t="array" ref="C177">IF(LEN(INDEX(DECLARATIONS,$AA177,3))&gt;0,INDEX(DECLARATIONS,$AA177,3),"...")</f>
        <v>...</v>
      </c>
      <c r="D177" s="209" t="str">
        <f t="shared" si="1"/>
        <v/>
      </c>
      <c r="E177" s="296" t="str">
        <f t="array" ref="E177">IF(ISNA($AA177),0,INDEX(DECLARATIONS,$AA177,5))</f>
        <v/>
      </c>
      <c r="F177" s="209" t="str">
        <f t="array" ref="F177">IF(ISNA($AA177),0,INDEX(DECLARATIONS,$AA177,7))</f>
        <v/>
      </c>
      <c r="G177" s="209" t="str">
        <f t="array" ref="G177">UPPER(IF(ISNA($AA177),"",INDEX(DECLARATIONS,$AA177,4)))</f>
        <v/>
      </c>
      <c r="H177" t="str">
        <f>IF(AND(A177&gt;0,ISTEXT(B177)),IF(SECNAME="YES",LEFT(B177&amp;" ",FIND(" ",B177&amp;" ")+2)&amp;IF(F177&gt;0," ("&amp;F177&amp;")",""),B177&amp;IF(F177&gt;0," ("&amp;F177&amp;")","")),"#"&amp;$A177)</f>
        <v/>
      </c>
      <c r="I177" s="209">
        <f>IF(LEN($A177)&gt;0,IF(LEN($J177)&gt;0,MATCH(J177,MatchNames,0),EventIndex),0)</f>
        <v>0</v>
      </c>
      <c r="J177" s="209" t="str">
        <f>IF(LEN($A177)&gt;0,IF(LEN(Declarations!$F177)&gt;0,Declarations!$F177,conftype),"")</f>
        <v/>
      </c>
      <c r="M177" s="297">
        <f>IF(ISNA(VLOOKUP($A177,SprintData,2,FALSE)),0,VLOOKUP($A177,SprintData,2,FALSE))</f>
        <v>0</v>
      </c>
      <c r="N177" s="297">
        <f>IF(ISNA(VLOOKUP($A177,JumpData,2,FALSE)),0,VLOOKUP($A177,JumpData,2,FALSE))</f>
        <v>0</v>
      </c>
      <c r="O177" s="297">
        <f>IF(ISNA(VLOOKUP($A177,RunData,2,FALSE)),0,VLOOKUP($A177,RunData,2,FALSE))</f>
        <v>0</v>
      </c>
      <c r="P177" s="297">
        <f>IF(ISNA(VLOOKUP($A177,ThrowData,2,FALSE)),0,VLOOKUP($A177,ThrowData,2,FALSE))</f>
        <v>0</v>
      </c>
      <c r="Q177" s="298">
        <f>IF(ISNA(VLOOKUP($A177,SprintData,4,FALSE)),0,VLOOKUP($A177,SprintData,4,FALSE))+V177</f>
        <v>0</v>
      </c>
      <c r="R177" s="298">
        <f>IF(ISNA(VLOOKUP($A177,JumpData,4,FALSE)),0,VLOOKUP($A177,JumpData,4,FALSE))+W177</f>
        <v>0</v>
      </c>
      <c r="S177" s="298">
        <f>IF(ISNA(VLOOKUP($A177,RunData,4,FALSE)),0,VLOOKUP($A177,RunData,4,FALSE))+X177</f>
        <v>0</v>
      </c>
      <c r="T177" s="298">
        <f>IF(ISNA(VLOOKUP($A177,ThrowData,4,FALSE)),0,VLOOKUP($A177,ThrowData,4,FALSE))+Y177</f>
        <v>0</v>
      </c>
      <c r="U177" s="299">
        <f t="shared" si="2"/>
        <v>0</v>
      </c>
      <c r="V177">
        <f>IF(AND($F177&gt;0,NOT(M177),Flexing),FlexPC,0)</f>
        <v>0</v>
      </c>
      <c r="W177">
        <f>IF(AND($F177&gt;0,NOT(N177),Flexing),FlexPC,0)</f>
        <v>0</v>
      </c>
      <c r="X177">
        <f>IF(AND($F177&gt;0,NOT(O177),Flexing),FlexPC,0)</f>
        <v>0</v>
      </c>
      <c r="Y177">
        <f>IF(AND($F177&gt;0,NOT(P177),Flexing),FlexPC,0)</f>
        <v>0</v>
      </c>
      <c r="AA177" s="209">
        <f t="shared" si="3"/>
        <v>176</v>
      </c>
    </row>
    <row r="178" ht="15.75" customHeight="1">
      <c r="A178" s="206" t="str">
        <f>+Declarations!A178&amp;""</f>
        <v/>
      </c>
      <c r="B178" t="str">
        <f>IF(LEN($A178),IF(LEN(Declarations!$B178)&gt;0,Declarations!$B178,"#"&amp;$A178),"")</f>
        <v/>
      </c>
      <c r="C178" s="209" t="str">
        <f t="array" ref="C178">IF(LEN(INDEX(DECLARATIONS,$AA178,3))&gt;0,INDEX(DECLARATIONS,$AA178,3),"...")</f>
        <v>...</v>
      </c>
      <c r="D178" s="209" t="str">
        <f t="shared" si="1"/>
        <v/>
      </c>
      <c r="E178" s="296" t="str">
        <f t="array" ref="E178">IF(ISNA($AA178),0,INDEX(DECLARATIONS,$AA178,5))</f>
        <v/>
      </c>
      <c r="F178" s="209" t="str">
        <f t="array" ref="F178">IF(ISNA($AA178),0,INDEX(DECLARATIONS,$AA178,7))</f>
        <v/>
      </c>
      <c r="G178" s="209" t="str">
        <f t="array" ref="G178">UPPER(IF(ISNA($AA178),"",INDEX(DECLARATIONS,$AA178,4)))</f>
        <v/>
      </c>
      <c r="H178" t="str">
        <f>IF(AND(A178&gt;0,ISTEXT(B178)),IF(SECNAME="YES",LEFT(B178&amp;" ",FIND(" ",B178&amp;" ")+2)&amp;IF(F178&gt;0," ("&amp;F178&amp;")",""),B178&amp;IF(F178&gt;0," ("&amp;F178&amp;")","")),"#"&amp;$A178)</f>
        <v/>
      </c>
      <c r="I178" s="209">
        <f>IF(LEN($A178)&gt;0,IF(LEN($J178)&gt;0,MATCH(J178,MatchNames,0),EventIndex),0)</f>
        <v>0</v>
      </c>
      <c r="J178" s="209" t="str">
        <f>IF(LEN($A178)&gt;0,IF(LEN(Declarations!$F178)&gt;0,Declarations!$F178,conftype),"")</f>
        <v/>
      </c>
      <c r="M178" s="297">
        <f>IF(ISNA(VLOOKUP($A178,SprintData,2,FALSE)),0,VLOOKUP($A178,SprintData,2,FALSE))</f>
        <v>0</v>
      </c>
      <c r="N178" s="297">
        <f>IF(ISNA(VLOOKUP($A178,JumpData,2,FALSE)),0,VLOOKUP($A178,JumpData,2,FALSE))</f>
        <v>0</v>
      </c>
      <c r="O178" s="297">
        <f>IF(ISNA(VLOOKUP($A178,RunData,2,FALSE)),0,VLOOKUP($A178,RunData,2,FALSE))</f>
        <v>0</v>
      </c>
      <c r="P178" s="297">
        <f>IF(ISNA(VLOOKUP($A178,ThrowData,2,FALSE)),0,VLOOKUP($A178,ThrowData,2,FALSE))</f>
        <v>0</v>
      </c>
      <c r="Q178" s="298">
        <f>IF(ISNA(VLOOKUP($A178,SprintData,4,FALSE)),0,VLOOKUP($A178,SprintData,4,FALSE))+V178</f>
        <v>0</v>
      </c>
      <c r="R178" s="298">
        <f>IF(ISNA(VLOOKUP($A178,JumpData,4,FALSE)),0,VLOOKUP($A178,JumpData,4,FALSE))+W178</f>
        <v>0</v>
      </c>
      <c r="S178" s="298">
        <f>IF(ISNA(VLOOKUP($A178,RunData,4,FALSE)),0,VLOOKUP($A178,RunData,4,FALSE))+X178</f>
        <v>0</v>
      </c>
      <c r="T178" s="298">
        <f>IF(ISNA(VLOOKUP($A178,ThrowData,4,FALSE)),0,VLOOKUP($A178,ThrowData,4,FALSE))+Y178</f>
        <v>0</v>
      </c>
      <c r="U178" s="299">
        <f t="shared" si="2"/>
        <v>0</v>
      </c>
      <c r="V178">
        <f>IF(AND($F178&gt;0,NOT(M178),Flexing),FlexPC,0)</f>
        <v>0</v>
      </c>
      <c r="W178">
        <f>IF(AND($F178&gt;0,NOT(N178),Flexing),FlexPC,0)</f>
        <v>0</v>
      </c>
      <c r="X178">
        <f>IF(AND($F178&gt;0,NOT(O178),Flexing),FlexPC,0)</f>
        <v>0</v>
      </c>
      <c r="Y178">
        <f>IF(AND($F178&gt;0,NOT(P178),Flexing),FlexPC,0)</f>
        <v>0</v>
      </c>
      <c r="AA178" s="209">
        <f t="shared" si="3"/>
        <v>177</v>
      </c>
    </row>
    <row r="179" ht="15.75" customHeight="1">
      <c r="A179" s="206" t="str">
        <f>+Declarations!A179&amp;""</f>
        <v/>
      </c>
      <c r="B179" t="str">
        <f>IF(LEN($A179),IF(LEN(Declarations!$B179)&gt;0,Declarations!$B179,"#"&amp;$A179),"")</f>
        <v/>
      </c>
      <c r="C179" s="209" t="str">
        <f t="array" ref="C179">IF(LEN(INDEX(DECLARATIONS,$AA179,3))&gt;0,INDEX(DECLARATIONS,$AA179,3),"...")</f>
        <v>...</v>
      </c>
      <c r="D179" s="209" t="str">
        <f t="shared" si="1"/>
        <v/>
      </c>
      <c r="E179" s="296" t="str">
        <f t="array" ref="E179">IF(ISNA($AA179),0,INDEX(DECLARATIONS,$AA179,5))</f>
        <v/>
      </c>
      <c r="F179" s="209" t="str">
        <f t="array" ref="F179">IF(ISNA($AA179),0,INDEX(DECLARATIONS,$AA179,7))</f>
        <v/>
      </c>
      <c r="G179" s="209" t="str">
        <f t="array" ref="G179">UPPER(IF(ISNA($AA179),"",INDEX(DECLARATIONS,$AA179,4)))</f>
        <v/>
      </c>
      <c r="H179" t="str">
        <f>IF(AND(A179&gt;0,ISTEXT(B179)),IF(SECNAME="YES",LEFT(B179&amp;" ",FIND(" ",B179&amp;" ")+2)&amp;IF(F179&gt;0," ("&amp;F179&amp;")",""),B179&amp;IF(F179&gt;0," ("&amp;F179&amp;")","")),"#"&amp;$A179)</f>
        <v/>
      </c>
      <c r="I179" s="209">
        <f>IF(LEN($A179)&gt;0,IF(LEN($J179)&gt;0,MATCH(J179,MatchNames,0),EventIndex),0)</f>
        <v>0</v>
      </c>
      <c r="J179" s="209" t="str">
        <f>IF(LEN($A179)&gt;0,IF(LEN(Declarations!$F179)&gt;0,Declarations!$F179,conftype),"")</f>
        <v/>
      </c>
      <c r="M179" s="297">
        <f>IF(ISNA(VLOOKUP($A179,SprintData,2,FALSE)),0,VLOOKUP($A179,SprintData,2,FALSE))</f>
        <v>0</v>
      </c>
      <c r="N179" s="297">
        <f>IF(ISNA(VLOOKUP($A179,JumpData,2,FALSE)),0,VLOOKUP($A179,JumpData,2,FALSE))</f>
        <v>0</v>
      </c>
      <c r="O179" s="297">
        <f>IF(ISNA(VLOOKUP($A179,RunData,2,FALSE)),0,VLOOKUP($A179,RunData,2,FALSE))</f>
        <v>0</v>
      </c>
      <c r="P179" s="297">
        <f>IF(ISNA(VLOOKUP($A179,ThrowData,2,FALSE)),0,VLOOKUP($A179,ThrowData,2,FALSE))</f>
        <v>0</v>
      </c>
      <c r="Q179" s="298">
        <f>IF(ISNA(VLOOKUP($A179,SprintData,4,FALSE)),0,VLOOKUP($A179,SprintData,4,FALSE))+V179</f>
        <v>0</v>
      </c>
      <c r="R179" s="298">
        <f>IF(ISNA(VLOOKUP($A179,JumpData,4,FALSE)),0,VLOOKUP($A179,JumpData,4,FALSE))+W179</f>
        <v>0</v>
      </c>
      <c r="S179" s="298">
        <f>IF(ISNA(VLOOKUP($A179,RunData,4,FALSE)),0,VLOOKUP($A179,RunData,4,FALSE))+X179</f>
        <v>0</v>
      </c>
      <c r="T179" s="298">
        <f>IF(ISNA(VLOOKUP($A179,ThrowData,4,FALSE)),0,VLOOKUP($A179,ThrowData,4,FALSE))+Y179</f>
        <v>0</v>
      </c>
      <c r="U179" s="299">
        <f t="shared" si="2"/>
        <v>0</v>
      </c>
      <c r="V179">
        <f>IF(AND($F179&gt;0,NOT(M179),Flexing),FlexPC,0)</f>
        <v>0</v>
      </c>
      <c r="W179">
        <f>IF(AND($F179&gt;0,NOT(N179),Flexing),FlexPC,0)</f>
        <v>0</v>
      </c>
      <c r="X179">
        <f>IF(AND($F179&gt;0,NOT(O179),Flexing),FlexPC,0)</f>
        <v>0</v>
      </c>
      <c r="Y179">
        <f>IF(AND($F179&gt;0,NOT(P179),Flexing),FlexPC,0)</f>
        <v>0</v>
      </c>
      <c r="AA179" s="209">
        <f t="shared" si="3"/>
        <v>178</v>
      </c>
    </row>
    <row r="180" ht="15.75" customHeight="1">
      <c r="A180" s="206" t="str">
        <f>+Declarations!A180&amp;""</f>
        <v/>
      </c>
      <c r="B180" t="str">
        <f>IF(LEN($A180),IF(LEN(Declarations!$B180)&gt;0,Declarations!$B180,"#"&amp;$A180),"")</f>
        <v/>
      </c>
      <c r="C180" s="209" t="str">
        <f t="array" ref="C180">IF(LEN(INDEX(DECLARATIONS,$AA180,3))&gt;0,INDEX(DECLARATIONS,$AA180,3),"...")</f>
        <v>...</v>
      </c>
      <c r="D180" s="209" t="str">
        <f t="shared" si="1"/>
        <v/>
      </c>
      <c r="E180" s="296" t="str">
        <f t="array" ref="E180">IF(ISNA($AA180),0,INDEX(DECLARATIONS,$AA180,5))</f>
        <v/>
      </c>
      <c r="F180" s="209" t="str">
        <f t="array" ref="F180">IF(ISNA($AA180),0,INDEX(DECLARATIONS,$AA180,7))</f>
        <v/>
      </c>
      <c r="G180" s="209" t="str">
        <f t="array" ref="G180">UPPER(IF(ISNA($AA180),"",INDEX(DECLARATIONS,$AA180,4)))</f>
        <v/>
      </c>
      <c r="H180" t="str">
        <f>IF(AND(A180&gt;0,ISTEXT(B180)),IF(SECNAME="YES",LEFT(B180&amp;" ",FIND(" ",B180&amp;" ")+2)&amp;IF(F180&gt;0," ("&amp;F180&amp;")",""),B180&amp;IF(F180&gt;0," ("&amp;F180&amp;")","")),"#"&amp;$A180)</f>
        <v/>
      </c>
      <c r="I180" s="209">
        <f>IF(LEN($A180)&gt;0,IF(LEN($J180)&gt;0,MATCH(J180,MatchNames,0),EventIndex),0)</f>
        <v>0</v>
      </c>
      <c r="J180" s="209" t="str">
        <f>IF(LEN($A180)&gt;0,IF(LEN(Declarations!$F180)&gt;0,Declarations!$F180,conftype),"")</f>
        <v/>
      </c>
      <c r="M180" s="297">
        <f>IF(ISNA(VLOOKUP($A180,SprintData,2,FALSE)),0,VLOOKUP($A180,SprintData,2,FALSE))</f>
        <v>0</v>
      </c>
      <c r="N180" s="297">
        <f>IF(ISNA(VLOOKUP($A180,JumpData,2,FALSE)),0,VLOOKUP($A180,JumpData,2,FALSE))</f>
        <v>0</v>
      </c>
      <c r="O180" s="297">
        <f>IF(ISNA(VLOOKUP($A180,RunData,2,FALSE)),0,VLOOKUP($A180,RunData,2,FALSE))</f>
        <v>0</v>
      </c>
      <c r="P180" s="297">
        <f>IF(ISNA(VLOOKUP($A180,ThrowData,2,FALSE)),0,VLOOKUP($A180,ThrowData,2,FALSE))</f>
        <v>0</v>
      </c>
      <c r="Q180" s="298">
        <f>IF(ISNA(VLOOKUP($A180,SprintData,4,FALSE)),0,VLOOKUP($A180,SprintData,4,FALSE))+V180</f>
        <v>0</v>
      </c>
      <c r="R180" s="298">
        <f>IF(ISNA(VLOOKUP($A180,JumpData,4,FALSE)),0,VLOOKUP($A180,JumpData,4,FALSE))+W180</f>
        <v>0</v>
      </c>
      <c r="S180" s="298">
        <f>IF(ISNA(VLOOKUP($A180,RunData,4,FALSE)),0,VLOOKUP($A180,RunData,4,FALSE))+X180</f>
        <v>0</v>
      </c>
      <c r="T180" s="298">
        <f>IF(ISNA(VLOOKUP($A180,ThrowData,4,FALSE)),0,VLOOKUP($A180,ThrowData,4,FALSE))+Y180</f>
        <v>0</v>
      </c>
      <c r="U180" s="299">
        <f t="shared" si="2"/>
        <v>0</v>
      </c>
      <c r="V180">
        <f>IF(AND($F180&gt;0,NOT(M180),Flexing),FlexPC,0)</f>
        <v>0</v>
      </c>
      <c r="W180">
        <f>IF(AND($F180&gt;0,NOT(N180),Flexing),FlexPC,0)</f>
        <v>0</v>
      </c>
      <c r="X180">
        <f>IF(AND($F180&gt;0,NOT(O180),Flexing),FlexPC,0)</f>
        <v>0</v>
      </c>
      <c r="Y180">
        <f>IF(AND($F180&gt;0,NOT(P180),Flexing),FlexPC,0)</f>
        <v>0</v>
      </c>
      <c r="AA180" s="209">
        <f t="shared" si="3"/>
        <v>179</v>
      </c>
    </row>
    <row r="181" ht="15.75" customHeight="1">
      <c r="A181" s="206" t="str">
        <f>+Declarations!A181&amp;""</f>
        <v/>
      </c>
      <c r="B181" t="str">
        <f>IF(LEN($A181),IF(LEN(Declarations!$B181)&gt;0,Declarations!$B181,"#"&amp;$A181),"")</f>
        <v/>
      </c>
      <c r="C181" s="209" t="str">
        <f t="array" ref="C181">IF(LEN(INDEX(DECLARATIONS,$AA181,3))&gt;0,INDEX(DECLARATIONS,$AA181,3),"...")</f>
        <v>...</v>
      </c>
      <c r="D181" s="209" t="str">
        <f t="shared" si="1"/>
        <v/>
      </c>
      <c r="E181" s="296" t="str">
        <f t="array" ref="E181">IF(ISNA($AA181),0,INDEX(DECLARATIONS,$AA181,5))</f>
        <v/>
      </c>
      <c r="F181" s="209" t="str">
        <f t="array" ref="F181">IF(ISNA($AA181),0,INDEX(DECLARATIONS,$AA181,7))</f>
        <v/>
      </c>
      <c r="G181" s="209" t="str">
        <f t="array" ref="G181">UPPER(IF(ISNA($AA181),"",INDEX(DECLARATIONS,$AA181,4)))</f>
        <v/>
      </c>
      <c r="H181" t="str">
        <f>IF(AND(A181&gt;0,ISTEXT(B181)),IF(SECNAME="YES",LEFT(B181&amp;" ",FIND(" ",B181&amp;" ")+2)&amp;IF(F181&gt;0," ("&amp;F181&amp;")",""),B181&amp;IF(F181&gt;0," ("&amp;F181&amp;")","")),"#"&amp;$A181)</f>
        <v/>
      </c>
      <c r="I181" s="209">
        <f>IF(LEN($A181)&gt;0,IF(LEN($J181)&gt;0,MATCH(J181,MatchNames,0),EventIndex),0)</f>
        <v>0</v>
      </c>
      <c r="J181" s="209" t="str">
        <f>IF(LEN($A181)&gt;0,IF(LEN(Declarations!$F181)&gt;0,Declarations!$F181,conftype),"")</f>
        <v/>
      </c>
      <c r="M181" s="297">
        <f>IF(ISNA(VLOOKUP($A181,SprintData,2,FALSE)),0,VLOOKUP($A181,SprintData,2,FALSE))</f>
        <v>0</v>
      </c>
      <c r="N181" s="297">
        <f>IF(ISNA(VLOOKUP($A181,JumpData,2,FALSE)),0,VLOOKUP($A181,JumpData,2,FALSE))</f>
        <v>0</v>
      </c>
      <c r="O181" s="297">
        <f>IF(ISNA(VLOOKUP($A181,RunData,2,FALSE)),0,VLOOKUP($A181,RunData,2,FALSE))</f>
        <v>0</v>
      </c>
      <c r="P181" s="297">
        <f>IF(ISNA(VLOOKUP($A181,ThrowData,2,FALSE)),0,VLOOKUP($A181,ThrowData,2,FALSE))</f>
        <v>0</v>
      </c>
      <c r="Q181" s="298">
        <f>IF(ISNA(VLOOKUP($A181,SprintData,4,FALSE)),0,VLOOKUP($A181,SprintData,4,FALSE))+V181</f>
        <v>0</v>
      </c>
      <c r="R181" s="298">
        <f>IF(ISNA(VLOOKUP($A181,JumpData,4,FALSE)),0,VLOOKUP($A181,JumpData,4,FALSE))+W181</f>
        <v>0</v>
      </c>
      <c r="S181" s="298">
        <f>IF(ISNA(VLOOKUP($A181,RunData,4,FALSE)),0,VLOOKUP($A181,RunData,4,FALSE))+X181</f>
        <v>0</v>
      </c>
      <c r="T181" s="298">
        <f>IF(ISNA(VLOOKUP($A181,ThrowData,4,FALSE)),0,VLOOKUP($A181,ThrowData,4,FALSE))+Y181</f>
        <v>0</v>
      </c>
      <c r="U181" s="299">
        <f t="shared" si="2"/>
        <v>0</v>
      </c>
      <c r="V181">
        <f>IF(AND($F181&gt;0,NOT(M181),Flexing),FlexPC,0)</f>
        <v>0</v>
      </c>
      <c r="W181">
        <f>IF(AND($F181&gt;0,NOT(N181),Flexing),FlexPC,0)</f>
        <v>0</v>
      </c>
      <c r="X181">
        <f>IF(AND($F181&gt;0,NOT(O181),Flexing),FlexPC,0)</f>
        <v>0</v>
      </c>
      <c r="Y181">
        <f>IF(AND($F181&gt;0,NOT(P181),Flexing),FlexPC,0)</f>
        <v>0</v>
      </c>
      <c r="AA181" s="209">
        <f t="shared" si="3"/>
        <v>180</v>
      </c>
    </row>
    <row r="182" ht="15.75" customHeight="1">
      <c r="A182" s="206" t="str">
        <f>+Declarations!A182&amp;""</f>
        <v/>
      </c>
      <c r="B182" t="str">
        <f>IF(LEN($A182),IF(LEN(Declarations!$B182)&gt;0,Declarations!$B182,"#"&amp;$A182),"")</f>
        <v/>
      </c>
      <c r="C182" s="209" t="str">
        <f t="array" ref="C182">IF(LEN(INDEX(DECLARATIONS,$AA182,3))&gt;0,INDEX(DECLARATIONS,$AA182,3),"...")</f>
        <v>...</v>
      </c>
      <c r="D182" s="209" t="str">
        <f t="shared" si="1"/>
        <v/>
      </c>
      <c r="E182" s="296" t="str">
        <f t="array" ref="E182">IF(ISNA($AA182),0,INDEX(DECLARATIONS,$AA182,5))</f>
        <v/>
      </c>
      <c r="F182" s="209" t="str">
        <f t="array" ref="F182">IF(ISNA($AA182),0,INDEX(DECLARATIONS,$AA182,7))</f>
        <v/>
      </c>
      <c r="G182" s="209" t="str">
        <f t="array" ref="G182">UPPER(IF(ISNA($AA182),"",INDEX(DECLARATIONS,$AA182,4)))</f>
        <v/>
      </c>
      <c r="H182" t="str">
        <f>IF(AND(A182&gt;0,ISTEXT(B182)),IF(SECNAME="YES",LEFT(B182&amp;" ",FIND(" ",B182&amp;" ")+2)&amp;IF(F182&gt;0," ("&amp;F182&amp;")",""),B182&amp;IF(F182&gt;0," ("&amp;F182&amp;")","")),"#"&amp;$A182)</f>
        <v/>
      </c>
      <c r="I182" s="209">
        <f>IF(LEN($A182)&gt;0,IF(LEN($J182)&gt;0,MATCH(J182,MatchNames,0),EventIndex),0)</f>
        <v>0</v>
      </c>
      <c r="J182" s="209" t="str">
        <f>IF(LEN($A182)&gt;0,IF(LEN(Declarations!$F182)&gt;0,Declarations!$F182,conftype),"")</f>
        <v/>
      </c>
      <c r="M182" s="297">
        <f>IF(ISNA(VLOOKUP($A182,SprintData,2,FALSE)),0,VLOOKUP($A182,SprintData,2,FALSE))</f>
        <v>0</v>
      </c>
      <c r="N182" s="297">
        <f>IF(ISNA(VLOOKUP($A182,JumpData,2,FALSE)),0,VLOOKUP($A182,JumpData,2,FALSE))</f>
        <v>0</v>
      </c>
      <c r="O182" s="297">
        <f>IF(ISNA(VLOOKUP($A182,RunData,2,FALSE)),0,VLOOKUP($A182,RunData,2,FALSE))</f>
        <v>0</v>
      </c>
      <c r="P182" s="297">
        <f>IF(ISNA(VLOOKUP($A182,ThrowData,2,FALSE)),0,VLOOKUP($A182,ThrowData,2,FALSE))</f>
        <v>0</v>
      </c>
      <c r="Q182" s="298">
        <f>IF(ISNA(VLOOKUP($A182,SprintData,4,FALSE)),0,VLOOKUP($A182,SprintData,4,FALSE))+V182</f>
        <v>0</v>
      </c>
      <c r="R182" s="298">
        <f>IF(ISNA(VLOOKUP($A182,JumpData,4,FALSE)),0,VLOOKUP($A182,JumpData,4,FALSE))+W182</f>
        <v>0</v>
      </c>
      <c r="S182" s="298">
        <f>IF(ISNA(VLOOKUP($A182,RunData,4,FALSE)),0,VLOOKUP($A182,RunData,4,FALSE))+X182</f>
        <v>0</v>
      </c>
      <c r="T182" s="298">
        <f>IF(ISNA(VLOOKUP($A182,ThrowData,4,FALSE)),0,VLOOKUP($A182,ThrowData,4,FALSE))+Y182</f>
        <v>0</v>
      </c>
      <c r="U182" s="299">
        <f t="shared" si="2"/>
        <v>0</v>
      </c>
      <c r="V182">
        <f>IF(AND($F182&gt;0,NOT(M182),Flexing),FlexPC,0)</f>
        <v>0</v>
      </c>
      <c r="W182">
        <f>IF(AND($F182&gt;0,NOT(N182),Flexing),FlexPC,0)</f>
        <v>0</v>
      </c>
      <c r="X182">
        <f>IF(AND($F182&gt;0,NOT(O182),Flexing),FlexPC,0)</f>
        <v>0</v>
      </c>
      <c r="Y182">
        <f>IF(AND($F182&gt;0,NOT(P182),Flexing),FlexPC,0)</f>
        <v>0</v>
      </c>
      <c r="AA182" s="209">
        <f t="shared" si="3"/>
        <v>181</v>
      </c>
    </row>
    <row r="183" ht="15.75" customHeight="1">
      <c r="A183" s="206" t="str">
        <f>+Declarations!A183&amp;""</f>
        <v/>
      </c>
      <c r="B183" t="str">
        <f>IF(LEN($A183),IF(LEN(Declarations!$B183)&gt;0,Declarations!$B183,"#"&amp;$A183),"")</f>
        <v/>
      </c>
      <c r="C183" s="209" t="str">
        <f t="array" ref="C183">IF(LEN(INDEX(DECLARATIONS,$AA183,3))&gt;0,INDEX(DECLARATIONS,$AA183,3),"...")</f>
        <v>...</v>
      </c>
      <c r="D183" s="209" t="str">
        <f t="shared" si="1"/>
        <v/>
      </c>
      <c r="E183" s="296" t="str">
        <f t="array" ref="E183">IF(ISNA($AA183),0,INDEX(DECLARATIONS,$AA183,5))</f>
        <v/>
      </c>
      <c r="F183" s="209" t="str">
        <f t="array" ref="F183">IF(ISNA($AA183),0,INDEX(DECLARATIONS,$AA183,7))</f>
        <v/>
      </c>
      <c r="G183" s="209" t="str">
        <f t="array" ref="G183">UPPER(IF(ISNA($AA183),"",INDEX(DECLARATIONS,$AA183,4)))</f>
        <v/>
      </c>
      <c r="H183" t="str">
        <f>IF(AND(A183&gt;0,ISTEXT(B183)),IF(SECNAME="YES",LEFT(B183&amp;" ",FIND(" ",B183&amp;" ")+2)&amp;IF(F183&gt;0," ("&amp;F183&amp;")",""),B183&amp;IF(F183&gt;0," ("&amp;F183&amp;")","")),"#"&amp;$A183)</f>
        <v/>
      </c>
      <c r="I183" s="209">
        <f>IF(LEN($A183)&gt;0,IF(LEN($J183)&gt;0,MATCH(J183,MatchNames,0),EventIndex),0)</f>
        <v>0</v>
      </c>
      <c r="J183" s="209" t="str">
        <f>IF(LEN($A183)&gt;0,IF(LEN(Declarations!$F183)&gt;0,Declarations!$F183,conftype),"")</f>
        <v/>
      </c>
      <c r="M183" s="297">
        <f>IF(ISNA(VLOOKUP($A183,SprintData,2,FALSE)),0,VLOOKUP($A183,SprintData,2,FALSE))</f>
        <v>0</v>
      </c>
      <c r="N183" s="297">
        <f>IF(ISNA(VLOOKUP($A183,JumpData,2,FALSE)),0,VLOOKUP($A183,JumpData,2,FALSE))</f>
        <v>0</v>
      </c>
      <c r="O183" s="297">
        <f>IF(ISNA(VLOOKUP($A183,RunData,2,FALSE)),0,VLOOKUP($A183,RunData,2,FALSE))</f>
        <v>0</v>
      </c>
      <c r="P183" s="297">
        <f>IF(ISNA(VLOOKUP($A183,ThrowData,2,FALSE)),0,VLOOKUP($A183,ThrowData,2,FALSE))</f>
        <v>0</v>
      </c>
      <c r="Q183" s="298">
        <f>IF(ISNA(VLOOKUP($A183,SprintData,4,FALSE)),0,VLOOKUP($A183,SprintData,4,FALSE))+V183</f>
        <v>0</v>
      </c>
      <c r="R183" s="298">
        <f>IF(ISNA(VLOOKUP($A183,JumpData,4,FALSE)),0,VLOOKUP($A183,JumpData,4,FALSE))+W183</f>
        <v>0</v>
      </c>
      <c r="S183" s="298">
        <f>IF(ISNA(VLOOKUP($A183,RunData,4,FALSE)),0,VLOOKUP($A183,RunData,4,FALSE))+X183</f>
        <v>0</v>
      </c>
      <c r="T183" s="298">
        <f>IF(ISNA(VLOOKUP($A183,ThrowData,4,FALSE)),0,VLOOKUP($A183,ThrowData,4,FALSE))+Y183</f>
        <v>0</v>
      </c>
      <c r="U183" s="299">
        <f t="shared" si="2"/>
        <v>0</v>
      </c>
      <c r="V183">
        <f>IF(AND($F183&gt;0,NOT(M183),Flexing),FlexPC,0)</f>
        <v>0</v>
      </c>
      <c r="W183">
        <f>IF(AND($F183&gt;0,NOT(N183),Flexing),FlexPC,0)</f>
        <v>0</v>
      </c>
      <c r="X183">
        <f>IF(AND($F183&gt;0,NOT(O183),Flexing),FlexPC,0)</f>
        <v>0</v>
      </c>
      <c r="Y183">
        <f>IF(AND($F183&gt;0,NOT(P183),Flexing),FlexPC,0)</f>
        <v>0</v>
      </c>
      <c r="AA183" s="209">
        <f t="shared" si="3"/>
        <v>182</v>
      </c>
    </row>
    <row r="184" ht="15.75" customHeight="1">
      <c r="A184" s="206" t="str">
        <f>+Declarations!A184&amp;""</f>
        <v/>
      </c>
      <c r="B184" t="str">
        <f>IF(LEN($A184),IF(LEN(Declarations!$B184)&gt;0,Declarations!$B184,"#"&amp;$A184),"")</f>
        <v/>
      </c>
      <c r="C184" s="209" t="str">
        <f t="array" ref="C184">IF(LEN(INDEX(DECLARATIONS,$AA184,3))&gt;0,INDEX(DECLARATIONS,$AA184,3),"...")</f>
        <v>...</v>
      </c>
      <c r="D184" s="209" t="str">
        <f t="shared" si="1"/>
        <v/>
      </c>
      <c r="E184" s="296" t="str">
        <f t="array" ref="E184">IF(ISNA($AA184),0,INDEX(DECLARATIONS,$AA184,5))</f>
        <v/>
      </c>
      <c r="F184" s="209" t="str">
        <f t="array" ref="F184">IF(ISNA($AA184),0,INDEX(DECLARATIONS,$AA184,7))</f>
        <v/>
      </c>
      <c r="G184" s="209" t="str">
        <f t="array" ref="G184">UPPER(IF(ISNA($AA184),"",INDEX(DECLARATIONS,$AA184,4)))</f>
        <v/>
      </c>
      <c r="H184" t="str">
        <f>IF(AND(A184&gt;0,ISTEXT(B184)),IF(SECNAME="YES",LEFT(B184&amp;" ",FIND(" ",B184&amp;" ")+2)&amp;IF(F184&gt;0," ("&amp;F184&amp;")",""),B184&amp;IF(F184&gt;0," ("&amp;F184&amp;")","")),"#"&amp;$A184)</f>
        <v/>
      </c>
      <c r="I184" s="209">
        <f>IF(LEN($A184)&gt;0,IF(LEN($J184)&gt;0,MATCH(J184,MatchNames,0),EventIndex),0)</f>
        <v>0</v>
      </c>
      <c r="J184" s="209" t="str">
        <f>IF(LEN($A184)&gt;0,IF(LEN(Declarations!$F184)&gt;0,Declarations!$F184,conftype),"")</f>
        <v/>
      </c>
      <c r="M184" s="297">
        <f>IF(ISNA(VLOOKUP($A184,SprintData,2,FALSE)),0,VLOOKUP($A184,SprintData,2,FALSE))</f>
        <v>0</v>
      </c>
      <c r="N184" s="297">
        <f>IF(ISNA(VLOOKUP($A184,JumpData,2,FALSE)),0,VLOOKUP($A184,JumpData,2,FALSE))</f>
        <v>0</v>
      </c>
      <c r="O184" s="297">
        <f>IF(ISNA(VLOOKUP($A184,RunData,2,FALSE)),0,VLOOKUP($A184,RunData,2,FALSE))</f>
        <v>0</v>
      </c>
      <c r="P184" s="297">
        <f>IF(ISNA(VLOOKUP($A184,ThrowData,2,FALSE)),0,VLOOKUP($A184,ThrowData,2,FALSE))</f>
        <v>0</v>
      </c>
      <c r="Q184" s="298">
        <f>IF(ISNA(VLOOKUP($A184,SprintData,4,FALSE)),0,VLOOKUP($A184,SprintData,4,FALSE))+V184</f>
        <v>0</v>
      </c>
      <c r="R184" s="298">
        <f>IF(ISNA(VLOOKUP($A184,JumpData,4,FALSE)),0,VLOOKUP($A184,JumpData,4,FALSE))+W184</f>
        <v>0</v>
      </c>
      <c r="S184" s="298">
        <f>IF(ISNA(VLOOKUP($A184,RunData,4,FALSE)),0,VLOOKUP($A184,RunData,4,FALSE))+X184</f>
        <v>0</v>
      </c>
      <c r="T184" s="298">
        <f>IF(ISNA(VLOOKUP($A184,ThrowData,4,FALSE)),0,VLOOKUP($A184,ThrowData,4,FALSE))+Y184</f>
        <v>0</v>
      </c>
      <c r="U184" s="299">
        <f t="shared" si="2"/>
        <v>0</v>
      </c>
      <c r="V184">
        <f>IF(AND($F184&gt;0,NOT(M184),Flexing),FlexPC,0)</f>
        <v>0</v>
      </c>
      <c r="W184">
        <f>IF(AND($F184&gt;0,NOT(N184),Flexing),FlexPC,0)</f>
        <v>0</v>
      </c>
      <c r="X184">
        <f>IF(AND($F184&gt;0,NOT(O184),Flexing),FlexPC,0)</f>
        <v>0</v>
      </c>
      <c r="Y184">
        <f>IF(AND($F184&gt;0,NOT(P184),Flexing),FlexPC,0)</f>
        <v>0</v>
      </c>
      <c r="AA184" s="209">
        <f t="shared" si="3"/>
        <v>183</v>
      </c>
    </row>
    <row r="185" ht="15.75" customHeight="1">
      <c r="A185" s="206" t="str">
        <f>+Declarations!A185&amp;""</f>
        <v/>
      </c>
      <c r="B185" t="str">
        <f>IF(LEN($A185),IF(LEN(Declarations!$B185)&gt;0,Declarations!$B185,"#"&amp;$A185),"")</f>
        <v/>
      </c>
      <c r="C185" s="209" t="str">
        <f t="array" ref="C185">IF(LEN(INDEX(DECLARATIONS,$AA185,3))&gt;0,INDEX(DECLARATIONS,$AA185,3),"...")</f>
        <v>...</v>
      </c>
      <c r="D185" s="209" t="str">
        <f t="shared" si="1"/>
        <v/>
      </c>
      <c r="E185" s="296" t="str">
        <f t="array" ref="E185">IF(ISNA($AA185),0,INDEX(DECLARATIONS,$AA185,5))</f>
        <v/>
      </c>
      <c r="F185" s="209" t="str">
        <f t="array" ref="F185">IF(ISNA($AA185),0,INDEX(DECLARATIONS,$AA185,7))</f>
        <v/>
      </c>
      <c r="G185" s="209" t="str">
        <f t="array" ref="G185">UPPER(IF(ISNA($AA185),"",INDEX(DECLARATIONS,$AA185,4)))</f>
        <v/>
      </c>
      <c r="H185" t="str">
        <f>IF(AND(A185&gt;0,ISTEXT(B185)),IF(SECNAME="YES",LEFT(B185&amp;" ",FIND(" ",B185&amp;" ")+2)&amp;IF(F185&gt;0," ("&amp;F185&amp;")",""),B185&amp;IF(F185&gt;0," ("&amp;F185&amp;")","")),"#"&amp;$A185)</f>
        <v/>
      </c>
      <c r="I185" s="209">
        <f>IF(LEN($A185)&gt;0,IF(LEN($J185)&gt;0,MATCH(J185,MatchNames,0),EventIndex),0)</f>
        <v>0</v>
      </c>
      <c r="J185" s="209" t="str">
        <f>IF(LEN($A185)&gt;0,IF(LEN(Declarations!$F185)&gt;0,Declarations!$F185,conftype),"")</f>
        <v/>
      </c>
      <c r="M185" s="297">
        <f>IF(ISNA(VLOOKUP($A185,SprintData,2,FALSE)),0,VLOOKUP($A185,SprintData,2,FALSE))</f>
        <v>0</v>
      </c>
      <c r="N185" s="297">
        <f>IF(ISNA(VLOOKUP($A185,JumpData,2,FALSE)),0,VLOOKUP($A185,JumpData,2,FALSE))</f>
        <v>0</v>
      </c>
      <c r="O185" s="297">
        <f>IF(ISNA(VLOOKUP($A185,RunData,2,FALSE)),0,VLOOKUP($A185,RunData,2,FALSE))</f>
        <v>0</v>
      </c>
      <c r="P185" s="297">
        <f>IF(ISNA(VLOOKUP($A185,ThrowData,2,FALSE)),0,VLOOKUP($A185,ThrowData,2,FALSE))</f>
        <v>0</v>
      </c>
      <c r="Q185" s="298">
        <f>IF(ISNA(VLOOKUP($A185,SprintData,4,FALSE)),0,VLOOKUP($A185,SprintData,4,FALSE))+V185</f>
        <v>0</v>
      </c>
      <c r="R185" s="298">
        <f>IF(ISNA(VLOOKUP($A185,JumpData,4,FALSE)),0,VLOOKUP($A185,JumpData,4,FALSE))+W185</f>
        <v>0</v>
      </c>
      <c r="S185" s="298">
        <f>IF(ISNA(VLOOKUP($A185,RunData,4,FALSE)),0,VLOOKUP($A185,RunData,4,FALSE))+X185</f>
        <v>0</v>
      </c>
      <c r="T185" s="298">
        <f>IF(ISNA(VLOOKUP($A185,ThrowData,4,FALSE)),0,VLOOKUP($A185,ThrowData,4,FALSE))+Y185</f>
        <v>0</v>
      </c>
      <c r="U185" s="299">
        <f t="shared" si="2"/>
        <v>0</v>
      </c>
      <c r="V185">
        <f>IF(AND($F185&gt;0,NOT(M185),Flexing),FlexPC,0)</f>
        <v>0</v>
      </c>
      <c r="W185">
        <f>IF(AND($F185&gt;0,NOT(N185),Flexing),FlexPC,0)</f>
        <v>0</v>
      </c>
      <c r="X185">
        <f>IF(AND($F185&gt;0,NOT(O185),Flexing),FlexPC,0)</f>
        <v>0</v>
      </c>
      <c r="Y185">
        <f>IF(AND($F185&gt;0,NOT(P185),Flexing),FlexPC,0)</f>
        <v>0</v>
      </c>
      <c r="AA185" s="209">
        <f t="shared" si="3"/>
        <v>184</v>
      </c>
    </row>
    <row r="186" ht="15.75" customHeight="1">
      <c r="A186" s="206" t="str">
        <f>+Declarations!A186&amp;""</f>
        <v/>
      </c>
      <c r="B186" t="str">
        <f>IF(LEN($A186),IF(LEN(Declarations!$B186)&gt;0,Declarations!$B186,"#"&amp;$A186),"")</f>
        <v/>
      </c>
      <c r="C186" s="209" t="str">
        <f t="array" ref="C186">IF(LEN(INDEX(DECLARATIONS,$AA186,3))&gt;0,INDEX(DECLARATIONS,$AA186,3),"...")</f>
        <v>...</v>
      </c>
      <c r="D186" s="209" t="str">
        <f t="shared" si="1"/>
        <v/>
      </c>
      <c r="E186" s="296" t="str">
        <f t="array" ref="E186">IF(ISNA($AA186),0,INDEX(DECLARATIONS,$AA186,5))</f>
        <v/>
      </c>
      <c r="F186" s="209" t="str">
        <f t="array" ref="F186">IF(ISNA($AA186),0,INDEX(DECLARATIONS,$AA186,7))</f>
        <v/>
      </c>
      <c r="G186" s="209" t="str">
        <f t="array" ref="G186">UPPER(IF(ISNA($AA186),"",INDEX(DECLARATIONS,$AA186,4)))</f>
        <v/>
      </c>
      <c r="H186" t="str">
        <f>IF(AND(A186&gt;0,ISTEXT(B186)),IF(SECNAME="YES",LEFT(B186&amp;" ",FIND(" ",B186&amp;" ")+2)&amp;IF(F186&gt;0," ("&amp;F186&amp;")",""),B186&amp;IF(F186&gt;0," ("&amp;F186&amp;")","")),"#"&amp;$A186)</f>
        <v/>
      </c>
      <c r="I186" s="209">
        <f>IF(LEN($A186)&gt;0,IF(LEN($J186)&gt;0,MATCH(J186,MatchNames,0),EventIndex),0)</f>
        <v>0</v>
      </c>
      <c r="J186" s="209" t="str">
        <f>IF(LEN($A186)&gt;0,IF(LEN(Declarations!$F186)&gt;0,Declarations!$F186,conftype),"")</f>
        <v/>
      </c>
      <c r="M186" s="297">
        <f>IF(ISNA(VLOOKUP($A186,SprintData,2,FALSE)),0,VLOOKUP($A186,SprintData,2,FALSE))</f>
        <v>0</v>
      </c>
      <c r="N186" s="297">
        <f>IF(ISNA(VLOOKUP($A186,JumpData,2,FALSE)),0,VLOOKUP($A186,JumpData,2,FALSE))</f>
        <v>0</v>
      </c>
      <c r="O186" s="297">
        <f>IF(ISNA(VLOOKUP($A186,RunData,2,FALSE)),0,VLOOKUP($A186,RunData,2,FALSE))</f>
        <v>0</v>
      </c>
      <c r="P186" s="297">
        <f>IF(ISNA(VLOOKUP($A186,ThrowData,2,FALSE)),0,VLOOKUP($A186,ThrowData,2,FALSE))</f>
        <v>0</v>
      </c>
      <c r="Q186" s="298">
        <f>IF(ISNA(VLOOKUP($A186,SprintData,4,FALSE)),0,VLOOKUP($A186,SprintData,4,FALSE))+V186</f>
        <v>0</v>
      </c>
      <c r="R186" s="298">
        <f>IF(ISNA(VLOOKUP($A186,JumpData,4,FALSE)),0,VLOOKUP($A186,JumpData,4,FALSE))+W186</f>
        <v>0</v>
      </c>
      <c r="S186" s="298">
        <f>IF(ISNA(VLOOKUP($A186,RunData,4,FALSE)),0,VLOOKUP($A186,RunData,4,FALSE))+X186</f>
        <v>0</v>
      </c>
      <c r="T186" s="298">
        <f>IF(ISNA(VLOOKUP($A186,ThrowData,4,FALSE)),0,VLOOKUP($A186,ThrowData,4,FALSE))+Y186</f>
        <v>0</v>
      </c>
      <c r="U186" s="299">
        <f t="shared" si="2"/>
        <v>0</v>
      </c>
      <c r="V186">
        <f>IF(AND($F186&gt;0,NOT(M186),Flexing),FlexPC,0)</f>
        <v>0</v>
      </c>
      <c r="W186">
        <f>IF(AND($F186&gt;0,NOT(N186),Flexing),FlexPC,0)</f>
        <v>0</v>
      </c>
      <c r="X186">
        <f>IF(AND($F186&gt;0,NOT(O186),Flexing),FlexPC,0)</f>
        <v>0</v>
      </c>
      <c r="Y186">
        <f>IF(AND($F186&gt;0,NOT(P186),Flexing),FlexPC,0)</f>
        <v>0</v>
      </c>
      <c r="AA186" s="209">
        <f t="shared" si="3"/>
        <v>185</v>
      </c>
    </row>
    <row r="187" ht="15.75" customHeight="1">
      <c r="A187" s="206" t="str">
        <f>+Declarations!A187&amp;""</f>
        <v/>
      </c>
      <c r="B187" t="str">
        <f>IF(LEN($A187),IF(LEN(Declarations!$B187)&gt;0,Declarations!$B187,"#"&amp;$A187),"")</f>
        <v/>
      </c>
      <c r="C187" s="209" t="str">
        <f t="array" ref="C187">IF(LEN(INDEX(DECLARATIONS,$AA187,3))&gt;0,INDEX(DECLARATIONS,$AA187,3),"...")</f>
        <v>...</v>
      </c>
      <c r="D187" s="209" t="str">
        <f t="shared" si="1"/>
        <v/>
      </c>
      <c r="E187" s="296" t="str">
        <f t="array" ref="E187">IF(ISNA($AA187),0,INDEX(DECLARATIONS,$AA187,5))</f>
        <v/>
      </c>
      <c r="F187" s="209" t="str">
        <f t="array" ref="F187">IF(ISNA($AA187),0,INDEX(DECLARATIONS,$AA187,7))</f>
        <v/>
      </c>
      <c r="G187" s="209" t="str">
        <f t="array" ref="G187">UPPER(IF(ISNA($AA187),"",INDEX(DECLARATIONS,$AA187,4)))</f>
        <v/>
      </c>
      <c r="H187" t="str">
        <f>IF(AND(A187&gt;0,ISTEXT(B187)),IF(SECNAME="YES",LEFT(B187&amp;" ",FIND(" ",B187&amp;" ")+2)&amp;IF(F187&gt;0," ("&amp;F187&amp;")",""),B187&amp;IF(F187&gt;0," ("&amp;F187&amp;")","")),"#"&amp;$A187)</f>
        <v/>
      </c>
      <c r="I187" s="209">
        <f>IF(LEN($A187)&gt;0,IF(LEN($J187)&gt;0,MATCH(J187,MatchNames,0),EventIndex),0)</f>
        <v>0</v>
      </c>
      <c r="J187" s="209" t="str">
        <f>IF(LEN($A187)&gt;0,IF(LEN(Declarations!$F187)&gt;0,Declarations!$F187,conftype),"")</f>
        <v/>
      </c>
      <c r="M187" s="297">
        <f>IF(ISNA(VLOOKUP($A187,SprintData,2,FALSE)),0,VLOOKUP($A187,SprintData,2,FALSE))</f>
        <v>0</v>
      </c>
      <c r="N187" s="297">
        <f>IF(ISNA(VLOOKUP($A187,JumpData,2,FALSE)),0,VLOOKUP($A187,JumpData,2,FALSE))</f>
        <v>0</v>
      </c>
      <c r="O187" s="297">
        <f>IF(ISNA(VLOOKUP($A187,RunData,2,FALSE)),0,VLOOKUP($A187,RunData,2,FALSE))</f>
        <v>0</v>
      </c>
      <c r="P187" s="297">
        <f>IF(ISNA(VLOOKUP($A187,ThrowData,2,FALSE)),0,VLOOKUP($A187,ThrowData,2,FALSE))</f>
        <v>0</v>
      </c>
      <c r="Q187" s="298">
        <f>IF(ISNA(VLOOKUP($A187,SprintData,4,FALSE)),0,VLOOKUP($A187,SprintData,4,FALSE))+V187</f>
        <v>0</v>
      </c>
      <c r="R187" s="298">
        <f>IF(ISNA(VLOOKUP($A187,JumpData,4,FALSE)),0,VLOOKUP($A187,JumpData,4,FALSE))+W187</f>
        <v>0</v>
      </c>
      <c r="S187" s="298">
        <f>IF(ISNA(VLOOKUP($A187,RunData,4,FALSE)),0,VLOOKUP($A187,RunData,4,FALSE))+X187</f>
        <v>0</v>
      </c>
      <c r="T187" s="298">
        <f>IF(ISNA(VLOOKUP($A187,ThrowData,4,FALSE)),0,VLOOKUP($A187,ThrowData,4,FALSE))+Y187</f>
        <v>0</v>
      </c>
      <c r="U187" s="299">
        <f t="shared" si="2"/>
        <v>0</v>
      </c>
      <c r="V187">
        <f>IF(AND($F187&gt;0,NOT(M187),Flexing),FlexPC,0)</f>
        <v>0</v>
      </c>
      <c r="W187">
        <f>IF(AND($F187&gt;0,NOT(N187),Flexing),FlexPC,0)</f>
        <v>0</v>
      </c>
      <c r="X187">
        <f>IF(AND($F187&gt;0,NOT(O187),Flexing),FlexPC,0)</f>
        <v>0</v>
      </c>
      <c r="Y187">
        <f>IF(AND($F187&gt;0,NOT(P187),Flexing),FlexPC,0)</f>
        <v>0</v>
      </c>
      <c r="AA187" s="209">
        <f t="shared" si="3"/>
        <v>186</v>
      </c>
    </row>
    <row r="188" ht="15.75" customHeight="1">
      <c r="A188" s="206" t="str">
        <f>+Declarations!A188&amp;""</f>
        <v/>
      </c>
      <c r="B188" t="str">
        <f>IF(LEN($A188),IF(LEN(Declarations!$B188)&gt;0,Declarations!$B188,"#"&amp;$A188),"")</f>
        <v/>
      </c>
      <c r="C188" s="209" t="str">
        <f t="array" ref="C188">IF(LEN(INDEX(DECLARATIONS,$AA188,3))&gt;0,INDEX(DECLARATIONS,$AA188,3),"...")</f>
        <v>...</v>
      </c>
      <c r="D188" s="209" t="str">
        <f t="shared" si="1"/>
        <v/>
      </c>
      <c r="E188" s="296" t="str">
        <f t="array" ref="E188">IF(ISNA($AA188),0,INDEX(DECLARATIONS,$AA188,5))</f>
        <v/>
      </c>
      <c r="F188" s="209" t="str">
        <f t="array" ref="F188">IF(ISNA($AA188),0,INDEX(DECLARATIONS,$AA188,7))</f>
        <v/>
      </c>
      <c r="G188" s="209" t="str">
        <f t="array" ref="G188">UPPER(IF(ISNA($AA188),"",INDEX(DECLARATIONS,$AA188,4)))</f>
        <v/>
      </c>
      <c r="H188" t="str">
        <f>IF(AND(A188&gt;0,ISTEXT(B188)),IF(SECNAME="YES",LEFT(B188&amp;" ",FIND(" ",B188&amp;" ")+2)&amp;IF(F188&gt;0," ("&amp;F188&amp;")",""),B188&amp;IF(F188&gt;0," ("&amp;F188&amp;")","")),"#"&amp;$A188)</f>
        <v/>
      </c>
      <c r="I188" s="209">
        <f>IF(LEN($A188)&gt;0,IF(LEN($J188)&gt;0,MATCH(J188,MatchNames,0),EventIndex),0)</f>
        <v>0</v>
      </c>
      <c r="J188" s="209" t="str">
        <f>IF(LEN($A188)&gt;0,IF(LEN(Declarations!$F188)&gt;0,Declarations!$F188,conftype),"")</f>
        <v/>
      </c>
      <c r="M188" s="297">
        <f>IF(ISNA(VLOOKUP($A188,SprintData,2,FALSE)),0,VLOOKUP($A188,SprintData,2,FALSE))</f>
        <v>0</v>
      </c>
      <c r="N188" s="297">
        <f>IF(ISNA(VLOOKUP($A188,JumpData,2,FALSE)),0,VLOOKUP($A188,JumpData,2,FALSE))</f>
        <v>0</v>
      </c>
      <c r="O188" s="297">
        <f>IF(ISNA(VLOOKUP($A188,RunData,2,FALSE)),0,VLOOKUP($A188,RunData,2,FALSE))</f>
        <v>0</v>
      </c>
      <c r="P188" s="297">
        <f>IF(ISNA(VLOOKUP($A188,ThrowData,2,FALSE)),0,VLOOKUP($A188,ThrowData,2,FALSE))</f>
        <v>0</v>
      </c>
      <c r="Q188" s="298">
        <f>IF(ISNA(VLOOKUP($A188,SprintData,4,FALSE)),0,VLOOKUP($A188,SprintData,4,FALSE))+V188</f>
        <v>0</v>
      </c>
      <c r="R188" s="298">
        <f>IF(ISNA(VLOOKUP($A188,JumpData,4,FALSE)),0,VLOOKUP($A188,JumpData,4,FALSE))+W188</f>
        <v>0</v>
      </c>
      <c r="S188" s="298">
        <f>IF(ISNA(VLOOKUP($A188,RunData,4,FALSE)),0,VLOOKUP($A188,RunData,4,FALSE))+X188</f>
        <v>0</v>
      </c>
      <c r="T188" s="298">
        <f>IF(ISNA(VLOOKUP($A188,ThrowData,4,FALSE)),0,VLOOKUP($A188,ThrowData,4,FALSE))+Y188</f>
        <v>0</v>
      </c>
      <c r="U188" s="299">
        <f t="shared" si="2"/>
        <v>0</v>
      </c>
      <c r="V188">
        <f>IF(AND($F188&gt;0,NOT(M188),Flexing),FlexPC,0)</f>
        <v>0</v>
      </c>
      <c r="W188">
        <f>IF(AND($F188&gt;0,NOT(N188),Flexing),FlexPC,0)</f>
        <v>0</v>
      </c>
      <c r="X188">
        <f>IF(AND($F188&gt;0,NOT(O188),Flexing),FlexPC,0)</f>
        <v>0</v>
      </c>
      <c r="Y188">
        <f>IF(AND($F188&gt;0,NOT(P188),Flexing),FlexPC,0)</f>
        <v>0</v>
      </c>
      <c r="AA188" s="209">
        <f t="shared" si="3"/>
        <v>187</v>
      </c>
    </row>
    <row r="189" ht="15.75" customHeight="1">
      <c r="A189" s="206" t="str">
        <f>+Declarations!A189&amp;""</f>
        <v/>
      </c>
      <c r="B189" t="str">
        <f>IF(LEN($A189),IF(LEN(Declarations!$B189)&gt;0,Declarations!$B189,"#"&amp;$A189),"")</f>
        <v/>
      </c>
      <c r="C189" s="209" t="str">
        <f t="array" ref="C189">IF(LEN(INDEX(DECLARATIONS,$AA189,3))&gt;0,INDEX(DECLARATIONS,$AA189,3),"...")</f>
        <v>...</v>
      </c>
      <c r="D189" s="209" t="str">
        <f t="shared" si="1"/>
        <v/>
      </c>
      <c r="E189" s="296" t="str">
        <f t="array" ref="E189">IF(ISNA($AA189),0,INDEX(DECLARATIONS,$AA189,5))</f>
        <v/>
      </c>
      <c r="F189" s="209" t="str">
        <f t="array" ref="F189">IF(ISNA($AA189),0,INDEX(DECLARATIONS,$AA189,7))</f>
        <v/>
      </c>
      <c r="G189" s="209" t="str">
        <f t="array" ref="G189">UPPER(IF(ISNA($AA189),"",INDEX(DECLARATIONS,$AA189,4)))</f>
        <v/>
      </c>
      <c r="H189" t="str">
        <f>IF(AND(A189&gt;0,ISTEXT(B189)),IF(SECNAME="YES",LEFT(B189&amp;" ",FIND(" ",B189&amp;" ")+2)&amp;IF(F189&gt;0," ("&amp;F189&amp;")",""),B189&amp;IF(F189&gt;0," ("&amp;F189&amp;")","")),"#"&amp;$A189)</f>
        <v/>
      </c>
      <c r="I189" s="209">
        <f>IF(LEN($A189)&gt;0,IF(LEN($J189)&gt;0,MATCH(J189,MatchNames,0),EventIndex),0)</f>
        <v>0</v>
      </c>
      <c r="J189" s="209" t="str">
        <f>IF(LEN($A189)&gt;0,IF(LEN(Declarations!$F189)&gt;0,Declarations!$F189,conftype),"")</f>
        <v/>
      </c>
      <c r="M189" s="297">
        <f>IF(ISNA(VLOOKUP($A189,SprintData,2,FALSE)),0,VLOOKUP($A189,SprintData,2,FALSE))</f>
        <v>0</v>
      </c>
      <c r="N189" s="297">
        <f>IF(ISNA(VLOOKUP($A189,JumpData,2,FALSE)),0,VLOOKUP($A189,JumpData,2,FALSE))</f>
        <v>0</v>
      </c>
      <c r="O189" s="297">
        <f>IF(ISNA(VLOOKUP($A189,RunData,2,FALSE)),0,VLOOKUP($A189,RunData,2,FALSE))</f>
        <v>0</v>
      </c>
      <c r="P189" s="297">
        <f>IF(ISNA(VLOOKUP($A189,ThrowData,2,FALSE)),0,VLOOKUP($A189,ThrowData,2,FALSE))</f>
        <v>0</v>
      </c>
      <c r="Q189" s="298">
        <f>IF(ISNA(VLOOKUP($A189,SprintData,4,FALSE)),0,VLOOKUP($A189,SprintData,4,FALSE))+V189</f>
        <v>0</v>
      </c>
      <c r="R189" s="298">
        <f>IF(ISNA(VLOOKUP($A189,JumpData,4,FALSE)),0,VLOOKUP($A189,JumpData,4,FALSE))+W189</f>
        <v>0</v>
      </c>
      <c r="S189" s="298">
        <f>IF(ISNA(VLOOKUP($A189,RunData,4,FALSE)),0,VLOOKUP($A189,RunData,4,FALSE))+X189</f>
        <v>0</v>
      </c>
      <c r="T189" s="298">
        <f>IF(ISNA(VLOOKUP($A189,ThrowData,4,FALSE)),0,VLOOKUP($A189,ThrowData,4,FALSE))+Y189</f>
        <v>0</v>
      </c>
      <c r="U189" s="299">
        <f t="shared" si="2"/>
        <v>0</v>
      </c>
      <c r="V189">
        <f>IF(AND($F189&gt;0,NOT(M189),Flexing),FlexPC,0)</f>
        <v>0</v>
      </c>
      <c r="W189">
        <f>IF(AND($F189&gt;0,NOT(N189),Flexing),FlexPC,0)</f>
        <v>0</v>
      </c>
      <c r="X189">
        <f>IF(AND($F189&gt;0,NOT(O189),Flexing),FlexPC,0)</f>
        <v>0</v>
      </c>
      <c r="Y189">
        <f>IF(AND($F189&gt;0,NOT(P189),Flexing),FlexPC,0)</f>
        <v>0</v>
      </c>
      <c r="AA189" s="209">
        <f t="shared" si="3"/>
        <v>188</v>
      </c>
    </row>
    <row r="190" ht="15.75" customHeight="1">
      <c r="A190" s="206" t="str">
        <f>+Declarations!A190&amp;""</f>
        <v/>
      </c>
      <c r="B190" t="str">
        <f>IF(LEN($A190),IF(LEN(Declarations!$B190)&gt;0,Declarations!$B190,"#"&amp;$A190),"")</f>
        <v/>
      </c>
      <c r="C190" s="209" t="str">
        <f t="array" ref="C190">IF(LEN(INDEX(DECLARATIONS,$AA190,3))&gt;0,INDEX(DECLARATIONS,$AA190,3),"...")</f>
        <v>...</v>
      </c>
      <c r="D190" s="209" t="str">
        <f t="shared" si="1"/>
        <v/>
      </c>
      <c r="E190" s="296" t="str">
        <f t="array" ref="E190">IF(ISNA($AA190),0,INDEX(DECLARATIONS,$AA190,5))</f>
        <v/>
      </c>
      <c r="F190" s="209" t="str">
        <f t="array" ref="F190">IF(ISNA($AA190),0,INDEX(DECLARATIONS,$AA190,7))</f>
        <v/>
      </c>
      <c r="G190" s="209" t="str">
        <f t="array" ref="G190">UPPER(IF(ISNA($AA190),"",INDEX(DECLARATIONS,$AA190,4)))</f>
        <v/>
      </c>
      <c r="H190" t="str">
        <f>IF(AND(A190&gt;0,ISTEXT(B190)),IF(SECNAME="YES",LEFT(B190&amp;" ",FIND(" ",B190&amp;" ")+2)&amp;IF(F190&gt;0," ("&amp;F190&amp;")",""),B190&amp;IF(F190&gt;0," ("&amp;F190&amp;")","")),"#"&amp;$A190)</f>
        <v/>
      </c>
      <c r="I190" s="209">
        <f>IF(LEN($A190)&gt;0,IF(LEN($J190)&gt;0,MATCH(J190,MatchNames,0),EventIndex),0)</f>
        <v>0</v>
      </c>
      <c r="J190" s="209" t="str">
        <f>IF(LEN($A190)&gt;0,IF(LEN(Declarations!$F190)&gt;0,Declarations!$F190,conftype),"")</f>
        <v/>
      </c>
      <c r="M190" s="297">
        <f>IF(ISNA(VLOOKUP($A190,SprintData,2,FALSE)),0,VLOOKUP($A190,SprintData,2,FALSE))</f>
        <v>0</v>
      </c>
      <c r="N190" s="297">
        <f>IF(ISNA(VLOOKUP($A190,JumpData,2,FALSE)),0,VLOOKUP($A190,JumpData,2,FALSE))</f>
        <v>0</v>
      </c>
      <c r="O190" s="297">
        <f>IF(ISNA(VLOOKUP($A190,RunData,2,FALSE)),0,VLOOKUP($A190,RunData,2,FALSE))</f>
        <v>0</v>
      </c>
      <c r="P190" s="297">
        <f>IF(ISNA(VLOOKUP($A190,ThrowData,2,FALSE)),0,VLOOKUP($A190,ThrowData,2,FALSE))</f>
        <v>0</v>
      </c>
      <c r="Q190" s="298">
        <f>IF(ISNA(VLOOKUP($A190,SprintData,4,FALSE)),0,VLOOKUP($A190,SprintData,4,FALSE))+V190</f>
        <v>0</v>
      </c>
      <c r="R190" s="298">
        <f>IF(ISNA(VLOOKUP($A190,JumpData,4,FALSE)),0,VLOOKUP($A190,JumpData,4,FALSE))+W190</f>
        <v>0</v>
      </c>
      <c r="S190" s="298">
        <f>IF(ISNA(VLOOKUP($A190,RunData,4,FALSE)),0,VLOOKUP($A190,RunData,4,FALSE))+X190</f>
        <v>0</v>
      </c>
      <c r="T190" s="298">
        <f>IF(ISNA(VLOOKUP($A190,ThrowData,4,FALSE)),0,VLOOKUP($A190,ThrowData,4,FALSE))+Y190</f>
        <v>0</v>
      </c>
      <c r="U190" s="299">
        <f t="shared" si="2"/>
        <v>0</v>
      </c>
      <c r="V190">
        <f>IF(AND($F190&gt;0,NOT(M190),Flexing),FlexPC,0)</f>
        <v>0</v>
      </c>
      <c r="W190">
        <f>IF(AND($F190&gt;0,NOT(N190),Flexing),FlexPC,0)</f>
        <v>0</v>
      </c>
      <c r="X190">
        <f>IF(AND($F190&gt;0,NOT(O190),Flexing),FlexPC,0)</f>
        <v>0</v>
      </c>
      <c r="Y190">
        <f>IF(AND($F190&gt;0,NOT(P190),Flexing),FlexPC,0)</f>
        <v>0</v>
      </c>
      <c r="AA190" s="209">
        <f t="shared" si="3"/>
        <v>189</v>
      </c>
    </row>
    <row r="191" ht="15.75" customHeight="1">
      <c r="A191" s="206" t="str">
        <f>+Declarations!A191&amp;""</f>
        <v/>
      </c>
      <c r="B191" t="str">
        <f>IF(LEN($A191),IF(LEN(Declarations!$B191)&gt;0,Declarations!$B191,"#"&amp;$A191),"")</f>
        <v/>
      </c>
      <c r="C191" s="209" t="str">
        <f t="array" ref="C191">IF(LEN(INDEX(DECLARATIONS,$AA191,3))&gt;0,INDEX(DECLARATIONS,$AA191,3),"...")</f>
        <v>...</v>
      </c>
      <c r="D191" s="209" t="str">
        <f t="shared" si="1"/>
        <v/>
      </c>
      <c r="E191" s="296" t="str">
        <f t="array" ref="E191">IF(ISNA($AA191),0,INDEX(DECLARATIONS,$AA191,5))</f>
        <v/>
      </c>
      <c r="F191" s="209" t="str">
        <f t="array" ref="F191">IF(ISNA($AA191),0,INDEX(DECLARATIONS,$AA191,7))</f>
        <v/>
      </c>
      <c r="G191" s="209" t="str">
        <f t="array" ref="G191">UPPER(IF(ISNA($AA191),"",INDEX(DECLARATIONS,$AA191,4)))</f>
        <v/>
      </c>
      <c r="H191" t="str">
        <f>IF(AND(A191&gt;0,ISTEXT(B191)),IF(SECNAME="YES",LEFT(B191&amp;" ",FIND(" ",B191&amp;" ")+2)&amp;IF(F191&gt;0," ("&amp;F191&amp;")",""),B191&amp;IF(F191&gt;0," ("&amp;F191&amp;")","")),"#"&amp;$A191)</f>
        <v/>
      </c>
      <c r="I191" s="209">
        <f>IF(LEN($A191)&gt;0,IF(LEN($J191)&gt;0,MATCH(J191,MatchNames,0),EventIndex),0)</f>
        <v>0</v>
      </c>
      <c r="J191" s="209" t="str">
        <f>IF(LEN($A191)&gt;0,IF(LEN(Declarations!$F191)&gt;0,Declarations!$F191,conftype),"")</f>
        <v/>
      </c>
      <c r="M191" s="297">
        <f>IF(ISNA(VLOOKUP($A191,SprintData,2,FALSE)),0,VLOOKUP($A191,SprintData,2,FALSE))</f>
        <v>0</v>
      </c>
      <c r="N191" s="297">
        <f>IF(ISNA(VLOOKUP($A191,JumpData,2,FALSE)),0,VLOOKUP($A191,JumpData,2,FALSE))</f>
        <v>0</v>
      </c>
      <c r="O191" s="297">
        <f>IF(ISNA(VLOOKUP($A191,RunData,2,FALSE)),0,VLOOKUP($A191,RunData,2,FALSE))</f>
        <v>0</v>
      </c>
      <c r="P191" s="297">
        <f>IF(ISNA(VLOOKUP($A191,ThrowData,2,FALSE)),0,VLOOKUP($A191,ThrowData,2,FALSE))</f>
        <v>0</v>
      </c>
      <c r="Q191" s="298">
        <f>IF(ISNA(VLOOKUP($A191,SprintData,4,FALSE)),0,VLOOKUP($A191,SprintData,4,FALSE))+V191</f>
        <v>0</v>
      </c>
      <c r="R191" s="298">
        <f>IF(ISNA(VLOOKUP($A191,JumpData,4,FALSE)),0,VLOOKUP($A191,JumpData,4,FALSE))+W191</f>
        <v>0</v>
      </c>
      <c r="S191" s="298">
        <f>IF(ISNA(VLOOKUP($A191,RunData,4,FALSE)),0,VLOOKUP($A191,RunData,4,FALSE))+X191</f>
        <v>0</v>
      </c>
      <c r="T191" s="298">
        <f>IF(ISNA(VLOOKUP($A191,ThrowData,4,FALSE)),0,VLOOKUP($A191,ThrowData,4,FALSE))+Y191</f>
        <v>0</v>
      </c>
      <c r="U191" s="299">
        <f t="shared" si="2"/>
        <v>0</v>
      </c>
      <c r="V191">
        <f>IF(AND($F191&gt;0,NOT(M191),Flexing),FlexPC,0)</f>
        <v>0</v>
      </c>
      <c r="W191">
        <f>IF(AND($F191&gt;0,NOT(N191),Flexing),FlexPC,0)</f>
        <v>0</v>
      </c>
      <c r="X191">
        <f>IF(AND($F191&gt;0,NOT(O191),Flexing),FlexPC,0)</f>
        <v>0</v>
      </c>
      <c r="Y191">
        <f>IF(AND($F191&gt;0,NOT(P191),Flexing),FlexPC,0)</f>
        <v>0</v>
      </c>
      <c r="AA191" s="209">
        <f t="shared" si="3"/>
        <v>190</v>
      </c>
    </row>
    <row r="192" ht="15.75" customHeight="1">
      <c r="A192" s="206" t="str">
        <f>+Declarations!A192&amp;""</f>
        <v/>
      </c>
      <c r="B192" t="str">
        <f>IF(LEN($A192),IF(LEN(Declarations!$B192)&gt;0,Declarations!$B192,"#"&amp;$A192),"")</f>
        <v/>
      </c>
      <c r="C192" s="209" t="str">
        <f t="array" ref="C192">IF(LEN(INDEX(DECLARATIONS,$AA192,3))&gt;0,INDEX(DECLARATIONS,$AA192,3),"...")</f>
        <v>...</v>
      </c>
      <c r="D192" s="209" t="str">
        <f t="shared" si="1"/>
        <v/>
      </c>
      <c r="E192" s="296" t="str">
        <f t="array" ref="E192">IF(ISNA($AA192),0,INDEX(DECLARATIONS,$AA192,5))</f>
        <v/>
      </c>
      <c r="F192" s="209" t="str">
        <f t="array" ref="F192">IF(ISNA($AA192),0,INDEX(DECLARATIONS,$AA192,7))</f>
        <v/>
      </c>
      <c r="G192" s="209" t="str">
        <f t="array" ref="G192">UPPER(IF(ISNA($AA192),"",INDEX(DECLARATIONS,$AA192,4)))</f>
        <v/>
      </c>
      <c r="H192" t="str">
        <f>IF(AND(A192&gt;0,ISTEXT(B192)),IF(SECNAME="YES",LEFT(B192&amp;" ",FIND(" ",B192&amp;" ")+2)&amp;IF(F192&gt;0," ("&amp;F192&amp;")",""),B192&amp;IF(F192&gt;0," ("&amp;F192&amp;")","")),"#"&amp;$A192)</f>
        <v/>
      </c>
      <c r="I192" s="209">
        <f>IF(LEN($A192)&gt;0,IF(LEN($J192)&gt;0,MATCH(J192,MatchNames,0),EventIndex),0)</f>
        <v>0</v>
      </c>
      <c r="J192" s="209" t="str">
        <f>IF(LEN($A192)&gt;0,IF(LEN(Declarations!$F192)&gt;0,Declarations!$F192,conftype),"")</f>
        <v/>
      </c>
      <c r="M192" s="297">
        <f>IF(ISNA(VLOOKUP($A192,SprintData,2,FALSE)),0,VLOOKUP($A192,SprintData,2,FALSE))</f>
        <v>0</v>
      </c>
      <c r="N192" s="297">
        <f>IF(ISNA(VLOOKUP($A192,JumpData,2,FALSE)),0,VLOOKUP($A192,JumpData,2,FALSE))</f>
        <v>0</v>
      </c>
      <c r="O192" s="297">
        <f>IF(ISNA(VLOOKUP($A192,RunData,2,FALSE)),0,VLOOKUP($A192,RunData,2,FALSE))</f>
        <v>0</v>
      </c>
      <c r="P192" s="297">
        <f>IF(ISNA(VLOOKUP($A192,ThrowData,2,FALSE)),0,VLOOKUP($A192,ThrowData,2,FALSE))</f>
        <v>0</v>
      </c>
      <c r="Q192" s="298">
        <f>IF(ISNA(VLOOKUP($A192,SprintData,4,FALSE)),0,VLOOKUP($A192,SprintData,4,FALSE))+V192</f>
        <v>0</v>
      </c>
      <c r="R192" s="298">
        <f>IF(ISNA(VLOOKUP($A192,JumpData,4,FALSE)),0,VLOOKUP($A192,JumpData,4,FALSE))+W192</f>
        <v>0</v>
      </c>
      <c r="S192" s="298">
        <f>IF(ISNA(VLOOKUP($A192,RunData,4,FALSE)),0,VLOOKUP($A192,RunData,4,FALSE))+X192</f>
        <v>0</v>
      </c>
      <c r="T192" s="298">
        <f>IF(ISNA(VLOOKUP($A192,ThrowData,4,FALSE)),0,VLOOKUP($A192,ThrowData,4,FALSE))+Y192</f>
        <v>0</v>
      </c>
      <c r="U192" s="299">
        <f t="shared" si="2"/>
        <v>0</v>
      </c>
      <c r="V192">
        <f>IF(AND($F192&gt;0,NOT(M192),Flexing),FlexPC,0)</f>
        <v>0</v>
      </c>
      <c r="W192">
        <f>IF(AND($F192&gt;0,NOT(N192),Flexing),FlexPC,0)</f>
        <v>0</v>
      </c>
      <c r="X192">
        <f>IF(AND($F192&gt;0,NOT(O192),Flexing),FlexPC,0)</f>
        <v>0</v>
      </c>
      <c r="Y192">
        <f>IF(AND($F192&gt;0,NOT(P192),Flexing),FlexPC,0)</f>
        <v>0</v>
      </c>
      <c r="AA192" s="209">
        <f t="shared" si="3"/>
        <v>191</v>
      </c>
    </row>
    <row r="193" ht="15.75" customHeight="1">
      <c r="A193" s="206" t="str">
        <f>+Declarations!A193&amp;""</f>
        <v/>
      </c>
      <c r="B193" t="str">
        <f>IF(LEN($A193),IF(LEN(Declarations!$B193)&gt;0,Declarations!$B193,"#"&amp;$A193),"")</f>
        <v/>
      </c>
      <c r="C193" s="209" t="str">
        <f t="array" ref="C193">IF(LEN(INDEX(DECLARATIONS,$AA193,3))&gt;0,INDEX(DECLARATIONS,$AA193,3),"...")</f>
        <v>...</v>
      </c>
      <c r="D193" s="209" t="str">
        <f t="shared" si="1"/>
        <v/>
      </c>
      <c r="E193" s="296" t="str">
        <f t="array" ref="E193">IF(ISNA($AA193),0,INDEX(DECLARATIONS,$AA193,5))</f>
        <v/>
      </c>
      <c r="F193" s="209" t="str">
        <f t="array" ref="F193">IF(ISNA($AA193),0,INDEX(DECLARATIONS,$AA193,7))</f>
        <v/>
      </c>
      <c r="G193" s="209" t="str">
        <f t="array" ref="G193">UPPER(IF(ISNA($AA193),"",INDEX(DECLARATIONS,$AA193,4)))</f>
        <v/>
      </c>
      <c r="H193" t="str">
        <f>IF(AND(A193&gt;0,ISTEXT(B193)),IF(SECNAME="YES",LEFT(B193&amp;" ",FIND(" ",B193&amp;" ")+2)&amp;IF(F193&gt;0," ("&amp;F193&amp;")",""),B193&amp;IF(F193&gt;0," ("&amp;F193&amp;")","")),"#"&amp;$A193)</f>
        <v/>
      </c>
      <c r="I193" s="209">
        <f>IF(LEN($A193)&gt;0,IF(LEN($J193)&gt;0,MATCH(J193,MatchNames,0),EventIndex),0)</f>
        <v>0</v>
      </c>
      <c r="J193" s="209" t="str">
        <f>IF(LEN($A193)&gt;0,IF(LEN(Declarations!$F193)&gt;0,Declarations!$F193,conftype),"")</f>
        <v/>
      </c>
      <c r="M193" s="297">
        <f>IF(ISNA(VLOOKUP($A193,SprintData,2,FALSE)),0,VLOOKUP($A193,SprintData,2,FALSE))</f>
        <v>0</v>
      </c>
      <c r="N193" s="297">
        <f>IF(ISNA(VLOOKUP($A193,JumpData,2,FALSE)),0,VLOOKUP($A193,JumpData,2,FALSE))</f>
        <v>0</v>
      </c>
      <c r="O193" s="297">
        <f>IF(ISNA(VLOOKUP($A193,RunData,2,FALSE)),0,VLOOKUP($A193,RunData,2,FALSE))</f>
        <v>0</v>
      </c>
      <c r="P193" s="297">
        <f>IF(ISNA(VLOOKUP($A193,ThrowData,2,FALSE)),0,VLOOKUP($A193,ThrowData,2,FALSE))</f>
        <v>0</v>
      </c>
      <c r="Q193" s="298">
        <f>IF(ISNA(VLOOKUP($A193,SprintData,4,FALSE)),0,VLOOKUP($A193,SprintData,4,FALSE))+V193</f>
        <v>0</v>
      </c>
      <c r="R193" s="298">
        <f>IF(ISNA(VLOOKUP($A193,JumpData,4,FALSE)),0,VLOOKUP($A193,JumpData,4,FALSE))+W193</f>
        <v>0</v>
      </c>
      <c r="S193" s="298">
        <f>IF(ISNA(VLOOKUP($A193,RunData,4,FALSE)),0,VLOOKUP($A193,RunData,4,FALSE))+X193</f>
        <v>0</v>
      </c>
      <c r="T193" s="298">
        <f>IF(ISNA(VLOOKUP($A193,ThrowData,4,FALSE)),0,VLOOKUP($A193,ThrowData,4,FALSE))+Y193</f>
        <v>0</v>
      </c>
      <c r="U193" s="299">
        <f t="shared" si="2"/>
        <v>0</v>
      </c>
      <c r="V193">
        <f>IF(AND($F193&gt;0,NOT(M193),Flexing),FlexPC,0)</f>
        <v>0</v>
      </c>
      <c r="W193">
        <f>IF(AND($F193&gt;0,NOT(N193),Flexing),FlexPC,0)</f>
        <v>0</v>
      </c>
      <c r="X193">
        <f>IF(AND($F193&gt;0,NOT(O193),Flexing),FlexPC,0)</f>
        <v>0</v>
      </c>
      <c r="Y193">
        <f>IF(AND($F193&gt;0,NOT(P193),Flexing),FlexPC,0)</f>
        <v>0</v>
      </c>
      <c r="AA193" s="209">
        <f t="shared" si="3"/>
        <v>192</v>
      </c>
    </row>
    <row r="194" ht="15.75" customHeight="1">
      <c r="A194" s="206" t="str">
        <f>+Declarations!A194&amp;""</f>
        <v/>
      </c>
      <c r="B194" t="str">
        <f>IF(LEN($A194),IF(LEN(Declarations!$B194)&gt;0,Declarations!$B194,"#"&amp;$A194),"")</f>
        <v/>
      </c>
      <c r="C194" s="209" t="str">
        <f t="array" ref="C194">IF(LEN(INDEX(DECLARATIONS,$AA194,3))&gt;0,INDEX(DECLARATIONS,$AA194,3),"...")</f>
        <v>...</v>
      </c>
      <c r="D194" s="209" t="str">
        <f t="shared" si="1"/>
        <v/>
      </c>
      <c r="E194" s="296" t="str">
        <f t="array" ref="E194">IF(ISNA($AA194),0,INDEX(DECLARATIONS,$AA194,5))</f>
        <v/>
      </c>
      <c r="F194" s="209" t="str">
        <f t="array" ref="F194">IF(ISNA($AA194),0,INDEX(DECLARATIONS,$AA194,7))</f>
        <v/>
      </c>
      <c r="G194" s="209" t="str">
        <f t="array" ref="G194">UPPER(IF(ISNA($AA194),"",INDEX(DECLARATIONS,$AA194,4)))</f>
        <v/>
      </c>
      <c r="H194" t="str">
        <f>IF(AND(A194&gt;0,ISTEXT(B194)),IF(SECNAME="YES",LEFT(B194&amp;" ",FIND(" ",B194&amp;" ")+2)&amp;IF(F194&gt;0," ("&amp;F194&amp;")",""),B194&amp;IF(F194&gt;0," ("&amp;F194&amp;")","")),"#"&amp;$A194)</f>
        <v/>
      </c>
      <c r="I194" s="209">
        <f>IF(LEN($A194)&gt;0,IF(LEN($J194)&gt;0,MATCH(J194,MatchNames,0),EventIndex),0)</f>
        <v>0</v>
      </c>
      <c r="J194" s="209" t="str">
        <f>IF(LEN($A194)&gt;0,IF(LEN(Declarations!$F194)&gt;0,Declarations!$F194,conftype),"")</f>
        <v/>
      </c>
      <c r="M194" s="297">
        <f>IF(ISNA(VLOOKUP($A194,SprintData,2,FALSE)),0,VLOOKUP($A194,SprintData,2,FALSE))</f>
        <v>0</v>
      </c>
      <c r="N194" s="297">
        <f>IF(ISNA(VLOOKUP($A194,JumpData,2,FALSE)),0,VLOOKUP($A194,JumpData,2,FALSE))</f>
        <v>0</v>
      </c>
      <c r="O194" s="297">
        <f>IF(ISNA(VLOOKUP($A194,RunData,2,FALSE)),0,VLOOKUP($A194,RunData,2,FALSE))</f>
        <v>0</v>
      </c>
      <c r="P194" s="297">
        <f>IF(ISNA(VLOOKUP($A194,ThrowData,2,FALSE)),0,VLOOKUP($A194,ThrowData,2,FALSE))</f>
        <v>0</v>
      </c>
      <c r="Q194" s="298">
        <f>IF(ISNA(VLOOKUP($A194,SprintData,4,FALSE)),0,VLOOKUP($A194,SprintData,4,FALSE))+V194</f>
        <v>0</v>
      </c>
      <c r="R194" s="298">
        <f>IF(ISNA(VLOOKUP($A194,JumpData,4,FALSE)),0,VLOOKUP($A194,JumpData,4,FALSE))+W194</f>
        <v>0</v>
      </c>
      <c r="S194" s="298">
        <f>IF(ISNA(VLOOKUP($A194,RunData,4,FALSE)),0,VLOOKUP($A194,RunData,4,FALSE))+X194</f>
        <v>0</v>
      </c>
      <c r="T194" s="298">
        <f>IF(ISNA(VLOOKUP($A194,ThrowData,4,FALSE)),0,VLOOKUP($A194,ThrowData,4,FALSE))+Y194</f>
        <v>0</v>
      </c>
      <c r="U194" s="299">
        <f t="shared" si="2"/>
        <v>0</v>
      </c>
      <c r="V194">
        <f>IF(AND($F194&gt;0,NOT(M194),Flexing),FlexPC,0)</f>
        <v>0</v>
      </c>
      <c r="W194">
        <f>IF(AND($F194&gt;0,NOT(N194),Flexing),FlexPC,0)</f>
        <v>0</v>
      </c>
      <c r="X194">
        <f>IF(AND($F194&gt;0,NOT(O194),Flexing),FlexPC,0)</f>
        <v>0</v>
      </c>
      <c r="Y194">
        <f>IF(AND($F194&gt;0,NOT(P194),Flexing),FlexPC,0)</f>
        <v>0</v>
      </c>
      <c r="AA194" s="209">
        <f t="shared" si="3"/>
        <v>193</v>
      </c>
    </row>
    <row r="195" ht="15.75" customHeight="1">
      <c r="A195" s="206" t="str">
        <f>+Declarations!A195&amp;""</f>
        <v/>
      </c>
      <c r="B195" t="str">
        <f>IF(LEN($A195),IF(LEN(Declarations!$B195)&gt;0,Declarations!$B195,"#"&amp;$A195),"")</f>
        <v/>
      </c>
      <c r="C195" s="209" t="str">
        <f t="array" ref="C195">IF(LEN(INDEX(DECLARATIONS,$AA195,3))&gt;0,INDEX(DECLARATIONS,$AA195,3),"...")</f>
        <v>...</v>
      </c>
      <c r="D195" s="209" t="str">
        <f t="shared" si="1"/>
        <v/>
      </c>
      <c r="E195" s="296" t="str">
        <f t="array" ref="E195">IF(ISNA($AA195),0,INDEX(DECLARATIONS,$AA195,5))</f>
        <v/>
      </c>
      <c r="F195" s="209" t="str">
        <f t="array" ref="F195">IF(ISNA($AA195),0,INDEX(DECLARATIONS,$AA195,7))</f>
        <v/>
      </c>
      <c r="G195" s="209" t="str">
        <f t="array" ref="G195">UPPER(IF(ISNA($AA195),"",INDEX(DECLARATIONS,$AA195,4)))</f>
        <v/>
      </c>
      <c r="H195" t="str">
        <f>IF(AND(A195&gt;0,ISTEXT(B195)),IF(SECNAME="YES",LEFT(B195&amp;" ",FIND(" ",B195&amp;" ")+2)&amp;IF(F195&gt;0," ("&amp;F195&amp;")",""),B195&amp;IF(F195&gt;0," ("&amp;F195&amp;")","")),"#"&amp;$A195)</f>
        <v/>
      </c>
      <c r="I195" s="209">
        <f>IF(LEN($A195)&gt;0,IF(LEN($J195)&gt;0,MATCH(J195,MatchNames,0),EventIndex),0)</f>
        <v>0</v>
      </c>
      <c r="J195" s="209" t="str">
        <f>IF(LEN($A195)&gt;0,IF(LEN(Declarations!$F195)&gt;0,Declarations!$F195,conftype),"")</f>
        <v/>
      </c>
      <c r="M195" s="297">
        <f>IF(ISNA(VLOOKUP($A195,SprintData,2,FALSE)),0,VLOOKUP($A195,SprintData,2,FALSE))</f>
        <v>0</v>
      </c>
      <c r="N195" s="297">
        <f>IF(ISNA(VLOOKUP($A195,JumpData,2,FALSE)),0,VLOOKUP($A195,JumpData,2,FALSE))</f>
        <v>0</v>
      </c>
      <c r="O195" s="297">
        <f>IF(ISNA(VLOOKUP($A195,RunData,2,FALSE)),0,VLOOKUP($A195,RunData,2,FALSE))</f>
        <v>0</v>
      </c>
      <c r="P195" s="297">
        <f>IF(ISNA(VLOOKUP($A195,ThrowData,2,FALSE)),0,VLOOKUP($A195,ThrowData,2,FALSE))</f>
        <v>0</v>
      </c>
      <c r="Q195" s="298">
        <f>IF(ISNA(VLOOKUP($A195,SprintData,4,FALSE)),0,VLOOKUP($A195,SprintData,4,FALSE))+V195</f>
        <v>0</v>
      </c>
      <c r="R195" s="298">
        <f>IF(ISNA(VLOOKUP($A195,JumpData,4,FALSE)),0,VLOOKUP($A195,JumpData,4,FALSE))+W195</f>
        <v>0</v>
      </c>
      <c r="S195" s="298">
        <f>IF(ISNA(VLOOKUP($A195,RunData,4,FALSE)),0,VLOOKUP($A195,RunData,4,FALSE))+X195</f>
        <v>0</v>
      </c>
      <c r="T195" s="298">
        <f>IF(ISNA(VLOOKUP($A195,ThrowData,4,FALSE)),0,VLOOKUP($A195,ThrowData,4,FALSE))+Y195</f>
        <v>0</v>
      </c>
      <c r="U195" s="299">
        <f t="shared" si="2"/>
        <v>0</v>
      </c>
      <c r="V195">
        <f>IF(AND($F195&gt;0,NOT(M195),Flexing),FlexPC,0)</f>
        <v>0</v>
      </c>
      <c r="W195">
        <f>IF(AND($F195&gt;0,NOT(N195),Flexing),FlexPC,0)</f>
        <v>0</v>
      </c>
      <c r="X195">
        <f>IF(AND($F195&gt;0,NOT(O195),Flexing),FlexPC,0)</f>
        <v>0</v>
      </c>
      <c r="Y195">
        <f>IF(AND($F195&gt;0,NOT(P195),Flexing),FlexPC,0)</f>
        <v>0</v>
      </c>
      <c r="AA195" s="209">
        <f t="shared" si="3"/>
        <v>194</v>
      </c>
    </row>
    <row r="196" ht="15.75" customHeight="1">
      <c r="A196" s="206" t="str">
        <f>+Declarations!A196&amp;""</f>
        <v/>
      </c>
      <c r="B196" t="str">
        <f>IF(LEN($A196),IF(LEN(Declarations!$B196)&gt;0,Declarations!$B196,"#"&amp;$A196),"")</f>
        <v/>
      </c>
      <c r="C196" s="209" t="str">
        <f t="array" ref="C196">IF(LEN(INDEX(DECLARATIONS,$AA196,3))&gt;0,INDEX(DECLARATIONS,$AA196,3),"...")</f>
        <v>...</v>
      </c>
      <c r="D196" s="209" t="str">
        <f t="shared" si="1"/>
        <v/>
      </c>
      <c r="E196" s="296" t="str">
        <f t="array" ref="E196">IF(ISNA($AA196),0,INDEX(DECLARATIONS,$AA196,5))</f>
        <v/>
      </c>
      <c r="F196" s="209" t="str">
        <f t="array" ref="F196">IF(ISNA($AA196),0,INDEX(DECLARATIONS,$AA196,7))</f>
        <v/>
      </c>
      <c r="G196" s="209" t="str">
        <f t="array" ref="G196">UPPER(IF(ISNA($AA196),"",INDEX(DECLARATIONS,$AA196,4)))</f>
        <v/>
      </c>
      <c r="H196" t="str">
        <f>IF(AND(A196&gt;0,ISTEXT(B196)),IF(SECNAME="YES",LEFT(B196&amp;" ",FIND(" ",B196&amp;" ")+2)&amp;IF(F196&gt;0," ("&amp;F196&amp;")",""),B196&amp;IF(F196&gt;0," ("&amp;F196&amp;")","")),"#"&amp;$A196)</f>
        <v/>
      </c>
      <c r="I196" s="209">
        <f>IF(LEN($A196)&gt;0,IF(LEN($J196)&gt;0,MATCH(J196,MatchNames,0),EventIndex),0)</f>
        <v>0</v>
      </c>
      <c r="J196" s="209" t="str">
        <f>IF(LEN($A196)&gt;0,IF(LEN(Declarations!$F196)&gt;0,Declarations!$F196,conftype),"")</f>
        <v/>
      </c>
      <c r="M196" s="297">
        <f>IF(ISNA(VLOOKUP($A196,SprintData,2,FALSE)),0,VLOOKUP($A196,SprintData,2,FALSE))</f>
        <v>0</v>
      </c>
      <c r="N196" s="297">
        <f>IF(ISNA(VLOOKUP($A196,JumpData,2,FALSE)),0,VLOOKUP($A196,JumpData,2,FALSE))</f>
        <v>0</v>
      </c>
      <c r="O196" s="297">
        <f>IF(ISNA(VLOOKUP($A196,RunData,2,FALSE)),0,VLOOKUP($A196,RunData,2,FALSE))</f>
        <v>0</v>
      </c>
      <c r="P196" s="297">
        <f>IF(ISNA(VLOOKUP($A196,ThrowData,2,FALSE)),0,VLOOKUP($A196,ThrowData,2,FALSE))</f>
        <v>0</v>
      </c>
      <c r="Q196" s="298">
        <f>IF(ISNA(VLOOKUP($A196,SprintData,4,FALSE)),0,VLOOKUP($A196,SprintData,4,FALSE))+V196</f>
        <v>0</v>
      </c>
      <c r="R196" s="298">
        <f>IF(ISNA(VLOOKUP($A196,JumpData,4,FALSE)),0,VLOOKUP($A196,JumpData,4,FALSE))+W196</f>
        <v>0</v>
      </c>
      <c r="S196" s="298">
        <f>IF(ISNA(VLOOKUP($A196,RunData,4,FALSE)),0,VLOOKUP($A196,RunData,4,FALSE))+X196</f>
        <v>0</v>
      </c>
      <c r="T196" s="298">
        <f>IF(ISNA(VLOOKUP($A196,ThrowData,4,FALSE)),0,VLOOKUP($A196,ThrowData,4,FALSE))+Y196</f>
        <v>0</v>
      </c>
      <c r="U196" s="299">
        <f t="shared" si="2"/>
        <v>0</v>
      </c>
      <c r="V196">
        <f>IF(AND($F196&gt;0,NOT(M196),Flexing),FlexPC,0)</f>
        <v>0</v>
      </c>
      <c r="W196">
        <f>IF(AND($F196&gt;0,NOT(N196),Flexing),FlexPC,0)</f>
        <v>0</v>
      </c>
      <c r="X196">
        <f>IF(AND($F196&gt;0,NOT(O196),Flexing),FlexPC,0)</f>
        <v>0</v>
      </c>
      <c r="Y196">
        <f>IF(AND($F196&gt;0,NOT(P196),Flexing),FlexPC,0)</f>
        <v>0</v>
      </c>
      <c r="AA196" s="209">
        <f t="shared" si="3"/>
        <v>195</v>
      </c>
    </row>
    <row r="197" ht="15.75" customHeight="1">
      <c r="A197" s="206" t="str">
        <f>+Declarations!A197&amp;""</f>
        <v/>
      </c>
      <c r="B197" t="str">
        <f>IF(LEN($A197),IF(LEN(Declarations!$B197)&gt;0,Declarations!$B197,"#"&amp;$A197),"")</f>
        <v/>
      </c>
      <c r="C197" s="209" t="str">
        <f t="array" ref="C197">IF(LEN(INDEX(DECLARATIONS,$AA197,3))&gt;0,INDEX(DECLARATIONS,$AA197,3),"...")</f>
        <v>...</v>
      </c>
      <c r="D197" s="209" t="str">
        <f t="shared" si="1"/>
        <v/>
      </c>
      <c r="E197" s="296" t="str">
        <f t="array" ref="E197">IF(ISNA($AA197),0,INDEX(DECLARATIONS,$AA197,5))</f>
        <v/>
      </c>
      <c r="F197" s="209" t="str">
        <f t="array" ref="F197">IF(ISNA($AA197),0,INDEX(DECLARATIONS,$AA197,7))</f>
        <v/>
      </c>
      <c r="G197" s="209" t="str">
        <f t="array" ref="G197">UPPER(IF(ISNA($AA197),"",INDEX(DECLARATIONS,$AA197,4)))</f>
        <v/>
      </c>
      <c r="H197" t="str">
        <f>IF(AND(A197&gt;0,ISTEXT(B197)),IF(SECNAME="YES",LEFT(B197&amp;" ",FIND(" ",B197&amp;" ")+2)&amp;IF(F197&gt;0," ("&amp;F197&amp;")",""),B197&amp;IF(F197&gt;0," ("&amp;F197&amp;")","")),"#"&amp;$A197)</f>
        <v/>
      </c>
      <c r="I197" s="209">
        <f>IF(LEN($A197)&gt;0,IF(LEN($J197)&gt;0,MATCH(J197,MatchNames,0),EventIndex),0)</f>
        <v>0</v>
      </c>
      <c r="J197" s="209" t="str">
        <f>IF(LEN($A197)&gt;0,IF(LEN(Declarations!$F197)&gt;0,Declarations!$F197,conftype),"")</f>
        <v/>
      </c>
      <c r="M197" s="297">
        <f>IF(ISNA(VLOOKUP($A197,SprintData,2,FALSE)),0,VLOOKUP($A197,SprintData,2,FALSE))</f>
        <v>0</v>
      </c>
      <c r="N197" s="297">
        <f>IF(ISNA(VLOOKUP($A197,JumpData,2,FALSE)),0,VLOOKUP($A197,JumpData,2,FALSE))</f>
        <v>0</v>
      </c>
      <c r="O197" s="297">
        <f>IF(ISNA(VLOOKUP($A197,RunData,2,FALSE)),0,VLOOKUP($A197,RunData,2,FALSE))</f>
        <v>0</v>
      </c>
      <c r="P197" s="297">
        <f>IF(ISNA(VLOOKUP($A197,ThrowData,2,FALSE)),0,VLOOKUP($A197,ThrowData,2,FALSE))</f>
        <v>0</v>
      </c>
      <c r="Q197" s="298">
        <f>IF(ISNA(VLOOKUP($A197,SprintData,4,FALSE)),0,VLOOKUP($A197,SprintData,4,FALSE))+V197</f>
        <v>0</v>
      </c>
      <c r="R197" s="298">
        <f>IF(ISNA(VLOOKUP($A197,JumpData,4,FALSE)),0,VLOOKUP($A197,JumpData,4,FALSE))+W197</f>
        <v>0</v>
      </c>
      <c r="S197" s="298">
        <f>IF(ISNA(VLOOKUP($A197,RunData,4,FALSE)),0,VLOOKUP($A197,RunData,4,FALSE))+X197</f>
        <v>0</v>
      </c>
      <c r="T197" s="298">
        <f>IF(ISNA(VLOOKUP($A197,ThrowData,4,FALSE)),0,VLOOKUP($A197,ThrowData,4,FALSE))+Y197</f>
        <v>0</v>
      </c>
      <c r="U197" s="299">
        <f t="shared" si="2"/>
        <v>0</v>
      </c>
      <c r="V197">
        <f>IF(AND($F197&gt;0,NOT(M197),Flexing),FlexPC,0)</f>
        <v>0</v>
      </c>
      <c r="W197">
        <f>IF(AND($F197&gt;0,NOT(N197),Flexing),FlexPC,0)</f>
        <v>0</v>
      </c>
      <c r="X197">
        <f>IF(AND($F197&gt;0,NOT(O197),Flexing),FlexPC,0)</f>
        <v>0</v>
      </c>
      <c r="Y197">
        <f>IF(AND($F197&gt;0,NOT(P197),Flexing),FlexPC,0)</f>
        <v>0</v>
      </c>
      <c r="AA197" s="209">
        <f t="shared" si="3"/>
        <v>196</v>
      </c>
    </row>
    <row r="198" ht="15.75" customHeight="1">
      <c r="A198" s="206" t="str">
        <f>+Declarations!A198&amp;""</f>
        <v/>
      </c>
      <c r="B198" t="str">
        <f>IF(LEN($A198),IF(LEN(Declarations!$B198)&gt;0,Declarations!$B198,"#"&amp;$A198),"")</f>
        <v/>
      </c>
      <c r="C198" s="209" t="str">
        <f t="array" ref="C198">IF(LEN(INDEX(DECLARATIONS,$AA198,3))&gt;0,INDEX(DECLARATIONS,$AA198,3),"...")</f>
        <v>...</v>
      </c>
      <c r="D198" s="209" t="str">
        <f t="shared" si="1"/>
        <v/>
      </c>
      <c r="E198" s="296" t="str">
        <f t="array" ref="E198">IF(ISNA($AA198),0,INDEX(DECLARATIONS,$AA198,5))</f>
        <v/>
      </c>
      <c r="F198" s="209" t="str">
        <f t="array" ref="F198">IF(ISNA($AA198),0,INDEX(DECLARATIONS,$AA198,7))</f>
        <v/>
      </c>
      <c r="G198" s="209" t="str">
        <f t="array" ref="G198">UPPER(IF(ISNA($AA198),"",INDEX(DECLARATIONS,$AA198,4)))</f>
        <v/>
      </c>
      <c r="H198" t="str">
        <f>IF(AND(A198&gt;0,ISTEXT(B198)),IF(SECNAME="YES",LEFT(B198&amp;" ",FIND(" ",B198&amp;" ")+2)&amp;IF(F198&gt;0," ("&amp;F198&amp;")",""),B198&amp;IF(F198&gt;0," ("&amp;F198&amp;")","")),"#"&amp;$A198)</f>
        <v/>
      </c>
      <c r="I198" s="209">
        <f>IF(LEN($A198)&gt;0,IF(LEN($J198)&gt;0,MATCH(J198,MatchNames,0),EventIndex),0)</f>
        <v>0</v>
      </c>
      <c r="J198" s="209" t="str">
        <f>IF(LEN($A198)&gt;0,IF(LEN(Declarations!$F198)&gt;0,Declarations!$F198,conftype),"")</f>
        <v/>
      </c>
      <c r="M198" s="297">
        <f>IF(ISNA(VLOOKUP($A198,SprintData,2,FALSE)),0,VLOOKUP($A198,SprintData,2,FALSE))</f>
        <v>0</v>
      </c>
      <c r="N198" s="297">
        <f>IF(ISNA(VLOOKUP($A198,JumpData,2,FALSE)),0,VLOOKUP($A198,JumpData,2,FALSE))</f>
        <v>0</v>
      </c>
      <c r="O198" s="297">
        <f>IF(ISNA(VLOOKUP($A198,RunData,2,FALSE)),0,VLOOKUP($A198,RunData,2,FALSE))</f>
        <v>0</v>
      </c>
      <c r="P198" s="297">
        <f>IF(ISNA(VLOOKUP($A198,ThrowData,2,FALSE)),0,VLOOKUP($A198,ThrowData,2,FALSE))</f>
        <v>0</v>
      </c>
      <c r="Q198" s="298">
        <f>IF(ISNA(VLOOKUP($A198,SprintData,4,FALSE)),0,VLOOKUP($A198,SprintData,4,FALSE))+V198</f>
        <v>0</v>
      </c>
      <c r="R198" s="298">
        <f>IF(ISNA(VLOOKUP($A198,JumpData,4,FALSE)),0,VLOOKUP($A198,JumpData,4,FALSE))+W198</f>
        <v>0</v>
      </c>
      <c r="S198" s="298">
        <f>IF(ISNA(VLOOKUP($A198,RunData,4,FALSE)),0,VLOOKUP($A198,RunData,4,FALSE))+X198</f>
        <v>0</v>
      </c>
      <c r="T198" s="298">
        <f>IF(ISNA(VLOOKUP($A198,ThrowData,4,FALSE)),0,VLOOKUP($A198,ThrowData,4,FALSE))+Y198</f>
        <v>0</v>
      </c>
      <c r="U198" s="299">
        <f t="shared" si="2"/>
        <v>0</v>
      </c>
      <c r="V198">
        <f>IF(AND($F198&gt;0,NOT(M198),Flexing),FlexPC,0)</f>
        <v>0</v>
      </c>
      <c r="W198">
        <f>IF(AND($F198&gt;0,NOT(N198),Flexing),FlexPC,0)</f>
        <v>0</v>
      </c>
      <c r="X198">
        <f>IF(AND($F198&gt;0,NOT(O198),Flexing),FlexPC,0)</f>
        <v>0</v>
      </c>
      <c r="Y198">
        <f>IF(AND($F198&gt;0,NOT(P198),Flexing),FlexPC,0)</f>
        <v>0</v>
      </c>
      <c r="AA198" s="209">
        <f t="shared" si="3"/>
        <v>197</v>
      </c>
    </row>
    <row r="199" ht="15.75" customHeight="1">
      <c r="A199" s="206" t="str">
        <f>+Declarations!A199&amp;""</f>
        <v/>
      </c>
      <c r="B199" t="str">
        <f>IF(LEN($A199),IF(LEN(Declarations!$B199)&gt;0,Declarations!$B199,"#"&amp;$A199),"")</f>
        <v/>
      </c>
      <c r="C199" s="209" t="str">
        <f t="array" ref="C199">IF(LEN(INDEX(DECLARATIONS,$AA199,3))&gt;0,INDEX(DECLARATIONS,$AA199,3),"...")</f>
        <v>...</v>
      </c>
      <c r="D199" s="209" t="str">
        <f t="shared" si="1"/>
        <v/>
      </c>
      <c r="E199" s="296" t="str">
        <f t="array" ref="E199">IF(ISNA($AA199),0,INDEX(DECLARATIONS,$AA199,5))</f>
        <v/>
      </c>
      <c r="F199" s="209" t="str">
        <f t="array" ref="F199">IF(ISNA($AA199),0,INDEX(DECLARATIONS,$AA199,7))</f>
        <v/>
      </c>
      <c r="G199" s="209" t="str">
        <f t="array" ref="G199">UPPER(IF(ISNA($AA199),"",INDEX(DECLARATIONS,$AA199,4)))</f>
        <v/>
      </c>
      <c r="H199" t="str">
        <f>IF(AND(A199&gt;0,ISTEXT(B199)),IF(SECNAME="YES",LEFT(B199&amp;" ",FIND(" ",B199&amp;" ")+2)&amp;IF(F199&gt;0," ("&amp;F199&amp;")",""),B199&amp;IF(F199&gt;0," ("&amp;F199&amp;")","")),"#"&amp;$A199)</f>
        <v/>
      </c>
      <c r="I199" s="209">
        <f>IF(LEN($A199)&gt;0,IF(LEN($J199)&gt;0,MATCH(J199,MatchNames,0),EventIndex),0)</f>
        <v>0</v>
      </c>
      <c r="J199" s="209" t="str">
        <f>IF(LEN($A199)&gt;0,IF(LEN(Declarations!$F199)&gt;0,Declarations!$F199,conftype),"")</f>
        <v/>
      </c>
      <c r="M199" s="297">
        <f>IF(ISNA(VLOOKUP($A199,SprintData,2,FALSE)),0,VLOOKUP($A199,SprintData,2,FALSE))</f>
        <v>0</v>
      </c>
      <c r="N199" s="297">
        <f>IF(ISNA(VLOOKUP($A199,JumpData,2,FALSE)),0,VLOOKUP($A199,JumpData,2,FALSE))</f>
        <v>0</v>
      </c>
      <c r="O199" s="297">
        <f>IF(ISNA(VLOOKUP($A199,RunData,2,FALSE)),0,VLOOKUP($A199,RunData,2,FALSE))</f>
        <v>0</v>
      </c>
      <c r="P199" s="297">
        <f>IF(ISNA(VLOOKUP($A199,ThrowData,2,FALSE)),0,VLOOKUP($A199,ThrowData,2,FALSE))</f>
        <v>0</v>
      </c>
      <c r="Q199" s="298">
        <f>IF(ISNA(VLOOKUP($A199,SprintData,4,FALSE)),0,VLOOKUP($A199,SprintData,4,FALSE))+V199</f>
        <v>0</v>
      </c>
      <c r="R199" s="298">
        <f>IF(ISNA(VLOOKUP($A199,JumpData,4,FALSE)),0,VLOOKUP($A199,JumpData,4,FALSE))+W199</f>
        <v>0</v>
      </c>
      <c r="S199" s="298">
        <f>IF(ISNA(VLOOKUP($A199,RunData,4,FALSE)),0,VLOOKUP($A199,RunData,4,FALSE))+X199</f>
        <v>0</v>
      </c>
      <c r="T199" s="298">
        <f>IF(ISNA(VLOOKUP($A199,ThrowData,4,FALSE)),0,VLOOKUP($A199,ThrowData,4,FALSE))+Y199</f>
        <v>0</v>
      </c>
      <c r="U199" s="299">
        <f t="shared" si="2"/>
        <v>0</v>
      </c>
      <c r="V199">
        <f>IF(AND($F199&gt;0,NOT(M199),Flexing),FlexPC,0)</f>
        <v>0</v>
      </c>
      <c r="W199">
        <f>IF(AND($F199&gt;0,NOT(N199),Flexing),FlexPC,0)</f>
        <v>0</v>
      </c>
      <c r="X199">
        <f>IF(AND($F199&gt;0,NOT(O199),Flexing),FlexPC,0)</f>
        <v>0</v>
      </c>
      <c r="Y199">
        <f>IF(AND($F199&gt;0,NOT(P199),Flexing),FlexPC,0)</f>
        <v>0</v>
      </c>
      <c r="AA199" s="209">
        <f t="shared" si="3"/>
        <v>198</v>
      </c>
    </row>
    <row r="200" ht="15.75" customHeight="1">
      <c r="A200" s="206" t="str">
        <f>+Declarations!A200&amp;""</f>
        <v/>
      </c>
      <c r="B200" t="str">
        <f>IF(LEN($A200),IF(LEN(Declarations!$B200)&gt;0,Declarations!$B200,"#"&amp;$A200),"")</f>
        <v/>
      </c>
      <c r="C200" s="209" t="str">
        <f t="array" ref="C200">IF(LEN(INDEX(DECLARATIONS,$AA200,3))&gt;0,INDEX(DECLARATIONS,$AA200,3),"...")</f>
        <v>...</v>
      </c>
      <c r="D200" s="209" t="str">
        <f t="shared" si="1"/>
        <v/>
      </c>
      <c r="E200" s="296" t="str">
        <f t="array" ref="E200">IF(ISNA($AA200),0,INDEX(DECLARATIONS,$AA200,5))</f>
        <v/>
      </c>
      <c r="F200" s="209" t="str">
        <f t="array" ref="F200">IF(ISNA($AA200),0,INDEX(DECLARATIONS,$AA200,7))</f>
        <v/>
      </c>
      <c r="G200" s="209" t="str">
        <f t="array" ref="G200">UPPER(IF(ISNA($AA200),"",INDEX(DECLARATIONS,$AA200,4)))</f>
        <v/>
      </c>
      <c r="H200" t="str">
        <f>IF(AND(A200&gt;0,ISTEXT(B200)),IF(SECNAME="YES",LEFT(B200&amp;" ",FIND(" ",B200&amp;" ")+2)&amp;IF(F200&gt;0," ("&amp;F200&amp;")",""),B200&amp;IF(F200&gt;0," ("&amp;F200&amp;")","")),"#"&amp;$A200)</f>
        <v/>
      </c>
      <c r="I200" s="209">
        <f>IF(LEN($A200)&gt;0,IF(LEN($J200)&gt;0,MATCH(J200,MatchNames,0),EventIndex),0)</f>
        <v>0</v>
      </c>
      <c r="J200" s="209" t="str">
        <f>IF(LEN($A200)&gt;0,IF(LEN(Declarations!$F200)&gt;0,Declarations!$F200,conftype),"")</f>
        <v/>
      </c>
      <c r="M200" s="297">
        <f>IF(ISNA(VLOOKUP($A200,SprintData,2,FALSE)),0,VLOOKUP($A200,SprintData,2,FALSE))</f>
        <v>0</v>
      </c>
      <c r="N200" s="297">
        <f>IF(ISNA(VLOOKUP($A200,JumpData,2,FALSE)),0,VLOOKUP($A200,JumpData,2,FALSE))</f>
        <v>0</v>
      </c>
      <c r="O200" s="297">
        <f>IF(ISNA(VLOOKUP($A200,RunData,2,FALSE)),0,VLOOKUP($A200,RunData,2,FALSE))</f>
        <v>0</v>
      </c>
      <c r="P200" s="297">
        <f>IF(ISNA(VLOOKUP($A200,ThrowData,2,FALSE)),0,VLOOKUP($A200,ThrowData,2,FALSE))</f>
        <v>0</v>
      </c>
      <c r="Q200" s="298">
        <f>IF(ISNA(VLOOKUP($A200,SprintData,4,FALSE)),0,VLOOKUP($A200,SprintData,4,FALSE))+V200</f>
        <v>0</v>
      </c>
      <c r="R200" s="298">
        <f>IF(ISNA(VLOOKUP($A200,JumpData,4,FALSE)),0,VLOOKUP($A200,JumpData,4,FALSE))+W200</f>
        <v>0</v>
      </c>
      <c r="S200" s="298">
        <f>IF(ISNA(VLOOKUP($A200,RunData,4,FALSE)),0,VLOOKUP($A200,RunData,4,FALSE))+X200</f>
        <v>0</v>
      </c>
      <c r="T200" s="298">
        <f>IF(ISNA(VLOOKUP($A200,ThrowData,4,FALSE)),0,VLOOKUP($A200,ThrowData,4,FALSE))+Y200</f>
        <v>0</v>
      </c>
      <c r="U200" s="299">
        <f t="shared" si="2"/>
        <v>0</v>
      </c>
      <c r="V200">
        <f>IF(AND($F200&gt;0,NOT(M200),Flexing),FlexPC,0)</f>
        <v>0</v>
      </c>
      <c r="W200">
        <f>IF(AND($F200&gt;0,NOT(N200),Flexing),FlexPC,0)</f>
        <v>0</v>
      </c>
      <c r="X200">
        <f>IF(AND($F200&gt;0,NOT(O200),Flexing),FlexPC,0)</f>
        <v>0</v>
      </c>
      <c r="Y200">
        <f>IF(AND($F200&gt;0,NOT(P200),Flexing),FlexPC,0)</f>
        <v>0</v>
      </c>
      <c r="AA200" s="209">
        <f t="shared" si="3"/>
        <v>199</v>
      </c>
    </row>
    <row r="201" ht="15.75" customHeight="1">
      <c r="A201" s="206" t="str">
        <f>+Declarations!A201&amp;""</f>
        <v/>
      </c>
      <c r="B201" t="str">
        <f>IF(LEN($A201),IF(LEN(Declarations!$B201)&gt;0,Declarations!$B201,"#"&amp;$A201),"")</f>
        <v/>
      </c>
      <c r="C201" s="209" t="str">
        <f t="array" ref="C201">IF(LEN(INDEX(DECLARATIONS,$AA201,3))&gt;0,INDEX(DECLARATIONS,$AA201,3),"...")</f>
        <v>...</v>
      </c>
      <c r="D201" s="209" t="str">
        <f t="shared" si="1"/>
        <v/>
      </c>
      <c r="E201" s="296" t="str">
        <f t="array" ref="E201">IF(ISNA($AA201),0,INDEX(DECLARATIONS,$AA201,5))</f>
        <v/>
      </c>
      <c r="F201" s="209" t="str">
        <f t="array" ref="F201">IF(ISNA($AA201),0,INDEX(DECLARATIONS,$AA201,7))</f>
        <v/>
      </c>
      <c r="G201" s="209" t="str">
        <f t="array" ref="G201">UPPER(IF(ISNA($AA201),"",INDEX(DECLARATIONS,$AA201,4)))</f>
        <v/>
      </c>
      <c r="H201" t="str">
        <f>IF(AND(A201&gt;0,ISTEXT(B201)),IF(SECNAME="YES",LEFT(B201&amp;" ",FIND(" ",B201&amp;" ")+2)&amp;IF(F201&gt;0," ("&amp;F201&amp;")",""),B201&amp;IF(F201&gt;0," ("&amp;F201&amp;")","")),"#"&amp;$A201)</f>
        <v/>
      </c>
      <c r="I201" s="209">
        <f>IF(LEN($A201)&gt;0,IF(LEN($J201)&gt;0,MATCH(J201,MatchNames,0),EventIndex),0)</f>
        <v>0</v>
      </c>
      <c r="J201" s="209" t="str">
        <f>IF(LEN($A201)&gt;0,IF(LEN(Declarations!$F201)&gt;0,Declarations!$F201,conftype),"")</f>
        <v/>
      </c>
      <c r="M201" s="297">
        <f>IF(ISNA(VLOOKUP($A201,SprintData,2,FALSE)),0,VLOOKUP($A201,SprintData,2,FALSE))</f>
        <v>0</v>
      </c>
      <c r="N201" s="297">
        <f>IF(ISNA(VLOOKUP($A201,JumpData,2,FALSE)),0,VLOOKUP($A201,JumpData,2,FALSE))</f>
        <v>0</v>
      </c>
      <c r="O201" s="297">
        <f>IF(ISNA(VLOOKUP($A201,RunData,2,FALSE)),0,VLOOKUP($A201,RunData,2,FALSE))</f>
        <v>0</v>
      </c>
      <c r="P201" s="297">
        <f>IF(ISNA(VLOOKUP($A201,ThrowData,2,FALSE)),0,VLOOKUP($A201,ThrowData,2,FALSE))</f>
        <v>0</v>
      </c>
      <c r="Q201" s="298">
        <f>IF(ISNA(VLOOKUP($A201,SprintData,4,FALSE)),0,VLOOKUP($A201,SprintData,4,FALSE))+V201</f>
        <v>0</v>
      </c>
      <c r="R201" s="298">
        <f>IF(ISNA(VLOOKUP($A201,JumpData,4,FALSE)),0,VLOOKUP($A201,JumpData,4,FALSE))+W201</f>
        <v>0</v>
      </c>
      <c r="S201" s="298">
        <f>IF(ISNA(VLOOKUP($A201,RunData,4,FALSE)),0,VLOOKUP($A201,RunData,4,FALSE))+X201</f>
        <v>0</v>
      </c>
      <c r="T201" s="298">
        <f>IF(ISNA(VLOOKUP($A201,ThrowData,4,FALSE)),0,VLOOKUP($A201,ThrowData,4,FALSE))+Y201</f>
        <v>0</v>
      </c>
      <c r="U201" s="299">
        <f t="shared" si="2"/>
        <v>0</v>
      </c>
      <c r="V201">
        <f>IF(AND($F201&gt;0,NOT(M201),Flexing),FlexPC,0)</f>
        <v>0</v>
      </c>
      <c r="W201">
        <f>IF(AND($F201&gt;0,NOT(N201),Flexing),FlexPC,0)</f>
        <v>0</v>
      </c>
      <c r="X201">
        <f>IF(AND($F201&gt;0,NOT(O201),Flexing),FlexPC,0)</f>
        <v>0</v>
      </c>
      <c r="Y201">
        <f>IF(AND($F201&gt;0,NOT(P201),Flexing),FlexPC,0)</f>
        <v>0</v>
      </c>
      <c r="AA201" s="209">
        <f t="shared" si="3"/>
        <v>200</v>
      </c>
    </row>
    <row r="202" ht="15.75" customHeight="1">
      <c r="A202" s="206" t="str">
        <f>+Declarations!A202&amp;""</f>
        <v/>
      </c>
      <c r="B202" t="str">
        <f>IF(LEN($A202),IF(LEN(Declarations!$B202)&gt;0,Declarations!$B202,"#"&amp;$A202),"")</f>
        <v/>
      </c>
      <c r="C202" s="209" t="str">
        <f t="array" ref="C202">IF(LEN(INDEX(DECLARATIONS,$AA202,3))&gt;0,INDEX(DECLARATIONS,$AA202,3),"...")</f>
        <v>...</v>
      </c>
      <c r="D202" s="209" t="str">
        <f t="shared" si="1"/>
        <v/>
      </c>
      <c r="E202" s="296" t="str">
        <f t="array" ref="E202">IF(ISNA($AA202),0,INDEX(DECLARATIONS,$AA202,5))</f>
        <v/>
      </c>
      <c r="F202" s="209" t="str">
        <f t="array" ref="F202">IF(ISNA($AA202),0,INDEX(DECLARATIONS,$AA202,7))</f>
        <v/>
      </c>
      <c r="G202" s="209" t="str">
        <f t="array" ref="G202">UPPER(IF(ISNA($AA202),"",INDEX(DECLARATIONS,$AA202,4)))</f>
        <v/>
      </c>
      <c r="H202" t="str">
        <f>IF(AND(A202&gt;0,ISTEXT(B202)),IF(SECNAME="YES",LEFT(B202&amp;" ",FIND(" ",B202&amp;" ")+2)&amp;IF(F202&gt;0," ("&amp;F202&amp;")",""),B202&amp;IF(F202&gt;0," ("&amp;F202&amp;")","")),"#"&amp;$A202)</f>
        <v/>
      </c>
      <c r="I202" s="209">
        <f>IF(LEN($A202)&gt;0,IF(LEN($J202)&gt;0,MATCH(J202,MatchNames,0),EventIndex),0)</f>
        <v>0</v>
      </c>
      <c r="J202" s="209" t="str">
        <f>IF(LEN($A202)&gt;0,IF(LEN(Declarations!$F202)&gt;0,Declarations!$F202,conftype),"")</f>
        <v/>
      </c>
      <c r="M202" s="297">
        <f>IF(ISNA(VLOOKUP($A202,SprintData,2,FALSE)),0,VLOOKUP($A202,SprintData,2,FALSE))</f>
        <v>0</v>
      </c>
      <c r="N202" s="297">
        <f>IF(ISNA(VLOOKUP($A202,JumpData,2,FALSE)),0,VLOOKUP($A202,JumpData,2,FALSE))</f>
        <v>0</v>
      </c>
      <c r="O202" s="297">
        <f>IF(ISNA(VLOOKUP($A202,RunData,2,FALSE)),0,VLOOKUP($A202,RunData,2,FALSE))</f>
        <v>0</v>
      </c>
      <c r="P202" s="297">
        <f>IF(ISNA(VLOOKUP($A202,ThrowData,2,FALSE)),0,VLOOKUP($A202,ThrowData,2,FALSE))</f>
        <v>0</v>
      </c>
      <c r="Q202" s="298">
        <f>IF(ISNA(VLOOKUP($A202,SprintData,4,FALSE)),0,VLOOKUP($A202,SprintData,4,FALSE))+V202</f>
        <v>0</v>
      </c>
      <c r="R202" s="298">
        <f>IF(ISNA(VLOOKUP($A202,JumpData,4,FALSE)),0,VLOOKUP($A202,JumpData,4,FALSE))+W202</f>
        <v>0</v>
      </c>
      <c r="S202" s="298">
        <f>IF(ISNA(VLOOKUP($A202,RunData,4,FALSE)),0,VLOOKUP($A202,RunData,4,FALSE))+X202</f>
        <v>0</v>
      </c>
      <c r="T202" s="298">
        <f>IF(ISNA(VLOOKUP($A202,ThrowData,4,FALSE)),0,VLOOKUP($A202,ThrowData,4,FALSE))+Y202</f>
        <v>0</v>
      </c>
      <c r="U202" s="299">
        <f t="shared" si="2"/>
        <v>0</v>
      </c>
      <c r="V202">
        <f>IF(AND($F202&gt;0,NOT(M202),Flexing),FlexPC,0)</f>
        <v>0</v>
      </c>
      <c r="W202">
        <f>IF(AND($F202&gt;0,NOT(N202),Flexing),FlexPC,0)</f>
        <v>0</v>
      </c>
      <c r="X202">
        <f>IF(AND($F202&gt;0,NOT(O202),Flexing),FlexPC,0)</f>
        <v>0</v>
      </c>
      <c r="Y202">
        <f>IF(AND($F202&gt;0,NOT(P202),Flexing),FlexPC,0)</f>
        <v>0</v>
      </c>
      <c r="AA202" s="209">
        <f t="shared" si="3"/>
        <v>201</v>
      </c>
    </row>
    <row r="203" ht="15.75" customHeight="1">
      <c r="A203" s="206" t="str">
        <f>+Declarations!A203&amp;""</f>
        <v/>
      </c>
      <c r="B203" t="str">
        <f>IF(LEN($A203),IF(LEN(Declarations!$B203)&gt;0,Declarations!$B203,"#"&amp;$A203),"")</f>
        <v/>
      </c>
      <c r="C203" s="209" t="str">
        <f t="array" ref="C203">IF(LEN(INDEX(DECLARATIONS,$AA203,3))&gt;0,INDEX(DECLARATIONS,$AA203,3),"...")</f>
        <v>...</v>
      </c>
      <c r="D203" s="209" t="str">
        <f t="shared" si="1"/>
        <v/>
      </c>
      <c r="E203" s="296" t="str">
        <f t="array" ref="E203">IF(ISNA($AA203),0,INDEX(DECLARATIONS,$AA203,5))</f>
        <v/>
      </c>
      <c r="F203" s="209" t="str">
        <f t="array" ref="F203">IF(ISNA($AA203),0,INDEX(DECLARATIONS,$AA203,7))</f>
        <v/>
      </c>
      <c r="G203" s="209" t="str">
        <f t="array" ref="G203">UPPER(IF(ISNA($AA203),"",INDEX(DECLARATIONS,$AA203,4)))</f>
        <v/>
      </c>
      <c r="H203" t="str">
        <f>IF(AND(A203&gt;0,ISTEXT(B203)),IF(SECNAME="YES",LEFT(B203&amp;" ",FIND(" ",B203&amp;" ")+2)&amp;IF(F203&gt;0," ("&amp;F203&amp;")",""),B203&amp;IF(F203&gt;0," ("&amp;F203&amp;")","")),"#"&amp;$A203)</f>
        <v/>
      </c>
      <c r="I203" s="209">
        <f>IF(LEN($A203)&gt;0,IF(LEN($J203)&gt;0,MATCH(J203,MatchNames,0),EventIndex),0)</f>
        <v>0</v>
      </c>
      <c r="J203" s="209" t="str">
        <f>IF(LEN($A203)&gt;0,IF(LEN(Declarations!$F203)&gt;0,Declarations!$F203,conftype),"")</f>
        <v/>
      </c>
      <c r="M203" s="297">
        <f>IF(ISNA(VLOOKUP($A203,SprintData,2,FALSE)),0,VLOOKUP($A203,SprintData,2,FALSE))</f>
        <v>0</v>
      </c>
      <c r="N203" s="297">
        <f>IF(ISNA(VLOOKUP($A203,JumpData,2,FALSE)),0,VLOOKUP($A203,JumpData,2,FALSE))</f>
        <v>0</v>
      </c>
      <c r="O203" s="297">
        <f>IF(ISNA(VLOOKUP($A203,RunData,2,FALSE)),0,VLOOKUP($A203,RunData,2,FALSE))</f>
        <v>0</v>
      </c>
      <c r="P203" s="297">
        <f>IF(ISNA(VLOOKUP($A203,ThrowData,2,FALSE)),0,VLOOKUP($A203,ThrowData,2,FALSE))</f>
        <v>0</v>
      </c>
      <c r="Q203" s="298">
        <f>IF(ISNA(VLOOKUP($A203,SprintData,4,FALSE)),0,VLOOKUP($A203,SprintData,4,FALSE))+V203</f>
        <v>0</v>
      </c>
      <c r="R203" s="298">
        <f>IF(ISNA(VLOOKUP($A203,JumpData,4,FALSE)),0,VLOOKUP($A203,JumpData,4,FALSE))+W203</f>
        <v>0</v>
      </c>
      <c r="S203" s="298">
        <f>IF(ISNA(VLOOKUP($A203,RunData,4,FALSE)),0,VLOOKUP($A203,RunData,4,FALSE))+X203</f>
        <v>0</v>
      </c>
      <c r="T203" s="298">
        <f>IF(ISNA(VLOOKUP($A203,ThrowData,4,FALSE)),0,VLOOKUP($A203,ThrowData,4,FALSE))+Y203</f>
        <v>0</v>
      </c>
      <c r="U203" s="299">
        <f t="shared" si="2"/>
        <v>0</v>
      </c>
      <c r="V203">
        <f>IF(AND($F203&gt;0,NOT(M203),Flexing),FlexPC,0)</f>
        <v>0</v>
      </c>
      <c r="W203">
        <f>IF(AND($F203&gt;0,NOT(N203),Flexing),FlexPC,0)</f>
        <v>0</v>
      </c>
      <c r="X203">
        <f>IF(AND($F203&gt;0,NOT(O203),Flexing),FlexPC,0)</f>
        <v>0</v>
      </c>
      <c r="Y203">
        <f>IF(AND($F203&gt;0,NOT(P203),Flexing),FlexPC,0)</f>
        <v>0</v>
      </c>
      <c r="AA203" s="209">
        <f t="shared" si="3"/>
        <v>202</v>
      </c>
    </row>
    <row r="204" ht="15.75" customHeight="1">
      <c r="A204" s="206" t="str">
        <f>+Declarations!A204&amp;""</f>
        <v/>
      </c>
      <c r="B204" t="str">
        <f>IF(LEN($A204),IF(LEN(Declarations!$B204)&gt;0,Declarations!$B204,"#"&amp;$A204),"")</f>
        <v/>
      </c>
      <c r="C204" s="209" t="str">
        <f t="array" ref="C204">IF(LEN(INDEX(DECLARATIONS,$AA204,3))&gt;0,INDEX(DECLARATIONS,$AA204,3),"...")</f>
        <v>...</v>
      </c>
      <c r="D204" s="209" t="str">
        <f t="shared" si="1"/>
        <v/>
      </c>
      <c r="E204" s="296" t="str">
        <f t="array" ref="E204">IF(ISNA($AA204),0,INDEX(DECLARATIONS,$AA204,5))</f>
        <v/>
      </c>
      <c r="F204" s="209" t="str">
        <f t="array" ref="F204">IF(ISNA($AA204),0,INDEX(DECLARATIONS,$AA204,7))</f>
        <v/>
      </c>
      <c r="G204" s="209" t="str">
        <f t="array" ref="G204">UPPER(IF(ISNA($AA204),"",INDEX(DECLARATIONS,$AA204,4)))</f>
        <v/>
      </c>
      <c r="H204" t="str">
        <f>IF(AND(A204&gt;0,ISTEXT(B204)),IF(SECNAME="YES",LEFT(B204&amp;" ",FIND(" ",B204&amp;" ")+2)&amp;IF(F204&gt;0," ("&amp;F204&amp;")",""),B204&amp;IF(F204&gt;0," ("&amp;F204&amp;")","")),"#"&amp;$A204)</f>
        <v/>
      </c>
      <c r="I204" s="209">
        <f>IF(LEN($A204)&gt;0,IF(LEN($J204)&gt;0,MATCH(J204,MatchNames,0),EventIndex),0)</f>
        <v>0</v>
      </c>
      <c r="J204" s="209" t="str">
        <f>IF(LEN($A204)&gt;0,IF(LEN(Declarations!$F204)&gt;0,Declarations!$F204,conftype),"")</f>
        <v/>
      </c>
      <c r="M204" s="297">
        <f>IF(ISNA(VLOOKUP($A204,SprintData,2,FALSE)),0,VLOOKUP($A204,SprintData,2,FALSE))</f>
        <v>0</v>
      </c>
      <c r="N204" s="297">
        <f>IF(ISNA(VLOOKUP($A204,JumpData,2,FALSE)),0,VLOOKUP($A204,JumpData,2,FALSE))</f>
        <v>0</v>
      </c>
      <c r="O204" s="297">
        <f>IF(ISNA(VLOOKUP($A204,RunData,2,FALSE)),0,VLOOKUP($A204,RunData,2,FALSE))</f>
        <v>0</v>
      </c>
      <c r="P204" s="297">
        <f>IF(ISNA(VLOOKUP($A204,ThrowData,2,FALSE)),0,VLOOKUP($A204,ThrowData,2,FALSE))</f>
        <v>0</v>
      </c>
      <c r="Q204" s="298">
        <f>IF(ISNA(VLOOKUP($A204,SprintData,4,FALSE)),0,VLOOKUP($A204,SprintData,4,FALSE))+V204</f>
        <v>0</v>
      </c>
      <c r="R204" s="298">
        <f>IF(ISNA(VLOOKUP($A204,JumpData,4,FALSE)),0,VLOOKUP($A204,JumpData,4,FALSE))+W204</f>
        <v>0</v>
      </c>
      <c r="S204" s="298">
        <f>IF(ISNA(VLOOKUP($A204,RunData,4,FALSE)),0,VLOOKUP($A204,RunData,4,FALSE))+X204</f>
        <v>0</v>
      </c>
      <c r="T204" s="298">
        <f>IF(ISNA(VLOOKUP($A204,ThrowData,4,FALSE)),0,VLOOKUP($A204,ThrowData,4,FALSE))+Y204</f>
        <v>0</v>
      </c>
      <c r="U204" s="299">
        <f t="shared" si="2"/>
        <v>0</v>
      </c>
      <c r="V204">
        <f>IF(AND($F204&gt;0,NOT(M204),Flexing),FlexPC,0)</f>
        <v>0</v>
      </c>
      <c r="W204">
        <f>IF(AND($F204&gt;0,NOT(N204),Flexing),FlexPC,0)</f>
        <v>0</v>
      </c>
      <c r="X204">
        <f>IF(AND($F204&gt;0,NOT(O204),Flexing),FlexPC,0)</f>
        <v>0</v>
      </c>
      <c r="Y204">
        <f>IF(AND($F204&gt;0,NOT(P204),Flexing),FlexPC,0)</f>
        <v>0</v>
      </c>
      <c r="AA204" s="209">
        <f t="shared" si="3"/>
        <v>203</v>
      </c>
    </row>
    <row r="205" ht="15.75" customHeight="1">
      <c r="A205" s="206" t="str">
        <f>+Declarations!A205&amp;""</f>
        <v/>
      </c>
      <c r="B205" t="str">
        <f>IF(LEN($A205),IF(LEN(Declarations!$B205)&gt;0,Declarations!$B205,"#"&amp;$A205),"")</f>
        <v/>
      </c>
      <c r="C205" s="209" t="str">
        <f t="array" ref="C205">IF(LEN(INDEX(DECLARATIONS,$AA205,3))&gt;0,INDEX(DECLARATIONS,$AA205,3),"...")</f>
        <v>...</v>
      </c>
      <c r="D205" s="209" t="str">
        <f t="shared" si="1"/>
        <v/>
      </c>
      <c r="E205" s="296" t="str">
        <f t="array" ref="E205">IF(ISNA($AA205),0,INDEX(DECLARATIONS,$AA205,5))</f>
        <v/>
      </c>
      <c r="F205" s="209" t="str">
        <f t="array" ref="F205">IF(ISNA($AA205),0,INDEX(DECLARATIONS,$AA205,7))</f>
        <v/>
      </c>
      <c r="G205" s="209" t="str">
        <f t="array" ref="G205">UPPER(IF(ISNA($AA205),"",INDEX(DECLARATIONS,$AA205,4)))</f>
        <v/>
      </c>
      <c r="H205" t="str">
        <f>IF(AND(A205&gt;0,ISTEXT(B205)),IF(SECNAME="YES",LEFT(B205&amp;" ",FIND(" ",B205&amp;" ")+2)&amp;IF(F205&gt;0," ("&amp;F205&amp;")",""),B205&amp;IF(F205&gt;0," ("&amp;F205&amp;")","")),"#"&amp;$A205)</f>
        <v/>
      </c>
      <c r="I205" s="209">
        <f>IF(LEN($A205)&gt;0,IF(LEN($J205)&gt;0,MATCH(J205,MatchNames,0),EventIndex),0)</f>
        <v>0</v>
      </c>
      <c r="J205" s="209" t="str">
        <f>IF(LEN($A205)&gt;0,IF(LEN(Declarations!$F205)&gt;0,Declarations!$F205,conftype),"")</f>
        <v/>
      </c>
      <c r="M205" s="297">
        <f>IF(ISNA(VLOOKUP($A205,SprintData,2,FALSE)),0,VLOOKUP($A205,SprintData,2,FALSE))</f>
        <v>0</v>
      </c>
      <c r="N205" s="297">
        <f>IF(ISNA(VLOOKUP($A205,JumpData,2,FALSE)),0,VLOOKUP($A205,JumpData,2,FALSE))</f>
        <v>0</v>
      </c>
      <c r="O205" s="297">
        <f>IF(ISNA(VLOOKUP($A205,RunData,2,FALSE)),0,VLOOKUP($A205,RunData,2,FALSE))</f>
        <v>0</v>
      </c>
      <c r="P205" s="297">
        <f>IF(ISNA(VLOOKUP($A205,ThrowData,2,FALSE)),0,VLOOKUP($A205,ThrowData,2,FALSE))</f>
        <v>0</v>
      </c>
      <c r="Q205" s="298">
        <f>IF(ISNA(VLOOKUP($A205,SprintData,4,FALSE)),0,VLOOKUP($A205,SprintData,4,FALSE))+V205</f>
        <v>0</v>
      </c>
      <c r="R205" s="298">
        <f>IF(ISNA(VLOOKUP($A205,JumpData,4,FALSE)),0,VLOOKUP($A205,JumpData,4,FALSE))+W205</f>
        <v>0</v>
      </c>
      <c r="S205" s="298">
        <f>IF(ISNA(VLOOKUP($A205,RunData,4,FALSE)),0,VLOOKUP($A205,RunData,4,FALSE))+X205</f>
        <v>0</v>
      </c>
      <c r="T205" s="298">
        <f>IF(ISNA(VLOOKUP($A205,ThrowData,4,FALSE)),0,VLOOKUP($A205,ThrowData,4,FALSE))+Y205</f>
        <v>0</v>
      </c>
      <c r="U205" s="299">
        <f t="shared" si="2"/>
        <v>0</v>
      </c>
      <c r="V205">
        <f>IF(AND($F205&gt;0,NOT(M205),Flexing),FlexPC,0)</f>
        <v>0</v>
      </c>
      <c r="W205">
        <f>IF(AND($F205&gt;0,NOT(N205),Flexing),FlexPC,0)</f>
        <v>0</v>
      </c>
      <c r="X205">
        <f>IF(AND($F205&gt;0,NOT(O205),Flexing),FlexPC,0)</f>
        <v>0</v>
      </c>
      <c r="Y205">
        <f>IF(AND($F205&gt;0,NOT(P205),Flexing),FlexPC,0)</f>
        <v>0</v>
      </c>
      <c r="AA205" s="209">
        <f t="shared" si="3"/>
        <v>204</v>
      </c>
    </row>
    <row r="206" ht="15.75" customHeight="1">
      <c r="A206" s="206" t="str">
        <f>+Declarations!A206&amp;""</f>
        <v/>
      </c>
      <c r="B206" t="str">
        <f>IF(LEN($A206),IF(LEN(Declarations!$B206)&gt;0,Declarations!$B206,"#"&amp;$A206),"")</f>
        <v/>
      </c>
      <c r="C206" s="209" t="str">
        <f t="array" ref="C206">IF(LEN(INDEX(DECLARATIONS,$AA206,3))&gt;0,INDEX(DECLARATIONS,$AA206,3),"...")</f>
        <v>...</v>
      </c>
      <c r="D206" s="209" t="str">
        <f t="shared" si="1"/>
        <v/>
      </c>
      <c r="E206" s="296" t="str">
        <f t="array" ref="E206">IF(ISNA($AA206),0,INDEX(DECLARATIONS,$AA206,5))</f>
        <v/>
      </c>
      <c r="F206" s="209" t="str">
        <f t="array" ref="F206">IF(ISNA($AA206),0,INDEX(DECLARATIONS,$AA206,7))</f>
        <v/>
      </c>
      <c r="G206" s="209" t="str">
        <f t="array" ref="G206">UPPER(IF(ISNA($AA206),"",INDEX(DECLARATIONS,$AA206,4)))</f>
        <v/>
      </c>
      <c r="H206" t="str">
        <f>IF(AND(A206&gt;0,ISTEXT(B206)),IF(SECNAME="YES",LEFT(B206&amp;" ",FIND(" ",B206&amp;" ")+2)&amp;IF(F206&gt;0," ("&amp;F206&amp;")",""),B206&amp;IF(F206&gt;0," ("&amp;F206&amp;")","")),"#"&amp;$A206)</f>
        <v/>
      </c>
      <c r="I206" s="209">
        <f>IF(LEN($A206)&gt;0,IF(LEN($J206)&gt;0,MATCH(J206,MatchNames,0),EventIndex),0)</f>
        <v>0</v>
      </c>
      <c r="J206" s="209" t="str">
        <f>IF(LEN($A206)&gt;0,IF(LEN(Declarations!$F206)&gt;0,Declarations!$F206,conftype),"")</f>
        <v/>
      </c>
      <c r="M206" s="297">
        <f>IF(ISNA(VLOOKUP($A206,SprintData,2,FALSE)),0,VLOOKUP($A206,SprintData,2,FALSE))</f>
        <v>0</v>
      </c>
      <c r="N206" s="297">
        <f>IF(ISNA(VLOOKUP($A206,JumpData,2,FALSE)),0,VLOOKUP($A206,JumpData,2,FALSE))</f>
        <v>0</v>
      </c>
      <c r="O206" s="297">
        <f>IF(ISNA(VLOOKUP($A206,RunData,2,FALSE)),0,VLOOKUP($A206,RunData,2,FALSE))</f>
        <v>0</v>
      </c>
      <c r="P206" s="297">
        <f>IF(ISNA(VLOOKUP($A206,ThrowData,2,FALSE)),0,VLOOKUP($A206,ThrowData,2,FALSE))</f>
        <v>0</v>
      </c>
      <c r="Q206" s="298">
        <f>IF(ISNA(VLOOKUP($A206,SprintData,4,FALSE)),0,VLOOKUP($A206,SprintData,4,FALSE))+V206</f>
        <v>0</v>
      </c>
      <c r="R206" s="298">
        <f>IF(ISNA(VLOOKUP($A206,JumpData,4,FALSE)),0,VLOOKUP($A206,JumpData,4,FALSE))+W206</f>
        <v>0</v>
      </c>
      <c r="S206" s="298">
        <f>IF(ISNA(VLOOKUP($A206,RunData,4,FALSE)),0,VLOOKUP($A206,RunData,4,FALSE))+X206</f>
        <v>0</v>
      </c>
      <c r="T206" s="298">
        <f>IF(ISNA(VLOOKUP($A206,ThrowData,4,FALSE)),0,VLOOKUP($A206,ThrowData,4,FALSE))+Y206</f>
        <v>0</v>
      </c>
      <c r="U206" s="299">
        <f t="shared" si="2"/>
        <v>0</v>
      </c>
      <c r="V206">
        <f>IF(AND($F206&gt;0,NOT(M206),Flexing),FlexPC,0)</f>
        <v>0</v>
      </c>
      <c r="W206">
        <f>IF(AND($F206&gt;0,NOT(N206),Flexing),FlexPC,0)</f>
        <v>0</v>
      </c>
      <c r="X206">
        <f>IF(AND($F206&gt;0,NOT(O206),Flexing),FlexPC,0)</f>
        <v>0</v>
      </c>
      <c r="Y206">
        <f>IF(AND($F206&gt;0,NOT(P206),Flexing),FlexPC,0)</f>
        <v>0</v>
      </c>
      <c r="AA206" s="209">
        <f t="shared" si="3"/>
        <v>205</v>
      </c>
    </row>
    <row r="207" ht="15.75" customHeight="1">
      <c r="A207" s="206" t="str">
        <f>+Declarations!A207&amp;""</f>
        <v/>
      </c>
      <c r="B207" t="str">
        <f>IF(LEN($A207),IF(LEN(Declarations!$B207)&gt;0,Declarations!$B207,"#"&amp;$A207),"")</f>
        <v/>
      </c>
      <c r="C207" s="209" t="str">
        <f t="array" ref="C207">IF(LEN(INDEX(DECLARATIONS,$AA207,3))&gt;0,INDEX(DECLARATIONS,$AA207,3),"...")</f>
        <v>...</v>
      </c>
      <c r="D207" s="209" t="str">
        <f t="shared" si="1"/>
        <v/>
      </c>
      <c r="E207" s="296" t="str">
        <f t="array" ref="E207">IF(ISNA($AA207),0,INDEX(DECLARATIONS,$AA207,5))</f>
        <v/>
      </c>
      <c r="F207" s="209" t="str">
        <f t="array" ref="F207">IF(ISNA($AA207),0,INDEX(DECLARATIONS,$AA207,7))</f>
        <v/>
      </c>
      <c r="G207" s="209" t="str">
        <f t="array" ref="G207">UPPER(IF(ISNA($AA207),"",INDEX(DECLARATIONS,$AA207,4)))</f>
        <v/>
      </c>
      <c r="H207" t="str">
        <f>IF(AND(A207&gt;0,ISTEXT(B207)),IF(SECNAME="YES",LEFT(B207&amp;" ",FIND(" ",B207&amp;" ")+2)&amp;IF(F207&gt;0," ("&amp;F207&amp;")",""),B207&amp;IF(F207&gt;0," ("&amp;F207&amp;")","")),"#"&amp;$A207)</f>
        <v/>
      </c>
      <c r="I207" s="209">
        <f>IF(LEN($A207)&gt;0,IF(LEN($J207)&gt;0,MATCH(J207,MatchNames,0),EventIndex),0)</f>
        <v>0</v>
      </c>
      <c r="J207" s="209" t="str">
        <f>IF(LEN($A207)&gt;0,IF(LEN(Declarations!$F207)&gt;0,Declarations!$F207,conftype),"")</f>
        <v/>
      </c>
      <c r="M207" s="297">
        <f>IF(ISNA(VLOOKUP($A207,SprintData,2,FALSE)),0,VLOOKUP($A207,SprintData,2,FALSE))</f>
        <v>0</v>
      </c>
      <c r="N207" s="297">
        <f>IF(ISNA(VLOOKUP($A207,JumpData,2,FALSE)),0,VLOOKUP($A207,JumpData,2,FALSE))</f>
        <v>0</v>
      </c>
      <c r="O207" s="297">
        <f>IF(ISNA(VLOOKUP($A207,RunData,2,FALSE)),0,VLOOKUP($A207,RunData,2,FALSE))</f>
        <v>0</v>
      </c>
      <c r="P207" s="297">
        <f>IF(ISNA(VLOOKUP($A207,ThrowData,2,FALSE)),0,VLOOKUP($A207,ThrowData,2,FALSE))</f>
        <v>0</v>
      </c>
      <c r="Q207" s="298">
        <f>IF(ISNA(VLOOKUP($A207,SprintData,4,FALSE)),0,VLOOKUP($A207,SprintData,4,FALSE))+V207</f>
        <v>0</v>
      </c>
      <c r="R207" s="298">
        <f>IF(ISNA(VLOOKUP($A207,JumpData,4,FALSE)),0,VLOOKUP($A207,JumpData,4,FALSE))+W207</f>
        <v>0</v>
      </c>
      <c r="S207" s="298">
        <f>IF(ISNA(VLOOKUP($A207,RunData,4,FALSE)),0,VLOOKUP($A207,RunData,4,FALSE))+X207</f>
        <v>0</v>
      </c>
      <c r="T207" s="298">
        <f>IF(ISNA(VLOOKUP($A207,ThrowData,4,FALSE)),0,VLOOKUP($A207,ThrowData,4,FALSE))+Y207</f>
        <v>0</v>
      </c>
      <c r="U207" s="299">
        <f t="shared" si="2"/>
        <v>0</v>
      </c>
      <c r="V207">
        <f>IF(AND($F207&gt;0,NOT(M207),Flexing),FlexPC,0)</f>
        <v>0</v>
      </c>
      <c r="W207">
        <f>IF(AND($F207&gt;0,NOT(N207),Flexing),FlexPC,0)</f>
        <v>0</v>
      </c>
      <c r="X207">
        <f>IF(AND($F207&gt;0,NOT(O207),Flexing),FlexPC,0)</f>
        <v>0</v>
      </c>
      <c r="Y207">
        <f>IF(AND($F207&gt;0,NOT(P207),Flexing),FlexPC,0)</f>
        <v>0</v>
      </c>
      <c r="AA207" s="209">
        <f t="shared" si="3"/>
        <v>206</v>
      </c>
    </row>
    <row r="208" ht="15.75" customHeight="1">
      <c r="A208" s="206" t="str">
        <f>+Declarations!A208&amp;""</f>
        <v/>
      </c>
      <c r="B208" t="str">
        <f>IF(LEN($A208),IF(LEN(Declarations!$B208)&gt;0,Declarations!$B208,"#"&amp;$A208),"")</f>
        <v/>
      </c>
      <c r="C208" s="209" t="str">
        <f t="array" ref="C208">IF(LEN(INDEX(DECLARATIONS,$AA208,3))&gt;0,INDEX(DECLARATIONS,$AA208,3),"...")</f>
        <v>...</v>
      </c>
      <c r="D208" s="209" t="str">
        <f t="shared" si="1"/>
        <v/>
      </c>
      <c r="E208" s="296" t="str">
        <f t="array" ref="E208">IF(ISNA($AA208),0,INDEX(DECLARATIONS,$AA208,5))</f>
        <v/>
      </c>
      <c r="F208" s="209" t="str">
        <f t="array" ref="F208">IF(ISNA($AA208),0,INDEX(DECLARATIONS,$AA208,7))</f>
        <v/>
      </c>
      <c r="G208" s="209" t="str">
        <f t="array" ref="G208">UPPER(IF(ISNA($AA208),"",INDEX(DECLARATIONS,$AA208,4)))</f>
        <v/>
      </c>
      <c r="H208" t="str">
        <f>IF(AND(A208&gt;0,ISTEXT(B208)),IF(SECNAME="YES",LEFT(B208&amp;" ",FIND(" ",B208&amp;" ")+2)&amp;IF(F208&gt;0," ("&amp;F208&amp;")",""),B208&amp;IF(F208&gt;0," ("&amp;F208&amp;")","")),"#"&amp;$A208)</f>
        <v/>
      </c>
      <c r="I208" s="209">
        <f>IF(LEN($A208)&gt;0,IF(LEN($J208)&gt;0,MATCH(J208,MatchNames,0),EventIndex),0)</f>
        <v>0</v>
      </c>
      <c r="J208" s="209" t="str">
        <f>IF(LEN($A208)&gt;0,IF(LEN(Declarations!$F208)&gt;0,Declarations!$F208,conftype),"")</f>
        <v/>
      </c>
      <c r="M208" s="297">
        <f>IF(ISNA(VLOOKUP($A208,SprintData,2,FALSE)),0,VLOOKUP($A208,SprintData,2,FALSE))</f>
        <v>0</v>
      </c>
      <c r="N208" s="297">
        <f>IF(ISNA(VLOOKUP($A208,JumpData,2,FALSE)),0,VLOOKUP($A208,JumpData,2,FALSE))</f>
        <v>0</v>
      </c>
      <c r="O208" s="297">
        <f>IF(ISNA(VLOOKUP($A208,RunData,2,FALSE)),0,VLOOKUP($A208,RunData,2,FALSE))</f>
        <v>0</v>
      </c>
      <c r="P208" s="297">
        <f>IF(ISNA(VLOOKUP($A208,ThrowData,2,FALSE)),0,VLOOKUP($A208,ThrowData,2,FALSE))</f>
        <v>0</v>
      </c>
      <c r="Q208" s="298">
        <f>IF(ISNA(VLOOKUP($A208,SprintData,4,FALSE)),0,VLOOKUP($A208,SprintData,4,FALSE))+V208</f>
        <v>0</v>
      </c>
      <c r="R208" s="298">
        <f>IF(ISNA(VLOOKUP($A208,JumpData,4,FALSE)),0,VLOOKUP($A208,JumpData,4,FALSE))+W208</f>
        <v>0</v>
      </c>
      <c r="S208" s="298">
        <f>IF(ISNA(VLOOKUP($A208,RunData,4,FALSE)),0,VLOOKUP($A208,RunData,4,FALSE))+X208</f>
        <v>0</v>
      </c>
      <c r="T208" s="298">
        <f>IF(ISNA(VLOOKUP($A208,ThrowData,4,FALSE)),0,VLOOKUP($A208,ThrowData,4,FALSE))+Y208</f>
        <v>0</v>
      </c>
      <c r="U208" s="299">
        <f t="shared" si="2"/>
        <v>0</v>
      </c>
      <c r="V208">
        <f>IF(AND($F208&gt;0,NOT(M208),Flexing),FlexPC,0)</f>
        <v>0</v>
      </c>
      <c r="W208">
        <f>IF(AND($F208&gt;0,NOT(N208),Flexing),FlexPC,0)</f>
        <v>0</v>
      </c>
      <c r="X208">
        <f>IF(AND($F208&gt;0,NOT(O208),Flexing),FlexPC,0)</f>
        <v>0</v>
      </c>
      <c r="Y208">
        <f>IF(AND($F208&gt;0,NOT(P208),Flexing),FlexPC,0)</f>
        <v>0</v>
      </c>
      <c r="AA208" s="209">
        <f t="shared" si="3"/>
        <v>207</v>
      </c>
    </row>
    <row r="209" ht="15.75" customHeight="1">
      <c r="A209" s="206" t="str">
        <f>+Declarations!A209&amp;""</f>
        <v/>
      </c>
      <c r="B209" t="str">
        <f>IF(LEN($A209),IF(LEN(Declarations!$B209)&gt;0,Declarations!$B209,"#"&amp;$A209),"")</f>
        <v/>
      </c>
      <c r="C209" s="209" t="str">
        <f t="array" ref="C209">IF(LEN(INDEX(DECLARATIONS,$AA209,3))&gt;0,INDEX(DECLARATIONS,$AA209,3),"...")</f>
        <v>...</v>
      </c>
      <c r="D209" s="209" t="str">
        <f t="shared" si="1"/>
        <v/>
      </c>
      <c r="E209" s="296" t="str">
        <f t="array" ref="E209">IF(ISNA($AA209),0,INDEX(DECLARATIONS,$AA209,5))</f>
        <v/>
      </c>
      <c r="F209" s="209" t="str">
        <f t="array" ref="F209">IF(ISNA($AA209),0,INDEX(DECLARATIONS,$AA209,7))</f>
        <v/>
      </c>
      <c r="G209" s="209" t="str">
        <f t="array" ref="G209">UPPER(IF(ISNA($AA209),"",INDEX(DECLARATIONS,$AA209,4)))</f>
        <v/>
      </c>
      <c r="H209" t="str">
        <f>IF(AND(A209&gt;0,ISTEXT(B209)),IF(SECNAME="YES",LEFT(B209&amp;" ",FIND(" ",B209&amp;" ")+2)&amp;IF(F209&gt;0," ("&amp;F209&amp;")",""),B209&amp;IF(F209&gt;0," ("&amp;F209&amp;")","")),"#"&amp;$A209)</f>
        <v/>
      </c>
      <c r="I209" s="209">
        <f>IF(LEN($A209)&gt;0,IF(LEN($J209)&gt;0,MATCH(J209,MatchNames,0),EventIndex),0)</f>
        <v>0</v>
      </c>
      <c r="J209" s="209" t="str">
        <f>IF(LEN($A209)&gt;0,IF(LEN(Declarations!$F209)&gt;0,Declarations!$F209,conftype),"")</f>
        <v/>
      </c>
      <c r="M209" s="297">
        <f>IF(ISNA(VLOOKUP($A209,SprintData,2,FALSE)),0,VLOOKUP($A209,SprintData,2,FALSE))</f>
        <v>0</v>
      </c>
      <c r="N209" s="297">
        <f>IF(ISNA(VLOOKUP($A209,JumpData,2,FALSE)),0,VLOOKUP($A209,JumpData,2,FALSE))</f>
        <v>0</v>
      </c>
      <c r="O209" s="297">
        <f>IF(ISNA(VLOOKUP($A209,RunData,2,FALSE)),0,VLOOKUP($A209,RunData,2,FALSE))</f>
        <v>0</v>
      </c>
      <c r="P209" s="297">
        <f>IF(ISNA(VLOOKUP($A209,ThrowData,2,FALSE)),0,VLOOKUP($A209,ThrowData,2,FALSE))</f>
        <v>0</v>
      </c>
      <c r="Q209" s="298">
        <f>IF(ISNA(VLOOKUP($A209,SprintData,4,FALSE)),0,VLOOKUP($A209,SprintData,4,FALSE))+V209</f>
        <v>0</v>
      </c>
      <c r="R209" s="298">
        <f>IF(ISNA(VLOOKUP($A209,JumpData,4,FALSE)),0,VLOOKUP($A209,JumpData,4,FALSE))+W209</f>
        <v>0</v>
      </c>
      <c r="S209" s="298">
        <f>IF(ISNA(VLOOKUP($A209,RunData,4,FALSE)),0,VLOOKUP($A209,RunData,4,FALSE))+X209</f>
        <v>0</v>
      </c>
      <c r="T209" s="298">
        <f>IF(ISNA(VLOOKUP($A209,ThrowData,4,FALSE)),0,VLOOKUP($A209,ThrowData,4,FALSE))+Y209</f>
        <v>0</v>
      </c>
      <c r="U209" s="299">
        <f t="shared" si="2"/>
        <v>0</v>
      </c>
      <c r="V209">
        <f>IF(AND($F209&gt;0,NOT(M209),Flexing),FlexPC,0)</f>
        <v>0</v>
      </c>
      <c r="W209">
        <f>IF(AND($F209&gt;0,NOT(N209),Flexing),FlexPC,0)</f>
        <v>0</v>
      </c>
      <c r="X209">
        <f>IF(AND($F209&gt;0,NOT(O209),Flexing),FlexPC,0)</f>
        <v>0</v>
      </c>
      <c r="Y209">
        <f>IF(AND($F209&gt;0,NOT(P209),Flexing),FlexPC,0)</f>
        <v>0</v>
      </c>
      <c r="AA209" s="209">
        <f t="shared" si="3"/>
        <v>208</v>
      </c>
    </row>
    <row r="210" ht="15.75" customHeight="1">
      <c r="A210" s="206" t="str">
        <f>+Declarations!A210&amp;""</f>
        <v/>
      </c>
      <c r="B210" t="str">
        <f>IF(LEN($A210),IF(LEN(Declarations!$B210)&gt;0,Declarations!$B210,"#"&amp;$A210),"")</f>
        <v/>
      </c>
      <c r="C210" s="209" t="str">
        <f t="array" ref="C210">IF(LEN(INDEX(DECLARATIONS,$AA210,3))&gt;0,INDEX(DECLARATIONS,$AA210,3),"...")</f>
        <v>...</v>
      </c>
      <c r="D210" s="209" t="str">
        <f t="shared" si="1"/>
        <v/>
      </c>
      <c r="E210" s="296" t="str">
        <f t="array" ref="E210">IF(ISNA($AA210),0,INDEX(DECLARATIONS,$AA210,5))</f>
        <v/>
      </c>
      <c r="F210" s="209" t="str">
        <f t="array" ref="F210">IF(ISNA($AA210),0,INDEX(DECLARATIONS,$AA210,7))</f>
        <v/>
      </c>
      <c r="G210" s="209" t="str">
        <f t="array" ref="G210">UPPER(IF(ISNA($AA210),"",INDEX(DECLARATIONS,$AA210,4)))</f>
        <v/>
      </c>
      <c r="H210" t="str">
        <f>IF(AND(A210&gt;0,ISTEXT(B210)),IF(SECNAME="YES",LEFT(B210&amp;" ",FIND(" ",B210&amp;" ")+2)&amp;IF(F210&gt;0," ("&amp;F210&amp;")",""),B210&amp;IF(F210&gt;0," ("&amp;F210&amp;")","")),"#"&amp;$A210)</f>
        <v/>
      </c>
      <c r="I210" s="209">
        <f>IF(LEN($A210)&gt;0,IF(LEN($J210)&gt;0,MATCH(J210,MatchNames,0),EventIndex),0)</f>
        <v>0</v>
      </c>
      <c r="J210" s="209" t="str">
        <f>IF(LEN($A210)&gt;0,IF(LEN(Declarations!$F210)&gt;0,Declarations!$F210,conftype),"")</f>
        <v/>
      </c>
      <c r="M210" s="297">
        <f>IF(ISNA(VLOOKUP($A210,SprintData,2,FALSE)),0,VLOOKUP($A210,SprintData,2,FALSE))</f>
        <v>0</v>
      </c>
      <c r="N210" s="297">
        <f>IF(ISNA(VLOOKUP($A210,JumpData,2,FALSE)),0,VLOOKUP($A210,JumpData,2,FALSE))</f>
        <v>0</v>
      </c>
      <c r="O210" s="297">
        <f>IF(ISNA(VLOOKUP($A210,RunData,2,FALSE)),0,VLOOKUP($A210,RunData,2,FALSE))</f>
        <v>0</v>
      </c>
      <c r="P210" s="297">
        <f>IF(ISNA(VLOOKUP($A210,ThrowData,2,FALSE)),0,VLOOKUP($A210,ThrowData,2,FALSE))</f>
        <v>0</v>
      </c>
      <c r="Q210" s="298">
        <f>IF(ISNA(VLOOKUP($A210,SprintData,4,FALSE)),0,VLOOKUP($A210,SprintData,4,FALSE))+V210</f>
        <v>0</v>
      </c>
      <c r="R210" s="298">
        <f>IF(ISNA(VLOOKUP($A210,JumpData,4,FALSE)),0,VLOOKUP($A210,JumpData,4,FALSE))+W210</f>
        <v>0</v>
      </c>
      <c r="S210" s="298">
        <f>IF(ISNA(VLOOKUP($A210,RunData,4,FALSE)),0,VLOOKUP($A210,RunData,4,FALSE))+X210</f>
        <v>0</v>
      </c>
      <c r="T210" s="298">
        <f>IF(ISNA(VLOOKUP($A210,ThrowData,4,FALSE)),0,VLOOKUP($A210,ThrowData,4,FALSE))+Y210</f>
        <v>0</v>
      </c>
      <c r="U210" s="299">
        <f t="shared" si="2"/>
        <v>0</v>
      </c>
      <c r="V210">
        <f>IF(AND($F210&gt;0,NOT(M210),Flexing),FlexPC,0)</f>
        <v>0</v>
      </c>
      <c r="W210">
        <f>IF(AND($F210&gt;0,NOT(N210),Flexing),FlexPC,0)</f>
        <v>0</v>
      </c>
      <c r="X210">
        <f>IF(AND($F210&gt;0,NOT(O210),Flexing),FlexPC,0)</f>
        <v>0</v>
      </c>
      <c r="Y210">
        <f>IF(AND($F210&gt;0,NOT(P210),Flexing),FlexPC,0)</f>
        <v>0</v>
      </c>
      <c r="AA210" s="209">
        <f t="shared" si="3"/>
        <v>209</v>
      </c>
    </row>
    <row r="211" ht="15.75" customHeight="1">
      <c r="A211" s="206" t="str">
        <f>+Declarations!A211&amp;""</f>
        <v/>
      </c>
      <c r="B211" t="str">
        <f>IF(LEN($A211),IF(LEN(Declarations!$B211)&gt;0,Declarations!$B211,"#"&amp;$A211),"")</f>
        <v/>
      </c>
      <c r="C211" s="209" t="str">
        <f t="array" ref="C211">IF(LEN(INDEX(DECLARATIONS,$AA211,3))&gt;0,INDEX(DECLARATIONS,$AA211,3),"...")</f>
        <v>...</v>
      </c>
      <c r="D211" s="209" t="str">
        <f t="shared" si="1"/>
        <v/>
      </c>
      <c r="E211" s="296" t="str">
        <f t="array" ref="E211">IF(ISNA($AA211),0,INDEX(DECLARATIONS,$AA211,5))</f>
        <v/>
      </c>
      <c r="F211" s="209" t="str">
        <f t="array" ref="F211">IF(ISNA($AA211),0,INDEX(DECLARATIONS,$AA211,7))</f>
        <v/>
      </c>
      <c r="G211" s="209" t="str">
        <f t="array" ref="G211">UPPER(IF(ISNA($AA211),"",INDEX(DECLARATIONS,$AA211,4)))</f>
        <v/>
      </c>
      <c r="H211" t="str">
        <f>IF(AND(A211&gt;0,ISTEXT(B211)),IF(SECNAME="YES",LEFT(B211&amp;" ",FIND(" ",B211&amp;" ")+2)&amp;IF(F211&gt;0," ("&amp;F211&amp;")",""),B211&amp;IF(F211&gt;0," ("&amp;F211&amp;")","")),"#"&amp;$A211)</f>
        <v/>
      </c>
      <c r="I211" s="209">
        <f>IF(LEN($A211)&gt;0,IF(LEN($J211)&gt;0,MATCH(J211,MatchNames,0),EventIndex),0)</f>
        <v>0</v>
      </c>
      <c r="J211" s="209" t="str">
        <f>IF(LEN($A211)&gt;0,IF(LEN(Declarations!$F211)&gt;0,Declarations!$F211,conftype),"")</f>
        <v/>
      </c>
      <c r="M211" s="297">
        <f>IF(ISNA(VLOOKUP($A211,SprintData,2,FALSE)),0,VLOOKUP($A211,SprintData,2,FALSE))</f>
        <v>0</v>
      </c>
      <c r="N211" s="297">
        <f>IF(ISNA(VLOOKUP($A211,JumpData,2,FALSE)),0,VLOOKUP($A211,JumpData,2,FALSE))</f>
        <v>0</v>
      </c>
      <c r="O211" s="297">
        <f>IF(ISNA(VLOOKUP($A211,RunData,2,FALSE)),0,VLOOKUP($A211,RunData,2,FALSE))</f>
        <v>0</v>
      </c>
      <c r="P211" s="297">
        <f>IF(ISNA(VLOOKUP($A211,ThrowData,2,FALSE)),0,VLOOKUP($A211,ThrowData,2,FALSE))</f>
        <v>0</v>
      </c>
      <c r="Q211" s="298">
        <f>IF(ISNA(VLOOKUP($A211,SprintData,4,FALSE)),0,VLOOKUP($A211,SprintData,4,FALSE))+V211</f>
        <v>0</v>
      </c>
      <c r="R211" s="298">
        <f>IF(ISNA(VLOOKUP($A211,JumpData,4,FALSE)),0,VLOOKUP($A211,JumpData,4,FALSE))+W211</f>
        <v>0</v>
      </c>
      <c r="S211" s="298">
        <f>IF(ISNA(VLOOKUP($A211,RunData,4,FALSE)),0,VLOOKUP($A211,RunData,4,FALSE))+X211</f>
        <v>0</v>
      </c>
      <c r="T211" s="298">
        <f>IF(ISNA(VLOOKUP($A211,ThrowData,4,FALSE)),0,VLOOKUP($A211,ThrowData,4,FALSE))+Y211</f>
        <v>0</v>
      </c>
      <c r="U211" s="299">
        <f t="shared" si="2"/>
        <v>0</v>
      </c>
      <c r="V211">
        <f>IF(AND($F211&gt;0,NOT(M211),Flexing),FlexPC,0)</f>
        <v>0</v>
      </c>
      <c r="W211">
        <f>IF(AND($F211&gt;0,NOT(N211),Flexing),FlexPC,0)</f>
        <v>0</v>
      </c>
      <c r="X211">
        <f>IF(AND($F211&gt;0,NOT(O211),Flexing),FlexPC,0)</f>
        <v>0</v>
      </c>
      <c r="Y211">
        <f>IF(AND($F211&gt;0,NOT(P211),Flexing),FlexPC,0)</f>
        <v>0</v>
      </c>
      <c r="AA211" s="209">
        <f t="shared" si="3"/>
        <v>210</v>
      </c>
    </row>
    <row r="212" ht="15.75" customHeight="1">
      <c r="A212" s="206" t="str">
        <f>+Declarations!A212&amp;""</f>
        <v/>
      </c>
      <c r="B212" t="str">
        <f>IF(LEN($A212),IF(LEN(Declarations!$B212)&gt;0,Declarations!$B212,"#"&amp;$A212),"")</f>
        <v/>
      </c>
      <c r="C212" s="209" t="str">
        <f t="array" ref="C212">IF(LEN(INDEX(DECLARATIONS,$AA212,3))&gt;0,INDEX(DECLARATIONS,$AA212,3),"...")</f>
        <v>...</v>
      </c>
      <c r="D212" s="209" t="str">
        <f t="shared" si="1"/>
        <v/>
      </c>
      <c r="E212" s="296" t="str">
        <f t="array" ref="E212">IF(ISNA($AA212),0,INDEX(DECLARATIONS,$AA212,5))</f>
        <v/>
      </c>
      <c r="F212" s="209" t="str">
        <f t="array" ref="F212">IF(ISNA($AA212),0,INDEX(DECLARATIONS,$AA212,7))</f>
        <v/>
      </c>
      <c r="G212" s="209" t="str">
        <f t="array" ref="G212">UPPER(IF(ISNA($AA212),"",INDEX(DECLARATIONS,$AA212,4)))</f>
        <v/>
      </c>
      <c r="H212" t="str">
        <f>IF(AND(A212&gt;0,ISTEXT(B212)),IF(SECNAME="YES",LEFT(B212&amp;" ",FIND(" ",B212&amp;" ")+2)&amp;IF(F212&gt;0," ("&amp;F212&amp;")",""),B212&amp;IF(F212&gt;0," ("&amp;F212&amp;")","")),"#"&amp;$A212)</f>
        <v/>
      </c>
      <c r="I212" s="209">
        <f>IF(LEN($A212)&gt;0,IF(LEN($J212)&gt;0,MATCH(J212,MatchNames,0),EventIndex),0)</f>
        <v>0</v>
      </c>
      <c r="J212" s="209" t="str">
        <f>IF(LEN($A212)&gt;0,IF(LEN(Declarations!$F212)&gt;0,Declarations!$F212,conftype),"")</f>
        <v/>
      </c>
      <c r="M212" s="297">
        <f>IF(ISNA(VLOOKUP($A212,SprintData,2,FALSE)),0,VLOOKUP($A212,SprintData,2,FALSE))</f>
        <v>0</v>
      </c>
      <c r="N212" s="297">
        <f>IF(ISNA(VLOOKUP($A212,JumpData,2,FALSE)),0,VLOOKUP($A212,JumpData,2,FALSE))</f>
        <v>0</v>
      </c>
      <c r="O212" s="297">
        <f>IF(ISNA(VLOOKUP($A212,RunData,2,FALSE)),0,VLOOKUP($A212,RunData,2,FALSE))</f>
        <v>0</v>
      </c>
      <c r="P212" s="297">
        <f>IF(ISNA(VLOOKUP($A212,ThrowData,2,FALSE)),0,VLOOKUP($A212,ThrowData,2,FALSE))</f>
        <v>0</v>
      </c>
      <c r="Q212" s="298">
        <f>IF(ISNA(VLOOKUP($A212,SprintData,4,FALSE)),0,VLOOKUP($A212,SprintData,4,FALSE))+V212</f>
        <v>0</v>
      </c>
      <c r="R212" s="298">
        <f>IF(ISNA(VLOOKUP($A212,JumpData,4,FALSE)),0,VLOOKUP($A212,JumpData,4,FALSE))+W212</f>
        <v>0</v>
      </c>
      <c r="S212" s="298">
        <f>IF(ISNA(VLOOKUP($A212,RunData,4,FALSE)),0,VLOOKUP($A212,RunData,4,FALSE))+X212</f>
        <v>0</v>
      </c>
      <c r="T212" s="298">
        <f>IF(ISNA(VLOOKUP($A212,ThrowData,4,FALSE)),0,VLOOKUP($A212,ThrowData,4,FALSE))+Y212</f>
        <v>0</v>
      </c>
      <c r="U212" s="299">
        <f t="shared" si="2"/>
        <v>0</v>
      </c>
      <c r="V212">
        <f>IF(AND($F212&gt;0,NOT(M212),Flexing),FlexPC,0)</f>
        <v>0</v>
      </c>
      <c r="W212">
        <f>IF(AND($F212&gt;0,NOT(N212),Flexing),FlexPC,0)</f>
        <v>0</v>
      </c>
      <c r="X212">
        <f>IF(AND($F212&gt;0,NOT(O212),Flexing),FlexPC,0)</f>
        <v>0</v>
      </c>
      <c r="Y212">
        <f>IF(AND($F212&gt;0,NOT(P212),Flexing),FlexPC,0)</f>
        <v>0</v>
      </c>
      <c r="AA212" s="209">
        <f t="shared" si="3"/>
        <v>211</v>
      </c>
    </row>
    <row r="213" ht="15.75" customHeight="1">
      <c r="A213" s="206" t="str">
        <f>+Declarations!A213&amp;""</f>
        <v/>
      </c>
      <c r="B213" t="str">
        <f>IF(LEN($A213),IF(LEN(Declarations!$B213)&gt;0,Declarations!$B213,"#"&amp;$A213),"")</f>
        <v/>
      </c>
      <c r="C213" s="209" t="str">
        <f t="array" ref="C213">IF(LEN(INDEX(DECLARATIONS,$AA213,3))&gt;0,INDEX(DECLARATIONS,$AA213,3),"...")</f>
        <v>...</v>
      </c>
      <c r="D213" s="209" t="str">
        <f t="shared" si="1"/>
        <v/>
      </c>
      <c r="E213" s="296" t="str">
        <f t="array" ref="E213">IF(ISNA($AA213),0,INDEX(DECLARATIONS,$AA213,5))</f>
        <v/>
      </c>
      <c r="F213" s="209" t="str">
        <f t="array" ref="F213">IF(ISNA($AA213),0,INDEX(DECLARATIONS,$AA213,7))</f>
        <v/>
      </c>
      <c r="G213" s="209" t="str">
        <f t="array" ref="G213">UPPER(IF(ISNA($AA213),"",INDEX(DECLARATIONS,$AA213,4)))</f>
        <v/>
      </c>
      <c r="H213" t="str">
        <f>IF(AND(A213&gt;0,ISTEXT(B213)),IF(SECNAME="YES",LEFT(B213&amp;" ",FIND(" ",B213&amp;" ")+2)&amp;IF(F213&gt;0," ("&amp;F213&amp;")",""),B213&amp;IF(F213&gt;0," ("&amp;F213&amp;")","")),"#"&amp;$A213)</f>
        <v/>
      </c>
      <c r="I213" s="209">
        <f>IF(LEN($A213)&gt;0,IF(LEN($J213)&gt;0,MATCH(J213,MatchNames,0),EventIndex),0)</f>
        <v>0</v>
      </c>
      <c r="J213" s="209" t="str">
        <f>IF(LEN($A213)&gt;0,IF(LEN(Declarations!$F213)&gt;0,Declarations!$F213,conftype),"")</f>
        <v/>
      </c>
      <c r="M213" s="297">
        <f>IF(ISNA(VLOOKUP($A213,SprintData,2,FALSE)),0,VLOOKUP($A213,SprintData,2,FALSE))</f>
        <v>0</v>
      </c>
      <c r="N213" s="297">
        <f>IF(ISNA(VLOOKUP($A213,JumpData,2,FALSE)),0,VLOOKUP($A213,JumpData,2,FALSE))</f>
        <v>0</v>
      </c>
      <c r="O213" s="297">
        <f>IF(ISNA(VLOOKUP($A213,RunData,2,FALSE)),0,VLOOKUP($A213,RunData,2,FALSE))</f>
        <v>0</v>
      </c>
      <c r="P213" s="297">
        <f>IF(ISNA(VLOOKUP($A213,ThrowData,2,FALSE)),0,VLOOKUP($A213,ThrowData,2,FALSE))</f>
        <v>0</v>
      </c>
      <c r="Q213" s="298">
        <f>IF(ISNA(VLOOKUP($A213,SprintData,4,FALSE)),0,VLOOKUP($A213,SprintData,4,FALSE))+V213</f>
        <v>0</v>
      </c>
      <c r="R213" s="298">
        <f>IF(ISNA(VLOOKUP($A213,JumpData,4,FALSE)),0,VLOOKUP($A213,JumpData,4,FALSE))+W213</f>
        <v>0</v>
      </c>
      <c r="S213" s="298">
        <f>IF(ISNA(VLOOKUP($A213,RunData,4,FALSE)),0,VLOOKUP($A213,RunData,4,FALSE))+X213</f>
        <v>0</v>
      </c>
      <c r="T213" s="298">
        <f>IF(ISNA(VLOOKUP($A213,ThrowData,4,FALSE)),0,VLOOKUP($A213,ThrowData,4,FALSE))+Y213</f>
        <v>0</v>
      </c>
      <c r="U213" s="299">
        <f t="shared" si="2"/>
        <v>0</v>
      </c>
      <c r="V213">
        <f>IF(AND($F213&gt;0,NOT(M213),Flexing),FlexPC,0)</f>
        <v>0</v>
      </c>
      <c r="W213">
        <f>IF(AND($F213&gt;0,NOT(N213),Flexing),FlexPC,0)</f>
        <v>0</v>
      </c>
      <c r="X213">
        <f>IF(AND($F213&gt;0,NOT(O213),Flexing),FlexPC,0)</f>
        <v>0</v>
      </c>
      <c r="Y213">
        <f>IF(AND($F213&gt;0,NOT(P213),Flexing),FlexPC,0)</f>
        <v>0</v>
      </c>
      <c r="AA213" s="209">
        <f t="shared" si="3"/>
        <v>212</v>
      </c>
    </row>
    <row r="214" ht="15.75" customHeight="1">
      <c r="A214" s="206" t="str">
        <f>+Declarations!A214&amp;""</f>
        <v/>
      </c>
      <c r="B214" t="str">
        <f>IF(LEN($A214),IF(LEN(Declarations!$B214)&gt;0,Declarations!$B214,"#"&amp;$A214),"")</f>
        <v/>
      </c>
      <c r="C214" s="209" t="str">
        <f t="array" ref="C214">IF(LEN(INDEX(DECLARATIONS,$AA214,3))&gt;0,INDEX(DECLARATIONS,$AA214,3),"...")</f>
        <v>...</v>
      </c>
      <c r="D214" s="209" t="str">
        <f t="shared" si="1"/>
        <v/>
      </c>
      <c r="E214" s="296" t="str">
        <f t="array" ref="E214">IF(ISNA($AA214),0,INDEX(DECLARATIONS,$AA214,5))</f>
        <v/>
      </c>
      <c r="F214" s="209" t="str">
        <f t="array" ref="F214">IF(ISNA($AA214),0,INDEX(DECLARATIONS,$AA214,7))</f>
        <v/>
      </c>
      <c r="G214" s="209" t="str">
        <f t="array" ref="G214">UPPER(IF(ISNA($AA214),"",INDEX(DECLARATIONS,$AA214,4)))</f>
        <v/>
      </c>
      <c r="H214" t="str">
        <f>IF(AND(A214&gt;0,ISTEXT(B214)),IF(SECNAME="YES",LEFT(B214&amp;" ",FIND(" ",B214&amp;" ")+2)&amp;IF(F214&gt;0," ("&amp;F214&amp;")",""),B214&amp;IF(F214&gt;0," ("&amp;F214&amp;")","")),"#"&amp;$A214)</f>
        <v/>
      </c>
      <c r="I214" s="209">
        <f>IF(LEN($A214)&gt;0,IF(LEN($J214)&gt;0,MATCH(J214,MatchNames,0),EventIndex),0)</f>
        <v>0</v>
      </c>
      <c r="J214" s="209" t="str">
        <f>IF(LEN($A214)&gt;0,IF(LEN(Declarations!$F214)&gt;0,Declarations!$F214,conftype),"")</f>
        <v/>
      </c>
      <c r="M214" s="297">
        <f>IF(ISNA(VLOOKUP($A214,SprintData,2,FALSE)),0,VLOOKUP($A214,SprintData,2,FALSE))</f>
        <v>0</v>
      </c>
      <c r="N214" s="297">
        <f>IF(ISNA(VLOOKUP($A214,JumpData,2,FALSE)),0,VLOOKUP($A214,JumpData,2,FALSE))</f>
        <v>0</v>
      </c>
      <c r="O214" s="297">
        <f>IF(ISNA(VLOOKUP($A214,RunData,2,FALSE)),0,VLOOKUP($A214,RunData,2,FALSE))</f>
        <v>0</v>
      </c>
      <c r="P214" s="297">
        <f>IF(ISNA(VLOOKUP($A214,ThrowData,2,FALSE)),0,VLOOKUP($A214,ThrowData,2,FALSE))</f>
        <v>0</v>
      </c>
      <c r="Q214" s="298">
        <f>IF(ISNA(VLOOKUP($A214,SprintData,4,FALSE)),0,VLOOKUP($A214,SprintData,4,FALSE))+V214</f>
        <v>0</v>
      </c>
      <c r="R214" s="298">
        <f>IF(ISNA(VLOOKUP($A214,JumpData,4,FALSE)),0,VLOOKUP($A214,JumpData,4,FALSE))+W214</f>
        <v>0</v>
      </c>
      <c r="S214" s="298">
        <f>IF(ISNA(VLOOKUP($A214,RunData,4,FALSE)),0,VLOOKUP($A214,RunData,4,FALSE))+X214</f>
        <v>0</v>
      </c>
      <c r="T214" s="298">
        <f>IF(ISNA(VLOOKUP($A214,ThrowData,4,FALSE)),0,VLOOKUP($A214,ThrowData,4,FALSE))+Y214</f>
        <v>0</v>
      </c>
      <c r="U214" s="299">
        <f t="shared" si="2"/>
        <v>0</v>
      </c>
      <c r="V214">
        <f>IF(AND($F214&gt;0,NOT(M214),Flexing),FlexPC,0)</f>
        <v>0</v>
      </c>
      <c r="W214">
        <f>IF(AND($F214&gt;0,NOT(N214),Flexing),FlexPC,0)</f>
        <v>0</v>
      </c>
      <c r="X214">
        <f>IF(AND($F214&gt;0,NOT(O214),Flexing),FlexPC,0)</f>
        <v>0</v>
      </c>
      <c r="Y214">
        <f>IF(AND($F214&gt;0,NOT(P214),Flexing),FlexPC,0)</f>
        <v>0</v>
      </c>
      <c r="AA214" s="209">
        <f t="shared" si="3"/>
        <v>213</v>
      </c>
    </row>
    <row r="215" ht="15.75" customHeight="1">
      <c r="A215" s="206" t="str">
        <f>+Declarations!A215&amp;""</f>
        <v/>
      </c>
      <c r="B215" t="str">
        <f>IF(LEN($A215),IF(LEN(Declarations!$B215)&gt;0,Declarations!$B215,"#"&amp;$A215),"")</f>
        <v/>
      </c>
      <c r="C215" s="209" t="str">
        <f t="array" ref="C215">IF(LEN(INDEX(DECLARATIONS,$AA215,3))&gt;0,INDEX(DECLARATIONS,$AA215,3),"...")</f>
        <v>...</v>
      </c>
      <c r="D215" s="209" t="str">
        <f t="shared" si="1"/>
        <v/>
      </c>
      <c r="E215" s="296" t="str">
        <f t="array" ref="E215">IF(ISNA($AA215),0,INDEX(DECLARATIONS,$AA215,5))</f>
        <v/>
      </c>
      <c r="F215" s="209" t="str">
        <f t="array" ref="F215">IF(ISNA($AA215),0,INDEX(DECLARATIONS,$AA215,7))</f>
        <v/>
      </c>
      <c r="G215" s="209" t="str">
        <f t="array" ref="G215">UPPER(IF(ISNA($AA215),"",INDEX(DECLARATIONS,$AA215,4)))</f>
        <v/>
      </c>
      <c r="H215" t="str">
        <f>IF(AND(A215&gt;0,ISTEXT(B215)),IF(SECNAME="YES",LEFT(B215&amp;" ",FIND(" ",B215&amp;" ")+2)&amp;IF(F215&gt;0," ("&amp;F215&amp;")",""),B215&amp;IF(F215&gt;0," ("&amp;F215&amp;")","")),"#"&amp;$A215)</f>
        <v/>
      </c>
      <c r="I215" s="209">
        <f>IF(LEN($A215)&gt;0,IF(LEN($J215)&gt;0,MATCH(J215,MatchNames,0),EventIndex),0)</f>
        <v>0</v>
      </c>
      <c r="J215" s="209" t="str">
        <f>IF(LEN($A215)&gt;0,IF(LEN(Declarations!$F215)&gt;0,Declarations!$F215,conftype),"")</f>
        <v/>
      </c>
      <c r="M215" s="297">
        <f>IF(ISNA(VLOOKUP($A215,SprintData,2,FALSE)),0,VLOOKUP($A215,SprintData,2,FALSE))</f>
        <v>0</v>
      </c>
      <c r="N215" s="297">
        <f>IF(ISNA(VLOOKUP($A215,JumpData,2,FALSE)),0,VLOOKUP($A215,JumpData,2,FALSE))</f>
        <v>0</v>
      </c>
      <c r="O215" s="297">
        <f>IF(ISNA(VLOOKUP($A215,RunData,2,FALSE)),0,VLOOKUP($A215,RunData,2,FALSE))</f>
        <v>0</v>
      </c>
      <c r="P215" s="297">
        <f>IF(ISNA(VLOOKUP($A215,ThrowData,2,FALSE)),0,VLOOKUP($A215,ThrowData,2,FALSE))</f>
        <v>0</v>
      </c>
      <c r="Q215" s="298">
        <f>IF(ISNA(VLOOKUP($A215,SprintData,4,FALSE)),0,VLOOKUP($A215,SprintData,4,FALSE))+V215</f>
        <v>0</v>
      </c>
      <c r="R215" s="298">
        <f>IF(ISNA(VLOOKUP($A215,JumpData,4,FALSE)),0,VLOOKUP($A215,JumpData,4,FALSE))+W215</f>
        <v>0</v>
      </c>
      <c r="S215" s="298">
        <f>IF(ISNA(VLOOKUP($A215,RunData,4,FALSE)),0,VLOOKUP($A215,RunData,4,FALSE))+X215</f>
        <v>0</v>
      </c>
      <c r="T215" s="298">
        <f>IF(ISNA(VLOOKUP($A215,ThrowData,4,FALSE)),0,VLOOKUP($A215,ThrowData,4,FALSE))+Y215</f>
        <v>0</v>
      </c>
      <c r="U215" s="299">
        <f t="shared" si="2"/>
        <v>0</v>
      </c>
      <c r="V215">
        <f>IF(AND($F215&gt;0,NOT(M215),Flexing),FlexPC,0)</f>
        <v>0</v>
      </c>
      <c r="W215">
        <f>IF(AND($F215&gt;0,NOT(N215),Flexing),FlexPC,0)</f>
        <v>0</v>
      </c>
      <c r="X215">
        <f>IF(AND($F215&gt;0,NOT(O215),Flexing),FlexPC,0)</f>
        <v>0</v>
      </c>
      <c r="Y215">
        <f>IF(AND($F215&gt;0,NOT(P215),Flexing),FlexPC,0)</f>
        <v>0</v>
      </c>
      <c r="AA215" s="209">
        <f t="shared" si="3"/>
        <v>214</v>
      </c>
    </row>
    <row r="216" ht="15.75" customHeight="1">
      <c r="A216" s="206" t="str">
        <f>+Declarations!A216&amp;""</f>
        <v/>
      </c>
      <c r="B216" t="str">
        <f>IF(LEN($A216),IF(LEN(Declarations!$B216)&gt;0,Declarations!$B216,"#"&amp;$A216),"")</f>
        <v/>
      </c>
      <c r="C216" s="209" t="str">
        <f t="array" ref="C216">IF(LEN(INDEX(DECLARATIONS,$AA216,3))&gt;0,INDEX(DECLARATIONS,$AA216,3),"...")</f>
        <v>...</v>
      </c>
      <c r="D216" s="209" t="str">
        <f t="shared" si="1"/>
        <v/>
      </c>
      <c r="E216" s="296" t="str">
        <f t="array" ref="E216">IF(ISNA($AA216),0,INDEX(DECLARATIONS,$AA216,5))</f>
        <v/>
      </c>
      <c r="F216" s="209" t="str">
        <f t="array" ref="F216">IF(ISNA($AA216),0,INDEX(DECLARATIONS,$AA216,7))</f>
        <v/>
      </c>
      <c r="G216" s="209" t="str">
        <f t="array" ref="G216">UPPER(IF(ISNA($AA216),"",INDEX(DECLARATIONS,$AA216,4)))</f>
        <v/>
      </c>
      <c r="H216" t="str">
        <f>IF(AND(A216&gt;0,ISTEXT(B216)),IF(SECNAME="YES",LEFT(B216&amp;" ",FIND(" ",B216&amp;" ")+2)&amp;IF(F216&gt;0," ("&amp;F216&amp;")",""),B216&amp;IF(F216&gt;0," ("&amp;F216&amp;")","")),"#"&amp;$A216)</f>
        <v/>
      </c>
      <c r="I216" s="209">
        <f>IF(LEN($A216)&gt;0,IF(LEN($J216)&gt;0,MATCH(J216,MatchNames,0),EventIndex),0)</f>
        <v>0</v>
      </c>
      <c r="J216" s="209" t="str">
        <f>IF(LEN($A216)&gt;0,IF(LEN(Declarations!$F216)&gt;0,Declarations!$F216,conftype),"")</f>
        <v/>
      </c>
      <c r="M216" s="297">
        <f>IF(ISNA(VLOOKUP($A216,SprintData,2,FALSE)),0,VLOOKUP($A216,SprintData,2,FALSE))</f>
        <v>0</v>
      </c>
      <c r="N216" s="297">
        <f>IF(ISNA(VLOOKUP($A216,JumpData,2,FALSE)),0,VLOOKUP($A216,JumpData,2,FALSE))</f>
        <v>0</v>
      </c>
      <c r="O216" s="297">
        <f>IF(ISNA(VLOOKUP($A216,RunData,2,FALSE)),0,VLOOKUP($A216,RunData,2,FALSE))</f>
        <v>0</v>
      </c>
      <c r="P216" s="297">
        <f>IF(ISNA(VLOOKUP($A216,ThrowData,2,FALSE)),0,VLOOKUP($A216,ThrowData,2,FALSE))</f>
        <v>0</v>
      </c>
      <c r="Q216" s="298">
        <f>IF(ISNA(VLOOKUP($A216,SprintData,4,FALSE)),0,VLOOKUP($A216,SprintData,4,FALSE))+V216</f>
        <v>0</v>
      </c>
      <c r="R216" s="298">
        <f>IF(ISNA(VLOOKUP($A216,JumpData,4,FALSE)),0,VLOOKUP($A216,JumpData,4,FALSE))+W216</f>
        <v>0</v>
      </c>
      <c r="S216" s="298">
        <f>IF(ISNA(VLOOKUP($A216,RunData,4,FALSE)),0,VLOOKUP($A216,RunData,4,FALSE))+X216</f>
        <v>0</v>
      </c>
      <c r="T216" s="298">
        <f>IF(ISNA(VLOOKUP($A216,ThrowData,4,FALSE)),0,VLOOKUP($A216,ThrowData,4,FALSE))+Y216</f>
        <v>0</v>
      </c>
      <c r="U216" s="299">
        <f t="shared" si="2"/>
        <v>0</v>
      </c>
      <c r="V216">
        <f>IF(AND($F216&gt;0,NOT(M216),Flexing),FlexPC,0)</f>
        <v>0</v>
      </c>
      <c r="W216">
        <f>IF(AND($F216&gt;0,NOT(N216),Flexing),FlexPC,0)</f>
        <v>0</v>
      </c>
      <c r="X216">
        <f>IF(AND($F216&gt;0,NOT(O216),Flexing),FlexPC,0)</f>
        <v>0</v>
      </c>
      <c r="Y216">
        <f>IF(AND($F216&gt;0,NOT(P216),Flexing),FlexPC,0)</f>
        <v>0</v>
      </c>
      <c r="AA216" s="209">
        <f t="shared" si="3"/>
        <v>215</v>
      </c>
    </row>
    <row r="217" ht="15.75" customHeight="1">
      <c r="A217" s="206" t="str">
        <f>+Declarations!A217&amp;""</f>
        <v/>
      </c>
      <c r="B217" t="str">
        <f>IF(LEN($A217),IF(LEN(Declarations!$B217)&gt;0,Declarations!$B217,"#"&amp;$A217),"")</f>
        <v/>
      </c>
      <c r="C217" s="209" t="str">
        <f t="array" ref="C217">IF(LEN(INDEX(DECLARATIONS,$AA217,3))&gt;0,INDEX(DECLARATIONS,$AA217,3),"...")</f>
        <v>...</v>
      </c>
      <c r="D217" s="209" t="str">
        <f t="shared" si="1"/>
        <v/>
      </c>
      <c r="E217" s="296" t="str">
        <f t="array" ref="E217">IF(ISNA($AA217),0,INDEX(DECLARATIONS,$AA217,5))</f>
        <v/>
      </c>
      <c r="F217" s="209" t="str">
        <f t="array" ref="F217">IF(ISNA($AA217),0,INDEX(DECLARATIONS,$AA217,7))</f>
        <v/>
      </c>
      <c r="G217" s="209" t="str">
        <f t="array" ref="G217">UPPER(IF(ISNA($AA217),"",INDEX(DECLARATIONS,$AA217,4)))</f>
        <v/>
      </c>
      <c r="H217" t="str">
        <f>IF(AND(A217&gt;0,ISTEXT(B217)),IF(SECNAME="YES",LEFT(B217&amp;" ",FIND(" ",B217&amp;" ")+2)&amp;IF(F217&gt;0," ("&amp;F217&amp;")",""),B217&amp;IF(F217&gt;0," ("&amp;F217&amp;")","")),"#"&amp;$A217)</f>
        <v/>
      </c>
      <c r="I217" s="209">
        <f>IF(LEN($A217)&gt;0,IF(LEN($J217)&gt;0,MATCH(J217,MatchNames,0),EventIndex),0)</f>
        <v>0</v>
      </c>
      <c r="J217" s="209" t="str">
        <f>IF(LEN($A217)&gt;0,IF(LEN(Declarations!$F217)&gt;0,Declarations!$F217,conftype),"")</f>
        <v/>
      </c>
      <c r="M217" s="297">
        <f>IF(ISNA(VLOOKUP($A217,SprintData,2,FALSE)),0,VLOOKUP($A217,SprintData,2,FALSE))</f>
        <v>0</v>
      </c>
      <c r="N217" s="297">
        <f>IF(ISNA(VLOOKUP($A217,JumpData,2,FALSE)),0,VLOOKUP($A217,JumpData,2,FALSE))</f>
        <v>0</v>
      </c>
      <c r="O217" s="297">
        <f>IF(ISNA(VLOOKUP($A217,RunData,2,FALSE)),0,VLOOKUP($A217,RunData,2,FALSE))</f>
        <v>0</v>
      </c>
      <c r="P217" s="297">
        <f>IF(ISNA(VLOOKUP($A217,ThrowData,2,FALSE)),0,VLOOKUP($A217,ThrowData,2,FALSE))</f>
        <v>0</v>
      </c>
      <c r="Q217" s="298">
        <f>IF(ISNA(VLOOKUP($A217,SprintData,4,FALSE)),0,VLOOKUP($A217,SprintData,4,FALSE))+V217</f>
        <v>0</v>
      </c>
      <c r="R217" s="298">
        <f>IF(ISNA(VLOOKUP($A217,JumpData,4,FALSE)),0,VLOOKUP($A217,JumpData,4,FALSE))+W217</f>
        <v>0</v>
      </c>
      <c r="S217" s="298">
        <f>IF(ISNA(VLOOKUP($A217,RunData,4,FALSE)),0,VLOOKUP($A217,RunData,4,FALSE))+X217</f>
        <v>0</v>
      </c>
      <c r="T217" s="298">
        <f>IF(ISNA(VLOOKUP($A217,ThrowData,4,FALSE)),0,VLOOKUP($A217,ThrowData,4,FALSE))+Y217</f>
        <v>0</v>
      </c>
      <c r="U217" s="299">
        <f t="shared" si="2"/>
        <v>0</v>
      </c>
      <c r="V217">
        <f>IF(AND($F217&gt;0,NOT(M217),Flexing),FlexPC,0)</f>
        <v>0</v>
      </c>
      <c r="W217">
        <f>IF(AND($F217&gt;0,NOT(N217),Flexing),FlexPC,0)</f>
        <v>0</v>
      </c>
      <c r="X217">
        <f>IF(AND($F217&gt;0,NOT(O217),Flexing),FlexPC,0)</f>
        <v>0</v>
      </c>
      <c r="Y217">
        <f>IF(AND($F217&gt;0,NOT(P217),Flexing),FlexPC,0)</f>
        <v>0</v>
      </c>
      <c r="AA217" s="209">
        <f t="shared" si="3"/>
        <v>216</v>
      </c>
    </row>
    <row r="218" ht="15.75" customHeight="1">
      <c r="A218" s="206" t="str">
        <f>+Declarations!A218&amp;""</f>
        <v/>
      </c>
      <c r="B218" t="str">
        <f>IF(LEN($A218),IF(LEN(Declarations!$B218)&gt;0,Declarations!$B218,"#"&amp;$A218),"")</f>
        <v/>
      </c>
      <c r="C218" s="209" t="str">
        <f t="array" ref="C218">IF(LEN(INDEX(DECLARATIONS,$AA218,3))&gt;0,INDEX(DECLARATIONS,$AA218,3),"...")</f>
        <v>...</v>
      </c>
      <c r="D218" s="209" t="str">
        <f t="shared" si="1"/>
        <v/>
      </c>
      <c r="E218" s="296" t="str">
        <f t="array" ref="E218">IF(ISNA($AA218),0,INDEX(DECLARATIONS,$AA218,5))</f>
        <v/>
      </c>
      <c r="F218" s="209" t="str">
        <f t="array" ref="F218">IF(ISNA($AA218),0,INDEX(DECLARATIONS,$AA218,7))</f>
        <v/>
      </c>
      <c r="G218" s="209" t="str">
        <f t="array" ref="G218">UPPER(IF(ISNA($AA218),"",INDEX(DECLARATIONS,$AA218,4)))</f>
        <v/>
      </c>
      <c r="H218" t="str">
        <f>IF(AND(A218&gt;0,ISTEXT(B218)),IF(SECNAME="YES",LEFT(B218&amp;" ",FIND(" ",B218&amp;" ")+2)&amp;IF(F218&gt;0," ("&amp;F218&amp;")",""),B218&amp;IF(F218&gt;0," ("&amp;F218&amp;")","")),"#"&amp;$A218)</f>
        <v/>
      </c>
      <c r="I218" s="209">
        <f>IF(LEN($A218)&gt;0,IF(LEN($J218)&gt;0,MATCH(J218,MatchNames,0),EventIndex),0)</f>
        <v>0</v>
      </c>
      <c r="J218" s="209" t="str">
        <f>IF(LEN($A218)&gt;0,IF(LEN(Declarations!$F218)&gt;0,Declarations!$F218,conftype),"")</f>
        <v/>
      </c>
      <c r="M218" s="297">
        <f>IF(ISNA(VLOOKUP($A218,SprintData,2,FALSE)),0,VLOOKUP($A218,SprintData,2,FALSE))</f>
        <v>0</v>
      </c>
      <c r="N218" s="297">
        <f>IF(ISNA(VLOOKUP($A218,JumpData,2,FALSE)),0,VLOOKUP($A218,JumpData,2,FALSE))</f>
        <v>0</v>
      </c>
      <c r="O218" s="297">
        <f>IF(ISNA(VLOOKUP($A218,RunData,2,FALSE)),0,VLOOKUP($A218,RunData,2,FALSE))</f>
        <v>0</v>
      </c>
      <c r="P218" s="297">
        <f>IF(ISNA(VLOOKUP($A218,ThrowData,2,FALSE)),0,VLOOKUP($A218,ThrowData,2,FALSE))</f>
        <v>0</v>
      </c>
      <c r="Q218" s="298">
        <f>IF(ISNA(VLOOKUP($A218,SprintData,4,FALSE)),0,VLOOKUP($A218,SprintData,4,FALSE))+V218</f>
        <v>0</v>
      </c>
      <c r="R218" s="298">
        <f>IF(ISNA(VLOOKUP($A218,JumpData,4,FALSE)),0,VLOOKUP($A218,JumpData,4,FALSE))+W218</f>
        <v>0</v>
      </c>
      <c r="S218" s="298">
        <f>IF(ISNA(VLOOKUP($A218,RunData,4,FALSE)),0,VLOOKUP($A218,RunData,4,FALSE))+X218</f>
        <v>0</v>
      </c>
      <c r="T218" s="298">
        <f>IF(ISNA(VLOOKUP($A218,ThrowData,4,FALSE)),0,VLOOKUP($A218,ThrowData,4,FALSE))+Y218</f>
        <v>0</v>
      </c>
      <c r="U218" s="299">
        <f t="shared" si="2"/>
        <v>0</v>
      </c>
      <c r="V218">
        <f>IF(AND($F218&gt;0,NOT(M218),Flexing),FlexPC,0)</f>
        <v>0</v>
      </c>
      <c r="W218">
        <f>IF(AND($F218&gt;0,NOT(N218),Flexing),FlexPC,0)</f>
        <v>0</v>
      </c>
      <c r="X218">
        <f>IF(AND($F218&gt;0,NOT(O218),Flexing),FlexPC,0)</f>
        <v>0</v>
      </c>
      <c r="Y218">
        <f>IF(AND($F218&gt;0,NOT(P218),Flexing),FlexPC,0)</f>
        <v>0</v>
      </c>
      <c r="AA218" s="209">
        <f t="shared" si="3"/>
        <v>217</v>
      </c>
    </row>
    <row r="219" ht="15.75" customHeight="1">
      <c r="A219" s="206" t="str">
        <f>+Declarations!A219&amp;""</f>
        <v/>
      </c>
      <c r="B219" t="str">
        <f>IF(LEN($A219),IF(LEN(Declarations!$B219)&gt;0,Declarations!$B219,"#"&amp;$A219),"")</f>
        <v/>
      </c>
      <c r="C219" s="209" t="str">
        <f t="array" ref="C219">IF(LEN(INDEX(DECLARATIONS,$AA219,3))&gt;0,INDEX(DECLARATIONS,$AA219,3),"...")</f>
        <v>...</v>
      </c>
      <c r="D219" s="209" t="str">
        <f t="shared" si="1"/>
        <v/>
      </c>
      <c r="E219" s="296" t="str">
        <f t="array" ref="E219">IF(ISNA($AA219),0,INDEX(DECLARATIONS,$AA219,5))</f>
        <v/>
      </c>
      <c r="F219" s="209" t="str">
        <f t="array" ref="F219">IF(ISNA($AA219),0,INDEX(DECLARATIONS,$AA219,7))</f>
        <v/>
      </c>
      <c r="G219" s="209" t="str">
        <f t="array" ref="G219">UPPER(IF(ISNA($AA219),"",INDEX(DECLARATIONS,$AA219,4)))</f>
        <v/>
      </c>
      <c r="H219" t="str">
        <f>IF(AND(A219&gt;0,ISTEXT(B219)),IF(SECNAME="YES",LEFT(B219&amp;" ",FIND(" ",B219&amp;" ")+2)&amp;IF(F219&gt;0," ("&amp;F219&amp;")",""),B219&amp;IF(F219&gt;0," ("&amp;F219&amp;")","")),"#"&amp;$A219)</f>
        <v/>
      </c>
      <c r="I219" s="209">
        <f>IF(LEN($A219)&gt;0,IF(LEN($J219)&gt;0,MATCH(J219,MatchNames,0),EventIndex),0)</f>
        <v>0</v>
      </c>
      <c r="J219" s="209" t="str">
        <f>IF(LEN($A219)&gt;0,IF(LEN(Declarations!$F219)&gt;0,Declarations!$F219,conftype),"")</f>
        <v/>
      </c>
      <c r="M219" s="297">
        <f>IF(ISNA(VLOOKUP($A219,SprintData,2,FALSE)),0,VLOOKUP($A219,SprintData,2,FALSE))</f>
        <v>0</v>
      </c>
      <c r="N219" s="297">
        <f>IF(ISNA(VLOOKUP($A219,JumpData,2,FALSE)),0,VLOOKUP($A219,JumpData,2,FALSE))</f>
        <v>0</v>
      </c>
      <c r="O219" s="297">
        <f>IF(ISNA(VLOOKUP($A219,RunData,2,FALSE)),0,VLOOKUP($A219,RunData,2,FALSE))</f>
        <v>0</v>
      </c>
      <c r="P219" s="297">
        <f>IF(ISNA(VLOOKUP($A219,ThrowData,2,FALSE)),0,VLOOKUP($A219,ThrowData,2,FALSE))</f>
        <v>0</v>
      </c>
      <c r="Q219" s="298">
        <f>IF(ISNA(VLOOKUP($A219,SprintData,4,FALSE)),0,VLOOKUP($A219,SprintData,4,FALSE))+V219</f>
        <v>0</v>
      </c>
      <c r="R219" s="298">
        <f>IF(ISNA(VLOOKUP($A219,JumpData,4,FALSE)),0,VLOOKUP($A219,JumpData,4,FALSE))+W219</f>
        <v>0</v>
      </c>
      <c r="S219" s="298">
        <f>IF(ISNA(VLOOKUP($A219,RunData,4,FALSE)),0,VLOOKUP($A219,RunData,4,FALSE))+X219</f>
        <v>0</v>
      </c>
      <c r="T219" s="298">
        <f>IF(ISNA(VLOOKUP($A219,ThrowData,4,FALSE)),0,VLOOKUP($A219,ThrowData,4,FALSE))+Y219</f>
        <v>0</v>
      </c>
      <c r="U219" s="299">
        <f t="shared" si="2"/>
        <v>0</v>
      </c>
      <c r="V219">
        <f>IF(AND($F219&gt;0,NOT(M219),Flexing),FlexPC,0)</f>
        <v>0</v>
      </c>
      <c r="W219">
        <f>IF(AND($F219&gt;0,NOT(N219),Flexing),FlexPC,0)</f>
        <v>0</v>
      </c>
      <c r="X219">
        <f>IF(AND($F219&gt;0,NOT(O219),Flexing),FlexPC,0)</f>
        <v>0</v>
      </c>
      <c r="Y219">
        <f>IF(AND($F219&gt;0,NOT(P219),Flexing),FlexPC,0)</f>
        <v>0</v>
      </c>
      <c r="AA219" s="209">
        <f t="shared" si="3"/>
        <v>218</v>
      </c>
    </row>
    <row r="220" ht="15.75" customHeight="1">
      <c r="A220" s="206" t="str">
        <f>+Declarations!A220&amp;""</f>
        <v/>
      </c>
      <c r="B220" t="str">
        <f>IF(LEN($A220),IF(LEN(Declarations!$B220)&gt;0,Declarations!$B220,"#"&amp;$A220),"")</f>
        <v/>
      </c>
      <c r="C220" s="209" t="str">
        <f t="array" ref="C220">IF(LEN(INDEX(DECLARATIONS,$AA220,3))&gt;0,INDEX(DECLARATIONS,$AA220,3),"...")</f>
        <v>...</v>
      </c>
      <c r="D220" s="209" t="str">
        <f t="shared" si="1"/>
        <v/>
      </c>
      <c r="E220" s="296" t="str">
        <f t="array" ref="E220">IF(ISNA($AA220),0,INDEX(DECLARATIONS,$AA220,5))</f>
        <v/>
      </c>
      <c r="F220" s="209" t="str">
        <f t="array" ref="F220">IF(ISNA($AA220),0,INDEX(DECLARATIONS,$AA220,7))</f>
        <v/>
      </c>
      <c r="G220" s="209" t="str">
        <f t="array" ref="G220">UPPER(IF(ISNA($AA220),"",INDEX(DECLARATIONS,$AA220,4)))</f>
        <v/>
      </c>
      <c r="H220" t="str">
        <f>IF(AND(A220&gt;0,ISTEXT(B220)),IF(SECNAME="YES",LEFT(B220&amp;" ",FIND(" ",B220&amp;" ")+2)&amp;IF(F220&gt;0," ("&amp;F220&amp;")",""),B220&amp;IF(F220&gt;0," ("&amp;F220&amp;")","")),"#"&amp;$A220)</f>
        <v/>
      </c>
      <c r="I220" s="209">
        <f>IF(LEN($A220)&gt;0,IF(LEN($J220)&gt;0,MATCH(J220,MatchNames,0),EventIndex),0)</f>
        <v>0</v>
      </c>
      <c r="J220" s="209" t="str">
        <f>IF(LEN($A220)&gt;0,IF(LEN(Declarations!$F220)&gt;0,Declarations!$F220,conftype),"")</f>
        <v/>
      </c>
      <c r="M220" s="297">
        <f>IF(ISNA(VLOOKUP($A220,SprintData,2,FALSE)),0,VLOOKUP($A220,SprintData,2,FALSE))</f>
        <v>0</v>
      </c>
      <c r="N220" s="297">
        <f>IF(ISNA(VLOOKUP($A220,JumpData,2,FALSE)),0,VLOOKUP($A220,JumpData,2,FALSE))</f>
        <v>0</v>
      </c>
      <c r="O220" s="297">
        <f>IF(ISNA(VLOOKUP($A220,RunData,2,FALSE)),0,VLOOKUP($A220,RunData,2,FALSE))</f>
        <v>0</v>
      </c>
      <c r="P220" s="297">
        <f>IF(ISNA(VLOOKUP($A220,ThrowData,2,FALSE)),0,VLOOKUP($A220,ThrowData,2,FALSE))</f>
        <v>0</v>
      </c>
      <c r="Q220" s="298">
        <f>IF(ISNA(VLOOKUP($A220,SprintData,4,FALSE)),0,VLOOKUP($A220,SprintData,4,FALSE))+V220</f>
        <v>0</v>
      </c>
      <c r="R220" s="298">
        <f>IF(ISNA(VLOOKUP($A220,JumpData,4,FALSE)),0,VLOOKUP($A220,JumpData,4,FALSE))+W220</f>
        <v>0</v>
      </c>
      <c r="S220" s="298">
        <f>IF(ISNA(VLOOKUP($A220,RunData,4,FALSE)),0,VLOOKUP($A220,RunData,4,FALSE))+X220</f>
        <v>0</v>
      </c>
      <c r="T220" s="298">
        <f>IF(ISNA(VLOOKUP($A220,ThrowData,4,FALSE)),0,VLOOKUP($A220,ThrowData,4,FALSE))+Y220</f>
        <v>0</v>
      </c>
      <c r="U220" s="299">
        <f t="shared" si="2"/>
        <v>0</v>
      </c>
      <c r="V220">
        <f>IF(AND($F220&gt;0,NOT(M220),Flexing),FlexPC,0)</f>
        <v>0</v>
      </c>
      <c r="W220">
        <f>IF(AND($F220&gt;0,NOT(N220),Flexing),FlexPC,0)</f>
        <v>0</v>
      </c>
      <c r="X220">
        <f>IF(AND($F220&gt;0,NOT(O220),Flexing),FlexPC,0)</f>
        <v>0</v>
      </c>
      <c r="Y220">
        <f>IF(AND($F220&gt;0,NOT(P220),Flexing),FlexPC,0)</f>
        <v>0</v>
      </c>
      <c r="AA220" s="209">
        <f t="shared" si="3"/>
        <v>219</v>
      </c>
    </row>
    <row r="221" ht="15.75" customHeight="1">
      <c r="A221" s="206" t="str">
        <f>+Declarations!A221&amp;""</f>
        <v/>
      </c>
      <c r="B221" t="str">
        <f>IF(LEN($A221),IF(LEN(Declarations!$B221)&gt;0,Declarations!$B221,"#"&amp;$A221),"")</f>
        <v/>
      </c>
      <c r="C221" s="209" t="str">
        <f t="array" ref="C221">IF(LEN(INDEX(DECLARATIONS,$AA221,3))&gt;0,INDEX(DECLARATIONS,$AA221,3),"...")</f>
        <v>...</v>
      </c>
      <c r="D221" s="209" t="str">
        <f t="shared" si="1"/>
        <v/>
      </c>
      <c r="E221" s="296" t="str">
        <f t="array" ref="E221">IF(ISNA($AA221),0,INDEX(DECLARATIONS,$AA221,5))</f>
        <v/>
      </c>
      <c r="F221" s="209" t="str">
        <f t="array" ref="F221">IF(ISNA($AA221),0,INDEX(DECLARATIONS,$AA221,7))</f>
        <v/>
      </c>
      <c r="G221" s="209" t="str">
        <f t="array" ref="G221">UPPER(IF(ISNA($AA221),"",INDEX(DECLARATIONS,$AA221,4)))</f>
        <v/>
      </c>
      <c r="H221" t="str">
        <f>IF(AND(A221&gt;0,ISTEXT(B221)),IF(SECNAME="YES",LEFT(B221&amp;" ",FIND(" ",B221&amp;" ")+2)&amp;IF(F221&gt;0," ("&amp;F221&amp;")",""),B221&amp;IF(F221&gt;0," ("&amp;F221&amp;")","")),"#"&amp;$A221)</f>
        <v/>
      </c>
      <c r="I221" s="209">
        <f>IF(LEN($A221)&gt;0,IF(LEN($J221)&gt;0,MATCH(J221,MatchNames,0),EventIndex),0)</f>
        <v>0</v>
      </c>
      <c r="J221" s="209" t="str">
        <f>IF(LEN($A221)&gt;0,IF(LEN(Declarations!$F221)&gt;0,Declarations!$F221,conftype),"")</f>
        <v/>
      </c>
      <c r="M221" s="297">
        <f>IF(ISNA(VLOOKUP($A221,SprintData,2,FALSE)),0,VLOOKUP($A221,SprintData,2,FALSE))</f>
        <v>0</v>
      </c>
      <c r="N221" s="297">
        <f>IF(ISNA(VLOOKUP($A221,JumpData,2,FALSE)),0,VLOOKUP($A221,JumpData,2,FALSE))</f>
        <v>0</v>
      </c>
      <c r="O221" s="297">
        <f>IF(ISNA(VLOOKUP($A221,RunData,2,FALSE)),0,VLOOKUP($A221,RunData,2,FALSE))</f>
        <v>0</v>
      </c>
      <c r="P221" s="297">
        <f>IF(ISNA(VLOOKUP($A221,ThrowData,2,FALSE)),0,VLOOKUP($A221,ThrowData,2,FALSE))</f>
        <v>0</v>
      </c>
      <c r="Q221" s="298">
        <f>IF(ISNA(VLOOKUP($A221,SprintData,4,FALSE)),0,VLOOKUP($A221,SprintData,4,FALSE))+V221</f>
        <v>0</v>
      </c>
      <c r="R221" s="298">
        <f>IF(ISNA(VLOOKUP($A221,JumpData,4,FALSE)),0,VLOOKUP($A221,JumpData,4,FALSE))+W221</f>
        <v>0</v>
      </c>
      <c r="S221" s="298">
        <f>IF(ISNA(VLOOKUP($A221,RunData,4,FALSE)),0,VLOOKUP($A221,RunData,4,FALSE))+X221</f>
        <v>0</v>
      </c>
      <c r="T221" s="298">
        <f>IF(ISNA(VLOOKUP($A221,ThrowData,4,FALSE)),0,VLOOKUP($A221,ThrowData,4,FALSE))+Y221</f>
        <v>0</v>
      </c>
      <c r="U221" s="299">
        <f t="shared" si="2"/>
        <v>0</v>
      </c>
      <c r="V221">
        <f>IF(AND($F221&gt;0,NOT(M221),Flexing),FlexPC,0)</f>
        <v>0</v>
      </c>
      <c r="W221">
        <f>IF(AND($F221&gt;0,NOT(N221),Flexing),FlexPC,0)</f>
        <v>0</v>
      </c>
      <c r="X221">
        <f>IF(AND($F221&gt;0,NOT(O221),Flexing),FlexPC,0)</f>
        <v>0</v>
      </c>
      <c r="Y221">
        <f>IF(AND($F221&gt;0,NOT(P221),Flexing),FlexPC,0)</f>
        <v>0</v>
      </c>
      <c r="AA221" s="209">
        <f t="shared" si="3"/>
        <v>220</v>
      </c>
    </row>
    <row r="222" ht="15.75" customHeight="1">
      <c r="A222" s="206" t="str">
        <f>+Declarations!A222&amp;""</f>
        <v/>
      </c>
      <c r="B222" t="str">
        <f>IF(LEN($A222),IF(LEN(Declarations!$B222)&gt;0,Declarations!$B222,"#"&amp;$A222),"")</f>
        <v/>
      </c>
      <c r="C222" s="209" t="str">
        <f t="array" ref="C222">IF(LEN(INDEX(DECLARATIONS,$AA222,3))&gt;0,INDEX(DECLARATIONS,$AA222,3),"...")</f>
        <v>...</v>
      </c>
      <c r="D222" s="209" t="str">
        <f t="shared" si="1"/>
        <v/>
      </c>
      <c r="E222" s="296" t="str">
        <f t="array" ref="E222">IF(ISNA($AA222),0,INDEX(DECLARATIONS,$AA222,5))</f>
        <v/>
      </c>
      <c r="F222" s="209" t="str">
        <f t="array" ref="F222">IF(ISNA($AA222),0,INDEX(DECLARATIONS,$AA222,7))</f>
        <v/>
      </c>
      <c r="G222" s="209" t="str">
        <f t="array" ref="G222">UPPER(IF(ISNA($AA222),"",INDEX(DECLARATIONS,$AA222,4)))</f>
        <v/>
      </c>
      <c r="H222" t="str">
        <f>IF(AND(A222&gt;0,ISTEXT(B222)),IF(SECNAME="YES",LEFT(B222&amp;" ",FIND(" ",B222&amp;" ")+2)&amp;IF(F222&gt;0," ("&amp;F222&amp;")",""),B222&amp;IF(F222&gt;0," ("&amp;F222&amp;")","")),"#"&amp;$A222)</f>
        <v/>
      </c>
      <c r="I222" s="209">
        <f>IF(LEN($A222)&gt;0,IF(LEN($J222)&gt;0,MATCH(J222,MatchNames,0),EventIndex),0)</f>
        <v>0</v>
      </c>
      <c r="J222" s="209" t="str">
        <f>IF(LEN($A222)&gt;0,IF(LEN(Declarations!$F222)&gt;0,Declarations!$F222,conftype),"")</f>
        <v/>
      </c>
      <c r="M222" s="297">
        <f>IF(ISNA(VLOOKUP($A222,SprintData,2,FALSE)),0,VLOOKUP($A222,SprintData,2,FALSE))</f>
        <v>0</v>
      </c>
      <c r="N222" s="297">
        <f>IF(ISNA(VLOOKUP($A222,JumpData,2,FALSE)),0,VLOOKUP($A222,JumpData,2,FALSE))</f>
        <v>0</v>
      </c>
      <c r="O222" s="297">
        <f>IF(ISNA(VLOOKUP($A222,RunData,2,FALSE)),0,VLOOKUP($A222,RunData,2,FALSE))</f>
        <v>0</v>
      </c>
      <c r="P222" s="297">
        <f>IF(ISNA(VLOOKUP($A222,ThrowData,2,FALSE)),0,VLOOKUP($A222,ThrowData,2,FALSE))</f>
        <v>0</v>
      </c>
      <c r="Q222" s="298">
        <f>IF(ISNA(VLOOKUP($A222,SprintData,4,FALSE)),0,VLOOKUP($A222,SprintData,4,FALSE))+V222</f>
        <v>0</v>
      </c>
      <c r="R222" s="298">
        <f>IF(ISNA(VLOOKUP($A222,JumpData,4,FALSE)),0,VLOOKUP($A222,JumpData,4,FALSE))+W222</f>
        <v>0</v>
      </c>
      <c r="S222" s="298">
        <f>IF(ISNA(VLOOKUP($A222,RunData,4,FALSE)),0,VLOOKUP($A222,RunData,4,FALSE))+X222</f>
        <v>0</v>
      </c>
      <c r="T222" s="298">
        <f>IF(ISNA(VLOOKUP($A222,ThrowData,4,FALSE)),0,VLOOKUP($A222,ThrowData,4,FALSE))+Y222</f>
        <v>0</v>
      </c>
      <c r="U222" s="299">
        <f t="shared" si="2"/>
        <v>0</v>
      </c>
      <c r="V222">
        <f>IF(AND($F222&gt;0,NOT(M222),Flexing),FlexPC,0)</f>
        <v>0</v>
      </c>
      <c r="W222">
        <f>IF(AND($F222&gt;0,NOT(N222),Flexing),FlexPC,0)</f>
        <v>0</v>
      </c>
      <c r="X222">
        <f>IF(AND($F222&gt;0,NOT(O222),Flexing),FlexPC,0)</f>
        <v>0</v>
      </c>
      <c r="Y222">
        <f>IF(AND($F222&gt;0,NOT(P222),Flexing),FlexPC,0)</f>
        <v>0</v>
      </c>
      <c r="AA222" s="209">
        <f t="shared" si="3"/>
        <v>221</v>
      </c>
    </row>
    <row r="223" ht="15.75" customHeight="1">
      <c r="A223" s="206" t="str">
        <f>+Declarations!A223&amp;""</f>
        <v/>
      </c>
      <c r="B223" t="str">
        <f>IF(LEN($A223),IF(LEN(Declarations!$B223)&gt;0,Declarations!$B223,"#"&amp;$A223),"")</f>
        <v/>
      </c>
      <c r="C223" s="209" t="str">
        <f t="array" ref="C223">IF(LEN(INDEX(DECLARATIONS,$AA223,3))&gt;0,INDEX(DECLARATIONS,$AA223,3),"...")</f>
        <v>...</v>
      </c>
      <c r="D223" s="209" t="str">
        <f t="shared" si="1"/>
        <v/>
      </c>
      <c r="E223" s="296" t="str">
        <f t="array" ref="E223">IF(ISNA($AA223),0,INDEX(DECLARATIONS,$AA223,5))</f>
        <v/>
      </c>
      <c r="F223" s="209" t="str">
        <f t="array" ref="F223">IF(ISNA($AA223),0,INDEX(DECLARATIONS,$AA223,7))</f>
        <v/>
      </c>
      <c r="G223" s="209" t="str">
        <f t="array" ref="G223">UPPER(IF(ISNA($AA223),"",INDEX(DECLARATIONS,$AA223,4)))</f>
        <v/>
      </c>
      <c r="H223" t="str">
        <f>IF(AND(A223&gt;0,ISTEXT(B223)),IF(SECNAME="YES",LEFT(B223&amp;" ",FIND(" ",B223&amp;" ")+2)&amp;IF(F223&gt;0," ("&amp;F223&amp;")",""),B223&amp;IF(F223&gt;0," ("&amp;F223&amp;")","")),"#"&amp;$A223)</f>
        <v/>
      </c>
      <c r="I223" s="209">
        <f>IF(LEN($A223)&gt;0,IF(LEN($J223)&gt;0,MATCH(J223,MatchNames,0),EventIndex),0)</f>
        <v>0</v>
      </c>
      <c r="J223" s="209" t="str">
        <f>IF(LEN($A223)&gt;0,IF(LEN(Declarations!$F223)&gt;0,Declarations!$F223,conftype),"")</f>
        <v/>
      </c>
      <c r="M223" s="297">
        <f>IF(ISNA(VLOOKUP($A223,SprintData,2,FALSE)),0,VLOOKUP($A223,SprintData,2,FALSE))</f>
        <v>0</v>
      </c>
      <c r="N223" s="297">
        <f>IF(ISNA(VLOOKUP($A223,JumpData,2,FALSE)),0,VLOOKUP($A223,JumpData,2,FALSE))</f>
        <v>0</v>
      </c>
      <c r="O223" s="297">
        <f>IF(ISNA(VLOOKUP($A223,RunData,2,FALSE)),0,VLOOKUP($A223,RunData,2,FALSE))</f>
        <v>0</v>
      </c>
      <c r="P223" s="297">
        <f>IF(ISNA(VLOOKUP($A223,ThrowData,2,FALSE)),0,VLOOKUP($A223,ThrowData,2,FALSE))</f>
        <v>0</v>
      </c>
      <c r="Q223" s="298">
        <f>IF(ISNA(VLOOKUP($A223,SprintData,4,FALSE)),0,VLOOKUP($A223,SprintData,4,FALSE))+V223</f>
        <v>0</v>
      </c>
      <c r="R223" s="298">
        <f>IF(ISNA(VLOOKUP($A223,JumpData,4,FALSE)),0,VLOOKUP($A223,JumpData,4,FALSE))+W223</f>
        <v>0</v>
      </c>
      <c r="S223" s="298">
        <f>IF(ISNA(VLOOKUP($A223,RunData,4,FALSE)),0,VLOOKUP($A223,RunData,4,FALSE))+X223</f>
        <v>0</v>
      </c>
      <c r="T223" s="298">
        <f>IF(ISNA(VLOOKUP($A223,ThrowData,4,FALSE)),0,VLOOKUP($A223,ThrowData,4,FALSE))+Y223</f>
        <v>0</v>
      </c>
      <c r="U223" s="299">
        <f t="shared" si="2"/>
        <v>0</v>
      </c>
      <c r="V223">
        <f>IF(AND($F223&gt;0,NOT(M223),Flexing),FlexPC,0)</f>
        <v>0</v>
      </c>
      <c r="W223">
        <f>IF(AND($F223&gt;0,NOT(N223),Flexing),FlexPC,0)</f>
        <v>0</v>
      </c>
      <c r="X223">
        <f>IF(AND($F223&gt;0,NOT(O223),Flexing),FlexPC,0)</f>
        <v>0</v>
      </c>
      <c r="Y223">
        <f>IF(AND($F223&gt;0,NOT(P223),Flexing),FlexPC,0)</f>
        <v>0</v>
      </c>
      <c r="AA223" s="209">
        <f t="shared" si="3"/>
        <v>222</v>
      </c>
    </row>
    <row r="224" ht="15.75" customHeight="1">
      <c r="A224" s="206" t="str">
        <f>+Declarations!A224&amp;""</f>
        <v/>
      </c>
      <c r="B224" t="str">
        <f>IF(LEN($A224),IF(LEN(Declarations!$B224)&gt;0,Declarations!$B224,"#"&amp;$A224),"")</f>
        <v/>
      </c>
      <c r="C224" s="209" t="str">
        <f t="array" ref="C224">IF(LEN(INDEX(DECLARATIONS,$AA224,3))&gt;0,INDEX(DECLARATIONS,$AA224,3),"...")</f>
        <v>...</v>
      </c>
      <c r="D224" s="209" t="str">
        <f t="shared" si="1"/>
        <v/>
      </c>
      <c r="E224" s="296" t="str">
        <f t="array" ref="E224">IF(ISNA($AA224),0,INDEX(DECLARATIONS,$AA224,5))</f>
        <v/>
      </c>
      <c r="F224" s="209" t="str">
        <f t="array" ref="F224">IF(ISNA($AA224),0,INDEX(DECLARATIONS,$AA224,7))</f>
        <v/>
      </c>
      <c r="G224" s="209" t="str">
        <f t="array" ref="G224">UPPER(IF(ISNA($AA224),"",INDEX(DECLARATIONS,$AA224,4)))</f>
        <v/>
      </c>
      <c r="H224" t="str">
        <f>IF(AND(A224&gt;0,ISTEXT(B224)),IF(SECNAME="YES",LEFT(B224&amp;" ",FIND(" ",B224&amp;" ")+2)&amp;IF(F224&gt;0," ("&amp;F224&amp;")",""),B224&amp;IF(F224&gt;0," ("&amp;F224&amp;")","")),"#"&amp;$A224)</f>
        <v/>
      </c>
      <c r="I224" s="209">
        <f>IF(LEN($A224)&gt;0,IF(LEN($J224)&gt;0,MATCH(J224,MatchNames,0),EventIndex),0)</f>
        <v>0</v>
      </c>
      <c r="J224" s="209" t="str">
        <f>IF(LEN($A224)&gt;0,IF(LEN(Declarations!$F224)&gt;0,Declarations!$F224,conftype),"")</f>
        <v/>
      </c>
      <c r="M224" s="297">
        <f>IF(ISNA(VLOOKUP($A224,SprintData,2,FALSE)),0,VLOOKUP($A224,SprintData,2,FALSE))</f>
        <v>0</v>
      </c>
      <c r="N224" s="297">
        <f>IF(ISNA(VLOOKUP($A224,JumpData,2,FALSE)),0,VLOOKUP($A224,JumpData,2,FALSE))</f>
        <v>0</v>
      </c>
      <c r="O224" s="297">
        <f>IF(ISNA(VLOOKUP($A224,RunData,2,FALSE)),0,VLOOKUP($A224,RunData,2,FALSE))</f>
        <v>0</v>
      </c>
      <c r="P224" s="297">
        <f>IF(ISNA(VLOOKUP($A224,ThrowData,2,FALSE)),0,VLOOKUP($A224,ThrowData,2,FALSE))</f>
        <v>0</v>
      </c>
      <c r="Q224" s="298">
        <f>IF(ISNA(VLOOKUP($A224,SprintData,4,FALSE)),0,VLOOKUP($A224,SprintData,4,FALSE))+V224</f>
        <v>0</v>
      </c>
      <c r="R224" s="298">
        <f>IF(ISNA(VLOOKUP($A224,JumpData,4,FALSE)),0,VLOOKUP($A224,JumpData,4,FALSE))+W224</f>
        <v>0</v>
      </c>
      <c r="S224" s="298">
        <f>IF(ISNA(VLOOKUP($A224,RunData,4,FALSE)),0,VLOOKUP($A224,RunData,4,FALSE))+X224</f>
        <v>0</v>
      </c>
      <c r="T224" s="298">
        <f>IF(ISNA(VLOOKUP($A224,ThrowData,4,FALSE)),0,VLOOKUP($A224,ThrowData,4,FALSE))+Y224</f>
        <v>0</v>
      </c>
      <c r="U224" s="299">
        <f t="shared" si="2"/>
        <v>0</v>
      </c>
      <c r="V224">
        <f>IF(AND($F224&gt;0,NOT(M224),Flexing),FlexPC,0)</f>
        <v>0</v>
      </c>
      <c r="W224">
        <f>IF(AND($F224&gt;0,NOT(N224),Flexing),FlexPC,0)</f>
        <v>0</v>
      </c>
      <c r="X224">
        <f>IF(AND($F224&gt;0,NOT(O224),Flexing),FlexPC,0)</f>
        <v>0</v>
      </c>
      <c r="Y224">
        <f>IF(AND($F224&gt;0,NOT(P224),Flexing),FlexPC,0)</f>
        <v>0</v>
      </c>
      <c r="AA224" s="209">
        <f t="shared" si="3"/>
        <v>223</v>
      </c>
    </row>
    <row r="225" ht="15.75" customHeight="1">
      <c r="A225" s="206" t="str">
        <f>+Declarations!A225&amp;""</f>
        <v/>
      </c>
      <c r="B225" t="str">
        <f>IF(LEN($A225),IF(LEN(Declarations!$B225)&gt;0,Declarations!$B225,"#"&amp;$A225),"")</f>
        <v/>
      </c>
      <c r="C225" s="209" t="str">
        <f t="array" ref="C225">IF(LEN(INDEX(DECLARATIONS,$AA225,3))&gt;0,INDEX(DECLARATIONS,$AA225,3),"...")</f>
        <v>...</v>
      </c>
      <c r="D225" s="209" t="str">
        <f t="shared" si="1"/>
        <v/>
      </c>
      <c r="E225" s="296" t="str">
        <f t="array" ref="E225">IF(ISNA($AA225),0,INDEX(DECLARATIONS,$AA225,5))</f>
        <v/>
      </c>
      <c r="F225" s="209" t="str">
        <f t="array" ref="F225">IF(ISNA($AA225),0,INDEX(DECLARATIONS,$AA225,7))</f>
        <v/>
      </c>
      <c r="G225" s="209" t="str">
        <f t="array" ref="G225">UPPER(IF(ISNA($AA225),"",INDEX(DECLARATIONS,$AA225,4)))</f>
        <v/>
      </c>
      <c r="H225" t="str">
        <f>IF(AND(A225&gt;0,ISTEXT(B225)),IF(SECNAME="YES",LEFT(B225&amp;" ",FIND(" ",B225&amp;" ")+2)&amp;IF(F225&gt;0," ("&amp;F225&amp;")",""),B225&amp;IF(F225&gt;0," ("&amp;F225&amp;")","")),"#"&amp;$A225)</f>
        <v/>
      </c>
      <c r="I225" s="209">
        <f>IF(LEN($A225)&gt;0,IF(LEN($J225)&gt;0,MATCH(J225,MatchNames,0),EventIndex),0)</f>
        <v>0</v>
      </c>
      <c r="J225" s="209" t="str">
        <f>IF(LEN($A225)&gt;0,IF(LEN(Declarations!$F225)&gt;0,Declarations!$F225,conftype),"")</f>
        <v/>
      </c>
      <c r="M225" s="297">
        <f>IF(ISNA(VLOOKUP($A225,SprintData,2,FALSE)),0,VLOOKUP($A225,SprintData,2,FALSE))</f>
        <v>0</v>
      </c>
      <c r="N225" s="297">
        <f>IF(ISNA(VLOOKUP($A225,JumpData,2,FALSE)),0,VLOOKUP($A225,JumpData,2,FALSE))</f>
        <v>0</v>
      </c>
      <c r="O225" s="297">
        <f>IF(ISNA(VLOOKUP($A225,RunData,2,FALSE)),0,VLOOKUP($A225,RunData,2,FALSE))</f>
        <v>0</v>
      </c>
      <c r="P225" s="297">
        <f>IF(ISNA(VLOOKUP($A225,ThrowData,2,FALSE)),0,VLOOKUP($A225,ThrowData,2,FALSE))</f>
        <v>0</v>
      </c>
      <c r="Q225" s="298">
        <f>IF(ISNA(VLOOKUP($A225,SprintData,4,FALSE)),0,VLOOKUP($A225,SprintData,4,FALSE))+V225</f>
        <v>0</v>
      </c>
      <c r="R225" s="298">
        <f>IF(ISNA(VLOOKUP($A225,JumpData,4,FALSE)),0,VLOOKUP($A225,JumpData,4,FALSE))+W225</f>
        <v>0</v>
      </c>
      <c r="S225" s="298">
        <f>IF(ISNA(VLOOKUP($A225,RunData,4,FALSE)),0,VLOOKUP($A225,RunData,4,FALSE))+X225</f>
        <v>0</v>
      </c>
      <c r="T225" s="298">
        <f>IF(ISNA(VLOOKUP($A225,ThrowData,4,FALSE)),0,VLOOKUP($A225,ThrowData,4,FALSE))+Y225</f>
        <v>0</v>
      </c>
      <c r="U225" s="299">
        <f t="shared" si="2"/>
        <v>0</v>
      </c>
      <c r="V225">
        <f>IF(AND($F225&gt;0,NOT(M225),Flexing),FlexPC,0)</f>
        <v>0</v>
      </c>
      <c r="W225">
        <f>IF(AND($F225&gt;0,NOT(N225),Flexing),FlexPC,0)</f>
        <v>0</v>
      </c>
      <c r="X225">
        <f>IF(AND($F225&gt;0,NOT(O225),Flexing),FlexPC,0)</f>
        <v>0</v>
      </c>
      <c r="Y225">
        <f>IF(AND($F225&gt;0,NOT(P225),Flexing),FlexPC,0)</f>
        <v>0</v>
      </c>
      <c r="AA225" s="209">
        <f t="shared" si="3"/>
        <v>224</v>
      </c>
    </row>
    <row r="226" ht="15.75" customHeight="1">
      <c r="A226" s="206" t="str">
        <f>+Declarations!A226&amp;""</f>
        <v/>
      </c>
      <c r="B226" t="str">
        <f>IF(LEN($A226),IF(LEN(Declarations!$B226)&gt;0,Declarations!$B226,"#"&amp;$A226),"")</f>
        <v/>
      </c>
      <c r="C226" s="209" t="str">
        <f t="array" ref="C226">IF(LEN(INDEX(DECLARATIONS,$AA226,3))&gt;0,INDEX(DECLARATIONS,$AA226,3),"...")</f>
        <v>...</v>
      </c>
      <c r="D226" s="209" t="str">
        <f t="shared" si="1"/>
        <v/>
      </c>
      <c r="E226" s="296" t="str">
        <f t="array" ref="E226">IF(ISNA($AA226),0,INDEX(DECLARATIONS,$AA226,5))</f>
        <v/>
      </c>
      <c r="F226" s="209" t="str">
        <f t="array" ref="F226">IF(ISNA($AA226),0,INDEX(DECLARATIONS,$AA226,7))</f>
        <v/>
      </c>
      <c r="G226" s="209" t="str">
        <f t="array" ref="G226">UPPER(IF(ISNA($AA226),"",INDEX(DECLARATIONS,$AA226,4)))</f>
        <v/>
      </c>
      <c r="H226" t="str">
        <f>IF(AND(A226&gt;0,ISTEXT(B226)),IF(SECNAME="YES",LEFT(B226&amp;" ",FIND(" ",B226&amp;" ")+2)&amp;IF(F226&gt;0," ("&amp;F226&amp;")",""),B226&amp;IF(F226&gt;0," ("&amp;F226&amp;")","")),"#"&amp;$A226)</f>
        <v/>
      </c>
      <c r="I226" s="209">
        <f>IF(LEN($A226)&gt;0,IF(LEN($J226)&gt;0,MATCH(J226,MatchNames,0),EventIndex),0)</f>
        <v>0</v>
      </c>
      <c r="J226" s="209" t="str">
        <f>IF(LEN($A226)&gt;0,IF(LEN(Declarations!$F226)&gt;0,Declarations!$F226,conftype),"")</f>
        <v/>
      </c>
      <c r="M226" s="297">
        <f>IF(ISNA(VLOOKUP($A226,SprintData,2,FALSE)),0,VLOOKUP($A226,SprintData,2,FALSE))</f>
        <v>0</v>
      </c>
      <c r="N226" s="297">
        <f>IF(ISNA(VLOOKUP($A226,JumpData,2,FALSE)),0,VLOOKUP($A226,JumpData,2,FALSE))</f>
        <v>0</v>
      </c>
      <c r="O226" s="297">
        <f>IF(ISNA(VLOOKUP($A226,RunData,2,FALSE)),0,VLOOKUP($A226,RunData,2,FALSE))</f>
        <v>0</v>
      </c>
      <c r="P226" s="297">
        <f>IF(ISNA(VLOOKUP($A226,ThrowData,2,FALSE)),0,VLOOKUP($A226,ThrowData,2,FALSE))</f>
        <v>0</v>
      </c>
      <c r="Q226" s="298">
        <f>IF(ISNA(VLOOKUP($A226,SprintData,4,FALSE)),0,VLOOKUP($A226,SprintData,4,FALSE))+V226</f>
        <v>0</v>
      </c>
      <c r="R226" s="298">
        <f>IF(ISNA(VLOOKUP($A226,JumpData,4,FALSE)),0,VLOOKUP($A226,JumpData,4,FALSE))+W226</f>
        <v>0</v>
      </c>
      <c r="S226" s="298">
        <f>IF(ISNA(VLOOKUP($A226,RunData,4,FALSE)),0,VLOOKUP($A226,RunData,4,FALSE))+X226</f>
        <v>0</v>
      </c>
      <c r="T226" s="298">
        <f>IF(ISNA(VLOOKUP($A226,ThrowData,4,FALSE)),0,VLOOKUP($A226,ThrowData,4,FALSE))+Y226</f>
        <v>0</v>
      </c>
      <c r="U226" s="299">
        <f t="shared" si="2"/>
        <v>0</v>
      </c>
      <c r="V226">
        <f>IF(AND($F226&gt;0,NOT(M226),Flexing),FlexPC,0)</f>
        <v>0</v>
      </c>
      <c r="W226">
        <f>IF(AND($F226&gt;0,NOT(N226),Flexing),FlexPC,0)</f>
        <v>0</v>
      </c>
      <c r="X226">
        <f>IF(AND($F226&gt;0,NOT(O226),Flexing),FlexPC,0)</f>
        <v>0</v>
      </c>
      <c r="Y226">
        <f>IF(AND($F226&gt;0,NOT(P226),Flexing),FlexPC,0)</f>
        <v>0</v>
      </c>
      <c r="AA226" s="209">
        <f t="shared" si="3"/>
        <v>225</v>
      </c>
    </row>
    <row r="227" ht="15.75" customHeight="1">
      <c r="A227" s="206" t="str">
        <f>+Declarations!A227&amp;""</f>
        <v/>
      </c>
      <c r="B227" t="str">
        <f>IF(LEN($A227),IF(LEN(Declarations!$B227)&gt;0,Declarations!$B227,"#"&amp;$A227),"")</f>
        <v/>
      </c>
      <c r="C227" s="209" t="str">
        <f t="array" ref="C227">IF(LEN(INDEX(DECLARATIONS,$AA227,3))&gt;0,INDEX(DECLARATIONS,$AA227,3),"...")</f>
        <v>...</v>
      </c>
      <c r="D227" s="209" t="str">
        <f t="shared" si="1"/>
        <v/>
      </c>
      <c r="E227" s="296" t="str">
        <f t="array" ref="E227">IF(ISNA($AA227),0,INDEX(DECLARATIONS,$AA227,5))</f>
        <v/>
      </c>
      <c r="F227" s="209" t="str">
        <f t="array" ref="F227">IF(ISNA($AA227),0,INDEX(DECLARATIONS,$AA227,7))</f>
        <v/>
      </c>
      <c r="G227" s="209" t="str">
        <f t="array" ref="G227">UPPER(IF(ISNA($AA227),"",INDEX(DECLARATIONS,$AA227,4)))</f>
        <v/>
      </c>
      <c r="H227" t="str">
        <f>IF(AND(A227&gt;0,ISTEXT(B227)),IF(SECNAME="YES",LEFT(B227&amp;" ",FIND(" ",B227&amp;" ")+2)&amp;IF(F227&gt;0," ("&amp;F227&amp;")",""),B227&amp;IF(F227&gt;0," ("&amp;F227&amp;")","")),"#"&amp;$A227)</f>
        <v/>
      </c>
      <c r="I227" s="209">
        <f>IF(LEN($A227)&gt;0,IF(LEN($J227)&gt;0,MATCH(J227,MatchNames,0),EventIndex),0)</f>
        <v>0</v>
      </c>
      <c r="J227" s="209" t="str">
        <f>IF(LEN($A227)&gt;0,IF(LEN(Declarations!$F227)&gt;0,Declarations!$F227,conftype),"")</f>
        <v/>
      </c>
      <c r="M227" s="297">
        <f>IF(ISNA(VLOOKUP($A227,SprintData,2,FALSE)),0,VLOOKUP($A227,SprintData,2,FALSE))</f>
        <v>0</v>
      </c>
      <c r="N227" s="297">
        <f>IF(ISNA(VLOOKUP($A227,JumpData,2,FALSE)),0,VLOOKUP($A227,JumpData,2,FALSE))</f>
        <v>0</v>
      </c>
      <c r="O227" s="297">
        <f>IF(ISNA(VLOOKUP($A227,RunData,2,FALSE)),0,VLOOKUP($A227,RunData,2,FALSE))</f>
        <v>0</v>
      </c>
      <c r="P227" s="297">
        <f>IF(ISNA(VLOOKUP($A227,ThrowData,2,FALSE)),0,VLOOKUP($A227,ThrowData,2,FALSE))</f>
        <v>0</v>
      </c>
      <c r="Q227" s="298">
        <f>IF(ISNA(VLOOKUP($A227,SprintData,4,FALSE)),0,VLOOKUP($A227,SprintData,4,FALSE))+V227</f>
        <v>0</v>
      </c>
      <c r="R227" s="298">
        <f>IF(ISNA(VLOOKUP($A227,JumpData,4,FALSE)),0,VLOOKUP($A227,JumpData,4,FALSE))+W227</f>
        <v>0</v>
      </c>
      <c r="S227" s="298">
        <f>IF(ISNA(VLOOKUP($A227,RunData,4,FALSE)),0,VLOOKUP($A227,RunData,4,FALSE))+X227</f>
        <v>0</v>
      </c>
      <c r="T227" s="298">
        <f>IF(ISNA(VLOOKUP($A227,ThrowData,4,FALSE)),0,VLOOKUP($A227,ThrowData,4,FALSE))+Y227</f>
        <v>0</v>
      </c>
      <c r="U227" s="299">
        <f t="shared" si="2"/>
        <v>0</v>
      </c>
      <c r="V227">
        <f>IF(AND($F227&gt;0,NOT(M227),Flexing),FlexPC,0)</f>
        <v>0</v>
      </c>
      <c r="W227">
        <f>IF(AND($F227&gt;0,NOT(N227),Flexing),FlexPC,0)</f>
        <v>0</v>
      </c>
      <c r="X227">
        <f>IF(AND($F227&gt;0,NOT(O227),Flexing),FlexPC,0)</f>
        <v>0</v>
      </c>
      <c r="Y227">
        <f>IF(AND($F227&gt;0,NOT(P227),Flexing),FlexPC,0)</f>
        <v>0</v>
      </c>
      <c r="AA227" s="209">
        <f t="shared" si="3"/>
        <v>226</v>
      </c>
    </row>
    <row r="228" ht="15.75" customHeight="1">
      <c r="A228" s="206" t="str">
        <f>+Declarations!A228&amp;""</f>
        <v/>
      </c>
      <c r="B228" t="str">
        <f>IF(LEN($A228),IF(LEN(Declarations!$B228)&gt;0,Declarations!$B228,"#"&amp;$A228),"")</f>
        <v/>
      </c>
      <c r="C228" s="209" t="str">
        <f t="array" ref="C228">IF(LEN(INDEX(DECLARATIONS,$AA228,3))&gt;0,INDEX(DECLARATIONS,$AA228,3),"...")</f>
        <v>...</v>
      </c>
      <c r="D228" s="209" t="str">
        <f t="shared" si="1"/>
        <v/>
      </c>
      <c r="E228" s="296" t="str">
        <f t="array" ref="E228">IF(ISNA($AA228),0,INDEX(DECLARATIONS,$AA228,5))</f>
        <v/>
      </c>
      <c r="F228" s="209" t="str">
        <f t="array" ref="F228">IF(ISNA($AA228),0,INDEX(DECLARATIONS,$AA228,7))</f>
        <v/>
      </c>
      <c r="G228" s="209" t="str">
        <f t="array" ref="G228">UPPER(IF(ISNA($AA228),"",INDEX(DECLARATIONS,$AA228,4)))</f>
        <v/>
      </c>
      <c r="H228" t="str">
        <f>IF(AND(A228&gt;0,ISTEXT(B228)),IF(SECNAME="YES",LEFT(B228&amp;" ",FIND(" ",B228&amp;" ")+2)&amp;IF(F228&gt;0," ("&amp;F228&amp;")",""),B228&amp;IF(F228&gt;0," ("&amp;F228&amp;")","")),"#"&amp;$A228)</f>
        <v/>
      </c>
      <c r="I228" s="209">
        <f>IF(LEN($A228)&gt;0,IF(LEN($J228)&gt;0,MATCH(J228,MatchNames,0),EventIndex),0)</f>
        <v>0</v>
      </c>
      <c r="J228" s="209" t="str">
        <f>IF(LEN($A228)&gt;0,IF(LEN(Declarations!$F228)&gt;0,Declarations!$F228,conftype),"")</f>
        <v/>
      </c>
      <c r="M228" s="297">
        <f>IF(ISNA(VLOOKUP($A228,SprintData,2,FALSE)),0,VLOOKUP($A228,SprintData,2,FALSE))</f>
        <v>0</v>
      </c>
      <c r="N228" s="297">
        <f>IF(ISNA(VLOOKUP($A228,JumpData,2,FALSE)),0,VLOOKUP($A228,JumpData,2,FALSE))</f>
        <v>0</v>
      </c>
      <c r="O228" s="297">
        <f>IF(ISNA(VLOOKUP($A228,RunData,2,FALSE)),0,VLOOKUP($A228,RunData,2,FALSE))</f>
        <v>0</v>
      </c>
      <c r="P228" s="297">
        <f>IF(ISNA(VLOOKUP($A228,ThrowData,2,FALSE)),0,VLOOKUP($A228,ThrowData,2,FALSE))</f>
        <v>0</v>
      </c>
      <c r="Q228" s="298">
        <f>IF(ISNA(VLOOKUP($A228,SprintData,4,FALSE)),0,VLOOKUP($A228,SprintData,4,FALSE))+V228</f>
        <v>0</v>
      </c>
      <c r="R228" s="298">
        <f>IF(ISNA(VLOOKUP($A228,JumpData,4,FALSE)),0,VLOOKUP($A228,JumpData,4,FALSE))+W228</f>
        <v>0</v>
      </c>
      <c r="S228" s="298">
        <f>IF(ISNA(VLOOKUP($A228,RunData,4,FALSE)),0,VLOOKUP($A228,RunData,4,FALSE))+X228</f>
        <v>0</v>
      </c>
      <c r="T228" s="298">
        <f>IF(ISNA(VLOOKUP($A228,ThrowData,4,FALSE)),0,VLOOKUP($A228,ThrowData,4,FALSE))+Y228</f>
        <v>0</v>
      </c>
      <c r="U228" s="299">
        <f t="shared" si="2"/>
        <v>0</v>
      </c>
      <c r="V228">
        <f>IF(AND($F228&gt;0,NOT(M228),Flexing),FlexPC,0)</f>
        <v>0</v>
      </c>
      <c r="W228">
        <f>IF(AND($F228&gt;0,NOT(N228),Flexing),FlexPC,0)</f>
        <v>0</v>
      </c>
      <c r="X228">
        <f>IF(AND($F228&gt;0,NOT(O228),Flexing),FlexPC,0)</f>
        <v>0</v>
      </c>
      <c r="Y228">
        <f>IF(AND($F228&gt;0,NOT(P228),Flexing),FlexPC,0)</f>
        <v>0</v>
      </c>
      <c r="AA228" s="209">
        <f t="shared" si="3"/>
        <v>227</v>
      </c>
    </row>
    <row r="229" ht="15.75" customHeight="1">
      <c r="A229" s="206" t="str">
        <f>+Declarations!A229&amp;""</f>
        <v/>
      </c>
      <c r="B229" t="str">
        <f>IF(LEN($A229),IF(LEN(Declarations!$B229)&gt;0,Declarations!$B229,"#"&amp;$A229),"")</f>
        <v/>
      </c>
      <c r="C229" s="209" t="str">
        <f t="array" ref="C229">IF(LEN(INDEX(DECLARATIONS,$AA229,3))&gt;0,INDEX(DECLARATIONS,$AA229,3),"...")</f>
        <v>...</v>
      </c>
      <c r="D229" s="209" t="str">
        <f t="shared" si="1"/>
        <v/>
      </c>
      <c r="E229" s="296" t="str">
        <f t="array" ref="E229">IF(ISNA($AA229),0,INDEX(DECLARATIONS,$AA229,5))</f>
        <v/>
      </c>
      <c r="F229" s="209" t="str">
        <f t="array" ref="F229">IF(ISNA($AA229),0,INDEX(DECLARATIONS,$AA229,7))</f>
        <v/>
      </c>
      <c r="G229" s="209" t="str">
        <f t="array" ref="G229">UPPER(IF(ISNA($AA229),"",INDEX(DECLARATIONS,$AA229,4)))</f>
        <v/>
      </c>
      <c r="H229" t="str">
        <f>IF(AND(A229&gt;0,ISTEXT(B229)),IF(SECNAME="YES",LEFT(B229&amp;" ",FIND(" ",B229&amp;" ")+2)&amp;IF(F229&gt;0," ("&amp;F229&amp;")",""),B229&amp;IF(F229&gt;0," ("&amp;F229&amp;")","")),"#"&amp;$A229)</f>
        <v/>
      </c>
      <c r="I229" s="209">
        <f>IF(LEN($A229)&gt;0,IF(LEN($J229)&gt;0,MATCH(J229,MatchNames,0),EventIndex),0)</f>
        <v>0</v>
      </c>
      <c r="J229" s="209" t="str">
        <f>IF(LEN($A229)&gt;0,IF(LEN(Declarations!$F229)&gt;0,Declarations!$F229,conftype),"")</f>
        <v/>
      </c>
      <c r="M229" s="297">
        <f>IF(ISNA(VLOOKUP($A229,SprintData,2,FALSE)),0,VLOOKUP($A229,SprintData,2,FALSE))</f>
        <v>0</v>
      </c>
      <c r="N229" s="297">
        <f>IF(ISNA(VLOOKUP($A229,JumpData,2,FALSE)),0,VLOOKUP($A229,JumpData,2,FALSE))</f>
        <v>0</v>
      </c>
      <c r="O229" s="297">
        <f>IF(ISNA(VLOOKUP($A229,RunData,2,FALSE)),0,VLOOKUP($A229,RunData,2,FALSE))</f>
        <v>0</v>
      </c>
      <c r="P229" s="297">
        <f>IF(ISNA(VLOOKUP($A229,ThrowData,2,FALSE)),0,VLOOKUP($A229,ThrowData,2,FALSE))</f>
        <v>0</v>
      </c>
      <c r="Q229" s="298">
        <f>IF(ISNA(VLOOKUP($A229,SprintData,4,FALSE)),0,VLOOKUP($A229,SprintData,4,FALSE))+V229</f>
        <v>0</v>
      </c>
      <c r="R229" s="298">
        <f>IF(ISNA(VLOOKUP($A229,JumpData,4,FALSE)),0,VLOOKUP($A229,JumpData,4,FALSE))+W229</f>
        <v>0</v>
      </c>
      <c r="S229" s="298">
        <f>IF(ISNA(VLOOKUP($A229,RunData,4,FALSE)),0,VLOOKUP($A229,RunData,4,FALSE))+X229</f>
        <v>0</v>
      </c>
      <c r="T229" s="298">
        <f>IF(ISNA(VLOOKUP($A229,ThrowData,4,FALSE)),0,VLOOKUP($A229,ThrowData,4,FALSE))+Y229</f>
        <v>0</v>
      </c>
      <c r="U229" s="299">
        <f t="shared" si="2"/>
        <v>0</v>
      </c>
      <c r="V229">
        <f>IF(AND($F229&gt;0,NOT(M229),Flexing),FlexPC,0)</f>
        <v>0</v>
      </c>
      <c r="W229">
        <f>IF(AND($F229&gt;0,NOT(N229),Flexing),FlexPC,0)</f>
        <v>0</v>
      </c>
      <c r="X229">
        <f>IF(AND($F229&gt;0,NOT(O229),Flexing),FlexPC,0)</f>
        <v>0</v>
      </c>
      <c r="Y229">
        <f>IF(AND($F229&gt;0,NOT(P229),Flexing),FlexPC,0)</f>
        <v>0</v>
      </c>
      <c r="AA229" s="209">
        <f t="shared" si="3"/>
        <v>228</v>
      </c>
    </row>
    <row r="230" ht="15.75" customHeight="1">
      <c r="A230" s="206" t="str">
        <f>+Declarations!A230&amp;""</f>
        <v/>
      </c>
      <c r="B230" t="str">
        <f>IF(LEN($A230),IF(LEN(Declarations!$B230)&gt;0,Declarations!$B230,"#"&amp;$A230),"")</f>
        <v/>
      </c>
      <c r="C230" s="209" t="str">
        <f t="array" ref="C230">IF(LEN(INDEX(DECLARATIONS,$AA230,3))&gt;0,INDEX(DECLARATIONS,$AA230,3),"...")</f>
        <v>...</v>
      </c>
      <c r="D230" s="209" t="str">
        <f t="shared" si="1"/>
        <v/>
      </c>
      <c r="E230" s="296" t="str">
        <f t="array" ref="E230">IF(ISNA($AA230),0,INDEX(DECLARATIONS,$AA230,5))</f>
        <v/>
      </c>
      <c r="F230" s="209" t="str">
        <f t="array" ref="F230">IF(ISNA($AA230),0,INDEX(DECLARATIONS,$AA230,7))</f>
        <v/>
      </c>
      <c r="G230" s="209" t="str">
        <f t="array" ref="G230">UPPER(IF(ISNA($AA230),"",INDEX(DECLARATIONS,$AA230,4)))</f>
        <v/>
      </c>
      <c r="H230" t="str">
        <f>IF(AND(A230&gt;0,ISTEXT(B230)),IF(SECNAME="YES",LEFT(B230&amp;" ",FIND(" ",B230&amp;" ")+2)&amp;IF(F230&gt;0," ("&amp;F230&amp;")",""),B230&amp;IF(F230&gt;0," ("&amp;F230&amp;")","")),"#"&amp;$A230)</f>
        <v/>
      </c>
      <c r="I230" s="209">
        <f>IF(LEN($A230)&gt;0,IF(LEN($J230)&gt;0,MATCH(J230,MatchNames,0),EventIndex),0)</f>
        <v>0</v>
      </c>
      <c r="J230" s="209" t="str">
        <f>IF(LEN($A230)&gt;0,IF(LEN(Declarations!$F230)&gt;0,Declarations!$F230,conftype),"")</f>
        <v/>
      </c>
      <c r="M230" s="297">
        <f>IF(ISNA(VLOOKUP($A230,SprintData,2,FALSE)),0,VLOOKUP($A230,SprintData,2,FALSE))</f>
        <v>0</v>
      </c>
      <c r="N230" s="297">
        <f>IF(ISNA(VLOOKUP($A230,JumpData,2,FALSE)),0,VLOOKUP($A230,JumpData,2,FALSE))</f>
        <v>0</v>
      </c>
      <c r="O230" s="297">
        <f>IF(ISNA(VLOOKUP($A230,RunData,2,FALSE)),0,VLOOKUP($A230,RunData,2,FALSE))</f>
        <v>0</v>
      </c>
      <c r="P230" s="297">
        <f>IF(ISNA(VLOOKUP($A230,ThrowData,2,FALSE)),0,VLOOKUP($A230,ThrowData,2,FALSE))</f>
        <v>0</v>
      </c>
      <c r="Q230" s="298">
        <f>IF(ISNA(VLOOKUP($A230,SprintData,4,FALSE)),0,VLOOKUP($A230,SprintData,4,FALSE))+V230</f>
        <v>0</v>
      </c>
      <c r="R230" s="298">
        <f>IF(ISNA(VLOOKUP($A230,JumpData,4,FALSE)),0,VLOOKUP($A230,JumpData,4,FALSE))+W230</f>
        <v>0</v>
      </c>
      <c r="S230" s="298">
        <f>IF(ISNA(VLOOKUP($A230,RunData,4,FALSE)),0,VLOOKUP($A230,RunData,4,FALSE))+X230</f>
        <v>0</v>
      </c>
      <c r="T230" s="298">
        <f>IF(ISNA(VLOOKUP($A230,ThrowData,4,FALSE)),0,VLOOKUP($A230,ThrowData,4,FALSE))+Y230</f>
        <v>0</v>
      </c>
      <c r="U230" s="299">
        <f t="shared" si="2"/>
        <v>0</v>
      </c>
      <c r="V230">
        <f>IF(AND($F230&gt;0,NOT(M230),Flexing),FlexPC,0)</f>
        <v>0</v>
      </c>
      <c r="W230">
        <f>IF(AND($F230&gt;0,NOT(N230),Flexing),FlexPC,0)</f>
        <v>0</v>
      </c>
      <c r="X230">
        <f>IF(AND($F230&gt;0,NOT(O230),Flexing),FlexPC,0)</f>
        <v>0</v>
      </c>
      <c r="Y230">
        <f>IF(AND($F230&gt;0,NOT(P230),Flexing),FlexPC,0)</f>
        <v>0</v>
      </c>
      <c r="AA230" s="209">
        <f t="shared" si="3"/>
        <v>229</v>
      </c>
    </row>
    <row r="231" ht="15.75" customHeight="1">
      <c r="A231" s="206" t="str">
        <f>+Declarations!A231&amp;""</f>
        <v/>
      </c>
      <c r="B231" t="str">
        <f>IF(LEN($A231),IF(LEN(Declarations!$B231)&gt;0,Declarations!$B231,"#"&amp;$A231),"")</f>
        <v/>
      </c>
      <c r="C231" s="209" t="str">
        <f t="array" ref="C231">IF(LEN(INDEX(DECLARATIONS,$AA231,3))&gt;0,INDEX(DECLARATIONS,$AA231,3),"...")</f>
        <v>...</v>
      </c>
      <c r="D231" s="209" t="str">
        <f t="shared" si="1"/>
        <v/>
      </c>
      <c r="E231" s="296" t="str">
        <f t="array" ref="E231">IF(ISNA($AA231),0,INDEX(DECLARATIONS,$AA231,5))</f>
        <v/>
      </c>
      <c r="F231" s="209" t="str">
        <f t="array" ref="F231">IF(ISNA($AA231),0,INDEX(DECLARATIONS,$AA231,7))</f>
        <v/>
      </c>
      <c r="G231" s="209" t="str">
        <f t="array" ref="G231">UPPER(IF(ISNA($AA231),"",INDEX(DECLARATIONS,$AA231,4)))</f>
        <v/>
      </c>
      <c r="H231" t="str">
        <f>IF(AND(A231&gt;0,ISTEXT(B231)),IF(SECNAME="YES",LEFT(B231&amp;" ",FIND(" ",B231&amp;" ")+2)&amp;IF(F231&gt;0," ("&amp;F231&amp;")",""),B231&amp;IF(F231&gt;0," ("&amp;F231&amp;")","")),"#"&amp;$A231)</f>
        <v/>
      </c>
      <c r="I231" s="209">
        <f>IF(LEN($A231)&gt;0,IF(LEN($J231)&gt;0,MATCH(J231,MatchNames,0),EventIndex),0)</f>
        <v>0</v>
      </c>
      <c r="J231" s="209" t="str">
        <f>IF(LEN($A231)&gt;0,IF(LEN(Declarations!$F231)&gt;0,Declarations!$F231,conftype),"")</f>
        <v/>
      </c>
      <c r="M231" s="297">
        <f>IF(ISNA(VLOOKUP($A231,SprintData,2,FALSE)),0,VLOOKUP($A231,SprintData,2,FALSE))</f>
        <v>0</v>
      </c>
      <c r="N231" s="297">
        <f>IF(ISNA(VLOOKUP($A231,JumpData,2,FALSE)),0,VLOOKUP($A231,JumpData,2,FALSE))</f>
        <v>0</v>
      </c>
      <c r="O231" s="297">
        <f>IF(ISNA(VLOOKUP($A231,RunData,2,FALSE)),0,VLOOKUP($A231,RunData,2,FALSE))</f>
        <v>0</v>
      </c>
      <c r="P231" s="297">
        <f>IF(ISNA(VLOOKUP($A231,ThrowData,2,FALSE)),0,VLOOKUP($A231,ThrowData,2,FALSE))</f>
        <v>0</v>
      </c>
      <c r="Q231" s="298">
        <f>IF(ISNA(VLOOKUP($A231,SprintData,4,FALSE)),0,VLOOKUP($A231,SprintData,4,FALSE))+V231</f>
        <v>0</v>
      </c>
      <c r="R231" s="298">
        <f>IF(ISNA(VLOOKUP($A231,JumpData,4,FALSE)),0,VLOOKUP($A231,JumpData,4,FALSE))+W231</f>
        <v>0</v>
      </c>
      <c r="S231" s="298">
        <f>IF(ISNA(VLOOKUP($A231,RunData,4,FALSE)),0,VLOOKUP($A231,RunData,4,FALSE))+X231</f>
        <v>0</v>
      </c>
      <c r="T231" s="298">
        <f>IF(ISNA(VLOOKUP($A231,ThrowData,4,FALSE)),0,VLOOKUP($A231,ThrowData,4,FALSE))+Y231</f>
        <v>0</v>
      </c>
      <c r="U231" s="299">
        <f t="shared" si="2"/>
        <v>0</v>
      </c>
      <c r="V231">
        <f>IF(AND($F231&gt;0,NOT(M231),Flexing),FlexPC,0)</f>
        <v>0</v>
      </c>
      <c r="W231">
        <f>IF(AND($F231&gt;0,NOT(N231),Flexing),FlexPC,0)</f>
        <v>0</v>
      </c>
      <c r="X231">
        <f>IF(AND($F231&gt;0,NOT(O231),Flexing),FlexPC,0)</f>
        <v>0</v>
      </c>
      <c r="Y231">
        <f>IF(AND($F231&gt;0,NOT(P231),Flexing),FlexPC,0)</f>
        <v>0</v>
      </c>
      <c r="AA231" s="209">
        <f t="shared" si="3"/>
        <v>230</v>
      </c>
    </row>
    <row r="232" ht="15.75" customHeight="1">
      <c r="A232" s="206" t="str">
        <f>+Declarations!A232&amp;""</f>
        <v/>
      </c>
      <c r="B232" t="str">
        <f>IF(LEN($A232),IF(LEN(Declarations!$B232)&gt;0,Declarations!$B232,"#"&amp;$A232),"")</f>
        <v/>
      </c>
      <c r="C232" s="209" t="str">
        <f t="array" ref="C232">IF(LEN(INDEX(DECLARATIONS,$AA232,3))&gt;0,INDEX(DECLARATIONS,$AA232,3),"...")</f>
        <v>...</v>
      </c>
      <c r="D232" s="209" t="str">
        <f t="shared" si="1"/>
        <v/>
      </c>
      <c r="E232" s="296" t="str">
        <f t="array" ref="E232">IF(ISNA($AA232),0,INDEX(DECLARATIONS,$AA232,5))</f>
        <v/>
      </c>
      <c r="F232" s="209" t="str">
        <f t="array" ref="F232">IF(ISNA($AA232),0,INDEX(DECLARATIONS,$AA232,7))</f>
        <v/>
      </c>
      <c r="G232" s="209" t="str">
        <f t="array" ref="G232">UPPER(IF(ISNA($AA232),"",INDEX(DECLARATIONS,$AA232,4)))</f>
        <v/>
      </c>
      <c r="H232" t="str">
        <f>IF(AND(A232&gt;0,ISTEXT(B232)),IF(SECNAME="YES",LEFT(B232&amp;" ",FIND(" ",B232&amp;" ")+2)&amp;IF(F232&gt;0," ("&amp;F232&amp;")",""),B232&amp;IF(F232&gt;0," ("&amp;F232&amp;")","")),"#"&amp;$A232)</f>
        <v/>
      </c>
      <c r="I232" s="209">
        <f>IF(LEN($A232)&gt;0,IF(LEN($J232)&gt;0,MATCH(J232,MatchNames,0),EventIndex),0)</f>
        <v>0</v>
      </c>
      <c r="J232" s="209" t="str">
        <f>IF(LEN($A232)&gt;0,IF(LEN(Declarations!$F232)&gt;0,Declarations!$F232,conftype),"")</f>
        <v/>
      </c>
      <c r="M232" s="297">
        <f>IF(ISNA(VLOOKUP($A232,SprintData,2,FALSE)),0,VLOOKUP($A232,SprintData,2,FALSE))</f>
        <v>0</v>
      </c>
      <c r="N232" s="297">
        <f>IF(ISNA(VLOOKUP($A232,JumpData,2,FALSE)),0,VLOOKUP($A232,JumpData,2,FALSE))</f>
        <v>0</v>
      </c>
      <c r="O232" s="297">
        <f>IF(ISNA(VLOOKUP($A232,RunData,2,FALSE)),0,VLOOKUP($A232,RunData,2,FALSE))</f>
        <v>0</v>
      </c>
      <c r="P232" s="297">
        <f>IF(ISNA(VLOOKUP($A232,ThrowData,2,FALSE)),0,VLOOKUP($A232,ThrowData,2,FALSE))</f>
        <v>0</v>
      </c>
      <c r="Q232" s="298">
        <f>IF(ISNA(VLOOKUP($A232,SprintData,4,FALSE)),0,VLOOKUP($A232,SprintData,4,FALSE))+V232</f>
        <v>0</v>
      </c>
      <c r="R232" s="298">
        <f>IF(ISNA(VLOOKUP($A232,JumpData,4,FALSE)),0,VLOOKUP($A232,JumpData,4,FALSE))+W232</f>
        <v>0</v>
      </c>
      <c r="S232" s="298">
        <f>IF(ISNA(VLOOKUP($A232,RunData,4,FALSE)),0,VLOOKUP($A232,RunData,4,FALSE))+X232</f>
        <v>0</v>
      </c>
      <c r="T232" s="298">
        <f>IF(ISNA(VLOOKUP($A232,ThrowData,4,FALSE)),0,VLOOKUP($A232,ThrowData,4,FALSE))+Y232</f>
        <v>0</v>
      </c>
      <c r="U232" s="299">
        <f t="shared" si="2"/>
        <v>0</v>
      </c>
      <c r="V232">
        <f>IF(AND($F232&gt;0,NOT(M232),Flexing),FlexPC,0)</f>
        <v>0</v>
      </c>
      <c r="W232">
        <f>IF(AND($F232&gt;0,NOT(N232),Flexing),FlexPC,0)</f>
        <v>0</v>
      </c>
      <c r="X232">
        <f>IF(AND($F232&gt;0,NOT(O232),Flexing),FlexPC,0)</f>
        <v>0</v>
      </c>
      <c r="Y232">
        <f>IF(AND($F232&gt;0,NOT(P232),Flexing),FlexPC,0)</f>
        <v>0</v>
      </c>
      <c r="AA232" s="209">
        <f t="shared" si="3"/>
        <v>231</v>
      </c>
    </row>
    <row r="233" ht="15.75" customHeight="1">
      <c r="A233" s="206" t="str">
        <f>+Declarations!A233&amp;""</f>
        <v/>
      </c>
      <c r="B233" t="str">
        <f>IF(LEN($A233),IF(LEN(Declarations!$B233)&gt;0,Declarations!$B233,"#"&amp;$A233),"")</f>
        <v/>
      </c>
      <c r="C233" s="209" t="str">
        <f t="array" ref="C233">IF(LEN(INDEX(DECLARATIONS,$AA233,3))&gt;0,INDEX(DECLARATIONS,$AA233,3),"...")</f>
        <v>...</v>
      </c>
      <c r="D233" s="209" t="str">
        <f t="shared" si="1"/>
        <v/>
      </c>
      <c r="E233" s="296" t="str">
        <f t="array" ref="E233">IF(ISNA($AA233),0,INDEX(DECLARATIONS,$AA233,5))</f>
        <v/>
      </c>
      <c r="F233" s="209" t="str">
        <f t="array" ref="F233">IF(ISNA($AA233),0,INDEX(DECLARATIONS,$AA233,7))</f>
        <v/>
      </c>
      <c r="G233" s="209" t="str">
        <f t="array" ref="G233">UPPER(IF(ISNA($AA233),"",INDEX(DECLARATIONS,$AA233,4)))</f>
        <v/>
      </c>
      <c r="H233" t="str">
        <f>IF(AND(A233&gt;0,ISTEXT(B233)),IF(SECNAME="YES",LEFT(B233&amp;" ",FIND(" ",B233&amp;" ")+2)&amp;IF(F233&gt;0," ("&amp;F233&amp;")",""),B233&amp;IF(F233&gt;0," ("&amp;F233&amp;")","")),"#"&amp;$A233)</f>
        <v/>
      </c>
      <c r="I233" s="209">
        <f>IF(LEN($A233)&gt;0,IF(LEN($J233)&gt;0,MATCH(J233,MatchNames,0),EventIndex),0)</f>
        <v>0</v>
      </c>
      <c r="J233" s="209" t="str">
        <f>IF(LEN($A233)&gt;0,IF(LEN(Declarations!$F233)&gt;0,Declarations!$F233,conftype),"")</f>
        <v/>
      </c>
      <c r="M233" s="297">
        <f>IF(ISNA(VLOOKUP($A233,SprintData,2,FALSE)),0,VLOOKUP($A233,SprintData,2,FALSE))</f>
        <v>0</v>
      </c>
      <c r="N233" s="297">
        <f>IF(ISNA(VLOOKUP($A233,JumpData,2,FALSE)),0,VLOOKUP($A233,JumpData,2,FALSE))</f>
        <v>0</v>
      </c>
      <c r="O233" s="297">
        <f>IF(ISNA(VLOOKUP($A233,RunData,2,FALSE)),0,VLOOKUP($A233,RunData,2,FALSE))</f>
        <v>0</v>
      </c>
      <c r="P233" s="297">
        <f>IF(ISNA(VLOOKUP($A233,ThrowData,2,FALSE)),0,VLOOKUP($A233,ThrowData,2,FALSE))</f>
        <v>0</v>
      </c>
      <c r="Q233" s="298">
        <f>IF(ISNA(VLOOKUP($A233,SprintData,4,FALSE)),0,VLOOKUP($A233,SprintData,4,FALSE))+V233</f>
        <v>0</v>
      </c>
      <c r="R233" s="298">
        <f>IF(ISNA(VLOOKUP($A233,JumpData,4,FALSE)),0,VLOOKUP($A233,JumpData,4,FALSE))+W233</f>
        <v>0</v>
      </c>
      <c r="S233" s="298">
        <f>IF(ISNA(VLOOKUP($A233,RunData,4,FALSE)),0,VLOOKUP($A233,RunData,4,FALSE))+X233</f>
        <v>0</v>
      </c>
      <c r="T233" s="298">
        <f>IF(ISNA(VLOOKUP($A233,ThrowData,4,FALSE)),0,VLOOKUP($A233,ThrowData,4,FALSE))+Y233</f>
        <v>0</v>
      </c>
      <c r="U233" s="299">
        <f t="shared" si="2"/>
        <v>0</v>
      </c>
      <c r="V233">
        <f>IF(AND($F233&gt;0,NOT(M233),Flexing),FlexPC,0)</f>
        <v>0</v>
      </c>
      <c r="W233">
        <f>IF(AND($F233&gt;0,NOT(N233),Flexing),FlexPC,0)</f>
        <v>0</v>
      </c>
      <c r="X233">
        <f>IF(AND($F233&gt;0,NOT(O233),Flexing),FlexPC,0)</f>
        <v>0</v>
      </c>
      <c r="Y233">
        <f>IF(AND($F233&gt;0,NOT(P233),Flexing),FlexPC,0)</f>
        <v>0</v>
      </c>
      <c r="AA233" s="209">
        <f t="shared" si="3"/>
        <v>232</v>
      </c>
    </row>
    <row r="234" ht="15.75" customHeight="1">
      <c r="A234" s="206" t="str">
        <f>+Declarations!A234&amp;""</f>
        <v/>
      </c>
      <c r="B234" t="str">
        <f>IF(LEN($A234),IF(LEN(Declarations!$B234)&gt;0,Declarations!$B234,"#"&amp;$A234),"")</f>
        <v/>
      </c>
      <c r="C234" s="209" t="str">
        <f t="array" ref="C234">IF(LEN(INDEX(DECLARATIONS,$AA234,3))&gt;0,INDEX(DECLARATIONS,$AA234,3),"...")</f>
        <v>...</v>
      </c>
      <c r="D234" s="209" t="str">
        <f t="shared" si="1"/>
        <v/>
      </c>
      <c r="E234" s="296" t="str">
        <f t="array" ref="E234">IF(ISNA($AA234),0,INDEX(DECLARATIONS,$AA234,5))</f>
        <v/>
      </c>
      <c r="F234" s="209" t="str">
        <f t="array" ref="F234">IF(ISNA($AA234),0,INDEX(DECLARATIONS,$AA234,7))</f>
        <v/>
      </c>
      <c r="G234" s="209" t="str">
        <f t="array" ref="G234">UPPER(IF(ISNA($AA234),"",INDEX(DECLARATIONS,$AA234,4)))</f>
        <v/>
      </c>
      <c r="H234" t="str">
        <f>IF(AND(A234&gt;0,ISTEXT(B234)),IF(SECNAME="YES",LEFT(B234&amp;" ",FIND(" ",B234&amp;" ")+2)&amp;IF(F234&gt;0," ("&amp;F234&amp;")",""),B234&amp;IF(F234&gt;0," ("&amp;F234&amp;")","")),"#"&amp;$A234)</f>
        <v/>
      </c>
      <c r="I234" s="209">
        <f>IF(LEN($A234)&gt;0,IF(LEN($J234)&gt;0,MATCH(J234,MatchNames,0),EventIndex),0)</f>
        <v>0</v>
      </c>
      <c r="J234" s="209" t="str">
        <f>IF(LEN($A234)&gt;0,IF(LEN(Declarations!$F234)&gt;0,Declarations!$F234,conftype),"")</f>
        <v/>
      </c>
      <c r="M234" s="297">
        <f>IF(ISNA(VLOOKUP($A234,SprintData,2,FALSE)),0,VLOOKUP($A234,SprintData,2,FALSE))</f>
        <v>0</v>
      </c>
      <c r="N234" s="297">
        <f>IF(ISNA(VLOOKUP($A234,JumpData,2,FALSE)),0,VLOOKUP($A234,JumpData,2,FALSE))</f>
        <v>0</v>
      </c>
      <c r="O234" s="297">
        <f>IF(ISNA(VLOOKUP($A234,RunData,2,FALSE)),0,VLOOKUP($A234,RunData,2,FALSE))</f>
        <v>0</v>
      </c>
      <c r="P234" s="297">
        <f>IF(ISNA(VLOOKUP($A234,ThrowData,2,FALSE)),0,VLOOKUP($A234,ThrowData,2,FALSE))</f>
        <v>0</v>
      </c>
      <c r="Q234" s="298">
        <f>IF(ISNA(VLOOKUP($A234,SprintData,4,FALSE)),0,VLOOKUP($A234,SprintData,4,FALSE))+V234</f>
        <v>0</v>
      </c>
      <c r="R234" s="298">
        <f>IF(ISNA(VLOOKUP($A234,JumpData,4,FALSE)),0,VLOOKUP($A234,JumpData,4,FALSE))+W234</f>
        <v>0</v>
      </c>
      <c r="S234" s="298">
        <f>IF(ISNA(VLOOKUP($A234,RunData,4,FALSE)),0,VLOOKUP($A234,RunData,4,FALSE))+X234</f>
        <v>0</v>
      </c>
      <c r="T234" s="298">
        <f>IF(ISNA(VLOOKUP($A234,ThrowData,4,FALSE)),0,VLOOKUP($A234,ThrowData,4,FALSE))+Y234</f>
        <v>0</v>
      </c>
      <c r="U234" s="299">
        <f t="shared" si="2"/>
        <v>0</v>
      </c>
      <c r="V234">
        <f>IF(AND($F234&gt;0,NOT(M234),Flexing),FlexPC,0)</f>
        <v>0</v>
      </c>
      <c r="W234">
        <f>IF(AND($F234&gt;0,NOT(N234),Flexing),FlexPC,0)</f>
        <v>0</v>
      </c>
      <c r="X234">
        <f>IF(AND($F234&gt;0,NOT(O234),Flexing),FlexPC,0)</f>
        <v>0</v>
      </c>
      <c r="Y234">
        <f>IF(AND($F234&gt;0,NOT(P234),Flexing),FlexPC,0)</f>
        <v>0</v>
      </c>
      <c r="AA234" s="209">
        <f t="shared" si="3"/>
        <v>233</v>
      </c>
    </row>
    <row r="235" ht="15.75" customHeight="1">
      <c r="A235" s="206" t="str">
        <f>+Declarations!A235&amp;""</f>
        <v/>
      </c>
      <c r="B235" t="str">
        <f>IF(LEN($A235),IF(LEN(Declarations!$B235)&gt;0,Declarations!$B235,"#"&amp;$A235),"")</f>
        <v/>
      </c>
      <c r="C235" s="209" t="str">
        <f t="array" ref="C235">IF(LEN(INDEX(DECLARATIONS,$AA235,3))&gt;0,INDEX(DECLARATIONS,$AA235,3),"...")</f>
        <v>...</v>
      </c>
      <c r="D235" s="209" t="str">
        <f t="shared" si="1"/>
        <v/>
      </c>
      <c r="E235" s="296" t="str">
        <f t="array" ref="E235">IF(ISNA($AA235),0,INDEX(DECLARATIONS,$AA235,5))</f>
        <v/>
      </c>
      <c r="F235" s="209" t="str">
        <f t="array" ref="F235">IF(ISNA($AA235),0,INDEX(DECLARATIONS,$AA235,7))</f>
        <v/>
      </c>
      <c r="G235" s="209" t="str">
        <f t="array" ref="G235">UPPER(IF(ISNA($AA235),"",INDEX(DECLARATIONS,$AA235,4)))</f>
        <v/>
      </c>
      <c r="H235" t="str">
        <f>IF(AND(A235&gt;0,ISTEXT(B235)),IF(SECNAME="YES",LEFT(B235&amp;" ",FIND(" ",B235&amp;" ")+2)&amp;IF(F235&gt;0," ("&amp;F235&amp;")",""),B235&amp;IF(F235&gt;0," ("&amp;F235&amp;")","")),"#"&amp;$A235)</f>
        <v/>
      </c>
      <c r="I235" s="209">
        <f>IF(LEN($A235)&gt;0,IF(LEN($J235)&gt;0,MATCH(J235,MatchNames,0),EventIndex),0)</f>
        <v>0</v>
      </c>
      <c r="J235" s="209" t="str">
        <f>IF(LEN($A235)&gt;0,IF(LEN(Declarations!$F235)&gt;0,Declarations!$F235,conftype),"")</f>
        <v/>
      </c>
      <c r="M235" s="297">
        <f>IF(ISNA(VLOOKUP($A235,SprintData,2,FALSE)),0,VLOOKUP($A235,SprintData,2,FALSE))</f>
        <v>0</v>
      </c>
      <c r="N235" s="297">
        <f>IF(ISNA(VLOOKUP($A235,JumpData,2,FALSE)),0,VLOOKUP($A235,JumpData,2,FALSE))</f>
        <v>0</v>
      </c>
      <c r="O235" s="297">
        <f>IF(ISNA(VLOOKUP($A235,RunData,2,FALSE)),0,VLOOKUP($A235,RunData,2,FALSE))</f>
        <v>0</v>
      </c>
      <c r="P235" s="297">
        <f>IF(ISNA(VLOOKUP($A235,ThrowData,2,FALSE)),0,VLOOKUP($A235,ThrowData,2,FALSE))</f>
        <v>0</v>
      </c>
      <c r="Q235" s="298">
        <f>IF(ISNA(VLOOKUP($A235,SprintData,4,FALSE)),0,VLOOKUP($A235,SprintData,4,FALSE))+V235</f>
        <v>0</v>
      </c>
      <c r="R235" s="298">
        <f>IF(ISNA(VLOOKUP($A235,JumpData,4,FALSE)),0,VLOOKUP($A235,JumpData,4,FALSE))+W235</f>
        <v>0</v>
      </c>
      <c r="S235" s="298">
        <f>IF(ISNA(VLOOKUP($A235,RunData,4,FALSE)),0,VLOOKUP($A235,RunData,4,FALSE))+X235</f>
        <v>0</v>
      </c>
      <c r="T235" s="298">
        <f>IF(ISNA(VLOOKUP($A235,ThrowData,4,FALSE)),0,VLOOKUP($A235,ThrowData,4,FALSE))+Y235</f>
        <v>0</v>
      </c>
      <c r="U235" s="299">
        <f t="shared" si="2"/>
        <v>0</v>
      </c>
      <c r="V235">
        <f>IF(AND($F235&gt;0,NOT(M235),Flexing),FlexPC,0)</f>
        <v>0</v>
      </c>
      <c r="W235">
        <f>IF(AND($F235&gt;0,NOT(N235),Flexing),FlexPC,0)</f>
        <v>0</v>
      </c>
      <c r="X235">
        <f>IF(AND($F235&gt;0,NOT(O235),Flexing),FlexPC,0)</f>
        <v>0</v>
      </c>
      <c r="Y235">
        <f>IF(AND($F235&gt;0,NOT(P235),Flexing),FlexPC,0)</f>
        <v>0</v>
      </c>
      <c r="AA235" s="209">
        <f t="shared" si="3"/>
        <v>234</v>
      </c>
    </row>
    <row r="236" ht="15.75" customHeight="1">
      <c r="A236" s="206" t="str">
        <f>+Declarations!A236&amp;""</f>
        <v/>
      </c>
      <c r="B236" t="str">
        <f>IF(LEN($A236),IF(LEN(Declarations!$B236)&gt;0,Declarations!$B236,"#"&amp;$A236),"")</f>
        <v/>
      </c>
      <c r="C236" s="209" t="str">
        <f t="array" ref="C236">IF(LEN(INDEX(DECLARATIONS,$AA236,3))&gt;0,INDEX(DECLARATIONS,$AA236,3),"...")</f>
        <v>...</v>
      </c>
      <c r="D236" s="209" t="str">
        <f t="shared" si="1"/>
        <v/>
      </c>
      <c r="E236" s="296" t="str">
        <f t="array" ref="E236">IF(ISNA($AA236),0,INDEX(DECLARATIONS,$AA236,5))</f>
        <v/>
      </c>
      <c r="F236" s="209" t="str">
        <f t="array" ref="F236">IF(ISNA($AA236),0,INDEX(DECLARATIONS,$AA236,7))</f>
        <v/>
      </c>
      <c r="G236" s="209" t="str">
        <f t="array" ref="G236">UPPER(IF(ISNA($AA236),"",INDEX(DECLARATIONS,$AA236,4)))</f>
        <v/>
      </c>
      <c r="H236" t="str">
        <f>IF(AND(A236&gt;0,ISTEXT(B236)),IF(SECNAME="YES",LEFT(B236&amp;" ",FIND(" ",B236&amp;" ")+2)&amp;IF(F236&gt;0," ("&amp;F236&amp;")",""),B236&amp;IF(F236&gt;0," ("&amp;F236&amp;")","")),"#"&amp;$A236)</f>
        <v/>
      </c>
      <c r="I236" s="209">
        <f>IF(LEN($A236)&gt;0,IF(LEN($J236)&gt;0,MATCH(J236,MatchNames,0),EventIndex),0)</f>
        <v>0</v>
      </c>
      <c r="J236" s="209" t="str">
        <f>IF(LEN($A236)&gt;0,IF(LEN(Declarations!$F236)&gt;0,Declarations!$F236,conftype),"")</f>
        <v/>
      </c>
      <c r="M236" s="297">
        <f>IF(ISNA(VLOOKUP($A236,SprintData,2,FALSE)),0,VLOOKUP($A236,SprintData,2,FALSE))</f>
        <v>0</v>
      </c>
      <c r="N236" s="297">
        <f>IF(ISNA(VLOOKUP($A236,JumpData,2,FALSE)),0,VLOOKUP($A236,JumpData,2,FALSE))</f>
        <v>0</v>
      </c>
      <c r="O236" s="297">
        <f>IF(ISNA(VLOOKUP($A236,RunData,2,FALSE)),0,VLOOKUP($A236,RunData,2,FALSE))</f>
        <v>0</v>
      </c>
      <c r="P236" s="297">
        <f>IF(ISNA(VLOOKUP($A236,ThrowData,2,FALSE)),0,VLOOKUP($A236,ThrowData,2,FALSE))</f>
        <v>0</v>
      </c>
      <c r="Q236" s="298">
        <f>IF(ISNA(VLOOKUP($A236,SprintData,4,FALSE)),0,VLOOKUP($A236,SprintData,4,FALSE))+V236</f>
        <v>0</v>
      </c>
      <c r="R236" s="298">
        <f>IF(ISNA(VLOOKUP($A236,JumpData,4,FALSE)),0,VLOOKUP($A236,JumpData,4,FALSE))+W236</f>
        <v>0</v>
      </c>
      <c r="S236" s="298">
        <f>IF(ISNA(VLOOKUP($A236,RunData,4,FALSE)),0,VLOOKUP($A236,RunData,4,FALSE))+X236</f>
        <v>0</v>
      </c>
      <c r="T236" s="298">
        <f>IF(ISNA(VLOOKUP($A236,ThrowData,4,FALSE)),0,VLOOKUP($A236,ThrowData,4,FALSE))+Y236</f>
        <v>0</v>
      </c>
      <c r="U236" s="299">
        <f t="shared" si="2"/>
        <v>0</v>
      </c>
      <c r="V236">
        <f>IF(AND($F236&gt;0,NOT(M236),Flexing),FlexPC,0)</f>
        <v>0</v>
      </c>
      <c r="W236">
        <f>IF(AND($F236&gt;0,NOT(N236),Flexing),FlexPC,0)</f>
        <v>0</v>
      </c>
      <c r="X236">
        <f>IF(AND($F236&gt;0,NOT(O236),Flexing),FlexPC,0)</f>
        <v>0</v>
      </c>
      <c r="Y236">
        <f>IF(AND($F236&gt;0,NOT(P236),Flexing),FlexPC,0)</f>
        <v>0</v>
      </c>
      <c r="AA236" s="209">
        <f t="shared" si="3"/>
        <v>235</v>
      </c>
    </row>
    <row r="237" ht="15.75" customHeight="1">
      <c r="A237" s="206" t="str">
        <f>+Declarations!A237&amp;""</f>
        <v/>
      </c>
      <c r="B237" t="str">
        <f>IF(LEN($A237),IF(LEN(Declarations!$B237)&gt;0,Declarations!$B237,"#"&amp;$A237),"")</f>
        <v/>
      </c>
      <c r="C237" s="209" t="str">
        <f t="array" ref="C237">IF(LEN(INDEX(DECLARATIONS,$AA237,3))&gt;0,INDEX(DECLARATIONS,$AA237,3),"...")</f>
        <v>...</v>
      </c>
      <c r="D237" s="209" t="str">
        <f t="shared" si="1"/>
        <v/>
      </c>
      <c r="E237" s="296" t="str">
        <f t="array" ref="E237">IF(ISNA($AA237),0,INDEX(DECLARATIONS,$AA237,5))</f>
        <v/>
      </c>
      <c r="F237" s="209" t="str">
        <f t="array" ref="F237">IF(ISNA($AA237),0,INDEX(DECLARATIONS,$AA237,7))</f>
        <v/>
      </c>
      <c r="G237" s="209" t="str">
        <f t="array" ref="G237">UPPER(IF(ISNA($AA237),"",INDEX(DECLARATIONS,$AA237,4)))</f>
        <v/>
      </c>
      <c r="H237" t="str">
        <f>IF(AND(A237&gt;0,ISTEXT(B237)),IF(SECNAME="YES",LEFT(B237&amp;" ",FIND(" ",B237&amp;" ")+2)&amp;IF(F237&gt;0," ("&amp;F237&amp;")",""),B237&amp;IF(F237&gt;0," ("&amp;F237&amp;")","")),"#"&amp;$A237)</f>
        <v/>
      </c>
      <c r="I237" s="209">
        <f>IF(LEN($A237)&gt;0,IF(LEN($J237)&gt;0,MATCH(J237,MatchNames,0),EventIndex),0)</f>
        <v>0</v>
      </c>
      <c r="J237" s="209" t="str">
        <f>IF(LEN($A237)&gt;0,IF(LEN(Declarations!$F237)&gt;0,Declarations!$F237,conftype),"")</f>
        <v/>
      </c>
      <c r="M237" s="297">
        <f>IF(ISNA(VLOOKUP($A237,SprintData,2,FALSE)),0,VLOOKUP($A237,SprintData,2,FALSE))</f>
        <v>0</v>
      </c>
      <c r="N237" s="297">
        <f>IF(ISNA(VLOOKUP($A237,JumpData,2,FALSE)),0,VLOOKUP($A237,JumpData,2,FALSE))</f>
        <v>0</v>
      </c>
      <c r="O237" s="297">
        <f>IF(ISNA(VLOOKUP($A237,RunData,2,FALSE)),0,VLOOKUP($A237,RunData,2,FALSE))</f>
        <v>0</v>
      </c>
      <c r="P237" s="297">
        <f>IF(ISNA(VLOOKUP($A237,ThrowData,2,FALSE)),0,VLOOKUP($A237,ThrowData,2,FALSE))</f>
        <v>0</v>
      </c>
      <c r="Q237" s="298">
        <f>IF(ISNA(VLOOKUP($A237,SprintData,4,FALSE)),0,VLOOKUP($A237,SprintData,4,FALSE))+V237</f>
        <v>0</v>
      </c>
      <c r="R237" s="298">
        <f>IF(ISNA(VLOOKUP($A237,JumpData,4,FALSE)),0,VLOOKUP($A237,JumpData,4,FALSE))+W237</f>
        <v>0</v>
      </c>
      <c r="S237" s="298">
        <f>IF(ISNA(VLOOKUP($A237,RunData,4,FALSE)),0,VLOOKUP($A237,RunData,4,FALSE))+X237</f>
        <v>0</v>
      </c>
      <c r="T237" s="298">
        <f>IF(ISNA(VLOOKUP($A237,ThrowData,4,FALSE)),0,VLOOKUP($A237,ThrowData,4,FALSE))+Y237</f>
        <v>0</v>
      </c>
      <c r="U237" s="299">
        <f t="shared" si="2"/>
        <v>0</v>
      </c>
      <c r="V237">
        <f>IF(AND($F237&gt;0,NOT(M237),Flexing),FlexPC,0)</f>
        <v>0</v>
      </c>
      <c r="W237">
        <f>IF(AND($F237&gt;0,NOT(N237),Flexing),FlexPC,0)</f>
        <v>0</v>
      </c>
      <c r="X237">
        <f>IF(AND($F237&gt;0,NOT(O237),Flexing),FlexPC,0)</f>
        <v>0</v>
      </c>
      <c r="Y237">
        <f>IF(AND($F237&gt;0,NOT(P237),Flexing),FlexPC,0)</f>
        <v>0</v>
      </c>
      <c r="AA237" s="209">
        <f t="shared" si="3"/>
        <v>236</v>
      </c>
    </row>
    <row r="238" ht="15.75" customHeight="1">
      <c r="A238" s="206" t="str">
        <f>+Declarations!A238&amp;""</f>
        <v/>
      </c>
      <c r="B238" t="str">
        <f>IF(LEN($A238),IF(LEN(Declarations!$B238)&gt;0,Declarations!$B238,"#"&amp;$A238),"")</f>
        <v/>
      </c>
      <c r="C238" s="209" t="str">
        <f t="array" ref="C238">IF(LEN(INDEX(DECLARATIONS,$AA238,3))&gt;0,INDEX(DECLARATIONS,$AA238,3),"...")</f>
        <v>...</v>
      </c>
      <c r="D238" s="209" t="str">
        <f t="shared" si="1"/>
        <v/>
      </c>
      <c r="E238" s="296" t="str">
        <f t="array" ref="E238">IF(ISNA($AA238),0,INDEX(DECLARATIONS,$AA238,5))</f>
        <v/>
      </c>
      <c r="F238" s="209" t="str">
        <f t="array" ref="F238">IF(ISNA($AA238),0,INDEX(DECLARATIONS,$AA238,7))</f>
        <v/>
      </c>
      <c r="G238" s="209" t="str">
        <f t="array" ref="G238">UPPER(IF(ISNA($AA238),"",INDEX(DECLARATIONS,$AA238,4)))</f>
        <v/>
      </c>
      <c r="H238" t="str">
        <f>IF(AND(A238&gt;0,ISTEXT(B238)),IF(SECNAME="YES",LEFT(B238&amp;" ",FIND(" ",B238&amp;" ")+2)&amp;IF(F238&gt;0," ("&amp;F238&amp;")",""),B238&amp;IF(F238&gt;0," ("&amp;F238&amp;")","")),"#"&amp;$A238)</f>
        <v/>
      </c>
      <c r="I238" s="209">
        <f>IF(LEN($A238)&gt;0,IF(LEN($J238)&gt;0,MATCH(J238,MatchNames,0),EventIndex),0)</f>
        <v>0</v>
      </c>
      <c r="J238" s="209" t="str">
        <f>IF(LEN($A238)&gt;0,IF(LEN(Declarations!$F238)&gt;0,Declarations!$F238,conftype),"")</f>
        <v/>
      </c>
      <c r="M238" s="297">
        <f>IF(ISNA(VLOOKUP($A238,SprintData,2,FALSE)),0,VLOOKUP($A238,SprintData,2,FALSE))</f>
        <v>0</v>
      </c>
      <c r="N238" s="297">
        <f>IF(ISNA(VLOOKUP($A238,JumpData,2,FALSE)),0,VLOOKUP($A238,JumpData,2,FALSE))</f>
        <v>0</v>
      </c>
      <c r="O238" s="297">
        <f>IF(ISNA(VLOOKUP($A238,RunData,2,FALSE)),0,VLOOKUP($A238,RunData,2,FALSE))</f>
        <v>0</v>
      </c>
      <c r="P238" s="297">
        <f>IF(ISNA(VLOOKUP($A238,ThrowData,2,FALSE)),0,VLOOKUP($A238,ThrowData,2,FALSE))</f>
        <v>0</v>
      </c>
      <c r="Q238" s="298">
        <f>IF(ISNA(VLOOKUP($A238,SprintData,4,FALSE)),0,VLOOKUP($A238,SprintData,4,FALSE))+V238</f>
        <v>0</v>
      </c>
      <c r="R238" s="298">
        <f>IF(ISNA(VLOOKUP($A238,JumpData,4,FALSE)),0,VLOOKUP($A238,JumpData,4,FALSE))+W238</f>
        <v>0</v>
      </c>
      <c r="S238" s="298">
        <f>IF(ISNA(VLOOKUP($A238,RunData,4,FALSE)),0,VLOOKUP($A238,RunData,4,FALSE))+X238</f>
        <v>0</v>
      </c>
      <c r="T238" s="298">
        <f>IF(ISNA(VLOOKUP($A238,ThrowData,4,FALSE)),0,VLOOKUP($A238,ThrowData,4,FALSE))+Y238</f>
        <v>0</v>
      </c>
      <c r="U238" s="299">
        <f t="shared" si="2"/>
        <v>0</v>
      </c>
      <c r="V238">
        <f>IF(AND($F238&gt;0,NOT(M238),Flexing),FlexPC,0)</f>
        <v>0</v>
      </c>
      <c r="W238">
        <f>IF(AND($F238&gt;0,NOT(N238),Flexing),FlexPC,0)</f>
        <v>0</v>
      </c>
      <c r="X238">
        <f>IF(AND($F238&gt;0,NOT(O238),Flexing),FlexPC,0)</f>
        <v>0</v>
      </c>
      <c r="Y238">
        <f>IF(AND($F238&gt;0,NOT(P238),Flexing),FlexPC,0)</f>
        <v>0</v>
      </c>
      <c r="AA238" s="209">
        <f t="shared" si="3"/>
        <v>237</v>
      </c>
    </row>
    <row r="239" ht="15.75" customHeight="1">
      <c r="A239" s="206" t="str">
        <f>+Declarations!A239&amp;""</f>
        <v/>
      </c>
      <c r="B239" t="str">
        <f>IF(LEN($A239),IF(LEN(Declarations!$B239)&gt;0,Declarations!$B239,"#"&amp;$A239),"")</f>
        <v/>
      </c>
      <c r="C239" s="209" t="str">
        <f t="array" ref="C239">IF(LEN(INDEX(DECLARATIONS,$AA239,3))&gt;0,INDEX(DECLARATIONS,$AA239,3),"...")</f>
        <v>...</v>
      </c>
      <c r="D239" s="209" t="str">
        <f t="shared" si="1"/>
        <v/>
      </c>
      <c r="E239" s="296" t="str">
        <f t="array" ref="E239">IF(ISNA($AA239),0,INDEX(DECLARATIONS,$AA239,5))</f>
        <v/>
      </c>
      <c r="F239" s="209" t="str">
        <f t="array" ref="F239">IF(ISNA($AA239),0,INDEX(DECLARATIONS,$AA239,7))</f>
        <v/>
      </c>
      <c r="G239" s="209" t="str">
        <f t="array" ref="G239">UPPER(IF(ISNA($AA239),"",INDEX(DECLARATIONS,$AA239,4)))</f>
        <v/>
      </c>
      <c r="H239" t="str">
        <f>IF(AND(A239&gt;0,ISTEXT(B239)),IF(SECNAME="YES",LEFT(B239&amp;" ",FIND(" ",B239&amp;" ")+2)&amp;IF(F239&gt;0," ("&amp;F239&amp;")",""),B239&amp;IF(F239&gt;0," ("&amp;F239&amp;")","")),"#"&amp;$A239)</f>
        <v/>
      </c>
      <c r="I239" s="209">
        <f>IF(LEN($A239)&gt;0,IF(LEN($J239)&gt;0,MATCH(J239,MatchNames,0),EventIndex),0)</f>
        <v>0</v>
      </c>
      <c r="J239" s="209" t="str">
        <f>IF(LEN($A239)&gt;0,IF(LEN(Declarations!$F239)&gt;0,Declarations!$F239,conftype),"")</f>
        <v/>
      </c>
      <c r="M239" s="297">
        <f>IF(ISNA(VLOOKUP($A239,SprintData,2,FALSE)),0,VLOOKUP($A239,SprintData,2,FALSE))</f>
        <v>0</v>
      </c>
      <c r="N239" s="297">
        <f>IF(ISNA(VLOOKUP($A239,JumpData,2,FALSE)),0,VLOOKUP($A239,JumpData,2,FALSE))</f>
        <v>0</v>
      </c>
      <c r="O239" s="297">
        <f>IF(ISNA(VLOOKUP($A239,RunData,2,FALSE)),0,VLOOKUP($A239,RunData,2,FALSE))</f>
        <v>0</v>
      </c>
      <c r="P239" s="297">
        <f>IF(ISNA(VLOOKUP($A239,ThrowData,2,FALSE)),0,VLOOKUP($A239,ThrowData,2,FALSE))</f>
        <v>0</v>
      </c>
      <c r="Q239" s="298">
        <f>IF(ISNA(VLOOKUP($A239,SprintData,4,FALSE)),0,VLOOKUP($A239,SprintData,4,FALSE))+V239</f>
        <v>0</v>
      </c>
      <c r="R239" s="298">
        <f>IF(ISNA(VLOOKUP($A239,JumpData,4,FALSE)),0,VLOOKUP($A239,JumpData,4,FALSE))+W239</f>
        <v>0</v>
      </c>
      <c r="S239" s="298">
        <f>IF(ISNA(VLOOKUP($A239,RunData,4,FALSE)),0,VLOOKUP($A239,RunData,4,FALSE))+X239</f>
        <v>0</v>
      </c>
      <c r="T239" s="298">
        <f>IF(ISNA(VLOOKUP($A239,ThrowData,4,FALSE)),0,VLOOKUP($A239,ThrowData,4,FALSE))+Y239</f>
        <v>0</v>
      </c>
      <c r="U239" s="299">
        <f t="shared" si="2"/>
        <v>0</v>
      </c>
      <c r="V239">
        <f>IF(AND($F239&gt;0,NOT(M239),Flexing),FlexPC,0)</f>
        <v>0</v>
      </c>
      <c r="W239">
        <f>IF(AND($F239&gt;0,NOT(N239),Flexing),FlexPC,0)</f>
        <v>0</v>
      </c>
      <c r="X239">
        <f>IF(AND($F239&gt;0,NOT(O239),Flexing),FlexPC,0)</f>
        <v>0</v>
      </c>
      <c r="Y239">
        <f>IF(AND($F239&gt;0,NOT(P239),Flexing),FlexPC,0)</f>
        <v>0</v>
      </c>
      <c r="AA239" s="209">
        <f t="shared" si="3"/>
        <v>238</v>
      </c>
    </row>
    <row r="240" ht="15.75" customHeight="1">
      <c r="A240" s="206" t="str">
        <f>+Declarations!A240&amp;""</f>
        <v/>
      </c>
      <c r="B240" t="str">
        <f>IF(LEN($A240),IF(LEN(Declarations!$B240)&gt;0,Declarations!$B240,"#"&amp;$A240),"")</f>
        <v/>
      </c>
      <c r="C240" s="209" t="str">
        <f t="array" ref="C240">IF(LEN(INDEX(DECLARATIONS,$AA240,3))&gt;0,INDEX(DECLARATIONS,$AA240,3),"...")</f>
        <v>...</v>
      </c>
      <c r="D240" s="209" t="str">
        <f t="shared" si="1"/>
        <v/>
      </c>
      <c r="E240" s="296" t="str">
        <f t="array" ref="E240">IF(ISNA($AA240),0,INDEX(DECLARATIONS,$AA240,5))</f>
        <v/>
      </c>
      <c r="F240" s="209" t="str">
        <f t="array" ref="F240">IF(ISNA($AA240),0,INDEX(DECLARATIONS,$AA240,7))</f>
        <v/>
      </c>
      <c r="G240" s="209" t="str">
        <f t="array" ref="G240">UPPER(IF(ISNA($AA240),"",INDEX(DECLARATIONS,$AA240,4)))</f>
        <v/>
      </c>
      <c r="H240" t="str">
        <f>IF(AND(A240&gt;0,ISTEXT(B240)),IF(SECNAME="YES",LEFT(B240&amp;" ",FIND(" ",B240&amp;" ")+2)&amp;IF(F240&gt;0," ("&amp;F240&amp;")",""),B240&amp;IF(F240&gt;0," ("&amp;F240&amp;")","")),"#"&amp;$A240)</f>
        <v/>
      </c>
      <c r="I240" s="209">
        <f>IF(LEN($A240)&gt;0,IF(LEN($J240)&gt;0,MATCH(J240,MatchNames,0),EventIndex),0)</f>
        <v>0</v>
      </c>
      <c r="J240" s="209" t="str">
        <f>IF(LEN($A240)&gt;0,IF(LEN(Declarations!$F240)&gt;0,Declarations!$F240,conftype),"")</f>
        <v/>
      </c>
      <c r="M240" s="297">
        <f>IF(ISNA(VLOOKUP($A240,SprintData,2,FALSE)),0,VLOOKUP($A240,SprintData,2,FALSE))</f>
        <v>0</v>
      </c>
      <c r="N240" s="297">
        <f>IF(ISNA(VLOOKUP($A240,JumpData,2,FALSE)),0,VLOOKUP($A240,JumpData,2,FALSE))</f>
        <v>0</v>
      </c>
      <c r="O240" s="297">
        <f>IF(ISNA(VLOOKUP($A240,RunData,2,FALSE)),0,VLOOKUP($A240,RunData,2,FALSE))</f>
        <v>0</v>
      </c>
      <c r="P240" s="297">
        <f>IF(ISNA(VLOOKUP($A240,ThrowData,2,FALSE)),0,VLOOKUP($A240,ThrowData,2,FALSE))</f>
        <v>0</v>
      </c>
      <c r="Q240" s="298">
        <f>IF(ISNA(VLOOKUP($A240,SprintData,4,FALSE)),0,VLOOKUP($A240,SprintData,4,FALSE))+V240</f>
        <v>0</v>
      </c>
      <c r="R240" s="298">
        <f>IF(ISNA(VLOOKUP($A240,JumpData,4,FALSE)),0,VLOOKUP($A240,JumpData,4,FALSE))+W240</f>
        <v>0</v>
      </c>
      <c r="S240" s="298">
        <f>IF(ISNA(VLOOKUP($A240,RunData,4,FALSE)),0,VLOOKUP($A240,RunData,4,FALSE))+X240</f>
        <v>0</v>
      </c>
      <c r="T240" s="298">
        <f>IF(ISNA(VLOOKUP($A240,ThrowData,4,FALSE)),0,VLOOKUP($A240,ThrowData,4,FALSE))+Y240</f>
        <v>0</v>
      </c>
      <c r="U240" s="299">
        <f t="shared" si="2"/>
        <v>0</v>
      </c>
      <c r="V240">
        <f>IF(AND($F240&gt;0,NOT(M240),Flexing),FlexPC,0)</f>
        <v>0</v>
      </c>
      <c r="W240">
        <f>IF(AND($F240&gt;0,NOT(N240),Flexing),FlexPC,0)</f>
        <v>0</v>
      </c>
      <c r="X240">
        <f>IF(AND($F240&gt;0,NOT(O240),Flexing),FlexPC,0)</f>
        <v>0</v>
      </c>
      <c r="Y240">
        <f>IF(AND($F240&gt;0,NOT(P240),Flexing),FlexPC,0)</f>
        <v>0</v>
      </c>
      <c r="AA240" s="209">
        <f t="shared" si="3"/>
        <v>239</v>
      </c>
    </row>
    <row r="241" ht="15.75" customHeight="1">
      <c r="A241" s="206" t="str">
        <f>+Declarations!A241&amp;""</f>
        <v/>
      </c>
      <c r="B241" t="str">
        <f>IF(LEN($A241),IF(LEN(Declarations!$B241)&gt;0,Declarations!$B241,"#"&amp;$A241),"")</f>
        <v/>
      </c>
      <c r="C241" s="209" t="str">
        <f t="array" ref="C241">IF(LEN(INDEX(DECLARATIONS,$AA241,3))&gt;0,INDEX(DECLARATIONS,$AA241,3),"...")</f>
        <v>...</v>
      </c>
      <c r="D241" s="209" t="str">
        <f t="shared" si="1"/>
        <v/>
      </c>
      <c r="E241" s="296" t="str">
        <f t="array" ref="E241">IF(ISNA($AA241),0,INDEX(DECLARATIONS,$AA241,5))</f>
        <v/>
      </c>
      <c r="F241" s="209" t="str">
        <f t="array" ref="F241">IF(ISNA($AA241),0,INDEX(DECLARATIONS,$AA241,7))</f>
        <v/>
      </c>
      <c r="G241" s="209" t="str">
        <f t="array" ref="G241">UPPER(IF(ISNA($AA241),"",INDEX(DECLARATIONS,$AA241,4)))</f>
        <v/>
      </c>
      <c r="H241" t="str">
        <f>IF(AND(A241&gt;0,ISTEXT(B241)),IF(SECNAME="YES",LEFT(B241&amp;" ",FIND(" ",B241&amp;" ")+2)&amp;IF(F241&gt;0," ("&amp;F241&amp;")",""),B241&amp;IF(F241&gt;0," ("&amp;F241&amp;")","")),"#"&amp;$A241)</f>
        <v/>
      </c>
      <c r="I241" s="209">
        <f>IF(LEN($A241)&gt;0,IF(LEN($J241)&gt;0,MATCH(J241,MatchNames,0),EventIndex),0)</f>
        <v>0</v>
      </c>
      <c r="J241" s="209" t="str">
        <f>IF(LEN($A241)&gt;0,IF(LEN(Declarations!$F241)&gt;0,Declarations!$F241,conftype),"")</f>
        <v/>
      </c>
      <c r="M241" s="297">
        <f>IF(ISNA(VLOOKUP($A241,SprintData,2,FALSE)),0,VLOOKUP($A241,SprintData,2,FALSE))</f>
        <v>0</v>
      </c>
      <c r="N241" s="297">
        <f>IF(ISNA(VLOOKUP($A241,JumpData,2,FALSE)),0,VLOOKUP($A241,JumpData,2,FALSE))</f>
        <v>0</v>
      </c>
      <c r="O241" s="297">
        <f>IF(ISNA(VLOOKUP($A241,RunData,2,FALSE)),0,VLOOKUP($A241,RunData,2,FALSE))</f>
        <v>0</v>
      </c>
      <c r="P241" s="297">
        <f>IF(ISNA(VLOOKUP($A241,ThrowData,2,FALSE)),0,VLOOKUP($A241,ThrowData,2,FALSE))</f>
        <v>0</v>
      </c>
      <c r="Q241" s="298">
        <f>IF(ISNA(VLOOKUP($A241,SprintData,4,FALSE)),0,VLOOKUP($A241,SprintData,4,FALSE))+V241</f>
        <v>0</v>
      </c>
      <c r="R241" s="298">
        <f>IF(ISNA(VLOOKUP($A241,JumpData,4,FALSE)),0,VLOOKUP($A241,JumpData,4,FALSE))+W241</f>
        <v>0</v>
      </c>
      <c r="S241" s="298">
        <f>IF(ISNA(VLOOKUP($A241,RunData,4,FALSE)),0,VLOOKUP($A241,RunData,4,FALSE))+X241</f>
        <v>0</v>
      </c>
      <c r="T241" s="298">
        <f>IF(ISNA(VLOOKUP($A241,ThrowData,4,FALSE)),0,VLOOKUP($A241,ThrowData,4,FALSE))+Y241</f>
        <v>0</v>
      </c>
      <c r="U241" s="299">
        <f t="shared" si="2"/>
        <v>0</v>
      </c>
      <c r="V241">
        <f>IF(AND($F241&gt;0,NOT(M241),Flexing),FlexPC,0)</f>
        <v>0</v>
      </c>
      <c r="W241">
        <f>IF(AND($F241&gt;0,NOT(N241),Flexing),FlexPC,0)</f>
        <v>0</v>
      </c>
      <c r="X241">
        <f>IF(AND($F241&gt;0,NOT(O241),Flexing),FlexPC,0)</f>
        <v>0</v>
      </c>
      <c r="Y241">
        <f>IF(AND($F241&gt;0,NOT(P241),Flexing),FlexPC,0)</f>
        <v>0</v>
      </c>
      <c r="AA241" s="209">
        <f t="shared" si="3"/>
        <v>240</v>
      </c>
    </row>
    <row r="242" ht="15.75" customHeight="1">
      <c r="A242" s="206" t="str">
        <f>+Declarations!A242&amp;""</f>
        <v/>
      </c>
      <c r="B242" t="str">
        <f>IF(LEN($A242),IF(LEN(Declarations!$B242)&gt;0,Declarations!$B242,"#"&amp;$A242),"")</f>
        <v/>
      </c>
      <c r="C242" s="209" t="str">
        <f t="array" ref="C242">IF(LEN(INDEX(DECLARATIONS,$AA242,3))&gt;0,INDEX(DECLARATIONS,$AA242,3),"...")</f>
        <v>...</v>
      </c>
      <c r="D242" s="209" t="str">
        <f t="shared" si="1"/>
        <v/>
      </c>
      <c r="E242" s="296" t="str">
        <f t="array" ref="E242">IF(ISNA($AA242),0,INDEX(DECLARATIONS,$AA242,5))</f>
        <v/>
      </c>
      <c r="F242" s="209" t="str">
        <f t="array" ref="F242">IF(ISNA($AA242),0,INDEX(DECLARATIONS,$AA242,7))</f>
        <v/>
      </c>
      <c r="G242" s="209" t="str">
        <f t="array" ref="G242">UPPER(IF(ISNA($AA242),"",INDEX(DECLARATIONS,$AA242,4)))</f>
        <v/>
      </c>
      <c r="H242" t="str">
        <f>IF(AND(A242&gt;0,ISTEXT(B242)),IF(SECNAME="YES",LEFT(B242&amp;" ",FIND(" ",B242&amp;" ")+2)&amp;IF(F242&gt;0," ("&amp;F242&amp;")",""),B242&amp;IF(F242&gt;0," ("&amp;F242&amp;")","")),"#"&amp;$A242)</f>
        <v/>
      </c>
      <c r="I242" s="209">
        <f>IF(LEN($A242)&gt;0,IF(LEN($J242)&gt;0,MATCH(J242,MatchNames,0),EventIndex),0)</f>
        <v>0</v>
      </c>
      <c r="J242" s="209" t="str">
        <f>IF(LEN($A242)&gt;0,IF(LEN(Declarations!$F242)&gt;0,Declarations!$F242,conftype),"")</f>
        <v/>
      </c>
      <c r="M242" s="297">
        <f>IF(ISNA(VLOOKUP($A242,SprintData,2,FALSE)),0,VLOOKUP($A242,SprintData,2,FALSE))</f>
        <v>0</v>
      </c>
      <c r="N242" s="297">
        <f>IF(ISNA(VLOOKUP($A242,JumpData,2,FALSE)),0,VLOOKUP($A242,JumpData,2,FALSE))</f>
        <v>0</v>
      </c>
      <c r="O242" s="297">
        <f>IF(ISNA(VLOOKUP($A242,RunData,2,FALSE)),0,VLOOKUP($A242,RunData,2,FALSE))</f>
        <v>0</v>
      </c>
      <c r="P242" s="297">
        <f>IF(ISNA(VLOOKUP($A242,ThrowData,2,FALSE)),0,VLOOKUP($A242,ThrowData,2,FALSE))</f>
        <v>0</v>
      </c>
      <c r="Q242" s="298">
        <f>IF(ISNA(VLOOKUP($A242,SprintData,4,FALSE)),0,VLOOKUP($A242,SprintData,4,FALSE))+V242</f>
        <v>0</v>
      </c>
      <c r="R242" s="298">
        <f>IF(ISNA(VLOOKUP($A242,JumpData,4,FALSE)),0,VLOOKUP($A242,JumpData,4,FALSE))+W242</f>
        <v>0</v>
      </c>
      <c r="S242" s="298">
        <f>IF(ISNA(VLOOKUP($A242,RunData,4,FALSE)),0,VLOOKUP($A242,RunData,4,FALSE))+X242</f>
        <v>0</v>
      </c>
      <c r="T242" s="298">
        <f>IF(ISNA(VLOOKUP($A242,ThrowData,4,FALSE)),0,VLOOKUP($A242,ThrowData,4,FALSE))+Y242</f>
        <v>0</v>
      </c>
      <c r="U242" s="299">
        <f t="shared" si="2"/>
        <v>0</v>
      </c>
      <c r="V242">
        <f>IF(AND($F242&gt;0,NOT(M242),Flexing),FlexPC,0)</f>
        <v>0</v>
      </c>
      <c r="W242">
        <f>IF(AND($F242&gt;0,NOT(N242),Flexing),FlexPC,0)</f>
        <v>0</v>
      </c>
      <c r="X242">
        <f>IF(AND($F242&gt;0,NOT(O242),Flexing),FlexPC,0)</f>
        <v>0</v>
      </c>
      <c r="Y242">
        <f>IF(AND($F242&gt;0,NOT(P242),Flexing),FlexPC,0)</f>
        <v>0</v>
      </c>
      <c r="AA242" s="209">
        <f t="shared" si="3"/>
        <v>241</v>
      </c>
    </row>
    <row r="243" ht="15.75" customHeight="1">
      <c r="A243" s="206" t="str">
        <f>+Declarations!A243&amp;""</f>
        <v/>
      </c>
      <c r="B243" t="str">
        <f>IF(LEN($A243),IF(LEN(Declarations!$B243)&gt;0,Declarations!$B243,"#"&amp;$A243),"")</f>
        <v/>
      </c>
      <c r="C243" s="209" t="str">
        <f t="array" ref="C243">IF(LEN(INDEX(DECLARATIONS,$AA243,3))&gt;0,INDEX(DECLARATIONS,$AA243,3),"...")</f>
        <v>...</v>
      </c>
      <c r="D243" s="209" t="str">
        <f t="shared" si="1"/>
        <v/>
      </c>
      <c r="E243" s="296" t="str">
        <f t="array" ref="E243">IF(ISNA($AA243),0,INDEX(DECLARATIONS,$AA243,5))</f>
        <v/>
      </c>
      <c r="F243" s="209" t="str">
        <f t="array" ref="F243">IF(ISNA($AA243),0,INDEX(DECLARATIONS,$AA243,7))</f>
        <v/>
      </c>
      <c r="G243" s="209" t="str">
        <f t="array" ref="G243">UPPER(IF(ISNA($AA243),"",INDEX(DECLARATIONS,$AA243,4)))</f>
        <v/>
      </c>
      <c r="H243" t="str">
        <f>IF(AND(A243&gt;0,ISTEXT(B243)),IF(SECNAME="YES",LEFT(B243&amp;" ",FIND(" ",B243&amp;" ")+2)&amp;IF(F243&gt;0," ("&amp;F243&amp;")",""),B243&amp;IF(F243&gt;0," ("&amp;F243&amp;")","")),"#"&amp;$A243)</f>
        <v/>
      </c>
      <c r="I243" s="209">
        <f>IF(LEN($A243)&gt;0,IF(LEN($J243)&gt;0,MATCH(J243,MatchNames,0),EventIndex),0)</f>
        <v>0</v>
      </c>
      <c r="J243" s="209" t="str">
        <f>IF(LEN($A243)&gt;0,IF(LEN(Declarations!$F243)&gt;0,Declarations!$F243,conftype),"")</f>
        <v/>
      </c>
      <c r="M243" s="297">
        <f>IF(ISNA(VLOOKUP($A243,SprintData,2,FALSE)),0,VLOOKUP($A243,SprintData,2,FALSE))</f>
        <v>0</v>
      </c>
      <c r="N243" s="297">
        <f>IF(ISNA(VLOOKUP($A243,JumpData,2,FALSE)),0,VLOOKUP($A243,JumpData,2,FALSE))</f>
        <v>0</v>
      </c>
      <c r="O243" s="297">
        <f>IF(ISNA(VLOOKUP($A243,RunData,2,FALSE)),0,VLOOKUP($A243,RunData,2,FALSE))</f>
        <v>0</v>
      </c>
      <c r="P243" s="297">
        <f>IF(ISNA(VLOOKUP($A243,ThrowData,2,FALSE)),0,VLOOKUP($A243,ThrowData,2,FALSE))</f>
        <v>0</v>
      </c>
      <c r="Q243" s="298">
        <f>IF(ISNA(VLOOKUP($A243,SprintData,4,FALSE)),0,VLOOKUP($A243,SprintData,4,FALSE))+V243</f>
        <v>0</v>
      </c>
      <c r="R243" s="298">
        <f>IF(ISNA(VLOOKUP($A243,JumpData,4,FALSE)),0,VLOOKUP($A243,JumpData,4,FALSE))+W243</f>
        <v>0</v>
      </c>
      <c r="S243" s="298">
        <f>IF(ISNA(VLOOKUP($A243,RunData,4,FALSE)),0,VLOOKUP($A243,RunData,4,FALSE))+X243</f>
        <v>0</v>
      </c>
      <c r="T243" s="298">
        <f>IF(ISNA(VLOOKUP($A243,ThrowData,4,FALSE)),0,VLOOKUP($A243,ThrowData,4,FALSE))+Y243</f>
        <v>0</v>
      </c>
      <c r="U243" s="299">
        <f t="shared" si="2"/>
        <v>0</v>
      </c>
      <c r="V243">
        <f>IF(AND($F243&gt;0,NOT(M243),Flexing),FlexPC,0)</f>
        <v>0</v>
      </c>
      <c r="W243">
        <f>IF(AND($F243&gt;0,NOT(N243),Flexing),FlexPC,0)</f>
        <v>0</v>
      </c>
      <c r="X243">
        <f>IF(AND($F243&gt;0,NOT(O243),Flexing),FlexPC,0)</f>
        <v>0</v>
      </c>
      <c r="Y243">
        <f>IF(AND($F243&gt;0,NOT(P243),Flexing),FlexPC,0)</f>
        <v>0</v>
      </c>
      <c r="AA243" s="209">
        <f t="shared" si="3"/>
        <v>242</v>
      </c>
    </row>
    <row r="244" ht="15.75" customHeight="1">
      <c r="A244" s="206" t="str">
        <f>+Declarations!A244&amp;""</f>
        <v/>
      </c>
      <c r="B244" t="str">
        <f>IF(LEN($A244),IF(LEN(Declarations!$B244)&gt;0,Declarations!$B244,"#"&amp;$A244),"")</f>
        <v/>
      </c>
      <c r="C244" s="209" t="str">
        <f t="array" ref="C244">IF(LEN(INDEX(DECLARATIONS,$AA244,3))&gt;0,INDEX(DECLARATIONS,$AA244,3),"...")</f>
        <v>...</v>
      </c>
      <c r="D244" s="209" t="str">
        <f t="shared" si="1"/>
        <v/>
      </c>
      <c r="E244" s="296" t="str">
        <f t="array" ref="E244">IF(ISNA($AA244),0,INDEX(DECLARATIONS,$AA244,5))</f>
        <v/>
      </c>
      <c r="F244" s="209" t="str">
        <f t="array" ref="F244">IF(ISNA($AA244),0,INDEX(DECLARATIONS,$AA244,7))</f>
        <v/>
      </c>
      <c r="G244" s="209" t="str">
        <f t="array" ref="G244">UPPER(IF(ISNA($AA244),"",INDEX(DECLARATIONS,$AA244,4)))</f>
        <v/>
      </c>
      <c r="H244" t="str">
        <f>IF(AND(A244&gt;0,ISTEXT(B244)),IF(SECNAME="YES",LEFT(B244&amp;" ",FIND(" ",B244&amp;" ")+2)&amp;IF(F244&gt;0," ("&amp;F244&amp;")",""),B244&amp;IF(F244&gt;0," ("&amp;F244&amp;")","")),"#"&amp;$A244)</f>
        <v/>
      </c>
      <c r="I244" s="209">
        <f>IF(LEN($A244)&gt;0,IF(LEN($J244)&gt;0,MATCH(J244,MatchNames,0),EventIndex),0)</f>
        <v>0</v>
      </c>
      <c r="J244" s="209" t="str">
        <f>IF(LEN($A244)&gt;0,IF(LEN(Declarations!$F244)&gt;0,Declarations!$F244,conftype),"")</f>
        <v/>
      </c>
      <c r="M244" s="297">
        <f>IF(ISNA(VLOOKUP($A244,SprintData,2,FALSE)),0,VLOOKUP($A244,SprintData,2,FALSE))</f>
        <v>0</v>
      </c>
      <c r="N244" s="297">
        <f>IF(ISNA(VLOOKUP($A244,JumpData,2,FALSE)),0,VLOOKUP($A244,JumpData,2,FALSE))</f>
        <v>0</v>
      </c>
      <c r="O244" s="297">
        <f>IF(ISNA(VLOOKUP($A244,RunData,2,FALSE)),0,VLOOKUP($A244,RunData,2,FALSE))</f>
        <v>0</v>
      </c>
      <c r="P244" s="297">
        <f>IF(ISNA(VLOOKUP($A244,ThrowData,2,FALSE)),0,VLOOKUP($A244,ThrowData,2,FALSE))</f>
        <v>0</v>
      </c>
      <c r="Q244" s="298">
        <f>IF(ISNA(VLOOKUP($A244,SprintData,4,FALSE)),0,VLOOKUP($A244,SprintData,4,FALSE))+V244</f>
        <v>0</v>
      </c>
      <c r="R244" s="298">
        <f>IF(ISNA(VLOOKUP($A244,JumpData,4,FALSE)),0,VLOOKUP($A244,JumpData,4,FALSE))+W244</f>
        <v>0</v>
      </c>
      <c r="S244" s="298">
        <f>IF(ISNA(VLOOKUP($A244,RunData,4,FALSE)),0,VLOOKUP($A244,RunData,4,FALSE))+X244</f>
        <v>0</v>
      </c>
      <c r="T244" s="298">
        <f>IF(ISNA(VLOOKUP($A244,ThrowData,4,FALSE)),0,VLOOKUP($A244,ThrowData,4,FALSE))+Y244</f>
        <v>0</v>
      </c>
      <c r="U244" s="299">
        <f t="shared" si="2"/>
        <v>0</v>
      </c>
      <c r="V244">
        <f>IF(AND($F244&gt;0,NOT(M244),Flexing),FlexPC,0)</f>
        <v>0</v>
      </c>
      <c r="W244">
        <f>IF(AND($F244&gt;0,NOT(N244),Flexing),FlexPC,0)</f>
        <v>0</v>
      </c>
      <c r="X244">
        <f>IF(AND($F244&gt;0,NOT(O244),Flexing),FlexPC,0)</f>
        <v>0</v>
      </c>
      <c r="Y244">
        <f>IF(AND($F244&gt;0,NOT(P244),Flexing),FlexPC,0)</f>
        <v>0</v>
      </c>
      <c r="AA244" s="209">
        <f t="shared" si="3"/>
        <v>243</v>
      </c>
    </row>
    <row r="245" ht="15.75" customHeight="1">
      <c r="A245" s="206" t="str">
        <f>+Declarations!A245&amp;""</f>
        <v/>
      </c>
      <c r="B245" t="str">
        <f>IF(LEN($A245),IF(LEN(Declarations!$B245)&gt;0,Declarations!$B245,"#"&amp;$A245),"")</f>
        <v/>
      </c>
      <c r="C245" s="209" t="str">
        <f t="array" ref="C245">IF(LEN(INDEX(DECLARATIONS,$AA245,3))&gt;0,INDEX(DECLARATIONS,$AA245,3),"...")</f>
        <v>...</v>
      </c>
      <c r="D245" s="209" t="str">
        <f t="shared" si="1"/>
        <v/>
      </c>
      <c r="E245" s="296" t="str">
        <f t="array" ref="E245">IF(ISNA($AA245),0,INDEX(DECLARATIONS,$AA245,5))</f>
        <v/>
      </c>
      <c r="F245" s="209" t="str">
        <f t="array" ref="F245">IF(ISNA($AA245),0,INDEX(DECLARATIONS,$AA245,7))</f>
        <v/>
      </c>
      <c r="G245" s="209" t="str">
        <f t="array" ref="G245">UPPER(IF(ISNA($AA245),"",INDEX(DECLARATIONS,$AA245,4)))</f>
        <v/>
      </c>
      <c r="H245" t="str">
        <f>IF(AND(A245&gt;0,ISTEXT(B245)),IF(SECNAME="YES",LEFT(B245&amp;" ",FIND(" ",B245&amp;" ")+2)&amp;IF(F245&gt;0," ("&amp;F245&amp;")",""),B245&amp;IF(F245&gt;0," ("&amp;F245&amp;")","")),"#"&amp;$A245)</f>
        <v/>
      </c>
      <c r="I245" s="209">
        <f>IF(LEN($A245)&gt;0,IF(LEN($J245)&gt;0,MATCH(J245,MatchNames,0),EventIndex),0)</f>
        <v>0</v>
      </c>
      <c r="J245" s="209" t="str">
        <f>IF(LEN($A245)&gt;0,IF(LEN(Declarations!$F245)&gt;0,Declarations!$F245,conftype),"")</f>
        <v/>
      </c>
      <c r="M245" s="297">
        <f>IF(ISNA(VLOOKUP($A245,SprintData,2,FALSE)),0,VLOOKUP($A245,SprintData,2,FALSE))</f>
        <v>0</v>
      </c>
      <c r="N245" s="297">
        <f>IF(ISNA(VLOOKUP($A245,JumpData,2,FALSE)),0,VLOOKUP($A245,JumpData,2,FALSE))</f>
        <v>0</v>
      </c>
      <c r="O245" s="297">
        <f>IF(ISNA(VLOOKUP($A245,RunData,2,FALSE)),0,VLOOKUP($A245,RunData,2,FALSE))</f>
        <v>0</v>
      </c>
      <c r="P245" s="297">
        <f>IF(ISNA(VLOOKUP($A245,ThrowData,2,FALSE)),0,VLOOKUP($A245,ThrowData,2,FALSE))</f>
        <v>0</v>
      </c>
      <c r="Q245" s="298">
        <f>IF(ISNA(VLOOKUP($A245,SprintData,4,FALSE)),0,VLOOKUP($A245,SprintData,4,FALSE))+V245</f>
        <v>0</v>
      </c>
      <c r="R245" s="298">
        <f>IF(ISNA(VLOOKUP($A245,JumpData,4,FALSE)),0,VLOOKUP($A245,JumpData,4,FALSE))+W245</f>
        <v>0</v>
      </c>
      <c r="S245" s="298">
        <f>IF(ISNA(VLOOKUP($A245,RunData,4,FALSE)),0,VLOOKUP($A245,RunData,4,FALSE))+X245</f>
        <v>0</v>
      </c>
      <c r="T245" s="298">
        <f>IF(ISNA(VLOOKUP($A245,ThrowData,4,FALSE)),0,VLOOKUP($A245,ThrowData,4,FALSE))+Y245</f>
        <v>0</v>
      </c>
      <c r="U245" s="299">
        <f t="shared" si="2"/>
        <v>0</v>
      </c>
      <c r="V245">
        <f>IF(AND($F245&gt;0,NOT(M245),Flexing),FlexPC,0)</f>
        <v>0</v>
      </c>
      <c r="W245">
        <f>IF(AND($F245&gt;0,NOT(N245),Flexing),FlexPC,0)</f>
        <v>0</v>
      </c>
      <c r="X245">
        <f>IF(AND($F245&gt;0,NOT(O245),Flexing),FlexPC,0)</f>
        <v>0</v>
      </c>
      <c r="Y245">
        <f>IF(AND($F245&gt;0,NOT(P245),Flexing),FlexPC,0)</f>
        <v>0</v>
      </c>
      <c r="AA245" s="209">
        <f t="shared" si="3"/>
        <v>244</v>
      </c>
    </row>
    <row r="246" ht="15.75" customHeight="1">
      <c r="A246" s="206" t="str">
        <f>+Declarations!A246&amp;""</f>
        <v/>
      </c>
      <c r="B246" t="str">
        <f>IF(LEN($A246),IF(LEN(Declarations!$B246)&gt;0,Declarations!$B246,"#"&amp;$A246),"")</f>
        <v/>
      </c>
      <c r="C246" s="209" t="str">
        <f t="array" ref="C246">IF(LEN(INDEX(DECLARATIONS,$AA246,3))&gt;0,INDEX(DECLARATIONS,$AA246,3),"...")</f>
        <v>...</v>
      </c>
      <c r="D246" s="209" t="str">
        <f t="shared" si="1"/>
        <v/>
      </c>
      <c r="E246" s="296" t="str">
        <f t="array" ref="E246">IF(ISNA($AA246),0,INDEX(DECLARATIONS,$AA246,5))</f>
        <v/>
      </c>
      <c r="F246" s="209" t="str">
        <f t="array" ref="F246">IF(ISNA($AA246),0,INDEX(DECLARATIONS,$AA246,7))</f>
        <v/>
      </c>
      <c r="G246" s="209" t="str">
        <f t="array" ref="G246">UPPER(IF(ISNA($AA246),"",INDEX(DECLARATIONS,$AA246,4)))</f>
        <v/>
      </c>
      <c r="H246" t="str">
        <f>IF(AND(A246&gt;0,ISTEXT(B246)),IF(SECNAME="YES",LEFT(B246&amp;" ",FIND(" ",B246&amp;" ")+2)&amp;IF(F246&gt;0," ("&amp;F246&amp;")",""),B246&amp;IF(F246&gt;0," ("&amp;F246&amp;")","")),"#"&amp;$A246)</f>
        <v/>
      </c>
      <c r="I246" s="209">
        <f>IF(LEN($A246)&gt;0,IF(LEN($J246)&gt;0,MATCH(J246,MatchNames,0),EventIndex),0)</f>
        <v>0</v>
      </c>
      <c r="J246" s="209" t="str">
        <f>IF(LEN($A246)&gt;0,IF(LEN(Declarations!$F246)&gt;0,Declarations!$F246,conftype),"")</f>
        <v/>
      </c>
      <c r="M246" s="297">
        <f>IF(ISNA(VLOOKUP($A246,SprintData,2,FALSE)),0,VLOOKUP($A246,SprintData,2,FALSE))</f>
        <v>0</v>
      </c>
      <c r="N246" s="297">
        <f>IF(ISNA(VLOOKUP($A246,JumpData,2,FALSE)),0,VLOOKUP($A246,JumpData,2,FALSE))</f>
        <v>0</v>
      </c>
      <c r="O246" s="297">
        <f>IF(ISNA(VLOOKUP($A246,RunData,2,FALSE)),0,VLOOKUP($A246,RunData,2,FALSE))</f>
        <v>0</v>
      </c>
      <c r="P246" s="297">
        <f>IF(ISNA(VLOOKUP($A246,ThrowData,2,FALSE)),0,VLOOKUP($A246,ThrowData,2,FALSE))</f>
        <v>0</v>
      </c>
      <c r="Q246" s="298">
        <f>IF(ISNA(VLOOKUP($A246,SprintData,4,FALSE)),0,VLOOKUP($A246,SprintData,4,FALSE))+V246</f>
        <v>0</v>
      </c>
      <c r="R246" s="298">
        <f>IF(ISNA(VLOOKUP($A246,JumpData,4,FALSE)),0,VLOOKUP($A246,JumpData,4,FALSE))+W246</f>
        <v>0</v>
      </c>
      <c r="S246" s="298">
        <f>IF(ISNA(VLOOKUP($A246,RunData,4,FALSE)),0,VLOOKUP($A246,RunData,4,FALSE))+X246</f>
        <v>0</v>
      </c>
      <c r="T246" s="298">
        <f>IF(ISNA(VLOOKUP($A246,ThrowData,4,FALSE)),0,VLOOKUP($A246,ThrowData,4,FALSE))+Y246</f>
        <v>0</v>
      </c>
      <c r="U246" s="299">
        <f t="shared" si="2"/>
        <v>0</v>
      </c>
      <c r="V246">
        <f>IF(AND($F246&gt;0,NOT(M246),Flexing),FlexPC,0)</f>
        <v>0</v>
      </c>
      <c r="W246">
        <f>IF(AND($F246&gt;0,NOT(N246),Flexing),FlexPC,0)</f>
        <v>0</v>
      </c>
      <c r="X246">
        <f>IF(AND($F246&gt;0,NOT(O246),Flexing),FlexPC,0)</f>
        <v>0</v>
      </c>
      <c r="Y246">
        <f>IF(AND($F246&gt;0,NOT(P246),Flexing),FlexPC,0)</f>
        <v>0</v>
      </c>
      <c r="AA246" s="209">
        <f t="shared" si="3"/>
        <v>245</v>
      </c>
    </row>
    <row r="247" ht="15.75" customHeight="1">
      <c r="A247" s="206" t="str">
        <f>+Declarations!A247&amp;""</f>
        <v/>
      </c>
      <c r="B247" t="str">
        <f>IF(LEN($A247),IF(LEN(Declarations!$B247)&gt;0,Declarations!$B247,"#"&amp;$A247),"")</f>
        <v/>
      </c>
      <c r="C247" s="209" t="str">
        <f t="array" ref="C247">IF(LEN(INDEX(DECLARATIONS,$AA247,3))&gt;0,INDEX(DECLARATIONS,$AA247,3),"...")</f>
        <v>...</v>
      </c>
      <c r="D247" s="209" t="str">
        <f t="shared" si="1"/>
        <v/>
      </c>
      <c r="E247" s="296" t="str">
        <f t="array" ref="E247">IF(ISNA($AA247),0,INDEX(DECLARATIONS,$AA247,5))</f>
        <v/>
      </c>
      <c r="F247" s="209" t="str">
        <f t="array" ref="F247">IF(ISNA($AA247),0,INDEX(DECLARATIONS,$AA247,7))</f>
        <v/>
      </c>
      <c r="G247" s="209" t="str">
        <f t="array" ref="G247">UPPER(IF(ISNA($AA247),"",INDEX(DECLARATIONS,$AA247,4)))</f>
        <v/>
      </c>
      <c r="H247" t="str">
        <f>IF(AND(A247&gt;0,ISTEXT(B247)),IF(SECNAME="YES",LEFT(B247&amp;" ",FIND(" ",B247&amp;" ")+2)&amp;IF(F247&gt;0," ("&amp;F247&amp;")",""),B247&amp;IF(F247&gt;0," ("&amp;F247&amp;")","")),"#"&amp;$A247)</f>
        <v/>
      </c>
      <c r="I247" s="209">
        <f>IF(LEN($A247)&gt;0,IF(LEN($J247)&gt;0,MATCH(J247,MatchNames,0),EventIndex),0)</f>
        <v>0</v>
      </c>
      <c r="J247" s="209" t="str">
        <f>IF(LEN($A247)&gt;0,IF(LEN(Declarations!$F247)&gt;0,Declarations!$F247,conftype),"")</f>
        <v/>
      </c>
      <c r="M247" s="297">
        <f>IF(ISNA(VLOOKUP($A247,SprintData,2,FALSE)),0,VLOOKUP($A247,SprintData,2,FALSE))</f>
        <v>0</v>
      </c>
      <c r="N247" s="297">
        <f>IF(ISNA(VLOOKUP($A247,JumpData,2,FALSE)),0,VLOOKUP($A247,JumpData,2,FALSE))</f>
        <v>0</v>
      </c>
      <c r="O247" s="297">
        <f>IF(ISNA(VLOOKUP($A247,RunData,2,FALSE)),0,VLOOKUP($A247,RunData,2,FALSE))</f>
        <v>0</v>
      </c>
      <c r="P247" s="297">
        <f>IF(ISNA(VLOOKUP($A247,ThrowData,2,FALSE)),0,VLOOKUP($A247,ThrowData,2,FALSE))</f>
        <v>0</v>
      </c>
      <c r="Q247" s="298">
        <f>IF(ISNA(VLOOKUP($A247,SprintData,4,FALSE)),0,VLOOKUP($A247,SprintData,4,FALSE))+V247</f>
        <v>0</v>
      </c>
      <c r="R247" s="298">
        <f>IF(ISNA(VLOOKUP($A247,JumpData,4,FALSE)),0,VLOOKUP($A247,JumpData,4,FALSE))+W247</f>
        <v>0</v>
      </c>
      <c r="S247" s="298">
        <f>IF(ISNA(VLOOKUP($A247,RunData,4,FALSE)),0,VLOOKUP($A247,RunData,4,FALSE))+X247</f>
        <v>0</v>
      </c>
      <c r="T247" s="298">
        <f>IF(ISNA(VLOOKUP($A247,ThrowData,4,FALSE)),0,VLOOKUP($A247,ThrowData,4,FALSE))+Y247</f>
        <v>0</v>
      </c>
      <c r="U247" s="299">
        <f t="shared" si="2"/>
        <v>0</v>
      </c>
      <c r="V247">
        <f>IF(AND($F247&gt;0,NOT(M247),Flexing),FlexPC,0)</f>
        <v>0</v>
      </c>
      <c r="W247">
        <f>IF(AND($F247&gt;0,NOT(N247),Flexing),FlexPC,0)</f>
        <v>0</v>
      </c>
      <c r="X247">
        <f>IF(AND($F247&gt;0,NOT(O247),Flexing),FlexPC,0)</f>
        <v>0</v>
      </c>
      <c r="Y247">
        <f>IF(AND($F247&gt;0,NOT(P247),Flexing),FlexPC,0)</f>
        <v>0</v>
      </c>
      <c r="AA247" s="209">
        <f t="shared" si="3"/>
        <v>246</v>
      </c>
    </row>
    <row r="248" ht="15.75" customHeight="1">
      <c r="A248" s="206" t="str">
        <f>+Declarations!A248&amp;""</f>
        <v/>
      </c>
      <c r="B248" t="str">
        <f>IF(LEN($A248),IF(LEN(Declarations!$B248)&gt;0,Declarations!$B248,"#"&amp;$A248),"")</f>
        <v/>
      </c>
      <c r="C248" s="209" t="str">
        <f t="array" ref="C248">IF(LEN(INDEX(DECLARATIONS,$AA248,3))&gt;0,INDEX(DECLARATIONS,$AA248,3),"...")</f>
        <v>...</v>
      </c>
      <c r="D248" s="209" t="str">
        <f t="shared" si="1"/>
        <v/>
      </c>
      <c r="E248" s="296" t="str">
        <f t="array" ref="E248">IF(ISNA($AA248),0,INDEX(DECLARATIONS,$AA248,5))</f>
        <v/>
      </c>
      <c r="F248" s="209" t="str">
        <f t="array" ref="F248">IF(ISNA($AA248),0,INDEX(DECLARATIONS,$AA248,7))</f>
        <v/>
      </c>
      <c r="G248" s="209" t="str">
        <f t="array" ref="G248">UPPER(IF(ISNA($AA248),"",INDEX(DECLARATIONS,$AA248,4)))</f>
        <v/>
      </c>
      <c r="H248" t="str">
        <f>IF(AND(A248&gt;0,ISTEXT(B248)),IF(SECNAME="YES",LEFT(B248&amp;" ",FIND(" ",B248&amp;" ")+2)&amp;IF(F248&gt;0," ("&amp;F248&amp;")",""),B248&amp;IF(F248&gt;0," ("&amp;F248&amp;")","")),"#"&amp;$A248)</f>
        <v/>
      </c>
      <c r="I248" s="209">
        <f>IF(LEN($A248)&gt;0,IF(LEN($J248)&gt;0,MATCH(J248,MatchNames,0),EventIndex),0)</f>
        <v>0</v>
      </c>
      <c r="J248" s="209" t="str">
        <f>IF(LEN($A248)&gt;0,IF(LEN(Declarations!$F248)&gt;0,Declarations!$F248,conftype),"")</f>
        <v/>
      </c>
      <c r="M248" s="297">
        <f>IF(ISNA(VLOOKUP($A248,SprintData,2,FALSE)),0,VLOOKUP($A248,SprintData,2,FALSE))</f>
        <v>0</v>
      </c>
      <c r="N248" s="297">
        <f>IF(ISNA(VLOOKUP($A248,JumpData,2,FALSE)),0,VLOOKUP($A248,JumpData,2,FALSE))</f>
        <v>0</v>
      </c>
      <c r="O248" s="297">
        <f>IF(ISNA(VLOOKUP($A248,RunData,2,FALSE)),0,VLOOKUP($A248,RunData,2,FALSE))</f>
        <v>0</v>
      </c>
      <c r="P248" s="297">
        <f>IF(ISNA(VLOOKUP($A248,ThrowData,2,FALSE)),0,VLOOKUP($A248,ThrowData,2,FALSE))</f>
        <v>0</v>
      </c>
      <c r="Q248" s="298">
        <f>IF(ISNA(VLOOKUP($A248,SprintData,4,FALSE)),0,VLOOKUP($A248,SprintData,4,FALSE))+V248</f>
        <v>0</v>
      </c>
      <c r="R248" s="298">
        <f>IF(ISNA(VLOOKUP($A248,JumpData,4,FALSE)),0,VLOOKUP($A248,JumpData,4,FALSE))+W248</f>
        <v>0</v>
      </c>
      <c r="S248" s="298">
        <f>IF(ISNA(VLOOKUP($A248,RunData,4,FALSE)),0,VLOOKUP($A248,RunData,4,FALSE))+X248</f>
        <v>0</v>
      </c>
      <c r="T248" s="298">
        <f>IF(ISNA(VLOOKUP($A248,ThrowData,4,FALSE)),0,VLOOKUP($A248,ThrowData,4,FALSE))+Y248</f>
        <v>0</v>
      </c>
      <c r="U248" s="299">
        <f t="shared" si="2"/>
        <v>0</v>
      </c>
      <c r="V248">
        <f>IF(AND($F248&gt;0,NOT(M248),Flexing),FlexPC,0)</f>
        <v>0</v>
      </c>
      <c r="W248">
        <f>IF(AND($F248&gt;0,NOT(N248),Flexing),FlexPC,0)</f>
        <v>0</v>
      </c>
      <c r="X248">
        <f>IF(AND($F248&gt;0,NOT(O248),Flexing),FlexPC,0)</f>
        <v>0</v>
      </c>
      <c r="Y248">
        <f>IF(AND($F248&gt;0,NOT(P248),Flexing),FlexPC,0)</f>
        <v>0</v>
      </c>
      <c r="AA248" s="209">
        <f t="shared" si="3"/>
        <v>247</v>
      </c>
    </row>
    <row r="249" ht="15.75" customHeight="1">
      <c r="A249" s="206" t="str">
        <f>+Declarations!A249&amp;""</f>
        <v/>
      </c>
      <c r="B249" t="str">
        <f>IF(LEN($A249),IF(LEN(Declarations!$B249)&gt;0,Declarations!$B249,"#"&amp;$A249),"")</f>
        <v/>
      </c>
      <c r="C249" s="209" t="str">
        <f t="array" ref="C249">IF(LEN(INDEX(DECLARATIONS,$AA249,3))&gt;0,INDEX(DECLARATIONS,$AA249,3),"...")</f>
        <v>...</v>
      </c>
      <c r="D249" s="209" t="str">
        <f t="shared" si="1"/>
        <v/>
      </c>
      <c r="E249" s="296" t="str">
        <f t="array" ref="E249">IF(ISNA($AA249),0,INDEX(DECLARATIONS,$AA249,5))</f>
        <v/>
      </c>
      <c r="F249" s="209" t="str">
        <f t="array" ref="F249">IF(ISNA($AA249),0,INDEX(DECLARATIONS,$AA249,7))</f>
        <v/>
      </c>
      <c r="G249" s="209" t="str">
        <f t="array" ref="G249">UPPER(IF(ISNA($AA249),"",INDEX(DECLARATIONS,$AA249,4)))</f>
        <v/>
      </c>
      <c r="H249" t="str">
        <f>IF(AND(A249&gt;0,ISTEXT(B249)),IF(SECNAME="YES",LEFT(B249&amp;" ",FIND(" ",B249&amp;" ")+2)&amp;IF(F249&gt;0," ("&amp;F249&amp;")",""),B249&amp;IF(F249&gt;0," ("&amp;F249&amp;")","")),"#"&amp;$A249)</f>
        <v/>
      </c>
      <c r="I249" s="209">
        <f>IF(LEN($A249)&gt;0,IF(LEN($J249)&gt;0,MATCH(J249,MatchNames,0),EventIndex),0)</f>
        <v>0</v>
      </c>
      <c r="J249" s="209" t="str">
        <f>IF(LEN($A249)&gt;0,IF(LEN(Declarations!$F249)&gt;0,Declarations!$F249,conftype),"")</f>
        <v/>
      </c>
      <c r="M249" s="297">
        <f>IF(ISNA(VLOOKUP($A249,SprintData,2,FALSE)),0,VLOOKUP($A249,SprintData,2,FALSE))</f>
        <v>0</v>
      </c>
      <c r="N249" s="297">
        <f>IF(ISNA(VLOOKUP($A249,JumpData,2,FALSE)),0,VLOOKUP($A249,JumpData,2,FALSE))</f>
        <v>0</v>
      </c>
      <c r="O249" s="297">
        <f>IF(ISNA(VLOOKUP($A249,RunData,2,FALSE)),0,VLOOKUP($A249,RunData,2,FALSE))</f>
        <v>0</v>
      </c>
      <c r="P249" s="297">
        <f>IF(ISNA(VLOOKUP($A249,ThrowData,2,FALSE)),0,VLOOKUP($A249,ThrowData,2,FALSE))</f>
        <v>0</v>
      </c>
      <c r="Q249" s="298">
        <f>IF(ISNA(VLOOKUP($A249,SprintData,4,FALSE)),0,VLOOKUP($A249,SprintData,4,FALSE))+V249</f>
        <v>0</v>
      </c>
      <c r="R249" s="298">
        <f>IF(ISNA(VLOOKUP($A249,JumpData,4,FALSE)),0,VLOOKUP($A249,JumpData,4,FALSE))+W249</f>
        <v>0</v>
      </c>
      <c r="S249" s="298">
        <f>IF(ISNA(VLOOKUP($A249,RunData,4,FALSE)),0,VLOOKUP($A249,RunData,4,FALSE))+X249</f>
        <v>0</v>
      </c>
      <c r="T249" s="298">
        <f>IF(ISNA(VLOOKUP($A249,ThrowData,4,FALSE)),0,VLOOKUP($A249,ThrowData,4,FALSE))+Y249</f>
        <v>0</v>
      </c>
      <c r="U249" s="299">
        <f t="shared" si="2"/>
        <v>0</v>
      </c>
      <c r="V249">
        <f>IF(AND($F249&gt;0,NOT(M249),Flexing),FlexPC,0)</f>
        <v>0</v>
      </c>
      <c r="W249">
        <f>IF(AND($F249&gt;0,NOT(N249),Flexing),FlexPC,0)</f>
        <v>0</v>
      </c>
      <c r="X249">
        <f>IF(AND($F249&gt;0,NOT(O249),Flexing),FlexPC,0)</f>
        <v>0</v>
      </c>
      <c r="Y249">
        <f>IF(AND($F249&gt;0,NOT(P249),Flexing),FlexPC,0)</f>
        <v>0</v>
      </c>
      <c r="AA249" s="209">
        <f t="shared" si="3"/>
        <v>248</v>
      </c>
    </row>
    <row r="250" ht="15.75" customHeight="1">
      <c r="A250" s="206" t="str">
        <f>+Declarations!A250&amp;""</f>
        <v/>
      </c>
      <c r="B250" t="str">
        <f>IF(LEN($A250),IF(LEN(Declarations!$B250)&gt;0,Declarations!$B250,"#"&amp;$A250),"")</f>
        <v/>
      </c>
      <c r="C250" s="209" t="str">
        <f t="array" ref="C250">IF(LEN(INDEX(DECLARATIONS,$AA250,3))&gt;0,INDEX(DECLARATIONS,$AA250,3),"...")</f>
        <v>...</v>
      </c>
      <c r="D250" s="209" t="str">
        <f t="shared" si="1"/>
        <v/>
      </c>
      <c r="E250" s="296" t="str">
        <f t="array" ref="E250">IF(ISNA($AA250),0,INDEX(DECLARATIONS,$AA250,5))</f>
        <v/>
      </c>
      <c r="F250" s="209" t="str">
        <f t="array" ref="F250">IF(ISNA($AA250),0,INDEX(DECLARATIONS,$AA250,7))</f>
        <v/>
      </c>
      <c r="G250" s="209" t="str">
        <f t="array" ref="G250">UPPER(IF(ISNA($AA250),"",INDEX(DECLARATIONS,$AA250,4)))</f>
        <v/>
      </c>
      <c r="H250" t="str">
        <f>IF(AND(A250&gt;0,ISTEXT(B250)),IF(SECNAME="YES",LEFT(B250&amp;" ",FIND(" ",B250&amp;" ")+2)&amp;IF(F250&gt;0," ("&amp;F250&amp;")",""),B250&amp;IF(F250&gt;0," ("&amp;F250&amp;")","")),"#"&amp;$A250)</f>
        <v/>
      </c>
      <c r="I250" s="209">
        <f>IF(LEN($A250)&gt;0,IF(LEN($J250)&gt;0,MATCH(J250,MatchNames,0),EventIndex),0)</f>
        <v>0</v>
      </c>
      <c r="J250" s="209" t="str">
        <f>IF(LEN($A250)&gt;0,IF(LEN(Declarations!$F250)&gt;0,Declarations!$F250,conftype),"")</f>
        <v/>
      </c>
      <c r="M250" s="297">
        <f>IF(ISNA(VLOOKUP($A250,SprintData,2,FALSE)),0,VLOOKUP($A250,SprintData,2,FALSE))</f>
        <v>0</v>
      </c>
      <c r="N250" s="297">
        <f>IF(ISNA(VLOOKUP($A250,JumpData,2,FALSE)),0,VLOOKUP($A250,JumpData,2,FALSE))</f>
        <v>0</v>
      </c>
      <c r="O250" s="297">
        <f>IF(ISNA(VLOOKUP($A250,RunData,2,FALSE)),0,VLOOKUP($A250,RunData,2,FALSE))</f>
        <v>0</v>
      </c>
      <c r="P250" s="297">
        <f>IF(ISNA(VLOOKUP($A250,ThrowData,2,FALSE)),0,VLOOKUP($A250,ThrowData,2,FALSE))</f>
        <v>0</v>
      </c>
      <c r="Q250" s="298">
        <f>IF(ISNA(VLOOKUP($A250,SprintData,4,FALSE)),0,VLOOKUP($A250,SprintData,4,FALSE))+V250</f>
        <v>0</v>
      </c>
      <c r="R250" s="298">
        <f>IF(ISNA(VLOOKUP($A250,JumpData,4,FALSE)),0,VLOOKUP($A250,JumpData,4,FALSE))+W250</f>
        <v>0</v>
      </c>
      <c r="S250" s="298">
        <f>IF(ISNA(VLOOKUP($A250,RunData,4,FALSE)),0,VLOOKUP($A250,RunData,4,FALSE))+X250</f>
        <v>0</v>
      </c>
      <c r="T250" s="298">
        <f>IF(ISNA(VLOOKUP($A250,ThrowData,4,FALSE)),0,VLOOKUP($A250,ThrowData,4,FALSE))+Y250</f>
        <v>0</v>
      </c>
      <c r="U250" s="299">
        <f t="shared" si="2"/>
        <v>0</v>
      </c>
      <c r="V250">
        <f>IF(AND($F250&gt;0,NOT(M250),Flexing),FlexPC,0)</f>
        <v>0</v>
      </c>
      <c r="W250">
        <f>IF(AND($F250&gt;0,NOT(N250),Flexing),FlexPC,0)</f>
        <v>0</v>
      </c>
      <c r="X250">
        <f>IF(AND($F250&gt;0,NOT(O250),Flexing),FlexPC,0)</f>
        <v>0</v>
      </c>
      <c r="Y250">
        <f>IF(AND($F250&gt;0,NOT(P250),Flexing),FlexPC,0)</f>
        <v>0</v>
      </c>
      <c r="AA250" s="209">
        <f t="shared" si="3"/>
        <v>249</v>
      </c>
    </row>
    <row r="251" ht="15.75" customHeight="1">
      <c r="A251" s="206" t="str">
        <f>+Declarations!A251&amp;""</f>
        <v/>
      </c>
      <c r="B251" t="str">
        <f>IF(LEN($A251),IF(LEN(Declarations!$B251)&gt;0,Declarations!$B251,"#"&amp;$A251),"")</f>
        <v/>
      </c>
      <c r="C251" s="209" t="str">
        <f t="array" ref="C251">IF(LEN(INDEX(DECLARATIONS,$AA251,3))&gt;0,INDEX(DECLARATIONS,$AA251,3),"...")</f>
        <v>...</v>
      </c>
      <c r="D251" s="209" t="str">
        <f t="shared" si="1"/>
        <v/>
      </c>
      <c r="E251" s="296" t="str">
        <f t="array" ref="E251">IF(ISNA($AA251),0,INDEX(DECLARATIONS,$AA251,5))</f>
        <v/>
      </c>
      <c r="F251" s="209" t="str">
        <f t="array" ref="F251">IF(ISNA($AA251),0,INDEX(DECLARATIONS,$AA251,7))</f>
        <v/>
      </c>
      <c r="G251" s="209" t="str">
        <f t="array" ref="G251">UPPER(IF(ISNA($AA251),"",INDEX(DECLARATIONS,$AA251,4)))</f>
        <v/>
      </c>
      <c r="H251" t="str">
        <f>IF(AND(A251&gt;0,ISTEXT(B251)),IF(SECNAME="YES",LEFT(B251&amp;" ",FIND(" ",B251&amp;" ")+2)&amp;IF(F251&gt;0," ("&amp;F251&amp;")",""),B251&amp;IF(F251&gt;0," ("&amp;F251&amp;")","")),"#"&amp;$A251)</f>
        <v/>
      </c>
      <c r="I251" s="209">
        <f>IF(LEN($A251)&gt;0,IF(LEN($J251)&gt;0,MATCH(J251,MatchNames,0),EventIndex),0)</f>
        <v>0</v>
      </c>
      <c r="J251" s="209" t="str">
        <f>IF(LEN($A251)&gt;0,IF(LEN(Declarations!$F251)&gt;0,Declarations!$F251,conftype),"")</f>
        <v/>
      </c>
      <c r="M251" s="297">
        <f>IF(ISNA(VLOOKUP($A251,SprintData,2,FALSE)),0,VLOOKUP($A251,SprintData,2,FALSE))</f>
        <v>0</v>
      </c>
      <c r="N251" s="297">
        <f>IF(ISNA(VLOOKUP($A251,JumpData,2,FALSE)),0,VLOOKUP($A251,JumpData,2,FALSE))</f>
        <v>0</v>
      </c>
      <c r="O251" s="297">
        <f>IF(ISNA(VLOOKUP($A251,RunData,2,FALSE)),0,VLOOKUP($A251,RunData,2,FALSE))</f>
        <v>0</v>
      </c>
      <c r="P251" s="297">
        <f>IF(ISNA(VLOOKUP($A251,ThrowData,2,FALSE)),0,VLOOKUP($A251,ThrowData,2,FALSE))</f>
        <v>0</v>
      </c>
      <c r="Q251" s="298">
        <f>IF(ISNA(VLOOKUP($A251,SprintData,4,FALSE)),0,VLOOKUP($A251,SprintData,4,FALSE))+V251</f>
        <v>0</v>
      </c>
      <c r="R251" s="298">
        <f>IF(ISNA(VLOOKUP($A251,JumpData,4,FALSE)),0,VLOOKUP($A251,JumpData,4,FALSE))+W251</f>
        <v>0</v>
      </c>
      <c r="S251" s="298">
        <f>IF(ISNA(VLOOKUP($A251,RunData,4,FALSE)),0,VLOOKUP($A251,RunData,4,FALSE))+X251</f>
        <v>0</v>
      </c>
      <c r="T251" s="298">
        <f>IF(ISNA(VLOOKUP($A251,ThrowData,4,FALSE)),0,VLOOKUP($A251,ThrowData,4,FALSE))+Y251</f>
        <v>0</v>
      </c>
      <c r="U251" s="299">
        <f t="shared" si="2"/>
        <v>0</v>
      </c>
      <c r="V251">
        <f>IF(AND($F251&gt;0,NOT(M251),Flexing),FlexPC,0)</f>
        <v>0</v>
      </c>
      <c r="W251">
        <f>IF(AND($F251&gt;0,NOT(N251),Flexing),FlexPC,0)</f>
        <v>0</v>
      </c>
      <c r="X251">
        <f>IF(AND($F251&gt;0,NOT(O251),Flexing),FlexPC,0)</f>
        <v>0</v>
      </c>
      <c r="Y251">
        <f>IF(AND($F251&gt;0,NOT(P251),Flexing),FlexPC,0)</f>
        <v>0</v>
      </c>
      <c r="AA251" s="209">
        <f t="shared" si="3"/>
        <v>250</v>
      </c>
    </row>
    <row r="252" ht="15.75" customHeight="1">
      <c r="A252" s="206" t="str">
        <f>+Declarations!A252&amp;""</f>
        <v/>
      </c>
      <c r="B252" t="str">
        <f>IF(LEN($A252),IF(LEN(Declarations!$B252)&gt;0,Declarations!$B252,"#"&amp;$A252),"")</f>
        <v/>
      </c>
      <c r="C252" s="209" t="str">
        <f t="array" ref="C252">IF(LEN(INDEX(DECLARATIONS,$AA252,3))&gt;0,INDEX(DECLARATIONS,$AA252,3),"...")</f>
        <v>...</v>
      </c>
      <c r="D252" s="209" t="str">
        <f t="shared" si="1"/>
        <v/>
      </c>
      <c r="E252" s="296" t="str">
        <f t="array" ref="E252">IF(ISNA($AA252),0,INDEX(DECLARATIONS,$AA252,5))</f>
        <v/>
      </c>
      <c r="F252" s="209" t="str">
        <f t="array" ref="F252">IF(ISNA($AA252),0,INDEX(DECLARATIONS,$AA252,7))</f>
        <v/>
      </c>
      <c r="G252" s="209" t="str">
        <f t="array" ref="G252">UPPER(IF(ISNA($AA252),"",INDEX(DECLARATIONS,$AA252,4)))</f>
        <v/>
      </c>
      <c r="H252" t="str">
        <f>IF(AND(A252&gt;0,ISTEXT(B252)),IF(SECNAME="YES",LEFT(B252&amp;" ",FIND(" ",B252&amp;" ")+2)&amp;IF(F252&gt;0," ("&amp;F252&amp;")",""),B252&amp;IF(F252&gt;0," ("&amp;F252&amp;")","")),"#"&amp;$A252)</f>
        <v/>
      </c>
      <c r="I252" s="209">
        <f>IF(LEN($A252)&gt;0,IF(LEN($J252)&gt;0,MATCH(J252,MatchNames,0),EventIndex),0)</f>
        <v>0</v>
      </c>
      <c r="J252" s="209" t="str">
        <f>IF(LEN($A252)&gt;0,IF(LEN(Declarations!$F252)&gt;0,Declarations!$F252,conftype),"")</f>
        <v/>
      </c>
      <c r="M252" s="297">
        <f>IF(ISNA(VLOOKUP($A252,SprintData,2,FALSE)),0,VLOOKUP($A252,SprintData,2,FALSE))</f>
        <v>0</v>
      </c>
      <c r="N252" s="297">
        <f>IF(ISNA(VLOOKUP($A252,JumpData,2,FALSE)),0,VLOOKUP($A252,JumpData,2,FALSE))</f>
        <v>0</v>
      </c>
      <c r="O252" s="297">
        <f>IF(ISNA(VLOOKUP($A252,RunData,2,FALSE)),0,VLOOKUP($A252,RunData,2,FALSE))</f>
        <v>0</v>
      </c>
      <c r="P252" s="297">
        <f>IF(ISNA(VLOOKUP($A252,ThrowData,2,FALSE)),0,VLOOKUP($A252,ThrowData,2,FALSE))</f>
        <v>0</v>
      </c>
      <c r="Q252" s="298">
        <f>IF(ISNA(VLOOKUP($A252,SprintData,4,FALSE)),0,VLOOKUP($A252,SprintData,4,FALSE))+V252</f>
        <v>0</v>
      </c>
      <c r="R252" s="298">
        <f>IF(ISNA(VLOOKUP($A252,JumpData,4,FALSE)),0,VLOOKUP($A252,JumpData,4,FALSE))+W252</f>
        <v>0</v>
      </c>
      <c r="S252" s="298">
        <f>IF(ISNA(VLOOKUP($A252,RunData,4,FALSE)),0,VLOOKUP($A252,RunData,4,FALSE))+X252</f>
        <v>0</v>
      </c>
      <c r="T252" s="298">
        <f>IF(ISNA(VLOOKUP($A252,ThrowData,4,FALSE)),0,VLOOKUP($A252,ThrowData,4,FALSE))+Y252</f>
        <v>0</v>
      </c>
      <c r="U252" s="299">
        <f t="shared" si="2"/>
        <v>0</v>
      </c>
      <c r="V252">
        <f>IF(AND($F252&gt;0,NOT(M252),Flexing),FlexPC,0)</f>
        <v>0</v>
      </c>
      <c r="W252">
        <f>IF(AND($F252&gt;0,NOT(N252),Flexing),FlexPC,0)</f>
        <v>0</v>
      </c>
      <c r="X252">
        <f>IF(AND($F252&gt;0,NOT(O252),Flexing),FlexPC,0)</f>
        <v>0</v>
      </c>
      <c r="Y252">
        <f>IF(AND($F252&gt;0,NOT(P252),Flexing),FlexPC,0)</f>
        <v>0</v>
      </c>
      <c r="AA252" s="209">
        <f t="shared" si="3"/>
        <v>251</v>
      </c>
    </row>
    <row r="253" ht="15.75" customHeight="1">
      <c r="A253" s="206" t="str">
        <f>+Declarations!A253&amp;""</f>
        <v/>
      </c>
      <c r="B253" t="str">
        <f>IF(LEN($A253),IF(LEN(Declarations!$B253)&gt;0,Declarations!$B253,"#"&amp;$A253),"")</f>
        <v/>
      </c>
      <c r="C253" s="209" t="str">
        <f t="array" ref="C253">IF(LEN(INDEX(DECLARATIONS,$AA253,3))&gt;0,INDEX(DECLARATIONS,$AA253,3),"...")</f>
        <v>...</v>
      </c>
      <c r="D253" s="209" t="str">
        <f t="shared" si="1"/>
        <v/>
      </c>
      <c r="E253" s="296" t="str">
        <f t="array" ref="E253">IF(ISNA($AA253),0,INDEX(DECLARATIONS,$AA253,5))</f>
        <v/>
      </c>
      <c r="F253" s="209" t="str">
        <f t="array" ref="F253">IF(ISNA($AA253),0,INDEX(DECLARATIONS,$AA253,7))</f>
        <v/>
      </c>
      <c r="G253" s="209" t="str">
        <f t="array" ref="G253">UPPER(IF(ISNA($AA253),"",INDEX(DECLARATIONS,$AA253,4)))</f>
        <v/>
      </c>
      <c r="H253" t="str">
        <f>IF(AND(A253&gt;0,ISTEXT(B253)),IF(SECNAME="YES",LEFT(B253&amp;" ",FIND(" ",B253&amp;" ")+2)&amp;IF(F253&gt;0," ("&amp;F253&amp;")",""),B253&amp;IF(F253&gt;0," ("&amp;F253&amp;")","")),"#"&amp;$A253)</f>
        <v/>
      </c>
      <c r="I253" s="209">
        <f>IF(LEN($A253)&gt;0,IF(LEN($J253)&gt;0,MATCH(J253,MatchNames,0),EventIndex),0)</f>
        <v>0</v>
      </c>
      <c r="J253" s="209" t="str">
        <f>IF(LEN($A253)&gt;0,IF(LEN(Declarations!$F253)&gt;0,Declarations!$F253,conftype),"")</f>
        <v/>
      </c>
      <c r="M253" s="297">
        <f>IF(ISNA(VLOOKUP($A253,SprintData,2,FALSE)),0,VLOOKUP($A253,SprintData,2,FALSE))</f>
        <v>0</v>
      </c>
      <c r="N253" s="297">
        <f>IF(ISNA(VLOOKUP($A253,JumpData,2,FALSE)),0,VLOOKUP($A253,JumpData,2,FALSE))</f>
        <v>0</v>
      </c>
      <c r="O253" s="297">
        <f>IF(ISNA(VLOOKUP($A253,RunData,2,FALSE)),0,VLOOKUP($A253,RunData,2,FALSE))</f>
        <v>0</v>
      </c>
      <c r="P253" s="297">
        <f>IF(ISNA(VLOOKUP($A253,ThrowData,2,FALSE)),0,VLOOKUP($A253,ThrowData,2,FALSE))</f>
        <v>0</v>
      </c>
      <c r="Q253" s="298">
        <f>IF(ISNA(VLOOKUP($A253,SprintData,4,FALSE)),0,VLOOKUP($A253,SprintData,4,FALSE))+V253</f>
        <v>0</v>
      </c>
      <c r="R253" s="298">
        <f>IF(ISNA(VLOOKUP($A253,JumpData,4,FALSE)),0,VLOOKUP($A253,JumpData,4,FALSE))+W253</f>
        <v>0</v>
      </c>
      <c r="S253" s="298">
        <f>IF(ISNA(VLOOKUP($A253,RunData,4,FALSE)),0,VLOOKUP($A253,RunData,4,FALSE))+X253</f>
        <v>0</v>
      </c>
      <c r="T253" s="298">
        <f>IF(ISNA(VLOOKUP($A253,ThrowData,4,FALSE)),0,VLOOKUP($A253,ThrowData,4,FALSE))+Y253</f>
        <v>0</v>
      </c>
      <c r="U253" s="299">
        <f t="shared" si="2"/>
        <v>0</v>
      </c>
      <c r="V253">
        <f>IF(AND($F253&gt;0,NOT(M253),Flexing),FlexPC,0)</f>
        <v>0</v>
      </c>
      <c r="W253">
        <f>IF(AND($F253&gt;0,NOT(N253),Flexing),FlexPC,0)</f>
        <v>0</v>
      </c>
      <c r="X253">
        <f>IF(AND($F253&gt;0,NOT(O253),Flexing),FlexPC,0)</f>
        <v>0</v>
      </c>
      <c r="Y253">
        <f>IF(AND($F253&gt;0,NOT(P253),Flexing),FlexPC,0)</f>
        <v>0</v>
      </c>
      <c r="AA253" s="209">
        <f t="shared" si="3"/>
        <v>252</v>
      </c>
    </row>
    <row r="254" ht="15.75" customHeight="1">
      <c r="A254" s="206" t="str">
        <f>+Declarations!A254&amp;""</f>
        <v/>
      </c>
      <c r="B254" t="str">
        <f>IF(LEN($A254),IF(LEN(Declarations!$B254)&gt;0,Declarations!$B254,"#"&amp;$A254),"")</f>
        <v/>
      </c>
      <c r="C254" s="209" t="str">
        <f t="array" ref="C254">IF(LEN(INDEX(DECLARATIONS,$AA254,3))&gt;0,INDEX(DECLARATIONS,$AA254,3),"...")</f>
        <v>...</v>
      </c>
      <c r="D254" s="209" t="str">
        <f t="shared" si="1"/>
        <v/>
      </c>
      <c r="E254" s="296" t="str">
        <f t="array" ref="E254">IF(ISNA($AA254),0,INDEX(DECLARATIONS,$AA254,5))</f>
        <v/>
      </c>
      <c r="F254" s="209" t="str">
        <f t="array" ref="F254">IF(ISNA($AA254),0,INDEX(DECLARATIONS,$AA254,7))</f>
        <v/>
      </c>
      <c r="G254" s="209" t="str">
        <f t="array" ref="G254">UPPER(IF(ISNA($AA254),"",INDEX(DECLARATIONS,$AA254,4)))</f>
        <v/>
      </c>
      <c r="H254" t="str">
        <f>IF(AND(A254&gt;0,ISTEXT(B254)),IF(SECNAME="YES",LEFT(B254&amp;" ",FIND(" ",B254&amp;" ")+2)&amp;IF(F254&gt;0," ("&amp;F254&amp;")",""),B254&amp;IF(F254&gt;0," ("&amp;F254&amp;")","")),"#"&amp;$A254)</f>
        <v/>
      </c>
      <c r="I254" s="209">
        <f>IF(LEN($A254)&gt;0,IF(LEN($J254)&gt;0,MATCH(J254,MatchNames,0),EventIndex),0)</f>
        <v>0</v>
      </c>
      <c r="J254" s="209" t="str">
        <f>IF(LEN($A254)&gt;0,IF(LEN(Declarations!$F254)&gt;0,Declarations!$F254,conftype),"")</f>
        <v/>
      </c>
      <c r="M254" s="297">
        <f>IF(ISNA(VLOOKUP($A254,SprintData,2,FALSE)),0,VLOOKUP($A254,SprintData,2,FALSE))</f>
        <v>0</v>
      </c>
      <c r="N254" s="297">
        <f>IF(ISNA(VLOOKUP($A254,JumpData,2,FALSE)),0,VLOOKUP($A254,JumpData,2,FALSE))</f>
        <v>0</v>
      </c>
      <c r="O254" s="297">
        <f>IF(ISNA(VLOOKUP($A254,RunData,2,FALSE)),0,VLOOKUP($A254,RunData,2,FALSE))</f>
        <v>0</v>
      </c>
      <c r="P254" s="297">
        <f>IF(ISNA(VLOOKUP($A254,ThrowData,2,FALSE)),0,VLOOKUP($A254,ThrowData,2,FALSE))</f>
        <v>0</v>
      </c>
      <c r="Q254" s="298">
        <f>IF(ISNA(VLOOKUP($A254,SprintData,4,FALSE)),0,VLOOKUP($A254,SprintData,4,FALSE))+V254</f>
        <v>0</v>
      </c>
      <c r="R254" s="298">
        <f>IF(ISNA(VLOOKUP($A254,JumpData,4,FALSE)),0,VLOOKUP($A254,JumpData,4,FALSE))+W254</f>
        <v>0</v>
      </c>
      <c r="S254" s="298">
        <f>IF(ISNA(VLOOKUP($A254,RunData,4,FALSE)),0,VLOOKUP($A254,RunData,4,FALSE))+X254</f>
        <v>0</v>
      </c>
      <c r="T254" s="298">
        <f>IF(ISNA(VLOOKUP($A254,ThrowData,4,FALSE)),0,VLOOKUP($A254,ThrowData,4,FALSE))+Y254</f>
        <v>0</v>
      </c>
      <c r="U254" s="299">
        <f t="shared" si="2"/>
        <v>0</v>
      </c>
      <c r="V254">
        <f>IF(AND($F254&gt;0,NOT(M254),Flexing),FlexPC,0)</f>
        <v>0</v>
      </c>
      <c r="W254">
        <f>IF(AND($F254&gt;0,NOT(N254),Flexing),FlexPC,0)</f>
        <v>0</v>
      </c>
      <c r="X254">
        <f>IF(AND($F254&gt;0,NOT(O254),Flexing),FlexPC,0)</f>
        <v>0</v>
      </c>
      <c r="Y254">
        <f>IF(AND($F254&gt;0,NOT(P254),Flexing),FlexPC,0)</f>
        <v>0</v>
      </c>
      <c r="AA254" s="209">
        <f t="shared" si="3"/>
        <v>253</v>
      </c>
    </row>
    <row r="255" ht="15.75" customHeight="1">
      <c r="A255" s="206" t="str">
        <f>+Declarations!A255&amp;""</f>
        <v/>
      </c>
      <c r="B255" t="str">
        <f>IF(LEN($A255),IF(LEN(Declarations!$B255)&gt;0,Declarations!$B255,"#"&amp;$A255),"")</f>
        <v/>
      </c>
      <c r="C255" s="209" t="str">
        <f t="array" ref="C255">IF(LEN(INDEX(DECLARATIONS,$AA255,3))&gt;0,INDEX(DECLARATIONS,$AA255,3),"...")</f>
        <v>...</v>
      </c>
      <c r="D255" s="209" t="str">
        <f t="shared" si="1"/>
        <v/>
      </c>
      <c r="E255" s="296" t="str">
        <f t="array" ref="E255">IF(ISNA($AA255),0,INDEX(DECLARATIONS,$AA255,5))</f>
        <v/>
      </c>
      <c r="F255" s="209" t="str">
        <f t="array" ref="F255">IF(ISNA($AA255),0,INDEX(DECLARATIONS,$AA255,7))</f>
        <v/>
      </c>
      <c r="G255" s="209" t="str">
        <f t="array" ref="G255">UPPER(IF(ISNA($AA255),"",INDEX(DECLARATIONS,$AA255,4)))</f>
        <v/>
      </c>
      <c r="H255" t="str">
        <f>IF(AND(A255&gt;0,ISTEXT(B255)),IF(SECNAME="YES",LEFT(B255&amp;" ",FIND(" ",B255&amp;" ")+2)&amp;IF(F255&gt;0," ("&amp;F255&amp;")",""),B255&amp;IF(F255&gt;0," ("&amp;F255&amp;")","")),"#"&amp;$A255)</f>
        <v/>
      </c>
      <c r="I255" s="209">
        <f>IF(LEN($A255)&gt;0,IF(LEN($J255)&gt;0,MATCH(J255,MatchNames,0),EventIndex),0)</f>
        <v>0</v>
      </c>
      <c r="J255" s="209" t="str">
        <f>IF(LEN($A255)&gt;0,IF(LEN(Declarations!$F255)&gt;0,Declarations!$F255,conftype),"")</f>
        <v/>
      </c>
      <c r="M255" s="297">
        <f>IF(ISNA(VLOOKUP($A255,SprintData,2,FALSE)),0,VLOOKUP($A255,SprintData,2,FALSE))</f>
        <v>0</v>
      </c>
      <c r="N255" s="297">
        <f>IF(ISNA(VLOOKUP($A255,JumpData,2,FALSE)),0,VLOOKUP($A255,JumpData,2,FALSE))</f>
        <v>0</v>
      </c>
      <c r="O255" s="297">
        <f>IF(ISNA(VLOOKUP($A255,RunData,2,FALSE)),0,VLOOKUP($A255,RunData,2,FALSE))</f>
        <v>0</v>
      </c>
      <c r="P255" s="297">
        <f>IF(ISNA(VLOOKUP($A255,ThrowData,2,FALSE)),0,VLOOKUP($A255,ThrowData,2,FALSE))</f>
        <v>0</v>
      </c>
      <c r="Q255" s="298">
        <f>IF(ISNA(VLOOKUP($A255,SprintData,4,FALSE)),0,VLOOKUP($A255,SprintData,4,FALSE))+V255</f>
        <v>0</v>
      </c>
      <c r="R255" s="298">
        <f>IF(ISNA(VLOOKUP($A255,JumpData,4,FALSE)),0,VLOOKUP($A255,JumpData,4,FALSE))+W255</f>
        <v>0</v>
      </c>
      <c r="S255" s="298">
        <f>IF(ISNA(VLOOKUP($A255,RunData,4,FALSE)),0,VLOOKUP($A255,RunData,4,FALSE))+X255</f>
        <v>0</v>
      </c>
      <c r="T255" s="298">
        <f>IF(ISNA(VLOOKUP($A255,ThrowData,4,FALSE)),0,VLOOKUP($A255,ThrowData,4,FALSE))+Y255</f>
        <v>0</v>
      </c>
      <c r="U255" s="299">
        <f t="shared" si="2"/>
        <v>0</v>
      </c>
      <c r="V255">
        <f>IF(AND($F255&gt;0,NOT(M255),Flexing),FlexPC,0)</f>
        <v>0</v>
      </c>
      <c r="W255">
        <f>IF(AND($F255&gt;0,NOT(N255),Flexing),FlexPC,0)</f>
        <v>0</v>
      </c>
      <c r="X255">
        <f>IF(AND($F255&gt;0,NOT(O255),Flexing),FlexPC,0)</f>
        <v>0</v>
      </c>
      <c r="Y255">
        <f>IF(AND($F255&gt;0,NOT(P255),Flexing),FlexPC,0)</f>
        <v>0</v>
      </c>
      <c r="AA255" s="209">
        <f t="shared" si="3"/>
        <v>254</v>
      </c>
    </row>
    <row r="256" ht="15.75" customHeight="1">
      <c r="A256" s="206" t="str">
        <f>+Declarations!A256&amp;""</f>
        <v/>
      </c>
      <c r="B256" t="str">
        <f>IF(LEN($A256),IF(LEN(Declarations!$B256)&gt;0,Declarations!$B256,"#"&amp;$A256),"")</f>
        <v/>
      </c>
      <c r="C256" s="209" t="str">
        <f t="array" ref="C256">IF(LEN(INDEX(DECLARATIONS,$AA256,3))&gt;0,INDEX(DECLARATIONS,$AA256,3),"...")</f>
        <v>...</v>
      </c>
      <c r="D256" s="209" t="str">
        <f t="shared" si="1"/>
        <v/>
      </c>
      <c r="E256" s="296" t="str">
        <f t="array" ref="E256">IF(ISNA($AA256),0,INDEX(DECLARATIONS,$AA256,5))</f>
        <v/>
      </c>
      <c r="F256" s="209" t="str">
        <f t="array" ref="F256">IF(ISNA($AA256),0,INDEX(DECLARATIONS,$AA256,7))</f>
        <v/>
      </c>
      <c r="G256" s="209" t="str">
        <f t="array" ref="G256">UPPER(IF(ISNA($AA256),"",INDEX(DECLARATIONS,$AA256,4)))</f>
        <v/>
      </c>
      <c r="H256" t="str">
        <f>IF(AND(A256&gt;0,ISTEXT(B256)),IF(SECNAME="YES",LEFT(B256&amp;" ",FIND(" ",B256&amp;" ")+2)&amp;IF(F256&gt;0," ("&amp;F256&amp;")",""),B256&amp;IF(F256&gt;0," ("&amp;F256&amp;")","")),"#"&amp;$A256)</f>
        <v/>
      </c>
      <c r="I256" s="209">
        <f>IF(LEN($A256)&gt;0,IF(LEN($J256)&gt;0,MATCH(J256,MatchNames,0),EventIndex),0)</f>
        <v>0</v>
      </c>
      <c r="J256" s="209" t="str">
        <f>IF(LEN($A256)&gt;0,IF(LEN(Declarations!$F256)&gt;0,Declarations!$F256,conftype),"")</f>
        <v/>
      </c>
      <c r="M256" s="297">
        <f>IF(ISNA(VLOOKUP($A256,SprintData,2,FALSE)),0,VLOOKUP($A256,SprintData,2,FALSE))</f>
        <v>0</v>
      </c>
      <c r="N256" s="297">
        <f>IF(ISNA(VLOOKUP($A256,JumpData,2,FALSE)),0,VLOOKUP($A256,JumpData,2,FALSE))</f>
        <v>0</v>
      </c>
      <c r="O256" s="297">
        <f>IF(ISNA(VLOOKUP($A256,RunData,2,FALSE)),0,VLOOKUP($A256,RunData,2,FALSE))</f>
        <v>0</v>
      </c>
      <c r="P256" s="297">
        <f>IF(ISNA(VLOOKUP($A256,ThrowData,2,FALSE)),0,VLOOKUP($A256,ThrowData,2,FALSE))</f>
        <v>0</v>
      </c>
      <c r="Q256" s="298">
        <f>IF(ISNA(VLOOKUP($A256,SprintData,4,FALSE)),0,VLOOKUP($A256,SprintData,4,FALSE))+V256</f>
        <v>0</v>
      </c>
      <c r="R256" s="298">
        <f>IF(ISNA(VLOOKUP($A256,JumpData,4,FALSE)),0,VLOOKUP($A256,JumpData,4,FALSE))+W256</f>
        <v>0</v>
      </c>
      <c r="S256" s="298">
        <f>IF(ISNA(VLOOKUP($A256,RunData,4,FALSE)),0,VLOOKUP($A256,RunData,4,FALSE))+X256</f>
        <v>0</v>
      </c>
      <c r="T256" s="298">
        <f>IF(ISNA(VLOOKUP($A256,ThrowData,4,FALSE)),0,VLOOKUP($A256,ThrowData,4,FALSE))+Y256</f>
        <v>0</v>
      </c>
      <c r="U256" s="299">
        <f t="shared" si="2"/>
        <v>0</v>
      </c>
      <c r="V256">
        <f>IF(AND($F256&gt;0,NOT(M256),Flexing),FlexPC,0)</f>
        <v>0</v>
      </c>
      <c r="W256">
        <f>IF(AND($F256&gt;0,NOT(N256),Flexing),FlexPC,0)</f>
        <v>0</v>
      </c>
      <c r="X256">
        <f>IF(AND($F256&gt;0,NOT(O256),Flexing),FlexPC,0)</f>
        <v>0</v>
      </c>
      <c r="Y256">
        <f>IF(AND($F256&gt;0,NOT(P256),Flexing),FlexPC,0)</f>
        <v>0</v>
      </c>
      <c r="AA256" s="209">
        <f t="shared" si="3"/>
        <v>255</v>
      </c>
    </row>
    <row r="257" ht="15.75" customHeight="1">
      <c r="A257" s="206" t="str">
        <f>+Declarations!A257&amp;""</f>
        <v/>
      </c>
      <c r="B257" t="str">
        <f>IF(LEN($A257),IF(LEN(Declarations!$B257)&gt;0,Declarations!$B257,"#"&amp;$A257),"")</f>
        <v/>
      </c>
      <c r="C257" s="209" t="str">
        <f t="array" ref="C257">IF(LEN(INDEX(DECLARATIONS,$AA257,3))&gt;0,INDEX(DECLARATIONS,$AA257,3),"...")</f>
        <v>...</v>
      </c>
      <c r="D257" s="209" t="str">
        <f t="shared" si="1"/>
        <v/>
      </c>
      <c r="E257" s="296" t="str">
        <f t="array" ref="E257">IF(ISNA($AA257),0,INDEX(DECLARATIONS,$AA257,5))</f>
        <v/>
      </c>
      <c r="F257" s="209" t="str">
        <f t="array" ref="F257">IF(ISNA($AA257),0,INDEX(DECLARATIONS,$AA257,7))</f>
        <v/>
      </c>
      <c r="G257" s="209" t="str">
        <f t="array" ref="G257">UPPER(IF(ISNA($AA257),"",INDEX(DECLARATIONS,$AA257,4)))</f>
        <v/>
      </c>
      <c r="H257" t="str">
        <f>IF(AND(A257&gt;0,ISTEXT(B257)),IF(SECNAME="YES",LEFT(B257&amp;" ",FIND(" ",B257&amp;" ")+2)&amp;IF(F257&gt;0," ("&amp;F257&amp;")",""),B257&amp;IF(F257&gt;0," ("&amp;F257&amp;")","")),"#"&amp;$A257)</f>
        <v/>
      </c>
      <c r="I257" s="209">
        <f>IF(LEN($A257)&gt;0,IF(LEN($J257)&gt;0,MATCH(J257,MatchNames,0),EventIndex),0)</f>
        <v>0</v>
      </c>
      <c r="J257" s="209" t="str">
        <f>IF(LEN($A257)&gt;0,IF(LEN(Declarations!$F257)&gt;0,Declarations!$F257,conftype),"")</f>
        <v/>
      </c>
      <c r="M257" s="297">
        <f>IF(ISNA(VLOOKUP($A257,SprintData,2,FALSE)),0,VLOOKUP($A257,SprintData,2,FALSE))</f>
        <v>0</v>
      </c>
      <c r="N257" s="297">
        <f>IF(ISNA(VLOOKUP($A257,JumpData,2,FALSE)),0,VLOOKUP($A257,JumpData,2,FALSE))</f>
        <v>0</v>
      </c>
      <c r="O257" s="297">
        <f>IF(ISNA(VLOOKUP($A257,RunData,2,FALSE)),0,VLOOKUP($A257,RunData,2,FALSE))</f>
        <v>0</v>
      </c>
      <c r="P257" s="297">
        <f>IF(ISNA(VLOOKUP($A257,ThrowData,2,FALSE)),0,VLOOKUP($A257,ThrowData,2,FALSE))</f>
        <v>0</v>
      </c>
      <c r="Q257" s="298">
        <f>IF(ISNA(VLOOKUP($A257,SprintData,4,FALSE)),0,VLOOKUP($A257,SprintData,4,FALSE))+V257</f>
        <v>0</v>
      </c>
      <c r="R257" s="298">
        <f>IF(ISNA(VLOOKUP($A257,JumpData,4,FALSE)),0,VLOOKUP($A257,JumpData,4,FALSE))+W257</f>
        <v>0</v>
      </c>
      <c r="S257" s="298">
        <f>IF(ISNA(VLOOKUP($A257,RunData,4,FALSE)),0,VLOOKUP($A257,RunData,4,FALSE))+X257</f>
        <v>0</v>
      </c>
      <c r="T257" s="298">
        <f>IF(ISNA(VLOOKUP($A257,ThrowData,4,FALSE)),0,VLOOKUP($A257,ThrowData,4,FALSE))+Y257</f>
        <v>0</v>
      </c>
      <c r="U257" s="299">
        <f t="shared" si="2"/>
        <v>0</v>
      </c>
      <c r="V257">
        <f>IF(AND($F257&gt;0,NOT(M257),Flexing),FlexPC,0)</f>
        <v>0</v>
      </c>
      <c r="W257">
        <f>IF(AND($F257&gt;0,NOT(N257),Flexing),FlexPC,0)</f>
        <v>0</v>
      </c>
      <c r="X257">
        <f>IF(AND($F257&gt;0,NOT(O257),Flexing),FlexPC,0)</f>
        <v>0</v>
      </c>
      <c r="Y257">
        <f>IF(AND($F257&gt;0,NOT(P257),Flexing),FlexPC,0)</f>
        <v>0</v>
      </c>
      <c r="AA257" s="209">
        <f t="shared" si="3"/>
        <v>256</v>
      </c>
    </row>
    <row r="258" ht="15.75" customHeight="1">
      <c r="A258" s="206" t="str">
        <f>+Declarations!A258&amp;""</f>
        <v/>
      </c>
      <c r="B258" t="str">
        <f>IF(LEN($A258),IF(LEN(Declarations!$B258)&gt;0,Declarations!$B258,"#"&amp;$A258),"")</f>
        <v/>
      </c>
      <c r="C258" s="209" t="str">
        <f t="array" ref="C258">IF(LEN(INDEX(DECLARATIONS,$AA258,3))&gt;0,INDEX(DECLARATIONS,$AA258,3),"...")</f>
        <v>...</v>
      </c>
      <c r="D258" s="209" t="str">
        <f t="shared" si="1"/>
        <v/>
      </c>
      <c r="E258" s="296" t="str">
        <f t="array" ref="E258">IF(ISNA($AA258),0,INDEX(DECLARATIONS,$AA258,5))</f>
        <v/>
      </c>
      <c r="F258" s="209" t="str">
        <f t="array" ref="F258">IF(ISNA($AA258),0,INDEX(DECLARATIONS,$AA258,7))</f>
        <v/>
      </c>
      <c r="G258" s="209" t="str">
        <f t="array" ref="G258">UPPER(IF(ISNA($AA258),"",INDEX(DECLARATIONS,$AA258,4)))</f>
        <v/>
      </c>
      <c r="H258" t="str">
        <f>IF(AND(A258&gt;0,ISTEXT(B258)),IF(SECNAME="YES",LEFT(B258&amp;" ",FIND(" ",B258&amp;" ")+2)&amp;IF(F258&gt;0," ("&amp;F258&amp;")",""),B258&amp;IF(F258&gt;0," ("&amp;F258&amp;")","")),"#"&amp;$A258)</f>
        <v/>
      </c>
      <c r="I258" s="209">
        <f>IF(LEN($A258)&gt;0,IF(LEN($J258)&gt;0,MATCH(J258,MatchNames,0),EventIndex),0)</f>
        <v>0</v>
      </c>
      <c r="J258" s="209" t="str">
        <f>IF(LEN($A258)&gt;0,IF(LEN(Declarations!$F258)&gt;0,Declarations!$F258,conftype),"")</f>
        <v/>
      </c>
      <c r="M258" s="297">
        <f>IF(ISNA(VLOOKUP($A258,SprintData,2,FALSE)),0,VLOOKUP($A258,SprintData,2,FALSE))</f>
        <v>0</v>
      </c>
      <c r="N258" s="297">
        <f>IF(ISNA(VLOOKUP($A258,JumpData,2,FALSE)),0,VLOOKUP($A258,JumpData,2,FALSE))</f>
        <v>0</v>
      </c>
      <c r="O258" s="297">
        <f>IF(ISNA(VLOOKUP($A258,RunData,2,FALSE)),0,VLOOKUP($A258,RunData,2,FALSE))</f>
        <v>0</v>
      </c>
      <c r="P258" s="297">
        <f>IF(ISNA(VLOOKUP($A258,ThrowData,2,FALSE)),0,VLOOKUP($A258,ThrowData,2,FALSE))</f>
        <v>0</v>
      </c>
      <c r="Q258" s="298">
        <f>IF(ISNA(VLOOKUP($A258,SprintData,4,FALSE)),0,VLOOKUP($A258,SprintData,4,FALSE))+V258</f>
        <v>0</v>
      </c>
      <c r="R258" s="298">
        <f>IF(ISNA(VLOOKUP($A258,JumpData,4,FALSE)),0,VLOOKUP($A258,JumpData,4,FALSE))+W258</f>
        <v>0</v>
      </c>
      <c r="S258" s="298">
        <f>IF(ISNA(VLOOKUP($A258,RunData,4,FALSE)),0,VLOOKUP($A258,RunData,4,FALSE))+X258</f>
        <v>0</v>
      </c>
      <c r="T258" s="298">
        <f>IF(ISNA(VLOOKUP($A258,ThrowData,4,FALSE)),0,VLOOKUP($A258,ThrowData,4,FALSE))+Y258</f>
        <v>0</v>
      </c>
      <c r="U258" s="299">
        <f t="shared" si="2"/>
        <v>0</v>
      </c>
      <c r="V258">
        <f>IF(AND($F258&gt;0,NOT(M258),Flexing),FlexPC,0)</f>
        <v>0</v>
      </c>
      <c r="W258">
        <f>IF(AND($F258&gt;0,NOT(N258),Flexing),FlexPC,0)</f>
        <v>0</v>
      </c>
      <c r="X258">
        <f>IF(AND($F258&gt;0,NOT(O258),Flexing),FlexPC,0)</f>
        <v>0</v>
      </c>
      <c r="Y258">
        <f>IF(AND($F258&gt;0,NOT(P258),Flexing),FlexPC,0)</f>
        <v>0</v>
      </c>
      <c r="AA258" s="209">
        <f t="shared" si="3"/>
        <v>257</v>
      </c>
    </row>
    <row r="259" ht="15.75" customHeight="1">
      <c r="A259" s="206" t="str">
        <f>+Declarations!A259&amp;""</f>
        <v/>
      </c>
      <c r="B259" t="str">
        <f>IF(LEN($A259),IF(LEN(Declarations!$B259)&gt;0,Declarations!$B259,"#"&amp;$A259),"")</f>
        <v/>
      </c>
      <c r="C259" s="209" t="str">
        <f t="array" ref="C259">IF(LEN(INDEX(DECLARATIONS,$AA259,3))&gt;0,INDEX(DECLARATIONS,$AA259,3),"...")</f>
        <v>...</v>
      </c>
      <c r="D259" s="209" t="str">
        <f t="shared" si="1"/>
        <v/>
      </c>
      <c r="E259" s="296" t="str">
        <f t="array" ref="E259">IF(ISNA($AA259),0,INDEX(DECLARATIONS,$AA259,5))</f>
        <v/>
      </c>
      <c r="F259" s="209" t="str">
        <f t="array" ref="F259">IF(ISNA($AA259),0,INDEX(DECLARATIONS,$AA259,7))</f>
        <v/>
      </c>
      <c r="G259" s="209" t="str">
        <f t="array" ref="G259">UPPER(IF(ISNA($AA259),"",INDEX(DECLARATIONS,$AA259,4)))</f>
        <v/>
      </c>
      <c r="H259" t="str">
        <f>IF(AND(A259&gt;0,ISTEXT(B259)),IF(SECNAME="YES",LEFT(B259&amp;" ",FIND(" ",B259&amp;" ")+2)&amp;IF(F259&gt;0," ("&amp;F259&amp;")",""),B259&amp;IF(F259&gt;0," ("&amp;F259&amp;")","")),"#"&amp;$A259)</f>
        <v/>
      </c>
      <c r="I259" s="209">
        <f>IF(LEN($A259)&gt;0,IF(LEN($J259)&gt;0,MATCH(J259,MatchNames,0),EventIndex),0)</f>
        <v>0</v>
      </c>
      <c r="J259" s="209" t="str">
        <f>IF(LEN($A259)&gt;0,IF(LEN(Declarations!$F259)&gt;0,Declarations!$F259,conftype),"")</f>
        <v/>
      </c>
      <c r="M259" s="297">
        <f>IF(ISNA(VLOOKUP($A259,SprintData,2,FALSE)),0,VLOOKUP($A259,SprintData,2,FALSE))</f>
        <v>0</v>
      </c>
      <c r="N259" s="297">
        <f>IF(ISNA(VLOOKUP($A259,JumpData,2,FALSE)),0,VLOOKUP($A259,JumpData,2,FALSE))</f>
        <v>0</v>
      </c>
      <c r="O259" s="297">
        <f>IF(ISNA(VLOOKUP($A259,RunData,2,FALSE)),0,VLOOKUP($A259,RunData,2,FALSE))</f>
        <v>0</v>
      </c>
      <c r="P259" s="297">
        <f>IF(ISNA(VLOOKUP($A259,ThrowData,2,FALSE)),0,VLOOKUP($A259,ThrowData,2,FALSE))</f>
        <v>0</v>
      </c>
      <c r="Q259" s="298">
        <f>IF(ISNA(VLOOKUP($A259,SprintData,4,FALSE)),0,VLOOKUP($A259,SprintData,4,FALSE))+V259</f>
        <v>0</v>
      </c>
      <c r="R259" s="298">
        <f>IF(ISNA(VLOOKUP($A259,JumpData,4,FALSE)),0,VLOOKUP($A259,JumpData,4,FALSE))+W259</f>
        <v>0</v>
      </c>
      <c r="S259" s="298">
        <f>IF(ISNA(VLOOKUP($A259,RunData,4,FALSE)),0,VLOOKUP($A259,RunData,4,FALSE))+X259</f>
        <v>0</v>
      </c>
      <c r="T259" s="298">
        <f>IF(ISNA(VLOOKUP($A259,ThrowData,4,FALSE)),0,VLOOKUP($A259,ThrowData,4,FALSE))+Y259</f>
        <v>0</v>
      </c>
      <c r="U259" s="299">
        <f t="shared" si="2"/>
        <v>0</v>
      </c>
      <c r="V259">
        <f>IF(AND($F259&gt;0,NOT(M259),Flexing),FlexPC,0)</f>
        <v>0</v>
      </c>
      <c r="W259">
        <f>IF(AND($F259&gt;0,NOT(N259),Flexing),FlexPC,0)</f>
        <v>0</v>
      </c>
      <c r="X259">
        <f>IF(AND($F259&gt;0,NOT(O259),Flexing),FlexPC,0)</f>
        <v>0</v>
      </c>
      <c r="Y259">
        <f>IF(AND($F259&gt;0,NOT(P259),Flexing),FlexPC,0)</f>
        <v>0</v>
      </c>
      <c r="AA259" s="209">
        <f t="shared" si="3"/>
        <v>258</v>
      </c>
    </row>
    <row r="260" ht="15.75" customHeight="1">
      <c r="A260" s="206" t="str">
        <f>+Declarations!A260&amp;""</f>
        <v/>
      </c>
      <c r="B260" t="str">
        <f>IF(LEN($A260),IF(LEN(Declarations!$B260)&gt;0,Declarations!$B260,"#"&amp;$A260),"")</f>
        <v/>
      </c>
      <c r="C260" s="209" t="str">
        <f t="array" ref="C260">IF(LEN(INDEX(DECLARATIONS,$AA260,3))&gt;0,INDEX(DECLARATIONS,$AA260,3),"...")</f>
        <v>...</v>
      </c>
      <c r="D260" s="209" t="str">
        <f t="shared" si="1"/>
        <v/>
      </c>
      <c r="E260" s="296" t="str">
        <f t="array" ref="E260">IF(ISNA($AA260),0,INDEX(DECLARATIONS,$AA260,5))</f>
        <v/>
      </c>
      <c r="F260" s="209" t="str">
        <f t="array" ref="F260">IF(ISNA($AA260),0,INDEX(DECLARATIONS,$AA260,7))</f>
        <v/>
      </c>
      <c r="G260" s="209" t="str">
        <f t="array" ref="G260">UPPER(IF(ISNA($AA260),"",INDEX(DECLARATIONS,$AA260,4)))</f>
        <v/>
      </c>
      <c r="H260" t="str">
        <f>IF(AND(A260&gt;0,ISTEXT(B260)),IF(SECNAME="YES",LEFT(B260&amp;" ",FIND(" ",B260&amp;" ")+2)&amp;IF(F260&gt;0," ("&amp;F260&amp;")",""),B260&amp;IF(F260&gt;0," ("&amp;F260&amp;")","")),"#"&amp;$A260)</f>
        <v/>
      </c>
      <c r="I260" s="209">
        <f>IF(LEN($A260)&gt;0,IF(LEN($J260)&gt;0,MATCH(J260,MatchNames,0),EventIndex),0)</f>
        <v>0</v>
      </c>
      <c r="J260" s="209" t="str">
        <f>IF(LEN($A260)&gt;0,IF(LEN(Declarations!$F260)&gt;0,Declarations!$F260,conftype),"")</f>
        <v/>
      </c>
      <c r="M260" s="297">
        <f>IF(ISNA(VLOOKUP($A260,SprintData,2,FALSE)),0,VLOOKUP($A260,SprintData,2,FALSE))</f>
        <v>0</v>
      </c>
      <c r="N260" s="297">
        <f>IF(ISNA(VLOOKUP($A260,JumpData,2,FALSE)),0,VLOOKUP($A260,JumpData,2,FALSE))</f>
        <v>0</v>
      </c>
      <c r="O260" s="297">
        <f>IF(ISNA(VLOOKUP($A260,RunData,2,FALSE)),0,VLOOKUP($A260,RunData,2,FALSE))</f>
        <v>0</v>
      </c>
      <c r="P260" s="297">
        <f>IF(ISNA(VLOOKUP($A260,ThrowData,2,FALSE)),0,VLOOKUP($A260,ThrowData,2,FALSE))</f>
        <v>0</v>
      </c>
      <c r="Q260" s="298">
        <f>IF(ISNA(VLOOKUP($A260,SprintData,4,FALSE)),0,VLOOKUP($A260,SprintData,4,FALSE))+V260</f>
        <v>0</v>
      </c>
      <c r="R260" s="298">
        <f>IF(ISNA(VLOOKUP($A260,JumpData,4,FALSE)),0,VLOOKUP($A260,JumpData,4,FALSE))+W260</f>
        <v>0</v>
      </c>
      <c r="S260" s="298">
        <f>IF(ISNA(VLOOKUP($A260,RunData,4,FALSE)),0,VLOOKUP($A260,RunData,4,FALSE))+X260</f>
        <v>0</v>
      </c>
      <c r="T260" s="298">
        <f>IF(ISNA(VLOOKUP($A260,ThrowData,4,FALSE)),0,VLOOKUP($A260,ThrowData,4,FALSE))+Y260</f>
        <v>0</v>
      </c>
      <c r="U260" s="299">
        <f t="shared" si="2"/>
        <v>0</v>
      </c>
      <c r="V260">
        <f>IF(AND($F260&gt;0,NOT(M260),Flexing),FlexPC,0)</f>
        <v>0</v>
      </c>
      <c r="W260">
        <f>IF(AND($F260&gt;0,NOT(N260),Flexing),FlexPC,0)</f>
        <v>0</v>
      </c>
      <c r="X260">
        <f>IF(AND($F260&gt;0,NOT(O260),Flexing),FlexPC,0)</f>
        <v>0</v>
      </c>
      <c r="Y260">
        <f>IF(AND($F260&gt;0,NOT(P260),Flexing),FlexPC,0)</f>
        <v>0</v>
      </c>
      <c r="AA260" s="209">
        <f t="shared" si="3"/>
        <v>259</v>
      </c>
    </row>
    <row r="261" ht="15.75" customHeight="1">
      <c r="A261" s="206" t="str">
        <f>+Declarations!A261&amp;""</f>
        <v/>
      </c>
      <c r="B261" t="str">
        <f>IF(LEN($A261),IF(LEN(Declarations!$B261)&gt;0,Declarations!$B261,"#"&amp;$A261),"")</f>
        <v/>
      </c>
      <c r="C261" s="209" t="str">
        <f t="array" ref="C261">IF(LEN(INDEX(DECLARATIONS,$AA261,3))&gt;0,INDEX(DECLARATIONS,$AA261,3),"...")</f>
        <v>...</v>
      </c>
      <c r="D261" s="209" t="str">
        <f t="shared" si="1"/>
        <v/>
      </c>
      <c r="E261" s="296" t="str">
        <f t="array" ref="E261">IF(ISNA($AA261),0,INDEX(DECLARATIONS,$AA261,5))</f>
        <v/>
      </c>
      <c r="F261" s="209" t="str">
        <f t="array" ref="F261">IF(ISNA($AA261),0,INDEX(DECLARATIONS,$AA261,7))</f>
        <v/>
      </c>
      <c r="G261" s="209" t="str">
        <f t="array" ref="G261">UPPER(IF(ISNA($AA261),"",INDEX(DECLARATIONS,$AA261,4)))</f>
        <v/>
      </c>
      <c r="H261" t="str">
        <f>IF(AND(A261&gt;0,ISTEXT(B261)),IF(SECNAME="YES",LEFT(B261&amp;" ",FIND(" ",B261&amp;" ")+2)&amp;IF(F261&gt;0," ("&amp;F261&amp;")",""),B261&amp;IF(F261&gt;0," ("&amp;F261&amp;")","")),"#"&amp;$A261)</f>
        <v/>
      </c>
      <c r="I261" s="209">
        <f>IF(LEN($A261)&gt;0,IF(LEN($J261)&gt;0,MATCH(J261,MatchNames,0),EventIndex),0)</f>
        <v>0</v>
      </c>
      <c r="J261" s="209" t="str">
        <f>IF(LEN($A261)&gt;0,IF(LEN(Declarations!$F261)&gt;0,Declarations!$F261,conftype),"")</f>
        <v/>
      </c>
      <c r="M261" s="297">
        <f>IF(ISNA(VLOOKUP($A261,SprintData,2,FALSE)),0,VLOOKUP($A261,SprintData,2,FALSE))</f>
        <v>0</v>
      </c>
      <c r="N261" s="297">
        <f>IF(ISNA(VLOOKUP($A261,JumpData,2,FALSE)),0,VLOOKUP($A261,JumpData,2,FALSE))</f>
        <v>0</v>
      </c>
      <c r="O261" s="297">
        <f>IF(ISNA(VLOOKUP($A261,RunData,2,FALSE)),0,VLOOKUP($A261,RunData,2,FALSE))</f>
        <v>0</v>
      </c>
      <c r="P261" s="297">
        <f>IF(ISNA(VLOOKUP($A261,ThrowData,2,FALSE)),0,VLOOKUP($A261,ThrowData,2,FALSE))</f>
        <v>0</v>
      </c>
      <c r="Q261" s="298">
        <f>IF(ISNA(VLOOKUP($A261,SprintData,4,FALSE)),0,VLOOKUP($A261,SprintData,4,FALSE))+V261</f>
        <v>0</v>
      </c>
      <c r="R261" s="298">
        <f>IF(ISNA(VLOOKUP($A261,JumpData,4,FALSE)),0,VLOOKUP($A261,JumpData,4,FALSE))+W261</f>
        <v>0</v>
      </c>
      <c r="S261" s="298">
        <f>IF(ISNA(VLOOKUP($A261,RunData,4,FALSE)),0,VLOOKUP($A261,RunData,4,FALSE))+X261</f>
        <v>0</v>
      </c>
      <c r="T261" s="298">
        <f>IF(ISNA(VLOOKUP($A261,ThrowData,4,FALSE)),0,VLOOKUP($A261,ThrowData,4,FALSE))+Y261</f>
        <v>0</v>
      </c>
      <c r="U261" s="299">
        <f t="shared" si="2"/>
        <v>0</v>
      </c>
      <c r="V261">
        <f>IF(AND($F261&gt;0,NOT(M261),Flexing),FlexPC,0)</f>
        <v>0</v>
      </c>
      <c r="W261">
        <f>IF(AND($F261&gt;0,NOT(N261),Flexing),FlexPC,0)</f>
        <v>0</v>
      </c>
      <c r="X261">
        <f>IF(AND($F261&gt;0,NOT(O261),Flexing),FlexPC,0)</f>
        <v>0</v>
      </c>
      <c r="Y261">
        <f>IF(AND($F261&gt;0,NOT(P261),Flexing),FlexPC,0)</f>
        <v>0</v>
      </c>
      <c r="AA261" s="209">
        <f t="shared" si="3"/>
        <v>260</v>
      </c>
    </row>
    <row r="262" ht="15.75" customHeight="1">
      <c r="A262" s="206" t="str">
        <f>+Declarations!A262&amp;""</f>
        <v/>
      </c>
      <c r="B262" t="str">
        <f>IF(LEN($A262),IF(LEN(Declarations!$B262)&gt;0,Declarations!$B262,"#"&amp;$A262),"")</f>
        <v/>
      </c>
      <c r="C262" s="209" t="str">
        <f t="array" ref="C262">IF(LEN(INDEX(DECLARATIONS,$AA262,3))&gt;0,INDEX(DECLARATIONS,$AA262,3),"...")</f>
        <v>...</v>
      </c>
      <c r="D262" s="209" t="str">
        <f t="shared" si="1"/>
        <v/>
      </c>
      <c r="E262" s="296" t="str">
        <f t="array" ref="E262">IF(ISNA($AA262),0,INDEX(DECLARATIONS,$AA262,5))</f>
        <v/>
      </c>
      <c r="F262" s="209" t="str">
        <f t="array" ref="F262">IF(ISNA($AA262),0,INDEX(DECLARATIONS,$AA262,7))</f>
        <v/>
      </c>
      <c r="G262" s="209" t="str">
        <f t="array" ref="G262">UPPER(IF(ISNA($AA262),"",INDEX(DECLARATIONS,$AA262,4)))</f>
        <v/>
      </c>
      <c r="H262" t="str">
        <f>IF(AND(A262&gt;0,ISTEXT(B262)),IF(SECNAME="YES",LEFT(B262&amp;" ",FIND(" ",B262&amp;" ")+2)&amp;IF(F262&gt;0," ("&amp;F262&amp;")",""),B262&amp;IF(F262&gt;0," ("&amp;F262&amp;")","")),"#"&amp;$A262)</f>
        <v/>
      </c>
      <c r="I262" s="209">
        <f>IF(LEN($A262)&gt;0,IF(LEN($J262)&gt;0,MATCH(J262,MatchNames,0),EventIndex),0)</f>
        <v>0</v>
      </c>
      <c r="J262" s="209" t="str">
        <f>IF(LEN($A262)&gt;0,IF(LEN(Declarations!$F262)&gt;0,Declarations!$F262,conftype),"")</f>
        <v/>
      </c>
      <c r="M262" s="297">
        <f>IF(ISNA(VLOOKUP($A262,SprintData,2,FALSE)),0,VLOOKUP($A262,SprintData,2,FALSE))</f>
        <v>0</v>
      </c>
      <c r="N262" s="297">
        <f>IF(ISNA(VLOOKUP($A262,JumpData,2,FALSE)),0,VLOOKUP($A262,JumpData,2,FALSE))</f>
        <v>0</v>
      </c>
      <c r="O262" s="297">
        <f>IF(ISNA(VLOOKUP($A262,RunData,2,FALSE)),0,VLOOKUP($A262,RunData,2,FALSE))</f>
        <v>0</v>
      </c>
      <c r="P262" s="297">
        <f>IF(ISNA(VLOOKUP($A262,ThrowData,2,FALSE)),0,VLOOKUP($A262,ThrowData,2,FALSE))</f>
        <v>0</v>
      </c>
      <c r="Q262" s="298">
        <f>IF(ISNA(VLOOKUP($A262,SprintData,4,FALSE)),0,VLOOKUP($A262,SprintData,4,FALSE))+V262</f>
        <v>0</v>
      </c>
      <c r="R262" s="298">
        <f>IF(ISNA(VLOOKUP($A262,JumpData,4,FALSE)),0,VLOOKUP($A262,JumpData,4,FALSE))+W262</f>
        <v>0</v>
      </c>
      <c r="S262" s="298">
        <f>IF(ISNA(VLOOKUP($A262,RunData,4,FALSE)),0,VLOOKUP($A262,RunData,4,FALSE))+X262</f>
        <v>0</v>
      </c>
      <c r="T262" s="298">
        <f>IF(ISNA(VLOOKUP($A262,ThrowData,4,FALSE)),0,VLOOKUP($A262,ThrowData,4,FALSE))+Y262</f>
        <v>0</v>
      </c>
      <c r="U262" s="299">
        <f t="shared" si="2"/>
        <v>0</v>
      </c>
      <c r="V262">
        <f>IF(AND($F262&gt;0,NOT(M262),Flexing),FlexPC,0)</f>
        <v>0</v>
      </c>
      <c r="W262">
        <f>IF(AND($F262&gt;0,NOT(N262),Flexing),FlexPC,0)</f>
        <v>0</v>
      </c>
      <c r="X262">
        <f>IF(AND($F262&gt;0,NOT(O262),Flexing),FlexPC,0)</f>
        <v>0</v>
      </c>
      <c r="Y262">
        <f>IF(AND($F262&gt;0,NOT(P262),Flexing),FlexPC,0)</f>
        <v>0</v>
      </c>
      <c r="AA262" s="209">
        <f t="shared" si="3"/>
        <v>261</v>
      </c>
    </row>
    <row r="263" ht="15.75" customHeight="1">
      <c r="A263" s="206" t="str">
        <f>+Declarations!A263&amp;""</f>
        <v/>
      </c>
      <c r="B263" t="str">
        <f>IF(LEN($A263),IF(LEN(Declarations!$B263)&gt;0,Declarations!$B263,"#"&amp;$A263),"")</f>
        <v/>
      </c>
      <c r="C263" s="209" t="str">
        <f t="array" ref="C263">IF(LEN(INDEX(DECLARATIONS,$AA263,3))&gt;0,INDEX(DECLARATIONS,$AA263,3),"...")</f>
        <v>...</v>
      </c>
      <c r="D263" s="209" t="str">
        <f t="shared" si="1"/>
        <v/>
      </c>
      <c r="E263" s="296" t="str">
        <f t="array" ref="E263">IF(ISNA($AA263),0,INDEX(DECLARATIONS,$AA263,5))</f>
        <v/>
      </c>
      <c r="F263" s="209" t="str">
        <f t="array" ref="F263">IF(ISNA($AA263),0,INDEX(DECLARATIONS,$AA263,7))</f>
        <v/>
      </c>
      <c r="G263" s="209" t="str">
        <f t="array" ref="G263">UPPER(IF(ISNA($AA263),"",INDEX(DECLARATIONS,$AA263,4)))</f>
        <v/>
      </c>
      <c r="H263" t="str">
        <f>IF(AND(A263&gt;0,ISTEXT(B263)),IF(SECNAME="YES",LEFT(B263&amp;" ",FIND(" ",B263&amp;" ")+2)&amp;IF(F263&gt;0," ("&amp;F263&amp;")",""),B263&amp;IF(F263&gt;0," ("&amp;F263&amp;")","")),"#"&amp;$A263)</f>
        <v/>
      </c>
      <c r="I263" s="209">
        <f>IF(LEN($A263)&gt;0,IF(LEN($J263)&gt;0,MATCH(J263,MatchNames,0),EventIndex),0)</f>
        <v>0</v>
      </c>
      <c r="J263" s="209" t="str">
        <f>IF(LEN($A263)&gt;0,IF(LEN(Declarations!$F263)&gt;0,Declarations!$F263,conftype),"")</f>
        <v/>
      </c>
      <c r="M263" s="297">
        <f>IF(ISNA(VLOOKUP($A263,SprintData,2,FALSE)),0,VLOOKUP($A263,SprintData,2,FALSE))</f>
        <v>0</v>
      </c>
      <c r="N263" s="297">
        <f>IF(ISNA(VLOOKUP($A263,JumpData,2,FALSE)),0,VLOOKUP($A263,JumpData,2,FALSE))</f>
        <v>0</v>
      </c>
      <c r="O263" s="297">
        <f>IF(ISNA(VLOOKUP($A263,RunData,2,FALSE)),0,VLOOKUP($A263,RunData,2,FALSE))</f>
        <v>0</v>
      </c>
      <c r="P263" s="297">
        <f>IF(ISNA(VLOOKUP($A263,ThrowData,2,FALSE)),0,VLOOKUP($A263,ThrowData,2,FALSE))</f>
        <v>0</v>
      </c>
      <c r="Q263" s="298">
        <f>IF(ISNA(VLOOKUP($A263,SprintData,4,FALSE)),0,VLOOKUP($A263,SprintData,4,FALSE))+V263</f>
        <v>0</v>
      </c>
      <c r="R263" s="298">
        <f>IF(ISNA(VLOOKUP($A263,JumpData,4,FALSE)),0,VLOOKUP($A263,JumpData,4,FALSE))+W263</f>
        <v>0</v>
      </c>
      <c r="S263" s="298">
        <f>IF(ISNA(VLOOKUP($A263,RunData,4,FALSE)),0,VLOOKUP($A263,RunData,4,FALSE))+X263</f>
        <v>0</v>
      </c>
      <c r="T263" s="298">
        <f>IF(ISNA(VLOOKUP($A263,ThrowData,4,FALSE)),0,VLOOKUP($A263,ThrowData,4,FALSE))+Y263</f>
        <v>0</v>
      </c>
      <c r="U263" s="299">
        <f t="shared" si="2"/>
        <v>0</v>
      </c>
      <c r="V263">
        <f>IF(AND($F263&gt;0,NOT(M263),Flexing),FlexPC,0)</f>
        <v>0</v>
      </c>
      <c r="W263">
        <f>IF(AND($F263&gt;0,NOT(N263),Flexing),FlexPC,0)</f>
        <v>0</v>
      </c>
      <c r="X263">
        <f>IF(AND($F263&gt;0,NOT(O263),Flexing),FlexPC,0)</f>
        <v>0</v>
      </c>
      <c r="Y263">
        <f>IF(AND($F263&gt;0,NOT(P263),Flexing),FlexPC,0)</f>
        <v>0</v>
      </c>
      <c r="AA263" s="209">
        <f t="shared" si="3"/>
        <v>262</v>
      </c>
    </row>
    <row r="264" ht="15.75" customHeight="1">
      <c r="A264" s="206" t="str">
        <f>+Declarations!A264&amp;""</f>
        <v/>
      </c>
      <c r="B264" t="str">
        <f>IF(LEN($A264),IF(LEN(Declarations!$B264)&gt;0,Declarations!$B264,"#"&amp;$A264),"")</f>
        <v/>
      </c>
      <c r="C264" s="209" t="str">
        <f t="array" ref="C264">IF(LEN(INDEX(DECLARATIONS,$AA264,3))&gt;0,INDEX(DECLARATIONS,$AA264,3),"...")</f>
        <v>...</v>
      </c>
      <c r="D264" s="209" t="str">
        <f t="shared" si="1"/>
        <v/>
      </c>
      <c r="E264" s="296" t="str">
        <f t="array" ref="E264">IF(ISNA($AA264),0,INDEX(DECLARATIONS,$AA264,5))</f>
        <v/>
      </c>
      <c r="F264" s="209" t="str">
        <f t="array" ref="F264">IF(ISNA($AA264),0,INDEX(DECLARATIONS,$AA264,7))</f>
        <v/>
      </c>
      <c r="G264" s="209" t="str">
        <f t="array" ref="G264">UPPER(IF(ISNA($AA264),"",INDEX(DECLARATIONS,$AA264,4)))</f>
        <v/>
      </c>
      <c r="H264" t="str">
        <f>IF(AND(A264&gt;0,ISTEXT(B264)),IF(SECNAME="YES",LEFT(B264&amp;" ",FIND(" ",B264&amp;" ")+2)&amp;IF(F264&gt;0," ("&amp;F264&amp;")",""),B264&amp;IF(F264&gt;0," ("&amp;F264&amp;")","")),"#"&amp;$A264)</f>
        <v/>
      </c>
      <c r="I264" s="209">
        <f>IF(LEN($A264)&gt;0,IF(LEN($J264)&gt;0,MATCH(J264,MatchNames,0),EventIndex),0)</f>
        <v>0</v>
      </c>
      <c r="J264" s="209" t="str">
        <f>IF(LEN($A264)&gt;0,IF(LEN(Declarations!$F264)&gt;0,Declarations!$F264,conftype),"")</f>
        <v/>
      </c>
      <c r="M264" s="297">
        <f>IF(ISNA(VLOOKUP($A264,SprintData,2,FALSE)),0,VLOOKUP($A264,SprintData,2,FALSE))</f>
        <v>0</v>
      </c>
      <c r="N264" s="297">
        <f>IF(ISNA(VLOOKUP($A264,JumpData,2,FALSE)),0,VLOOKUP($A264,JumpData,2,FALSE))</f>
        <v>0</v>
      </c>
      <c r="O264" s="297">
        <f>IF(ISNA(VLOOKUP($A264,RunData,2,FALSE)),0,VLOOKUP($A264,RunData,2,FALSE))</f>
        <v>0</v>
      </c>
      <c r="P264" s="297">
        <f>IF(ISNA(VLOOKUP($A264,ThrowData,2,FALSE)),0,VLOOKUP($A264,ThrowData,2,FALSE))</f>
        <v>0</v>
      </c>
      <c r="Q264" s="298">
        <f>IF(ISNA(VLOOKUP($A264,SprintData,4,FALSE)),0,VLOOKUP($A264,SprintData,4,FALSE))+V264</f>
        <v>0</v>
      </c>
      <c r="R264" s="298">
        <f>IF(ISNA(VLOOKUP($A264,JumpData,4,FALSE)),0,VLOOKUP($A264,JumpData,4,FALSE))+W264</f>
        <v>0</v>
      </c>
      <c r="S264" s="298">
        <f>IF(ISNA(VLOOKUP($A264,RunData,4,FALSE)),0,VLOOKUP($A264,RunData,4,FALSE))+X264</f>
        <v>0</v>
      </c>
      <c r="T264" s="298">
        <f>IF(ISNA(VLOOKUP($A264,ThrowData,4,FALSE)),0,VLOOKUP($A264,ThrowData,4,FALSE))+Y264</f>
        <v>0</v>
      </c>
      <c r="U264" s="299">
        <f t="shared" si="2"/>
        <v>0</v>
      </c>
      <c r="V264">
        <f>IF(AND($F264&gt;0,NOT(M264),Flexing),FlexPC,0)</f>
        <v>0</v>
      </c>
      <c r="W264">
        <f>IF(AND($F264&gt;0,NOT(N264),Flexing),FlexPC,0)</f>
        <v>0</v>
      </c>
      <c r="X264">
        <f>IF(AND($F264&gt;0,NOT(O264),Flexing),FlexPC,0)</f>
        <v>0</v>
      </c>
      <c r="Y264">
        <f>IF(AND($F264&gt;0,NOT(P264),Flexing),FlexPC,0)</f>
        <v>0</v>
      </c>
      <c r="AA264" s="209">
        <f t="shared" si="3"/>
        <v>263</v>
      </c>
    </row>
    <row r="265" ht="15.75" customHeight="1">
      <c r="A265" s="206" t="str">
        <f>+Declarations!A265&amp;""</f>
        <v/>
      </c>
      <c r="B265" t="str">
        <f>IF(LEN($A265),IF(LEN(Declarations!$B265)&gt;0,Declarations!$B265,"#"&amp;$A265),"")</f>
        <v/>
      </c>
      <c r="C265" s="209" t="str">
        <f t="array" ref="C265">IF(LEN(INDEX(DECLARATIONS,$AA265,3))&gt;0,INDEX(DECLARATIONS,$AA265,3),"...")</f>
        <v>...</v>
      </c>
      <c r="D265" s="209" t="str">
        <f t="shared" si="1"/>
        <v/>
      </c>
      <c r="E265" s="296" t="str">
        <f t="array" ref="E265">IF(ISNA($AA265),0,INDEX(DECLARATIONS,$AA265,5))</f>
        <v/>
      </c>
      <c r="F265" s="209" t="str">
        <f t="array" ref="F265">IF(ISNA($AA265),0,INDEX(DECLARATIONS,$AA265,7))</f>
        <v/>
      </c>
      <c r="G265" s="209" t="str">
        <f t="array" ref="G265">UPPER(IF(ISNA($AA265),"",INDEX(DECLARATIONS,$AA265,4)))</f>
        <v/>
      </c>
      <c r="H265" t="str">
        <f>IF(AND(A265&gt;0,ISTEXT(B265)),IF(SECNAME="YES",LEFT(B265&amp;" ",FIND(" ",B265&amp;" ")+2)&amp;IF(F265&gt;0," ("&amp;F265&amp;")",""),B265&amp;IF(F265&gt;0," ("&amp;F265&amp;")","")),"#"&amp;$A265)</f>
        <v/>
      </c>
      <c r="I265" s="209">
        <f>IF(LEN($A265)&gt;0,IF(LEN($J265)&gt;0,MATCH(J265,MatchNames,0),EventIndex),0)</f>
        <v>0</v>
      </c>
      <c r="J265" s="209" t="str">
        <f>IF(LEN($A265)&gt;0,IF(LEN(Declarations!$F265)&gt;0,Declarations!$F265,conftype),"")</f>
        <v/>
      </c>
      <c r="M265" s="297">
        <f>IF(ISNA(VLOOKUP($A265,SprintData,2,FALSE)),0,VLOOKUP($A265,SprintData,2,FALSE))</f>
        <v>0</v>
      </c>
      <c r="N265" s="297">
        <f>IF(ISNA(VLOOKUP($A265,JumpData,2,FALSE)),0,VLOOKUP($A265,JumpData,2,FALSE))</f>
        <v>0</v>
      </c>
      <c r="O265" s="297">
        <f>IF(ISNA(VLOOKUP($A265,RunData,2,FALSE)),0,VLOOKUP($A265,RunData,2,FALSE))</f>
        <v>0</v>
      </c>
      <c r="P265" s="297">
        <f>IF(ISNA(VLOOKUP($A265,ThrowData,2,FALSE)),0,VLOOKUP($A265,ThrowData,2,FALSE))</f>
        <v>0</v>
      </c>
      <c r="Q265" s="298">
        <f>IF(ISNA(VLOOKUP($A265,SprintData,4,FALSE)),0,VLOOKUP($A265,SprintData,4,FALSE))+V265</f>
        <v>0</v>
      </c>
      <c r="R265" s="298">
        <f>IF(ISNA(VLOOKUP($A265,JumpData,4,FALSE)),0,VLOOKUP($A265,JumpData,4,FALSE))+W265</f>
        <v>0</v>
      </c>
      <c r="S265" s="298">
        <f>IF(ISNA(VLOOKUP($A265,RunData,4,FALSE)),0,VLOOKUP($A265,RunData,4,FALSE))+X265</f>
        <v>0</v>
      </c>
      <c r="T265" s="298">
        <f>IF(ISNA(VLOOKUP($A265,ThrowData,4,FALSE)),0,VLOOKUP($A265,ThrowData,4,FALSE))+Y265</f>
        <v>0</v>
      </c>
      <c r="U265" s="299">
        <f t="shared" si="2"/>
        <v>0</v>
      </c>
      <c r="V265">
        <f>IF(AND($F265&gt;0,NOT(M265),Flexing),FlexPC,0)</f>
        <v>0</v>
      </c>
      <c r="W265">
        <f>IF(AND($F265&gt;0,NOT(N265),Flexing),FlexPC,0)</f>
        <v>0</v>
      </c>
      <c r="X265">
        <f>IF(AND($F265&gt;0,NOT(O265),Flexing),FlexPC,0)</f>
        <v>0</v>
      </c>
      <c r="Y265">
        <f>IF(AND($F265&gt;0,NOT(P265),Flexing),FlexPC,0)</f>
        <v>0</v>
      </c>
      <c r="AA265" s="209">
        <f t="shared" si="3"/>
        <v>264</v>
      </c>
    </row>
    <row r="266" ht="15.75" customHeight="1">
      <c r="A266" s="206" t="str">
        <f>+Declarations!A266&amp;""</f>
        <v/>
      </c>
      <c r="B266" t="str">
        <f>IF(LEN($A266),IF(LEN(Declarations!$B266)&gt;0,Declarations!$B266,"#"&amp;$A266),"")</f>
        <v/>
      </c>
      <c r="C266" s="209" t="str">
        <f t="array" ref="C266">IF(LEN(INDEX(DECLARATIONS,$AA266,3))&gt;0,INDEX(DECLARATIONS,$AA266,3),"...")</f>
        <v>...</v>
      </c>
      <c r="D266" s="209" t="str">
        <f t="shared" si="1"/>
        <v/>
      </c>
      <c r="E266" s="296" t="str">
        <f t="array" ref="E266">IF(ISNA($AA266),0,INDEX(DECLARATIONS,$AA266,5))</f>
        <v/>
      </c>
      <c r="F266" s="209" t="str">
        <f t="array" ref="F266">IF(ISNA($AA266),0,INDEX(DECLARATIONS,$AA266,7))</f>
        <v/>
      </c>
      <c r="G266" s="209" t="str">
        <f t="array" ref="G266">UPPER(IF(ISNA($AA266),"",INDEX(DECLARATIONS,$AA266,4)))</f>
        <v/>
      </c>
      <c r="H266" t="str">
        <f>IF(AND(A266&gt;0,ISTEXT(B266)),IF(SECNAME="YES",LEFT(B266&amp;" ",FIND(" ",B266&amp;" ")+2)&amp;IF(F266&gt;0," ("&amp;F266&amp;")",""),B266&amp;IF(F266&gt;0," ("&amp;F266&amp;")","")),"#"&amp;$A266)</f>
        <v/>
      </c>
      <c r="I266" s="209">
        <f>IF(LEN($A266)&gt;0,IF(LEN($J266)&gt;0,MATCH(J266,MatchNames,0),EventIndex),0)</f>
        <v>0</v>
      </c>
      <c r="J266" s="209" t="str">
        <f>IF(LEN($A266)&gt;0,IF(LEN(Declarations!$F266)&gt;0,Declarations!$F266,conftype),"")</f>
        <v/>
      </c>
      <c r="M266" s="297">
        <f>IF(ISNA(VLOOKUP($A266,SprintData,2,FALSE)),0,VLOOKUP($A266,SprintData,2,FALSE))</f>
        <v>0</v>
      </c>
      <c r="N266" s="297">
        <f>IF(ISNA(VLOOKUP($A266,JumpData,2,FALSE)),0,VLOOKUP($A266,JumpData,2,FALSE))</f>
        <v>0</v>
      </c>
      <c r="O266" s="297">
        <f>IF(ISNA(VLOOKUP($A266,RunData,2,FALSE)),0,VLOOKUP($A266,RunData,2,FALSE))</f>
        <v>0</v>
      </c>
      <c r="P266" s="297">
        <f>IF(ISNA(VLOOKUP($A266,ThrowData,2,FALSE)),0,VLOOKUP($A266,ThrowData,2,FALSE))</f>
        <v>0</v>
      </c>
      <c r="Q266" s="298">
        <f>IF(ISNA(VLOOKUP($A266,SprintData,4,FALSE)),0,VLOOKUP($A266,SprintData,4,FALSE))+V266</f>
        <v>0</v>
      </c>
      <c r="R266" s="298">
        <f>IF(ISNA(VLOOKUP($A266,JumpData,4,FALSE)),0,VLOOKUP($A266,JumpData,4,FALSE))+W266</f>
        <v>0</v>
      </c>
      <c r="S266" s="298">
        <f>IF(ISNA(VLOOKUP($A266,RunData,4,FALSE)),0,VLOOKUP($A266,RunData,4,FALSE))+X266</f>
        <v>0</v>
      </c>
      <c r="T266" s="298">
        <f>IF(ISNA(VLOOKUP($A266,ThrowData,4,FALSE)),0,VLOOKUP($A266,ThrowData,4,FALSE))+Y266</f>
        <v>0</v>
      </c>
      <c r="U266" s="299">
        <f t="shared" si="2"/>
        <v>0</v>
      </c>
      <c r="V266">
        <f>IF(AND($F266&gt;0,NOT(M266),Flexing),FlexPC,0)</f>
        <v>0</v>
      </c>
      <c r="W266">
        <f>IF(AND($F266&gt;0,NOT(N266),Flexing),FlexPC,0)</f>
        <v>0</v>
      </c>
      <c r="X266">
        <f>IF(AND($F266&gt;0,NOT(O266),Flexing),FlexPC,0)</f>
        <v>0</v>
      </c>
      <c r="Y266">
        <f>IF(AND($F266&gt;0,NOT(P266),Flexing),FlexPC,0)</f>
        <v>0</v>
      </c>
      <c r="AA266" s="209">
        <f t="shared" si="3"/>
        <v>265</v>
      </c>
    </row>
    <row r="267" ht="15.75" customHeight="1">
      <c r="A267" s="206" t="str">
        <f>+Declarations!A267&amp;""</f>
        <v/>
      </c>
      <c r="B267" t="str">
        <f>IF(LEN($A267),IF(LEN(Declarations!$B267)&gt;0,Declarations!$B267,"#"&amp;$A267),"")</f>
        <v/>
      </c>
      <c r="C267" s="209" t="str">
        <f t="array" ref="C267">IF(LEN(INDEX(DECLARATIONS,$AA267,3))&gt;0,INDEX(DECLARATIONS,$AA267,3),"...")</f>
        <v>...</v>
      </c>
      <c r="D267" s="209" t="str">
        <f t="shared" si="1"/>
        <v/>
      </c>
      <c r="E267" s="296" t="str">
        <f t="array" ref="E267">IF(ISNA($AA267),0,INDEX(DECLARATIONS,$AA267,5))</f>
        <v/>
      </c>
      <c r="F267" s="209" t="str">
        <f t="array" ref="F267">IF(ISNA($AA267),0,INDEX(DECLARATIONS,$AA267,7))</f>
        <v/>
      </c>
      <c r="G267" s="209" t="str">
        <f t="array" ref="G267">UPPER(IF(ISNA($AA267),"",INDEX(DECLARATIONS,$AA267,4)))</f>
        <v/>
      </c>
      <c r="H267" t="str">
        <f>IF(AND(A267&gt;0,ISTEXT(B267)),IF(SECNAME="YES",LEFT(B267&amp;" ",FIND(" ",B267&amp;" ")+2)&amp;IF(F267&gt;0," ("&amp;F267&amp;")",""),B267&amp;IF(F267&gt;0," ("&amp;F267&amp;")","")),"#"&amp;$A267)</f>
        <v/>
      </c>
      <c r="I267" s="209">
        <f>IF(LEN($A267)&gt;0,IF(LEN($J267)&gt;0,MATCH(J267,MatchNames,0),EventIndex),0)</f>
        <v>0</v>
      </c>
      <c r="J267" s="209" t="str">
        <f>IF(LEN($A267)&gt;0,IF(LEN(Declarations!$F267)&gt;0,Declarations!$F267,conftype),"")</f>
        <v/>
      </c>
      <c r="M267" s="297">
        <f>IF(ISNA(VLOOKUP($A267,SprintData,2,FALSE)),0,VLOOKUP($A267,SprintData,2,FALSE))</f>
        <v>0</v>
      </c>
      <c r="N267" s="297">
        <f>IF(ISNA(VLOOKUP($A267,JumpData,2,FALSE)),0,VLOOKUP($A267,JumpData,2,FALSE))</f>
        <v>0</v>
      </c>
      <c r="O267" s="297">
        <f>IF(ISNA(VLOOKUP($A267,RunData,2,FALSE)),0,VLOOKUP($A267,RunData,2,FALSE))</f>
        <v>0</v>
      </c>
      <c r="P267" s="297">
        <f>IF(ISNA(VLOOKUP($A267,ThrowData,2,FALSE)),0,VLOOKUP($A267,ThrowData,2,FALSE))</f>
        <v>0</v>
      </c>
      <c r="Q267" s="298">
        <f>IF(ISNA(VLOOKUP($A267,SprintData,4,FALSE)),0,VLOOKUP($A267,SprintData,4,FALSE))+V267</f>
        <v>0</v>
      </c>
      <c r="R267" s="298">
        <f>IF(ISNA(VLOOKUP($A267,JumpData,4,FALSE)),0,VLOOKUP($A267,JumpData,4,FALSE))+W267</f>
        <v>0</v>
      </c>
      <c r="S267" s="298">
        <f>IF(ISNA(VLOOKUP($A267,RunData,4,FALSE)),0,VLOOKUP($A267,RunData,4,FALSE))+X267</f>
        <v>0</v>
      </c>
      <c r="T267" s="298">
        <f>IF(ISNA(VLOOKUP($A267,ThrowData,4,FALSE)),0,VLOOKUP($A267,ThrowData,4,FALSE))+Y267</f>
        <v>0</v>
      </c>
      <c r="U267" s="299">
        <f t="shared" si="2"/>
        <v>0</v>
      </c>
      <c r="V267">
        <f>IF(AND($F267&gt;0,NOT(M267),Flexing),FlexPC,0)</f>
        <v>0</v>
      </c>
      <c r="W267">
        <f>IF(AND($F267&gt;0,NOT(N267),Flexing),FlexPC,0)</f>
        <v>0</v>
      </c>
      <c r="X267">
        <f>IF(AND($F267&gt;0,NOT(O267),Flexing),FlexPC,0)</f>
        <v>0</v>
      </c>
      <c r="Y267">
        <f>IF(AND($F267&gt;0,NOT(P267),Flexing),FlexPC,0)</f>
        <v>0</v>
      </c>
      <c r="AA267" s="209">
        <f t="shared" si="3"/>
        <v>266</v>
      </c>
    </row>
    <row r="268" ht="15.75" customHeight="1">
      <c r="A268" s="206" t="str">
        <f>+Declarations!A268&amp;""</f>
        <v/>
      </c>
      <c r="B268" t="str">
        <f>IF(LEN($A268),IF(LEN(Declarations!$B268)&gt;0,Declarations!$B268,"#"&amp;$A268),"")</f>
        <v/>
      </c>
      <c r="C268" s="209" t="str">
        <f t="array" ref="C268">IF(LEN(INDEX(DECLARATIONS,$AA268,3))&gt;0,INDEX(DECLARATIONS,$AA268,3),"...")</f>
        <v>...</v>
      </c>
      <c r="D268" s="209" t="str">
        <f t="shared" si="1"/>
        <v/>
      </c>
      <c r="E268" s="296" t="str">
        <f t="array" ref="E268">IF(ISNA($AA268),0,INDEX(DECLARATIONS,$AA268,5))</f>
        <v/>
      </c>
      <c r="F268" s="209" t="str">
        <f t="array" ref="F268">IF(ISNA($AA268),0,INDEX(DECLARATIONS,$AA268,7))</f>
        <v/>
      </c>
      <c r="G268" s="209" t="str">
        <f t="array" ref="G268">UPPER(IF(ISNA($AA268),"",INDEX(DECLARATIONS,$AA268,4)))</f>
        <v/>
      </c>
      <c r="H268" t="str">
        <f>IF(AND(A268&gt;0,ISTEXT(B268)),IF(SECNAME="YES",LEFT(B268&amp;" ",FIND(" ",B268&amp;" ")+2)&amp;IF(F268&gt;0," ("&amp;F268&amp;")",""),B268&amp;IF(F268&gt;0," ("&amp;F268&amp;")","")),"#"&amp;$A268)</f>
        <v/>
      </c>
      <c r="I268" s="209">
        <f>IF(LEN($A268)&gt;0,IF(LEN($J268)&gt;0,MATCH(J268,MatchNames,0),EventIndex),0)</f>
        <v>0</v>
      </c>
      <c r="J268" s="209" t="str">
        <f>IF(LEN($A268)&gt;0,IF(LEN(Declarations!$F268)&gt;0,Declarations!$F268,conftype),"")</f>
        <v/>
      </c>
      <c r="M268" s="297">
        <f>IF(ISNA(VLOOKUP($A268,SprintData,2,FALSE)),0,VLOOKUP($A268,SprintData,2,FALSE))</f>
        <v>0</v>
      </c>
      <c r="N268" s="297">
        <f>IF(ISNA(VLOOKUP($A268,JumpData,2,FALSE)),0,VLOOKUP($A268,JumpData,2,FALSE))</f>
        <v>0</v>
      </c>
      <c r="O268" s="297">
        <f>IF(ISNA(VLOOKUP($A268,RunData,2,FALSE)),0,VLOOKUP($A268,RunData,2,FALSE))</f>
        <v>0</v>
      </c>
      <c r="P268" s="297">
        <f>IF(ISNA(VLOOKUP($A268,ThrowData,2,FALSE)),0,VLOOKUP($A268,ThrowData,2,FALSE))</f>
        <v>0</v>
      </c>
      <c r="Q268" s="298">
        <f>IF(ISNA(VLOOKUP($A268,SprintData,4,FALSE)),0,VLOOKUP($A268,SprintData,4,FALSE))+V268</f>
        <v>0</v>
      </c>
      <c r="R268" s="298">
        <f>IF(ISNA(VLOOKUP($A268,JumpData,4,FALSE)),0,VLOOKUP($A268,JumpData,4,FALSE))+W268</f>
        <v>0</v>
      </c>
      <c r="S268" s="298">
        <f>IF(ISNA(VLOOKUP($A268,RunData,4,FALSE)),0,VLOOKUP($A268,RunData,4,FALSE))+X268</f>
        <v>0</v>
      </c>
      <c r="T268" s="298">
        <f>IF(ISNA(VLOOKUP($A268,ThrowData,4,FALSE)),0,VLOOKUP($A268,ThrowData,4,FALSE))+Y268</f>
        <v>0</v>
      </c>
      <c r="U268" s="299">
        <f t="shared" si="2"/>
        <v>0</v>
      </c>
      <c r="V268">
        <f>IF(AND($F268&gt;0,NOT(M268),Flexing),FlexPC,0)</f>
        <v>0</v>
      </c>
      <c r="W268">
        <f>IF(AND($F268&gt;0,NOT(N268),Flexing),FlexPC,0)</f>
        <v>0</v>
      </c>
      <c r="X268">
        <f>IF(AND($F268&gt;0,NOT(O268),Flexing),FlexPC,0)</f>
        <v>0</v>
      </c>
      <c r="Y268">
        <f>IF(AND($F268&gt;0,NOT(P268),Flexing),FlexPC,0)</f>
        <v>0</v>
      </c>
      <c r="AA268" s="209">
        <f t="shared" si="3"/>
        <v>267</v>
      </c>
    </row>
    <row r="269" ht="15.75" customHeight="1">
      <c r="A269" s="206" t="str">
        <f>+Declarations!A269&amp;""</f>
        <v/>
      </c>
      <c r="B269" t="str">
        <f>IF(LEN($A269),IF(LEN(Declarations!$B269)&gt;0,Declarations!$B269,"#"&amp;$A269),"")</f>
        <v/>
      </c>
      <c r="C269" s="209" t="str">
        <f t="array" ref="C269">IF(LEN(INDEX(DECLARATIONS,$AA269,3))&gt;0,INDEX(DECLARATIONS,$AA269,3),"...")</f>
        <v>...</v>
      </c>
      <c r="D269" s="209" t="str">
        <f t="shared" si="1"/>
        <v/>
      </c>
      <c r="E269" s="296" t="str">
        <f t="array" ref="E269">IF(ISNA($AA269),0,INDEX(DECLARATIONS,$AA269,5))</f>
        <v/>
      </c>
      <c r="F269" s="209" t="str">
        <f t="array" ref="F269">IF(ISNA($AA269),0,INDEX(DECLARATIONS,$AA269,7))</f>
        <v/>
      </c>
      <c r="G269" s="209" t="str">
        <f t="array" ref="G269">UPPER(IF(ISNA($AA269),"",INDEX(DECLARATIONS,$AA269,4)))</f>
        <v/>
      </c>
      <c r="H269" t="str">
        <f>IF(AND(A269&gt;0,ISTEXT(B269)),IF(SECNAME="YES",LEFT(B269&amp;" ",FIND(" ",B269&amp;" ")+2)&amp;IF(F269&gt;0," ("&amp;F269&amp;")",""),B269&amp;IF(F269&gt;0," ("&amp;F269&amp;")","")),"#"&amp;$A269)</f>
        <v/>
      </c>
      <c r="I269" s="209">
        <f>IF(LEN($A269)&gt;0,IF(LEN($J269)&gt;0,MATCH(J269,MatchNames,0),EventIndex),0)</f>
        <v>0</v>
      </c>
      <c r="J269" s="209" t="str">
        <f>IF(LEN($A269)&gt;0,IF(LEN(Declarations!$F269)&gt;0,Declarations!$F269,conftype),"")</f>
        <v/>
      </c>
      <c r="M269" s="297">
        <f>IF(ISNA(VLOOKUP($A269,SprintData,2,FALSE)),0,VLOOKUP($A269,SprintData,2,FALSE))</f>
        <v>0</v>
      </c>
      <c r="N269" s="297">
        <f>IF(ISNA(VLOOKUP($A269,JumpData,2,FALSE)),0,VLOOKUP($A269,JumpData,2,FALSE))</f>
        <v>0</v>
      </c>
      <c r="O269" s="297">
        <f>IF(ISNA(VLOOKUP($A269,RunData,2,FALSE)),0,VLOOKUP($A269,RunData,2,FALSE))</f>
        <v>0</v>
      </c>
      <c r="P269" s="297">
        <f>IF(ISNA(VLOOKUP($A269,ThrowData,2,FALSE)),0,VLOOKUP($A269,ThrowData,2,FALSE))</f>
        <v>0</v>
      </c>
      <c r="Q269" s="298">
        <f>IF(ISNA(VLOOKUP($A269,SprintData,4,FALSE)),0,VLOOKUP($A269,SprintData,4,FALSE))+V269</f>
        <v>0</v>
      </c>
      <c r="R269" s="298">
        <f>IF(ISNA(VLOOKUP($A269,JumpData,4,FALSE)),0,VLOOKUP($A269,JumpData,4,FALSE))+W269</f>
        <v>0</v>
      </c>
      <c r="S269" s="298">
        <f>IF(ISNA(VLOOKUP($A269,RunData,4,FALSE)),0,VLOOKUP($A269,RunData,4,FALSE))+X269</f>
        <v>0</v>
      </c>
      <c r="T269" s="298">
        <f>IF(ISNA(VLOOKUP($A269,ThrowData,4,FALSE)),0,VLOOKUP($A269,ThrowData,4,FALSE))+Y269</f>
        <v>0</v>
      </c>
      <c r="U269" s="299">
        <f t="shared" si="2"/>
        <v>0</v>
      </c>
      <c r="V269">
        <f>IF(AND($F269&gt;0,NOT(M269),Flexing),FlexPC,0)</f>
        <v>0</v>
      </c>
      <c r="W269">
        <f>IF(AND($F269&gt;0,NOT(N269),Flexing),FlexPC,0)</f>
        <v>0</v>
      </c>
      <c r="X269">
        <f>IF(AND($F269&gt;0,NOT(O269),Flexing),FlexPC,0)</f>
        <v>0</v>
      </c>
      <c r="Y269">
        <f>IF(AND($F269&gt;0,NOT(P269),Flexing),FlexPC,0)</f>
        <v>0</v>
      </c>
      <c r="AA269" s="209">
        <f t="shared" si="3"/>
        <v>268</v>
      </c>
    </row>
    <row r="270" ht="15.75" customHeight="1">
      <c r="A270" s="206" t="str">
        <f>+Declarations!A270&amp;""</f>
        <v/>
      </c>
      <c r="B270" t="str">
        <f>IF(LEN($A270),IF(LEN(Declarations!$B270)&gt;0,Declarations!$B270,"#"&amp;$A270),"")</f>
        <v/>
      </c>
      <c r="C270" s="209" t="str">
        <f t="array" ref="C270">IF(LEN(INDEX(DECLARATIONS,$AA270,3))&gt;0,INDEX(DECLARATIONS,$AA270,3),"...")</f>
        <v>...</v>
      </c>
      <c r="D270" s="209" t="str">
        <f t="shared" si="1"/>
        <v/>
      </c>
      <c r="E270" s="296" t="str">
        <f t="array" ref="E270">IF(ISNA($AA270),0,INDEX(DECLARATIONS,$AA270,5))</f>
        <v/>
      </c>
      <c r="F270" s="209" t="str">
        <f t="array" ref="F270">IF(ISNA($AA270),0,INDEX(DECLARATIONS,$AA270,7))</f>
        <v/>
      </c>
      <c r="G270" s="209" t="str">
        <f t="array" ref="G270">UPPER(IF(ISNA($AA270),"",INDEX(DECLARATIONS,$AA270,4)))</f>
        <v/>
      </c>
      <c r="H270" t="str">
        <f>IF(AND(A270&gt;0,ISTEXT(B270)),IF(SECNAME="YES",LEFT(B270&amp;" ",FIND(" ",B270&amp;" ")+2)&amp;IF(F270&gt;0," ("&amp;F270&amp;")",""),B270&amp;IF(F270&gt;0," ("&amp;F270&amp;")","")),"#"&amp;$A270)</f>
        <v/>
      </c>
      <c r="I270" s="209">
        <f>IF(LEN($A270)&gt;0,IF(LEN($J270)&gt;0,MATCH(J270,MatchNames,0),EventIndex),0)</f>
        <v>0</v>
      </c>
      <c r="J270" s="209" t="str">
        <f>IF(LEN($A270)&gt;0,IF(LEN(Declarations!$F270)&gt;0,Declarations!$F270,conftype),"")</f>
        <v/>
      </c>
      <c r="M270" s="297">
        <f>IF(ISNA(VLOOKUP($A270,SprintData,2,FALSE)),0,VLOOKUP($A270,SprintData,2,FALSE))</f>
        <v>0</v>
      </c>
      <c r="N270" s="297">
        <f>IF(ISNA(VLOOKUP($A270,JumpData,2,FALSE)),0,VLOOKUP($A270,JumpData,2,FALSE))</f>
        <v>0</v>
      </c>
      <c r="O270" s="297">
        <f>IF(ISNA(VLOOKUP($A270,RunData,2,FALSE)),0,VLOOKUP($A270,RunData,2,FALSE))</f>
        <v>0</v>
      </c>
      <c r="P270" s="297">
        <f>IF(ISNA(VLOOKUP($A270,ThrowData,2,FALSE)),0,VLOOKUP($A270,ThrowData,2,FALSE))</f>
        <v>0</v>
      </c>
      <c r="Q270" s="298">
        <f>IF(ISNA(VLOOKUP($A270,SprintData,4,FALSE)),0,VLOOKUP($A270,SprintData,4,FALSE))+V270</f>
        <v>0</v>
      </c>
      <c r="R270" s="298">
        <f>IF(ISNA(VLOOKUP($A270,JumpData,4,FALSE)),0,VLOOKUP($A270,JumpData,4,FALSE))+W270</f>
        <v>0</v>
      </c>
      <c r="S270" s="298">
        <f>IF(ISNA(VLOOKUP($A270,RunData,4,FALSE)),0,VLOOKUP($A270,RunData,4,FALSE))+X270</f>
        <v>0</v>
      </c>
      <c r="T270" s="298">
        <f>IF(ISNA(VLOOKUP($A270,ThrowData,4,FALSE)),0,VLOOKUP($A270,ThrowData,4,FALSE))+Y270</f>
        <v>0</v>
      </c>
      <c r="U270" s="299">
        <f t="shared" si="2"/>
        <v>0</v>
      </c>
      <c r="V270">
        <f>IF(AND($F270&gt;0,NOT(M270),Flexing),FlexPC,0)</f>
        <v>0</v>
      </c>
      <c r="W270">
        <f>IF(AND($F270&gt;0,NOT(N270),Flexing),FlexPC,0)</f>
        <v>0</v>
      </c>
      <c r="X270">
        <f>IF(AND($F270&gt;0,NOT(O270),Flexing),FlexPC,0)</f>
        <v>0</v>
      </c>
      <c r="Y270">
        <f>IF(AND($F270&gt;0,NOT(P270),Flexing),FlexPC,0)</f>
        <v>0</v>
      </c>
      <c r="AA270" s="209">
        <f t="shared" si="3"/>
        <v>269</v>
      </c>
    </row>
    <row r="271" ht="15.75" customHeight="1">
      <c r="A271" s="206" t="str">
        <f>+Declarations!A271&amp;""</f>
        <v/>
      </c>
      <c r="B271" t="str">
        <f>IF(LEN($A271),IF(LEN(Declarations!$B271)&gt;0,Declarations!$B271,"#"&amp;$A271),"")</f>
        <v/>
      </c>
      <c r="C271" s="209" t="str">
        <f t="array" ref="C271">IF(LEN(INDEX(DECLARATIONS,$AA271,3))&gt;0,INDEX(DECLARATIONS,$AA271,3),"...")</f>
        <v>...</v>
      </c>
      <c r="D271" s="209" t="str">
        <f t="shared" si="1"/>
        <v/>
      </c>
      <c r="E271" s="296" t="str">
        <f t="array" ref="E271">IF(ISNA($AA271),0,INDEX(DECLARATIONS,$AA271,5))</f>
        <v/>
      </c>
      <c r="F271" s="209" t="str">
        <f t="array" ref="F271">IF(ISNA($AA271),0,INDEX(DECLARATIONS,$AA271,7))</f>
        <v/>
      </c>
      <c r="G271" s="209" t="str">
        <f t="array" ref="G271">UPPER(IF(ISNA($AA271),"",INDEX(DECLARATIONS,$AA271,4)))</f>
        <v/>
      </c>
      <c r="H271" t="str">
        <f>IF(AND(A271&gt;0,ISTEXT(B271)),IF(SECNAME="YES",LEFT(B271&amp;" ",FIND(" ",B271&amp;" ")+2)&amp;IF(F271&gt;0," ("&amp;F271&amp;")",""),B271&amp;IF(F271&gt;0," ("&amp;F271&amp;")","")),"#"&amp;$A271)</f>
        <v/>
      </c>
      <c r="I271" s="209">
        <f>IF(LEN($A271)&gt;0,IF(LEN($J271)&gt;0,MATCH(J271,MatchNames,0),EventIndex),0)</f>
        <v>0</v>
      </c>
      <c r="J271" s="209" t="str">
        <f>IF(LEN($A271)&gt;0,IF(LEN(Declarations!$F271)&gt;0,Declarations!$F271,conftype),"")</f>
        <v/>
      </c>
      <c r="M271" s="297">
        <f>IF(ISNA(VLOOKUP($A271,SprintData,2,FALSE)),0,VLOOKUP($A271,SprintData,2,FALSE))</f>
        <v>0</v>
      </c>
      <c r="N271" s="297">
        <f>IF(ISNA(VLOOKUP($A271,JumpData,2,FALSE)),0,VLOOKUP($A271,JumpData,2,FALSE))</f>
        <v>0</v>
      </c>
      <c r="O271" s="297">
        <f>IF(ISNA(VLOOKUP($A271,RunData,2,FALSE)),0,VLOOKUP($A271,RunData,2,FALSE))</f>
        <v>0</v>
      </c>
      <c r="P271" s="297">
        <f>IF(ISNA(VLOOKUP($A271,ThrowData,2,FALSE)),0,VLOOKUP($A271,ThrowData,2,FALSE))</f>
        <v>0</v>
      </c>
      <c r="Q271" s="298">
        <f>IF(ISNA(VLOOKUP($A271,SprintData,4,FALSE)),0,VLOOKUP($A271,SprintData,4,FALSE))+V271</f>
        <v>0</v>
      </c>
      <c r="R271" s="298">
        <f>IF(ISNA(VLOOKUP($A271,JumpData,4,FALSE)),0,VLOOKUP($A271,JumpData,4,FALSE))+W271</f>
        <v>0</v>
      </c>
      <c r="S271" s="298">
        <f>IF(ISNA(VLOOKUP($A271,RunData,4,FALSE)),0,VLOOKUP($A271,RunData,4,FALSE))+X271</f>
        <v>0</v>
      </c>
      <c r="T271" s="298">
        <f>IF(ISNA(VLOOKUP($A271,ThrowData,4,FALSE)),0,VLOOKUP($A271,ThrowData,4,FALSE))+Y271</f>
        <v>0</v>
      </c>
      <c r="U271" s="299">
        <f t="shared" si="2"/>
        <v>0</v>
      </c>
      <c r="V271">
        <f>IF(AND($F271&gt;0,NOT(M271),Flexing),FlexPC,0)</f>
        <v>0</v>
      </c>
      <c r="W271">
        <f>IF(AND($F271&gt;0,NOT(N271),Flexing),FlexPC,0)</f>
        <v>0</v>
      </c>
      <c r="X271">
        <f>IF(AND($F271&gt;0,NOT(O271),Flexing),FlexPC,0)</f>
        <v>0</v>
      </c>
      <c r="Y271">
        <f>IF(AND($F271&gt;0,NOT(P271),Flexing),FlexPC,0)</f>
        <v>0</v>
      </c>
      <c r="AA271" s="209">
        <f t="shared" si="3"/>
        <v>270</v>
      </c>
    </row>
    <row r="272" ht="15.75" customHeight="1">
      <c r="A272" s="206" t="str">
        <f>+Declarations!A272&amp;""</f>
        <v/>
      </c>
      <c r="B272" t="str">
        <f>IF(LEN($A272),IF(LEN(Declarations!$B272)&gt;0,Declarations!$B272,"#"&amp;$A272),"")</f>
        <v/>
      </c>
      <c r="C272" s="209" t="str">
        <f t="array" ref="C272">IF(LEN(INDEX(DECLARATIONS,$AA272,3))&gt;0,INDEX(DECLARATIONS,$AA272,3),"...")</f>
        <v>...</v>
      </c>
      <c r="D272" s="209" t="str">
        <f t="shared" si="1"/>
        <v/>
      </c>
      <c r="E272" s="296" t="str">
        <f t="array" ref="E272">IF(ISNA($AA272),0,INDEX(DECLARATIONS,$AA272,5))</f>
        <v/>
      </c>
      <c r="F272" s="209" t="str">
        <f t="array" ref="F272">IF(ISNA($AA272),0,INDEX(DECLARATIONS,$AA272,7))</f>
        <v/>
      </c>
      <c r="G272" s="209" t="str">
        <f t="array" ref="G272">UPPER(IF(ISNA($AA272),"",INDEX(DECLARATIONS,$AA272,4)))</f>
        <v/>
      </c>
      <c r="H272" t="str">
        <f>IF(AND(A272&gt;0,ISTEXT(B272)),IF(SECNAME="YES",LEFT(B272&amp;" ",FIND(" ",B272&amp;" ")+2)&amp;IF(F272&gt;0," ("&amp;F272&amp;")",""),B272&amp;IF(F272&gt;0," ("&amp;F272&amp;")","")),"#"&amp;$A272)</f>
        <v/>
      </c>
      <c r="I272" s="209">
        <f>IF(LEN($A272)&gt;0,IF(LEN($J272)&gt;0,MATCH(J272,MatchNames,0),EventIndex),0)</f>
        <v>0</v>
      </c>
      <c r="J272" s="209" t="str">
        <f>IF(LEN($A272)&gt;0,IF(LEN(Declarations!$F272)&gt;0,Declarations!$F272,conftype),"")</f>
        <v/>
      </c>
      <c r="M272" s="297">
        <f>IF(ISNA(VLOOKUP($A272,SprintData,2,FALSE)),0,VLOOKUP($A272,SprintData,2,FALSE))</f>
        <v>0</v>
      </c>
      <c r="N272" s="297">
        <f>IF(ISNA(VLOOKUP($A272,JumpData,2,FALSE)),0,VLOOKUP($A272,JumpData,2,FALSE))</f>
        <v>0</v>
      </c>
      <c r="O272" s="297">
        <f>IF(ISNA(VLOOKUP($A272,RunData,2,FALSE)),0,VLOOKUP($A272,RunData,2,FALSE))</f>
        <v>0</v>
      </c>
      <c r="P272" s="297">
        <f>IF(ISNA(VLOOKUP($A272,ThrowData,2,FALSE)),0,VLOOKUP($A272,ThrowData,2,FALSE))</f>
        <v>0</v>
      </c>
      <c r="Q272" s="298">
        <f>IF(ISNA(VLOOKUP($A272,SprintData,4,FALSE)),0,VLOOKUP($A272,SprintData,4,FALSE))+V272</f>
        <v>0</v>
      </c>
      <c r="R272" s="298">
        <f>IF(ISNA(VLOOKUP($A272,JumpData,4,FALSE)),0,VLOOKUP($A272,JumpData,4,FALSE))+W272</f>
        <v>0</v>
      </c>
      <c r="S272" s="298">
        <f>IF(ISNA(VLOOKUP($A272,RunData,4,FALSE)),0,VLOOKUP($A272,RunData,4,FALSE))+X272</f>
        <v>0</v>
      </c>
      <c r="T272" s="298">
        <f>IF(ISNA(VLOOKUP($A272,ThrowData,4,FALSE)),0,VLOOKUP($A272,ThrowData,4,FALSE))+Y272</f>
        <v>0</v>
      </c>
      <c r="U272" s="299">
        <f t="shared" si="2"/>
        <v>0</v>
      </c>
      <c r="V272">
        <f>IF(AND($F272&gt;0,NOT(M272),Flexing),FlexPC,0)</f>
        <v>0</v>
      </c>
      <c r="W272">
        <f>IF(AND($F272&gt;0,NOT(N272),Flexing),FlexPC,0)</f>
        <v>0</v>
      </c>
      <c r="X272">
        <f>IF(AND($F272&gt;0,NOT(O272),Flexing),FlexPC,0)</f>
        <v>0</v>
      </c>
      <c r="Y272">
        <f>IF(AND($F272&gt;0,NOT(P272),Flexing),FlexPC,0)</f>
        <v>0</v>
      </c>
      <c r="AA272" s="209">
        <f t="shared" si="3"/>
        <v>271</v>
      </c>
    </row>
    <row r="273" ht="15.75" customHeight="1">
      <c r="A273" s="206" t="str">
        <f>+Declarations!A273&amp;""</f>
        <v/>
      </c>
      <c r="B273" t="str">
        <f>IF(LEN($A273),IF(LEN(Declarations!$B273)&gt;0,Declarations!$B273,"#"&amp;$A273),"")</f>
        <v/>
      </c>
      <c r="C273" s="209" t="str">
        <f t="array" ref="C273">IF(LEN(INDEX(DECLARATIONS,$AA273,3))&gt;0,INDEX(DECLARATIONS,$AA273,3),"...")</f>
        <v>...</v>
      </c>
      <c r="D273" s="209" t="str">
        <f t="shared" si="1"/>
        <v/>
      </c>
      <c r="E273" s="296" t="str">
        <f t="array" ref="E273">IF(ISNA($AA273),0,INDEX(DECLARATIONS,$AA273,5))</f>
        <v/>
      </c>
      <c r="F273" s="209" t="str">
        <f t="array" ref="F273">IF(ISNA($AA273),0,INDEX(DECLARATIONS,$AA273,7))</f>
        <v/>
      </c>
      <c r="G273" s="209" t="str">
        <f t="array" ref="G273">UPPER(IF(ISNA($AA273),"",INDEX(DECLARATIONS,$AA273,4)))</f>
        <v/>
      </c>
      <c r="H273" t="str">
        <f>IF(AND(A273&gt;0,ISTEXT(B273)),IF(SECNAME="YES",LEFT(B273&amp;" ",FIND(" ",B273&amp;" ")+2)&amp;IF(F273&gt;0," ("&amp;F273&amp;")",""),B273&amp;IF(F273&gt;0," ("&amp;F273&amp;")","")),"#"&amp;$A273)</f>
        <v/>
      </c>
      <c r="I273" s="209">
        <f>IF(LEN($A273)&gt;0,IF(LEN($J273)&gt;0,MATCH(J273,MatchNames,0),EventIndex),0)</f>
        <v>0</v>
      </c>
      <c r="J273" s="209" t="str">
        <f>IF(LEN($A273)&gt;0,IF(LEN(Declarations!$F273)&gt;0,Declarations!$F273,conftype),"")</f>
        <v/>
      </c>
      <c r="M273" s="297">
        <f>IF(ISNA(VLOOKUP($A273,SprintData,2,FALSE)),0,VLOOKUP($A273,SprintData,2,FALSE))</f>
        <v>0</v>
      </c>
      <c r="N273" s="297">
        <f>IF(ISNA(VLOOKUP($A273,JumpData,2,FALSE)),0,VLOOKUP($A273,JumpData,2,FALSE))</f>
        <v>0</v>
      </c>
      <c r="O273" s="297">
        <f>IF(ISNA(VLOOKUP($A273,RunData,2,FALSE)),0,VLOOKUP($A273,RunData,2,FALSE))</f>
        <v>0</v>
      </c>
      <c r="P273" s="297">
        <f>IF(ISNA(VLOOKUP($A273,ThrowData,2,FALSE)),0,VLOOKUP($A273,ThrowData,2,FALSE))</f>
        <v>0</v>
      </c>
      <c r="Q273" s="298">
        <f>IF(ISNA(VLOOKUP($A273,SprintData,4,FALSE)),0,VLOOKUP($A273,SprintData,4,FALSE))+V273</f>
        <v>0</v>
      </c>
      <c r="R273" s="298">
        <f>IF(ISNA(VLOOKUP($A273,JumpData,4,FALSE)),0,VLOOKUP($A273,JumpData,4,FALSE))+W273</f>
        <v>0</v>
      </c>
      <c r="S273" s="298">
        <f>IF(ISNA(VLOOKUP($A273,RunData,4,FALSE)),0,VLOOKUP($A273,RunData,4,FALSE))+X273</f>
        <v>0</v>
      </c>
      <c r="T273" s="298">
        <f>IF(ISNA(VLOOKUP($A273,ThrowData,4,FALSE)),0,VLOOKUP($A273,ThrowData,4,FALSE))+Y273</f>
        <v>0</v>
      </c>
      <c r="U273" s="299">
        <f t="shared" si="2"/>
        <v>0</v>
      </c>
      <c r="V273">
        <f>IF(AND($F273&gt;0,NOT(M273),Flexing),FlexPC,0)</f>
        <v>0</v>
      </c>
      <c r="W273">
        <f>IF(AND($F273&gt;0,NOT(N273),Flexing),FlexPC,0)</f>
        <v>0</v>
      </c>
      <c r="X273">
        <f>IF(AND($F273&gt;0,NOT(O273),Flexing),FlexPC,0)</f>
        <v>0</v>
      </c>
      <c r="Y273">
        <f>IF(AND($F273&gt;0,NOT(P273),Flexing),FlexPC,0)</f>
        <v>0</v>
      </c>
      <c r="AA273" s="209">
        <f t="shared" si="3"/>
        <v>272</v>
      </c>
    </row>
    <row r="274" ht="15.75" customHeight="1">
      <c r="A274" s="206" t="str">
        <f>+Declarations!A274&amp;""</f>
        <v/>
      </c>
      <c r="B274" t="str">
        <f>IF(LEN($A274),IF(LEN(Declarations!$B274)&gt;0,Declarations!$B274,"#"&amp;$A274),"")</f>
        <v/>
      </c>
      <c r="C274" s="209" t="str">
        <f t="array" ref="C274">IF(LEN(INDEX(DECLARATIONS,$AA274,3))&gt;0,INDEX(DECLARATIONS,$AA274,3),"...")</f>
        <v>...</v>
      </c>
      <c r="D274" s="209" t="str">
        <f t="shared" si="1"/>
        <v/>
      </c>
      <c r="E274" s="296" t="str">
        <f t="array" ref="E274">IF(ISNA($AA274),0,INDEX(DECLARATIONS,$AA274,5))</f>
        <v/>
      </c>
      <c r="F274" s="209" t="str">
        <f t="array" ref="F274">IF(ISNA($AA274),0,INDEX(DECLARATIONS,$AA274,7))</f>
        <v/>
      </c>
      <c r="G274" s="209" t="str">
        <f t="array" ref="G274">UPPER(IF(ISNA($AA274),"",INDEX(DECLARATIONS,$AA274,4)))</f>
        <v/>
      </c>
      <c r="H274" t="str">
        <f>IF(AND(A274&gt;0,ISTEXT(B274)),IF(SECNAME="YES",LEFT(B274&amp;" ",FIND(" ",B274&amp;" ")+2)&amp;IF(F274&gt;0," ("&amp;F274&amp;")",""),B274&amp;IF(F274&gt;0," ("&amp;F274&amp;")","")),"#"&amp;$A274)</f>
        <v/>
      </c>
      <c r="I274" s="209">
        <f>IF(LEN($A274)&gt;0,IF(LEN($J274)&gt;0,MATCH(J274,MatchNames,0),EventIndex),0)</f>
        <v>0</v>
      </c>
      <c r="J274" s="209" t="str">
        <f>IF(LEN($A274)&gt;0,IF(LEN(Declarations!$F274)&gt;0,Declarations!$F274,conftype),"")</f>
        <v/>
      </c>
      <c r="M274" s="297">
        <f>IF(ISNA(VLOOKUP($A274,SprintData,2,FALSE)),0,VLOOKUP($A274,SprintData,2,FALSE))</f>
        <v>0</v>
      </c>
      <c r="N274" s="297">
        <f>IF(ISNA(VLOOKUP($A274,JumpData,2,FALSE)),0,VLOOKUP($A274,JumpData,2,FALSE))</f>
        <v>0</v>
      </c>
      <c r="O274" s="297">
        <f>IF(ISNA(VLOOKUP($A274,RunData,2,FALSE)),0,VLOOKUP($A274,RunData,2,FALSE))</f>
        <v>0</v>
      </c>
      <c r="P274" s="297">
        <f>IF(ISNA(VLOOKUP($A274,ThrowData,2,FALSE)),0,VLOOKUP($A274,ThrowData,2,FALSE))</f>
        <v>0</v>
      </c>
      <c r="Q274" s="298">
        <f>IF(ISNA(VLOOKUP($A274,SprintData,4,FALSE)),0,VLOOKUP($A274,SprintData,4,FALSE))+V274</f>
        <v>0</v>
      </c>
      <c r="R274" s="298">
        <f>IF(ISNA(VLOOKUP($A274,JumpData,4,FALSE)),0,VLOOKUP($A274,JumpData,4,FALSE))+W274</f>
        <v>0</v>
      </c>
      <c r="S274" s="298">
        <f>IF(ISNA(VLOOKUP($A274,RunData,4,FALSE)),0,VLOOKUP($A274,RunData,4,FALSE))+X274</f>
        <v>0</v>
      </c>
      <c r="T274" s="298">
        <f>IF(ISNA(VLOOKUP($A274,ThrowData,4,FALSE)),0,VLOOKUP($A274,ThrowData,4,FALSE))+Y274</f>
        <v>0</v>
      </c>
      <c r="U274" s="299">
        <f t="shared" si="2"/>
        <v>0</v>
      </c>
      <c r="V274">
        <f>IF(AND($F274&gt;0,NOT(M274),Flexing),FlexPC,0)</f>
        <v>0</v>
      </c>
      <c r="W274">
        <f>IF(AND($F274&gt;0,NOT(N274),Flexing),FlexPC,0)</f>
        <v>0</v>
      </c>
      <c r="X274">
        <f>IF(AND($F274&gt;0,NOT(O274),Flexing),FlexPC,0)</f>
        <v>0</v>
      </c>
      <c r="Y274">
        <f>IF(AND($F274&gt;0,NOT(P274),Flexing),FlexPC,0)</f>
        <v>0</v>
      </c>
      <c r="AA274" s="209">
        <f t="shared" si="3"/>
        <v>273</v>
      </c>
    </row>
    <row r="275" ht="15.75" customHeight="1">
      <c r="A275" s="206" t="str">
        <f>+Declarations!A275&amp;""</f>
        <v/>
      </c>
      <c r="B275" t="str">
        <f>IF(LEN($A275),IF(LEN(Declarations!$B275)&gt;0,Declarations!$B275,"#"&amp;$A275),"")</f>
        <v/>
      </c>
      <c r="C275" s="209" t="str">
        <f t="array" ref="C275">IF(LEN(INDEX(DECLARATIONS,$AA275,3))&gt;0,INDEX(DECLARATIONS,$AA275,3),"...")</f>
        <v>...</v>
      </c>
      <c r="D275" s="209" t="str">
        <f t="shared" si="1"/>
        <v/>
      </c>
      <c r="E275" s="296" t="str">
        <f t="array" ref="E275">IF(ISNA($AA275),0,INDEX(DECLARATIONS,$AA275,5))</f>
        <v/>
      </c>
      <c r="F275" s="209" t="str">
        <f t="array" ref="F275">IF(ISNA($AA275),0,INDEX(DECLARATIONS,$AA275,7))</f>
        <v/>
      </c>
      <c r="G275" s="209" t="str">
        <f t="array" ref="G275">UPPER(IF(ISNA($AA275),"",INDEX(DECLARATIONS,$AA275,4)))</f>
        <v/>
      </c>
      <c r="H275" t="str">
        <f>IF(AND(A275&gt;0,ISTEXT(B275)),IF(SECNAME="YES",LEFT(B275&amp;" ",FIND(" ",B275&amp;" ")+2)&amp;IF(F275&gt;0," ("&amp;F275&amp;")",""),B275&amp;IF(F275&gt;0," ("&amp;F275&amp;")","")),"#"&amp;$A275)</f>
        <v/>
      </c>
      <c r="I275" s="209">
        <f>IF(LEN($A275)&gt;0,IF(LEN($J275)&gt;0,MATCH(J275,MatchNames,0),EventIndex),0)</f>
        <v>0</v>
      </c>
      <c r="J275" s="209" t="str">
        <f>IF(LEN($A275)&gt;0,IF(LEN(Declarations!$F275)&gt;0,Declarations!$F275,conftype),"")</f>
        <v/>
      </c>
      <c r="M275" s="297">
        <f>IF(ISNA(VLOOKUP($A275,SprintData,2,FALSE)),0,VLOOKUP($A275,SprintData,2,FALSE))</f>
        <v>0</v>
      </c>
      <c r="N275" s="297">
        <f>IF(ISNA(VLOOKUP($A275,JumpData,2,FALSE)),0,VLOOKUP($A275,JumpData,2,FALSE))</f>
        <v>0</v>
      </c>
      <c r="O275" s="297">
        <f>IF(ISNA(VLOOKUP($A275,RunData,2,FALSE)),0,VLOOKUP($A275,RunData,2,FALSE))</f>
        <v>0</v>
      </c>
      <c r="P275" s="297">
        <f>IF(ISNA(VLOOKUP($A275,ThrowData,2,FALSE)),0,VLOOKUP($A275,ThrowData,2,FALSE))</f>
        <v>0</v>
      </c>
      <c r="Q275" s="298">
        <f>IF(ISNA(VLOOKUP($A275,SprintData,4,FALSE)),0,VLOOKUP($A275,SprintData,4,FALSE))+V275</f>
        <v>0</v>
      </c>
      <c r="R275" s="298">
        <f>IF(ISNA(VLOOKUP($A275,JumpData,4,FALSE)),0,VLOOKUP($A275,JumpData,4,FALSE))+W275</f>
        <v>0</v>
      </c>
      <c r="S275" s="298">
        <f>IF(ISNA(VLOOKUP($A275,RunData,4,FALSE)),0,VLOOKUP($A275,RunData,4,FALSE))+X275</f>
        <v>0</v>
      </c>
      <c r="T275" s="298">
        <f>IF(ISNA(VLOOKUP($A275,ThrowData,4,FALSE)),0,VLOOKUP($A275,ThrowData,4,FALSE))+Y275</f>
        <v>0</v>
      </c>
      <c r="U275" s="299">
        <f t="shared" si="2"/>
        <v>0</v>
      </c>
      <c r="V275">
        <f>IF(AND($F275&gt;0,NOT(M275),Flexing),FlexPC,0)</f>
        <v>0</v>
      </c>
      <c r="W275">
        <f>IF(AND($F275&gt;0,NOT(N275),Flexing),FlexPC,0)</f>
        <v>0</v>
      </c>
      <c r="X275">
        <f>IF(AND($F275&gt;0,NOT(O275),Flexing),FlexPC,0)</f>
        <v>0</v>
      </c>
      <c r="Y275">
        <f>IF(AND($F275&gt;0,NOT(P275),Flexing),FlexPC,0)</f>
        <v>0</v>
      </c>
      <c r="AA275" s="209">
        <f t="shared" si="3"/>
        <v>274</v>
      </c>
    </row>
    <row r="276" ht="15.75" customHeight="1">
      <c r="A276" s="206" t="str">
        <f>+Declarations!A276&amp;""</f>
        <v/>
      </c>
      <c r="B276" t="str">
        <f>IF(LEN($A276),IF(LEN(Declarations!$B276)&gt;0,Declarations!$B276,"#"&amp;$A276),"")</f>
        <v/>
      </c>
      <c r="C276" s="209" t="str">
        <f t="array" ref="C276">IF(LEN(INDEX(DECLARATIONS,$AA276,3))&gt;0,INDEX(DECLARATIONS,$AA276,3),"...")</f>
        <v>...</v>
      </c>
      <c r="D276" s="209" t="str">
        <f t="shared" si="1"/>
        <v/>
      </c>
      <c r="E276" s="296" t="str">
        <f t="array" ref="E276">IF(ISNA($AA276),0,INDEX(DECLARATIONS,$AA276,5))</f>
        <v/>
      </c>
      <c r="F276" s="209" t="str">
        <f t="array" ref="F276">IF(ISNA($AA276),0,INDEX(DECLARATIONS,$AA276,7))</f>
        <v/>
      </c>
      <c r="G276" s="209" t="str">
        <f t="array" ref="G276">UPPER(IF(ISNA($AA276),"",INDEX(DECLARATIONS,$AA276,4)))</f>
        <v/>
      </c>
      <c r="H276" t="str">
        <f>IF(AND(A276&gt;0,ISTEXT(B276)),IF(SECNAME="YES",LEFT(B276&amp;" ",FIND(" ",B276&amp;" ")+2)&amp;IF(F276&gt;0," ("&amp;F276&amp;")",""),B276&amp;IF(F276&gt;0," ("&amp;F276&amp;")","")),"#"&amp;$A276)</f>
        <v/>
      </c>
      <c r="I276" s="209">
        <f>IF(LEN($A276)&gt;0,IF(LEN($J276)&gt;0,MATCH(J276,MatchNames,0),EventIndex),0)</f>
        <v>0</v>
      </c>
      <c r="J276" s="209" t="str">
        <f>IF(LEN($A276)&gt;0,IF(LEN(Declarations!$F276)&gt;0,Declarations!$F276,conftype),"")</f>
        <v/>
      </c>
      <c r="M276" s="297">
        <f>IF(ISNA(VLOOKUP($A276,SprintData,2,FALSE)),0,VLOOKUP($A276,SprintData,2,FALSE))</f>
        <v>0</v>
      </c>
      <c r="N276" s="297">
        <f>IF(ISNA(VLOOKUP($A276,JumpData,2,FALSE)),0,VLOOKUP($A276,JumpData,2,FALSE))</f>
        <v>0</v>
      </c>
      <c r="O276" s="297">
        <f>IF(ISNA(VLOOKUP($A276,RunData,2,FALSE)),0,VLOOKUP($A276,RunData,2,FALSE))</f>
        <v>0</v>
      </c>
      <c r="P276" s="297">
        <f>IF(ISNA(VLOOKUP($A276,ThrowData,2,FALSE)),0,VLOOKUP($A276,ThrowData,2,FALSE))</f>
        <v>0</v>
      </c>
      <c r="Q276" s="298">
        <f>IF(ISNA(VLOOKUP($A276,SprintData,4,FALSE)),0,VLOOKUP($A276,SprintData,4,FALSE))+V276</f>
        <v>0</v>
      </c>
      <c r="R276" s="298">
        <f>IF(ISNA(VLOOKUP($A276,JumpData,4,FALSE)),0,VLOOKUP($A276,JumpData,4,FALSE))+W276</f>
        <v>0</v>
      </c>
      <c r="S276" s="298">
        <f>IF(ISNA(VLOOKUP($A276,RunData,4,FALSE)),0,VLOOKUP($A276,RunData,4,FALSE))+X276</f>
        <v>0</v>
      </c>
      <c r="T276" s="298">
        <f>IF(ISNA(VLOOKUP($A276,ThrowData,4,FALSE)),0,VLOOKUP($A276,ThrowData,4,FALSE))+Y276</f>
        <v>0</v>
      </c>
      <c r="U276" s="299">
        <f t="shared" si="2"/>
        <v>0</v>
      </c>
      <c r="V276">
        <f>IF(AND($F276&gt;0,NOT(M276),Flexing),FlexPC,0)</f>
        <v>0</v>
      </c>
      <c r="W276">
        <f>IF(AND($F276&gt;0,NOT(N276),Flexing),FlexPC,0)</f>
        <v>0</v>
      </c>
      <c r="X276">
        <f>IF(AND($F276&gt;0,NOT(O276),Flexing),FlexPC,0)</f>
        <v>0</v>
      </c>
      <c r="Y276">
        <f>IF(AND($F276&gt;0,NOT(P276),Flexing),FlexPC,0)</f>
        <v>0</v>
      </c>
      <c r="AA276" s="209">
        <f t="shared" si="3"/>
        <v>275</v>
      </c>
    </row>
    <row r="277" ht="15.75" customHeight="1">
      <c r="A277" s="206" t="str">
        <f>+Declarations!A277&amp;""</f>
        <v/>
      </c>
      <c r="B277" t="str">
        <f>IF(LEN($A277),IF(LEN(Declarations!$B277)&gt;0,Declarations!$B277,"#"&amp;$A277),"")</f>
        <v/>
      </c>
      <c r="C277" s="209" t="str">
        <f t="array" ref="C277">IF(LEN(INDEX(DECLARATIONS,$AA277,3))&gt;0,INDEX(DECLARATIONS,$AA277,3),"...")</f>
        <v>...</v>
      </c>
      <c r="D277" s="209" t="str">
        <f t="shared" si="1"/>
        <v/>
      </c>
      <c r="E277" s="296" t="str">
        <f t="array" ref="E277">IF(ISNA($AA277),0,INDEX(DECLARATIONS,$AA277,5))</f>
        <v/>
      </c>
      <c r="F277" s="209" t="str">
        <f t="array" ref="F277">IF(ISNA($AA277),0,INDEX(DECLARATIONS,$AA277,7))</f>
        <v/>
      </c>
      <c r="G277" s="209" t="str">
        <f t="array" ref="G277">UPPER(IF(ISNA($AA277),"",INDEX(DECLARATIONS,$AA277,4)))</f>
        <v/>
      </c>
      <c r="H277" t="str">
        <f>IF(AND(A277&gt;0,ISTEXT(B277)),IF(SECNAME="YES",LEFT(B277&amp;" ",FIND(" ",B277&amp;" ")+2)&amp;IF(F277&gt;0," ("&amp;F277&amp;")",""),B277&amp;IF(F277&gt;0," ("&amp;F277&amp;")","")),"#"&amp;$A277)</f>
        <v/>
      </c>
      <c r="I277" s="209">
        <f>IF(LEN($A277)&gt;0,IF(LEN($J277)&gt;0,MATCH(J277,MatchNames,0),EventIndex),0)</f>
        <v>0</v>
      </c>
      <c r="J277" s="209" t="str">
        <f>IF(LEN($A277)&gt;0,IF(LEN(Declarations!$F277)&gt;0,Declarations!$F277,conftype),"")</f>
        <v/>
      </c>
      <c r="M277" s="297">
        <f>IF(ISNA(VLOOKUP($A277,SprintData,2,FALSE)),0,VLOOKUP($A277,SprintData,2,FALSE))</f>
        <v>0</v>
      </c>
      <c r="N277" s="297">
        <f>IF(ISNA(VLOOKUP($A277,JumpData,2,FALSE)),0,VLOOKUP($A277,JumpData,2,FALSE))</f>
        <v>0</v>
      </c>
      <c r="O277" s="297">
        <f>IF(ISNA(VLOOKUP($A277,RunData,2,FALSE)),0,VLOOKUP($A277,RunData,2,FALSE))</f>
        <v>0</v>
      </c>
      <c r="P277" s="297">
        <f>IF(ISNA(VLOOKUP($A277,ThrowData,2,FALSE)),0,VLOOKUP($A277,ThrowData,2,FALSE))</f>
        <v>0</v>
      </c>
      <c r="Q277" s="298">
        <f>IF(ISNA(VLOOKUP($A277,SprintData,4,FALSE)),0,VLOOKUP($A277,SprintData,4,FALSE))+V277</f>
        <v>0</v>
      </c>
      <c r="R277" s="298">
        <f>IF(ISNA(VLOOKUP($A277,JumpData,4,FALSE)),0,VLOOKUP($A277,JumpData,4,FALSE))+W277</f>
        <v>0</v>
      </c>
      <c r="S277" s="298">
        <f>IF(ISNA(VLOOKUP($A277,RunData,4,FALSE)),0,VLOOKUP($A277,RunData,4,FALSE))+X277</f>
        <v>0</v>
      </c>
      <c r="T277" s="298">
        <f>IF(ISNA(VLOOKUP($A277,ThrowData,4,FALSE)),0,VLOOKUP($A277,ThrowData,4,FALSE))+Y277</f>
        <v>0</v>
      </c>
      <c r="U277" s="299">
        <f t="shared" si="2"/>
        <v>0</v>
      </c>
      <c r="V277">
        <f>IF(AND($F277&gt;0,NOT(M277),Flexing),FlexPC,0)</f>
        <v>0</v>
      </c>
      <c r="W277">
        <f>IF(AND($F277&gt;0,NOT(N277),Flexing),FlexPC,0)</f>
        <v>0</v>
      </c>
      <c r="X277">
        <f>IF(AND($F277&gt;0,NOT(O277),Flexing),FlexPC,0)</f>
        <v>0</v>
      </c>
      <c r="Y277">
        <f>IF(AND($F277&gt;0,NOT(P277),Flexing),FlexPC,0)</f>
        <v>0</v>
      </c>
      <c r="AA277" s="209">
        <f t="shared" si="3"/>
        <v>276</v>
      </c>
    </row>
    <row r="278" ht="15.75" customHeight="1">
      <c r="A278" s="206" t="str">
        <f>+Declarations!A278&amp;""</f>
        <v/>
      </c>
      <c r="B278" t="str">
        <f>IF(LEN($A278),IF(LEN(Declarations!$B278)&gt;0,Declarations!$B278,"#"&amp;$A278),"")</f>
        <v/>
      </c>
      <c r="C278" s="209" t="str">
        <f t="array" ref="C278">IF(LEN(INDEX(DECLARATIONS,$AA278,3))&gt;0,INDEX(DECLARATIONS,$AA278,3),"...")</f>
        <v>...</v>
      </c>
      <c r="D278" s="209" t="str">
        <f t="shared" si="1"/>
        <v/>
      </c>
      <c r="E278" s="296" t="str">
        <f t="array" ref="E278">IF(ISNA($AA278),0,INDEX(DECLARATIONS,$AA278,5))</f>
        <v/>
      </c>
      <c r="F278" s="209" t="str">
        <f t="array" ref="F278">IF(ISNA($AA278),0,INDEX(DECLARATIONS,$AA278,7))</f>
        <v/>
      </c>
      <c r="G278" s="209" t="str">
        <f t="array" ref="G278">UPPER(IF(ISNA($AA278),"",INDEX(DECLARATIONS,$AA278,4)))</f>
        <v/>
      </c>
      <c r="H278" t="str">
        <f>IF(AND(A278&gt;0,ISTEXT(B278)),IF(SECNAME="YES",LEFT(B278&amp;" ",FIND(" ",B278&amp;" ")+2)&amp;IF(F278&gt;0," ("&amp;F278&amp;")",""),B278&amp;IF(F278&gt;0," ("&amp;F278&amp;")","")),"#"&amp;$A278)</f>
        <v/>
      </c>
      <c r="I278" s="209">
        <f>IF(LEN($A278)&gt;0,IF(LEN($J278)&gt;0,MATCH(J278,MatchNames,0),EventIndex),0)</f>
        <v>0</v>
      </c>
      <c r="J278" s="209" t="str">
        <f>IF(LEN($A278)&gt;0,IF(LEN(Declarations!$F278)&gt;0,Declarations!$F278,conftype),"")</f>
        <v/>
      </c>
      <c r="M278" s="297">
        <f>IF(ISNA(VLOOKUP($A278,SprintData,2,FALSE)),0,VLOOKUP($A278,SprintData,2,FALSE))</f>
        <v>0</v>
      </c>
      <c r="N278" s="297">
        <f>IF(ISNA(VLOOKUP($A278,JumpData,2,FALSE)),0,VLOOKUP($A278,JumpData,2,FALSE))</f>
        <v>0</v>
      </c>
      <c r="O278" s="297">
        <f>IF(ISNA(VLOOKUP($A278,RunData,2,FALSE)),0,VLOOKUP($A278,RunData,2,FALSE))</f>
        <v>0</v>
      </c>
      <c r="P278" s="297">
        <f>IF(ISNA(VLOOKUP($A278,ThrowData,2,FALSE)),0,VLOOKUP($A278,ThrowData,2,FALSE))</f>
        <v>0</v>
      </c>
      <c r="Q278" s="298">
        <f>IF(ISNA(VLOOKUP($A278,SprintData,4,FALSE)),0,VLOOKUP($A278,SprintData,4,FALSE))+V278</f>
        <v>0</v>
      </c>
      <c r="R278" s="298">
        <f>IF(ISNA(VLOOKUP($A278,JumpData,4,FALSE)),0,VLOOKUP($A278,JumpData,4,FALSE))+W278</f>
        <v>0</v>
      </c>
      <c r="S278" s="298">
        <f>IF(ISNA(VLOOKUP($A278,RunData,4,FALSE)),0,VLOOKUP($A278,RunData,4,FALSE))+X278</f>
        <v>0</v>
      </c>
      <c r="T278" s="298">
        <f>IF(ISNA(VLOOKUP($A278,ThrowData,4,FALSE)),0,VLOOKUP($A278,ThrowData,4,FALSE))+Y278</f>
        <v>0</v>
      </c>
      <c r="U278" s="299">
        <f t="shared" si="2"/>
        <v>0</v>
      </c>
      <c r="V278">
        <f>IF(AND($F278&gt;0,NOT(M278),Flexing),FlexPC,0)</f>
        <v>0</v>
      </c>
      <c r="W278">
        <f>IF(AND($F278&gt;0,NOT(N278),Flexing),FlexPC,0)</f>
        <v>0</v>
      </c>
      <c r="X278">
        <f>IF(AND($F278&gt;0,NOT(O278),Flexing),FlexPC,0)</f>
        <v>0</v>
      </c>
      <c r="Y278">
        <f>IF(AND($F278&gt;0,NOT(P278),Flexing),FlexPC,0)</f>
        <v>0</v>
      </c>
      <c r="AA278" s="209">
        <f t="shared" si="3"/>
        <v>277</v>
      </c>
    </row>
    <row r="279" ht="15.75" customHeight="1">
      <c r="A279" s="206" t="str">
        <f>+Declarations!A279&amp;""</f>
        <v/>
      </c>
      <c r="B279" t="str">
        <f>IF(LEN($A279),IF(LEN(Declarations!$B279)&gt;0,Declarations!$B279,"#"&amp;$A279),"")</f>
        <v/>
      </c>
      <c r="C279" s="209" t="str">
        <f t="array" ref="C279">IF(LEN(INDEX(DECLARATIONS,$AA279,3))&gt;0,INDEX(DECLARATIONS,$AA279,3),"...")</f>
        <v>...</v>
      </c>
      <c r="D279" s="209" t="str">
        <f t="shared" si="1"/>
        <v/>
      </c>
      <c r="E279" s="296" t="str">
        <f t="array" ref="E279">IF(ISNA($AA279),0,INDEX(DECLARATIONS,$AA279,5))</f>
        <v/>
      </c>
      <c r="F279" s="209" t="str">
        <f t="array" ref="F279">IF(ISNA($AA279),0,INDEX(DECLARATIONS,$AA279,7))</f>
        <v/>
      </c>
      <c r="G279" s="209" t="str">
        <f t="array" ref="G279">UPPER(IF(ISNA($AA279),"",INDEX(DECLARATIONS,$AA279,4)))</f>
        <v/>
      </c>
      <c r="H279" t="str">
        <f>IF(AND(A279&gt;0,ISTEXT(B279)),IF(SECNAME="YES",LEFT(B279&amp;" ",FIND(" ",B279&amp;" ")+2)&amp;IF(F279&gt;0," ("&amp;F279&amp;")",""),B279&amp;IF(F279&gt;0," ("&amp;F279&amp;")","")),"#"&amp;$A279)</f>
        <v/>
      </c>
      <c r="I279" s="209">
        <f>IF(LEN($A279)&gt;0,IF(LEN($J279)&gt;0,MATCH(J279,MatchNames,0),EventIndex),0)</f>
        <v>0</v>
      </c>
      <c r="J279" s="209" t="str">
        <f>IF(LEN($A279)&gt;0,IF(LEN(Declarations!$F279)&gt;0,Declarations!$F279,conftype),"")</f>
        <v/>
      </c>
      <c r="M279" s="297">
        <f>IF(ISNA(VLOOKUP($A279,SprintData,2,FALSE)),0,VLOOKUP($A279,SprintData,2,FALSE))</f>
        <v>0</v>
      </c>
      <c r="N279" s="297">
        <f>IF(ISNA(VLOOKUP($A279,JumpData,2,FALSE)),0,VLOOKUP($A279,JumpData,2,FALSE))</f>
        <v>0</v>
      </c>
      <c r="O279" s="297">
        <f>IF(ISNA(VLOOKUP($A279,RunData,2,FALSE)),0,VLOOKUP($A279,RunData,2,FALSE))</f>
        <v>0</v>
      </c>
      <c r="P279" s="297">
        <f>IF(ISNA(VLOOKUP($A279,ThrowData,2,FALSE)),0,VLOOKUP($A279,ThrowData,2,FALSE))</f>
        <v>0</v>
      </c>
      <c r="Q279" s="298">
        <f>IF(ISNA(VLOOKUP($A279,SprintData,4,FALSE)),0,VLOOKUP($A279,SprintData,4,FALSE))+V279</f>
        <v>0</v>
      </c>
      <c r="R279" s="298">
        <f>IF(ISNA(VLOOKUP($A279,JumpData,4,FALSE)),0,VLOOKUP($A279,JumpData,4,FALSE))+W279</f>
        <v>0</v>
      </c>
      <c r="S279" s="298">
        <f>IF(ISNA(VLOOKUP($A279,RunData,4,FALSE)),0,VLOOKUP($A279,RunData,4,FALSE))+X279</f>
        <v>0</v>
      </c>
      <c r="T279" s="298">
        <f>IF(ISNA(VLOOKUP($A279,ThrowData,4,FALSE)),0,VLOOKUP($A279,ThrowData,4,FALSE))+Y279</f>
        <v>0</v>
      </c>
      <c r="U279" s="299">
        <f t="shared" si="2"/>
        <v>0</v>
      </c>
      <c r="V279">
        <f>IF(AND($F279&gt;0,NOT(M279),Flexing),FlexPC,0)</f>
        <v>0</v>
      </c>
      <c r="W279">
        <f>IF(AND($F279&gt;0,NOT(N279),Flexing),FlexPC,0)</f>
        <v>0</v>
      </c>
      <c r="X279">
        <f>IF(AND($F279&gt;0,NOT(O279),Flexing),FlexPC,0)</f>
        <v>0</v>
      </c>
      <c r="Y279">
        <f>IF(AND($F279&gt;0,NOT(P279),Flexing),FlexPC,0)</f>
        <v>0</v>
      </c>
      <c r="AA279" s="209">
        <f t="shared" si="3"/>
        <v>278</v>
      </c>
    </row>
    <row r="280" ht="15.75" customHeight="1">
      <c r="A280" s="206" t="str">
        <f>+Declarations!A280&amp;""</f>
        <v/>
      </c>
      <c r="B280" t="str">
        <f>IF(LEN($A280),IF(LEN(Declarations!$B280)&gt;0,Declarations!$B280,"#"&amp;$A280),"")</f>
        <v/>
      </c>
      <c r="C280" s="209" t="str">
        <f t="array" ref="C280">IF(LEN(INDEX(DECLARATIONS,$AA280,3))&gt;0,INDEX(DECLARATIONS,$AA280,3),"...")</f>
        <v>...</v>
      </c>
      <c r="D280" s="209" t="str">
        <f t="shared" si="1"/>
        <v/>
      </c>
      <c r="E280" s="296" t="str">
        <f t="array" ref="E280">IF(ISNA($AA280),0,INDEX(DECLARATIONS,$AA280,5))</f>
        <v/>
      </c>
      <c r="F280" s="209" t="str">
        <f t="array" ref="F280">IF(ISNA($AA280),0,INDEX(DECLARATIONS,$AA280,7))</f>
        <v/>
      </c>
      <c r="G280" s="209" t="str">
        <f t="array" ref="G280">UPPER(IF(ISNA($AA280),"",INDEX(DECLARATIONS,$AA280,4)))</f>
        <v/>
      </c>
      <c r="H280" t="str">
        <f>IF(AND(A280&gt;0,ISTEXT(B280)),IF(SECNAME="YES",LEFT(B280&amp;" ",FIND(" ",B280&amp;" ")+2)&amp;IF(F280&gt;0," ("&amp;F280&amp;")",""),B280&amp;IF(F280&gt;0," ("&amp;F280&amp;")","")),"#"&amp;$A280)</f>
        <v/>
      </c>
      <c r="I280" s="209">
        <f>IF(LEN($A280)&gt;0,IF(LEN($J280)&gt;0,MATCH(J280,MatchNames,0),EventIndex),0)</f>
        <v>0</v>
      </c>
      <c r="J280" s="209" t="str">
        <f>IF(LEN($A280)&gt;0,IF(LEN(Declarations!$F280)&gt;0,Declarations!$F280,conftype),"")</f>
        <v/>
      </c>
      <c r="M280" s="297">
        <f>IF(ISNA(VLOOKUP($A280,SprintData,2,FALSE)),0,VLOOKUP($A280,SprintData,2,FALSE))</f>
        <v>0</v>
      </c>
      <c r="N280" s="297">
        <f>IF(ISNA(VLOOKUP($A280,JumpData,2,FALSE)),0,VLOOKUP($A280,JumpData,2,FALSE))</f>
        <v>0</v>
      </c>
      <c r="O280" s="297">
        <f>IF(ISNA(VLOOKUP($A280,RunData,2,FALSE)),0,VLOOKUP($A280,RunData,2,FALSE))</f>
        <v>0</v>
      </c>
      <c r="P280" s="297">
        <f>IF(ISNA(VLOOKUP($A280,ThrowData,2,FALSE)),0,VLOOKUP($A280,ThrowData,2,FALSE))</f>
        <v>0</v>
      </c>
      <c r="Q280" s="298">
        <f>IF(ISNA(VLOOKUP($A280,SprintData,4,FALSE)),0,VLOOKUP($A280,SprintData,4,FALSE))+V280</f>
        <v>0</v>
      </c>
      <c r="R280" s="298">
        <f>IF(ISNA(VLOOKUP($A280,JumpData,4,FALSE)),0,VLOOKUP($A280,JumpData,4,FALSE))+W280</f>
        <v>0</v>
      </c>
      <c r="S280" s="298">
        <f>IF(ISNA(VLOOKUP($A280,RunData,4,FALSE)),0,VLOOKUP($A280,RunData,4,FALSE))+X280</f>
        <v>0</v>
      </c>
      <c r="T280" s="298">
        <f>IF(ISNA(VLOOKUP($A280,ThrowData,4,FALSE)),0,VLOOKUP($A280,ThrowData,4,FALSE))+Y280</f>
        <v>0</v>
      </c>
      <c r="U280" s="299">
        <f t="shared" si="2"/>
        <v>0</v>
      </c>
      <c r="V280">
        <f>IF(AND($F280&gt;0,NOT(M280),Flexing),FlexPC,0)</f>
        <v>0</v>
      </c>
      <c r="W280">
        <f>IF(AND($F280&gt;0,NOT(N280),Flexing),FlexPC,0)</f>
        <v>0</v>
      </c>
      <c r="X280">
        <f>IF(AND($F280&gt;0,NOT(O280),Flexing),FlexPC,0)</f>
        <v>0</v>
      </c>
      <c r="Y280">
        <f>IF(AND($F280&gt;0,NOT(P280),Flexing),FlexPC,0)</f>
        <v>0</v>
      </c>
      <c r="AA280" s="209">
        <f t="shared" si="3"/>
        <v>279</v>
      </c>
    </row>
    <row r="281" ht="15.75" customHeight="1">
      <c r="A281" s="206" t="str">
        <f>+Declarations!A281&amp;""</f>
        <v/>
      </c>
      <c r="B281" t="str">
        <f>IF(LEN($A281),IF(LEN(Declarations!$B281)&gt;0,Declarations!$B281,"#"&amp;$A281),"")</f>
        <v/>
      </c>
      <c r="C281" s="209" t="str">
        <f t="array" ref="C281">IF(LEN(INDEX(DECLARATIONS,$AA281,3))&gt;0,INDEX(DECLARATIONS,$AA281,3),"...")</f>
        <v>...</v>
      </c>
      <c r="D281" s="209" t="str">
        <f t="shared" si="1"/>
        <v/>
      </c>
      <c r="E281" s="296" t="str">
        <f t="array" ref="E281">IF(ISNA($AA281),0,INDEX(DECLARATIONS,$AA281,5))</f>
        <v/>
      </c>
      <c r="F281" s="209" t="str">
        <f t="array" ref="F281">IF(ISNA($AA281),0,INDEX(DECLARATIONS,$AA281,7))</f>
        <v/>
      </c>
      <c r="G281" s="209" t="str">
        <f t="array" ref="G281">UPPER(IF(ISNA($AA281),"",INDEX(DECLARATIONS,$AA281,4)))</f>
        <v/>
      </c>
      <c r="H281" t="str">
        <f>IF(AND(A281&gt;0,ISTEXT(B281)),IF(SECNAME="YES",LEFT(B281&amp;" ",FIND(" ",B281&amp;" ")+2)&amp;IF(F281&gt;0," ("&amp;F281&amp;")",""),B281&amp;IF(F281&gt;0," ("&amp;F281&amp;")","")),"#"&amp;$A281)</f>
        <v/>
      </c>
      <c r="I281" s="209">
        <f>IF(LEN($A281)&gt;0,IF(LEN($J281)&gt;0,MATCH(J281,MatchNames,0),EventIndex),0)</f>
        <v>0</v>
      </c>
      <c r="J281" s="209" t="str">
        <f>IF(LEN($A281)&gt;0,IF(LEN(Declarations!$F281)&gt;0,Declarations!$F281,conftype),"")</f>
        <v/>
      </c>
      <c r="M281" s="297">
        <f>IF(ISNA(VLOOKUP($A281,SprintData,2,FALSE)),0,VLOOKUP($A281,SprintData,2,FALSE))</f>
        <v>0</v>
      </c>
      <c r="N281" s="297">
        <f>IF(ISNA(VLOOKUP($A281,JumpData,2,FALSE)),0,VLOOKUP($A281,JumpData,2,FALSE))</f>
        <v>0</v>
      </c>
      <c r="O281" s="297">
        <f>IF(ISNA(VLOOKUP($A281,RunData,2,FALSE)),0,VLOOKUP($A281,RunData,2,FALSE))</f>
        <v>0</v>
      </c>
      <c r="P281" s="297">
        <f>IF(ISNA(VLOOKUP($A281,ThrowData,2,FALSE)),0,VLOOKUP($A281,ThrowData,2,FALSE))</f>
        <v>0</v>
      </c>
      <c r="Q281" s="298">
        <f>IF(ISNA(VLOOKUP($A281,SprintData,4,FALSE)),0,VLOOKUP($A281,SprintData,4,FALSE))+V281</f>
        <v>0</v>
      </c>
      <c r="R281" s="298">
        <f>IF(ISNA(VLOOKUP($A281,JumpData,4,FALSE)),0,VLOOKUP($A281,JumpData,4,FALSE))+W281</f>
        <v>0</v>
      </c>
      <c r="S281" s="298">
        <f>IF(ISNA(VLOOKUP($A281,RunData,4,FALSE)),0,VLOOKUP($A281,RunData,4,FALSE))+X281</f>
        <v>0</v>
      </c>
      <c r="T281" s="298">
        <f>IF(ISNA(VLOOKUP($A281,ThrowData,4,FALSE)),0,VLOOKUP($A281,ThrowData,4,FALSE))+Y281</f>
        <v>0</v>
      </c>
      <c r="U281" s="299">
        <f t="shared" si="2"/>
        <v>0</v>
      </c>
      <c r="V281">
        <f>IF(AND($F281&gt;0,NOT(M281),Flexing),FlexPC,0)</f>
        <v>0</v>
      </c>
      <c r="W281">
        <f>IF(AND($F281&gt;0,NOT(N281),Flexing),FlexPC,0)</f>
        <v>0</v>
      </c>
      <c r="X281">
        <f>IF(AND($F281&gt;0,NOT(O281),Flexing),FlexPC,0)</f>
        <v>0</v>
      </c>
      <c r="Y281">
        <f>IF(AND($F281&gt;0,NOT(P281),Flexing),FlexPC,0)</f>
        <v>0</v>
      </c>
      <c r="AA281" s="209">
        <f t="shared" si="3"/>
        <v>280</v>
      </c>
    </row>
    <row r="282" ht="15.75" customHeight="1">
      <c r="A282" s="206" t="str">
        <f>+Declarations!A282&amp;""</f>
        <v/>
      </c>
      <c r="B282" t="str">
        <f>IF(LEN($A282),IF(LEN(Declarations!$B282)&gt;0,Declarations!$B282,"#"&amp;$A282),"")</f>
        <v/>
      </c>
      <c r="C282" s="209" t="str">
        <f t="array" ref="C282">IF(LEN(INDEX(DECLARATIONS,$AA282,3))&gt;0,INDEX(DECLARATIONS,$AA282,3),"...")</f>
        <v>...</v>
      </c>
      <c r="D282" s="209" t="str">
        <f t="shared" si="1"/>
        <v/>
      </c>
      <c r="E282" s="296" t="str">
        <f t="array" ref="E282">IF(ISNA($AA282),0,INDEX(DECLARATIONS,$AA282,5))</f>
        <v/>
      </c>
      <c r="F282" s="209" t="str">
        <f t="array" ref="F282">IF(ISNA($AA282),0,INDEX(DECLARATIONS,$AA282,7))</f>
        <v/>
      </c>
      <c r="G282" s="209" t="str">
        <f t="array" ref="G282">UPPER(IF(ISNA($AA282),"",INDEX(DECLARATIONS,$AA282,4)))</f>
        <v/>
      </c>
      <c r="H282" t="str">
        <f>IF(AND(A282&gt;0,ISTEXT(B282)),IF(SECNAME="YES",LEFT(B282&amp;" ",FIND(" ",B282&amp;" ")+2)&amp;IF(F282&gt;0," ("&amp;F282&amp;")",""),B282&amp;IF(F282&gt;0," ("&amp;F282&amp;")","")),"#"&amp;$A282)</f>
        <v/>
      </c>
      <c r="I282" s="209">
        <f>IF(LEN($A282)&gt;0,IF(LEN($J282)&gt;0,MATCH(J282,MatchNames,0),EventIndex),0)</f>
        <v>0</v>
      </c>
      <c r="J282" s="209" t="str">
        <f>IF(LEN($A282)&gt;0,IF(LEN(Declarations!$F282)&gt;0,Declarations!$F282,conftype),"")</f>
        <v/>
      </c>
      <c r="M282" s="297">
        <f>IF(ISNA(VLOOKUP($A282,SprintData,2,FALSE)),0,VLOOKUP($A282,SprintData,2,FALSE))</f>
        <v>0</v>
      </c>
      <c r="N282" s="297">
        <f>IF(ISNA(VLOOKUP($A282,JumpData,2,FALSE)),0,VLOOKUP($A282,JumpData,2,FALSE))</f>
        <v>0</v>
      </c>
      <c r="O282" s="297">
        <f>IF(ISNA(VLOOKUP($A282,RunData,2,FALSE)),0,VLOOKUP($A282,RunData,2,FALSE))</f>
        <v>0</v>
      </c>
      <c r="P282" s="297">
        <f>IF(ISNA(VLOOKUP($A282,ThrowData,2,FALSE)),0,VLOOKUP($A282,ThrowData,2,FALSE))</f>
        <v>0</v>
      </c>
      <c r="Q282" s="298">
        <f>IF(ISNA(VLOOKUP($A282,SprintData,4,FALSE)),0,VLOOKUP($A282,SprintData,4,FALSE))+V282</f>
        <v>0</v>
      </c>
      <c r="R282" s="298">
        <f>IF(ISNA(VLOOKUP($A282,JumpData,4,FALSE)),0,VLOOKUP($A282,JumpData,4,FALSE))+W282</f>
        <v>0</v>
      </c>
      <c r="S282" s="298">
        <f>IF(ISNA(VLOOKUP($A282,RunData,4,FALSE)),0,VLOOKUP($A282,RunData,4,FALSE))+X282</f>
        <v>0</v>
      </c>
      <c r="T282" s="298">
        <f>IF(ISNA(VLOOKUP($A282,ThrowData,4,FALSE)),0,VLOOKUP($A282,ThrowData,4,FALSE))+Y282</f>
        <v>0</v>
      </c>
      <c r="U282" s="299">
        <f t="shared" si="2"/>
        <v>0</v>
      </c>
      <c r="V282">
        <f>IF(AND($F282&gt;0,NOT(M282),Flexing),FlexPC,0)</f>
        <v>0</v>
      </c>
      <c r="W282">
        <f>IF(AND($F282&gt;0,NOT(N282),Flexing),FlexPC,0)</f>
        <v>0</v>
      </c>
      <c r="X282">
        <f>IF(AND($F282&gt;0,NOT(O282),Flexing),FlexPC,0)</f>
        <v>0</v>
      </c>
      <c r="Y282">
        <f>IF(AND($F282&gt;0,NOT(P282),Flexing),FlexPC,0)</f>
        <v>0</v>
      </c>
      <c r="AA282" s="209">
        <f t="shared" si="3"/>
        <v>281</v>
      </c>
    </row>
    <row r="283" ht="15.75" customHeight="1">
      <c r="A283" s="206" t="str">
        <f>+Declarations!A283&amp;""</f>
        <v/>
      </c>
      <c r="B283" t="str">
        <f>IF(LEN($A283),IF(LEN(Declarations!$B283)&gt;0,Declarations!$B283,"#"&amp;$A283),"")</f>
        <v/>
      </c>
      <c r="C283" s="209" t="str">
        <f t="array" ref="C283">IF(LEN(INDEX(DECLARATIONS,$AA283,3))&gt;0,INDEX(DECLARATIONS,$AA283,3),"...")</f>
        <v>...</v>
      </c>
      <c r="D283" s="209" t="str">
        <f t="shared" si="1"/>
        <v/>
      </c>
      <c r="E283" s="296" t="str">
        <f t="array" ref="E283">IF(ISNA($AA283),0,INDEX(DECLARATIONS,$AA283,5))</f>
        <v/>
      </c>
      <c r="F283" s="209" t="str">
        <f t="array" ref="F283">IF(ISNA($AA283),0,INDEX(DECLARATIONS,$AA283,7))</f>
        <v/>
      </c>
      <c r="G283" s="209" t="str">
        <f t="array" ref="G283">UPPER(IF(ISNA($AA283),"",INDEX(DECLARATIONS,$AA283,4)))</f>
        <v/>
      </c>
      <c r="H283" t="str">
        <f>IF(AND(A283&gt;0,ISTEXT(B283)),IF(SECNAME="YES",LEFT(B283&amp;" ",FIND(" ",B283&amp;" ")+2)&amp;IF(F283&gt;0," ("&amp;F283&amp;")",""),B283&amp;IF(F283&gt;0," ("&amp;F283&amp;")","")),"#"&amp;$A283)</f>
        <v/>
      </c>
      <c r="I283" s="209">
        <f>IF(LEN($A283)&gt;0,IF(LEN($J283)&gt;0,MATCH(J283,MatchNames,0),EventIndex),0)</f>
        <v>0</v>
      </c>
      <c r="J283" s="209" t="str">
        <f>IF(LEN($A283)&gt;0,IF(LEN(Declarations!$F283)&gt;0,Declarations!$F283,conftype),"")</f>
        <v/>
      </c>
      <c r="M283" s="297">
        <f>IF(ISNA(VLOOKUP($A283,SprintData,2,FALSE)),0,VLOOKUP($A283,SprintData,2,FALSE))</f>
        <v>0</v>
      </c>
      <c r="N283" s="297">
        <f>IF(ISNA(VLOOKUP($A283,JumpData,2,FALSE)),0,VLOOKUP($A283,JumpData,2,FALSE))</f>
        <v>0</v>
      </c>
      <c r="O283" s="297">
        <f>IF(ISNA(VLOOKUP($A283,RunData,2,FALSE)),0,VLOOKUP($A283,RunData,2,FALSE))</f>
        <v>0</v>
      </c>
      <c r="P283" s="297">
        <f>IF(ISNA(VLOOKUP($A283,ThrowData,2,FALSE)),0,VLOOKUP($A283,ThrowData,2,FALSE))</f>
        <v>0</v>
      </c>
      <c r="Q283" s="298">
        <f>IF(ISNA(VLOOKUP($A283,SprintData,4,FALSE)),0,VLOOKUP($A283,SprintData,4,FALSE))+V283</f>
        <v>0</v>
      </c>
      <c r="R283" s="298">
        <f>IF(ISNA(VLOOKUP($A283,JumpData,4,FALSE)),0,VLOOKUP($A283,JumpData,4,FALSE))+W283</f>
        <v>0</v>
      </c>
      <c r="S283" s="298">
        <f>IF(ISNA(VLOOKUP($A283,RunData,4,FALSE)),0,VLOOKUP($A283,RunData,4,FALSE))+X283</f>
        <v>0</v>
      </c>
      <c r="T283" s="298">
        <f>IF(ISNA(VLOOKUP($A283,ThrowData,4,FALSE)),0,VLOOKUP($A283,ThrowData,4,FALSE))+Y283</f>
        <v>0</v>
      </c>
      <c r="U283" s="299">
        <f t="shared" si="2"/>
        <v>0</v>
      </c>
      <c r="V283">
        <f>IF(AND($F283&gt;0,NOT(M283),Flexing),FlexPC,0)</f>
        <v>0</v>
      </c>
      <c r="W283">
        <f>IF(AND($F283&gt;0,NOT(N283),Flexing),FlexPC,0)</f>
        <v>0</v>
      </c>
      <c r="X283">
        <f>IF(AND($F283&gt;0,NOT(O283),Flexing),FlexPC,0)</f>
        <v>0</v>
      </c>
      <c r="Y283">
        <f>IF(AND($F283&gt;0,NOT(P283),Flexing),FlexPC,0)</f>
        <v>0</v>
      </c>
      <c r="AA283" s="209">
        <f t="shared" si="3"/>
        <v>282</v>
      </c>
    </row>
    <row r="284" ht="15.75" customHeight="1">
      <c r="A284" s="206" t="str">
        <f>+Declarations!A284&amp;""</f>
        <v/>
      </c>
      <c r="B284" t="str">
        <f>IF(LEN($A284),IF(LEN(Declarations!$B284)&gt;0,Declarations!$B284,"#"&amp;$A284),"")</f>
        <v/>
      </c>
      <c r="C284" s="209" t="str">
        <f t="array" ref="C284">IF(LEN(INDEX(DECLARATIONS,$AA284,3))&gt;0,INDEX(DECLARATIONS,$AA284,3),"...")</f>
        <v>...</v>
      </c>
      <c r="D284" s="209" t="str">
        <f t="shared" si="1"/>
        <v/>
      </c>
      <c r="E284" s="296" t="str">
        <f t="array" ref="E284">IF(ISNA($AA284),0,INDEX(DECLARATIONS,$AA284,5))</f>
        <v/>
      </c>
      <c r="F284" s="209" t="str">
        <f t="array" ref="F284">IF(ISNA($AA284),0,INDEX(DECLARATIONS,$AA284,7))</f>
        <v/>
      </c>
      <c r="G284" s="209" t="str">
        <f t="array" ref="G284">UPPER(IF(ISNA($AA284),"",INDEX(DECLARATIONS,$AA284,4)))</f>
        <v/>
      </c>
      <c r="H284" t="str">
        <f>IF(AND(A284&gt;0,ISTEXT(B284)),IF(SECNAME="YES",LEFT(B284&amp;" ",FIND(" ",B284&amp;" ")+2)&amp;IF(F284&gt;0," ("&amp;F284&amp;")",""),B284&amp;IF(F284&gt;0," ("&amp;F284&amp;")","")),"#"&amp;$A284)</f>
        <v/>
      </c>
      <c r="I284" s="209">
        <f>IF(LEN($A284)&gt;0,IF(LEN($J284)&gt;0,MATCH(J284,MatchNames,0),EventIndex),0)</f>
        <v>0</v>
      </c>
      <c r="J284" s="209" t="str">
        <f>IF(LEN($A284)&gt;0,IF(LEN(Declarations!$F284)&gt;0,Declarations!$F284,conftype),"")</f>
        <v/>
      </c>
      <c r="M284" s="297">
        <f>IF(ISNA(VLOOKUP($A284,SprintData,2,FALSE)),0,VLOOKUP($A284,SprintData,2,FALSE))</f>
        <v>0</v>
      </c>
      <c r="N284" s="297">
        <f>IF(ISNA(VLOOKUP($A284,JumpData,2,FALSE)),0,VLOOKUP($A284,JumpData,2,FALSE))</f>
        <v>0</v>
      </c>
      <c r="O284" s="297">
        <f>IF(ISNA(VLOOKUP($A284,RunData,2,FALSE)),0,VLOOKUP($A284,RunData,2,FALSE))</f>
        <v>0</v>
      </c>
      <c r="P284" s="297">
        <f>IF(ISNA(VLOOKUP($A284,ThrowData,2,FALSE)),0,VLOOKUP($A284,ThrowData,2,FALSE))</f>
        <v>0</v>
      </c>
      <c r="Q284" s="298">
        <f>IF(ISNA(VLOOKUP($A284,SprintData,4,FALSE)),0,VLOOKUP($A284,SprintData,4,FALSE))+V284</f>
        <v>0</v>
      </c>
      <c r="R284" s="298">
        <f>IF(ISNA(VLOOKUP($A284,JumpData,4,FALSE)),0,VLOOKUP($A284,JumpData,4,FALSE))+W284</f>
        <v>0</v>
      </c>
      <c r="S284" s="298">
        <f>IF(ISNA(VLOOKUP($A284,RunData,4,FALSE)),0,VLOOKUP($A284,RunData,4,FALSE))+X284</f>
        <v>0</v>
      </c>
      <c r="T284" s="298">
        <f>IF(ISNA(VLOOKUP($A284,ThrowData,4,FALSE)),0,VLOOKUP($A284,ThrowData,4,FALSE))+Y284</f>
        <v>0</v>
      </c>
      <c r="U284" s="299">
        <f t="shared" si="2"/>
        <v>0</v>
      </c>
      <c r="V284">
        <f>IF(AND($F284&gt;0,NOT(M284),Flexing),FlexPC,0)</f>
        <v>0</v>
      </c>
      <c r="W284">
        <f>IF(AND($F284&gt;0,NOT(N284),Flexing),FlexPC,0)</f>
        <v>0</v>
      </c>
      <c r="X284">
        <f>IF(AND($F284&gt;0,NOT(O284),Flexing),FlexPC,0)</f>
        <v>0</v>
      </c>
      <c r="Y284">
        <f>IF(AND($F284&gt;0,NOT(P284),Flexing),FlexPC,0)</f>
        <v>0</v>
      </c>
      <c r="AA284" s="209">
        <f t="shared" si="3"/>
        <v>283</v>
      </c>
    </row>
    <row r="285" ht="15.75" customHeight="1">
      <c r="A285" s="206" t="str">
        <f>+Declarations!A285&amp;""</f>
        <v/>
      </c>
      <c r="B285" t="str">
        <f>IF(LEN($A285),IF(LEN(Declarations!$B285)&gt;0,Declarations!$B285,"#"&amp;$A285),"")</f>
        <v/>
      </c>
      <c r="C285" s="209" t="str">
        <f t="array" ref="C285">IF(LEN(INDEX(DECLARATIONS,$AA285,3))&gt;0,INDEX(DECLARATIONS,$AA285,3),"...")</f>
        <v>...</v>
      </c>
      <c r="D285" s="209" t="str">
        <f t="shared" si="1"/>
        <v/>
      </c>
      <c r="E285" s="296" t="str">
        <f t="array" ref="E285">IF(ISNA($AA285),0,INDEX(DECLARATIONS,$AA285,5))</f>
        <v/>
      </c>
      <c r="F285" s="209" t="str">
        <f t="array" ref="F285">IF(ISNA($AA285),0,INDEX(DECLARATIONS,$AA285,7))</f>
        <v/>
      </c>
      <c r="G285" s="209" t="str">
        <f t="array" ref="G285">UPPER(IF(ISNA($AA285),"",INDEX(DECLARATIONS,$AA285,4)))</f>
        <v/>
      </c>
      <c r="H285" t="str">
        <f>IF(AND(A285&gt;0,ISTEXT(B285)),IF(SECNAME="YES",LEFT(B285&amp;" ",FIND(" ",B285&amp;" ")+2)&amp;IF(F285&gt;0," ("&amp;F285&amp;")",""),B285&amp;IF(F285&gt;0," ("&amp;F285&amp;")","")),"#"&amp;$A285)</f>
        <v/>
      </c>
      <c r="I285" s="209">
        <f>IF(LEN($A285)&gt;0,IF(LEN($J285)&gt;0,MATCH(J285,MatchNames,0),EventIndex),0)</f>
        <v>0</v>
      </c>
      <c r="J285" s="209" t="str">
        <f>IF(LEN($A285)&gt;0,IF(LEN(Declarations!$F285)&gt;0,Declarations!$F285,conftype),"")</f>
        <v/>
      </c>
      <c r="M285" s="297">
        <f>IF(ISNA(VLOOKUP($A285,SprintData,2,FALSE)),0,VLOOKUP($A285,SprintData,2,FALSE))</f>
        <v>0</v>
      </c>
      <c r="N285" s="297">
        <f>IF(ISNA(VLOOKUP($A285,JumpData,2,FALSE)),0,VLOOKUP($A285,JumpData,2,FALSE))</f>
        <v>0</v>
      </c>
      <c r="O285" s="297">
        <f>IF(ISNA(VLOOKUP($A285,RunData,2,FALSE)),0,VLOOKUP($A285,RunData,2,FALSE))</f>
        <v>0</v>
      </c>
      <c r="P285" s="297">
        <f>IF(ISNA(VLOOKUP($A285,ThrowData,2,FALSE)),0,VLOOKUP($A285,ThrowData,2,FALSE))</f>
        <v>0</v>
      </c>
      <c r="Q285" s="298">
        <f>IF(ISNA(VLOOKUP($A285,SprintData,4,FALSE)),0,VLOOKUP($A285,SprintData,4,FALSE))+V285</f>
        <v>0</v>
      </c>
      <c r="R285" s="298">
        <f>IF(ISNA(VLOOKUP($A285,JumpData,4,FALSE)),0,VLOOKUP($A285,JumpData,4,FALSE))+W285</f>
        <v>0</v>
      </c>
      <c r="S285" s="298">
        <f>IF(ISNA(VLOOKUP($A285,RunData,4,FALSE)),0,VLOOKUP($A285,RunData,4,FALSE))+X285</f>
        <v>0</v>
      </c>
      <c r="T285" s="298">
        <f>IF(ISNA(VLOOKUP($A285,ThrowData,4,FALSE)),0,VLOOKUP($A285,ThrowData,4,FALSE))+Y285</f>
        <v>0</v>
      </c>
      <c r="U285" s="299">
        <f t="shared" si="2"/>
        <v>0</v>
      </c>
      <c r="V285">
        <f>IF(AND($F285&gt;0,NOT(M285),Flexing),FlexPC,0)</f>
        <v>0</v>
      </c>
      <c r="W285">
        <f>IF(AND($F285&gt;0,NOT(N285),Flexing),FlexPC,0)</f>
        <v>0</v>
      </c>
      <c r="X285">
        <f>IF(AND($F285&gt;0,NOT(O285),Flexing),FlexPC,0)</f>
        <v>0</v>
      </c>
      <c r="Y285">
        <f>IF(AND($F285&gt;0,NOT(P285),Flexing),FlexPC,0)</f>
        <v>0</v>
      </c>
      <c r="AA285" s="209">
        <f t="shared" si="3"/>
        <v>284</v>
      </c>
    </row>
    <row r="286" ht="15.75" customHeight="1">
      <c r="A286" s="206" t="str">
        <f>+Declarations!A286&amp;""</f>
        <v/>
      </c>
      <c r="B286" t="str">
        <f>IF(LEN($A286),IF(LEN(Declarations!$B286)&gt;0,Declarations!$B286,"#"&amp;$A286),"")</f>
        <v/>
      </c>
      <c r="C286" s="209" t="str">
        <f t="array" ref="C286">IF(LEN(INDEX(DECLARATIONS,$AA286,3))&gt;0,INDEX(DECLARATIONS,$AA286,3),"...")</f>
        <v>...</v>
      </c>
      <c r="D286" s="209" t="str">
        <f t="shared" si="1"/>
        <v/>
      </c>
      <c r="E286" s="296" t="str">
        <f t="array" ref="E286">IF(ISNA($AA286),0,INDEX(DECLARATIONS,$AA286,5))</f>
        <v/>
      </c>
      <c r="F286" s="209" t="str">
        <f t="array" ref="F286">IF(ISNA($AA286),0,INDEX(DECLARATIONS,$AA286,7))</f>
        <v/>
      </c>
      <c r="G286" s="209" t="str">
        <f t="array" ref="G286">UPPER(IF(ISNA($AA286),"",INDEX(DECLARATIONS,$AA286,4)))</f>
        <v/>
      </c>
      <c r="H286" t="str">
        <f>IF(AND(A286&gt;0,ISTEXT(B286)),IF(SECNAME="YES",LEFT(B286&amp;" ",FIND(" ",B286&amp;" ")+2)&amp;IF(F286&gt;0," ("&amp;F286&amp;")",""),B286&amp;IF(F286&gt;0," ("&amp;F286&amp;")","")),"#"&amp;$A286)</f>
        <v/>
      </c>
      <c r="I286" s="209">
        <f>IF(LEN($A286)&gt;0,IF(LEN($J286)&gt;0,MATCH(J286,MatchNames,0),EventIndex),0)</f>
        <v>0</v>
      </c>
      <c r="J286" s="209" t="str">
        <f>IF(LEN($A286)&gt;0,IF(LEN(Declarations!$F286)&gt;0,Declarations!$F286,conftype),"")</f>
        <v/>
      </c>
      <c r="M286" s="297">
        <f>IF(ISNA(VLOOKUP($A286,SprintData,2,FALSE)),0,VLOOKUP($A286,SprintData,2,FALSE))</f>
        <v>0</v>
      </c>
      <c r="N286" s="297">
        <f>IF(ISNA(VLOOKUP($A286,JumpData,2,FALSE)),0,VLOOKUP($A286,JumpData,2,FALSE))</f>
        <v>0</v>
      </c>
      <c r="O286" s="297">
        <f>IF(ISNA(VLOOKUP($A286,RunData,2,FALSE)),0,VLOOKUP($A286,RunData,2,FALSE))</f>
        <v>0</v>
      </c>
      <c r="P286" s="297">
        <f>IF(ISNA(VLOOKUP($A286,ThrowData,2,FALSE)),0,VLOOKUP($A286,ThrowData,2,FALSE))</f>
        <v>0</v>
      </c>
      <c r="Q286" s="298">
        <f>IF(ISNA(VLOOKUP($A286,SprintData,4,FALSE)),0,VLOOKUP($A286,SprintData,4,FALSE))+V286</f>
        <v>0</v>
      </c>
      <c r="R286" s="298">
        <f>IF(ISNA(VLOOKUP($A286,JumpData,4,FALSE)),0,VLOOKUP($A286,JumpData,4,FALSE))+W286</f>
        <v>0</v>
      </c>
      <c r="S286" s="298">
        <f>IF(ISNA(VLOOKUP($A286,RunData,4,FALSE)),0,VLOOKUP($A286,RunData,4,FALSE))+X286</f>
        <v>0</v>
      </c>
      <c r="T286" s="298">
        <f>IF(ISNA(VLOOKUP($A286,ThrowData,4,FALSE)),0,VLOOKUP($A286,ThrowData,4,FALSE))+Y286</f>
        <v>0</v>
      </c>
      <c r="U286" s="299">
        <f t="shared" si="2"/>
        <v>0</v>
      </c>
      <c r="V286">
        <f>IF(AND($F286&gt;0,NOT(M286),Flexing),FlexPC,0)</f>
        <v>0</v>
      </c>
      <c r="W286">
        <f>IF(AND($F286&gt;0,NOT(N286),Flexing),FlexPC,0)</f>
        <v>0</v>
      </c>
      <c r="X286">
        <f>IF(AND($F286&gt;0,NOT(O286),Flexing),FlexPC,0)</f>
        <v>0</v>
      </c>
      <c r="Y286">
        <f>IF(AND($F286&gt;0,NOT(P286),Flexing),FlexPC,0)</f>
        <v>0</v>
      </c>
      <c r="AA286" s="209">
        <f t="shared" si="3"/>
        <v>285</v>
      </c>
    </row>
    <row r="287" ht="15.75" customHeight="1">
      <c r="A287" s="206" t="str">
        <f>+Declarations!A287&amp;""</f>
        <v/>
      </c>
      <c r="B287" t="str">
        <f>IF(LEN($A287),IF(LEN(Declarations!$B287)&gt;0,Declarations!$B287,"#"&amp;$A287),"")</f>
        <v/>
      </c>
      <c r="C287" s="209" t="str">
        <f t="array" ref="C287">IF(LEN(INDEX(DECLARATIONS,$AA287,3))&gt;0,INDEX(DECLARATIONS,$AA287,3),"...")</f>
        <v>...</v>
      </c>
      <c r="D287" s="209" t="str">
        <f t="shared" si="1"/>
        <v/>
      </c>
      <c r="E287" s="296" t="str">
        <f t="array" ref="E287">IF(ISNA($AA287),0,INDEX(DECLARATIONS,$AA287,5))</f>
        <v/>
      </c>
      <c r="F287" s="209" t="str">
        <f t="array" ref="F287">IF(ISNA($AA287),0,INDEX(DECLARATIONS,$AA287,7))</f>
        <v/>
      </c>
      <c r="G287" s="209" t="str">
        <f t="array" ref="G287">UPPER(IF(ISNA($AA287),"",INDEX(DECLARATIONS,$AA287,4)))</f>
        <v/>
      </c>
      <c r="H287" t="str">
        <f>IF(AND(A287&gt;0,ISTEXT(B287)),IF(SECNAME="YES",LEFT(B287&amp;" ",FIND(" ",B287&amp;" ")+2)&amp;IF(F287&gt;0," ("&amp;F287&amp;")",""),B287&amp;IF(F287&gt;0," ("&amp;F287&amp;")","")),"#"&amp;$A287)</f>
        <v/>
      </c>
      <c r="I287" s="209">
        <f>IF(LEN($A287)&gt;0,IF(LEN($J287)&gt;0,MATCH(J287,MatchNames,0),EventIndex),0)</f>
        <v>0</v>
      </c>
      <c r="J287" s="209" t="str">
        <f>IF(LEN($A287)&gt;0,IF(LEN(Declarations!$F287)&gt;0,Declarations!$F287,conftype),"")</f>
        <v/>
      </c>
      <c r="M287" s="297">
        <f>IF(ISNA(VLOOKUP($A287,SprintData,2,FALSE)),0,VLOOKUP($A287,SprintData,2,FALSE))</f>
        <v>0</v>
      </c>
      <c r="N287" s="297">
        <f>IF(ISNA(VLOOKUP($A287,JumpData,2,FALSE)),0,VLOOKUP($A287,JumpData,2,FALSE))</f>
        <v>0</v>
      </c>
      <c r="O287" s="297">
        <f>IF(ISNA(VLOOKUP($A287,RunData,2,FALSE)),0,VLOOKUP($A287,RunData,2,FALSE))</f>
        <v>0</v>
      </c>
      <c r="P287" s="297">
        <f>IF(ISNA(VLOOKUP($A287,ThrowData,2,FALSE)),0,VLOOKUP($A287,ThrowData,2,FALSE))</f>
        <v>0</v>
      </c>
      <c r="Q287" s="298">
        <f>IF(ISNA(VLOOKUP($A287,SprintData,4,FALSE)),0,VLOOKUP($A287,SprintData,4,FALSE))+V287</f>
        <v>0</v>
      </c>
      <c r="R287" s="298">
        <f>IF(ISNA(VLOOKUP($A287,JumpData,4,FALSE)),0,VLOOKUP($A287,JumpData,4,FALSE))+W287</f>
        <v>0</v>
      </c>
      <c r="S287" s="298">
        <f>IF(ISNA(VLOOKUP($A287,RunData,4,FALSE)),0,VLOOKUP($A287,RunData,4,FALSE))+X287</f>
        <v>0</v>
      </c>
      <c r="T287" s="298">
        <f>IF(ISNA(VLOOKUP($A287,ThrowData,4,FALSE)),0,VLOOKUP($A287,ThrowData,4,FALSE))+Y287</f>
        <v>0</v>
      </c>
      <c r="U287" s="299">
        <f t="shared" si="2"/>
        <v>0</v>
      </c>
      <c r="V287">
        <f>IF(AND($F287&gt;0,NOT(M287),Flexing),FlexPC,0)</f>
        <v>0</v>
      </c>
      <c r="W287">
        <f>IF(AND($F287&gt;0,NOT(N287),Flexing),FlexPC,0)</f>
        <v>0</v>
      </c>
      <c r="X287">
        <f>IF(AND($F287&gt;0,NOT(O287),Flexing),FlexPC,0)</f>
        <v>0</v>
      </c>
      <c r="Y287">
        <f>IF(AND($F287&gt;0,NOT(P287),Flexing),FlexPC,0)</f>
        <v>0</v>
      </c>
      <c r="AA287" s="209">
        <f t="shared" si="3"/>
        <v>286</v>
      </c>
    </row>
    <row r="288" ht="15.75" customHeight="1">
      <c r="A288" s="206" t="str">
        <f>+Declarations!A288&amp;""</f>
        <v/>
      </c>
      <c r="B288" t="str">
        <f>IF(LEN($A288),IF(LEN(Declarations!$B288)&gt;0,Declarations!$B288,"#"&amp;$A288),"")</f>
        <v/>
      </c>
      <c r="C288" s="209" t="str">
        <f t="array" ref="C288">IF(LEN(INDEX(DECLARATIONS,$AA288,3))&gt;0,INDEX(DECLARATIONS,$AA288,3),"...")</f>
        <v>...</v>
      </c>
      <c r="D288" s="209" t="str">
        <f t="shared" si="1"/>
        <v/>
      </c>
      <c r="E288" s="296" t="str">
        <f t="array" ref="E288">IF(ISNA($AA288),0,INDEX(DECLARATIONS,$AA288,5))</f>
        <v/>
      </c>
      <c r="F288" s="209" t="str">
        <f t="array" ref="F288">IF(ISNA($AA288),0,INDEX(DECLARATIONS,$AA288,7))</f>
        <v/>
      </c>
      <c r="G288" s="209" t="str">
        <f t="array" ref="G288">UPPER(IF(ISNA($AA288),"",INDEX(DECLARATIONS,$AA288,4)))</f>
        <v/>
      </c>
      <c r="H288" t="str">
        <f>IF(AND(A288&gt;0,ISTEXT(B288)),IF(SECNAME="YES",LEFT(B288&amp;" ",FIND(" ",B288&amp;" ")+2)&amp;IF(F288&gt;0," ("&amp;F288&amp;")",""),B288&amp;IF(F288&gt;0," ("&amp;F288&amp;")","")),"#"&amp;$A288)</f>
        <v/>
      </c>
      <c r="I288" s="209">
        <f>IF(LEN($A288)&gt;0,IF(LEN($J288)&gt;0,MATCH(J288,MatchNames,0),EventIndex),0)</f>
        <v>0</v>
      </c>
      <c r="J288" s="209" t="str">
        <f>IF(LEN($A288)&gt;0,IF(LEN(Declarations!$F288)&gt;0,Declarations!$F288,conftype),"")</f>
        <v/>
      </c>
      <c r="M288" s="297">
        <f>IF(ISNA(VLOOKUP($A288,SprintData,2,FALSE)),0,VLOOKUP($A288,SprintData,2,FALSE))</f>
        <v>0</v>
      </c>
      <c r="N288" s="297">
        <f>IF(ISNA(VLOOKUP($A288,JumpData,2,FALSE)),0,VLOOKUP($A288,JumpData,2,FALSE))</f>
        <v>0</v>
      </c>
      <c r="O288" s="297">
        <f>IF(ISNA(VLOOKUP($A288,RunData,2,FALSE)),0,VLOOKUP($A288,RunData,2,FALSE))</f>
        <v>0</v>
      </c>
      <c r="P288" s="297">
        <f>IF(ISNA(VLOOKUP($A288,ThrowData,2,FALSE)),0,VLOOKUP($A288,ThrowData,2,FALSE))</f>
        <v>0</v>
      </c>
      <c r="Q288" s="298">
        <f>IF(ISNA(VLOOKUP($A288,SprintData,4,FALSE)),0,VLOOKUP($A288,SprintData,4,FALSE))+V288</f>
        <v>0</v>
      </c>
      <c r="R288" s="298">
        <f>IF(ISNA(VLOOKUP($A288,JumpData,4,FALSE)),0,VLOOKUP($A288,JumpData,4,FALSE))+W288</f>
        <v>0</v>
      </c>
      <c r="S288" s="298">
        <f>IF(ISNA(VLOOKUP($A288,RunData,4,FALSE)),0,VLOOKUP($A288,RunData,4,FALSE))+X288</f>
        <v>0</v>
      </c>
      <c r="T288" s="298">
        <f>IF(ISNA(VLOOKUP($A288,ThrowData,4,FALSE)),0,VLOOKUP($A288,ThrowData,4,FALSE))+Y288</f>
        <v>0</v>
      </c>
      <c r="U288" s="299">
        <f t="shared" si="2"/>
        <v>0</v>
      </c>
      <c r="V288">
        <f>IF(AND($F288&gt;0,NOT(M288),Flexing),FlexPC,0)</f>
        <v>0</v>
      </c>
      <c r="W288">
        <f>IF(AND($F288&gt;0,NOT(N288),Flexing),FlexPC,0)</f>
        <v>0</v>
      </c>
      <c r="X288">
        <f>IF(AND($F288&gt;0,NOT(O288),Flexing),FlexPC,0)</f>
        <v>0</v>
      </c>
      <c r="Y288">
        <f>IF(AND($F288&gt;0,NOT(P288),Flexing),FlexPC,0)</f>
        <v>0</v>
      </c>
      <c r="AA288" s="209">
        <f t="shared" si="3"/>
        <v>287</v>
      </c>
    </row>
    <row r="289" ht="15.75" customHeight="1">
      <c r="A289" s="206" t="str">
        <f>+Declarations!A289&amp;""</f>
        <v/>
      </c>
      <c r="B289" t="str">
        <f>IF(LEN($A289),IF(LEN(Declarations!$B289)&gt;0,Declarations!$B289,"#"&amp;$A289),"")</f>
        <v/>
      </c>
      <c r="C289" s="209" t="str">
        <f t="array" ref="C289">IF(LEN(INDEX(DECLARATIONS,$AA289,3))&gt;0,INDEX(DECLARATIONS,$AA289,3),"...")</f>
        <v>...</v>
      </c>
      <c r="D289" s="209" t="str">
        <f t="shared" si="1"/>
        <v/>
      </c>
      <c r="E289" s="296" t="str">
        <f t="array" ref="E289">IF(ISNA($AA289),0,INDEX(DECLARATIONS,$AA289,5))</f>
        <v/>
      </c>
      <c r="F289" s="209" t="str">
        <f t="array" ref="F289">IF(ISNA($AA289),0,INDEX(DECLARATIONS,$AA289,7))</f>
        <v/>
      </c>
      <c r="G289" s="209" t="str">
        <f t="array" ref="G289">UPPER(IF(ISNA($AA289),"",INDEX(DECLARATIONS,$AA289,4)))</f>
        <v/>
      </c>
      <c r="H289" t="str">
        <f>IF(AND(A289&gt;0,ISTEXT(B289)),IF(SECNAME="YES",LEFT(B289&amp;" ",FIND(" ",B289&amp;" ")+2)&amp;IF(F289&gt;0," ("&amp;F289&amp;")",""),B289&amp;IF(F289&gt;0," ("&amp;F289&amp;")","")),"#"&amp;$A289)</f>
        <v/>
      </c>
      <c r="I289" s="209">
        <f>IF(LEN($A289)&gt;0,IF(LEN($J289)&gt;0,MATCH(J289,MatchNames,0),EventIndex),0)</f>
        <v>0</v>
      </c>
      <c r="J289" s="209" t="str">
        <f>IF(LEN($A289)&gt;0,IF(LEN(Declarations!$F289)&gt;0,Declarations!$F289,conftype),"")</f>
        <v/>
      </c>
      <c r="M289" s="297">
        <f>IF(ISNA(VLOOKUP($A289,SprintData,2,FALSE)),0,VLOOKUP($A289,SprintData,2,FALSE))</f>
        <v>0</v>
      </c>
      <c r="N289" s="297">
        <f>IF(ISNA(VLOOKUP($A289,JumpData,2,FALSE)),0,VLOOKUP($A289,JumpData,2,FALSE))</f>
        <v>0</v>
      </c>
      <c r="O289" s="297">
        <f>IF(ISNA(VLOOKUP($A289,RunData,2,FALSE)),0,VLOOKUP($A289,RunData,2,FALSE))</f>
        <v>0</v>
      </c>
      <c r="P289" s="297">
        <f>IF(ISNA(VLOOKUP($A289,ThrowData,2,FALSE)),0,VLOOKUP($A289,ThrowData,2,FALSE))</f>
        <v>0</v>
      </c>
      <c r="Q289" s="298">
        <f>IF(ISNA(VLOOKUP($A289,SprintData,4,FALSE)),0,VLOOKUP($A289,SprintData,4,FALSE))+V289</f>
        <v>0</v>
      </c>
      <c r="R289" s="298">
        <f>IF(ISNA(VLOOKUP($A289,JumpData,4,FALSE)),0,VLOOKUP($A289,JumpData,4,FALSE))+W289</f>
        <v>0</v>
      </c>
      <c r="S289" s="298">
        <f>IF(ISNA(VLOOKUP($A289,RunData,4,FALSE)),0,VLOOKUP($A289,RunData,4,FALSE))+X289</f>
        <v>0</v>
      </c>
      <c r="T289" s="298">
        <f>IF(ISNA(VLOOKUP($A289,ThrowData,4,FALSE)),0,VLOOKUP($A289,ThrowData,4,FALSE))+Y289</f>
        <v>0</v>
      </c>
      <c r="U289" s="299">
        <f t="shared" si="2"/>
        <v>0</v>
      </c>
      <c r="V289">
        <f>IF(AND($F289&gt;0,NOT(M289),Flexing),FlexPC,0)</f>
        <v>0</v>
      </c>
      <c r="W289">
        <f>IF(AND($F289&gt;0,NOT(N289),Flexing),FlexPC,0)</f>
        <v>0</v>
      </c>
      <c r="X289">
        <f>IF(AND($F289&gt;0,NOT(O289),Flexing),FlexPC,0)</f>
        <v>0</v>
      </c>
      <c r="Y289">
        <f>IF(AND($F289&gt;0,NOT(P289),Flexing),FlexPC,0)</f>
        <v>0</v>
      </c>
      <c r="AA289" s="209">
        <f t="shared" si="3"/>
        <v>288</v>
      </c>
    </row>
    <row r="290" ht="15.75" customHeight="1">
      <c r="A290" s="206" t="str">
        <f>+Declarations!A290&amp;""</f>
        <v/>
      </c>
      <c r="B290" t="str">
        <f>IF(LEN($A290),IF(LEN(Declarations!$B290)&gt;0,Declarations!$B290,"#"&amp;$A290),"")</f>
        <v/>
      </c>
      <c r="C290" s="209" t="str">
        <f t="array" ref="C290">IF(LEN(INDEX(DECLARATIONS,$AA290,3))&gt;0,INDEX(DECLARATIONS,$AA290,3),"...")</f>
        <v>...</v>
      </c>
      <c r="D290" s="209" t="str">
        <f t="shared" si="1"/>
        <v/>
      </c>
      <c r="E290" s="296" t="str">
        <f t="array" ref="E290">IF(ISNA($AA290),0,INDEX(DECLARATIONS,$AA290,5))</f>
        <v/>
      </c>
      <c r="F290" s="209" t="str">
        <f t="array" ref="F290">IF(ISNA($AA290),0,INDEX(DECLARATIONS,$AA290,7))</f>
        <v/>
      </c>
      <c r="G290" s="209" t="str">
        <f t="array" ref="G290">UPPER(IF(ISNA($AA290),"",INDEX(DECLARATIONS,$AA290,4)))</f>
        <v/>
      </c>
      <c r="H290" t="str">
        <f>IF(AND(A290&gt;0,ISTEXT(B290)),IF(SECNAME="YES",LEFT(B290&amp;" ",FIND(" ",B290&amp;" ")+2)&amp;IF(F290&gt;0," ("&amp;F290&amp;")",""),B290&amp;IF(F290&gt;0," ("&amp;F290&amp;")","")),"#"&amp;$A290)</f>
        <v/>
      </c>
      <c r="I290" s="209">
        <f>IF(LEN($A290)&gt;0,IF(LEN($J290)&gt;0,MATCH(J290,MatchNames,0),EventIndex),0)</f>
        <v>0</v>
      </c>
      <c r="J290" s="209" t="str">
        <f>IF(LEN($A290)&gt;0,IF(LEN(Declarations!$F290)&gt;0,Declarations!$F290,conftype),"")</f>
        <v/>
      </c>
      <c r="M290" s="297">
        <f>IF(ISNA(VLOOKUP($A290,SprintData,2,FALSE)),0,VLOOKUP($A290,SprintData,2,FALSE))</f>
        <v>0</v>
      </c>
      <c r="N290" s="297">
        <f>IF(ISNA(VLOOKUP($A290,JumpData,2,FALSE)),0,VLOOKUP($A290,JumpData,2,FALSE))</f>
        <v>0</v>
      </c>
      <c r="O290" s="297">
        <f>IF(ISNA(VLOOKUP($A290,RunData,2,FALSE)),0,VLOOKUP($A290,RunData,2,FALSE))</f>
        <v>0</v>
      </c>
      <c r="P290" s="297">
        <f>IF(ISNA(VLOOKUP($A290,ThrowData,2,FALSE)),0,VLOOKUP($A290,ThrowData,2,FALSE))</f>
        <v>0</v>
      </c>
      <c r="Q290" s="298">
        <f>IF(ISNA(VLOOKUP($A290,SprintData,4,FALSE)),0,VLOOKUP($A290,SprintData,4,FALSE))+V290</f>
        <v>0</v>
      </c>
      <c r="R290" s="298">
        <f>IF(ISNA(VLOOKUP($A290,JumpData,4,FALSE)),0,VLOOKUP($A290,JumpData,4,FALSE))+W290</f>
        <v>0</v>
      </c>
      <c r="S290" s="298">
        <f>IF(ISNA(VLOOKUP($A290,RunData,4,FALSE)),0,VLOOKUP($A290,RunData,4,FALSE))+X290</f>
        <v>0</v>
      </c>
      <c r="T290" s="298">
        <f>IF(ISNA(VLOOKUP($A290,ThrowData,4,FALSE)),0,VLOOKUP($A290,ThrowData,4,FALSE))+Y290</f>
        <v>0</v>
      </c>
      <c r="U290" s="299">
        <f t="shared" si="2"/>
        <v>0</v>
      </c>
      <c r="V290">
        <f>IF(AND($F290&gt;0,NOT(M290),Flexing),FlexPC,0)</f>
        <v>0</v>
      </c>
      <c r="W290">
        <f>IF(AND($F290&gt;0,NOT(N290),Flexing),FlexPC,0)</f>
        <v>0</v>
      </c>
      <c r="X290">
        <f>IF(AND($F290&gt;0,NOT(O290),Flexing),FlexPC,0)</f>
        <v>0</v>
      </c>
      <c r="Y290">
        <f>IF(AND($F290&gt;0,NOT(P290),Flexing),FlexPC,0)</f>
        <v>0</v>
      </c>
      <c r="AA290" s="209">
        <f t="shared" si="3"/>
        <v>289</v>
      </c>
    </row>
    <row r="291" ht="15.75" customHeight="1">
      <c r="A291" s="206" t="str">
        <f>+Declarations!A291&amp;""</f>
        <v/>
      </c>
      <c r="B291" t="str">
        <f>IF(LEN($A291),IF(LEN(Declarations!$B291)&gt;0,Declarations!$B291,"#"&amp;$A291),"")</f>
        <v/>
      </c>
      <c r="C291" s="209" t="str">
        <f t="array" ref="C291">IF(LEN(INDEX(DECLARATIONS,$AA291,3))&gt;0,INDEX(DECLARATIONS,$AA291,3),"...")</f>
        <v>...</v>
      </c>
      <c r="D291" s="209" t="str">
        <f t="shared" si="1"/>
        <v/>
      </c>
      <c r="E291" s="296" t="str">
        <f t="array" ref="E291">IF(ISNA($AA291),0,INDEX(DECLARATIONS,$AA291,5))</f>
        <v/>
      </c>
      <c r="F291" s="209" t="str">
        <f t="array" ref="F291">IF(ISNA($AA291),0,INDEX(DECLARATIONS,$AA291,7))</f>
        <v/>
      </c>
      <c r="G291" s="209" t="str">
        <f t="array" ref="G291">UPPER(IF(ISNA($AA291),"",INDEX(DECLARATIONS,$AA291,4)))</f>
        <v/>
      </c>
      <c r="H291" t="str">
        <f>IF(AND(A291&gt;0,ISTEXT(B291)),IF(SECNAME="YES",LEFT(B291&amp;" ",FIND(" ",B291&amp;" ")+2)&amp;IF(F291&gt;0," ("&amp;F291&amp;")",""),B291&amp;IF(F291&gt;0," ("&amp;F291&amp;")","")),"#"&amp;$A291)</f>
        <v/>
      </c>
      <c r="I291" s="209">
        <f>IF(LEN($A291)&gt;0,IF(LEN($J291)&gt;0,MATCH(J291,MatchNames,0),EventIndex),0)</f>
        <v>0</v>
      </c>
      <c r="J291" s="209" t="str">
        <f>IF(LEN($A291)&gt;0,IF(LEN(Declarations!$F291)&gt;0,Declarations!$F291,conftype),"")</f>
        <v/>
      </c>
      <c r="M291" s="297">
        <f>IF(ISNA(VLOOKUP($A291,SprintData,2,FALSE)),0,VLOOKUP($A291,SprintData,2,FALSE))</f>
        <v>0</v>
      </c>
      <c r="N291" s="297">
        <f>IF(ISNA(VLOOKUP($A291,JumpData,2,FALSE)),0,VLOOKUP($A291,JumpData,2,FALSE))</f>
        <v>0</v>
      </c>
      <c r="O291" s="297">
        <f>IF(ISNA(VLOOKUP($A291,RunData,2,FALSE)),0,VLOOKUP($A291,RunData,2,FALSE))</f>
        <v>0</v>
      </c>
      <c r="P291" s="297">
        <f>IF(ISNA(VLOOKUP($A291,ThrowData,2,FALSE)),0,VLOOKUP($A291,ThrowData,2,FALSE))</f>
        <v>0</v>
      </c>
      <c r="Q291" s="298">
        <f>IF(ISNA(VLOOKUP($A291,SprintData,4,FALSE)),0,VLOOKUP($A291,SprintData,4,FALSE))+V291</f>
        <v>0</v>
      </c>
      <c r="R291" s="298">
        <f>IF(ISNA(VLOOKUP($A291,JumpData,4,FALSE)),0,VLOOKUP($A291,JumpData,4,FALSE))+W291</f>
        <v>0</v>
      </c>
      <c r="S291" s="298">
        <f>IF(ISNA(VLOOKUP($A291,RunData,4,FALSE)),0,VLOOKUP($A291,RunData,4,FALSE))+X291</f>
        <v>0</v>
      </c>
      <c r="T291" s="298">
        <f>IF(ISNA(VLOOKUP($A291,ThrowData,4,FALSE)),0,VLOOKUP($A291,ThrowData,4,FALSE))+Y291</f>
        <v>0</v>
      </c>
      <c r="U291" s="299">
        <f t="shared" si="2"/>
        <v>0</v>
      </c>
      <c r="V291">
        <f>IF(AND($F291&gt;0,NOT(M291),Flexing),FlexPC,0)</f>
        <v>0</v>
      </c>
      <c r="W291">
        <f>IF(AND($F291&gt;0,NOT(N291),Flexing),FlexPC,0)</f>
        <v>0</v>
      </c>
      <c r="X291">
        <f>IF(AND($F291&gt;0,NOT(O291),Flexing),FlexPC,0)</f>
        <v>0</v>
      </c>
      <c r="Y291">
        <f>IF(AND($F291&gt;0,NOT(P291),Flexing),FlexPC,0)</f>
        <v>0</v>
      </c>
      <c r="AA291" s="209">
        <f t="shared" si="3"/>
        <v>290</v>
      </c>
    </row>
    <row r="292" ht="15.75" customHeight="1">
      <c r="A292" s="206" t="str">
        <f>+Declarations!A292&amp;""</f>
        <v/>
      </c>
      <c r="B292" t="str">
        <f>IF(LEN($A292),IF(LEN(Declarations!$B292)&gt;0,Declarations!$B292,"#"&amp;$A292),"")</f>
        <v/>
      </c>
      <c r="C292" s="209" t="str">
        <f t="array" ref="C292">IF(LEN(INDEX(DECLARATIONS,$AA292,3))&gt;0,INDEX(DECLARATIONS,$AA292,3),"...")</f>
        <v>...</v>
      </c>
      <c r="D292" s="209" t="str">
        <f t="shared" si="1"/>
        <v/>
      </c>
      <c r="E292" s="296" t="str">
        <f t="array" ref="E292">IF(ISNA($AA292),0,INDEX(DECLARATIONS,$AA292,5))</f>
        <v/>
      </c>
      <c r="F292" s="209" t="str">
        <f t="array" ref="F292">IF(ISNA($AA292),0,INDEX(DECLARATIONS,$AA292,7))</f>
        <v/>
      </c>
      <c r="G292" s="209" t="str">
        <f t="array" ref="G292">UPPER(IF(ISNA($AA292),"",INDEX(DECLARATIONS,$AA292,4)))</f>
        <v/>
      </c>
      <c r="H292" t="str">
        <f>IF(AND(A292&gt;0,ISTEXT(B292)),IF(SECNAME="YES",LEFT(B292&amp;" ",FIND(" ",B292&amp;" ")+2)&amp;IF(F292&gt;0," ("&amp;F292&amp;")",""),B292&amp;IF(F292&gt;0," ("&amp;F292&amp;")","")),"#"&amp;$A292)</f>
        <v/>
      </c>
      <c r="I292" s="209">
        <f>IF(LEN($A292)&gt;0,IF(LEN($J292)&gt;0,MATCH(J292,MatchNames,0),EventIndex),0)</f>
        <v>0</v>
      </c>
      <c r="J292" s="209" t="str">
        <f>IF(LEN($A292)&gt;0,IF(LEN(Declarations!$F292)&gt;0,Declarations!$F292,conftype),"")</f>
        <v/>
      </c>
      <c r="M292" s="297">
        <f>IF(ISNA(VLOOKUP($A292,SprintData,2,FALSE)),0,VLOOKUP($A292,SprintData,2,FALSE))</f>
        <v>0</v>
      </c>
      <c r="N292" s="297">
        <f>IF(ISNA(VLOOKUP($A292,JumpData,2,FALSE)),0,VLOOKUP($A292,JumpData,2,FALSE))</f>
        <v>0</v>
      </c>
      <c r="O292" s="297">
        <f>IF(ISNA(VLOOKUP($A292,RunData,2,FALSE)),0,VLOOKUP($A292,RunData,2,FALSE))</f>
        <v>0</v>
      </c>
      <c r="P292" s="297">
        <f>IF(ISNA(VLOOKUP($A292,ThrowData,2,FALSE)),0,VLOOKUP($A292,ThrowData,2,FALSE))</f>
        <v>0</v>
      </c>
      <c r="Q292" s="298">
        <f>IF(ISNA(VLOOKUP($A292,SprintData,4,FALSE)),0,VLOOKUP($A292,SprintData,4,FALSE))+V292</f>
        <v>0</v>
      </c>
      <c r="R292" s="298">
        <f>IF(ISNA(VLOOKUP($A292,JumpData,4,FALSE)),0,VLOOKUP($A292,JumpData,4,FALSE))+W292</f>
        <v>0</v>
      </c>
      <c r="S292" s="298">
        <f>IF(ISNA(VLOOKUP($A292,RunData,4,FALSE)),0,VLOOKUP($A292,RunData,4,FALSE))+X292</f>
        <v>0</v>
      </c>
      <c r="T292" s="298">
        <f>IF(ISNA(VLOOKUP($A292,ThrowData,4,FALSE)),0,VLOOKUP($A292,ThrowData,4,FALSE))+Y292</f>
        <v>0</v>
      </c>
      <c r="U292" s="299">
        <f t="shared" si="2"/>
        <v>0</v>
      </c>
      <c r="V292">
        <f>IF(AND($F292&gt;0,NOT(M292),Flexing),FlexPC,0)</f>
        <v>0</v>
      </c>
      <c r="W292">
        <f>IF(AND($F292&gt;0,NOT(N292),Flexing),FlexPC,0)</f>
        <v>0</v>
      </c>
      <c r="X292">
        <f>IF(AND($F292&gt;0,NOT(O292),Flexing),FlexPC,0)</f>
        <v>0</v>
      </c>
      <c r="Y292">
        <f>IF(AND($F292&gt;0,NOT(P292),Flexing),FlexPC,0)</f>
        <v>0</v>
      </c>
      <c r="AA292" s="209">
        <f t="shared" si="3"/>
        <v>291</v>
      </c>
    </row>
    <row r="293" ht="15.75" customHeight="1">
      <c r="A293" s="206" t="str">
        <f>+Declarations!A293&amp;""</f>
        <v/>
      </c>
      <c r="B293" t="str">
        <f>IF(LEN($A293),IF(LEN(Declarations!$B293)&gt;0,Declarations!$B293,"#"&amp;$A293),"")</f>
        <v/>
      </c>
      <c r="C293" s="209" t="str">
        <f t="array" ref="C293">IF(LEN(INDEX(DECLARATIONS,$AA293,3))&gt;0,INDEX(DECLARATIONS,$AA293,3),"...")</f>
        <v>...</v>
      </c>
      <c r="D293" s="209" t="str">
        <f t="shared" si="1"/>
        <v/>
      </c>
      <c r="E293" s="296" t="str">
        <f t="array" ref="E293">IF(ISNA($AA293),0,INDEX(DECLARATIONS,$AA293,5))</f>
        <v/>
      </c>
      <c r="F293" s="209" t="str">
        <f t="array" ref="F293">IF(ISNA($AA293),0,INDEX(DECLARATIONS,$AA293,7))</f>
        <v/>
      </c>
      <c r="G293" s="209" t="str">
        <f t="array" ref="G293">UPPER(IF(ISNA($AA293),"",INDEX(DECLARATIONS,$AA293,4)))</f>
        <v/>
      </c>
      <c r="H293" t="str">
        <f>IF(AND(A293&gt;0,ISTEXT(B293)),IF(SECNAME="YES",LEFT(B293&amp;" ",FIND(" ",B293&amp;" ")+2)&amp;IF(F293&gt;0," ("&amp;F293&amp;")",""),B293&amp;IF(F293&gt;0," ("&amp;F293&amp;")","")),"#"&amp;$A293)</f>
        <v/>
      </c>
      <c r="I293" s="209">
        <f>IF(LEN($A293)&gt;0,IF(LEN($J293)&gt;0,MATCH(J293,MatchNames,0),EventIndex),0)</f>
        <v>0</v>
      </c>
      <c r="J293" s="209" t="str">
        <f>IF(LEN($A293)&gt;0,IF(LEN(Declarations!$F293)&gt;0,Declarations!$F293,conftype),"")</f>
        <v/>
      </c>
      <c r="M293" s="297">
        <f>IF(ISNA(VLOOKUP($A293,SprintData,2,FALSE)),0,VLOOKUP($A293,SprintData,2,FALSE))</f>
        <v>0</v>
      </c>
      <c r="N293" s="297">
        <f>IF(ISNA(VLOOKUP($A293,JumpData,2,FALSE)),0,VLOOKUP($A293,JumpData,2,FALSE))</f>
        <v>0</v>
      </c>
      <c r="O293" s="297">
        <f>IF(ISNA(VLOOKUP($A293,RunData,2,FALSE)),0,VLOOKUP($A293,RunData,2,FALSE))</f>
        <v>0</v>
      </c>
      <c r="P293" s="297">
        <f>IF(ISNA(VLOOKUP($A293,ThrowData,2,FALSE)),0,VLOOKUP($A293,ThrowData,2,FALSE))</f>
        <v>0</v>
      </c>
      <c r="Q293" s="298">
        <f>IF(ISNA(VLOOKUP($A293,SprintData,4,FALSE)),0,VLOOKUP($A293,SprintData,4,FALSE))+V293</f>
        <v>0</v>
      </c>
      <c r="R293" s="298">
        <f>IF(ISNA(VLOOKUP($A293,JumpData,4,FALSE)),0,VLOOKUP($A293,JumpData,4,FALSE))+W293</f>
        <v>0</v>
      </c>
      <c r="S293" s="298">
        <f>IF(ISNA(VLOOKUP($A293,RunData,4,FALSE)),0,VLOOKUP($A293,RunData,4,FALSE))+X293</f>
        <v>0</v>
      </c>
      <c r="T293" s="298">
        <f>IF(ISNA(VLOOKUP($A293,ThrowData,4,FALSE)),0,VLOOKUP($A293,ThrowData,4,FALSE))+Y293</f>
        <v>0</v>
      </c>
      <c r="U293" s="299">
        <f t="shared" si="2"/>
        <v>0</v>
      </c>
      <c r="V293">
        <f>IF(AND($F293&gt;0,NOT(M293),Flexing),FlexPC,0)</f>
        <v>0</v>
      </c>
      <c r="W293">
        <f>IF(AND($F293&gt;0,NOT(N293),Flexing),FlexPC,0)</f>
        <v>0</v>
      </c>
      <c r="X293">
        <f>IF(AND($F293&gt;0,NOT(O293),Flexing),FlexPC,0)</f>
        <v>0</v>
      </c>
      <c r="Y293">
        <f>IF(AND($F293&gt;0,NOT(P293),Flexing),FlexPC,0)</f>
        <v>0</v>
      </c>
      <c r="AA293" s="209">
        <f t="shared" si="3"/>
        <v>292</v>
      </c>
    </row>
    <row r="294" ht="15.75" customHeight="1">
      <c r="A294" s="206" t="str">
        <f>+Declarations!A294&amp;""</f>
        <v/>
      </c>
      <c r="B294" t="str">
        <f>IF(LEN($A294),IF(LEN(Declarations!$B294)&gt;0,Declarations!$B294,"#"&amp;$A294),"")</f>
        <v/>
      </c>
      <c r="C294" s="209" t="str">
        <f t="array" ref="C294">IF(LEN(INDEX(DECLARATIONS,$AA294,3))&gt;0,INDEX(DECLARATIONS,$AA294,3),"...")</f>
        <v>...</v>
      </c>
      <c r="D294" s="209" t="str">
        <f t="shared" si="1"/>
        <v/>
      </c>
      <c r="E294" s="296" t="str">
        <f t="array" ref="E294">IF(ISNA($AA294),0,INDEX(DECLARATIONS,$AA294,5))</f>
        <v/>
      </c>
      <c r="F294" s="209" t="str">
        <f t="array" ref="F294">IF(ISNA($AA294),0,INDEX(DECLARATIONS,$AA294,7))</f>
        <v/>
      </c>
      <c r="G294" s="209" t="str">
        <f t="array" ref="G294">UPPER(IF(ISNA($AA294),"",INDEX(DECLARATIONS,$AA294,4)))</f>
        <v/>
      </c>
      <c r="H294" t="str">
        <f>IF(AND(A294&gt;0,ISTEXT(B294)),IF(SECNAME="YES",LEFT(B294&amp;" ",FIND(" ",B294&amp;" ")+2)&amp;IF(F294&gt;0," ("&amp;F294&amp;")",""),B294&amp;IF(F294&gt;0," ("&amp;F294&amp;")","")),"#"&amp;$A294)</f>
        <v/>
      </c>
      <c r="I294" s="209">
        <f>IF(LEN($A294)&gt;0,IF(LEN($J294)&gt;0,MATCH(J294,MatchNames,0),EventIndex),0)</f>
        <v>0</v>
      </c>
      <c r="J294" s="209" t="str">
        <f>IF(LEN($A294)&gt;0,IF(LEN(Declarations!$F294)&gt;0,Declarations!$F294,conftype),"")</f>
        <v/>
      </c>
      <c r="M294" s="297">
        <f>IF(ISNA(VLOOKUP($A294,SprintData,2,FALSE)),0,VLOOKUP($A294,SprintData,2,FALSE))</f>
        <v>0</v>
      </c>
      <c r="N294" s="297">
        <f>IF(ISNA(VLOOKUP($A294,JumpData,2,FALSE)),0,VLOOKUP($A294,JumpData,2,FALSE))</f>
        <v>0</v>
      </c>
      <c r="O294" s="297">
        <f>IF(ISNA(VLOOKUP($A294,RunData,2,FALSE)),0,VLOOKUP($A294,RunData,2,FALSE))</f>
        <v>0</v>
      </c>
      <c r="P294" s="297">
        <f>IF(ISNA(VLOOKUP($A294,ThrowData,2,FALSE)),0,VLOOKUP($A294,ThrowData,2,FALSE))</f>
        <v>0</v>
      </c>
      <c r="Q294" s="298">
        <f>IF(ISNA(VLOOKUP($A294,SprintData,4,FALSE)),0,VLOOKUP($A294,SprintData,4,FALSE))+V294</f>
        <v>0</v>
      </c>
      <c r="R294" s="298">
        <f>IF(ISNA(VLOOKUP($A294,JumpData,4,FALSE)),0,VLOOKUP($A294,JumpData,4,FALSE))+W294</f>
        <v>0</v>
      </c>
      <c r="S294" s="298">
        <f>IF(ISNA(VLOOKUP($A294,RunData,4,FALSE)),0,VLOOKUP($A294,RunData,4,FALSE))+X294</f>
        <v>0</v>
      </c>
      <c r="T294" s="298">
        <f>IF(ISNA(VLOOKUP($A294,ThrowData,4,FALSE)),0,VLOOKUP($A294,ThrowData,4,FALSE))+Y294</f>
        <v>0</v>
      </c>
      <c r="U294" s="299">
        <f t="shared" si="2"/>
        <v>0</v>
      </c>
      <c r="V294">
        <f>IF(AND($F294&gt;0,NOT(M294),Flexing),FlexPC,0)</f>
        <v>0</v>
      </c>
      <c r="W294">
        <f>IF(AND($F294&gt;0,NOT(N294),Flexing),FlexPC,0)</f>
        <v>0</v>
      </c>
      <c r="X294">
        <f>IF(AND($F294&gt;0,NOT(O294),Flexing),FlexPC,0)</f>
        <v>0</v>
      </c>
      <c r="Y294">
        <f>IF(AND($F294&gt;0,NOT(P294),Flexing),FlexPC,0)</f>
        <v>0</v>
      </c>
      <c r="AA294" s="209">
        <f t="shared" si="3"/>
        <v>293</v>
      </c>
    </row>
    <row r="295" ht="15.75" customHeight="1">
      <c r="A295" s="206" t="str">
        <f>+Declarations!A295&amp;""</f>
        <v/>
      </c>
      <c r="B295" t="str">
        <f>IF(LEN($A295),IF(LEN(Declarations!$B295)&gt;0,Declarations!$B295,"#"&amp;$A295),"")</f>
        <v/>
      </c>
      <c r="C295" s="209" t="str">
        <f t="array" ref="C295">IF(LEN(INDEX(DECLARATIONS,$AA295,3))&gt;0,INDEX(DECLARATIONS,$AA295,3),"...")</f>
        <v>...</v>
      </c>
      <c r="D295" s="209" t="str">
        <f t="shared" si="1"/>
        <v/>
      </c>
      <c r="E295" s="296" t="str">
        <f t="array" ref="E295">IF(ISNA($AA295),0,INDEX(DECLARATIONS,$AA295,5))</f>
        <v/>
      </c>
      <c r="F295" s="209" t="str">
        <f t="array" ref="F295">IF(ISNA($AA295),0,INDEX(DECLARATIONS,$AA295,7))</f>
        <v/>
      </c>
      <c r="G295" s="209" t="str">
        <f t="array" ref="G295">UPPER(IF(ISNA($AA295),"",INDEX(DECLARATIONS,$AA295,4)))</f>
        <v/>
      </c>
      <c r="H295" t="str">
        <f>IF(AND(A295&gt;0,ISTEXT(B295)),IF(SECNAME="YES",LEFT(B295&amp;" ",FIND(" ",B295&amp;" ")+2)&amp;IF(F295&gt;0," ("&amp;F295&amp;")",""),B295&amp;IF(F295&gt;0," ("&amp;F295&amp;")","")),"#"&amp;$A295)</f>
        <v/>
      </c>
      <c r="I295" s="209">
        <f>IF(LEN($A295)&gt;0,IF(LEN($J295)&gt;0,MATCH(J295,MatchNames,0),EventIndex),0)</f>
        <v>0</v>
      </c>
      <c r="J295" s="209" t="str">
        <f>IF(LEN($A295)&gt;0,IF(LEN(Declarations!$F295)&gt;0,Declarations!$F295,conftype),"")</f>
        <v/>
      </c>
      <c r="M295" s="297">
        <f>IF(ISNA(VLOOKUP($A295,SprintData,2,FALSE)),0,VLOOKUP($A295,SprintData,2,FALSE))</f>
        <v>0</v>
      </c>
      <c r="N295" s="297">
        <f>IF(ISNA(VLOOKUP($A295,JumpData,2,FALSE)),0,VLOOKUP($A295,JumpData,2,FALSE))</f>
        <v>0</v>
      </c>
      <c r="O295" s="297">
        <f>IF(ISNA(VLOOKUP($A295,RunData,2,FALSE)),0,VLOOKUP($A295,RunData,2,FALSE))</f>
        <v>0</v>
      </c>
      <c r="P295" s="297">
        <f>IF(ISNA(VLOOKUP($A295,ThrowData,2,FALSE)),0,VLOOKUP($A295,ThrowData,2,FALSE))</f>
        <v>0</v>
      </c>
      <c r="Q295" s="298">
        <f>IF(ISNA(VLOOKUP($A295,SprintData,4,FALSE)),0,VLOOKUP($A295,SprintData,4,FALSE))+V295</f>
        <v>0</v>
      </c>
      <c r="R295" s="298">
        <f>IF(ISNA(VLOOKUP($A295,JumpData,4,FALSE)),0,VLOOKUP($A295,JumpData,4,FALSE))+W295</f>
        <v>0</v>
      </c>
      <c r="S295" s="298">
        <f>IF(ISNA(VLOOKUP($A295,RunData,4,FALSE)),0,VLOOKUP($A295,RunData,4,FALSE))+X295</f>
        <v>0</v>
      </c>
      <c r="T295" s="298">
        <f>IF(ISNA(VLOOKUP($A295,ThrowData,4,FALSE)),0,VLOOKUP($A295,ThrowData,4,FALSE))+Y295</f>
        <v>0</v>
      </c>
      <c r="U295" s="299">
        <f t="shared" si="2"/>
        <v>0</v>
      </c>
      <c r="V295">
        <f>IF(AND($F295&gt;0,NOT(M295),Flexing),FlexPC,0)</f>
        <v>0</v>
      </c>
      <c r="W295">
        <f>IF(AND($F295&gt;0,NOT(N295),Flexing),FlexPC,0)</f>
        <v>0</v>
      </c>
      <c r="X295">
        <f>IF(AND($F295&gt;0,NOT(O295),Flexing),FlexPC,0)</f>
        <v>0</v>
      </c>
      <c r="Y295">
        <f>IF(AND($F295&gt;0,NOT(P295),Flexing),FlexPC,0)</f>
        <v>0</v>
      </c>
      <c r="AA295" s="209">
        <f t="shared" si="3"/>
        <v>294</v>
      </c>
    </row>
    <row r="296" ht="15.75" customHeight="1">
      <c r="A296" s="206" t="str">
        <f>+Declarations!A296&amp;""</f>
        <v/>
      </c>
      <c r="B296" t="str">
        <f>IF(LEN($A296),IF(LEN(Declarations!$B296)&gt;0,Declarations!$B296,"#"&amp;$A296),"")</f>
        <v/>
      </c>
      <c r="C296" s="209" t="str">
        <f t="array" ref="C296">IF(LEN(INDEX(DECLARATIONS,$AA296,3))&gt;0,INDEX(DECLARATIONS,$AA296,3),"...")</f>
        <v>...</v>
      </c>
      <c r="D296" s="209" t="str">
        <f t="shared" si="1"/>
        <v/>
      </c>
      <c r="E296" s="296" t="str">
        <f t="array" ref="E296">IF(ISNA($AA296),0,INDEX(DECLARATIONS,$AA296,5))</f>
        <v/>
      </c>
      <c r="F296" s="209" t="str">
        <f t="array" ref="F296">IF(ISNA($AA296),0,INDEX(DECLARATIONS,$AA296,7))</f>
        <v/>
      </c>
      <c r="G296" s="209" t="str">
        <f t="array" ref="G296">UPPER(IF(ISNA($AA296),"",INDEX(DECLARATIONS,$AA296,4)))</f>
        <v/>
      </c>
      <c r="H296" t="str">
        <f>IF(AND(A296&gt;0,ISTEXT(B296)),IF(SECNAME="YES",LEFT(B296&amp;" ",FIND(" ",B296&amp;" ")+2)&amp;IF(F296&gt;0," ("&amp;F296&amp;")",""),B296&amp;IF(F296&gt;0," ("&amp;F296&amp;")","")),"#"&amp;$A296)</f>
        <v/>
      </c>
      <c r="I296" s="209">
        <f>IF(LEN($A296)&gt;0,IF(LEN($J296)&gt;0,MATCH(J296,MatchNames,0),EventIndex),0)</f>
        <v>0</v>
      </c>
      <c r="J296" s="209" t="str">
        <f>IF(LEN($A296)&gt;0,IF(LEN(Declarations!$F296)&gt;0,Declarations!$F296,conftype),"")</f>
        <v/>
      </c>
      <c r="M296" s="297">
        <f>IF(ISNA(VLOOKUP($A296,SprintData,2,FALSE)),0,VLOOKUP($A296,SprintData,2,FALSE))</f>
        <v>0</v>
      </c>
      <c r="N296" s="297">
        <f>IF(ISNA(VLOOKUP($A296,JumpData,2,FALSE)),0,VLOOKUP($A296,JumpData,2,FALSE))</f>
        <v>0</v>
      </c>
      <c r="O296" s="297">
        <f>IF(ISNA(VLOOKUP($A296,RunData,2,FALSE)),0,VLOOKUP($A296,RunData,2,FALSE))</f>
        <v>0</v>
      </c>
      <c r="P296" s="297">
        <f>IF(ISNA(VLOOKUP($A296,ThrowData,2,FALSE)),0,VLOOKUP($A296,ThrowData,2,FALSE))</f>
        <v>0</v>
      </c>
      <c r="Q296" s="298">
        <f>IF(ISNA(VLOOKUP($A296,SprintData,4,FALSE)),0,VLOOKUP($A296,SprintData,4,FALSE))+V296</f>
        <v>0</v>
      </c>
      <c r="R296" s="298">
        <f>IF(ISNA(VLOOKUP($A296,JumpData,4,FALSE)),0,VLOOKUP($A296,JumpData,4,FALSE))+W296</f>
        <v>0</v>
      </c>
      <c r="S296" s="298">
        <f>IF(ISNA(VLOOKUP($A296,RunData,4,FALSE)),0,VLOOKUP($A296,RunData,4,FALSE))+X296</f>
        <v>0</v>
      </c>
      <c r="T296" s="298">
        <f>IF(ISNA(VLOOKUP($A296,ThrowData,4,FALSE)),0,VLOOKUP($A296,ThrowData,4,FALSE))+Y296</f>
        <v>0</v>
      </c>
      <c r="U296" s="299">
        <f t="shared" si="2"/>
        <v>0</v>
      </c>
      <c r="V296">
        <f>IF(AND($F296&gt;0,NOT(M296),Flexing),FlexPC,0)</f>
        <v>0</v>
      </c>
      <c r="W296">
        <f>IF(AND($F296&gt;0,NOT(N296),Flexing),FlexPC,0)</f>
        <v>0</v>
      </c>
      <c r="X296">
        <f>IF(AND($F296&gt;0,NOT(O296),Flexing),FlexPC,0)</f>
        <v>0</v>
      </c>
      <c r="Y296">
        <f>IF(AND($F296&gt;0,NOT(P296),Flexing),FlexPC,0)</f>
        <v>0</v>
      </c>
      <c r="AA296" s="209">
        <f t="shared" si="3"/>
        <v>295</v>
      </c>
    </row>
    <row r="297" ht="15.75" customHeight="1">
      <c r="A297" s="206" t="str">
        <f>+Declarations!A297&amp;""</f>
        <v/>
      </c>
      <c r="B297" t="str">
        <f>IF(LEN($A297),IF(LEN(Declarations!$B297)&gt;0,Declarations!$B297,"#"&amp;$A297),"")</f>
        <v/>
      </c>
      <c r="C297" s="209" t="str">
        <f t="array" ref="C297">IF(LEN(INDEX(DECLARATIONS,$AA297,3))&gt;0,INDEX(DECLARATIONS,$AA297,3),"...")</f>
        <v>...</v>
      </c>
      <c r="D297" s="209" t="str">
        <f t="shared" si="1"/>
        <v/>
      </c>
      <c r="E297" s="296" t="str">
        <f t="array" ref="E297">IF(ISNA($AA297),0,INDEX(DECLARATIONS,$AA297,5))</f>
        <v/>
      </c>
      <c r="F297" s="209" t="str">
        <f t="array" ref="F297">IF(ISNA($AA297),0,INDEX(DECLARATIONS,$AA297,7))</f>
        <v/>
      </c>
      <c r="G297" s="209" t="str">
        <f t="array" ref="G297">UPPER(IF(ISNA($AA297),"",INDEX(DECLARATIONS,$AA297,4)))</f>
        <v/>
      </c>
      <c r="H297" t="str">
        <f>IF(AND(A297&gt;0,ISTEXT(B297)),IF(SECNAME="YES",LEFT(B297&amp;" ",FIND(" ",B297&amp;" ")+2)&amp;IF(F297&gt;0," ("&amp;F297&amp;")",""),B297&amp;IF(F297&gt;0," ("&amp;F297&amp;")","")),"#"&amp;$A297)</f>
        <v/>
      </c>
      <c r="I297" s="209">
        <f>IF(LEN($A297)&gt;0,IF(LEN($J297)&gt;0,MATCH(J297,MatchNames,0),EventIndex),0)</f>
        <v>0</v>
      </c>
      <c r="J297" s="209" t="str">
        <f>IF(LEN($A297)&gt;0,IF(LEN(Declarations!$F297)&gt;0,Declarations!$F297,conftype),"")</f>
        <v/>
      </c>
      <c r="M297" s="297">
        <f>IF(ISNA(VLOOKUP($A297,SprintData,2,FALSE)),0,VLOOKUP($A297,SprintData,2,FALSE))</f>
        <v>0</v>
      </c>
      <c r="N297" s="297">
        <f>IF(ISNA(VLOOKUP($A297,JumpData,2,FALSE)),0,VLOOKUP($A297,JumpData,2,FALSE))</f>
        <v>0</v>
      </c>
      <c r="O297" s="297">
        <f>IF(ISNA(VLOOKUP($A297,RunData,2,FALSE)),0,VLOOKUP($A297,RunData,2,FALSE))</f>
        <v>0</v>
      </c>
      <c r="P297" s="297">
        <f>IF(ISNA(VLOOKUP($A297,ThrowData,2,FALSE)),0,VLOOKUP($A297,ThrowData,2,FALSE))</f>
        <v>0</v>
      </c>
      <c r="Q297" s="298">
        <f>IF(ISNA(VLOOKUP($A297,SprintData,4,FALSE)),0,VLOOKUP($A297,SprintData,4,FALSE))+V297</f>
        <v>0</v>
      </c>
      <c r="R297" s="298">
        <f>IF(ISNA(VLOOKUP($A297,JumpData,4,FALSE)),0,VLOOKUP($A297,JumpData,4,FALSE))+W297</f>
        <v>0</v>
      </c>
      <c r="S297" s="298">
        <f>IF(ISNA(VLOOKUP($A297,RunData,4,FALSE)),0,VLOOKUP($A297,RunData,4,FALSE))+X297</f>
        <v>0</v>
      </c>
      <c r="T297" s="298">
        <f>IF(ISNA(VLOOKUP($A297,ThrowData,4,FALSE)),0,VLOOKUP($A297,ThrowData,4,FALSE))+Y297</f>
        <v>0</v>
      </c>
      <c r="U297" s="299">
        <f t="shared" si="2"/>
        <v>0</v>
      </c>
      <c r="V297">
        <f>IF(AND($F297&gt;0,NOT(M297),Flexing),FlexPC,0)</f>
        <v>0</v>
      </c>
      <c r="W297">
        <f>IF(AND($F297&gt;0,NOT(N297),Flexing),FlexPC,0)</f>
        <v>0</v>
      </c>
      <c r="X297">
        <f>IF(AND($F297&gt;0,NOT(O297),Flexing),FlexPC,0)</f>
        <v>0</v>
      </c>
      <c r="Y297">
        <f>IF(AND($F297&gt;0,NOT(P297),Flexing),FlexPC,0)</f>
        <v>0</v>
      </c>
      <c r="AA297" s="209">
        <f t="shared" si="3"/>
        <v>296</v>
      </c>
    </row>
    <row r="298" ht="15.75" customHeight="1">
      <c r="A298" s="206" t="str">
        <f>+Declarations!A298&amp;""</f>
        <v/>
      </c>
      <c r="B298" t="str">
        <f>IF(LEN($A298),IF(LEN(Declarations!$B298)&gt;0,Declarations!$B298,"#"&amp;$A298),"")</f>
        <v/>
      </c>
      <c r="C298" s="209" t="str">
        <f t="array" ref="C298">IF(LEN(INDEX(DECLARATIONS,$AA298,3))&gt;0,INDEX(DECLARATIONS,$AA298,3),"...")</f>
        <v>...</v>
      </c>
      <c r="D298" s="209" t="str">
        <f t="shared" si="1"/>
        <v/>
      </c>
      <c r="E298" s="296" t="str">
        <f t="array" ref="E298">IF(ISNA($AA298),0,INDEX(DECLARATIONS,$AA298,5))</f>
        <v/>
      </c>
      <c r="F298" s="209" t="str">
        <f t="array" ref="F298">IF(ISNA($AA298),0,INDEX(DECLARATIONS,$AA298,7))</f>
        <v/>
      </c>
      <c r="G298" s="209" t="str">
        <f t="array" ref="G298">UPPER(IF(ISNA($AA298),"",INDEX(DECLARATIONS,$AA298,4)))</f>
        <v/>
      </c>
      <c r="H298" t="str">
        <f>IF(AND(A298&gt;0,ISTEXT(B298)),IF(SECNAME="YES",LEFT(B298&amp;" ",FIND(" ",B298&amp;" ")+2)&amp;IF(F298&gt;0," ("&amp;F298&amp;")",""),B298&amp;IF(F298&gt;0," ("&amp;F298&amp;")","")),"#"&amp;$A298)</f>
        <v/>
      </c>
      <c r="I298" s="209">
        <f>IF(LEN($A298)&gt;0,IF(LEN($J298)&gt;0,MATCH(J298,MatchNames,0),EventIndex),0)</f>
        <v>0</v>
      </c>
      <c r="J298" s="209" t="str">
        <f>IF(LEN($A298)&gt;0,IF(LEN(Declarations!$F298)&gt;0,Declarations!$F298,conftype),"")</f>
        <v/>
      </c>
      <c r="M298" s="297">
        <f>IF(ISNA(VLOOKUP($A298,SprintData,2,FALSE)),0,VLOOKUP($A298,SprintData,2,FALSE))</f>
        <v>0</v>
      </c>
      <c r="N298" s="297">
        <f>IF(ISNA(VLOOKUP($A298,JumpData,2,FALSE)),0,VLOOKUP($A298,JumpData,2,FALSE))</f>
        <v>0</v>
      </c>
      <c r="O298" s="297">
        <f>IF(ISNA(VLOOKUP($A298,RunData,2,FALSE)),0,VLOOKUP($A298,RunData,2,FALSE))</f>
        <v>0</v>
      </c>
      <c r="P298" s="297">
        <f>IF(ISNA(VLOOKUP($A298,ThrowData,2,FALSE)),0,VLOOKUP($A298,ThrowData,2,FALSE))</f>
        <v>0</v>
      </c>
      <c r="Q298" s="298">
        <f>IF(ISNA(VLOOKUP($A298,SprintData,4,FALSE)),0,VLOOKUP($A298,SprintData,4,FALSE))+V298</f>
        <v>0</v>
      </c>
      <c r="R298" s="298">
        <f>IF(ISNA(VLOOKUP($A298,JumpData,4,FALSE)),0,VLOOKUP($A298,JumpData,4,FALSE))+W298</f>
        <v>0</v>
      </c>
      <c r="S298" s="298">
        <f>IF(ISNA(VLOOKUP($A298,RunData,4,FALSE)),0,VLOOKUP($A298,RunData,4,FALSE))+X298</f>
        <v>0</v>
      </c>
      <c r="T298" s="298">
        <f>IF(ISNA(VLOOKUP($A298,ThrowData,4,FALSE)),0,VLOOKUP($A298,ThrowData,4,FALSE))+Y298</f>
        <v>0</v>
      </c>
      <c r="U298" s="299">
        <f t="shared" si="2"/>
        <v>0</v>
      </c>
      <c r="V298">
        <f>IF(AND($F298&gt;0,NOT(M298),Flexing),FlexPC,0)</f>
        <v>0</v>
      </c>
      <c r="W298">
        <f>IF(AND($F298&gt;0,NOT(N298),Flexing),FlexPC,0)</f>
        <v>0</v>
      </c>
      <c r="X298">
        <f>IF(AND($F298&gt;0,NOT(O298),Flexing),FlexPC,0)</f>
        <v>0</v>
      </c>
      <c r="Y298">
        <f>IF(AND($F298&gt;0,NOT(P298),Flexing),FlexPC,0)</f>
        <v>0</v>
      </c>
      <c r="AA298" s="209">
        <f t="shared" si="3"/>
        <v>297</v>
      </c>
    </row>
    <row r="299" ht="15.75" customHeight="1">
      <c r="A299" s="206" t="str">
        <f>+Declarations!A299&amp;""</f>
        <v/>
      </c>
      <c r="B299" t="str">
        <f>IF(LEN($A299),IF(LEN(Declarations!$B299)&gt;0,Declarations!$B299,"#"&amp;$A299),"")</f>
        <v/>
      </c>
      <c r="C299" s="209" t="str">
        <f t="array" ref="C299">IF(LEN(INDEX(DECLARATIONS,$AA299,3))&gt;0,INDEX(DECLARATIONS,$AA299,3),"...")</f>
        <v>...</v>
      </c>
      <c r="D299" s="209" t="str">
        <f t="shared" si="1"/>
        <v/>
      </c>
      <c r="E299" s="296" t="str">
        <f t="array" ref="E299">IF(ISNA($AA299),0,INDEX(DECLARATIONS,$AA299,5))</f>
        <v/>
      </c>
      <c r="F299" s="209" t="str">
        <f t="array" ref="F299">IF(ISNA($AA299),0,INDEX(DECLARATIONS,$AA299,7))</f>
        <v/>
      </c>
      <c r="G299" s="209" t="str">
        <f t="array" ref="G299">UPPER(IF(ISNA($AA299),"",INDEX(DECLARATIONS,$AA299,4)))</f>
        <v/>
      </c>
      <c r="H299" t="str">
        <f>IF(AND(A299&gt;0,ISTEXT(B299)),IF(SECNAME="YES",LEFT(B299&amp;" ",FIND(" ",B299&amp;" ")+2)&amp;IF(F299&gt;0," ("&amp;F299&amp;")",""),B299&amp;IF(F299&gt;0," ("&amp;F299&amp;")","")),"#"&amp;$A299)</f>
        <v/>
      </c>
      <c r="I299" s="209">
        <f>IF(LEN($A299)&gt;0,IF(LEN($J299)&gt;0,MATCH(J299,MatchNames,0),EventIndex),0)</f>
        <v>0</v>
      </c>
      <c r="J299" s="209" t="str">
        <f>IF(LEN($A299)&gt;0,IF(LEN(Declarations!$F299)&gt;0,Declarations!$F299,conftype),"")</f>
        <v/>
      </c>
      <c r="M299" s="297">
        <f>IF(ISNA(VLOOKUP($A299,SprintData,2,FALSE)),0,VLOOKUP($A299,SprintData,2,FALSE))</f>
        <v>0</v>
      </c>
      <c r="N299" s="297">
        <f>IF(ISNA(VLOOKUP($A299,JumpData,2,FALSE)),0,VLOOKUP($A299,JumpData,2,FALSE))</f>
        <v>0</v>
      </c>
      <c r="O299" s="297">
        <f>IF(ISNA(VLOOKUP($A299,RunData,2,FALSE)),0,VLOOKUP($A299,RunData,2,FALSE))</f>
        <v>0</v>
      </c>
      <c r="P299" s="297">
        <f>IF(ISNA(VLOOKUP($A299,ThrowData,2,FALSE)),0,VLOOKUP($A299,ThrowData,2,FALSE))</f>
        <v>0</v>
      </c>
      <c r="Q299" s="298">
        <f>IF(ISNA(VLOOKUP($A299,SprintData,4,FALSE)),0,VLOOKUP($A299,SprintData,4,FALSE))+V299</f>
        <v>0</v>
      </c>
      <c r="R299" s="298">
        <f>IF(ISNA(VLOOKUP($A299,JumpData,4,FALSE)),0,VLOOKUP($A299,JumpData,4,FALSE))+W299</f>
        <v>0</v>
      </c>
      <c r="S299" s="298">
        <f>IF(ISNA(VLOOKUP($A299,RunData,4,FALSE)),0,VLOOKUP($A299,RunData,4,FALSE))+X299</f>
        <v>0</v>
      </c>
      <c r="T299" s="298">
        <f>IF(ISNA(VLOOKUP($A299,ThrowData,4,FALSE)),0,VLOOKUP($A299,ThrowData,4,FALSE))+Y299</f>
        <v>0</v>
      </c>
      <c r="U299" s="299">
        <f t="shared" si="2"/>
        <v>0</v>
      </c>
      <c r="V299">
        <f>IF(AND($F299&gt;0,NOT(M299),Flexing),FlexPC,0)</f>
        <v>0</v>
      </c>
      <c r="W299">
        <f>IF(AND($F299&gt;0,NOT(N299),Flexing),FlexPC,0)</f>
        <v>0</v>
      </c>
      <c r="X299">
        <f>IF(AND($F299&gt;0,NOT(O299),Flexing),FlexPC,0)</f>
        <v>0</v>
      </c>
      <c r="Y299">
        <f>IF(AND($F299&gt;0,NOT(P299),Flexing),FlexPC,0)</f>
        <v>0</v>
      </c>
      <c r="AA299" s="209">
        <f t="shared" si="3"/>
        <v>298</v>
      </c>
    </row>
    <row r="300" ht="15.75" customHeight="1">
      <c r="A300" s="206" t="str">
        <f>+Declarations!A300&amp;""</f>
        <v/>
      </c>
      <c r="B300" t="str">
        <f>IF(LEN($A300),IF(LEN(Declarations!$B300)&gt;0,Declarations!$B300,"#"&amp;$A300),"")</f>
        <v/>
      </c>
      <c r="C300" s="209" t="str">
        <f t="array" ref="C300">IF(LEN(INDEX(DECLARATIONS,$AA300,3))&gt;0,INDEX(DECLARATIONS,$AA300,3),"...")</f>
        <v>...</v>
      </c>
      <c r="D300" s="209" t="str">
        <f t="shared" si="1"/>
        <v/>
      </c>
      <c r="E300" s="296" t="str">
        <f t="array" ref="E300">IF(ISNA($AA300),0,INDEX(DECLARATIONS,$AA300,5))</f>
        <v/>
      </c>
      <c r="F300" s="209" t="str">
        <f t="array" ref="F300">IF(ISNA($AA300),0,INDEX(DECLARATIONS,$AA300,7))</f>
        <v/>
      </c>
      <c r="G300" s="209" t="str">
        <f t="array" ref="G300">UPPER(IF(ISNA($AA300),"",INDEX(DECLARATIONS,$AA300,4)))</f>
        <v/>
      </c>
      <c r="H300" t="str">
        <f>IF(AND(A300&gt;0,ISTEXT(B300)),IF(SECNAME="YES",LEFT(B300&amp;" ",FIND(" ",B300&amp;" ")+2)&amp;IF(F300&gt;0," ("&amp;F300&amp;")",""),B300&amp;IF(F300&gt;0," ("&amp;F300&amp;")","")),"#"&amp;$A300)</f>
        <v/>
      </c>
      <c r="I300" s="209">
        <f>IF(LEN($A300)&gt;0,IF(LEN($J300)&gt;0,MATCH(J300,MatchNames,0),EventIndex),0)</f>
        <v>0</v>
      </c>
      <c r="J300" s="209" t="str">
        <f>IF(LEN($A300)&gt;0,IF(LEN(Declarations!$F300)&gt;0,Declarations!$F300,conftype),"")</f>
        <v/>
      </c>
      <c r="M300" s="297">
        <f>IF(ISNA(VLOOKUP($A300,SprintData,2,FALSE)),0,VLOOKUP($A300,SprintData,2,FALSE))</f>
        <v>0</v>
      </c>
      <c r="N300" s="297">
        <f>IF(ISNA(VLOOKUP($A300,JumpData,2,FALSE)),0,VLOOKUP($A300,JumpData,2,FALSE))</f>
        <v>0</v>
      </c>
      <c r="O300" s="297">
        <f>IF(ISNA(VLOOKUP($A300,RunData,2,FALSE)),0,VLOOKUP($A300,RunData,2,FALSE))</f>
        <v>0</v>
      </c>
      <c r="P300" s="297">
        <f>IF(ISNA(VLOOKUP($A300,ThrowData,2,FALSE)),0,VLOOKUP($A300,ThrowData,2,FALSE))</f>
        <v>0</v>
      </c>
      <c r="Q300" s="298">
        <f>IF(ISNA(VLOOKUP($A300,SprintData,4,FALSE)),0,VLOOKUP($A300,SprintData,4,FALSE))+V300</f>
        <v>0</v>
      </c>
      <c r="R300" s="298">
        <f>IF(ISNA(VLOOKUP($A300,JumpData,4,FALSE)),0,VLOOKUP($A300,JumpData,4,FALSE))+W300</f>
        <v>0</v>
      </c>
      <c r="S300" s="298">
        <f>IF(ISNA(VLOOKUP($A300,RunData,4,FALSE)),0,VLOOKUP($A300,RunData,4,FALSE))+X300</f>
        <v>0</v>
      </c>
      <c r="T300" s="298">
        <f>IF(ISNA(VLOOKUP($A300,ThrowData,4,FALSE)),0,VLOOKUP($A300,ThrowData,4,FALSE))+Y300</f>
        <v>0</v>
      </c>
      <c r="U300" s="299">
        <f t="shared" si="2"/>
        <v>0</v>
      </c>
      <c r="V300">
        <f>IF(AND($F300&gt;0,NOT(M300),Flexing),FlexPC,0)</f>
        <v>0</v>
      </c>
      <c r="W300">
        <f>IF(AND($F300&gt;0,NOT(N300),Flexing),FlexPC,0)</f>
        <v>0</v>
      </c>
      <c r="X300">
        <f>IF(AND($F300&gt;0,NOT(O300),Flexing),FlexPC,0)</f>
        <v>0</v>
      </c>
      <c r="Y300">
        <f>IF(AND($F300&gt;0,NOT(P300),Flexing),FlexPC,0)</f>
        <v>0</v>
      </c>
      <c r="AA300" s="209">
        <f t="shared" si="3"/>
        <v>299</v>
      </c>
    </row>
    <row r="301" ht="15.75" customHeight="1">
      <c r="A301" s="206" t="str">
        <f>+Declarations!A301&amp;""</f>
        <v/>
      </c>
      <c r="B301" t="str">
        <f>IF(LEN($A301),IF(LEN(Declarations!$B301)&gt;0,Declarations!$B301,"#"&amp;$A301),"")</f>
        <v/>
      </c>
      <c r="C301" s="209" t="str">
        <f t="array" ref="C301">IF(LEN(INDEX(DECLARATIONS,$AA301,3))&gt;0,INDEX(DECLARATIONS,$AA301,3),"...")</f>
        <v>...</v>
      </c>
      <c r="D301" s="209" t="str">
        <f t="shared" si="1"/>
        <v/>
      </c>
      <c r="E301" s="296" t="str">
        <f t="array" ref="E301">IF(ISNA($AA301),0,INDEX(DECLARATIONS,$AA301,5))</f>
        <v/>
      </c>
      <c r="F301" s="209" t="str">
        <f t="array" ref="F301">IF(ISNA($AA301),0,INDEX(DECLARATIONS,$AA301,7))</f>
        <v/>
      </c>
      <c r="G301" s="209" t="str">
        <f t="array" ref="G301">UPPER(IF(ISNA($AA301),"",INDEX(DECLARATIONS,$AA301,4)))</f>
        <v/>
      </c>
      <c r="H301" t="str">
        <f>IF(AND(A301&gt;0,ISTEXT(B301)),IF(SECNAME="YES",LEFT(B301&amp;" ",FIND(" ",B301&amp;" ")+2)&amp;IF(F301&gt;0," ("&amp;F301&amp;")",""),B301&amp;IF(F301&gt;0," ("&amp;F301&amp;")","")),"#"&amp;$A301)</f>
        <v/>
      </c>
      <c r="I301" s="209">
        <f>IF(LEN($A301)&gt;0,IF(LEN($J301)&gt;0,MATCH(J301,MatchNames,0),EventIndex),0)</f>
        <v>0</v>
      </c>
      <c r="J301" s="209" t="str">
        <f>IF(LEN($A301)&gt;0,IF(LEN(Declarations!$F301)&gt;0,Declarations!$F301,conftype),"")</f>
        <v/>
      </c>
      <c r="M301" s="297">
        <f>IF(ISNA(VLOOKUP($A301,SprintData,2,FALSE)),0,VLOOKUP($A301,SprintData,2,FALSE))</f>
        <v>0</v>
      </c>
      <c r="N301" s="297">
        <f>IF(ISNA(VLOOKUP($A301,JumpData,2,FALSE)),0,VLOOKUP($A301,JumpData,2,FALSE))</f>
        <v>0</v>
      </c>
      <c r="O301" s="297">
        <f>IF(ISNA(VLOOKUP($A301,RunData,2,FALSE)),0,VLOOKUP($A301,RunData,2,FALSE))</f>
        <v>0</v>
      </c>
      <c r="P301" s="297">
        <f>IF(ISNA(VLOOKUP($A301,ThrowData,2,FALSE)),0,VLOOKUP($A301,ThrowData,2,FALSE))</f>
        <v>0</v>
      </c>
      <c r="Q301" s="298">
        <f>IF(ISNA(VLOOKUP($A301,SprintData,4,FALSE)),0,VLOOKUP($A301,SprintData,4,FALSE))+V301</f>
        <v>0</v>
      </c>
      <c r="R301" s="298">
        <f>IF(ISNA(VLOOKUP($A301,JumpData,4,FALSE)),0,VLOOKUP($A301,JumpData,4,FALSE))+W301</f>
        <v>0</v>
      </c>
      <c r="S301" s="298">
        <f>IF(ISNA(VLOOKUP($A301,RunData,4,FALSE)),0,VLOOKUP($A301,RunData,4,FALSE))+X301</f>
        <v>0</v>
      </c>
      <c r="T301" s="298">
        <f>IF(ISNA(VLOOKUP($A301,ThrowData,4,FALSE)),0,VLOOKUP($A301,ThrowData,4,FALSE))+Y301</f>
        <v>0</v>
      </c>
      <c r="U301" s="299">
        <f t="shared" si="2"/>
        <v>0</v>
      </c>
      <c r="V301">
        <f>IF(AND($F301&gt;0,NOT(M301),Flexing),FlexPC,0)</f>
        <v>0</v>
      </c>
      <c r="W301">
        <f>IF(AND($F301&gt;0,NOT(N301),Flexing),FlexPC,0)</f>
        <v>0</v>
      </c>
      <c r="X301">
        <f>IF(AND($F301&gt;0,NOT(O301),Flexing),FlexPC,0)</f>
        <v>0</v>
      </c>
      <c r="Y301">
        <f>IF(AND($F301&gt;0,NOT(P301),Flexing),FlexPC,0)</f>
        <v>0</v>
      </c>
      <c r="AA301" s="209">
        <f t="shared" si="3"/>
        <v>300</v>
      </c>
    </row>
    <row r="302" ht="15.75" customHeight="1">
      <c r="A302" s="206" t="str">
        <f>+Declarations!A302&amp;""</f>
        <v/>
      </c>
      <c r="B302" t="str">
        <f>IF(LEN($A302),IF(LEN(Declarations!$B302)&gt;0,Declarations!$B302,"#"&amp;$A302),"")</f>
        <v/>
      </c>
      <c r="C302" s="209" t="str">
        <f t="array" ref="C302">IF(LEN(INDEX(DECLARATIONS,$AA302,3))&gt;0,INDEX(DECLARATIONS,$AA302,3),"...")</f>
        <v>...</v>
      </c>
      <c r="D302" s="209" t="str">
        <f t="shared" si="1"/>
        <v/>
      </c>
      <c r="E302" s="296" t="str">
        <f t="array" ref="E302">IF(ISNA($AA302),0,INDEX(DECLARATIONS,$AA302,5))</f>
        <v/>
      </c>
      <c r="F302" s="209" t="str">
        <f t="array" ref="F302">IF(ISNA($AA302),0,INDEX(DECLARATIONS,$AA302,7))</f>
        <v/>
      </c>
      <c r="G302" s="209" t="str">
        <f t="array" ref="G302">UPPER(IF(ISNA($AA302),"",INDEX(DECLARATIONS,$AA302,4)))</f>
        <v/>
      </c>
      <c r="H302" t="str">
        <f>IF(AND(A302&gt;0,ISTEXT(B302)),IF(SECNAME="YES",LEFT(B302&amp;" ",FIND(" ",B302&amp;" ")+2)&amp;IF(F302&gt;0," ("&amp;F302&amp;")",""),B302&amp;IF(F302&gt;0," ("&amp;F302&amp;")","")),"#"&amp;$A302)</f>
        <v/>
      </c>
      <c r="I302" s="209">
        <f>IF(LEN($A302)&gt;0,IF(LEN($J302)&gt;0,MATCH(J302,MatchNames,0),EventIndex),0)</f>
        <v>0</v>
      </c>
      <c r="J302" s="209" t="str">
        <f>IF(LEN($A302)&gt;0,IF(LEN(Declarations!$F302)&gt;0,Declarations!$F302,conftype),"")</f>
        <v/>
      </c>
      <c r="M302" s="297">
        <f>IF(ISNA(VLOOKUP($A302,SprintData,2,FALSE)),0,VLOOKUP($A302,SprintData,2,FALSE))</f>
        <v>0</v>
      </c>
      <c r="N302" s="297">
        <f>IF(ISNA(VLOOKUP($A302,JumpData,2,FALSE)),0,VLOOKUP($A302,JumpData,2,FALSE))</f>
        <v>0</v>
      </c>
      <c r="O302" s="297">
        <f>IF(ISNA(VLOOKUP($A302,RunData,2,FALSE)),0,VLOOKUP($A302,RunData,2,FALSE))</f>
        <v>0</v>
      </c>
      <c r="P302" s="297">
        <f>IF(ISNA(VLOOKUP($A302,ThrowData,2,FALSE)),0,VLOOKUP($A302,ThrowData,2,FALSE))</f>
        <v>0</v>
      </c>
      <c r="Q302" s="298">
        <f>IF(ISNA(VLOOKUP($A302,SprintData,4,FALSE)),0,VLOOKUP($A302,SprintData,4,FALSE))+V302</f>
        <v>0</v>
      </c>
      <c r="R302" s="298">
        <f>IF(ISNA(VLOOKUP($A302,JumpData,4,FALSE)),0,VLOOKUP($A302,JumpData,4,FALSE))+W302</f>
        <v>0</v>
      </c>
      <c r="S302" s="298">
        <f>IF(ISNA(VLOOKUP($A302,RunData,4,FALSE)),0,VLOOKUP($A302,RunData,4,FALSE))+X302</f>
        <v>0</v>
      </c>
      <c r="T302" s="298">
        <f>IF(ISNA(VLOOKUP($A302,ThrowData,4,FALSE)),0,VLOOKUP($A302,ThrowData,4,FALSE))+Y302</f>
        <v>0</v>
      </c>
      <c r="U302" s="299">
        <f t="shared" si="2"/>
        <v>0</v>
      </c>
      <c r="V302">
        <f>IF(AND($F302&gt;0,NOT(M302),Flexing),FlexPC,0)</f>
        <v>0</v>
      </c>
      <c r="W302">
        <f>IF(AND($F302&gt;0,NOT(N302),Flexing),FlexPC,0)</f>
        <v>0</v>
      </c>
      <c r="X302">
        <f>IF(AND($F302&gt;0,NOT(O302),Flexing),FlexPC,0)</f>
        <v>0</v>
      </c>
      <c r="Y302">
        <f>IF(AND($F302&gt;0,NOT(P302),Flexing),FlexPC,0)</f>
        <v>0</v>
      </c>
      <c r="AA302" s="209">
        <f t="shared" si="3"/>
        <v>301</v>
      </c>
    </row>
    <row r="303" ht="15.75" customHeight="1">
      <c r="A303" s="206" t="str">
        <f>+Declarations!A303&amp;""</f>
        <v/>
      </c>
      <c r="B303" t="str">
        <f>IF(LEN($A303),IF(LEN(Declarations!$B303)&gt;0,Declarations!$B303,"#"&amp;$A303),"")</f>
        <v/>
      </c>
      <c r="C303" s="209" t="str">
        <f t="array" ref="C303">IF(LEN(INDEX(DECLARATIONS,$AA303,3))&gt;0,INDEX(DECLARATIONS,$AA303,3),"...")</f>
        <v>...</v>
      </c>
      <c r="D303" s="209" t="str">
        <f t="shared" si="1"/>
        <v/>
      </c>
      <c r="E303" s="296" t="str">
        <f t="array" ref="E303">IF(ISNA($AA303),0,INDEX(DECLARATIONS,$AA303,5))</f>
        <v/>
      </c>
      <c r="F303" s="209" t="str">
        <f t="array" ref="F303">IF(ISNA($AA303),0,INDEX(DECLARATIONS,$AA303,7))</f>
        <v/>
      </c>
      <c r="G303" s="209" t="str">
        <f t="array" ref="G303">UPPER(IF(ISNA($AA303),"",INDEX(DECLARATIONS,$AA303,4)))</f>
        <v/>
      </c>
      <c r="H303" t="str">
        <f>IF(AND(A303&gt;0,ISTEXT(B303)),IF(SECNAME="YES",LEFT(B303&amp;" ",FIND(" ",B303&amp;" ")+2)&amp;IF(F303&gt;0," ("&amp;F303&amp;")",""),B303&amp;IF(F303&gt;0," ("&amp;F303&amp;")","")),"#"&amp;$A303)</f>
        <v/>
      </c>
      <c r="I303" s="209">
        <f>IF(LEN($A303)&gt;0,IF(LEN($J303)&gt;0,MATCH(J303,MatchNames,0),EventIndex),0)</f>
        <v>0</v>
      </c>
      <c r="J303" s="209" t="str">
        <f>IF(LEN($A303)&gt;0,IF(LEN(Declarations!$F303)&gt;0,Declarations!$F303,conftype),"")</f>
        <v/>
      </c>
      <c r="M303" s="297">
        <f>IF(ISNA(VLOOKUP($A303,SprintData,2,FALSE)),0,VLOOKUP($A303,SprintData,2,FALSE))</f>
        <v>0</v>
      </c>
      <c r="N303" s="297">
        <f>IF(ISNA(VLOOKUP($A303,JumpData,2,FALSE)),0,VLOOKUP($A303,JumpData,2,FALSE))</f>
        <v>0</v>
      </c>
      <c r="O303" s="297">
        <f>IF(ISNA(VLOOKUP($A303,RunData,2,FALSE)),0,VLOOKUP($A303,RunData,2,FALSE))</f>
        <v>0</v>
      </c>
      <c r="P303" s="297">
        <f>IF(ISNA(VLOOKUP($A303,ThrowData,2,FALSE)),0,VLOOKUP($A303,ThrowData,2,FALSE))</f>
        <v>0</v>
      </c>
      <c r="Q303" s="298">
        <f>IF(ISNA(VLOOKUP($A303,SprintData,4,FALSE)),0,VLOOKUP($A303,SprintData,4,FALSE))+V303</f>
        <v>0</v>
      </c>
      <c r="R303" s="298">
        <f>IF(ISNA(VLOOKUP($A303,JumpData,4,FALSE)),0,VLOOKUP($A303,JumpData,4,FALSE))+W303</f>
        <v>0</v>
      </c>
      <c r="S303" s="298">
        <f>IF(ISNA(VLOOKUP($A303,RunData,4,FALSE)),0,VLOOKUP($A303,RunData,4,FALSE))+X303</f>
        <v>0</v>
      </c>
      <c r="T303" s="298">
        <f>IF(ISNA(VLOOKUP($A303,ThrowData,4,FALSE)),0,VLOOKUP($A303,ThrowData,4,FALSE))+Y303</f>
        <v>0</v>
      </c>
      <c r="U303" s="299">
        <f t="shared" si="2"/>
        <v>0</v>
      </c>
      <c r="V303">
        <f>IF(AND($F303&gt;0,NOT(M303),Flexing),FlexPC,0)</f>
        <v>0</v>
      </c>
      <c r="W303">
        <f>IF(AND($F303&gt;0,NOT(N303),Flexing),FlexPC,0)</f>
        <v>0</v>
      </c>
      <c r="X303">
        <f>IF(AND($F303&gt;0,NOT(O303),Flexing),FlexPC,0)</f>
        <v>0</v>
      </c>
      <c r="Y303">
        <f>IF(AND($F303&gt;0,NOT(P303),Flexing),FlexPC,0)</f>
        <v>0</v>
      </c>
      <c r="AA303" s="209">
        <f t="shared" si="3"/>
        <v>302</v>
      </c>
    </row>
    <row r="304" ht="15.75" customHeight="1">
      <c r="A304" s="206" t="str">
        <f>+Declarations!A304&amp;""</f>
        <v/>
      </c>
      <c r="B304" t="str">
        <f>IF(LEN($A304),IF(LEN(Declarations!$B304)&gt;0,Declarations!$B304,"#"&amp;$A304),"")</f>
        <v/>
      </c>
      <c r="C304" s="209" t="str">
        <f t="array" ref="C304">IF(LEN(INDEX(DECLARATIONS,$AA304,3))&gt;0,INDEX(DECLARATIONS,$AA304,3),"...")</f>
        <v>...</v>
      </c>
      <c r="D304" s="209" t="str">
        <f t="shared" si="1"/>
        <v/>
      </c>
      <c r="E304" s="296" t="str">
        <f t="array" ref="E304">IF(ISNA($AA304),0,INDEX(DECLARATIONS,$AA304,5))</f>
        <v/>
      </c>
      <c r="F304" s="209" t="str">
        <f t="array" ref="F304">IF(ISNA($AA304),0,INDEX(DECLARATIONS,$AA304,7))</f>
        <v/>
      </c>
      <c r="G304" s="209" t="str">
        <f t="array" ref="G304">UPPER(IF(ISNA($AA304),"",INDEX(DECLARATIONS,$AA304,4)))</f>
        <v/>
      </c>
      <c r="H304" t="str">
        <f>IF(AND(A304&gt;0,ISTEXT(B304)),IF(SECNAME="YES",LEFT(B304&amp;" ",FIND(" ",B304&amp;" ")+2)&amp;IF(F304&gt;0," ("&amp;F304&amp;")",""),B304&amp;IF(F304&gt;0," ("&amp;F304&amp;")","")),"#"&amp;$A304)</f>
        <v/>
      </c>
      <c r="I304" s="209">
        <f>IF(LEN($A304)&gt;0,IF(LEN($J304)&gt;0,MATCH(J304,MatchNames,0),EventIndex),0)</f>
        <v>0</v>
      </c>
      <c r="J304" s="209" t="str">
        <f>IF(LEN($A304)&gt;0,IF(LEN(Declarations!$F304)&gt;0,Declarations!$F304,conftype),"")</f>
        <v/>
      </c>
      <c r="M304" s="297">
        <f>IF(ISNA(VLOOKUP($A304,SprintData,2,FALSE)),0,VLOOKUP($A304,SprintData,2,FALSE))</f>
        <v>0</v>
      </c>
      <c r="N304" s="297">
        <f>IF(ISNA(VLOOKUP($A304,JumpData,2,FALSE)),0,VLOOKUP($A304,JumpData,2,FALSE))</f>
        <v>0</v>
      </c>
      <c r="O304" s="297">
        <f>IF(ISNA(VLOOKUP($A304,RunData,2,FALSE)),0,VLOOKUP($A304,RunData,2,FALSE))</f>
        <v>0</v>
      </c>
      <c r="P304" s="297">
        <f>IF(ISNA(VLOOKUP($A304,ThrowData,2,FALSE)),0,VLOOKUP($A304,ThrowData,2,FALSE))</f>
        <v>0</v>
      </c>
      <c r="Q304" s="298">
        <f>IF(ISNA(VLOOKUP($A304,SprintData,4,FALSE)),0,VLOOKUP($A304,SprintData,4,FALSE))+V304</f>
        <v>0</v>
      </c>
      <c r="R304" s="298">
        <f>IF(ISNA(VLOOKUP($A304,JumpData,4,FALSE)),0,VLOOKUP($A304,JumpData,4,FALSE))+W304</f>
        <v>0</v>
      </c>
      <c r="S304" s="298">
        <f>IF(ISNA(VLOOKUP($A304,RunData,4,FALSE)),0,VLOOKUP($A304,RunData,4,FALSE))+X304</f>
        <v>0</v>
      </c>
      <c r="T304" s="298">
        <f>IF(ISNA(VLOOKUP($A304,ThrowData,4,FALSE)),0,VLOOKUP($A304,ThrowData,4,FALSE))+Y304</f>
        <v>0</v>
      </c>
      <c r="U304" s="299">
        <f t="shared" si="2"/>
        <v>0</v>
      </c>
      <c r="V304">
        <f>IF(AND($F304&gt;0,NOT(M304),Flexing),FlexPC,0)</f>
        <v>0</v>
      </c>
      <c r="W304">
        <f>IF(AND($F304&gt;0,NOT(N304),Flexing),FlexPC,0)</f>
        <v>0</v>
      </c>
      <c r="X304">
        <f>IF(AND($F304&gt;0,NOT(O304),Flexing),FlexPC,0)</f>
        <v>0</v>
      </c>
      <c r="Y304">
        <f>IF(AND($F304&gt;0,NOT(P304),Flexing),FlexPC,0)</f>
        <v>0</v>
      </c>
      <c r="AA304" s="209">
        <f t="shared" si="3"/>
        <v>303</v>
      </c>
    </row>
    <row r="305" ht="15.75" customHeight="1">
      <c r="A305" s="206" t="str">
        <f>+Declarations!A305&amp;""</f>
        <v/>
      </c>
      <c r="B305" t="str">
        <f>IF(LEN($A305),IF(LEN(Declarations!$B305)&gt;0,Declarations!$B305,"#"&amp;$A305),"")</f>
        <v/>
      </c>
      <c r="C305" s="209" t="str">
        <f t="array" ref="C305">IF(LEN(INDEX(DECLARATIONS,$AA305,3))&gt;0,INDEX(DECLARATIONS,$AA305,3),"...")</f>
        <v>...</v>
      </c>
      <c r="D305" s="209" t="str">
        <f t="shared" si="1"/>
        <v/>
      </c>
      <c r="E305" s="296" t="str">
        <f t="array" ref="E305">IF(ISNA($AA305),0,INDEX(DECLARATIONS,$AA305,5))</f>
        <v/>
      </c>
      <c r="F305" s="209" t="str">
        <f t="array" ref="F305">IF(ISNA($AA305),0,INDEX(DECLARATIONS,$AA305,7))</f>
        <v/>
      </c>
      <c r="G305" s="209" t="str">
        <f t="array" ref="G305">UPPER(IF(ISNA($AA305),"",INDEX(DECLARATIONS,$AA305,4)))</f>
        <v/>
      </c>
      <c r="H305" t="str">
        <f>IF(AND(A305&gt;0,ISTEXT(B305)),IF(SECNAME="YES",LEFT(B305&amp;" ",FIND(" ",B305&amp;" ")+2)&amp;IF(F305&gt;0," ("&amp;F305&amp;")",""),B305&amp;IF(F305&gt;0," ("&amp;F305&amp;")","")),"#"&amp;$A305)</f>
        <v/>
      </c>
      <c r="I305" s="209">
        <f>IF(LEN($A305)&gt;0,IF(LEN($J305)&gt;0,MATCH(J305,MatchNames,0),EventIndex),0)</f>
        <v>0</v>
      </c>
      <c r="J305" s="209" t="str">
        <f>IF(LEN($A305)&gt;0,IF(LEN(Declarations!$F305)&gt;0,Declarations!$F305,conftype),"")</f>
        <v/>
      </c>
      <c r="M305" s="297">
        <f>IF(ISNA(VLOOKUP($A305,SprintData,2,FALSE)),0,VLOOKUP($A305,SprintData,2,FALSE))</f>
        <v>0</v>
      </c>
      <c r="N305" s="297">
        <f>IF(ISNA(VLOOKUP($A305,JumpData,2,FALSE)),0,VLOOKUP($A305,JumpData,2,FALSE))</f>
        <v>0</v>
      </c>
      <c r="O305" s="297">
        <f>IF(ISNA(VLOOKUP($A305,RunData,2,FALSE)),0,VLOOKUP($A305,RunData,2,FALSE))</f>
        <v>0</v>
      </c>
      <c r="P305" s="297">
        <f>IF(ISNA(VLOOKUP($A305,ThrowData,2,FALSE)),0,VLOOKUP($A305,ThrowData,2,FALSE))</f>
        <v>0</v>
      </c>
      <c r="Q305" s="298">
        <f>IF(ISNA(VLOOKUP($A305,SprintData,4,FALSE)),0,VLOOKUP($A305,SprintData,4,FALSE))+V305</f>
        <v>0</v>
      </c>
      <c r="R305" s="298">
        <f>IF(ISNA(VLOOKUP($A305,JumpData,4,FALSE)),0,VLOOKUP($A305,JumpData,4,FALSE))+W305</f>
        <v>0</v>
      </c>
      <c r="S305" s="298">
        <f>IF(ISNA(VLOOKUP($A305,RunData,4,FALSE)),0,VLOOKUP($A305,RunData,4,FALSE))+X305</f>
        <v>0</v>
      </c>
      <c r="T305" s="298">
        <f>IF(ISNA(VLOOKUP($A305,ThrowData,4,FALSE)),0,VLOOKUP($A305,ThrowData,4,FALSE))+Y305</f>
        <v>0</v>
      </c>
      <c r="U305" s="299">
        <f t="shared" si="2"/>
        <v>0</v>
      </c>
      <c r="V305">
        <f>IF(AND($F305&gt;0,NOT(M305),Flexing),FlexPC,0)</f>
        <v>0</v>
      </c>
      <c r="W305">
        <f>IF(AND($F305&gt;0,NOT(N305),Flexing),FlexPC,0)</f>
        <v>0</v>
      </c>
      <c r="X305">
        <f>IF(AND($F305&gt;0,NOT(O305),Flexing),FlexPC,0)</f>
        <v>0</v>
      </c>
      <c r="Y305">
        <f>IF(AND($F305&gt;0,NOT(P305),Flexing),FlexPC,0)</f>
        <v>0</v>
      </c>
      <c r="AA305" s="209">
        <f t="shared" si="3"/>
        <v>304</v>
      </c>
    </row>
    <row r="306" ht="15.75" customHeight="1">
      <c r="A306" s="206" t="str">
        <f>+Declarations!A306&amp;""</f>
        <v/>
      </c>
      <c r="B306" t="str">
        <f>IF(LEN($A306),IF(LEN(Declarations!$B306)&gt;0,Declarations!$B306,"#"&amp;$A306),"")</f>
        <v/>
      </c>
      <c r="C306" s="209" t="str">
        <f t="array" ref="C306">IF(LEN(INDEX(DECLARATIONS,$AA306,3))&gt;0,INDEX(DECLARATIONS,$AA306,3),"...")</f>
        <v>...</v>
      </c>
      <c r="D306" s="209" t="str">
        <f t="shared" si="1"/>
        <v/>
      </c>
      <c r="E306" s="296" t="str">
        <f t="array" ref="E306">IF(ISNA($AA306),0,INDEX(DECLARATIONS,$AA306,5))</f>
        <v/>
      </c>
      <c r="F306" s="209" t="str">
        <f t="array" ref="F306">IF(ISNA($AA306),0,INDEX(DECLARATIONS,$AA306,7))</f>
        <v/>
      </c>
      <c r="G306" s="209" t="str">
        <f t="array" ref="G306">UPPER(IF(ISNA($AA306),"",INDEX(DECLARATIONS,$AA306,4)))</f>
        <v/>
      </c>
      <c r="H306" t="str">
        <f>IF(AND(A306&gt;0,ISTEXT(B306)),IF(SECNAME="YES",LEFT(B306&amp;" ",FIND(" ",B306&amp;" ")+2)&amp;IF(F306&gt;0," ("&amp;F306&amp;")",""),B306&amp;IF(F306&gt;0," ("&amp;F306&amp;")","")),"#"&amp;$A306)</f>
        <v/>
      </c>
      <c r="I306" s="209">
        <f>IF(LEN($A306)&gt;0,IF(LEN($J306)&gt;0,MATCH(J306,MatchNames,0),EventIndex),0)</f>
        <v>0</v>
      </c>
      <c r="J306" s="209" t="str">
        <f>IF(LEN($A306)&gt;0,IF(LEN(Declarations!$F306)&gt;0,Declarations!$F306,conftype),"")</f>
        <v/>
      </c>
      <c r="M306" s="297">
        <f>IF(ISNA(VLOOKUP($A306,SprintData,2,FALSE)),0,VLOOKUP($A306,SprintData,2,FALSE))</f>
        <v>0</v>
      </c>
      <c r="N306" s="297">
        <f>IF(ISNA(VLOOKUP($A306,JumpData,2,FALSE)),0,VLOOKUP($A306,JumpData,2,FALSE))</f>
        <v>0</v>
      </c>
      <c r="O306" s="297">
        <f>IF(ISNA(VLOOKUP($A306,RunData,2,FALSE)),0,VLOOKUP($A306,RunData,2,FALSE))</f>
        <v>0</v>
      </c>
      <c r="P306" s="297">
        <f>IF(ISNA(VLOOKUP($A306,ThrowData,2,FALSE)),0,VLOOKUP($A306,ThrowData,2,FALSE))</f>
        <v>0</v>
      </c>
      <c r="Q306" s="298">
        <f>IF(ISNA(VLOOKUP($A306,SprintData,4,FALSE)),0,VLOOKUP($A306,SprintData,4,FALSE))+V306</f>
        <v>0</v>
      </c>
      <c r="R306" s="298">
        <f>IF(ISNA(VLOOKUP($A306,JumpData,4,FALSE)),0,VLOOKUP($A306,JumpData,4,FALSE))+W306</f>
        <v>0</v>
      </c>
      <c r="S306" s="298">
        <f>IF(ISNA(VLOOKUP($A306,RunData,4,FALSE)),0,VLOOKUP($A306,RunData,4,FALSE))+X306</f>
        <v>0</v>
      </c>
      <c r="T306" s="298">
        <f>IF(ISNA(VLOOKUP($A306,ThrowData,4,FALSE)),0,VLOOKUP($A306,ThrowData,4,FALSE))+Y306</f>
        <v>0</v>
      </c>
      <c r="U306" s="299">
        <f t="shared" si="2"/>
        <v>0</v>
      </c>
      <c r="V306">
        <f>IF(AND($F306&gt;0,NOT(M306),Flexing),FlexPC,0)</f>
        <v>0</v>
      </c>
      <c r="W306">
        <f>IF(AND($F306&gt;0,NOT(N306),Flexing),FlexPC,0)</f>
        <v>0</v>
      </c>
      <c r="X306">
        <f>IF(AND($F306&gt;0,NOT(O306),Flexing),FlexPC,0)</f>
        <v>0</v>
      </c>
      <c r="Y306">
        <f>IF(AND($F306&gt;0,NOT(P306),Flexing),FlexPC,0)</f>
        <v>0</v>
      </c>
      <c r="AA306" s="209">
        <f t="shared" si="3"/>
        <v>305</v>
      </c>
    </row>
    <row r="307" ht="15.75" customHeight="1">
      <c r="A307" s="206" t="str">
        <f>+Declarations!A307&amp;""</f>
        <v/>
      </c>
      <c r="B307" t="str">
        <f>IF(LEN($A307),IF(LEN(Declarations!$B307)&gt;0,Declarations!$B307,"#"&amp;$A307),"")</f>
        <v/>
      </c>
      <c r="C307" s="209" t="str">
        <f t="array" ref="C307">IF(LEN(INDEX(DECLARATIONS,$AA307,3))&gt;0,INDEX(DECLARATIONS,$AA307,3),"...")</f>
        <v>...</v>
      </c>
      <c r="D307" s="209" t="str">
        <f t="shared" si="1"/>
        <v/>
      </c>
      <c r="E307" s="296" t="str">
        <f t="array" ref="E307">IF(ISNA($AA307),0,INDEX(DECLARATIONS,$AA307,5))</f>
        <v/>
      </c>
      <c r="F307" s="209" t="str">
        <f t="array" ref="F307">IF(ISNA($AA307),0,INDEX(DECLARATIONS,$AA307,7))</f>
        <v/>
      </c>
      <c r="G307" s="209" t="str">
        <f t="array" ref="G307">UPPER(IF(ISNA($AA307),"",INDEX(DECLARATIONS,$AA307,4)))</f>
        <v/>
      </c>
      <c r="H307" t="str">
        <f>IF(AND(A307&gt;0,ISTEXT(B307)),IF(SECNAME="YES",LEFT(B307&amp;" ",FIND(" ",B307&amp;" ")+2)&amp;IF(F307&gt;0," ("&amp;F307&amp;")",""),B307&amp;IF(F307&gt;0," ("&amp;F307&amp;")","")),"#"&amp;$A307)</f>
        <v/>
      </c>
      <c r="I307" s="209">
        <f>IF(LEN($A307)&gt;0,IF(LEN($J307)&gt;0,MATCH(J307,MatchNames,0),EventIndex),0)</f>
        <v>0</v>
      </c>
      <c r="J307" s="209" t="str">
        <f>IF(LEN($A307)&gt;0,IF(LEN(Declarations!$F307)&gt;0,Declarations!$F307,conftype),"")</f>
        <v/>
      </c>
      <c r="M307" s="297">
        <f>IF(ISNA(VLOOKUP($A307,SprintData,2,FALSE)),0,VLOOKUP($A307,SprintData,2,FALSE))</f>
        <v>0</v>
      </c>
      <c r="N307" s="297">
        <f>IF(ISNA(VLOOKUP($A307,JumpData,2,FALSE)),0,VLOOKUP($A307,JumpData,2,FALSE))</f>
        <v>0</v>
      </c>
      <c r="O307" s="297">
        <f>IF(ISNA(VLOOKUP($A307,RunData,2,FALSE)),0,VLOOKUP($A307,RunData,2,FALSE))</f>
        <v>0</v>
      </c>
      <c r="P307" s="297">
        <f>IF(ISNA(VLOOKUP($A307,ThrowData,2,FALSE)),0,VLOOKUP($A307,ThrowData,2,FALSE))</f>
        <v>0</v>
      </c>
      <c r="Q307" s="298">
        <f>IF(ISNA(VLOOKUP($A307,SprintData,4,FALSE)),0,VLOOKUP($A307,SprintData,4,FALSE))+V307</f>
        <v>0</v>
      </c>
      <c r="R307" s="298">
        <f>IF(ISNA(VLOOKUP($A307,JumpData,4,FALSE)),0,VLOOKUP($A307,JumpData,4,FALSE))+W307</f>
        <v>0</v>
      </c>
      <c r="S307" s="298">
        <f>IF(ISNA(VLOOKUP($A307,RunData,4,FALSE)),0,VLOOKUP($A307,RunData,4,FALSE))+X307</f>
        <v>0</v>
      </c>
      <c r="T307" s="298">
        <f>IF(ISNA(VLOOKUP($A307,ThrowData,4,FALSE)),0,VLOOKUP($A307,ThrowData,4,FALSE))+Y307</f>
        <v>0</v>
      </c>
      <c r="U307" s="299">
        <f t="shared" si="2"/>
        <v>0</v>
      </c>
      <c r="V307">
        <f>IF(AND($F307&gt;0,NOT(M307),Flexing),FlexPC,0)</f>
        <v>0</v>
      </c>
      <c r="W307">
        <f>IF(AND($F307&gt;0,NOT(N307),Flexing),FlexPC,0)</f>
        <v>0</v>
      </c>
      <c r="X307">
        <f>IF(AND($F307&gt;0,NOT(O307),Flexing),FlexPC,0)</f>
        <v>0</v>
      </c>
      <c r="Y307">
        <f>IF(AND($F307&gt;0,NOT(P307),Flexing),FlexPC,0)</f>
        <v>0</v>
      </c>
      <c r="AA307" s="209">
        <f t="shared" si="3"/>
        <v>306</v>
      </c>
    </row>
    <row r="308" ht="15.75" customHeight="1">
      <c r="A308" s="206" t="str">
        <f>+Declarations!A308&amp;""</f>
        <v/>
      </c>
      <c r="B308" t="str">
        <f>IF(LEN($A308),IF(LEN(Declarations!$B308)&gt;0,Declarations!$B308,"#"&amp;$A308),"")</f>
        <v/>
      </c>
      <c r="C308" s="209" t="str">
        <f t="array" ref="C308">IF(LEN(INDEX(DECLARATIONS,$AA308,3))&gt;0,INDEX(DECLARATIONS,$AA308,3),"...")</f>
        <v>...</v>
      </c>
      <c r="D308" s="209" t="str">
        <f t="shared" si="1"/>
        <v/>
      </c>
      <c r="E308" s="296" t="str">
        <f t="array" ref="E308">IF(ISNA($AA308),0,INDEX(DECLARATIONS,$AA308,5))</f>
        <v/>
      </c>
      <c r="F308" s="209" t="str">
        <f t="array" ref="F308">IF(ISNA($AA308),0,INDEX(DECLARATIONS,$AA308,7))</f>
        <v/>
      </c>
      <c r="G308" s="209" t="str">
        <f t="array" ref="G308">UPPER(IF(ISNA($AA308),"",INDEX(DECLARATIONS,$AA308,4)))</f>
        <v/>
      </c>
      <c r="H308" t="str">
        <f>IF(AND(A308&gt;0,ISTEXT(B308)),IF(SECNAME="YES",LEFT(B308&amp;" ",FIND(" ",B308&amp;" ")+2)&amp;IF(F308&gt;0," ("&amp;F308&amp;")",""),B308&amp;IF(F308&gt;0," ("&amp;F308&amp;")","")),"#"&amp;$A308)</f>
        <v/>
      </c>
      <c r="I308" s="209">
        <f>IF(LEN($A308)&gt;0,IF(LEN($J308)&gt;0,MATCH(J308,MatchNames,0),EventIndex),0)</f>
        <v>0</v>
      </c>
      <c r="J308" s="209" t="str">
        <f>IF(LEN($A308)&gt;0,IF(LEN(Declarations!$F308)&gt;0,Declarations!$F308,conftype),"")</f>
        <v/>
      </c>
      <c r="M308" s="297">
        <f>IF(ISNA(VLOOKUP($A308,SprintData,2,FALSE)),0,VLOOKUP($A308,SprintData,2,FALSE))</f>
        <v>0</v>
      </c>
      <c r="N308" s="297">
        <f>IF(ISNA(VLOOKUP($A308,JumpData,2,FALSE)),0,VLOOKUP($A308,JumpData,2,FALSE))</f>
        <v>0</v>
      </c>
      <c r="O308" s="297">
        <f>IF(ISNA(VLOOKUP($A308,RunData,2,FALSE)),0,VLOOKUP($A308,RunData,2,FALSE))</f>
        <v>0</v>
      </c>
      <c r="P308" s="297">
        <f>IF(ISNA(VLOOKUP($A308,ThrowData,2,FALSE)),0,VLOOKUP($A308,ThrowData,2,FALSE))</f>
        <v>0</v>
      </c>
      <c r="Q308" s="298">
        <f>IF(ISNA(VLOOKUP($A308,SprintData,4,FALSE)),0,VLOOKUP($A308,SprintData,4,FALSE))+V308</f>
        <v>0</v>
      </c>
      <c r="R308" s="298">
        <f>IF(ISNA(VLOOKUP($A308,JumpData,4,FALSE)),0,VLOOKUP($A308,JumpData,4,FALSE))+W308</f>
        <v>0</v>
      </c>
      <c r="S308" s="298">
        <f>IF(ISNA(VLOOKUP($A308,RunData,4,FALSE)),0,VLOOKUP($A308,RunData,4,FALSE))+X308</f>
        <v>0</v>
      </c>
      <c r="T308" s="298">
        <f>IF(ISNA(VLOOKUP($A308,ThrowData,4,FALSE)),0,VLOOKUP($A308,ThrowData,4,FALSE))+Y308</f>
        <v>0</v>
      </c>
      <c r="U308" s="299">
        <f t="shared" si="2"/>
        <v>0</v>
      </c>
      <c r="V308">
        <f>IF(AND($F308&gt;0,NOT(M308),Flexing),FlexPC,0)</f>
        <v>0</v>
      </c>
      <c r="W308">
        <f>IF(AND($F308&gt;0,NOT(N308),Flexing),FlexPC,0)</f>
        <v>0</v>
      </c>
      <c r="X308">
        <f>IF(AND($F308&gt;0,NOT(O308),Flexing),FlexPC,0)</f>
        <v>0</v>
      </c>
      <c r="Y308">
        <f>IF(AND($F308&gt;0,NOT(P308),Flexing),FlexPC,0)</f>
        <v>0</v>
      </c>
      <c r="AA308" s="209">
        <f t="shared" si="3"/>
        <v>307</v>
      </c>
    </row>
    <row r="309" ht="15.75" customHeight="1">
      <c r="A309" s="206" t="str">
        <f>+Declarations!A309&amp;""</f>
        <v/>
      </c>
      <c r="B309" t="str">
        <f>IF(LEN($A309),IF(LEN(Declarations!$B309)&gt;0,Declarations!$B309,"#"&amp;$A309),"")</f>
        <v/>
      </c>
      <c r="C309" s="209" t="str">
        <f t="array" ref="C309">IF(LEN(INDEX(DECLARATIONS,$AA309,3))&gt;0,INDEX(DECLARATIONS,$AA309,3),"...")</f>
        <v>...</v>
      </c>
      <c r="D309" s="209" t="str">
        <f t="shared" si="1"/>
        <v/>
      </c>
      <c r="E309" s="296" t="str">
        <f t="array" ref="E309">IF(ISNA($AA309),0,INDEX(DECLARATIONS,$AA309,5))</f>
        <v/>
      </c>
      <c r="F309" s="209" t="str">
        <f t="array" ref="F309">IF(ISNA($AA309),0,INDEX(DECLARATIONS,$AA309,7))</f>
        <v/>
      </c>
      <c r="G309" s="209" t="str">
        <f t="array" ref="G309">UPPER(IF(ISNA($AA309),"",INDEX(DECLARATIONS,$AA309,4)))</f>
        <v/>
      </c>
      <c r="H309" t="str">
        <f>IF(AND(A309&gt;0,ISTEXT(B309)),IF(SECNAME="YES",LEFT(B309&amp;" ",FIND(" ",B309&amp;" ")+2)&amp;IF(F309&gt;0," ("&amp;F309&amp;")",""),B309&amp;IF(F309&gt;0," ("&amp;F309&amp;")","")),"#"&amp;$A309)</f>
        <v/>
      </c>
      <c r="I309" s="209">
        <f>IF(LEN($A309)&gt;0,IF(LEN($J309)&gt;0,MATCH(J309,MatchNames,0),EventIndex),0)</f>
        <v>0</v>
      </c>
      <c r="J309" s="209" t="str">
        <f>IF(LEN($A309)&gt;0,IF(LEN(Declarations!$F309)&gt;0,Declarations!$F309,conftype),"")</f>
        <v/>
      </c>
      <c r="M309" s="297">
        <f>IF(ISNA(VLOOKUP($A309,SprintData,2,FALSE)),0,VLOOKUP($A309,SprintData,2,FALSE))</f>
        <v>0</v>
      </c>
      <c r="N309" s="297">
        <f>IF(ISNA(VLOOKUP($A309,JumpData,2,FALSE)),0,VLOOKUP($A309,JumpData,2,FALSE))</f>
        <v>0</v>
      </c>
      <c r="O309" s="297">
        <f>IF(ISNA(VLOOKUP($A309,RunData,2,FALSE)),0,VLOOKUP($A309,RunData,2,FALSE))</f>
        <v>0</v>
      </c>
      <c r="P309" s="297">
        <f>IF(ISNA(VLOOKUP($A309,ThrowData,2,FALSE)),0,VLOOKUP($A309,ThrowData,2,FALSE))</f>
        <v>0</v>
      </c>
      <c r="Q309" s="298">
        <f>IF(ISNA(VLOOKUP($A309,SprintData,4,FALSE)),0,VLOOKUP($A309,SprintData,4,FALSE))+V309</f>
        <v>0</v>
      </c>
      <c r="R309" s="298">
        <f>IF(ISNA(VLOOKUP($A309,JumpData,4,FALSE)),0,VLOOKUP($A309,JumpData,4,FALSE))+W309</f>
        <v>0</v>
      </c>
      <c r="S309" s="298">
        <f>IF(ISNA(VLOOKUP($A309,RunData,4,FALSE)),0,VLOOKUP($A309,RunData,4,FALSE))+X309</f>
        <v>0</v>
      </c>
      <c r="T309" s="298">
        <f>IF(ISNA(VLOOKUP($A309,ThrowData,4,FALSE)),0,VLOOKUP($A309,ThrowData,4,FALSE))+Y309</f>
        <v>0</v>
      </c>
      <c r="U309" s="299">
        <f t="shared" si="2"/>
        <v>0</v>
      </c>
      <c r="V309">
        <f>IF(AND($F309&gt;0,NOT(M309),Flexing),FlexPC,0)</f>
        <v>0</v>
      </c>
      <c r="W309">
        <f>IF(AND($F309&gt;0,NOT(N309),Flexing),FlexPC,0)</f>
        <v>0</v>
      </c>
      <c r="X309">
        <f>IF(AND($F309&gt;0,NOT(O309),Flexing),FlexPC,0)</f>
        <v>0</v>
      </c>
      <c r="Y309">
        <f>IF(AND($F309&gt;0,NOT(P309),Flexing),FlexPC,0)</f>
        <v>0</v>
      </c>
      <c r="AA309" s="209">
        <f t="shared" si="3"/>
        <v>308</v>
      </c>
    </row>
    <row r="310" ht="15.75" customHeight="1">
      <c r="A310" s="206" t="str">
        <f>+Declarations!A310&amp;""</f>
        <v/>
      </c>
      <c r="B310" t="str">
        <f>IF(LEN($A310),IF(LEN(Declarations!$B310)&gt;0,Declarations!$B310,"#"&amp;$A310),"")</f>
        <v/>
      </c>
      <c r="C310" s="209" t="str">
        <f t="array" ref="C310">IF(LEN(INDEX(DECLARATIONS,$AA310,3))&gt;0,INDEX(DECLARATIONS,$AA310,3),"...")</f>
        <v>...</v>
      </c>
      <c r="D310" s="209" t="str">
        <f t="shared" si="1"/>
        <v/>
      </c>
      <c r="E310" s="296" t="str">
        <f t="array" ref="E310">IF(ISNA($AA310),0,INDEX(DECLARATIONS,$AA310,5))</f>
        <v/>
      </c>
      <c r="F310" s="209" t="str">
        <f t="array" ref="F310">IF(ISNA($AA310),0,INDEX(DECLARATIONS,$AA310,7))</f>
        <v/>
      </c>
      <c r="G310" s="209" t="str">
        <f t="array" ref="G310">UPPER(IF(ISNA($AA310),"",INDEX(DECLARATIONS,$AA310,4)))</f>
        <v/>
      </c>
      <c r="H310" t="str">
        <f>IF(AND(A310&gt;0,ISTEXT(B310)),IF(SECNAME="YES",LEFT(B310&amp;" ",FIND(" ",B310&amp;" ")+2)&amp;IF(F310&gt;0," ("&amp;F310&amp;")",""),B310&amp;IF(F310&gt;0," ("&amp;F310&amp;")","")),"#"&amp;$A310)</f>
        <v/>
      </c>
      <c r="I310" s="209">
        <f>IF(LEN($A310)&gt;0,IF(LEN($J310)&gt;0,MATCH(J310,MatchNames,0),EventIndex),0)</f>
        <v>0</v>
      </c>
      <c r="J310" s="209" t="str">
        <f>IF(LEN($A310)&gt;0,IF(LEN(Declarations!$F310)&gt;0,Declarations!$F310,conftype),"")</f>
        <v/>
      </c>
      <c r="M310" s="297">
        <f>IF(ISNA(VLOOKUP($A310,SprintData,2,FALSE)),0,VLOOKUP($A310,SprintData,2,FALSE))</f>
        <v>0</v>
      </c>
      <c r="N310" s="297">
        <f>IF(ISNA(VLOOKUP($A310,JumpData,2,FALSE)),0,VLOOKUP($A310,JumpData,2,FALSE))</f>
        <v>0</v>
      </c>
      <c r="O310" s="297">
        <f>IF(ISNA(VLOOKUP($A310,RunData,2,FALSE)),0,VLOOKUP($A310,RunData,2,FALSE))</f>
        <v>0</v>
      </c>
      <c r="P310" s="297">
        <f>IF(ISNA(VLOOKUP($A310,ThrowData,2,FALSE)),0,VLOOKUP($A310,ThrowData,2,FALSE))</f>
        <v>0</v>
      </c>
      <c r="Q310" s="298">
        <f>IF(ISNA(VLOOKUP($A310,SprintData,4,FALSE)),0,VLOOKUP($A310,SprintData,4,FALSE))+V310</f>
        <v>0</v>
      </c>
      <c r="R310" s="298">
        <f>IF(ISNA(VLOOKUP($A310,JumpData,4,FALSE)),0,VLOOKUP($A310,JumpData,4,FALSE))+W310</f>
        <v>0</v>
      </c>
      <c r="S310" s="298">
        <f>IF(ISNA(VLOOKUP($A310,RunData,4,FALSE)),0,VLOOKUP($A310,RunData,4,FALSE))+X310</f>
        <v>0</v>
      </c>
      <c r="T310" s="298">
        <f>IF(ISNA(VLOOKUP($A310,ThrowData,4,FALSE)),0,VLOOKUP($A310,ThrowData,4,FALSE))+Y310</f>
        <v>0</v>
      </c>
      <c r="U310" s="299">
        <f t="shared" si="2"/>
        <v>0</v>
      </c>
      <c r="V310">
        <f>IF(AND($F310&gt;0,NOT(M310),Flexing),FlexPC,0)</f>
        <v>0</v>
      </c>
      <c r="W310">
        <f>IF(AND($F310&gt;0,NOT(N310),Flexing),FlexPC,0)</f>
        <v>0</v>
      </c>
      <c r="X310">
        <f>IF(AND($F310&gt;0,NOT(O310),Flexing),FlexPC,0)</f>
        <v>0</v>
      </c>
      <c r="Y310">
        <f>IF(AND($F310&gt;0,NOT(P310),Flexing),FlexPC,0)</f>
        <v>0</v>
      </c>
      <c r="AA310" s="209">
        <f t="shared" si="3"/>
        <v>309</v>
      </c>
    </row>
    <row r="311" ht="15.75" customHeight="1">
      <c r="A311" s="206" t="str">
        <f>+Declarations!A311&amp;""</f>
        <v/>
      </c>
      <c r="B311" t="str">
        <f>IF(LEN($A311),IF(LEN(Declarations!$B311)&gt;0,Declarations!$B311,"#"&amp;$A311),"")</f>
        <v/>
      </c>
      <c r="C311" s="209" t="str">
        <f t="array" ref="C311">IF(LEN(INDEX(DECLARATIONS,$AA311,3))&gt;0,INDEX(DECLARATIONS,$AA311,3),"...")</f>
        <v>...</v>
      </c>
      <c r="D311" s="209" t="str">
        <f t="shared" si="1"/>
        <v/>
      </c>
      <c r="E311" s="296" t="str">
        <f t="array" ref="E311">IF(ISNA($AA311),0,INDEX(DECLARATIONS,$AA311,5))</f>
        <v/>
      </c>
      <c r="F311" s="209" t="str">
        <f t="array" ref="F311">IF(ISNA($AA311),0,INDEX(DECLARATIONS,$AA311,7))</f>
        <v/>
      </c>
      <c r="G311" s="209" t="str">
        <f t="array" ref="G311">UPPER(IF(ISNA($AA311),"",INDEX(DECLARATIONS,$AA311,4)))</f>
        <v/>
      </c>
      <c r="H311" t="str">
        <f>IF(AND(A311&gt;0,ISTEXT(B311)),IF(SECNAME="YES",LEFT(B311&amp;" ",FIND(" ",B311&amp;" ")+2)&amp;IF(F311&gt;0," ("&amp;F311&amp;")",""),B311&amp;IF(F311&gt;0," ("&amp;F311&amp;")","")),"#"&amp;$A311)</f>
        <v/>
      </c>
      <c r="I311" s="209">
        <f>IF(LEN($A311)&gt;0,IF(LEN($J311)&gt;0,MATCH(J311,MatchNames,0),EventIndex),0)</f>
        <v>0</v>
      </c>
      <c r="J311" s="209" t="str">
        <f>IF(LEN($A311)&gt;0,IF(LEN(Declarations!$F311)&gt;0,Declarations!$F311,conftype),"")</f>
        <v/>
      </c>
      <c r="M311" s="297">
        <f>IF(ISNA(VLOOKUP($A311,SprintData,2,FALSE)),0,VLOOKUP($A311,SprintData,2,FALSE))</f>
        <v>0</v>
      </c>
      <c r="N311" s="297">
        <f>IF(ISNA(VLOOKUP($A311,JumpData,2,FALSE)),0,VLOOKUP($A311,JumpData,2,FALSE))</f>
        <v>0</v>
      </c>
      <c r="O311" s="297">
        <f>IF(ISNA(VLOOKUP($A311,RunData,2,FALSE)),0,VLOOKUP($A311,RunData,2,FALSE))</f>
        <v>0</v>
      </c>
      <c r="P311" s="297">
        <f>IF(ISNA(VLOOKUP($A311,ThrowData,2,FALSE)),0,VLOOKUP($A311,ThrowData,2,FALSE))</f>
        <v>0</v>
      </c>
      <c r="Q311" s="298">
        <f>IF(ISNA(VLOOKUP($A311,SprintData,4,FALSE)),0,VLOOKUP($A311,SprintData,4,FALSE))+V311</f>
        <v>0</v>
      </c>
      <c r="R311" s="298">
        <f>IF(ISNA(VLOOKUP($A311,JumpData,4,FALSE)),0,VLOOKUP($A311,JumpData,4,FALSE))+W311</f>
        <v>0</v>
      </c>
      <c r="S311" s="298">
        <f>IF(ISNA(VLOOKUP($A311,RunData,4,FALSE)),0,VLOOKUP($A311,RunData,4,FALSE))+X311</f>
        <v>0</v>
      </c>
      <c r="T311" s="298">
        <f>IF(ISNA(VLOOKUP($A311,ThrowData,4,FALSE)),0,VLOOKUP($A311,ThrowData,4,FALSE))+Y311</f>
        <v>0</v>
      </c>
      <c r="U311" s="299">
        <f t="shared" si="2"/>
        <v>0</v>
      </c>
      <c r="V311">
        <f>IF(AND($F311&gt;0,NOT(M311),Flexing),FlexPC,0)</f>
        <v>0</v>
      </c>
      <c r="W311">
        <f>IF(AND($F311&gt;0,NOT(N311),Flexing),FlexPC,0)</f>
        <v>0</v>
      </c>
      <c r="X311">
        <f>IF(AND($F311&gt;0,NOT(O311),Flexing),FlexPC,0)</f>
        <v>0</v>
      </c>
      <c r="Y311">
        <f>IF(AND($F311&gt;0,NOT(P311),Flexing),FlexPC,0)</f>
        <v>0</v>
      </c>
      <c r="AA311" s="209">
        <f t="shared" si="3"/>
        <v>310</v>
      </c>
    </row>
    <row r="312" ht="15.75" customHeight="1">
      <c r="A312" s="206" t="str">
        <f>+Declarations!A312&amp;""</f>
        <v/>
      </c>
      <c r="B312" t="str">
        <f>IF(LEN($A312),IF(LEN(Declarations!$B312)&gt;0,Declarations!$B312,"#"&amp;$A312),"")</f>
        <v/>
      </c>
      <c r="C312" s="209" t="str">
        <f t="array" ref="C312">IF(LEN(INDEX(DECLARATIONS,$AA312,3))&gt;0,INDEX(DECLARATIONS,$AA312,3),"...")</f>
        <v>...</v>
      </c>
      <c r="D312" s="209" t="str">
        <f t="shared" si="1"/>
        <v/>
      </c>
      <c r="E312" s="296" t="str">
        <f t="array" ref="E312">IF(ISNA($AA312),0,INDEX(DECLARATIONS,$AA312,5))</f>
        <v/>
      </c>
      <c r="F312" s="209" t="str">
        <f t="array" ref="F312">IF(ISNA($AA312),0,INDEX(DECLARATIONS,$AA312,7))</f>
        <v/>
      </c>
      <c r="G312" s="209" t="str">
        <f t="array" ref="G312">UPPER(IF(ISNA($AA312),"",INDEX(DECLARATIONS,$AA312,4)))</f>
        <v/>
      </c>
      <c r="H312" t="str">
        <f>IF(AND(A312&gt;0,ISTEXT(B312)),IF(SECNAME="YES",LEFT(B312&amp;" ",FIND(" ",B312&amp;" ")+2)&amp;IF(F312&gt;0," ("&amp;F312&amp;")",""),B312&amp;IF(F312&gt;0," ("&amp;F312&amp;")","")),"#"&amp;$A312)</f>
        <v/>
      </c>
      <c r="I312" s="209">
        <f>IF(LEN($A312)&gt;0,IF(LEN($J312)&gt;0,MATCH(J312,MatchNames,0),EventIndex),0)</f>
        <v>0</v>
      </c>
      <c r="J312" s="209" t="str">
        <f>IF(LEN($A312)&gt;0,IF(LEN(Declarations!$F312)&gt;0,Declarations!$F312,conftype),"")</f>
        <v/>
      </c>
      <c r="M312" s="297">
        <f>IF(ISNA(VLOOKUP($A312,SprintData,2,FALSE)),0,VLOOKUP($A312,SprintData,2,FALSE))</f>
        <v>0</v>
      </c>
      <c r="N312" s="297">
        <f>IF(ISNA(VLOOKUP($A312,JumpData,2,FALSE)),0,VLOOKUP($A312,JumpData,2,FALSE))</f>
        <v>0</v>
      </c>
      <c r="O312" s="297">
        <f>IF(ISNA(VLOOKUP($A312,RunData,2,FALSE)),0,VLOOKUP($A312,RunData,2,FALSE))</f>
        <v>0</v>
      </c>
      <c r="P312" s="297">
        <f>IF(ISNA(VLOOKUP($A312,ThrowData,2,FALSE)),0,VLOOKUP($A312,ThrowData,2,FALSE))</f>
        <v>0</v>
      </c>
      <c r="Q312" s="298">
        <f>IF(ISNA(VLOOKUP($A312,SprintData,4,FALSE)),0,VLOOKUP($A312,SprintData,4,FALSE))+V312</f>
        <v>0</v>
      </c>
      <c r="R312" s="298">
        <f>IF(ISNA(VLOOKUP($A312,JumpData,4,FALSE)),0,VLOOKUP($A312,JumpData,4,FALSE))+W312</f>
        <v>0</v>
      </c>
      <c r="S312" s="298">
        <f>IF(ISNA(VLOOKUP($A312,RunData,4,FALSE)),0,VLOOKUP($A312,RunData,4,FALSE))+X312</f>
        <v>0</v>
      </c>
      <c r="T312" s="298">
        <f>IF(ISNA(VLOOKUP($A312,ThrowData,4,FALSE)),0,VLOOKUP($A312,ThrowData,4,FALSE))+Y312</f>
        <v>0</v>
      </c>
      <c r="U312" s="299">
        <f t="shared" si="2"/>
        <v>0</v>
      </c>
      <c r="V312">
        <f>IF(AND($F312&gt;0,NOT(M312),Flexing),FlexPC,0)</f>
        <v>0</v>
      </c>
      <c r="W312">
        <f>IF(AND($F312&gt;0,NOT(N312),Flexing),FlexPC,0)</f>
        <v>0</v>
      </c>
      <c r="X312">
        <f>IF(AND($F312&gt;0,NOT(O312),Flexing),FlexPC,0)</f>
        <v>0</v>
      </c>
      <c r="Y312">
        <f>IF(AND($F312&gt;0,NOT(P312),Flexing),FlexPC,0)</f>
        <v>0</v>
      </c>
      <c r="AA312" s="209">
        <f t="shared" si="3"/>
        <v>311</v>
      </c>
    </row>
    <row r="313" ht="15.75" customHeight="1">
      <c r="A313" s="206" t="str">
        <f>+Declarations!A313&amp;""</f>
        <v/>
      </c>
      <c r="B313" t="str">
        <f>IF(LEN($A313),IF(LEN(Declarations!$B313)&gt;0,Declarations!$B313,"#"&amp;$A313),"")</f>
        <v/>
      </c>
      <c r="C313" s="209" t="str">
        <f t="array" ref="C313">IF(LEN(INDEX(DECLARATIONS,$AA313,3))&gt;0,INDEX(DECLARATIONS,$AA313,3),"...")</f>
        <v>...</v>
      </c>
      <c r="D313" s="209" t="str">
        <f t="shared" si="1"/>
        <v/>
      </c>
      <c r="E313" s="296" t="str">
        <f t="array" ref="E313">IF(ISNA($AA313),0,INDEX(DECLARATIONS,$AA313,5))</f>
        <v/>
      </c>
      <c r="F313" s="209" t="str">
        <f t="array" ref="F313">IF(ISNA($AA313),0,INDEX(DECLARATIONS,$AA313,7))</f>
        <v/>
      </c>
      <c r="G313" s="209" t="str">
        <f t="array" ref="G313">UPPER(IF(ISNA($AA313),"",INDEX(DECLARATIONS,$AA313,4)))</f>
        <v/>
      </c>
      <c r="H313" t="str">
        <f>IF(AND(A313&gt;0,ISTEXT(B313)),IF(SECNAME="YES",LEFT(B313&amp;" ",FIND(" ",B313&amp;" ")+2)&amp;IF(F313&gt;0," ("&amp;F313&amp;")",""),B313&amp;IF(F313&gt;0," ("&amp;F313&amp;")","")),"#"&amp;$A313)</f>
        <v/>
      </c>
      <c r="I313" s="209">
        <f>IF(LEN($A313)&gt;0,IF(LEN($J313)&gt;0,MATCH(J313,MatchNames,0),EventIndex),0)</f>
        <v>0</v>
      </c>
      <c r="J313" s="209" t="str">
        <f>IF(LEN($A313)&gt;0,IF(LEN(Declarations!$F313)&gt;0,Declarations!$F313,conftype),"")</f>
        <v/>
      </c>
      <c r="M313" s="297">
        <f>IF(ISNA(VLOOKUP($A313,SprintData,2,FALSE)),0,VLOOKUP($A313,SprintData,2,FALSE))</f>
        <v>0</v>
      </c>
      <c r="N313" s="297">
        <f>IF(ISNA(VLOOKUP($A313,JumpData,2,FALSE)),0,VLOOKUP($A313,JumpData,2,FALSE))</f>
        <v>0</v>
      </c>
      <c r="O313" s="297">
        <f>IF(ISNA(VLOOKUP($A313,RunData,2,FALSE)),0,VLOOKUP($A313,RunData,2,FALSE))</f>
        <v>0</v>
      </c>
      <c r="P313" s="297">
        <f>IF(ISNA(VLOOKUP($A313,ThrowData,2,FALSE)),0,VLOOKUP($A313,ThrowData,2,FALSE))</f>
        <v>0</v>
      </c>
      <c r="Q313" s="298">
        <f>IF(ISNA(VLOOKUP($A313,SprintData,4,FALSE)),0,VLOOKUP($A313,SprintData,4,FALSE))+V313</f>
        <v>0</v>
      </c>
      <c r="R313" s="298">
        <f>IF(ISNA(VLOOKUP($A313,JumpData,4,FALSE)),0,VLOOKUP($A313,JumpData,4,FALSE))+W313</f>
        <v>0</v>
      </c>
      <c r="S313" s="298">
        <f>IF(ISNA(VLOOKUP($A313,RunData,4,FALSE)),0,VLOOKUP($A313,RunData,4,FALSE))+X313</f>
        <v>0</v>
      </c>
      <c r="T313" s="298">
        <f>IF(ISNA(VLOOKUP($A313,ThrowData,4,FALSE)),0,VLOOKUP($A313,ThrowData,4,FALSE))+Y313</f>
        <v>0</v>
      </c>
      <c r="U313" s="299">
        <f t="shared" si="2"/>
        <v>0</v>
      </c>
      <c r="V313">
        <f>IF(AND($F313&gt;0,NOT(M313),Flexing),FlexPC,0)</f>
        <v>0</v>
      </c>
      <c r="W313">
        <f>IF(AND($F313&gt;0,NOT(N313),Flexing),FlexPC,0)</f>
        <v>0</v>
      </c>
      <c r="X313">
        <f>IF(AND($F313&gt;0,NOT(O313),Flexing),FlexPC,0)</f>
        <v>0</v>
      </c>
      <c r="Y313">
        <f>IF(AND($F313&gt;0,NOT(P313),Flexing),FlexPC,0)</f>
        <v>0</v>
      </c>
      <c r="AA313" s="209">
        <f t="shared" si="3"/>
        <v>312</v>
      </c>
    </row>
    <row r="314" ht="15.75" customHeight="1">
      <c r="A314" s="206" t="str">
        <f>+Declarations!A314&amp;""</f>
        <v/>
      </c>
      <c r="B314" t="str">
        <f>IF(LEN($A314),IF(LEN(Declarations!$B314)&gt;0,Declarations!$B314,"#"&amp;$A314),"")</f>
        <v/>
      </c>
      <c r="C314" s="209" t="str">
        <f t="array" ref="C314">IF(LEN(INDEX(DECLARATIONS,$AA314,3))&gt;0,INDEX(DECLARATIONS,$AA314,3),"...")</f>
        <v>...</v>
      </c>
      <c r="D314" s="209" t="str">
        <f t="shared" si="1"/>
        <v/>
      </c>
      <c r="E314" s="296" t="str">
        <f t="array" ref="E314">IF(ISNA($AA314),0,INDEX(DECLARATIONS,$AA314,5))</f>
        <v/>
      </c>
      <c r="F314" s="209" t="str">
        <f t="array" ref="F314">IF(ISNA($AA314),0,INDEX(DECLARATIONS,$AA314,7))</f>
        <v/>
      </c>
      <c r="G314" s="209" t="str">
        <f t="array" ref="G314">UPPER(IF(ISNA($AA314),"",INDEX(DECLARATIONS,$AA314,4)))</f>
        <v/>
      </c>
      <c r="H314" t="str">
        <f>IF(AND(A314&gt;0,ISTEXT(B314)),IF(SECNAME="YES",LEFT(B314&amp;" ",FIND(" ",B314&amp;" ")+2)&amp;IF(F314&gt;0," ("&amp;F314&amp;")",""),B314&amp;IF(F314&gt;0," ("&amp;F314&amp;")","")),"#"&amp;$A314)</f>
        <v/>
      </c>
      <c r="I314" s="209">
        <f>IF(LEN($A314)&gt;0,IF(LEN($J314)&gt;0,MATCH(J314,MatchNames,0),EventIndex),0)</f>
        <v>0</v>
      </c>
      <c r="J314" s="209" t="str">
        <f>IF(LEN($A314)&gt;0,IF(LEN(Declarations!$F314)&gt;0,Declarations!$F314,conftype),"")</f>
        <v/>
      </c>
      <c r="M314" s="297">
        <f>IF(ISNA(VLOOKUP($A314,SprintData,2,FALSE)),0,VLOOKUP($A314,SprintData,2,FALSE))</f>
        <v>0</v>
      </c>
      <c r="N314" s="297">
        <f>IF(ISNA(VLOOKUP($A314,JumpData,2,FALSE)),0,VLOOKUP($A314,JumpData,2,FALSE))</f>
        <v>0</v>
      </c>
      <c r="O314" s="297">
        <f>IF(ISNA(VLOOKUP($A314,RunData,2,FALSE)),0,VLOOKUP($A314,RunData,2,FALSE))</f>
        <v>0</v>
      </c>
      <c r="P314" s="297">
        <f>IF(ISNA(VLOOKUP($A314,ThrowData,2,FALSE)),0,VLOOKUP($A314,ThrowData,2,FALSE))</f>
        <v>0</v>
      </c>
      <c r="Q314" s="298">
        <f>IF(ISNA(VLOOKUP($A314,SprintData,4,FALSE)),0,VLOOKUP($A314,SprintData,4,FALSE))+V314</f>
        <v>0</v>
      </c>
      <c r="R314" s="298">
        <f>IF(ISNA(VLOOKUP($A314,JumpData,4,FALSE)),0,VLOOKUP($A314,JumpData,4,FALSE))+W314</f>
        <v>0</v>
      </c>
      <c r="S314" s="298">
        <f>IF(ISNA(VLOOKUP($A314,RunData,4,FALSE)),0,VLOOKUP($A314,RunData,4,FALSE))+X314</f>
        <v>0</v>
      </c>
      <c r="T314" s="298">
        <f>IF(ISNA(VLOOKUP($A314,ThrowData,4,FALSE)),0,VLOOKUP($A314,ThrowData,4,FALSE))+Y314</f>
        <v>0</v>
      </c>
      <c r="U314" s="299">
        <f t="shared" si="2"/>
        <v>0</v>
      </c>
      <c r="V314">
        <f>IF(AND($F314&gt;0,NOT(M314),Flexing),FlexPC,0)</f>
        <v>0</v>
      </c>
      <c r="W314">
        <f>IF(AND($F314&gt;0,NOT(N314),Flexing),FlexPC,0)</f>
        <v>0</v>
      </c>
      <c r="X314">
        <f>IF(AND($F314&gt;0,NOT(O314),Flexing),FlexPC,0)</f>
        <v>0</v>
      </c>
      <c r="Y314">
        <f>IF(AND($F314&gt;0,NOT(P314),Flexing),FlexPC,0)</f>
        <v>0</v>
      </c>
      <c r="AA314" s="209">
        <f t="shared" si="3"/>
        <v>313</v>
      </c>
    </row>
    <row r="315" ht="15.75" customHeight="1">
      <c r="A315" s="206" t="str">
        <f>+Declarations!A315&amp;""</f>
        <v/>
      </c>
      <c r="B315" t="str">
        <f>IF(LEN($A315),IF(LEN(Declarations!$B315)&gt;0,Declarations!$B315,"#"&amp;$A315),"")</f>
        <v/>
      </c>
      <c r="C315" s="209" t="str">
        <f t="array" ref="C315">IF(LEN(INDEX(DECLARATIONS,$AA315,3))&gt;0,INDEX(DECLARATIONS,$AA315,3),"...")</f>
        <v>...</v>
      </c>
      <c r="D315" s="209" t="str">
        <f t="shared" si="1"/>
        <v/>
      </c>
      <c r="E315" s="296" t="str">
        <f t="array" ref="E315">IF(ISNA($AA315),0,INDEX(DECLARATIONS,$AA315,5))</f>
        <v/>
      </c>
      <c r="F315" s="209" t="str">
        <f t="array" ref="F315">IF(ISNA($AA315),0,INDEX(DECLARATIONS,$AA315,7))</f>
        <v/>
      </c>
      <c r="G315" s="209" t="str">
        <f t="array" ref="G315">UPPER(IF(ISNA($AA315),"",INDEX(DECLARATIONS,$AA315,4)))</f>
        <v/>
      </c>
      <c r="H315" t="str">
        <f>IF(AND(A315&gt;0,ISTEXT(B315)),IF(SECNAME="YES",LEFT(B315&amp;" ",FIND(" ",B315&amp;" ")+2)&amp;IF(F315&gt;0," ("&amp;F315&amp;")",""),B315&amp;IF(F315&gt;0," ("&amp;F315&amp;")","")),"#"&amp;$A315)</f>
        <v/>
      </c>
      <c r="I315" s="209">
        <f>IF(LEN($A315)&gt;0,IF(LEN($J315)&gt;0,MATCH(J315,MatchNames,0),EventIndex),0)</f>
        <v>0</v>
      </c>
      <c r="J315" s="209" t="str">
        <f>IF(LEN($A315)&gt;0,IF(LEN(Declarations!$F315)&gt;0,Declarations!$F315,conftype),"")</f>
        <v/>
      </c>
      <c r="M315" s="297">
        <f>IF(ISNA(VLOOKUP($A315,SprintData,2,FALSE)),0,VLOOKUP($A315,SprintData,2,FALSE))</f>
        <v>0</v>
      </c>
      <c r="N315" s="297">
        <f>IF(ISNA(VLOOKUP($A315,JumpData,2,FALSE)),0,VLOOKUP($A315,JumpData,2,FALSE))</f>
        <v>0</v>
      </c>
      <c r="O315" s="297">
        <f>IF(ISNA(VLOOKUP($A315,RunData,2,FALSE)),0,VLOOKUP($A315,RunData,2,FALSE))</f>
        <v>0</v>
      </c>
      <c r="P315" s="297">
        <f>IF(ISNA(VLOOKUP($A315,ThrowData,2,FALSE)),0,VLOOKUP($A315,ThrowData,2,FALSE))</f>
        <v>0</v>
      </c>
      <c r="Q315" s="298">
        <f>IF(ISNA(VLOOKUP($A315,SprintData,4,FALSE)),0,VLOOKUP($A315,SprintData,4,FALSE))+V315</f>
        <v>0</v>
      </c>
      <c r="R315" s="298">
        <f>IF(ISNA(VLOOKUP($A315,JumpData,4,FALSE)),0,VLOOKUP($A315,JumpData,4,FALSE))+W315</f>
        <v>0</v>
      </c>
      <c r="S315" s="298">
        <f>IF(ISNA(VLOOKUP($A315,RunData,4,FALSE)),0,VLOOKUP($A315,RunData,4,FALSE))+X315</f>
        <v>0</v>
      </c>
      <c r="T315" s="298">
        <f>IF(ISNA(VLOOKUP($A315,ThrowData,4,FALSE)),0,VLOOKUP($A315,ThrowData,4,FALSE))+Y315</f>
        <v>0</v>
      </c>
      <c r="U315" s="299">
        <f t="shared" si="2"/>
        <v>0</v>
      </c>
      <c r="V315">
        <f>IF(AND($F315&gt;0,NOT(M315),Flexing),FlexPC,0)</f>
        <v>0</v>
      </c>
      <c r="W315">
        <f>IF(AND($F315&gt;0,NOT(N315),Flexing),FlexPC,0)</f>
        <v>0</v>
      </c>
      <c r="X315">
        <f>IF(AND($F315&gt;0,NOT(O315),Flexing),FlexPC,0)</f>
        <v>0</v>
      </c>
      <c r="Y315">
        <f>IF(AND($F315&gt;0,NOT(P315),Flexing),FlexPC,0)</f>
        <v>0</v>
      </c>
      <c r="AA315" s="209">
        <f t="shared" si="3"/>
        <v>314</v>
      </c>
    </row>
    <row r="316" ht="15.75" customHeight="1">
      <c r="A316" s="206" t="str">
        <f>+Declarations!A316&amp;""</f>
        <v/>
      </c>
      <c r="B316" t="str">
        <f>IF(LEN($A316),IF(LEN(Declarations!$B316)&gt;0,Declarations!$B316,"#"&amp;$A316),"")</f>
        <v/>
      </c>
      <c r="C316" s="209" t="str">
        <f t="array" ref="C316">IF(LEN(INDEX(DECLARATIONS,$AA316,3))&gt;0,INDEX(DECLARATIONS,$AA316,3),"...")</f>
        <v>...</v>
      </c>
      <c r="D316" s="209" t="str">
        <f t="shared" si="1"/>
        <v/>
      </c>
      <c r="E316" s="296" t="str">
        <f t="array" ref="E316">IF(ISNA($AA316),0,INDEX(DECLARATIONS,$AA316,5))</f>
        <v/>
      </c>
      <c r="F316" s="209" t="str">
        <f t="array" ref="F316">IF(ISNA($AA316),0,INDEX(DECLARATIONS,$AA316,7))</f>
        <v/>
      </c>
      <c r="G316" s="209" t="str">
        <f t="array" ref="G316">UPPER(IF(ISNA($AA316),"",INDEX(DECLARATIONS,$AA316,4)))</f>
        <v/>
      </c>
      <c r="H316" t="str">
        <f>IF(AND(A316&gt;0,ISTEXT(B316)),IF(SECNAME="YES",LEFT(B316&amp;" ",FIND(" ",B316&amp;" ")+2)&amp;IF(F316&gt;0," ("&amp;F316&amp;")",""),B316&amp;IF(F316&gt;0," ("&amp;F316&amp;")","")),"#"&amp;$A316)</f>
        <v/>
      </c>
      <c r="I316" s="209">
        <f>IF(LEN($A316)&gt;0,IF(LEN($J316)&gt;0,MATCH(J316,MatchNames,0),EventIndex),0)</f>
        <v>0</v>
      </c>
      <c r="J316" s="209" t="str">
        <f>IF(LEN($A316)&gt;0,IF(LEN(Declarations!$F316)&gt;0,Declarations!$F316,conftype),"")</f>
        <v/>
      </c>
      <c r="M316" s="297">
        <f>IF(ISNA(VLOOKUP($A316,SprintData,2,FALSE)),0,VLOOKUP($A316,SprintData,2,FALSE))</f>
        <v>0</v>
      </c>
      <c r="N316" s="297">
        <f>IF(ISNA(VLOOKUP($A316,JumpData,2,FALSE)),0,VLOOKUP($A316,JumpData,2,FALSE))</f>
        <v>0</v>
      </c>
      <c r="O316" s="297">
        <f>IF(ISNA(VLOOKUP($A316,RunData,2,FALSE)),0,VLOOKUP($A316,RunData,2,FALSE))</f>
        <v>0</v>
      </c>
      <c r="P316" s="297">
        <f>IF(ISNA(VLOOKUP($A316,ThrowData,2,FALSE)),0,VLOOKUP($A316,ThrowData,2,FALSE))</f>
        <v>0</v>
      </c>
      <c r="Q316" s="298">
        <f>IF(ISNA(VLOOKUP($A316,SprintData,4,FALSE)),0,VLOOKUP($A316,SprintData,4,FALSE))+V316</f>
        <v>0</v>
      </c>
      <c r="R316" s="298">
        <f>IF(ISNA(VLOOKUP($A316,JumpData,4,FALSE)),0,VLOOKUP($A316,JumpData,4,FALSE))+W316</f>
        <v>0</v>
      </c>
      <c r="S316" s="298">
        <f>IF(ISNA(VLOOKUP($A316,RunData,4,FALSE)),0,VLOOKUP($A316,RunData,4,FALSE))+X316</f>
        <v>0</v>
      </c>
      <c r="T316" s="298">
        <f>IF(ISNA(VLOOKUP($A316,ThrowData,4,FALSE)),0,VLOOKUP($A316,ThrowData,4,FALSE))+Y316</f>
        <v>0</v>
      </c>
      <c r="U316" s="299">
        <f t="shared" si="2"/>
        <v>0</v>
      </c>
      <c r="V316">
        <f>IF(AND($F316&gt;0,NOT(M316),Flexing),FlexPC,0)</f>
        <v>0</v>
      </c>
      <c r="W316">
        <f>IF(AND($F316&gt;0,NOT(N316),Flexing),FlexPC,0)</f>
        <v>0</v>
      </c>
      <c r="X316">
        <f>IF(AND($F316&gt;0,NOT(O316),Flexing),FlexPC,0)</f>
        <v>0</v>
      </c>
      <c r="Y316">
        <f>IF(AND($F316&gt;0,NOT(P316),Flexing),FlexPC,0)</f>
        <v>0</v>
      </c>
      <c r="AA316" s="209">
        <f t="shared" si="3"/>
        <v>315</v>
      </c>
    </row>
    <row r="317" ht="15.75" customHeight="1">
      <c r="A317" s="206" t="str">
        <f>+Declarations!A317&amp;""</f>
        <v/>
      </c>
      <c r="B317" t="str">
        <f>IF(LEN($A317),IF(LEN(Declarations!$B317)&gt;0,Declarations!$B317,"#"&amp;$A317),"")</f>
        <v/>
      </c>
      <c r="C317" s="209" t="str">
        <f t="array" ref="C317">IF(LEN(INDEX(DECLARATIONS,$AA317,3))&gt;0,INDEX(DECLARATIONS,$AA317,3),"...")</f>
        <v>...</v>
      </c>
      <c r="D317" s="209" t="str">
        <f t="shared" si="1"/>
        <v/>
      </c>
      <c r="E317" s="296" t="str">
        <f t="array" ref="E317">IF(ISNA($AA317),0,INDEX(DECLARATIONS,$AA317,5))</f>
        <v/>
      </c>
      <c r="F317" s="209" t="str">
        <f t="array" ref="F317">IF(ISNA($AA317),0,INDEX(DECLARATIONS,$AA317,7))</f>
        <v/>
      </c>
      <c r="G317" s="209" t="str">
        <f t="array" ref="G317">UPPER(IF(ISNA($AA317),"",INDEX(DECLARATIONS,$AA317,4)))</f>
        <v/>
      </c>
      <c r="H317" t="str">
        <f>IF(AND(A317&gt;0,ISTEXT(B317)),IF(SECNAME="YES",LEFT(B317&amp;" ",FIND(" ",B317&amp;" ")+2)&amp;IF(F317&gt;0," ("&amp;F317&amp;")",""),B317&amp;IF(F317&gt;0," ("&amp;F317&amp;")","")),"#"&amp;$A317)</f>
        <v/>
      </c>
      <c r="I317" s="209">
        <f>IF(LEN($A317)&gt;0,IF(LEN($J317)&gt;0,MATCH(J317,MatchNames,0),EventIndex),0)</f>
        <v>0</v>
      </c>
      <c r="J317" s="209" t="str">
        <f>IF(LEN($A317)&gt;0,IF(LEN(Declarations!$F317)&gt;0,Declarations!$F317,conftype),"")</f>
        <v/>
      </c>
      <c r="M317" s="297">
        <f>IF(ISNA(VLOOKUP($A317,SprintData,2,FALSE)),0,VLOOKUP($A317,SprintData,2,FALSE))</f>
        <v>0</v>
      </c>
      <c r="N317" s="297">
        <f>IF(ISNA(VLOOKUP($A317,JumpData,2,FALSE)),0,VLOOKUP($A317,JumpData,2,FALSE))</f>
        <v>0</v>
      </c>
      <c r="O317" s="297">
        <f>IF(ISNA(VLOOKUP($A317,RunData,2,FALSE)),0,VLOOKUP($A317,RunData,2,FALSE))</f>
        <v>0</v>
      </c>
      <c r="P317" s="297">
        <f>IF(ISNA(VLOOKUP($A317,ThrowData,2,FALSE)),0,VLOOKUP($A317,ThrowData,2,FALSE))</f>
        <v>0</v>
      </c>
      <c r="Q317" s="298">
        <f>IF(ISNA(VLOOKUP($A317,SprintData,4,FALSE)),0,VLOOKUP($A317,SprintData,4,FALSE))+V317</f>
        <v>0</v>
      </c>
      <c r="R317" s="298">
        <f>IF(ISNA(VLOOKUP($A317,JumpData,4,FALSE)),0,VLOOKUP($A317,JumpData,4,FALSE))+W317</f>
        <v>0</v>
      </c>
      <c r="S317" s="298">
        <f>IF(ISNA(VLOOKUP($A317,RunData,4,FALSE)),0,VLOOKUP($A317,RunData,4,FALSE))+X317</f>
        <v>0</v>
      </c>
      <c r="T317" s="298">
        <f>IF(ISNA(VLOOKUP($A317,ThrowData,4,FALSE)),0,VLOOKUP($A317,ThrowData,4,FALSE))+Y317</f>
        <v>0</v>
      </c>
      <c r="U317" s="299">
        <f t="shared" si="2"/>
        <v>0</v>
      </c>
      <c r="V317">
        <f>IF(AND($F317&gt;0,NOT(M317),Flexing),FlexPC,0)</f>
        <v>0</v>
      </c>
      <c r="W317">
        <f>IF(AND($F317&gt;0,NOT(N317),Flexing),FlexPC,0)</f>
        <v>0</v>
      </c>
      <c r="X317">
        <f>IF(AND($F317&gt;0,NOT(O317),Flexing),FlexPC,0)</f>
        <v>0</v>
      </c>
      <c r="Y317">
        <f>IF(AND($F317&gt;0,NOT(P317),Flexing),FlexPC,0)</f>
        <v>0</v>
      </c>
      <c r="AA317" s="209">
        <f t="shared" si="3"/>
        <v>316</v>
      </c>
    </row>
    <row r="318" ht="15.75" customHeight="1">
      <c r="A318" s="206" t="str">
        <f>+Declarations!A318&amp;""</f>
        <v/>
      </c>
      <c r="B318" t="str">
        <f>IF(LEN($A318),IF(LEN(Declarations!$B318)&gt;0,Declarations!$B318,"#"&amp;$A318),"")</f>
        <v/>
      </c>
      <c r="C318" s="209" t="str">
        <f t="array" ref="C318">IF(LEN(INDEX(DECLARATIONS,$AA318,3))&gt;0,INDEX(DECLARATIONS,$AA318,3),"...")</f>
        <v>...</v>
      </c>
      <c r="D318" s="209" t="str">
        <f t="shared" si="1"/>
        <v/>
      </c>
      <c r="E318" s="296" t="str">
        <f t="array" ref="E318">IF(ISNA($AA318),0,INDEX(DECLARATIONS,$AA318,5))</f>
        <v/>
      </c>
      <c r="F318" s="209" t="str">
        <f t="array" ref="F318">IF(ISNA($AA318),0,INDEX(DECLARATIONS,$AA318,7))</f>
        <v/>
      </c>
      <c r="G318" s="209" t="str">
        <f t="array" ref="G318">UPPER(IF(ISNA($AA318),"",INDEX(DECLARATIONS,$AA318,4)))</f>
        <v/>
      </c>
      <c r="H318" t="str">
        <f>IF(AND(A318&gt;0,ISTEXT(B318)),IF(SECNAME="YES",LEFT(B318&amp;" ",FIND(" ",B318&amp;" ")+2)&amp;IF(F318&gt;0," ("&amp;F318&amp;")",""),B318&amp;IF(F318&gt;0," ("&amp;F318&amp;")","")),"#"&amp;$A318)</f>
        <v/>
      </c>
      <c r="I318" s="209">
        <f>IF(LEN($A318)&gt;0,IF(LEN($J318)&gt;0,MATCH(J318,MatchNames,0),EventIndex),0)</f>
        <v>0</v>
      </c>
      <c r="J318" s="209" t="str">
        <f>IF(LEN($A318)&gt;0,IF(LEN(Declarations!$F318)&gt;0,Declarations!$F318,conftype),"")</f>
        <v/>
      </c>
      <c r="M318" s="297">
        <f>IF(ISNA(VLOOKUP($A318,SprintData,2,FALSE)),0,VLOOKUP($A318,SprintData,2,FALSE))</f>
        <v>0</v>
      </c>
      <c r="N318" s="297">
        <f>IF(ISNA(VLOOKUP($A318,JumpData,2,FALSE)),0,VLOOKUP($A318,JumpData,2,FALSE))</f>
        <v>0</v>
      </c>
      <c r="O318" s="297">
        <f>IF(ISNA(VLOOKUP($A318,RunData,2,FALSE)),0,VLOOKUP($A318,RunData,2,FALSE))</f>
        <v>0</v>
      </c>
      <c r="P318" s="297">
        <f>IF(ISNA(VLOOKUP($A318,ThrowData,2,FALSE)),0,VLOOKUP($A318,ThrowData,2,FALSE))</f>
        <v>0</v>
      </c>
      <c r="Q318" s="298">
        <f>IF(ISNA(VLOOKUP($A318,SprintData,4,FALSE)),0,VLOOKUP($A318,SprintData,4,FALSE))+V318</f>
        <v>0</v>
      </c>
      <c r="R318" s="298">
        <f>IF(ISNA(VLOOKUP($A318,JumpData,4,FALSE)),0,VLOOKUP($A318,JumpData,4,FALSE))+W318</f>
        <v>0</v>
      </c>
      <c r="S318" s="298">
        <f>IF(ISNA(VLOOKUP($A318,RunData,4,FALSE)),0,VLOOKUP($A318,RunData,4,FALSE))+X318</f>
        <v>0</v>
      </c>
      <c r="T318" s="298">
        <f>IF(ISNA(VLOOKUP($A318,ThrowData,4,FALSE)),0,VLOOKUP($A318,ThrowData,4,FALSE))+Y318</f>
        <v>0</v>
      </c>
      <c r="U318" s="299">
        <f t="shared" si="2"/>
        <v>0</v>
      </c>
      <c r="V318">
        <f>IF(AND($F318&gt;0,NOT(M318),Flexing),FlexPC,0)</f>
        <v>0</v>
      </c>
      <c r="W318">
        <f>IF(AND($F318&gt;0,NOT(N318),Flexing),FlexPC,0)</f>
        <v>0</v>
      </c>
      <c r="X318">
        <f>IF(AND($F318&gt;0,NOT(O318),Flexing),FlexPC,0)</f>
        <v>0</v>
      </c>
      <c r="Y318">
        <f>IF(AND($F318&gt;0,NOT(P318),Flexing),FlexPC,0)</f>
        <v>0</v>
      </c>
      <c r="AA318" s="209">
        <f t="shared" si="3"/>
        <v>317</v>
      </c>
    </row>
    <row r="319" ht="15.75" customHeight="1">
      <c r="A319" s="206" t="str">
        <f>+Declarations!A319&amp;""</f>
        <v/>
      </c>
      <c r="B319" t="str">
        <f>IF(LEN($A319),IF(LEN(Declarations!$B319)&gt;0,Declarations!$B319,"#"&amp;$A319),"")</f>
        <v/>
      </c>
      <c r="C319" s="209" t="str">
        <f t="array" ref="C319">IF(LEN(INDEX(DECLARATIONS,$AA319,3))&gt;0,INDEX(DECLARATIONS,$AA319,3),"...")</f>
        <v>...</v>
      </c>
      <c r="D319" s="209" t="str">
        <f t="shared" si="1"/>
        <v/>
      </c>
      <c r="E319" s="296" t="str">
        <f t="array" ref="E319">IF(ISNA($AA319),0,INDEX(DECLARATIONS,$AA319,5))</f>
        <v/>
      </c>
      <c r="F319" s="209" t="str">
        <f t="array" ref="F319">IF(ISNA($AA319),0,INDEX(DECLARATIONS,$AA319,7))</f>
        <v/>
      </c>
      <c r="G319" s="209" t="str">
        <f t="array" ref="G319">UPPER(IF(ISNA($AA319),"",INDEX(DECLARATIONS,$AA319,4)))</f>
        <v/>
      </c>
      <c r="H319" t="str">
        <f>IF(AND(A319&gt;0,ISTEXT(B319)),IF(SECNAME="YES",LEFT(B319&amp;" ",FIND(" ",B319&amp;" ")+2)&amp;IF(F319&gt;0," ("&amp;F319&amp;")",""),B319&amp;IF(F319&gt;0," ("&amp;F319&amp;")","")),"#"&amp;$A319)</f>
        <v/>
      </c>
      <c r="I319" s="209">
        <f>IF(LEN($A319)&gt;0,IF(LEN($J319)&gt;0,MATCH(J319,MatchNames,0),EventIndex),0)</f>
        <v>0</v>
      </c>
      <c r="J319" s="209" t="str">
        <f>IF(LEN($A319)&gt;0,IF(LEN(Declarations!$F319)&gt;0,Declarations!$F319,conftype),"")</f>
        <v/>
      </c>
      <c r="M319" s="297">
        <f>IF(ISNA(VLOOKUP($A319,SprintData,2,FALSE)),0,VLOOKUP($A319,SprintData,2,FALSE))</f>
        <v>0</v>
      </c>
      <c r="N319" s="297">
        <f>IF(ISNA(VLOOKUP($A319,JumpData,2,FALSE)),0,VLOOKUP($A319,JumpData,2,FALSE))</f>
        <v>0</v>
      </c>
      <c r="O319" s="297">
        <f>IF(ISNA(VLOOKUP($A319,RunData,2,FALSE)),0,VLOOKUP($A319,RunData,2,FALSE))</f>
        <v>0</v>
      </c>
      <c r="P319" s="297">
        <f>IF(ISNA(VLOOKUP($A319,ThrowData,2,FALSE)),0,VLOOKUP($A319,ThrowData,2,FALSE))</f>
        <v>0</v>
      </c>
      <c r="Q319" s="298">
        <f>IF(ISNA(VLOOKUP($A319,SprintData,4,FALSE)),0,VLOOKUP($A319,SprintData,4,FALSE))+V319</f>
        <v>0</v>
      </c>
      <c r="R319" s="298">
        <f>IF(ISNA(VLOOKUP($A319,JumpData,4,FALSE)),0,VLOOKUP($A319,JumpData,4,FALSE))+W319</f>
        <v>0</v>
      </c>
      <c r="S319" s="298">
        <f>IF(ISNA(VLOOKUP($A319,RunData,4,FALSE)),0,VLOOKUP($A319,RunData,4,FALSE))+X319</f>
        <v>0</v>
      </c>
      <c r="T319" s="298">
        <f>IF(ISNA(VLOOKUP($A319,ThrowData,4,FALSE)),0,VLOOKUP($A319,ThrowData,4,FALSE))+Y319</f>
        <v>0</v>
      </c>
      <c r="U319" s="299">
        <f t="shared" si="2"/>
        <v>0</v>
      </c>
      <c r="V319">
        <f>IF(AND($F319&gt;0,NOT(M319),Flexing),FlexPC,0)</f>
        <v>0</v>
      </c>
      <c r="W319">
        <f>IF(AND($F319&gt;0,NOT(N319),Flexing),FlexPC,0)</f>
        <v>0</v>
      </c>
      <c r="X319">
        <f>IF(AND($F319&gt;0,NOT(O319),Flexing),FlexPC,0)</f>
        <v>0</v>
      </c>
      <c r="Y319">
        <f>IF(AND($F319&gt;0,NOT(P319),Flexing),FlexPC,0)</f>
        <v>0</v>
      </c>
      <c r="AA319" s="209">
        <f t="shared" si="3"/>
        <v>318</v>
      </c>
    </row>
    <row r="320" ht="15.75" customHeight="1">
      <c r="A320" s="206" t="str">
        <f>+Declarations!A320&amp;""</f>
        <v/>
      </c>
      <c r="B320" t="str">
        <f>IF(LEN($A320),IF(LEN(Declarations!$B320)&gt;0,Declarations!$B320,"#"&amp;$A320),"")</f>
        <v/>
      </c>
      <c r="C320" s="209" t="str">
        <f t="array" ref="C320">IF(LEN(INDEX(DECLARATIONS,$AA320,3))&gt;0,INDEX(DECLARATIONS,$AA320,3),"...")</f>
        <v>...</v>
      </c>
      <c r="D320" s="209" t="str">
        <f t="shared" si="1"/>
        <v/>
      </c>
      <c r="E320" s="296" t="str">
        <f t="array" ref="E320">IF(ISNA($AA320),0,INDEX(DECLARATIONS,$AA320,5))</f>
        <v/>
      </c>
      <c r="F320" s="209" t="str">
        <f t="array" ref="F320">IF(ISNA($AA320),0,INDEX(DECLARATIONS,$AA320,7))</f>
        <v/>
      </c>
      <c r="G320" s="209" t="str">
        <f t="array" ref="G320">UPPER(IF(ISNA($AA320),"",INDEX(DECLARATIONS,$AA320,4)))</f>
        <v/>
      </c>
      <c r="H320" t="str">
        <f>IF(AND(A320&gt;0,ISTEXT(B320)),IF(SECNAME="YES",LEFT(B320&amp;" ",FIND(" ",B320&amp;" ")+2)&amp;IF(F320&gt;0," ("&amp;F320&amp;")",""),B320&amp;IF(F320&gt;0," ("&amp;F320&amp;")","")),"#"&amp;$A320)</f>
        <v/>
      </c>
      <c r="I320" s="209">
        <f>IF(LEN($A320)&gt;0,IF(LEN($J320)&gt;0,MATCH(J320,MatchNames,0),EventIndex),0)</f>
        <v>0</v>
      </c>
      <c r="J320" s="209" t="str">
        <f>IF(LEN($A320)&gt;0,IF(LEN(Declarations!$F320)&gt;0,Declarations!$F320,conftype),"")</f>
        <v/>
      </c>
      <c r="M320" s="297">
        <f>IF(ISNA(VLOOKUP($A320,SprintData,2,FALSE)),0,VLOOKUP($A320,SprintData,2,FALSE))</f>
        <v>0</v>
      </c>
      <c r="N320" s="297">
        <f>IF(ISNA(VLOOKUP($A320,JumpData,2,FALSE)),0,VLOOKUP($A320,JumpData,2,FALSE))</f>
        <v>0</v>
      </c>
      <c r="O320" s="297">
        <f>IF(ISNA(VLOOKUP($A320,RunData,2,FALSE)),0,VLOOKUP($A320,RunData,2,FALSE))</f>
        <v>0</v>
      </c>
      <c r="P320" s="297">
        <f>IF(ISNA(VLOOKUP($A320,ThrowData,2,FALSE)),0,VLOOKUP($A320,ThrowData,2,FALSE))</f>
        <v>0</v>
      </c>
      <c r="Q320" s="298">
        <f>IF(ISNA(VLOOKUP($A320,SprintData,4,FALSE)),0,VLOOKUP($A320,SprintData,4,FALSE))+V320</f>
        <v>0</v>
      </c>
      <c r="R320" s="298">
        <f>IF(ISNA(VLOOKUP($A320,JumpData,4,FALSE)),0,VLOOKUP($A320,JumpData,4,FALSE))+W320</f>
        <v>0</v>
      </c>
      <c r="S320" s="298">
        <f>IF(ISNA(VLOOKUP($A320,RunData,4,FALSE)),0,VLOOKUP($A320,RunData,4,FALSE))+X320</f>
        <v>0</v>
      </c>
      <c r="T320" s="298">
        <f>IF(ISNA(VLOOKUP($A320,ThrowData,4,FALSE)),0,VLOOKUP($A320,ThrowData,4,FALSE))+Y320</f>
        <v>0</v>
      </c>
      <c r="U320" s="299">
        <f t="shared" si="2"/>
        <v>0</v>
      </c>
      <c r="V320">
        <f>IF(AND($F320&gt;0,NOT(M320),Flexing),FlexPC,0)</f>
        <v>0</v>
      </c>
      <c r="W320">
        <f>IF(AND($F320&gt;0,NOT(N320),Flexing),FlexPC,0)</f>
        <v>0</v>
      </c>
      <c r="X320">
        <f>IF(AND($F320&gt;0,NOT(O320),Flexing),FlexPC,0)</f>
        <v>0</v>
      </c>
      <c r="Y320">
        <f>IF(AND($F320&gt;0,NOT(P320),Flexing),FlexPC,0)</f>
        <v>0</v>
      </c>
      <c r="AA320" s="209">
        <f t="shared" si="3"/>
        <v>319</v>
      </c>
    </row>
    <row r="321" ht="15.75" customHeight="1">
      <c r="A321" s="206" t="str">
        <f>+Declarations!A321&amp;""</f>
        <v/>
      </c>
      <c r="B321" t="str">
        <f>IF(LEN($A321),IF(LEN(Declarations!$B321)&gt;0,Declarations!$B321,"#"&amp;$A321),"")</f>
        <v/>
      </c>
      <c r="C321" s="209" t="str">
        <f t="array" ref="C321">IF(LEN(INDEX(DECLARATIONS,$AA321,3))&gt;0,INDEX(DECLARATIONS,$AA321,3),"...")</f>
        <v>...</v>
      </c>
      <c r="D321" s="209" t="str">
        <f t="shared" si="1"/>
        <v/>
      </c>
      <c r="E321" s="296" t="str">
        <f t="array" ref="E321">IF(ISNA($AA321),0,INDEX(DECLARATIONS,$AA321,5))</f>
        <v/>
      </c>
      <c r="F321" s="209" t="str">
        <f t="array" ref="F321">IF(ISNA($AA321),0,INDEX(DECLARATIONS,$AA321,7))</f>
        <v/>
      </c>
      <c r="G321" s="209" t="str">
        <f t="array" ref="G321">UPPER(IF(ISNA($AA321),"",INDEX(DECLARATIONS,$AA321,4)))</f>
        <v/>
      </c>
      <c r="H321" t="str">
        <f>IF(AND(A321&gt;0,ISTEXT(B321)),IF(SECNAME="YES",LEFT(B321&amp;" ",FIND(" ",B321&amp;" ")+2)&amp;IF(F321&gt;0," ("&amp;F321&amp;")",""),B321&amp;IF(F321&gt;0," ("&amp;F321&amp;")","")),"#"&amp;$A321)</f>
        <v/>
      </c>
      <c r="I321" s="209">
        <f>IF(LEN($A321)&gt;0,IF(LEN($J321)&gt;0,MATCH(J321,MatchNames,0),EventIndex),0)</f>
        <v>0</v>
      </c>
      <c r="J321" s="209" t="str">
        <f>IF(LEN($A321)&gt;0,IF(LEN(Declarations!$F321)&gt;0,Declarations!$F321,conftype),"")</f>
        <v/>
      </c>
      <c r="M321" s="297">
        <f>IF(ISNA(VLOOKUP($A321,SprintData,2,FALSE)),0,VLOOKUP($A321,SprintData,2,FALSE))</f>
        <v>0</v>
      </c>
      <c r="N321" s="297">
        <f>IF(ISNA(VLOOKUP($A321,JumpData,2,FALSE)),0,VLOOKUP($A321,JumpData,2,FALSE))</f>
        <v>0</v>
      </c>
      <c r="O321" s="297">
        <f>IF(ISNA(VLOOKUP($A321,RunData,2,FALSE)),0,VLOOKUP($A321,RunData,2,FALSE))</f>
        <v>0</v>
      </c>
      <c r="P321" s="297">
        <f>IF(ISNA(VLOOKUP($A321,ThrowData,2,FALSE)),0,VLOOKUP($A321,ThrowData,2,FALSE))</f>
        <v>0</v>
      </c>
      <c r="Q321" s="298">
        <f>IF(ISNA(VLOOKUP($A321,SprintData,4,FALSE)),0,VLOOKUP($A321,SprintData,4,FALSE))+V321</f>
        <v>0</v>
      </c>
      <c r="R321" s="298">
        <f>IF(ISNA(VLOOKUP($A321,JumpData,4,FALSE)),0,VLOOKUP($A321,JumpData,4,FALSE))+W321</f>
        <v>0</v>
      </c>
      <c r="S321" s="298">
        <f>IF(ISNA(VLOOKUP($A321,RunData,4,FALSE)),0,VLOOKUP($A321,RunData,4,FALSE))+X321</f>
        <v>0</v>
      </c>
      <c r="T321" s="298">
        <f>IF(ISNA(VLOOKUP($A321,ThrowData,4,FALSE)),0,VLOOKUP($A321,ThrowData,4,FALSE))+Y321</f>
        <v>0</v>
      </c>
      <c r="U321" s="299">
        <f t="shared" si="2"/>
        <v>0</v>
      </c>
      <c r="V321">
        <f>IF(AND($F321&gt;0,NOT(M321),Flexing),FlexPC,0)</f>
        <v>0</v>
      </c>
      <c r="W321">
        <f>IF(AND($F321&gt;0,NOT(N321),Flexing),FlexPC,0)</f>
        <v>0</v>
      </c>
      <c r="X321">
        <f>IF(AND($F321&gt;0,NOT(O321),Flexing),FlexPC,0)</f>
        <v>0</v>
      </c>
      <c r="Y321">
        <f>IF(AND($F321&gt;0,NOT(P321),Flexing),FlexPC,0)</f>
        <v>0</v>
      </c>
      <c r="AA321" s="209">
        <f t="shared" si="3"/>
        <v>320</v>
      </c>
    </row>
    <row r="322" ht="15.75" customHeight="1">
      <c r="A322" s="206" t="str">
        <f>+Declarations!A322&amp;""</f>
        <v/>
      </c>
      <c r="B322" t="str">
        <f>IF(LEN($A322),IF(LEN(Declarations!$B322)&gt;0,Declarations!$B322,"#"&amp;$A322),"")</f>
        <v/>
      </c>
      <c r="C322" s="209" t="str">
        <f t="array" ref="C322">IF(LEN(INDEX(DECLARATIONS,$AA322,3))&gt;0,INDEX(DECLARATIONS,$AA322,3),"...")</f>
        <v>...</v>
      </c>
      <c r="D322" s="209" t="str">
        <f t="shared" si="1"/>
        <v/>
      </c>
      <c r="E322" s="296" t="str">
        <f t="array" ref="E322">IF(ISNA($AA322),0,INDEX(DECLARATIONS,$AA322,5))</f>
        <v/>
      </c>
      <c r="F322" s="209" t="str">
        <f t="array" ref="F322">IF(ISNA($AA322),0,INDEX(DECLARATIONS,$AA322,7))</f>
        <v/>
      </c>
      <c r="G322" s="209" t="str">
        <f t="array" ref="G322">UPPER(IF(ISNA($AA322),"",INDEX(DECLARATIONS,$AA322,4)))</f>
        <v/>
      </c>
      <c r="H322" t="str">
        <f>IF(AND(A322&gt;0,ISTEXT(B322)),IF(SECNAME="YES",LEFT(B322&amp;" ",FIND(" ",B322&amp;" ")+2)&amp;IF(F322&gt;0," ("&amp;F322&amp;")",""),B322&amp;IF(F322&gt;0," ("&amp;F322&amp;")","")),"#"&amp;$A322)</f>
        <v/>
      </c>
      <c r="I322" s="209">
        <f>IF(LEN($A322)&gt;0,IF(LEN($J322)&gt;0,MATCH(J322,MatchNames,0),EventIndex),0)</f>
        <v>0</v>
      </c>
      <c r="J322" s="209" t="str">
        <f>IF(LEN($A322)&gt;0,IF(LEN(Declarations!$F322)&gt;0,Declarations!$F322,conftype),"")</f>
        <v/>
      </c>
      <c r="M322" s="297">
        <f>IF(ISNA(VLOOKUP($A322,SprintData,2,FALSE)),0,VLOOKUP($A322,SprintData,2,FALSE))</f>
        <v>0</v>
      </c>
      <c r="N322" s="297">
        <f>IF(ISNA(VLOOKUP($A322,JumpData,2,FALSE)),0,VLOOKUP($A322,JumpData,2,FALSE))</f>
        <v>0</v>
      </c>
      <c r="O322" s="297">
        <f>IF(ISNA(VLOOKUP($A322,RunData,2,FALSE)),0,VLOOKUP($A322,RunData,2,FALSE))</f>
        <v>0</v>
      </c>
      <c r="P322" s="297">
        <f>IF(ISNA(VLOOKUP($A322,ThrowData,2,FALSE)),0,VLOOKUP($A322,ThrowData,2,FALSE))</f>
        <v>0</v>
      </c>
      <c r="Q322" s="298">
        <f>IF(ISNA(VLOOKUP($A322,SprintData,4,FALSE)),0,VLOOKUP($A322,SprintData,4,FALSE))+V322</f>
        <v>0</v>
      </c>
      <c r="R322" s="298">
        <f>IF(ISNA(VLOOKUP($A322,JumpData,4,FALSE)),0,VLOOKUP($A322,JumpData,4,FALSE))+W322</f>
        <v>0</v>
      </c>
      <c r="S322" s="298">
        <f>IF(ISNA(VLOOKUP($A322,RunData,4,FALSE)),0,VLOOKUP($A322,RunData,4,FALSE))+X322</f>
        <v>0</v>
      </c>
      <c r="T322" s="298">
        <f>IF(ISNA(VLOOKUP($A322,ThrowData,4,FALSE)),0,VLOOKUP($A322,ThrowData,4,FALSE))+Y322</f>
        <v>0</v>
      </c>
      <c r="U322" s="299">
        <f t="shared" si="2"/>
        <v>0</v>
      </c>
      <c r="V322">
        <f>IF(AND($F322&gt;0,NOT(M322),Flexing),FlexPC,0)</f>
        <v>0</v>
      </c>
      <c r="W322">
        <f>IF(AND($F322&gt;0,NOT(N322),Flexing),FlexPC,0)</f>
        <v>0</v>
      </c>
      <c r="X322">
        <f>IF(AND($F322&gt;0,NOT(O322),Flexing),FlexPC,0)</f>
        <v>0</v>
      </c>
      <c r="Y322">
        <f>IF(AND($F322&gt;0,NOT(P322),Flexing),FlexPC,0)</f>
        <v>0</v>
      </c>
      <c r="AA322" s="209">
        <f t="shared" si="3"/>
        <v>321</v>
      </c>
    </row>
    <row r="323" ht="15.75" customHeight="1">
      <c r="A323" s="206" t="str">
        <f>+Declarations!A323&amp;""</f>
        <v/>
      </c>
      <c r="B323" t="str">
        <f>IF(LEN($A323),IF(LEN(Declarations!$B323)&gt;0,Declarations!$B323,"#"&amp;$A323),"")</f>
        <v/>
      </c>
      <c r="C323" s="209" t="str">
        <f t="array" ref="C323">IF(LEN(INDEX(DECLARATIONS,$AA323,3))&gt;0,INDEX(DECLARATIONS,$AA323,3),"...")</f>
        <v>...</v>
      </c>
      <c r="D323" s="209" t="str">
        <f t="shared" si="1"/>
        <v/>
      </c>
      <c r="E323" s="296" t="str">
        <f t="array" ref="E323">IF(ISNA($AA323),0,INDEX(DECLARATIONS,$AA323,5))</f>
        <v/>
      </c>
      <c r="F323" s="209" t="str">
        <f t="array" ref="F323">IF(ISNA($AA323),0,INDEX(DECLARATIONS,$AA323,7))</f>
        <v/>
      </c>
      <c r="G323" s="209" t="str">
        <f t="array" ref="G323">UPPER(IF(ISNA($AA323),"",INDEX(DECLARATIONS,$AA323,4)))</f>
        <v/>
      </c>
      <c r="H323" t="str">
        <f>IF(AND(A323&gt;0,ISTEXT(B323)),IF(SECNAME="YES",LEFT(B323&amp;" ",FIND(" ",B323&amp;" ")+2)&amp;IF(F323&gt;0," ("&amp;F323&amp;")",""),B323&amp;IF(F323&gt;0," ("&amp;F323&amp;")","")),"#"&amp;$A323)</f>
        <v/>
      </c>
      <c r="I323" s="209">
        <f>IF(LEN($A323)&gt;0,IF(LEN($J323)&gt;0,MATCH(J323,MatchNames,0),EventIndex),0)</f>
        <v>0</v>
      </c>
      <c r="J323" s="209" t="str">
        <f>IF(LEN($A323)&gt;0,IF(LEN(Declarations!$F323)&gt;0,Declarations!$F323,conftype),"")</f>
        <v/>
      </c>
      <c r="M323" s="297">
        <f>IF(ISNA(VLOOKUP($A323,SprintData,2,FALSE)),0,VLOOKUP($A323,SprintData,2,FALSE))</f>
        <v>0</v>
      </c>
      <c r="N323" s="297">
        <f>IF(ISNA(VLOOKUP($A323,JumpData,2,FALSE)),0,VLOOKUP($A323,JumpData,2,FALSE))</f>
        <v>0</v>
      </c>
      <c r="O323" s="297">
        <f>IF(ISNA(VLOOKUP($A323,RunData,2,FALSE)),0,VLOOKUP($A323,RunData,2,FALSE))</f>
        <v>0</v>
      </c>
      <c r="P323" s="297">
        <f>IF(ISNA(VLOOKUP($A323,ThrowData,2,FALSE)),0,VLOOKUP($A323,ThrowData,2,FALSE))</f>
        <v>0</v>
      </c>
      <c r="Q323" s="298">
        <f>IF(ISNA(VLOOKUP($A323,SprintData,4,FALSE)),0,VLOOKUP($A323,SprintData,4,FALSE))+V323</f>
        <v>0</v>
      </c>
      <c r="R323" s="298">
        <f>IF(ISNA(VLOOKUP($A323,JumpData,4,FALSE)),0,VLOOKUP($A323,JumpData,4,FALSE))+W323</f>
        <v>0</v>
      </c>
      <c r="S323" s="298">
        <f>IF(ISNA(VLOOKUP($A323,RunData,4,FALSE)),0,VLOOKUP($A323,RunData,4,FALSE))+X323</f>
        <v>0</v>
      </c>
      <c r="T323" s="298">
        <f>IF(ISNA(VLOOKUP($A323,ThrowData,4,FALSE)),0,VLOOKUP($A323,ThrowData,4,FALSE))+Y323</f>
        <v>0</v>
      </c>
      <c r="U323" s="299">
        <f t="shared" si="2"/>
        <v>0</v>
      </c>
      <c r="V323">
        <f>IF(AND($F323&gt;0,NOT(M323),Flexing),FlexPC,0)</f>
        <v>0</v>
      </c>
      <c r="W323">
        <f>IF(AND($F323&gt;0,NOT(N323),Flexing),FlexPC,0)</f>
        <v>0</v>
      </c>
      <c r="X323">
        <f>IF(AND($F323&gt;0,NOT(O323),Flexing),FlexPC,0)</f>
        <v>0</v>
      </c>
      <c r="Y323">
        <f>IF(AND($F323&gt;0,NOT(P323),Flexing),FlexPC,0)</f>
        <v>0</v>
      </c>
      <c r="AA323" s="209">
        <f t="shared" si="3"/>
        <v>322</v>
      </c>
    </row>
    <row r="324" ht="15.75" customHeight="1">
      <c r="A324" s="206" t="str">
        <f>+Declarations!A324&amp;""</f>
        <v/>
      </c>
      <c r="B324" t="str">
        <f>IF(LEN($A324),IF(LEN(Declarations!$B324)&gt;0,Declarations!$B324,"#"&amp;$A324),"")</f>
        <v/>
      </c>
      <c r="C324" s="209" t="str">
        <f t="array" ref="C324">IF(LEN(INDEX(DECLARATIONS,$AA324,3))&gt;0,INDEX(DECLARATIONS,$AA324,3),"...")</f>
        <v>...</v>
      </c>
      <c r="D324" s="209" t="str">
        <f t="shared" si="1"/>
        <v/>
      </c>
      <c r="E324" s="296" t="str">
        <f t="array" ref="E324">IF(ISNA($AA324),0,INDEX(DECLARATIONS,$AA324,5))</f>
        <v/>
      </c>
      <c r="F324" s="209" t="str">
        <f t="array" ref="F324">IF(ISNA($AA324),0,INDEX(DECLARATIONS,$AA324,7))</f>
        <v/>
      </c>
      <c r="G324" s="209" t="str">
        <f t="array" ref="G324">UPPER(IF(ISNA($AA324),"",INDEX(DECLARATIONS,$AA324,4)))</f>
        <v/>
      </c>
      <c r="H324" t="str">
        <f>IF(AND(A324&gt;0,ISTEXT(B324)),IF(SECNAME="YES",LEFT(B324&amp;" ",FIND(" ",B324&amp;" ")+2)&amp;IF(F324&gt;0," ("&amp;F324&amp;")",""),B324&amp;IF(F324&gt;0," ("&amp;F324&amp;")","")),"#"&amp;$A324)</f>
        <v/>
      </c>
      <c r="I324" s="209">
        <f>IF(LEN($A324)&gt;0,IF(LEN($J324)&gt;0,MATCH(J324,MatchNames,0),EventIndex),0)</f>
        <v>0</v>
      </c>
      <c r="J324" s="209" t="str">
        <f>IF(LEN($A324)&gt;0,IF(LEN(Declarations!$F324)&gt;0,Declarations!$F324,conftype),"")</f>
        <v/>
      </c>
      <c r="M324" s="297">
        <f>IF(ISNA(VLOOKUP($A324,SprintData,2,FALSE)),0,VLOOKUP($A324,SprintData,2,FALSE))</f>
        <v>0</v>
      </c>
      <c r="N324" s="297">
        <f>IF(ISNA(VLOOKUP($A324,JumpData,2,FALSE)),0,VLOOKUP($A324,JumpData,2,FALSE))</f>
        <v>0</v>
      </c>
      <c r="O324" s="297">
        <f>IF(ISNA(VLOOKUP($A324,RunData,2,FALSE)),0,VLOOKUP($A324,RunData,2,FALSE))</f>
        <v>0</v>
      </c>
      <c r="P324" s="297">
        <f>IF(ISNA(VLOOKUP($A324,ThrowData,2,FALSE)),0,VLOOKUP($A324,ThrowData,2,FALSE))</f>
        <v>0</v>
      </c>
      <c r="Q324" s="298">
        <f>IF(ISNA(VLOOKUP($A324,SprintData,4,FALSE)),0,VLOOKUP($A324,SprintData,4,FALSE))+V324</f>
        <v>0</v>
      </c>
      <c r="R324" s="298">
        <f>IF(ISNA(VLOOKUP($A324,JumpData,4,FALSE)),0,VLOOKUP($A324,JumpData,4,FALSE))+W324</f>
        <v>0</v>
      </c>
      <c r="S324" s="298">
        <f>IF(ISNA(VLOOKUP($A324,RunData,4,FALSE)),0,VLOOKUP($A324,RunData,4,FALSE))+X324</f>
        <v>0</v>
      </c>
      <c r="T324" s="298">
        <f>IF(ISNA(VLOOKUP($A324,ThrowData,4,FALSE)),0,VLOOKUP($A324,ThrowData,4,FALSE))+Y324</f>
        <v>0</v>
      </c>
      <c r="U324" s="299">
        <f t="shared" si="2"/>
        <v>0</v>
      </c>
      <c r="V324">
        <f>IF(AND($F324&gt;0,NOT(M324),Flexing),FlexPC,0)</f>
        <v>0</v>
      </c>
      <c r="W324">
        <f>IF(AND($F324&gt;0,NOT(N324),Flexing),FlexPC,0)</f>
        <v>0</v>
      </c>
      <c r="X324">
        <f>IF(AND($F324&gt;0,NOT(O324),Flexing),FlexPC,0)</f>
        <v>0</v>
      </c>
      <c r="Y324">
        <f>IF(AND($F324&gt;0,NOT(P324),Flexing),FlexPC,0)</f>
        <v>0</v>
      </c>
      <c r="AA324" s="209">
        <f t="shared" si="3"/>
        <v>323</v>
      </c>
    </row>
    <row r="325" ht="15.75" customHeight="1">
      <c r="A325" s="206" t="str">
        <f>+Declarations!A325&amp;""</f>
        <v/>
      </c>
      <c r="B325" t="str">
        <f>IF(LEN($A325),IF(LEN(Declarations!$B325)&gt;0,Declarations!$B325,"#"&amp;$A325),"")</f>
        <v/>
      </c>
      <c r="C325" s="209" t="str">
        <f t="array" ref="C325">IF(LEN(INDEX(DECLARATIONS,$AA325,3))&gt;0,INDEX(DECLARATIONS,$AA325,3),"...")</f>
        <v>...</v>
      </c>
      <c r="D325" s="209" t="str">
        <f t="shared" si="1"/>
        <v/>
      </c>
      <c r="E325" s="296" t="str">
        <f t="array" ref="E325">IF(ISNA($AA325),0,INDEX(DECLARATIONS,$AA325,5))</f>
        <v/>
      </c>
      <c r="F325" s="209" t="str">
        <f t="array" ref="F325">IF(ISNA($AA325),0,INDEX(DECLARATIONS,$AA325,7))</f>
        <v/>
      </c>
      <c r="G325" s="209" t="str">
        <f t="array" ref="G325">UPPER(IF(ISNA($AA325),"",INDEX(DECLARATIONS,$AA325,4)))</f>
        <v/>
      </c>
      <c r="H325" t="str">
        <f>IF(AND(A325&gt;0,ISTEXT(B325)),IF(SECNAME="YES",LEFT(B325&amp;" ",FIND(" ",B325&amp;" ")+2)&amp;IF(F325&gt;0," ("&amp;F325&amp;")",""),B325&amp;IF(F325&gt;0," ("&amp;F325&amp;")","")),"#"&amp;$A325)</f>
        <v/>
      </c>
      <c r="I325" s="209">
        <f>IF(LEN($A325)&gt;0,IF(LEN($J325)&gt;0,MATCH(J325,MatchNames,0),EventIndex),0)</f>
        <v>0</v>
      </c>
      <c r="J325" s="209" t="str">
        <f>IF(LEN($A325)&gt;0,IF(LEN(Declarations!$F325)&gt;0,Declarations!$F325,conftype),"")</f>
        <v/>
      </c>
      <c r="M325" s="297">
        <f>IF(ISNA(VLOOKUP($A325,SprintData,2,FALSE)),0,VLOOKUP($A325,SprintData,2,FALSE))</f>
        <v>0</v>
      </c>
      <c r="N325" s="297">
        <f>IF(ISNA(VLOOKUP($A325,JumpData,2,FALSE)),0,VLOOKUP($A325,JumpData,2,FALSE))</f>
        <v>0</v>
      </c>
      <c r="O325" s="297">
        <f>IF(ISNA(VLOOKUP($A325,RunData,2,FALSE)),0,VLOOKUP($A325,RunData,2,FALSE))</f>
        <v>0</v>
      </c>
      <c r="P325" s="297">
        <f>IF(ISNA(VLOOKUP($A325,ThrowData,2,FALSE)),0,VLOOKUP($A325,ThrowData,2,FALSE))</f>
        <v>0</v>
      </c>
      <c r="Q325" s="298">
        <f>IF(ISNA(VLOOKUP($A325,SprintData,4,FALSE)),0,VLOOKUP($A325,SprintData,4,FALSE))+V325</f>
        <v>0</v>
      </c>
      <c r="R325" s="298">
        <f>IF(ISNA(VLOOKUP($A325,JumpData,4,FALSE)),0,VLOOKUP($A325,JumpData,4,FALSE))+W325</f>
        <v>0</v>
      </c>
      <c r="S325" s="298">
        <f>IF(ISNA(VLOOKUP($A325,RunData,4,FALSE)),0,VLOOKUP($A325,RunData,4,FALSE))+X325</f>
        <v>0</v>
      </c>
      <c r="T325" s="298">
        <f>IF(ISNA(VLOOKUP($A325,ThrowData,4,FALSE)),0,VLOOKUP($A325,ThrowData,4,FALSE))+Y325</f>
        <v>0</v>
      </c>
      <c r="U325" s="299">
        <f t="shared" si="2"/>
        <v>0</v>
      </c>
      <c r="V325">
        <f>IF(AND($F325&gt;0,NOT(M325),Flexing),FlexPC,0)</f>
        <v>0</v>
      </c>
      <c r="W325">
        <f>IF(AND($F325&gt;0,NOT(N325),Flexing),FlexPC,0)</f>
        <v>0</v>
      </c>
      <c r="X325">
        <f>IF(AND($F325&gt;0,NOT(O325),Flexing),FlexPC,0)</f>
        <v>0</v>
      </c>
      <c r="Y325">
        <f>IF(AND($F325&gt;0,NOT(P325),Flexing),FlexPC,0)</f>
        <v>0</v>
      </c>
      <c r="AA325" s="209">
        <f t="shared" si="3"/>
        <v>324</v>
      </c>
    </row>
    <row r="326" ht="15.75" customHeight="1">
      <c r="A326" s="206" t="str">
        <f>+Declarations!A326&amp;""</f>
        <v/>
      </c>
      <c r="B326" t="str">
        <f>IF(LEN($A326),IF(LEN(Declarations!$B326)&gt;0,Declarations!$B326,"#"&amp;$A326),"")</f>
        <v/>
      </c>
      <c r="C326" s="209" t="str">
        <f t="array" ref="C326">IF(LEN(INDEX(DECLARATIONS,$AA326,3))&gt;0,INDEX(DECLARATIONS,$AA326,3),"...")</f>
        <v>...</v>
      </c>
      <c r="D326" s="209" t="str">
        <f t="shared" si="1"/>
        <v/>
      </c>
      <c r="E326" s="296" t="str">
        <f t="array" ref="E326">IF(ISNA($AA326),0,INDEX(DECLARATIONS,$AA326,5))</f>
        <v/>
      </c>
      <c r="F326" s="209" t="str">
        <f t="array" ref="F326">IF(ISNA($AA326),0,INDEX(DECLARATIONS,$AA326,7))</f>
        <v/>
      </c>
      <c r="G326" s="209" t="str">
        <f t="array" ref="G326">UPPER(IF(ISNA($AA326),"",INDEX(DECLARATIONS,$AA326,4)))</f>
        <v/>
      </c>
      <c r="H326" t="str">
        <f>IF(AND(A326&gt;0,ISTEXT(B326)),IF(SECNAME="YES",LEFT(B326&amp;" ",FIND(" ",B326&amp;" ")+2)&amp;IF(F326&gt;0," ("&amp;F326&amp;")",""),B326&amp;IF(F326&gt;0," ("&amp;F326&amp;")","")),"#"&amp;$A326)</f>
        <v/>
      </c>
      <c r="I326" s="209">
        <f>IF(LEN($A326)&gt;0,IF(LEN($J326)&gt;0,MATCH(J326,MatchNames,0),EventIndex),0)</f>
        <v>0</v>
      </c>
      <c r="J326" s="209" t="str">
        <f>IF(LEN($A326)&gt;0,IF(LEN(Declarations!$F326)&gt;0,Declarations!$F326,conftype),"")</f>
        <v/>
      </c>
      <c r="M326" s="297">
        <f>IF(ISNA(VLOOKUP($A326,SprintData,2,FALSE)),0,VLOOKUP($A326,SprintData,2,FALSE))</f>
        <v>0</v>
      </c>
      <c r="N326" s="297">
        <f>IF(ISNA(VLOOKUP($A326,JumpData,2,FALSE)),0,VLOOKUP($A326,JumpData,2,FALSE))</f>
        <v>0</v>
      </c>
      <c r="O326" s="297">
        <f>IF(ISNA(VLOOKUP($A326,RunData,2,FALSE)),0,VLOOKUP($A326,RunData,2,FALSE))</f>
        <v>0</v>
      </c>
      <c r="P326" s="297">
        <f>IF(ISNA(VLOOKUP($A326,ThrowData,2,FALSE)),0,VLOOKUP($A326,ThrowData,2,FALSE))</f>
        <v>0</v>
      </c>
      <c r="Q326" s="298">
        <f>IF(ISNA(VLOOKUP($A326,SprintData,4,FALSE)),0,VLOOKUP($A326,SprintData,4,FALSE))+V326</f>
        <v>0</v>
      </c>
      <c r="R326" s="298">
        <f>IF(ISNA(VLOOKUP($A326,JumpData,4,FALSE)),0,VLOOKUP($A326,JumpData,4,FALSE))+W326</f>
        <v>0</v>
      </c>
      <c r="S326" s="298">
        <f>IF(ISNA(VLOOKUP($A326,RunData,4,FALSE)),0,VLOOKUP($A326,RunData,4,FALSE))+X326</f>
        <v>0</v>
      </c>
      <c r="T326" s="298">
        <f>IF(ISNA(VLOOKUP($A326,ThrowData,4,FALSE)),0,VLOOKUP($A326,ThrowData,4,FALSE))+Y326</f>
        <v>0</v>
      </c>
      <c r="U326" s="299">
        <f t="shared" si="2"/>
        <v>0</v>
      </c>
      <c r="V326">
        <f>IF(AND($F326&gt;0,NOT(M326),Flexing),FlexPC,0)</f>
        <v>0</v>
      </c>
      <c r="W326">
        <f>IF(AND($F326&gt;0,NOT(N326),Flexing),FlexPC,0)</f>
        <v>0</v>
      </c>
      <c r="X326">
        <f>IF(AND($F326&gt;0,NOT(O326),Flexing),FlexPC,0)</f>
        <v>0</v>
      </c>
      <c r="Y326">
        <f>IF(AND($F326&gt;0,NOT(P326),Flexing),FlexPC,0)</f>
        <v>0</v>
      </c>
      <c r="AA326" s="209">
        <f t="shared" si="3"/>
        <v>325</v>
      </c>
    </row>
    <row r="327" ht="15.75" customHeight="1">
      <c r="A327" s="206" t="str">
        <f>+Declarations!A327&amp;""</f>
        <v/>
      </c>
      <c r="B327" t="str">
        <f>IF(LEN($A327),IF(LEN(Declarations!$B327)&gt;0,Declarations!$B327,"#"&amp;$A327),"")</f>
        <v/>
      </c>
      <c r="C327" s="209" t="str">
        <f t="array" ref="C327">IF(LEN(INDEX(DECLARATIONS,$AA327,3))&gt;0,INDEX(DECLARATIONS,$AA327,3),"...")</f>
        <v>...</v>
      </c>
      <c r="D327" s="209" t="str">
        <f t="shared" si="1"/>
        <v/>
      </c>
      <c r="E327" s="296" t="str">
        <f t="array" ref="E327">IF(ISNA($AA327),0,INDEX(DECLARATIONS,$AA327,5))</f>
        <v/>
      </c>
      <c r="F327" s="209" t="str">
        <f t="array" ref="F327">IF(ISNA($AA327),0,INDEX(DECLARATIONS,$AA327,7))</f>
        <v/>
      </c>
      <c r="G327" s="209" t="str">
        <f t="array" ref="G327">UPPER(IF(ISNA($AA327),"",INDEX(DECLARATIONS,$AA327,4)))</f>
        <v/>
      </c>
      <c r="H327" t="str">
        <f>IF(AND(A327&gt;0,ISTEXT(B327)),IF(SECNAME="YES",LEFT(B327&amp;" ",FIND(" ",B327&amp;" ")+2)&amp;IF(F327&gt;0," ("&amp;F327&amp;")",""),B327&amp;IF(F327&gt;0," ("&amp;F327&amp;")","")),"#"&amp;$A327)</f>
        <v/>
      </c>
      <c r="I327" s="209">
        <f>IF(LEN($A327)&gt;0,IF(LEN($J327)&gt;0,MATCH(J327,MatchNames,0),EventIndex),0)</f>
        <v>0</v>
      </c>
      <c r="J327" s="209" t="str">
        <f>IF(LEN($A327)&gt;0,IF(LEN(Declarations!$F327)&gt;0,Declarations!$F327,conftype),"")</f>
        <v/>
      </c>
      <c r="M327" s="297">
        <f>IF(ISNA(VLOOKUP($A327,SprintData,2,FALSE)),0,VLOOKUP($A327,SprintData,2,FALSE))</f>
        <v>0</v>
      </c>
      <c r="N327" s="297">
        <f>IF(ISNA(VLOOKUP($A327,JumpData,2,FALSE)),0,VLOOKUP($A327,JumpData,2,FALSE))</f>
        <v>0</v>
      </c>
      <c r="O327" s="297">
        <f>IF(ISNA(VLOOKUP($A327,RunData,2,FALSE)),0,VLOOKUP($A327,RunData,2,FALSE))</f>
        <v>0</v>
      </c>
      <c r="P327" s="297">
        <f>IF(ISNA(VLOOKUP($A327,ThrowData,2,FALSE)),0,VLOOKUP($A327,ThrowData,2,FALSE))</f>
        <v>0</v>
      </c>
      <c r="Q327" s="298">
        <f>IF(ISNA(VLOOKUP($A327,SprintData,4,FALSE)),0,VLOOKUP($A327,SprintData,4,FALSE))+V327</f>
        <v>0</v>
      </c>
      <c r="R327" s="298">
        <f>IF(ISNA(VLOOKUP($A327,JumpData,4,FALSE)),0,VLOOKUP($A327,JumpData,4,FALSE))+W327</f>
        <v>0</v>
      </c>
      <c r="S327" s="298">
        <f>IF(ISNA(VLOOKUP($A327,RunData,4,FALSE)),0,VLOOKUP($A327,RunData,4,FALSE))+X327</f>
        <v>0</v>
      </c>
      <c r="T327" s="298">
        <f>IF(ISNA(VLOOKUP($A327,ThrowData,4,FALSE)),0,VLOOKUP($A327,ThrowData,4,FALSE))+Y327</f>
        <v>0</v>
      </c>
      <c r="U327" s="299">
        <f t="shared" si="2"/>
        <v>0</v>
      </c>
      <c r="V327">
        <f>IF(AND($F327&gt;0,NOT(M327),Flexing),FlexPC,0)</f>
        <v>0</v>
      </c>
      <c r="W327">
        <f>IF(AND($F327&gt;0,NOT(N327),Flexing),FlexPC,0)</f>
        <v>0</v>
      </c>
      <c r="X327">
        <f>IF(AND($F327&gt;0,NOT(O327),Flexing),FlexPC,0)</f>
        <v>0</v>
      </c>
      <c r="Y327">
        <f>IF(AND($F327&gt;0,NOT(P327),Flexing),FlexPC,0)</f>
        <v>0</v>
      </c>
      <c r="AA327" s="209">
        <f t="shared" si="3"/>
        <v>326</v>
      </c>
    </row>
    <row r="328" ht="15.75" customHeight="1">
      <c r="A328" s="206" t="str">
        <f>+Declarations!A328&amp;""</f>
        <v/>
      </c>
      <c r="B328" t="str">
        <f>IF(LEN($A328),IF(LEN(Declarations!$B328)&gt;0,Declarations!$B328,"#"&amp;$A328),"")</f>
        <v/>
      </c>
      <c r="C328" s="209" t="str">
        <f t="array" ref="C328">IF(LEN(INDEX(DECLARATIONS,$AA328,3))&gt;0,INDEX(DECLARATIONS,$AA328,3),"...")</f>
        <v>...</v>
      </c>
      <c r="D328" s="209" t="str">
        <f t="shared" si="1"/>
        <v/>
      </c>
      <c r="E328" s="296" t="str">
        <f t="array" ref="E328">IF(ISNA($AA328),0,INDEX(DECLARATIONS,$AA328,5))</f>
        <v/>
      </c>
      <c r="F328" s="209" t="str">
        <f t="array" ref="F328">IF(ISNA($AA328),0,INDEX(DECLARATIONS,$AA328,7))</f>
        <v/>
      </c>
      <c r="G328" s="209" t="str">
        <f t="array" ref="G328">UPPER(IF(ISNA($AA328),"",INDEX(DECLARATIONS,$AA328,4)))</f>
        <v/>
      </c>
      <c r="H328" t="str">
        <f>IF(AND(A328&gt;0,ISTEXT(B328)),IF(SECNAME="YES",LEFT(B328&amp;" ",FIND(" ",B328&amp;" ")+2)&amp;IF(F328&gt;0," ("&amp;F328&amp;")",""),B328&amp;IF(F328&gt;0," ("&amp;F328&amp;")","")),"#"&amp;$A328)</f>
        <v/>
      </c>
      <c r="I328" s="209">
        <f>IF(LEN($A328)&gt;0,IF(LEN($J328)&gt;0,MATCH(J328,MatchNames,0),EventIndex),0)</f>
        <v>0</v>
      </c>
      <c r="J328" s="209" t="str">
        <f>IF(LEN($A328)&gt;0,IF(LEN(Declarations!$F328)&gt;0,Declarations!$F328,conftype),"")</f>
        <v/>
      </c>
      <c r="M328" s="297">
        <f>IF(ISNA(VLOOKUP($A328,SprintData,2,FALSE)),0,VLOOKUP($A328,SprintData,2,FALSE))</f>
        <v>0</v>
      </c>
      <c r="N328" s="297">
        <f>IF(ISNA(VLOOKUP($A328,JumpData,2,FALSE)),0,VLOOKUP($A328,JumpData,2,FALSE))</f>
        <v>0</v>
      </c>
      <c r="O328" s="297">
        <f>IF(ISNA(VLOOKUP($A328,RunData,2,FALSE)),0,VLOOKUP($A328,RunData,2,FALSE))</f>
        <v>0</v>
      </c>
      <c r="P328" s="297">
        <f>IF(ISNA(VLOOKUP($A328,ThrowData,2,FALSE)),0,VLOOKUP($A328,ThrowData,2,FALSE))</f>
        <v>0</v>
      </c>
      <c r="Q328" s="298">
        <f>IF(ISNA(VLOOKUP($A328,SprintData,4,FALSE)),0,VLOOKUP($A328,SprintData,4,FALSE))+V328</f>
        <v>0</v>
      </c>
      <c r="R328" s="298">
        <f>IF(ISNA(VLOOKUP($A328,JumpData,4,FALSE)),0,VLOOKUP($A328,JumpData,4,FALSE))+W328</f>
        <v>0</v>
      </c>
      <c r="S328" s="298">
        <f>IF(ISNA(VLOOKUP($A328,RunData,4,FALSE)),0,VLOOKUP($A328,RunData,4,FALSE))+X328</f>
        <v>0</v>
      </c>
      <c r="T328" s="298">
        <f>IF(ISNA(VLOOKUP($A328,ThrowData,4,FALSE)),0,VLOOKUP($A328,ThrowData,4,FALSE))+Y328</f>
        <v>0</v>
      </c>
      <c r="U328" s="299">
        <f t="shared" si="2"/>
        <v>0</v>
      </c>
      <c r="V328">
        <f>IF(AND($F328&gt;0,NOT(M328),Flexing),FlexPC,0)</f>
        <v>0</v>
      </c>
      <c r="W328">
        <f>IF(AND($F328&gt;0,NOT(N328),Flexing),FlexPC,0)</f>
        <v>0</v>
      </c>
      <c r="X328">
        <f>IF(AND($F328&gt;0,NOT(O328),Flexing),FlexPC,0)</f>
        <v>0</v>
      </c>
      <c r="Y328">
        <f>IF(AND($F328&gt;0,NOT(P328),Flexing),FlexPC,0)</f>
        <v>0</v>
      </c>
      <c r="AA328" s="209">
        <f t="shared" si="3"/>
        <v>327</v>
      </c>
    </row>
    <row r="329" ht="15.75" customHeight="1">
      <c r="A329" s="206" t="str">
        <f>+Declarations!A329&amp;""</f>
        <v/>
      </c>
      <c r="B329" t="str">
        <f>IF(LEN($A329),IF(LEN(Declarations!$B329)&gt;0,Declarations!$B329,"#"&amp;$A329),"")</f>
        <v/>
      </c>
      <c r="C329" s="209" t="str">
        <f t="array" ref="C329">IF(LEN(INDEX(DECLARATIONS,$AA329,3))&gt;0,INDEX(DECLARATIONS,$AA329,3),"...")</f>
        <v>...</v>
      </c>
      <c r="D329" s="209" t="str">
        <f t="shared" si="1"/>
        <v/>
      </c>
      <c r="E329" s="296" t="str">
        <f t="array" ref="E329">IF(ISNA($AA329),0,INDEX(DECLARATIONS,$AA329,5))</f>
        <v/>
      </c>
      <c r="F329" s="209" t="str">
        <f t="array" ref="F329">IF(ISNA($AA329),0,INDEX(DECLARATIONS,$AA329,7))</f>
        <v/>
      </c>
      <c r="G329" s="209" t="str">
        <f t="array" ref="G329">UPPER(IF(ISNA($AA329),"",INDEX(DECLARATIONS,$AA329,4)))</f>
        <v/>
      </c>
      <c r="H329" t="str">
        <f>IF(AND(A329&gt;0,ISTEXT(B329)),IF(SECNAME="YES",LEFT(B329&amp;" ",FIND(" ",B329&amp;" ")+2)&amp;IF(F329&gt;0," ("&amp;F329&amp;")",""),B329&amp;IF(F329&gt;0," ("&amp;F329&amp;")","")),"#"&amp;$A329)</f>
        <v/>
      </c>
      <c r="I329" s="209">
        <f>IF(LEN($A329)&gt;0,IF(LEN($J329)&gt;0,MATCH(J329,MatchNames,0),EventIndex),0)</f>
        <v>0</v>
      </c>
      <c r="J329" s="209" t="str">
        <f>IF(LEN($A329)&gt;0,IF(LEN(Declarations!$F329)&gt;0,Declarations!$F329,conftype),"")</f>
        <v/>
      </c>
      <c r="M329" s="297">
        <f>IF(ISNA(VLOOKUP($A329,SprintData,2,FALSE)),0,VLOOKUP($A329,SprintData,2,FALSE))</f>
        <v>0</v>
      </c>
      <c r="N329" s="297">
        <f>IF(ISNA(VLOOKUP($A329,JumpData,2,FALSE)),0,VLOOKUP($A329,JumpData,2,FALSE))</f>
        <v>0</v>
      </c>
      <c r="O329" s="297">
        <f>IF(ISNA(VLOOKUP($A329,RunData,2,FALSE)),0,VLOOKUP($A329,RunData,2,FALSE))</f>
        <v>0</v>
      </c>
      <c r="P329" s="297">
        <f>IF(ISNA(VLOOKUP($A329,ThrowData,2,FALSE)),0,VLOOKUP($A329,ThrowData,2,FALSE))</f>
        <v>0</v>
      </c>
      <c r="Q329" s="298">
        <f>IF(ISNA(VLOOKUP($A329,SprintData,4,FALSE)),0,VLOOKUP($A329,SprintData,4,FALSE))+V329</f>
        <v>0</v>
      </c>
      <c r="R329" s="298">
        <f>IF(ISNA(VLOOKUP($A329,JumpData,4,FALSE)),0,VLOOKUP($A329,JumpData,4,FALSE))+W329</f>
        <v>0</v>
      </c>
      <c r="S329" s="298">
        <f>IF(ISNA(VLOOKUP($A329,RunData,4,FALSE)),0,VLOOKUP($A329,RunData,4,FALSE))+X329</f>
        <v>0</v>
      </c>
      <c r="T329" s="298">
        <f>IF(ISNA(VLOOKUP($A329,ThrowData,4,FALSE)),0,VLOOKUP($A329,ThrowData,4,FALSE))+Y329</f>
        <v>0</v>
      </c>
      <c r="U329" s="299">
        <f t="shared" si="2"/>
        <v>0</v>
      </c>
      <c r="V329">
        <f>IF(AND($F329&gt;0,NOT(M329),Flexing),FlexPC,0)</f>
        <v>0</v>
      </c>
      <c r="W329">
        <f>IF(AND($F329&gt;0,NOT(N329),Flexing),FlexPC,0)</f>
        <v>0</v>
      </c>
      <c r="X329">
        <f>IF(AND($F329&gt;0,NOT(O329),Flexing),FlexPC,0)</f>
        <v>0</v>
      </c>
      <c r="Y329">
        <f>IF(AND($F329&gt;0,NOT(P329),Flexing),FlexPC,0)</f>
        <v>0</v>
      </c>
      <c r="AA329" s="209">
        <f t="shared" si="3"/>
        <v>328</v>
      </c>
    </row>
    <row r="330" ht="15.75" customHeight="1">
      <c r="A330" s="206" t="str">
        <f>+Declarations!A330&amp;""</f>
        <v/>
      </c>
      <c r="B330" t="str">
        <f>IF(LEN($A330),IF(LEN(Declarations!$B330)&gt;0,Declarations!$B330,"#"&amp;$A330),"")</f>
        <v/>
      </c>
      <c r="C330" s="209" t="str">
        <f t="array" ref="C330">IF(LEN(INDEX(DECLARATIONS,$AA330,3))&gt;0,INDEX(DECLARATIONS,$AA330,3),"...")</f>
        <v>...</v>
      </c>
      <c r="D330" s="209" t="str">
        <f t="shared" si="1"/>
        <v/>
      </c>
      <c r="E330" s="296" t="str">
        <f t="array" ref="E330">IF(ISNA($AA330),0,INDEX(DECLARATIONS,$AA330,5))</f>
        <v/>
      </c>
      <c r="F330" s="209" t="str">
        <f t="array" ref="F330">IF(ISNA($AA330),0,INDEX(DECLARATIONS,$AA330,7))</f>
        <v/>
      </c>
      <c r="G330" s="209" t="str">
        <f t="array" ref="G330">UPPER(IF(ISNA($AA330),"",INDEX(DECLARATIONS,$AA330,4)))</f>
        <v/>
      </c>
      <c r="H330" t="str">
        <f>IF(AND(A330&gt;0,ISTEXT(B330)),IF(SECNAME="YES",LEFT(B330&amp;" ",FIND(" ",B330&amp;" ")+2)&amp;IF(F330&gt;0," ("&amp;F330&amp;")",""),B330&amp;IF(F330&gt;0," ("&amp;F330&amp;")","")),"#"&amp;$A330)</f>
        <v/>
      </c>
      <c r="I330" s="209">
        <f>IF(LEN($A330)&gt;0,IF(LEN($J330)&gt;0,MATCH(J330,MatchNames,0),EventIndex),0)</f>
        <v>0</v>
      </c>
      <c r="J330" s="209" t="str">
        <f>IF(LEN($A330)&gt;0,IF(LEN(Declarations!$F330)&gt;0,Declarations!$F330,conftype),"")</f>
        <v/>
      </c>
      <c r="M330" s="297">
        <f>IF(ISNA(VLOOKUP($A330,SprintData,2,FALSE)),0,VLOOKUP($A330,SprintData,2,FALSE))</f>
        <v>0</v>
      </c>
      <c r="N330" s="297">
        <f>IF(ISNA(VLOOKUP($A330,JumpData,2,FALSE)),0,VLOOKUP($A330,JumpData,2,FALSE))</f>
        <v>0</v>
      </c>
      <c r="O330" s="297">
        <f>IF(ISNA(VLOOKUP($A330,RunData,2,FALSE)),0,VLOOKUP($A330,RunData,2,FALSE))</f>
        <v>0</v>
      </c>
      <c r="P330" s="297">
        <f>IF(ISNA(VLOOKUP($A330,ThrowData,2,FALSE)),0,VLOOKUP($A330,ThrowData,2,FALSE))</f>
        <v>0</v>
      </c>
      <c r="Q330" s="298">
        <f>IF(ISNA(VLOOKUP($A330,SprintData,4,FALSE)),0,VLOOKUP($A330,SprintData,4,FALSE))+V330</f>
        <v>0</v>
      </c>
      <c r="R330" s="298">
        <f>IF(ISNA(VLOOKUP($A330,JumpData,4,FALSE)),0,VLOOKUP($A330,JumpData,4,FALSE))+W330</f>
        <v>0</v>
      </c>
      <c r="S330" s="298">
        <f>IF(ISNA(VLOOKUP($A330,RunData,4,FALSE)),0,VLOOKUP($A330,RunData,4,FALSE))+X330</f>
        <v>0</v>
      </c>
      <c r="T330" s="298">
        <f>IF(ISNA(VLOOKUP($A330,ThrowData,4,FALSE)),0,VLOOKUP($A330,ThrowData,4,FALSE))+Y330</f>
        <v>0</v>
      </c>
      <c r="U330" s="299">
        <f t="shared" si="2"/>
        <v>0</v>
      </c>
      <c r="V330">
        <f>IF(AND($F330&gt;0,NOT(M330),Flexing),FlexPC,0)</f>
        <v>0</v>
      </c>
      <c r="W330">
        <f>IF(AND($F330&gt;0,NOT(N330),Flexing),FlexPC,0)</f>
        <v>0</v>
      </c>
      <c r="X330">
        <f>IF(AND($F330&gt;0,NOT(O330),Flexing),FlexPC,0)</f>
        <v>0</v>
      </c>
      <c r="Y330">
        <f>IF(AND($F330&gt;0,NOT(P330),Flexing),FlexPC,0)</f>
        <v>0</v>
      </c>
      <c r="AA330" s="209">
        <f t="shared" si="3"/>
        <v>329</v>
      </c>
    </row>
    <row r="331" ht="15.75" customHeight="1">
      <c r="A331" s="206" t="str">
        <f>+Declarations!A331&amp;""</f>
        <v/>
      </c>
      <c r="B331" t="str">
        <f>IF(LEN($A331),IF(LEN(Declarations!$B331)&gt;0,Declarations!$B331,"#"&amp;$A331),"")</f>
        <v/>
      </c>
      <c r="C331" s="209" t="str">
        <f t="array" ref="C331">IF(LEN(INDEX(DECLARATIONS,$AA331,3))&gt;0,INDEX(DECLARATIONS,$AA331,3),"...")</f>
        <v>...</v>
      </c>
      <c r="D331" s="209" t="str">
        <f t="shared" si="1"/>
        <v/>
      </c>
      <c r="E331" s="296" t="str">
        <f t="array" ref="E331">IF(ISNA($AA331),0,INDEX(DECLARATIONS,$AA331,5))</f>
        <v/>
      </c>
      <c r="F331" s="209" t="str">
        <f t="array" ref="F331">IF(ISNA($AA331),0,INDEX(DECLARATIONS,$AA331,7))</f>
        <v/>
      </c>
      <c r="G331" s="209" t="str">
        <f t="array" ref="G331">UPPER(IF(ISNA($AA331),"",INDEX(DECLARATIONS,$AA331,4)))</f>
        <v/>
      </c>
      <c r="H331" t="str">
        <f>IF(AND(A331&gt;0,ISTEXT(B331)),IF(SECNAME="YES",LEFT(B331&amp;" ",FIND(" ",B331&amp;" ")+2)&amp;IF(F331&gt;0," ("&amp;F331&amp;")",""),B331&amp;IF(F331&gt;0," ("&amp;F331&amp;")","")),"#"&amp;$A331)</f>
        <v/>
      </c>
      <c r="I331" s="209">
        <f>IF(LEN($A331)&gt;0,IF(LEN($J331)&gt;0,MATCH(J331,MatchNames,0),EventIndex),0)</f>
        <v>0</v>
      </c>
      <c r="J331" s="209" t="str">
        <f>IF(LEN($A331)&gt;0,IF(LEN(Declarations!$F331)&gt;0,Declarations!$F331,conftype),"")</f>
        <v/>
      </c>
      <c r="M331" s="297">
        <f>IF(ISNA(VLOOKUP($A331,SprintData,2,FALSE)),0,VLOOKUP($A331,SprintData,2,FALSE))</f>
        <v>0</v>
      </c>
      <c r="N331" s="297">
        <f>IF(ISNA(VLOOKUP($A331,JumpData,2,FALSE)),0,VLOOKUP($A331,JumpData,2,FALSE))</f>
        <v>0</v>
      </c>
      <c r="O331" s="297">
        <f>IF(ISNA(VLOOKUP($A331,RunData,2,FALSE)),0,VLOOKUP($A331,RunData,2,FALSE))</f>
        <v>0</v>
      </c>
      <c r="P331" s="297">
        <f>IF(ISNA(VLOOKUP($A331,ThrowData,2,FALSE)),0,VLOOKUP($A331,ThrowData,2,FALSE))</f>
        <v>0</v>
      </c>
      <c r="Q331" s="298">
        <f>IF(ISNA(VLOOKUP($A331,SprintData,4,FALSE)),0,VLOOKUP($A331,SprintData,4,FALSE))+V331</f>
        <v>0</v>
      </c>
      <c r="R331" s="298">
        <f>IF(ISNA(VLOOKUP($A331,JumpData,4,FALSE)),0,VLOOKUP($A331,JumpData,4,FALSE))+W331</f>
        <v>0</v>
      </c>
      <c r="S331" s="298">
        <f>IF(ISNA(VLOOKUP($A331,RunData,4,FALSE)),0,VLOOKUP($A331,RunData,4,FALSE))+X331</f>
        <v>0</v>
      </c>
      <c r="T331" s="298">
        <f>IF(ISNA(VLOOKUP($A331,ThrowData,4,FALSE)),0,VLOOKUP($A331,ThrowData,4,FALSE))+Y331</f>
        <v>0</v>
      </c>
      <c r="U331" s="299">
        <f t="shared" si="2"/>
        <v>0</v>
      </c>
      <c r="V331">
        <f>IF(AND($F331&gt;0,NOT(M331),Flexing),FlexPC,0)</f>
        <v>0</v>
      </c>
      <c r="W331">
        <f>IF(AND($F331&gt;0,NOT(N331),Flexing),FlexPC,0)</f>
        <v>0</v>
      </c>
      <c r="X331">
        <f>IF(AND($F331&gt;0,NOT(O331),Flexing),FlexPC,0)</f>
        <v>0</v>
      </c>
      <c r="Y331">
        <f>IF(AND($F331&gt;0,NOT(P331),Flexing),FlexPC,0)</f>
        <v>0</v>
      </c>
      <c r="AA331" s="209">
        <f t="shared" si="3"/>
        <v>330</v>
      </c>
    </row>
    <row r="332" ht="15.75" customHeight="1">
      <c r="A332" s="206" t="str">
        <f>+Declarations!A332&amp;""</f>
        <v/>
      </c>
      <c r="B332" t="str">
        <f>IF(LEN($A332),IF(LEN(Declarations!$B332)&gt;0,Declarations!$B332,"#"&amp;$A332),"")</f>
        <v/>
      </c>
      <c r="C332" s="209" t="str">
        <f t="array" ref="C332">IF(LEN(INDEX(DECLARATIONS,$AA332,3))&gt;0,INDEX(DECLARATIONS,$AA332,3),"...")</f>
        <v>...</v>
      </c>
      <c r="D332" s="209" t="str">
        <f t="shared" si="1"/>
        <v/>
      </c>
      <c r="E332" s="296" t="str">
        <f t="array" ref="E332">IF(ISNA($AA332),0,INDEX(DECLARATIONS,$AA332,5))</f>
        <v/>
      </c>
      <c r="F332" s="209" t="str">
        <f t="array" ref="F332">IF(ISNA($AA332),0,INDEX(DECLARATIONS,$AA332,7))</f>
        <v/>
      </c>
      <c r="G332" s="209" t="str">
        <f t="array" ref="G332">UPPER(IF(ISNA($AA332),"",INDEX(DECLARATIONS,$AA332,4)))</f>
        <v/>
      </c>
      <c r="H332" t="str">
        <f>IF(AND(A332&gt;0,ISTEXT(B332)),IF(SECNAME="YES",LEFT(B332&amp;" ",FIND(" ",B332&amp;" ")+2)&amp;IF(F332&gt;0," ("&amp;F332&amp;")",""),B332&amp;IF(F332&gt;0," ("&amp;F332&amp;")","")),"#"&amp;$A332)</f>
        <v/>
      </c>
      <c r="I332" s="209">
        <f>IF(LEN($A332)&gt;0,IF(LEN($J332)&gt;0,MATCH(J332,MatchNames,0),EventIndex),0)</f>
        <v>0</v>
      </c>
      <c r="J332" s="209" t="str">
        <f>IF(LEN($A332)&gt;0,IF(LEN(Declarations!$F332)&gt;0,Declarations!$F332,conftype),"")</f>
        <v/>
      </c>
      <c r="M332" s="297">
        <f>IF(ISNA(VLOOKUP($A332,SprintData,2,FALSE)),0,VLOOKUP($A332,SprintData,2,FALSE))</f>
        <v>0</v>
      </c>
      <c r="N332" s="297">
        <f>IF(ISNA(VLOOKUP($A332,JumpData,2,FALSE)),0,VLOOKUP($A332,JumpData,2,FALSE))</f>
        <v>0</v>
      </c>
      <c r="O332" s="297">
        <f>IF(ISNA(VLOOKUP($A332,RunData,2,FALSE)),0,VLOOKUP($A332,RunData,2,FALSE))</f>
        <v>0</v>
      </c>
      <c r="P332" s="297">
        <f>IF(ISNA(VLOOKUP($A332,ThrowData,2,FALSE)),0,VLOOKUP($A332,ThrowData,2,FALSE))</f>
        <v>0</v>
      </c>
      <c r="Q332" s="298">
        <f>IF(ISNA(VLOOKUP($A332,SprintData,4,FALSE)),0,VLOOKUP($A332,SprintData,4,FALSE))+V332</f>
        <v>0</v>
      </c>
      <c r="R332" s="298">
        <f>IF(ISNA(VLOOKUP($A332,JumpData,4,FALSE)),0,VLOOKUP($A332,JumpData,4,FALSE))+W332</f>
        <v>0</v>
      </c>
      <c r="S332" s="298">
        <f>IF(ISNA(VLOOKUP($A332,RunData,4,FALSE)),0,VLOOKUP($A332,RunData,4,FALSE))+X332</f>
        <v>0</v>
      </c>
      <c r="T332" s="298">
        <f>IF(ISNA(VLOOKUP($A332,ThrowData,4,FALSE)),0,VLOOKUP($A332,ThrowData,4,FALSE))+Y332</f>
        <v>0</v>
      </c>
      <c r="U332" s="299">
        <f t="shared" si="2"/>
        <v>0</v>
      </c>
      <c r="V332">
        <f>IF(AND($F332&gt;0,NOT(M332),Flexing),FlexPC,0)</f>
        <v>0</v>
      </c>
      <c r="W332">
        <f>IF(AND($F332&gt;0,NOT(N332),Flexing),FlexPC,0)</f>
        <v>0</v>
      </c>
      <c r="X332">
        <f>IF(AND($F332&gt;0,NOT(O332),Flexing),FlexPC,0)</f>
        <v>0</v>
      </c>
      <c r="Y332">
        <f>IF(AND($F332&gt;0,NOT(P332),Flexing),FlexPC,0)</f>
        <v>0</v>
      </c>
      <c r="AA332" s="209">
        <f t="shared" si="3"/>
        <v>331</v>
      </c>
    </row>
    <row r="333" ht="15.75" customHeight="1">
      <c r="A333" s="206" t="str">
        <f>+Declarations!A333&amp;""</f>
        <v/>
      </c>
      <c r="B333" t="str">
        <f>IF(LEN($A333),IF(LEN(Declarations!$B333)&gt;0,Declarations!$B333,"#"&amp;$A333),"")</f>
        <v/>
      </c>
      <c r="C333" s="209" t="str">
        <f t="array" ref="C333">IF(LEN(INDEX(DECLARATIONS,$AA333,3))&gt;0,INDEX(DECLARATIONS,$AA333,3),"...")</f>
        <v>...</v>
      </c>
      <c r="D333" s="209" t="str">
        <f t="shared" si="1"/>
        <v/>
      </c>
      <c r="E333" s="296" t="str">
        <f t="array" ref="E333">IF(ISNA($AA333),0,INDEX(DECLARATIONS,$AA333,5))</f>
        <v/>
      </c>
      <c r="F333" s="209" t="str">
        <f t="array" ref="F333">IF(ISNA($AA333),0,INDEX(DECLARATIONS,$AA333,7))</f>
        <v/>
      </c>
      <c r="G333" s="209" t="str">
        <f t="array" ref="G333">UPPER(IF(ISNA($AA333),"",INDEX(DECLARATIONS,$AA333,4)))</f>
        <v/>
      </c>
      <c r="H333" t="str">
        <f>IF(AND(A333&gt;0,ISTEXT(B333)),IF(SECNAME="YES",LEFT(B333&amp;" ",FIND(" ",B333&amp;" ")+2)&amp;IF(F333&gt;0," ("&amp;F333&amp;")",""),B333&amp;IF(F333&gt;0," ("&amp;F333&amp;")","")),"#"&amp;$A333)</f>
        <v/>
      </c>
      <c r="I333" s="209">
        <f>IF(LEN($A333)&gt;0,IF(LEN($J333)&gt;0,MATCH(J333,MatchNames,0),EventIndex),0)</f>
        <v>0</v>
      </c>
      <c r="J333" s="209" t="str">
        <f>IF(LEN($A333)&gt;0,IF(LEN(Declarations!$F333)&gt;0,Declarations!$F333,conftype),"")</f>
        <v/>
      </c>
      <c r="M333" s="297">
        <f>IF(ISNA(VLOOKUP($A333,SprintData,2,FALSE)),0,VLOOKUP($A333,SprintData,2,FALSE))</f>
        <v>0</v>
      </c>
      <c r="N333" s="297">
        <f>IF(ISNA(VLOOKUP($A333,JumpData,2,FALSE)),0,VLOOKUP($A333,JumpData,2,FALSE))</f>
        <v>0</v>
      </c>
      <c r="O333" s="297">
        <f>IF(ISNA(VLOOKUP($A333,RunData,2,FALSE)),0,VLOOKUP($A333,RunData,2,FALSE))</f>
        <v>0</v>
      </c>
      <c r="P333" s="297">
        <f>IF(ISNA(VLOOKUP($A333,ThrowData,2,FALSE)),0,VLOOKUP($A333,ThrowData,2,FALSE))</f>
        <v>0</v>
      </c>
      <c r="Q333" s="298">
        <f>IF(ISNA(VLOOKUP($A333,SprintData,4,FALSE)),0,VLOOKUP($A333,SprintData,4,FALSE))+V333</f>
        <v>0</v>
      </c>
      <c r="R333" s="298">
        <f>IF(ISNA(VLOOKUP($A333,JumpData,4,FALSE)),0,VLOOKUP($A333,JumpData,4,FALSE))+W333</f>
        <v>0</v>
      </c>
      <c r="S333" s="298">
        <f>IF(ISNA(VLOOKUP($A333,RunData,4,FALSE)),0,VLOOKUP($A333,RunData,4,FALSE))+X333</f>
        <v>0</v>
      </c>
      <c r="T333" s="298">
        <f>IF(ISNA(VLOOKUP($A333,ThrowData,4,FALSE)),0,VLOOKUP($A333,ThrowData,4,FALSE))+Y333</f>
        <v>0</v>
      </c>
      <c r="U333" s="299">
        <f t="shared" si="2"/>
        <v>0</v>
      </c>
      <c r="V333">
        <f>IF(AND($F333&gt;0,NOT(M333),Flexing),FlexPC,0)</f>
        <v>0</v>
      </c>
      <c r="W333">
        <f>IF(AND($F333&gt;0,NOT(N333),Flexing),FlexPC,0)</f>
        <v>0</v>
      </c>
      <c r="X333">
        <f>IF(AND($F333&gt;0,NOT(O333),Flexing),FlexPC,0)</f>
        <v>0</v>
      </c>
      <c r="Y333">
        <f>IF(AND($F333&gt;0,NOT(P333),Flexing),FlexPC,0)</f>
        <v>0</v>
      </c>
      <c r="AA333" s="209">
        <f t="shared" si="3"/>
        <v>332</v>
      </c>
    </row>
    <row r="334" ht="15.75" customHeight="1">
      <c r="A334" s="206" t="str">
        <f>+Declarations!A334&amp;""</f>
        <v/>
      </c>
      <c r="B334" t="str">
        <f>IF(LEN($A334),IF(LEN(Declarations!$B334)&gt;0,Declarations!$B334,"#"&amp;$A334),"")</f>
        <v/>
      </c>
      <c r="C334" s="209" t="str">
        <f t="array" ref="C334">IF(LEN(INDEX(DECLARATIONS,$AA334,3))&gt;0,INDEX(DECLARATIONS,$AA334,3),"...")</f>
        <v>...</v>
      </c>
      <c r="D334" s="209" t="str">
        <f t="shared" si="1"/>
        <v/>
      </c>
      <c r="E334" s="296" t="str">
        <f t="array" ref="E334">IF(ISNA($AA334),0,INDEX(DECLARATIONS,$AA334,5))</f>
        <v/>
      </c>
      <c r="F334" s="209" t="str">
        <f t="array" ref="F334">IF(ISNA($AA334),0,INDEX(DECLARATIONS,$AA334,7))</f>
        <v/>
      </c>
      <c r="G334" s="209" t="str">
        <f t="array" ref="G334">UPPER(IF(ISNA($AA334),"",INDEX(DECLARATIONS,$AA334,4)))</f>
        <v/>
      </c>
      <c r="H334" t="str">
        <f>IF(AND(A334&gt;0,ISTEXT(B334)),IF(SECNAME="YES",LEFT(B334&amp;" ",FIND(" ",B334&amp;" ")+2)&amp;IF(F334&gt;0," ("&amp;F334&amp;")",""),B334&amp;IF(F334&gt;0," ("&amp;F334&amp;")","")),"#"&amp;$A334)</f>
        <v/>
      </c>
      <c r="I334" s="209">
        <f>IF(LEN($A334)&gt;0,IF(LEN($J334)&gt;0,MATCH(J334,MatchNames,0),EventIndex),0)</f>
        <v>0</v>
      </c>
      <c r="J334" s="209" t="str">
        <f>IF(LEN($A334)&gt;0,IF(LEN(Declarations!$F334)&gt;0,Declarations!$F334,conftype),"")</f>
        <v/>
      </c>
      <c r="M334" s="297">
        <f>IF(ISNA(VLOOKUP($A334,SprintData,2,FALSE)),0,VLOOKUP($A334,SprintData,2,FALSE))</f>
        <v>0</v>
      </c>
      <c r="N334" s="297">
        <f>IF(ISNA(VLOOKUP($A334,JumpData,2,FALSE)),0,VLOOKUP($A334,JumpData,2,FALSE))</f>
        <v>0</v>
      </c>
      <c r="O334" s="297">
        <f>IF(ISNA(VLOOKUP($A334,RunData,2,FALSE)),0,VLOOKUP($A334,RunData,2,FALSE))</f>
        <v>0</v>
      </c>
      <c r="P334" s="297">
        <f>IF(ISNA(VLOOKUP($A334,ThrowData,2,FALSE)),0,VLOOKUP($A334,ThrowData,2,FALSE))</f>
        <v>0</v>
      </c>
      <c r="Q334" s="298">
        <f>IF(ISNA(VLOOKUP($A334,SprintData,4,FALSE)),0,VLOOKUP($A334,SprintData,4,FALSE))+V334</f>
        <v>0</v>
      </c>
      <c r="R334" s="298">
        <f>IF(ISNA(VLOOKUP($A334,JumpData,4,FALSE)),0,VLOOKUP($A334,JumpData,4,FALSE))+W334</f>
        <v>0</v>
      </c>
      <c r="S334" s="298">
        <f>IF(ISNA(VLOOKUP($A334,RunData,4,FALSE)),0,VLOOKUP($A334,RunData,4,FALSE))+X334</f>
        <v>0</v>
      </c>
      <c r="T334" s="298">
        <f>IF(ISNA(VLOOKUP($A334,ThrowData,4,FALSE)),0,VLOOKUP($A334,ThrowData,4,FALSE))+Y334</f>
        <v>0</v>
      </c>
      <c r="U334" s="299">
        <f t="shared" si="2"/>
        <v>0</v>
      </c>
      <c r="V334">
        <f>IF(AND($F334&gt;0,NOT(M334),Flexing),FlexPC,0)</f>
        <v>0</v>
      </c>
      <c r="W334">
        <f>IF(AND($F334&gt;0,NOT(N334),Flexing),FlexPC,0)</f>
        <v>0</v>
      </c>
      <c r="X334">
        <f>IF(AND($F334&gt;0,NOT(O334),Flexing),FlexPC,0)</f>
        <v>0</v>
      </c>
      <c r="Y334">
        <f>IF(AND($F334&gt;0,NOT(P334),Flexing),FlexPC,0)</f>
        <v>0</v>
      </c>
      <c r="AA334" s="209">
        <f t="shared" si="3"/>
        <v>333</v>
      </c>
    </row>
    <row r="335" ht="15.75" customHeight="1">
      <c r="A335" s="206" t="str">
        <f>+Declarations!A335&amp;""</f>
        <v/>
      </c>
      <c r="B335" t="str">
        <f>IF(LEN($A335),IF(LEN(Declarations!$B335)&gt;0,Declarations!$B335,"#"&amp;$A335),"")</f>
        <v/>
      </c>
      <c r="C335" s="209" t="str">
        <f t="array" ref="C335">IF(LEN(INDEX(DECLARATIONS,$AA335,3))&gt;0,INDEX(DECLARATIONS,$AA335,3),"...")</f>
        <v>...</v>
      </c>
      <c r="D335" s="209" t="str">
        <f t="shared" si="1"/>
        <v/>
      </c>
      <c r="E335" s="296" t="str">
        <f t="array" ref="E335">IF(ISNA($AA335),0,INDEX(DECLARATIONS,$AA335,5))</f>
        <v/>
      </c>
      <c r="F335" s="209" t="str">
        <f t="array" ref="F335">IF(ISNA($AA335),0,INDEX(DECLARATIONS,$AA335,7))</f>
        <v/>
      </c>
      <c r="G335" s="209" t="str">
        <f t="array" ref="G335">UPPER(IF(ISNA($AA335),"",INDEX(DECLARATIONS,$AA335,4)))</f>
        <v/>
      </c>
      <c r="H335" t="str">
        <f>IF(AND(A335&gt;0,ISTEXT(B335)),IF(SECNAME="YES",LEFT(B335&amp;" ",FIND(" ",B335&amp;" ")+2)&amp;IF(F335&gt;0," ("&amp;F335&amp;")",""),B335&amp;IF(F335&gt;0," ("&amp;F335&amp;")","")),"#"&amp;$A335)</f>
        <v/>
      </c>
      <c r="I335" s="209">
        <f>IF(LEN($A335)&gt;0,IF(LEN($J335)&gt;0,MATCH(J335,MatchNames,0),EventIndex),0)</f>
        <v>0</v>
      </c>
      <c r="J335" s="209" t="str">
        <f>IF(LEN($A335)&gt;0,IF(LEN(Declarations!$F335)&gt;0,Declarations!$F335,conftype),"")</f>
        <v/>
      </c>
      <c r="M335" s="297">
        <f>IF(ISNA(VLOOKUP($A335,SprintData,2,FALSE)),0,VLOOKUP($A335,SprintData,2,FALSE))</f>
        <v>0</v>
      </c>
      <c r="N335" s="297">
        <f>IF(ISNA(VLOOKUP($A335,JumpData,2,FALSE)),0,VLOOKUP($A335,JumpData,2,FALSE))</f>
        <v>0</v>
      </c>
      <c r="O335" s="297">
        <f>IF(ISNA(VLOOKUP($A335,RunData,2,FALSE)),0,VLOOKUP($A335,RunData,2,FALSE))</f>
        <v>0</v>
      </c>
      <c r="P335" s="297">
        <f>IF(ISNA(VLOOKUP($A335,ThrowData,2,FALSE)),0,VLOOKUP($A335,ThrowData,2,FALSE))</f>
        <v>0</v>
      </c>
      <c r="Q335" s="298">
        <f>IF(ISNA(VLOOKUP($A335,SprintData,4,FALSE)),0,VLOOKUP($A335,SprintData,4,FALSE))+V335</f>
        <v>0</v>
      </c>
      <c r="R335" s="298">
        <f>IF(ISNA(VLOOKUP($A335,JumpData,4,FALSE)),0,VLOOKUP($A335,JumpData,4,FALSE))+W335</f>
        <v>0</v>
      </c>
      <c r="S335" s="298">
        <f>IF(ISNA(VLOOKUP($A335,RunData,4,FALSE)),0,VLOOKUP($A335,RunData,4,FALSE))+X335</f>
        <v>0</v>
      </c>
      <c r="T335" s="298">
        <f>IF(ISNA(VLOOKUP($A335,ThrowData,4,FALSE)),0,VLOOKUP($A335,ThrowData,4,FALSE))+Y335</f>
        <v>0</v>
      </c>
      <c r="U335" s="299">
        <f t="shared" si="2"/>
        <v>0</v>
      </c>
      <c r="V335">
        <f>IF(AND($F335&gt;0,NOT(M335),Flexing),FlexPC,0)</f>
        <v>0</v>
      </c>
      <c r="W335">
        <f>IF(AND($F335&gt;0,NOT(N335),Flexing),FlexPC,0)</f>
        <v>0</v>
      </c>
      <c r="X335">
        <f>IF(AND($F335&gt;0,NOT(O335),Flexing),FlexPC,0)</f>
        <v>0</v>
      </c>
      <c r="Y335">
        <f>IF(AND($F335&gt;0,NOT(P335),Flexing),FlexPC,0)</f>
        <v>0</v>
      </c>
      <c r="AA335" s="209">
        <f t="shared" si="3"/>
        <v>334</v>
      </c>
    </row>
    <row r="336" ht="15.75" customHeight="1">
      <c r="A336" s="206" t="str">
        <f>+Declarations!A336&amp;""</f>
        <v/>
      </c>
      <c r="B336" t="str">
        <f>IF(LEN($A336),IF(LEN(Declarations!$B336)&gt;0,Declarations!$B336,"#"&amp;$A336),"")</f>
        <v/>
      </c>
      <c r="C336" s="209" t="str">
        <f t="array" ref="C336">IF(LEN(INDEX(DECLARATIONS,$AA336,3))&gt;0,INDEX(DECLARATIONS,$AA336,3),"...")</f>
        <v>...</v>
      </c>
      <c r="D336" s="209" t="str">
        <f t="shared" si="1"/>
        <v/>
      </c>
      <c r="E336" s="296" t="str">
        <f t="array" ref="E336">IF(ISNA($AA336),0,INDEX(DECLARATIONS,$AA336,5))</f>
        <v/>
      </c>
      <c r="F336" s="209" t="str">
        <f t="array" ref="F336">IF(ISNA($AA336),0,INDEX(DECLARATIONS,$AA336,7))</f>
        <v/>
      </c>
      <c r="G336" s="209" t="str">
        <f t="array" ref="G336">UPPER(IF(ISNA($AA336),"",INDEX(DECLARATIONS,$AA336,4)))</f>
        <v/>
      </c>
      <c r="H336" t="str">
        <f>IF(AND(A336&gt;0,ISTEXT(B336)),IF(SECNAME="YES",LEFT(B336&amp;" ",FIND(" ",B336&amp;" ")+2)&amp;IF(F336&gt;0," ("&amp;F336&amp;")",""),B336&amp;IF(F336&gt;0," ("&amp;F336&amp;")","")),"#"&amp;$A336)</f>
        <v/>
      </c>
      <c r="I336" s="209">
        <f>IF(LEN($A336)&gt;0,IF(LEN($J336)&gt;0,MATCH(J336,MatchNames,0),EventIndex),0)</f>
        <v>0</v>
      </c>
      <c r="J336" s="209" t="str">
        <f>IF(LEN($A336)&gt;0,IF(LEN(Declarations!$F336)&gt;0,Declarations!$F336,conftype),"")</f>
        <v/>
      </c>
      <c r="M336" s="297">
        <f>IF(ISNA(VLOOKUP($A336,SprintData,2,FALSE)),0,VLOOKUP($A336,SprintData,2,FALSE))</f>
        <v>0</v>
      </c>
      <c r="N336" s="297">
        <f>IF(ISNA(VLOOKUP($A336,JumpData,2,FALSE)),0,VLOOKUP($A336,JumpData,2,FALSE))</f>
        <v>0</v>
      </c>
      <c r="O336" s="297">
        <f>IF(ISNA(VLOOKUP($A336,RunData,2,FALSE)),0,VLOOKUP($A336,RunData,2,FALSE))</f>
        <v>0</v>
      </c>
      <c r="P336" s="297">
        <f>IF(ISNA(VLOOKUP($A336,ThrowData,2,FALSE)),0,VLOOKUP($A336,ThrowData,2,FALSE))</f>
        <v>0</v>
      </c>
      <c r="Q336" s="298">
        <f>IF(ISNA(VLOOKUP($A336,SprintData,4,FALSE)),0,VLOOKUP($A336,SprintData,4,FALSE))+V336</f>
        <v>0</v>
      </c>
      <c r="R336" s="298">
        <f>IF(ISNA(VLOOKUP($A336,JumpData,4,FALSE)),0,VLOOKUP($A336,JumpData,4,FALSE))+W336</f>
        <v>0</v>
      </c>
      <c r="S336" s="298">
        <f>IF(ISNA(VLOOKUP($A336,RunData,4,FALSE)),0,VLOOKUP($A336,RunData,4,FALSE))+X336</f>
        <v>0</v>
      </c>
      <c r="T336" s="298">
        <f>IF(ISNA(VLOOKUP($A336,ThrowData,4,FALSE)),0,VLOOKUP($A336,ThrowData,4,FALSE))+Y336</f>
        <v>0</v>
      </c>
      <c r="U336" s="299">
        <f t="shared" si="2"/>
        <v>0</v>
      </c>
      <c r="V336">
        <f>IF(AND($F336&gt;0,NOT(M336),Flexing),FlexPC,0)</f>
        <v>0</v>
      </c>
      <c r="W336">
        <f>IF(AND($F336&gt;0,NOT(N336),Flexing),FlexPC,0)</f>
        <v>0</v>
      </c>
      <c r="X336">
        <f>IF(AND($F336&gt;0,NOT(O336),Flexing),FlexPC,0)</f>
        <v>0</v>
      </c>
      <c r="Y336">
        <f>IF(AND($F336&gt;0,NOT(P336),Flexing),FlexPC,0)</f>
        <v>0</v>
      </c>
      <c r="AA336" s="209">
        <f t="shared" si="3"/>
        <v>335</v>
      </c>
    </row>
    <row r="337" ht="15.75" customHeight="1">
      <c r="A337" s="206" t="str">
        <f>+Declarations!A337&amp;""</f>
        <v/>
      </c>
      <c r="B337" t="str">
        <f>IF(LEN($A337),IF(LEN(Declarations!$B337)&gt;0,Declarations!$B337,"#"&amp;$A337),"")</f>
        <v/>
      </c>
      <c r="C337" s="209" t="str">
        <f t="array" ref="C337">IF(LEN(INDEX(DECLARATIONS,$AA337,3))&gt;0,INDEX(DECLARATIONS,$AA337,3),"...")</f>
        <v>...</v>
      </c>
      <c r="D337" s="209" t="str">
        <f t="shared" si="1"/>
        <v/>
      </c>
      <c r="E337" s="296" t="str">
        <f t="array" ref="E337">IF(ISNA($AA337),0,INDEX(DECLARATIONS,$AA337,5))</f>
        <v/>
      </c>
      <c r="F337" s="209" t="str">
        <f t="array" ref="F337">IF(ISNA($AA337),0,INDEX(DECLARATIONS,$AA337,7))</f>
        <v/>
      </c>
      <c r="G337" s="209" t="str">
        <f t="array" ref="G337">UPPER(IF(ISNA($AA337),"",INDEX(DECLARATIONS,$AA337,4)))</f>
        <v/>
      </c>
      <c r="H337" t="str">
        <f>IF(AND(A337&gt;0,ISTEXT(B337)),IF(SECNAME="YES",LEFT(B337&amp;" ",FIND(" ",B337&amp;" ")+2)&amp;IF(F337&gt;0," ("&amp;F337&amp;")",""),B337&amp;IF(F337&gt;0," ("&amp;F337&amp;")","")),"#"&amp;$A337)</f>
        <v/>
      </c>
      <c r="I337" s="209">
        <f>IF(LEN($A337)&gt;0,IF(LEN($J337)&gt;0,MATCH(J337,MatchNames,0),EventIndex),0)</f>
        <v>0</v>
      </c>
      <c r="J337" s="209" t="str">
        <f>IF(LEN($A337)&gt;0,IF(LEN(Declarations!$F337)&gt;0,Declarations!$F337,conftype),"")</f>
        <v/>
      </c>
      <c r="M337" s="297">
        <f>IF(ISNA(VLOOKUP($A337,SprintData,2,FALSE)),0,VLOOKUP($A337,SprintData,2,FALSE))</f>
        <v>0</v>
      </c>
      <c r="N337" s="297">
        <f>IF(ISNA(VLOOKUP($A337,JumpData,2,FALSE)),0,VLOOKUP($A337,JumpData,2,FALSE))</f>
        <v>0</v>
      </c>
      <c r="O337" s="297">
        <f>IF(ISNA(VLOOKUP($A337,RunData,2,FALSE)),0,VLOOKUP($A337,RunData,2,FALSE))</f>
        <v>0</v>
      </c>
      <c r="P337" s="297">
        <f>IF(ISNA(VLOOKUP($A337,ThrowData,2,FALSE)),0,VLOOKUP($A337,ThrowData,2,FALSE))</f>
        <v>0</v>
      </c>
      <c r="Q337" s="298">
        <f>IF(ISNA(VLOOKUP($A337,SprintData,4,FALSE)),0,VLOOKUP($A337,SprintData,4,FALSE))+V337</f>
        <v>0</v>
      </c>
      <c r="R337" s="298">
        <f>IF(ISNA(VLOOKUP($A337,JumpData,4,FALSE)),0,VLOOKUP($A337,JumpData,4,FALSE))+W337</f>
        <v>0</v>
      </c>
      <c r="S337" s="298">
        <f>IF(ISNA(VLOOKUP($A337,RunData,4,FALSE)),0,VLOOKUP($A337,RunData,4,FALSE))+X337</f>
        <v>0</v>
      </c>
      <c r="T337" s="298">
        <f>IF(ISNA(VLOOKUP($A337,ThrowData,4,FALSE)),0,VLOOKUP($A337,ThrowData,4,FALSE))+Y337</f>
        <v>0</v>
      </c>
      <c r="U337" s="299">
        <f t="shared" si="2"/>
        <v>0</v>
      </c>
      <c r="V337">
        <f>IF(AND($F337&gt;0,NOT(M337),Flexing),FlexPC,0)</f>
        <v>0</v>
      </c>
      <c r="W337">
        <f>IF(AND($F337&gt;0,NOT(N337),Flexing),FlexPC,0)</f>
        <v>0</v>
      </c>
      <c r="X337">
        <f>IF(AND($F337&gt;0,NOT(O337),Flexing),FlexPC,0)</f>
        <v>0</v>
      </c>
      <c r="Y337">
        <f>IF(AND($F337&gt;0,NOT(P337),Flexing),FlexPC,0)</f>
        <v>0</v>
      </c>
      <c r="AA337" s="209">
        <f t="shared" si="3"/>
        <v>336</v>
      </c>
    </row>
    <row r="338" ht="15.75" customHeight="1">
      <c r="A338" s="206" t="str">
        <f>+Declarations!A338&amp;""</f>
        <v/>
      </c>
      <c r="B338" t="str">
        <f>IF(LEN($A338),IF(LEN(Declarations!$B338)&gt;0,Declarations!$B338,"#"&amp;$A338),"")</f>
        <v/>
      </c>
      <c r="C338" s="209" t="str">
        <f t="array" ref="C338">IF(LEN(INDEX(DECLARATIONS,$AA338,3))&gt;0,INDEX(DECLARATIONS,$AA338,3),"...")</f>
        <v>...</v>
      </c>
      <c r="D338" s="209" t="str">
        <f t="shared" si="1"/>
        <v/>
      </c>
      <c r="E338" s="296" t="str">
        <f t="array" ref="E338">IF(ISNA($AA338),0,INDEX(DECLARATIONS,$AA338,5))</f>
        <v/>
      </c>
      <c r="F338" s="209" t="str">
        <f t="array" ref="F338">IF(ISNA($AA338),0,INDEX(DECLARATIONS,$AA338,7))</f>
        <v/>
      </c>
      <c r="G338" s="209" t="str">
        <f t="array" ref="G338">UPPER(IF(ISNA($AA338),"",INDEX(DECLARATIONS,$AA338,4)))</f>
        <v/>
      </c>
      <c r="H338" t="str">
        <f>IF(AND(A338&gt;0,ISTEXT(B338)),IF(SECNAME="YES",LEFT(B338&amp;" ",FIND(" ",B338&amp;" ")+2)&amp;IF(F338&gt;0," ("&amp;F338&amp;")",""),B338&amp;IF(F338&gt;0," ("&amp;F338&amp;")","")),"#"&amp;$A338)</f>
        <v/>
      </c>
      <c r="I338" s="209">
        <f>IF(LEN($A338)&gt;0,IF(LEN($J338)&gt;0,MATCH(J338,MatchNames,0),EventIndex),0)</f>
        <v>0</v>
      </c>
      <c r="J338" s="209" t="str">
        <f>IF(LEN($A338)&gt;0,IF(LEN(Declarations!$F338)&gt;0,Declarations!$F338,conftype),"")</f>
        <v/>
      </c>
      <c r="M338" s="297">
        <f>IF(ISNA(VLOOKUP($A338,SprintData,2,FALSE)),0,VLOOKUP($A338,SprintData,2,FALSE))</f>
        <v>0</v>
      </c>
      <c r="N338" s="297">
        <f>IF(ISNA(VLOOKUP($A338,JumpData,2,FALSE)),0,VLOOKUP($A338,JumpData,2,FALSE))</f>
        <v>0</v>
      </c>
      <c r="O338" s="297">
        <f>IF(ISNA(VLOOKUP($A338,RunData,2,FALSE)),0,VLOOKUP($A338,RunData,2,FALSE))</f>
        <v>0</v>
      </c>
      <c r="P338" s="297">
        <f>IF(ISNA(VLOOKUP($A338,ThrowData,2,FALSE)),0,VLOOKUP($A338,ThrowData,2,FALSE))</f>
        <v>0</v>
      </c>
      <c r="Q338" s="298">
        <f>IF(ISNA(VLOOKUP($A338,SprintData,4,FALSE)),0,VLOOKUP($A338,SprintData,4,FALSE))+V338</f>
        <v>0</v>
      </c>
      <c r="R338" s="298">
        <f>IF(ISNA(VLOOKUP($A338,JumpData,4,FALSE)),0,VLOOKUP($A338,JumpData,4,FALSE))+W338</f>
        <v>0</v>
      </c>
      <c r="S338" s="298">
        <f>IF(ISNA(VLOOKUP($A338,RunData,4,FALSE)),0,VLOOKUP($A338,RunData,4,FALSE))+X338</f>
        <v>0</v>
      </c>
      <c r="T338" s="298">
        <f>IF(ISNA(VLOOKUP($A338,ThrowData,4,FALSE)),0,VLOOKUP($A338,ThrowData,4,FALSE))+Y338</f>
        <v>0</v>
      </c>
      <c r="U338" s="299">
        <f t="shared" si="2"/>
        <v>0</v>
      </c>
      <c r="V338">
        <f>IF(AND($F338&gt;0,NOT(M338),Flexing),FlexPC,0)</f>
        <v>0</v>
      </c>
      <c r="W338">
        <f>IF(AND($F338&gt;0,NOT(N338),Flexing),FlexPC,0)</f>
        <v>0</v>
      </c>
      <c r="X338">
        <f>IF(AND($F338&gt;0,NOT(O338),Flexing),FlexPC,0)</f>
        <v>0</v>
      </c>
      <c r="Y338">
        <f>IF(AND($F338&gt;0,NOT(P338),Flexing),FlexPC,0)</f>
        <v>0</v>
      </c>
      <c r="AA338" s="209">
        <f t="shared" si="3"/>
        <v>337</v>
      </c>
    </row>
    <row r="339" ht="15.75" customHeight="1">
      <c r="A339" s="206" t="str">
        <f>+Declarations!A339&amp;""</f>
        <v/>
      </c>
      <c r="B339" t="str">
        <f>IF(LEN($A339),IF(LEN(Declarations!$B339)&gt;0,Declarations!$B339,"#"&amp;$A339),"")</f>
        <v/>
      </c>
      <c r="C339" s="209" t="str">
        <f t="array" ref="C339">IF(LEN(INDEX(DECLARATIONS,$AA339,3))&gt;0,INDEX(DECLARATIONS,$AA339,3),"...")</f>
        <v>...</v>
      </c>
      <c r="D339" s="209" t="str">
        <f t="shared" si="1"/>
        <v/>
      </c>
      <c r="E339" s="296" t="str">
        <f t="array" ref="E339">IF(ISNA($AA339),0,INDEX(DECLARATIONS,$AA339,5))</f>
        <v/>
      </c>
      <c r="F339" s="209" t="str">
        <f t="array" ref="F339">IF(ISNA($AA339),0,INDEX(DECLARATIONS,$AA339,7))</f>
        <v/>
      </c>
      <c r="G339" s="209" t="str">
        <f t="array" ref="G339">UPPER(IF(ISNA($AA339),"",INDEX(DECLARATIONS,$AA339,4)))</f>
        <v/>
      </c>
      <c r="H339" t="str">
        <f>IF(AND(A339&gt;0,ISTEXT(B339)),IF(SECNAME="YES",LEFT(B339&amp;" ",FIND(" ",B339&amp;" ")+2)&amp;IF(F339&gt;0," ("&amp;F339&amp;")",""),B339&amp;IF(F339&gt;0," ("&amp;F339&amp;")","")),"#"&amp;$A339)</f>
        <v/>
      </c>
      <c r="I339" s="209">
        <f>IF(LEN($A339)&gt;0,IF(LEN($J339)&gt;0,MATCH(J339,MatchNames,0),EventIndex),0)</f>
        <v>0</v>
      </c>
      <c r="J339" s="209" t="str">
        <f>IF(LEN($A339)&gt;0,IF(LEN(Declarations!$F339)&gt;0,Declarations!$F339,conftype),"")</f>
        <v/>
      </c>
      <c r="M339" s="297">
        <f>IF(ISNA(VLOOKUP($A339,SprintData,2,FALSE)),0,VLOOKUP($A339,SprintData,2,FALSE))</f>
        <v>0</v>
      </c>
      <c r="N339" s="297">
        <f>IF(ISNA(VLOOKUP($A339,JumpData,2,FALSE)),0,VLOOKUP($A339,JumpData,2,FALSE))</f>
        <v>0</v>
      </c>
      <c r="O339" s="297">
        <f>IF(ISNA(VLOOKUP($A339,RunData,2,FALSE)),0,VLOOKUP($A339,RunData,2,FALSE))</f>
        <v>0</v>
      </c>
      <c r="P339" s="297">
        <f>IF(ISNA(VLOOKUP($A339,ThrowData,2,FALSE)),0,VLOOKUP($A339,ThrowData,2,FALSE))</f>
        <v>0</v>
      </c>
      <c r="Q339" s="298">
        <f>IF(ISNA(VLOOKUP($A339,SprintData,4,FALSE)),0,VLOOKUP($A339,SprintData,4,FALSE))+V339</f>
        <v>0</v>
      </c>
      <c r="R339" s="298">
        <f>IF(ISNA(VLOOKUP($A339,JumpData,4,FALSE)),0,VLOOKUP($A339,JumpData,4,FALSE))+W339</f>
        <v>0</v>
      </c>
      <c r="S339" s="298">
        <f>IF(ISNA(VLOOKUP($A339,RunData,4,FALSE)),0,VLOOKUP($A339,RunData,4,FALSE))+X339</f>
        <v>0</v>
      </c>
      <c r="T339" s="298">
        <f>IF(ISNA(VLOOKUP($A339,ThrowData,4,FALSE)),0,VLOOKUP($A339,ThrowData,4,FALSE))+Y339</f>
        <v>0</v>
      </c>
      <c r="U339" s="299">
        <f t="shared" si="2"/>
        <v>0</v>
      </c>
      <c r="V339">
        <f>IF(AND($F339&gt;0,NOT(M339),Flexing),FlexPC,0)</f>
        <v>0</v>
      </c>
      <c r="W339">
        <f>IF(AND($F339&gt;0,NOT(N339),Flexing),FlexPC,0)</f>
        <v>0</v>
      </c>
      <c r="X339">
        <f>IF(AND($F339&gt;0,NOT(O339),Flexing),FlexPC,0)</f>
        <v>0</v>
      </c>
      <c r="Y339">
        <f>IF(AND($F339&gt;0,NOT(P339),Flexing),FlexPC,0)</f>
        <v>0</v>
      </c>
      <c r="AA339" s="209">
        <f t="shared" si="3"/>
        <v>338</v>
      </c>
    </row>
    <row r="340" ht="15.75" customHeight="1">
      <c r="A340" s="206" t="str">
        <f>+Declarations!A340&amp;""</f>
        <v/>
      </c>
      <c r="B340" t="str">
        <f>IF(LEN($A340),IF(LEN(Declarations!$B340)&gt;0,Declarations!$B340,"#"&amp;$A340),"")</f>
        <v/>
      </c>
      <c r="C340" s="209" t="str">
        <f t="array" ref="C340">IF(LEN(INDEX(DECLARATIONS,$AA340,3))&gt;0,INDEX(DECLARATIONS,$AA340,3),"...")</f>
        <v>...</v>
      </c>
      <c r="D340" s="209" t="str">
        <f t="shared" si="1"/>
        <v/>
      </c>
      <c r="E340" s="296" t="str">
        <f t="array" ref="E340">IF(ISNA($AA340),0,INDEX(DECLARATIONS,$AA340,5))</f>
        <v/>
      </c>
      <c r="F340" s="209" t="str">
        <f t="array" ref="F340">IF(ISNA($AA340),0,INDEX(DECLARATIONS,$AA340,7))</f>
        <v/>
      </c>
      <c r="G340" s="209" t="str">
        <f t="array" ref="G340">UPPER(IF(ISNA($AA340),"",INDEX(DECLARATIONS,$AA340,4)))</f>
        <v/>
      </c>
      <c r="H340" t="str">
        <f>IF(AND(A340&gt;0,ISTEXT(B340)),IF(SECNAME="YES",LEFT(B340&amp;" ",FIND(" ",B340&amp;" ")+2)&amp;IF(F340&gt;0," ("&amp;F340&amp;")",""),B340&amp;IF(F340&gt;0," ("&amp;F340&amp;")","")),"#"&amp;$A340)</f>
        <v/>
      </c>
      <c r="I340" s="209">
        <f>IF(LEN($A340)&gt;0,IF(LEN($J340)&gt;0,MATCH(J340,MatchNames,0),EventIndex),0)</f>
        <v>0</v>
      </c>
      <c r="J340" s="209" t="str">
        <f>IF(LEN($A340)&gt;0,IF(LEN(Declarations!$F340)&gt;0,Declarations!$F340,conftype),"")</f>
        <v/>
      </c>
      <c r="M340" s="297">
        <f>IF(ISNA(VLOOKUP($A340,SprintData,2,FALSE)),0,VLOOKUP($A340,SprintData,2,FALSE))</f>
        <v>0</v>
      </c>
      <c r="N340" s="297">
        <f>IF(ISNA(VLOOKUP($A340,JumpData,2,FALSE)),0,VLOOKUP($A340,JumpData,2,FALSE))</f>
        <v>0</v>
      </c>
      <c r="O340" s="297">
        <f>IF(ISNA(VLOOKUP($A340,RunData,2,FALSE)),0,VLOOKUP($A340,RunData,2,FALSE))</f>
        <v>0</v>
      </c>
      <c r="P340" s="297">
        <f>IF(ISNA(VLOOKUP($A340,ThrowData,2,FALSE)),0,VLOOKUP($A340,ThrowData,2,FALSE))</f>
        <v>0</v>
      </c>
      <c r="Q340" s="298">
        <f>IF(ISNA(VLOOKUP($A340,SprintData,4,FALSE)),0,VLOOKUP($A340,SprintData,4,FALSE))+V340</f>
        <v>0</v>
      </c>
      <c r="R340" s="298">
        <f>IF(ISNA(VLOOKUP($A340,JumpData,4,FALSE)),0,VLOOKUP($A340,JumpData,4,FALSE))+W340</f>
        <v>0</v>
      </c>
      <c r="S340" s="298">
        <f>IF(ISNA(VLOOKUP($A340,RunData,4,FALSE)),0,VLOOKUP($A340,RunData,4,FALSE))+X340</f>
        <v>0</v>
      </c>
      <c r="T340" s="298">
        <f>IF(ISNA(VLOOKUP($A340,ThrowData,4,FALSE)),0,VLOOKUP($A340,ThrowData,4,FALSE))+Y340</f>
        <v>0</v>
      </c>
      <c r="U340" s="299">
        <f t="shared" si="2"/>
        <v>0</v>
      </c>
      <c r="V340">
        <f>IF(AND($F340&gt;0,NOT(M340),Flexing),FlexPC,0)</f>
        <v>0</v>
      </c>
      <c r="W340">
        <f>IF(AND($F340&gt;0,NOT(N340),Flexing),FlexPC,0)</f>
        <v>0</v>
      </c>
      <c r="X340">
        <f>IF(AND($F340&gt;0,NOT(O340),Flexing),FlexPC,0)</f>
        <v>0</v>
      </c>
      <c r="Y340">
        <f>IF(AND($F340&gt;0,NOT(P340),Flexing),FlexPC,0)</f>
        <v>0</v>
      </c>
      <c r="AA340" s="209">
        <f t="shared" si="3"/>
        <v>339</v>
      </c>
    </row>
    <row r="341" ht="15.75" customHeight="1">
      <c r="A341" s="206" t="str">
        <f>+Declarations!A341&amp;""</f>
        <v/>
      </c>
      <c r="B341" t="str">
        <f>IF(LEN($A341),IF(LEN(Declarations!$B341)&gt;0,Declarations!$B341,"#"&amp;$A341),"")</f>
        <v/>
      </c>
      <c r="C341" s="209" t="str">
        <f t="array" ref="C341">IF(LEN(INDEX(DECLARATIONS,$AA341,3))&gt;0,INDEX(DECLARATIONS,$AA341,3),"...")</f>
        <v>...</v>
      </c>
      <c r="D341" s="209" t="str">
        <f t="shared" si="1"/>
        <v/>
      </c>
      <c r="E341" s="296" t="str">
        <f t="array" ref="E341">IF(ISNA($AA341),0,INDEX(DECLARATIONS,$AA341,5))</f>
        <v/>
      </c>
      <c r="F341" s="209" t="str">
        <f t="array" ref="F341">IF(ISNA($AA341),0,INDEX(DECLARATIONS,$AA341,7))</f>
        <v/>
      </c>
      <c r="G341" s="209" t="str">
        <f t="array" ref="G341">UPPER(IF(ISNA($AA341),"",INDEX(DECLARATIONS,$AA341,4)))</f>
        <v/>
      </c>
      <c r="H341" t="str">
        <f>IF(AND(A341&gt;0,ISTEXT(B341)),IF(SECNAME="YES",LEFT(B341&amp;" ",FIND(" ",B341&amp;" ")+2)&amp;IF(F341&gt;0," ("&amp;F341&amp;")",""),B341&amp;IF(F341&gt;0," ("&amp;F341&amp;")","")),"#"&amp;$A341)</f>
        <v/>
      </c>
      <c r="I341" s="209">
        <f>IF(LEN($A341)&gt;0,IF(LEN($J341)&gt;0,MATCH(J341,MatchNames,0),EventIndex),0)</f>
        <v>0</v>
      </c>
      <c r="J341" s="209" t="str">
        <f>IF(LEN($A341)&gt;0,IF(LEN(Declarations!$F341)&gt;0,Declarations!$F341,conftype),"")</f>
        <v/>
      </c>
      <c r="M341" s="297">
        <f>IF(ISNA(VLOOKUP($A341,SprintData,2,FALSE)),0,VLOOKUP($A341,SprintData,2,FALSE))</f>
        <v>0</v>
      </c>
      <c r="N341" s="297">
        <f>IF(ISNA(VLOOKUP($A341,JumpData,2,FALSE)),0,VLOOKUP($A341,JumpData,2,FALSE))</f>
        <v>0</v>
      </c>
      <c r="O341" s="297">
        <f>IF(ISNA(VLOOKUP($A341,RunData,2,FALSE)),0,VLOOKUP($A341,RunData,2,FALSE))</f>
        <v>0</v>
      </c>
      <c r="P341" s="297">
        <f>IF(ISNA(VLOOKUP($A341,ThrowData,2,FALSE)),0,VLOOKUP($A341,ThrowData,2,FALSE))</f>
        <v>0</v>
      </c>
      <c r="Q341" s="298">
        <f>IF(ISNA(VLOOKUP($A341,SprintData,4,FALSE)),0,VLOOKUP($A341,SprintData,4,FALSE))+V341</f>
        <v>0</v>
      </c>
      <c r="R341" s="298">
        <f>IF(ISNA(VLOOKUP($A341,JumpData,4,FALSE)),0,VLOOKUP($A341,JumpData,4,FALSE))+W341</f>
        <v>0</v>
      </c>
      <c r="S341" s="298">
        <f>IF(ISNA(VLOOKUP($A341,RunData,4,FALSE)),0,VLOOKUP($A341,RunData,4,FALSE))+X341</f>
        <v>0</v>
      </c>
      <c r="T341" s="298">
        <f>IF(ISNA(VLOOKUP($A341,ThrowData,4,FALSE)),0,VLOOKUP($A341,ThrowData,4,FALSE))+Y341</f>
        <v>0</v>
      </c>
      <c r="U341" s="299">
        <f t="shared" si="2"/>
        <v>0</v>
      </c>
      <c r="V341">
        <f>IF(AND($F341&gt;0,NOT(M341),Flexing),FlexPC,0)</f>
        <v>0</v>
      </c>
      <c r="W341">
        <f>IF(AND($F341&gt;0,NOT(N341),Flexing),FlexPC,0)</f>
        <v>0</v>
      </c>
      <c r="X341">
        <f>IF(AND($F341&gt;0,NOT(O341),Flexing),FlexPC,0)</f>
        <v>0</v>
      </c>
      <c r="Y341">
        <f>IF(AND($F341&gt;0,NOT(P341),Flexing),FlexPC,0)</f>
        <v>0</v>
      </c>
      <c r="AA341" s="209">
        <f t="shared" si="3"/>
        <v>340</v>
      </c>
    </row>
    <row r="342" ht="15.75" customHeight="1">
      <c r="A342" s="206" t="str">
        <f>+Declarations!A342&amp;""</f>
        <v/>
      </c>
      <c r="B342" t="str">
        <f>IF(LEN($A342),IF(LEN(Declarations!$B342)&gt;0,Declarations!$B342,"#"&amp;$A342),"")</f>
        <v/>
      </c>
      <c r="C342" s="209" t="str">
        <f t="array" ref="C342">IF(LEN(INDEX(DECLARATIONS,$AA342,3))&gt;0,INDEX(DECLARATIONS,$AA342,3),"...")</f>
        <v>...</v>
      </c>
      <c r="D342" s="209" t="str">
        <f t="shared" si="1"/>
        <v/>
      </c>
      <c r="E342" s="296" t="str">
        <f t="array" ref="E342">IF(ISNA($AA342),0,INDEX(DECLARATIONS,$AA342,5))</f>
        <v/>
      </c>
      <c r="F342" s="209" t="str">
        <f t="array" ref="F342">IF(ISNA($AA342),0,INDEX(DECLARATIONS,$AA342,7))</f>
        <v/>
      </c>
      <c r="G342" s="209" t="str">
        <f t="array" ref="G342">UPPER(IF(ISNA($AA342),"",INDEX(DECLARATIONS,$AA342,4)))</f>
        <v/>
      </c>
      <c r="H342" t="str">
        <f>IF(AND(A342&gt;0,ISTEXT(B342)),IF(SECNAME="YES",LEFT(B342&amp;" ",FIND(" ",B342&amp;" ")+2)&amp;IF(F342&gt;0," ("&amp;F342&amp;")",""),B342&amp;IF(F342&gt;0," ("&amp;F342&amp;")","")),"#"&amp;$A342)</f>
        <v/>
      </c>
      <c r="I342" s="209">
        <f>IF(LEN($A342)&gt;0,IF(LEN($J342)&gt;0,MATCH(J342,MatchNames,0),EventIndex),0)</f>
        <v>0</v>
      </c>
      <c r="J342" s="209" t="str">
        <f>IF(LEN($A342)&gt;0,IF(LEN(Declarations!$F342)&gt;0,Declarations!$F342,conftype),"")</f>
        <v/>
      </c>
      <c r="M342" s="297">
        <f>IF(ISNA(VLOOKUP($A342,SprintData,2,FALSE)),0,VLOOKUP($A342,SprintData,2,FALSE))</f>
        <v>0</v>
      </c>
      <c r="N342" s="297">
        <f>IF(ISNA(VLOOKUP($A342,JumpData,2,FALSE)),0,VLOOKUP($A342,JumpData,2,FALSE))</f>
        <v>0</v>
      </c>
      <c r="O342" s="297">
        <f>IF(ISNA(VLOOKUP($A342,RunData,2,FALSE)),0,VLOOKUP($A342,RunData,2,FALSE))</f>
        <v>0</v>
      </c>
      <c r="P342" s="297">
        <f>IF(ISNA(VLOOKUP($A342,ThrowData,2,FALSE)),0,VLOOKUP($A342,ThrowData,2,FALSE))</f>
        <v>0</v>
      </c>
      <c r="Q342" s="298">
        <f>IF(ISNA(VLOOKUP($A342,SprintData,4,FALSE)),0,VLOOKUP($A342,SprintData,4,FALSE))+V342</f>
        <v>0</v>
      </c>
      <c r="R342" s="298">
        <f>IF(ISNA(VLOOKUP($A342,JumpData,4,FALSE)),0,VLOOKUP($A342,JumpData,4,FALSE))+W342</f>
        <v>0</v>
      </c>
      <c r="S342" s="298">
        <f>IF(ISNA(VLOOKUP($A342,RunData,4,FALSE)),0,VLOOKUP($A342,RunData,4,FALSE))+X342</f>
        <v>0</v>
      </c>
      <c r="T342" s="298">
        <f>IF(ISNA(VLOOKUP($A342,ThrowData,4,FALSE)),0,VLOOKUP($A342,ThrowData,4,FALSE))+Y342</f>
        <v>0</v>
      </c>
      <c r="U342" s="299">
        <f t="shared" si="2"/>
        <v>0</v>
      </c>
      <c r="V342">
        <f>IF(AND($F342&gt;0,NOT(M342),Flexing),FlexPC,0)</f>
        <v>0</v>
      </c>
      <c r="W342">
        <f>IF(AND($F342&gt;0,NOT(N342),Flexing),FlexPC,0)</f>
        <v>0</v>
      </c>
      <c r="X342">
        <f>IF(AND($F342&gt;0,NOT(O342),Flexing),FlexPC,0)</f>
        <v>0</v>
      </c>
      <c r="Y342">
        <f>IF(AND($F342&gt;0,NOT(P342),Flexing),FlexPC,0)</f>
        <v>0</v>
      </c>
      <c r="AA342" s="209">
        <f t="shared" si="3"/>
        <v>341</v>
      </c>
    </row>
    <row r="343" ht="15.75" customHeight="1">
      <c r="A343" s="206" t="str">
        <f>+Declarations!A343&amp;""</f>
        <v/>
      </c>
      <c r="B343" t="str">
        <f>IF(LEN($A343),IF(LEN(Declarations!$B343)&gt;0,Declarations!$B343,"#"&amp;$A343),"")</f>
        <v/>
      </c>
      <c r="C343" s="209" t="str">
        <f t="array" ref="C343">IF(LEN(INDEX(DECLARATIONS,$AA343,3))&gt;0,INDEX(DECLARATIONS,$AA343,3),"...")</f>
        <v>...</v>
      </c>
      <c r="D343" s="209" t="str">
        <f t="shared" si="1"/>
        <v/>
      </c>
      <c r="E343" s="296" t="str">
        <f t="array" ref="E343">IF(ISNA($AA343),0,INDEX(DECLARATIONS,$AA343,5))</f>
        <v/>
      </c>
      <c r="F343" s="209" t="str">
        <f t="array" ref="F343">IF(ISNA($AA343),0,INDEX(DECLARATIONS,$AA343,7))</f>
        <v/>
      </c>
      <c r="G343" s="209" t="str">
        <f t="array" ref="G343">UPPER(IF(ISNA($AA343),"",INDEX(DECLARATIONS,$AA343,4)))</f>
        <v/>
      </c>
      <c r="H343" t="str">
        <f>IF(AND(A343&gt;0,ISTEXT(B343)),IF(SECNAME="YES",LEFT(B343&amp;" ",FIND(" ",B343&amp;" ")+2)&amp;IF(F343&gt;0," ("&amp;F343&amp;")",""),B343&amp;IF(F343&gt;0," ("&amp;F343&amp;")","")),"#"&amp;$A343)</f>
        <v/>
      </c>
      <c r="I343" s="209">
        <f>IF(LEN($A343)&gt;0,IF(LEN($J343)&gt;0,MATCH(J343,MatchNames,0),EventIndex),0)</f>
        <v>0</v>
      </c>
      <c r="J343" s="209" t="str">
        <f>IF(LEN($A343)&gt;0,IF(LEN(Declarations!$F343)&gt;0,Declarations!$F343,conftype),"")</f>
        <v/>
      </c>
      <c r="M343" s="297">
        <f>IF(ISNA(VLOOKUP($A343,SprintData,2,FALSE)),0,VLOOKUP($A343,SprintData,2,FALSE))</f>
        <v>0</v>
      </c>
      <c r="N343" s="297">
        <f>IF(ISNA(VLOOKUP($A343,JumpData,2,FALSE)),0,VLOOKUP($A343,JumpData,2,FALSE))</f>
        <v>0</v>
      </c>
      <c r="O343" s="297">
        <f>IF(ISNA(VLOOKUP($A343,RunData,2,FALSE)),0,VLOOKUP($A343,RunData,2,FALSE))</f>
        <v>0</v>
      </c>
      <c r="P343" s="297">
        <f>IF(ISNA(VLOOKUP($A343,ThrowData,2,FALSE)),0,VLOOKUP($A343,ThrowData,2,FALSE))</f>
        <v>0</v>
      </c>
      <c r="Q343" s="298">
        <f>IF(ISNA(VLOOKUP($A343,SprintData,4,FALSE)),0,VLOOKUP($A343,SprintData,4,FALSE))+V343</f>
        <v>0</v>
      </c>
      <c r="R343" s="298">
        <f>IF(ISNA(VLOOKUP($A343,JumpData,4,FALSE)),0,VLOOKUP($A343,JumpData,4,FALSE))+W343</f>
        <v>0</v>
      </c>
      <c r="S343" s="298">
        <f>IF(ISNA(VLOOKUP($A343,RunData,4,FALSE)),0,VLOOKUP($A343,RunData,4,FALSE))+X343</f>
        <v>0</v>
      </c>
      <c r="T343" s="298">
        <f>IF(ISNA(VLOOKUP($A343,ThrowData,4,FALSE)),0,VLOOKUP($A343,ThrowData,4,FALSE))+Y343</f>
        <v>0</v>
      </c>
      <c r="U343" s="299">
        <f t="shared" si="2"/>
        <v>0</v>
      </c>
      <c r="V343">
        <f>IF(AND($F343&gt;0,NOT(M343),Flexing),FlexPC,0)</f>
        <v>0</v>
      </c>
      <c r="W343">
        <f>IF(AND($F343&gt;0,NOT(N343),Flexing),FlexPC,0)</f>
        <v>0</v>
      </c>
      <c r="X343">
        <f>IF(AND($F343&gt;0,NOT(O343),Flexing),FlexPC,0)</f>
        <v>0</v>
      </c>
      <c r="Y343">
        <f>IF(AND($F343&gt;0,NOT(P343),Flexing),FlexPC,0)</f>
        <v>0</v>
      </c>
      <c r="AA343" s="209">
        <f t="shared" si="3"/>
        <v>342</v>
      </c>
    </row>
    <row r="344" ht="15.75" customHeight="1">
      <c r="A344" s="206" t="str">
        <f>+Declarations!A344&amp;""</f>
        <v/>
      </c>
      <c r="B344" t="str">
        <f>IF(LEN($A344),IF(LEN(Declarations!$B344)&gt;0,Declarations!$B344,"#"&amp;$A344),"")</f>
        <v/>
      </c>
      <c r="C344" s="209" t="str">
        <f t="array" ref="C344">IF(LEN(INDEX(DECLARATIONS,$AA344,3))&gt;0,INDEX(DECLARATIONS,$AA344,3),"...")</f>
        <v>...</v>
      </c>
      <c r="D344" s="209" t="str">
        <f t="shared" si="1"/>
        <v/>
      </c>
      <c r="E344" s="296" t="str">
        <f t="array" ref="E344">IF(ISNA($AA344),0,INDEX(DECLARATIONS,$AA344,5))</f>
        <v/>
      </c>
      <c r="F344" s="209" t="str">
        <f t="array" ref="F344">IF(ISNA($AA344),0,INDEX(DECLARATIONS,$AA344,7))</f>
        <v/>
      </c>
      <c r="G344" s="209" t="str">
        <f t="array" ref="G344">UPPER(IF(ISNA($AA344),"",INDEX(DECLARATIONS,$AA344,4)))</f>
        <v/>
      </c>
      <c r="H344" t="str">
        <f>IF(AND(A344&gt;0,ISTEXT(B344)),IF(SECNAME="YES",LEFT(B344&amp;" ",FIND(" ",B344&amp;" ")+2)&amp;IF(F344&gt;0," ("&amp;F344&amp;")",""),B344&amp;IF(F344&gt;0," ("&amp;F344&amp;")","")),"#"&amp;$A344)</f>
        <v/>
      </c>
      <c r="I344" s="209">
        <f>IF(LEN($A344)&gt;0,IF(LEN($J344)&gt;0,MATCH(J344,MatchNames,0),EventIndex),0)</f>
        <v>0</v>
      </c>
      <c r="J344" s="209" t="str">
        <f>IF(LEN($A344)&gt;0,IF(LEN(Declarations!$F344)&gt;0,Declarations!$F344,conftype),"")</f>
        <v/>
      </c>
      <c r="M344" s="297">
        <f>IF(ISNA(VLOOKUP($A344,SprintData,2,FALSE)),0,VLOOKUP($A344,SprintData,2,FALSE))</f>
        <v>0</v>
      </c>
      <c r="N344" s="297">
        <f>IF(ISNA(VLOOKUP($A344,JumpData,2,FALSE)),0,VLOOKUP($A344,JumpData,2,FALSE))</f>
        <v>0</v>
      </c>
      <c r="O344" s="297">
        <f>IF(ISNA(VLOOKUP($A344,RunData,2,FALSE)),0,VLOOKUP($A344,RunData,2,FALSE))</f>
        <v>0</v>
      </c>
      <c r="P344" s="297">
        <f>IF(ISNA(VLOOKUP($A344,ThrowData,2,FALSE)),0,VLOOKUP($A344,ThrowData,2,FALSE))</f>
        <v>0</v>
      </c>
      <c r="Q344" s="298">
        <f>IF(ISNA(VLOOKUP($A344,SprintData,4,FALSE)),0,VLOOKUP($A344,SprintData,4,FALSE))+V344</f>
        <v>0</v>
      </c>
      <c r="R344" s="298">
        <f>IF(ISNA(VLOOKUP($A344,JumpData,4,FALSE)),0,VLOOKUP($A344,JumpData,4,FALSE))+W344</f>
        <v>0</v>
      </c>
      <c r="S344" s="298">
        <f>IF(ISNA(VLOOKUP($A344,RunData,4,FALSE)),0,VLOOKUP($A344,RunData,4,FALSE))+X344</f>
        <v>0</v>
      </c>
      <c r="T344" s="298">
        <f>IF(ISNA(VLOOKUP($A344,ThrowData,4,FALSE)),0,VLOOKUP($A344,ThrowData,4,FALSE))+Y344</f>
        <v>0</v>
      </c>
      <c r="U344" s="299">
        <f t="shared" si="2"/>
        <v>0</v>
      </c>
      <c r="V344">
        <f>IF(AND($F344&gt;0,NOT(M344),Flexing),FlexPC,0)</f>
        <v>0</v>
      </c>
      <c r="W344">
        <f>IF(AND($F344&gt;0,NOT(N344),Flexing),FlexPC,0)</f>
        <v>0</v>
      </c>
      <c r="X344">
        <f>IF(AND($F344&gt;0,NOT(O344),Flexing),FlexPC,0)</f>
        <v>0</v>
      </c>
      <c r="Y344">
        <f>IF(AND($F344&gt;0,NOT(P344),Flexing),FlexPC,0)</f>
        <v>0</v>
      </c>
      <c r="AA344" s="209">
        <f t="shared" si="3"/>
        <v>343</v>
      </c>
    </row>
    <row r="345" ht="15.75" customHeight="1">
      <c r="A345" s="206" t="str">
        <f>+Declarations!A345&amp;""</f>
        <v/>
      </c>
      <c r="B345" t="str">
        <f>IF(LEN($A345),IF(LEN(Declarations!$B345)&gt;0,Declarations!$B345,"#"&amp;$A345),"")</f>
        <v/>
      </c>
      <c r="C345" s="209" t="str">
        <f t="array" ref="C345">IF(LEN(INDEX(DECLARATIONS,$AA345,3))&gt;0,INDEX(DECLARATIONS,$AA345,3),"...")</f>
        <v>...</v>
      </c>
      <c r="D345" s="209" t="str">
        <f t="shared" si="1"/>
        <v/>
      </c>
      <c r="E345" s="296" t="str">
        <f t="array" ref="E345">IF(ISNA($AA345),0,INDEX(DECLARATIONS,$AA345,5))</f>
        <v/>
      </c>
      <c r="F345" s="209" t="str">
        <f t="array" ref="F345">IF(ISNA($AA345),0,INDEX(DECLARATIONS,$AA345,7))</f>
        <v/>
      </c>
      <c r="G345" s="209" t="str">
        <f t="array" ref="G345">UPPER(IF(ISNA($AA345),"",INDEX(DECLARATIONS,$AA345,4)))</f>
        <v/>
      </c>
      <c r="H345" t="str">
        <f>IF(AND(A345&gt;0,ISTEXT(B345)),IF(SECNAME="YES",LEFT(B345&amp;" ",FIND(" ",B345&amp;" ")+2)&amp;IF(F345&gt;0," ("&amp;F345&amp;")",""),B345&amp;IF(F345&gt;0," ("&amp;F345&amp;")","")),"#"&amp;$A345)</f>
        <v/>
      </c>
      <c r="I345" s="209">
        <f>IF(LEN($A345)&gt;0,IF(LEN($J345)&gt;0,MATCH(J345,MatchNames,0),EventIndex),0)</f>
        <v>0</v>
      </c>
      <c r="J345" s="209" t="str">
        <f>IF(LEN($A345)&gt;0,IF(LEN(Declarations!$F345)&gt;0,Declarations!$F345,conftype),"")</f>
        <v/>
      </c>
      <c r="M345" s="297">
        <f>IF(ISNA(VLOOKUP($A345,SprintData,2,FALSE)),0,VLOOKUP($A345,SprintData,2,FALSE))</f>
        <v>0</v>
      </c>
      <c r="N345" s="297">
        <f>IF(ISNA(VLOOKUP($A345,JumpData,2,FALSE)),0,VLOOKUP($A345,JumpData,2,FALSE))</f>
        <v>0</v>
      </c>
      <c r="O345" s="297">
        <f>IF(ISNA(VLOOKUP($A345,RunData,2,FALSE)),0,VLOOKUP($A345,RunData,2,FALSE))</f>
        <v>0</v>
      </c>
      <c r="P345" s="297">
        <f>IF(ISNA(VLOOKUP($A345,ThrowData,2,FALSE)),0,VLOOKUP($A345,ThrowData,2,FALSE))</f>
        <v>0</v>
      </c>
      <c r="Q345" s="298">
        <f>IF(ISNA(VLOOKUP($A345,SprintData,4,FALSE)),0,VLOOKUP($A345,SprintData,4,FALSE))+V345</f>
        <v>0</v>
      </c>
      <c r="R345" s="298">
        <f>IF(ISNA(VLOOKUP($A345,JumpData,4,FALSE)),0,VLOOKUP($A345,JumpData,4,FALSE))+W345</f>
        <v>0</v>
      </c>
      <c r="S345" s="298">
        <f>IF(ISNA(VLOOKUP($A345,RunData,4,FALSE)),0,VLOOKUP($A345,RunData,4,FALSE))+X345</f>
        <v>0</v>
      </c>
      <c r="T345" s="298">
        <f>IF(ISNA(VLOOKUP($A345,ThrowData,4,FALSE)),0,VLOOKUP($A345,ThrowData,4,FALSE))+Y345</f>
        <v>0</v>
      </c>
      <c r="U345" s="299">
        <f t="shared" si="2"/>
        <v>0</v>
      </c>
      <c r="V345">
        <f>IF(AND($F345&gt;0,NOT(M345),Flexing),FlexPC,0)</f>
        <v>0</v>
      </c>
      <c r="W345">
        <f>IF(AND($F345&gt;0,NOT(N345),Flexing),FlexPC,0)</f>
        <v>0</v>
      </c>
      <c r="X345">
        <f>IF(AND($F345&gt;0,NOT(O345),Flexing),FlexPC,0)</f>
        <v>0</v>
      </c>
      <c r="Y345">
        <f>IF(AND($F345&gt;0,NOT(P345),Flexing),FlexPC,0)</f>
        <v>0</v>
      </c>
      <c r="AA345" s="209">
        <f t="shared" si="3"/>
        <v>344</v>
      </c>
    </row>
    <row r="346" ht="15.75" customHeight="1">
      <c r="A346" s="206" t="str">
        <f>+Declarations!A346&amp;""</f>
        <v/>
      </c>
      <c r="B346" t="str">
        <f>IF(LEN($A346),IF(LEN(Declarations!$B346)&gt;0,Declarations!$B346,"#"&amp;$A346),"")</f>
        <v/>
      </c>
      <c r="C346" s="209" t="str">
        <f t="array" ref="C346">IF(LEN(INDEX(DECLARATIONS,$AA346,3))&gt;0,INDEX(DECLARATIONS,$AA346,3),"...")</f>
        <v>...</v>
      </c>
      <c r="D346" s="209" t="str">
        <f t="shared" si="1"/>
        <v/>
      </c>
      <c r="E346" s="296" t="str">
        <f t="array" ref="E346">IF(ISNA($AA346),0,INDEX(DECLARATIONS,$AA346,5))</f>
        <v/>
      </c>
      <c r="F346" s="209" t="str">
        <f t="array" ref="F346">IF(ISNA($AA346),0,INDEX(DECLARATIONS,$AA346,7))</f>
        <v/>
      </c>
      <c r="G346" s="209" t="str">
        <f t="array" ref="G346">UPPER(IF(ISNA($AA346),"",INDEX(DECLARATIONS,$AA346,4)))</f>
        <v/>
      </c>
      <c r="H346" t="str">
        <f>IF(AND(A346&gt;0,ISTEXT(B346)),IF(SECNAME="YES",LEFT(B346&amp;" ",FIND(" ",B346&amp;" ")+2)&amp;IF(F346&gt;0," ("&amp;F346&amp;")",""),B346&amp;IF(F346&gt;0," ("&amp;F346&amp;")","")),"#"&amp;$A346)</f>
        <v/>
      </c>
      <c r="I346" s="209">
        <f>IF(LEN($A346)&gt;0,IF(LEN($J346)&gt;0,MATCH(J346,MatchNames,0),EventIndex),0)</f>
        <v>0</v>
      </c>
      <c r="J346" s="209" t="str">
        <f>IF(LEN($A346)&gt;0,IF(LEN(Declarations!$F346)&gt;0,Declarations!$F346,conftype),"")</f>
        <v/>
      </c>
      <c r="M346" s="297">
        <f>IF(ISNA(VLOOKUP($A346,SprintData,2,FALSE)),0,VLOOKUP($A346,SprintData,2,FALSE))</f>
        <v>0</v>
      </c>
      <c r="N346" s="297">
        <f>IF(ISNA(VLOOKUP($A346,JumpData,2,FALSE)),0,VLOOKUP($A346,JumpData,2,FALSE))</f>
        <v>0</v>
      </c>
      <c r="O346" s="297">
        <f>IF(ISNA(VLOOKUP($A346,RunData,2,FALSE)),0,VLOOKUP($A346,RunData,2,FALSE))</f>
        <v>0</v>
      </c>
      <c r="P346" s="297">
        <f>IF(ISNA(VLOOKUP($A346,ThrowData,2,FALSE)),0,VLOOKUP($A346,ThrowData,2,FALSE))</f>
        <v>0</v>
      </c>
      <c r="Q346" s="298">
        <f>IF(ISNA(VLOOKUP($A346,SprintData,4,FALSE)),0,VLOOKUP($A346,SprintData,4,FALSE))+V346</f>
        <v>0</v>
      </c>
      <c r="R346" s="298">
        <f>IF(ISNA(VLOOKUP($A346,JumpData,4,FALSE)),0,VLOOKUP($A346,JumpData,4,FALSE))+W346</f>
        <v>0</v>
      </c>
      <c r="S346" s="298">
        <f>IF(ISNA(VLOOKUP($A346,RunData,4,FALSE)),0,VLOOKUP($A346,RunData,4,FALSE))+X346</f>
        <v>0</v>
      </c>
      <c r="T346" s="298">
        <f>IF(ISNA(VLOOKUP($A346,ThrowData,4,FALSE)),0,VLOOKUP($A346,ThrowData,4,FALSE))+Y346</f>
        <v>0</v>
      </c>
      <c r="U346" s="299">
        <f t="shared" si="2"/>
        <v>0</v>
      </c>
      <c r="V346">
        <f>IF(AND($F346&gt;0,NOT(M346),Flexing),FlexPC,0)</f>
        <v>0</v>
      </c>
      <c r="W346">
        <f>IF(AND($F346&gt;0,NOT(N346),Flexing),FlexPC,0)</f>
        <v>0</v>
      </c>
      <c r="X346">
        <f>IF(AND($F346&gt;0,NOT(O346),Flexing),FlexPC,0)</f>
        <v>0</v>
      </c>
      <c r="Y346">
        <f>IF(AND($F346&gt;0,NOT(P346),Flexing),FlexPC,0)</f>
        <v>0</v>
      </c>
      <c r="AA346" s="209">
        <f t="shared" si="3"/>
        <v>345</v>
      </c>
    </row>
    <row r="347" ht="15.75" customHeight="1">
      <c r="A347" s="206" t="str">
        <f>+Declarations!A347&amp;""</f>
        <v/>
      </c>
      <c r="B347" t="str">
        <f>IF(LEN($A347),IF(LEN(Declarations!$B347)&gt;0,Declarations!$B347,"#"&amp;$A347),"")</f>
        <v/>
      </c>
      <c r="C347" s="209" t="str">
        <f t="array" ref="C347">IF(LEN(INDEX(DECLARATIONS,$AA347,3))&gt;0,INDEX(DECLARATIONS,$AA347,3),"...")</f>
        <v>...</v>
      </c>
      <c r="D347" s="209" t="str">
        <f t="shared" si="1"/>
        <v/>
      </c>
      <c r="E347" s="296" t="str">
        <f t="array" ref="E347">IF(ISNA($AA347),0,INDEX(DECLARATIONS,$AA347,5))</f>
        <v/>
      </c>
      <c r="F347" s="209" t="str">
        <f t="array" ref="F347">IF(ISNA($AA347),0,INDEX(DECLARATIONS,$AA347,7))</f>
        <v/>
      </c>
      <c r="G347" s="209" t="str">
        <f t="array" ref="G347">UPPER(IF(ISNA($AA347),"",INDEX(DECLARATIONS,$AA347,4)))</f>
        <v/>
      </c>
      <c r="H347" t="str">
        <f>IF(AND(A347&gt;0,ISTEXT(B347)),IF(SECNAME="YES",LEFT(B347&amp;" ",FIND(" ",B347&amp;" ")+2)&amp;IF(F347&gt;0," ("&amp;F347&amp;")",""),B347&amp;IF(F347&gt;0," ("&amp;F347&amp;")","")),"#"&amp;$A347)</f>
        <v/>
      </c>
      <c r="I347" s="209">
        <f>IF(LEN($A347)&gt;0,IF(LEN($J347)&gt;0,MATCH(J347,MatchNames,0),EventIndex),0)</f>
        <v>0</v>
      </c>
      <c r="J347" s="209" t="str">
        <f>IF(LEN($A347)&gt;0,IF(LEN(Declarations!$F347)&gt;0,Declarations!$F347,conftype),"")</f>
        <v/>
      </c>
      <c r="M347" s="297">
        <f>IF(ISNA(VLOOKUP($A347,SprintData,2,FALSE)),0,VLOOKUP($A347,SprintData,2,FALSE))</f>
        <v>0</v>
      </c>
      <c r="N347" s="297">
        <f>IF(ISNA(VLOOKUP($A347,JumpData,2,FALSE)),0,VLOOKUP($A347,JumpData,2,FALSE))</f>
        <v>0</v>
      </c>
      <c r="O347" s="297">
        <f>IF(ISNA(VLOOKUP($A347,RunData,2,FALSE)),0,VLOOKUP($A347,RunData,2,FALSE))</f>
        <v>0</v>
      </c>
      <c r="P347" s="297">
        <f>IF(ISNA(VLOOKUP($A347,ThrowData,2,FALSE)),0,VLOOKUP($A347,ThrowData,2,FALSE))</f>
        <v>0</v>
      </c>
      <c r="Q347" s="298">
        <f>IF(ISNA(VLOOKUP($A347,SprintData,4,FALSE)),0,VLOOKUP($A347,SprintData,4,FALSE))+V347</f>
        <v>0</v>
      </c>
      <c r="R347" s="298">
        <f>IF(ISNA(VLOOKUP($A347,JumpData,4,FALSE)),0,VLOOKUP($A347,JumpData,4,FALSE))+W347</f>
        <v>0</v>
      </c>
      <c r="S347" s="298">
        <f>IF(ISNA(VLOOKUP($A347,RunData,4,FALSE)),0,VLOOKUP($A347,RunData,4,FALSE))+X347</f>
        <v>0</v>
      </c>
      <c r="T347" s="298">
        <f>IF(ISNA(VLOOKUP($A347,ThrowData,4,FALSE)),0,VLOOKUP($A347,ThrowData,4,FALSE))+Y347</f>
        <v>0</v>
      </c>
      <c r="U347" s="299">
        <f t="shared" si="2"/>
        <v>0</v>
      </c>
      <c r="V347">
        <f>IF(AND($F347&gt;0,NOT(M347),Flexing),FlexPC,0)</f>
        <v>0</v>
      </c>
      <c r="W347">
        <f>IF(AND($F347&gt;0,NOT(N347),Flexing),FlexPC,0)</f>
        <v>0</v>
      </c>
      <c r="X347">
        <f>IF(AND($F347&gt;0,NOT(O347),Flexing),FlexPC,0)</f>
        <v>0</v>
      </c>
      <c r="Y347">
        <f>IF(AND($F347&gt;0,NOT(P347),Flexing),FlexPC,0)</f>
        <v>0</v>
      </c>
      <c r="AA347" s="209">
        <f t="shared" si="3"/>
        <v>346</v>
      </c>
    </row>
    <row r="348" ht="15.75" customHeight="1">
      <c r="A348" s="206" t="str">
        <f>+Declarations!A348&amp;""</f>
        <v/>
      </c>
      <c r="B348" t="str">
        <f>IF(LEN($A348),IF(LEN(Declarations!$B348)&gt;0,Declarations!$B348,"#"&amp;$A348),"")</f>
        <v/>
      </c>
      <c r="C348" s="209" t="str">
        <f t="array" ref="C348">IF(LEN(INDEX(DECLARATIONS,$AA348,3))&gt;0,INDEX(DECLARATIONS,$AA348,3),"...")</f>
        <v>...</v>
      </c>
      <c r="D348" s="209" t="str">
        <f t="shared" si="1"/>
        <v/>
      </c>
      <c r="E348" s="296" t="str">
        <f t="array" ref="E348">IF(ISNA($AA348),0,INDEX(DECLARATIONS,$AA348,5))</f>
        <v/>
      </c>
      <c r="F348" s="209" t="str">
        <f t="array" ref="F348">IF(ISNA($AA348),0,INDEX(DECLARATIONS,$AA348,7))</f>
        <v/>
      </c>
      <c r="G348" s="209" t="str">
        <f t="array" ref="G348">UPPER(IF(ISNA($AA348),"",INDEX(DECLARATIONS,$AA348,4)))</f>
        <v/>
      </c>
      <c r="H348" t="str">
        <f>IF(AND(A348&gt;0,ISTEXT(B348)),IF(SECNAME="YES",LEFT(B348&amp;" ",FIND(" ",B348&amp;" ")+2)&amp;IF(F348&gt;0," ("&amp;F348&amp;")",""),B348&amp;IF(F348&gt;0," ("&amp;F348&amp;")","")),"#"&amp;$A348)</f>
        <v/>
      </c>
      <c r="I348" s="209">
        <f>IF(LEN($A348)&gt;0,IF(LEN($J348)&gt;0,MATCH(J348,MatchNames,0),EventIndex),0)</f>
        <v>0</v>
      </c>
      <c r="J348" s="209" t="str">
        <f>IF(LEN($A348)&gt;0,IF(LEN(Declarations!$F348)&gt;0,Declarations!$F348,conftype),"")</f>
        <v/>
      </c>
      <c r="M348" s="297">
        <f>IF(ISNA(VLOOKUP($A348,SprintData,2,FALSE)),0,VLOOKUP($A348,SprintData,2,FALSE))</f>
        <v>0</v>
      </c>
      <c r="N348" s="297">
        <f>IF(ISNA(VLOOKUP($A348,JumpData,2,FALSE)),0,VLOOKUP($A348,JumpData,2,FALSE))</f>
        <v>0</v>
      </c>
      <c r="O348" s="297">
        <f>IF(ISNA(VLOOKUP($A348,RunData,2,FALSE)),0,VLOOKUP($A348,RunData,2,FALSE))</f>
        <v>0</v>
      </c>
      <c r="P348" s="297">
        <f>IF(ISNA(VLOOKUP($A348,ThrowData,2,FALSE)),0,VLOOKUP($A348,ThrowData,2,FALSE))</f>
        <v>0</v>
      </c>
      <c r="Q348" s="298">
        <f>IF(ISNA(VLOOKUP($A348,SprintData,4,FALSE)),0,VLOOKUP($A348,SprintData,4,FALSE))+V348</f>
        <v>0</v>
      </c>
      <c r="R348" s="298">
        <f>IF(ISNA(VLOOKUP($A348,JumpData,4,FALSE)),0,VLOOKUP($A348,JumpData,4,FALSE))+W348</f>
        <v>0</v>
      </c>
      <c r="S348" s="298">
        <f>IF(ISNA(VLOOKUP($A348,RunData,4,FALSE)),0,VLOOKUP($A348,RunData,4,FALSE))+X348</f>
        <v>0</v>
      </c>
      <c r="T348" s="298">
        <f>IF(ISNA(VLOOKUP($A348,ThrowData,4,FALSE)),0,VLOOKUP($A348,ThrowData,4,FALSE))+Y348</f>
        <v>0</v>
      </c>
      <c r="U348" s="299">
        <f t="shared" si="2"/>
        <v>0</v>
      </c>
      <c r="V348">
        <f>IF(AND($F348&gt;0,NOT(M348),Flexing),FlexPC,0)</f>
        <v>0</v>
      </c>
      <c r="W348">
        <f>IF(AND($F348&gt;0,NOT(N348),Flexing),FlexPC,0)</f>
        <v>0</v>
      </c>
      <c r="X348">
        <f>IF(AND($F348&gt;0,NOT(O348),Flexing),FlexPC,0)</f>
        <v>0</v>
      </c>
      <c r="Y348">
        <f>IF(AND($F348&gt;0,NOT(P348),Flexing),FlexPC,0)</f>
        <v>0</v>
      </c>
      <c r="AA348" s="209">
        <f t="shared" si="3"/>
        <v>347</v>
      </c>
    </row>
    <row r="349" ht="15.75" customHeight="1">
      <c r="A349" s="206" t="str">
        <f>+Declarations!A349&amp;""</f>
        <v/>
      </c>
      <c r="B349" t="str">
        <f>IF(LEN($A349),IF(LEN(Declarations!$B349)&gt;0,Declarations!$B349,"#"&amp;$A349),"")</f>
        <v/>
      </c>
      <c r="C349" s="209" t="str">
        <f t="array" ref="C349">IF(LEN(INDEX(DECLARATIONS,$AA349,3))&gt;0,INDEX(DECLARATIONS,$AA349,3),"...")</f>
        <v>...</v>
      </c>
      <c r="D349" s="209" t="str">
        <f t="shared" si="1"/>
        <v/>
      </c>
      <c r="E349" s="296" t="str">
        <f t="array" ref="E349">IF(ISNA($AA349),0,INDEX(DECLARATIONS,$AA349,5))</f>
        <v/>
      </c>
      <c r="F349" s="209" t="str">
        <f t="array" ref="F349">IF(ISNA($AA349),0,INDEX(DECLARATIONS,$AA349,7))</f>
        <v/>
      </c>
      <c r="G349" s="209" t="str">
        <f t="array" ref="G349">UPPER(IF(ISNA($AA349),"",INDEX(DECLARATIONS,$AA349,4)))</f>
        <v/>
      </c>
      <c r="H349" t="str">
        <f>IF(AND(A349&gt;0,ISTEXT(B349)),IF(SECNAME="YES",LEFT(B349&amp;" ",FIND(" ",B349&amp;" ")+2)&amp;IF(F349&gt;0," ("&amp;F349&amp;")",""),B349&amp;IF(F349&gt;0," ("&amp;F349&amp;")","")),"#"&amp;$A349)</f>
        <v/>
      </c>
      <c r="I349" s="209">
        <f>IF(LEN($A349)&gt;0,IF(LEN($J349)&gt;0,MATCH(J349,MatchNames,0),EventIndex),0)</f>
        <v>0</v>
      </c>
      <c r="J349" s="209" t="str">
        <f>IF(LEN($A349)&gt;0,IF(LEN(Declarations!$F349)&gt;0,Declarations!$F349,conftype),"")</f>
        <v/>
      </c>
      <c r="M349" s="297">
        <f>IF(ISNA(VLOOKUP($A349,SprintData,2,FALSE)),0,VLOOKUP($A349,SprintData,2,FALSE))</f>
        <v>0</v>
      </c>
      <c r="N349" s="297">
        <f>IF(ISNA(VLOOKUP($A349,JumpData,2,FALSE)),0,VLOOKUP($A349,JumpData,2,FALSE))</f>
        <v>0</v>
      </c>
      <c r="O349" s="297">
        <f>IF(ISNA(VLOOKUP($A349,RunData,2,FALSE)),0,VLOOKUP($A349,RunData,2,FALSE))</f>
        <v>0</v>
      </c>
      <c r="P349" s="297">
        <f>IF(ISNA(VLOOKUP($A349,ThrowData,2,FALSE)),0,VLOOKUP($A349,ThrowData,2,FALSE))</f>
        <v>0</v>
      </c>
      <c r="Q349" s="298">
        <f>IF(ISNA(VLOOKUP($A349,SprintData,4,FALSE)),0,VLOOKUP($A349,SprintData,4,FALSE))+V349</f>
        <v>0</v>
      </c>
      <c r="R349" s="298">
        <f>IF(ISNA(VLOOKUP($A349,JumpData,4,FALSE)),0,VLOOKUP($A349,JumpData,4,FALSE))+W349</f>
        <v>0</v>
      </c>
      <c r="S349" s="298">
        <f>IF(ISNA(VLOOKUP($A349,RunData,4,FALSE)),0,VLOOKUP($A349,RunData,4,FALSE))+X349</f>
        <v>0</v>
      </c>
      <c r="T349" s="298">
        <f>IF(ISNA(VLOOKUP($A349,ThrowData,4,FALSE)),0,VLOOKUP($A349,ThrowData,4,FALSE))+Y349</f>
        <v>0</v>
      </c>
      <c r="U349" s="299">
        <f t="shared" si="2"/>
        <v>0</v>
      </c>
      <c r="V349">
        <f>IF(AND($F349&gt;0,NOT(M349),Flexing),FlexPC,0)</f>
        <v>0</v>
      </c>
      <c r="W349">
        <f>IF(AND($F349&gt;0,NOT(N349),Flexing),FlexPC,0)</f>
        <v>0</v>
      </c>
      <c r="X349">
        <f>IF(AND($F349&gt;0,NOT(O349),Flexing),FlexPC,0)</f>
        <v>0</v>
      </c>
      <c r="Y349">
        <f>IF(AND($F349&gt;0,NOT(P349),Flexing),FlexPC,0)</f>
        <v>0</v>
      </c>
      <c r="AA349" s="209">
        <f t="shared" si="3"/>
        <v>348</v>
      </c>
    </row>
    <row r="350" ht="15.75" customHeight="1">
      <c r="A350" s="206" t="str">
        <f>+Declarations!A350&amp;""</f>
        <v/>
      </c>
      <c r="B350" t="str">
        <f>IF(LEN($A350),IF(LEN(Declarations!$B350)&gt;0,Declarations!$B350,"#"&amp;$A350),"")</f>
        <v/>
      </c>
      <c r="C350" s="209" t="str">
        <f t="array" ref="C350">IF(LEN(INDEX(DECLARATIONS,$AA350,3))&gt;0,INDEX(DECLARATIONS,$AA350,3),"...")</f>
        <v>...</v>
      </c>
      <c r="D350" s="209" t="str">
        <f t="shared" si="1"/>
        <v/>
      </c>
      <c r="E350" s="296" t="str">
        <f t="array" ref="E350">IF(ISNA($AA350),0,INDEX(DECLARATIONS,$AA350,5))</f>
        <v/>
      </c>
      <c r="F350" s="209" t="str">
        <f t="array" ref="F350">IF(ISNA($AA350),0,INDEX(DECLARATIONS,$AA350,7))</f>
        <v/>
      </c>
      <c r="G350" s="209" t="str">
        <f t="array" ref="G350">UPPER(IF(ISNA($AA350),"",INDEX(DECLARATIONS,$AA350,4)))</f>
        <v/>
      </c>
      <c r="H350" t="str">
        <f>IF(AND(A350&gt;0,ISTEXT(B350)),IF(SECNAME="YES",LEFT(B350&amp;" ",FIND(" ",B350&amp;" ")+2)&amp;IF(F350&gt;0," ("&amp;F350&amp;")",""),B350&amp;IF(F350&gt;0," ("&amp;F350&amp;")","")),"#"&amp;$A350)</f>
        <v/>
      </c>
      <c r="I350" s="209">
        <f>IF(LEN($A350)&gt;0,IF(LEN($J350)&gt;0,MATCH(J350,MatchNames,0),EventIndex),0)</f>
        <v>0</v>
      </c>
      <c r="J350" s="209" t="str">
        <f>IF(LEN($A350)&gt;0,IF(LEN(Declarations!$F350)&gt;0,Declarations!$F350,conftype),"")</f>
        <v/>
      </c>
      <c r="M350" s="297">
        <f>IF(ISNA(VLOOKUP($A350,SprintData,2,FALSE)),0,VLOOKUP($A350,SprintData,2,FALSE))</f>
        <v>0</v>
      </c>
      <c r="N350" s="297">
        <f>IF(ISNA(VLOOKUP($A350,JumpData,2,FALSE)),0,VLOOKUP($A350,JumpData,2,FALSE))</f>
        <v>0</v>
      </c>
      <c r="O350" s="297">
        <f>IF(ISNA(VLOOKUP($A350,RunData,2,FALSE)),0,VLOOKUP($A350,RunData,2,FALSE))</f>
        <v>0</v>
      </c>
      <c r="P350" s="297">
        <f>IF(ISNA(VLOOKUP($A350,ThrowData,2,FALSE)),0,VLOOKUP($A350,ThrowData,2,FALSE))</f>
        <v>0</v>
      </c>
      <c r="Q350" s="298">
        <f>IF(ISNA(VLOOKUP($A350,SprintData,4,FALSE)),0,VLOOKUP($A350,SprintData,4,FALSE))+V350</f>
        <v>0</v>
      </c>
      <c r="R350" s="298">
        <f>IF(ISNA(VLOOKUP($A350,JumpData,4,FALSE)),0,VLOOKUP($A350,JumpData,4,FALSE))+W350</f>
        <v>0</v>
      </c>
      <c r="S350" s="298">
        <f>IF(ISNA(VLOOKUP($A350,RunData,4,FALSE)),0,VLOOKUP($A350,RunData,4,FALSE))+X350</f>
        <v>0</v>
      </c>
      <c r="T350" s="298">
        <f>IF(ISNA(VLOOKUP($A350,ThrowData,4,FALSE)),0,VLOOKUP($A350,ThrowData,4,FALSE))+Y350</f>
        <v>0</v>
      </c>
      <c r="U350" s="299">
        <f t="shared" si="2"/>
        <v>0</v>
      </c>
      <c r="V350">
        <f>IF(AND($F350&gt;0,NOT(M350),Flexing),FlexPC,0)</f>
        <v>0</v>
      </c>
      <c r="W350">
        <f>IF(AND($F350&gt;0,NOT(N350),Flexing),FlexPC,0)</f>
        <v>0</v>
      </c>
      <c r="X350">
        <f>IF(AND($F350&gt;0,NOT(O350),Flexing),FlexPC,0)</f>
        <v>0</v>
      </c>
      <c r="Y350">
        <f>IF(AND($F350&gt;0,NOT(P350),Flexing),FlexPC,0)</f>
        <v>0</v>
      </c>
      <c r="AA350" s="209">
        <f t="shared" si="3"/>
        <v>349</v>
      </c>
    </row>
    <row r="351" ht="15.75" customHeight="1">
      <c r="A351" s="206" t="str">
        <f>+Declarations!A351&amp;""</f>
        <v/>
      </c>
      <c r="B351" t="str">
        <f>IF(LEN($A351),IF(LEN(Declarations!$B351)&gt;0,Declarations!$B351,"#"&amp;$A351),"")</f>
        <v/>
      </c>
      <c r="C351" s="209" t="str">
        <f t="array" ref="C351">IF(LEN(INDEX(DECLARATIONS,$AA351,3))&gt;0,INDEX(DECLARATIONS,$AA351,3),"...")</f>
        <v>...</v>
      </c>
      <c r="D351" s="209" t="str">
        <f t="shared" si="1"/>
        <v/>
      </c>
      <c r="E351" s="296" t="str">
        <f t="array" ref="E351">IF(ISNA($AA351),0,INDEX(DECLARATIONS,$AA351,5))</f>
        <v/>
      </c>
      <c r="F351" s="209" t="str">
        <f t="array" ref="F351">IF(ISNA($AA351),0,INDEX(DECLARATIONS,$AA351,7))</f>
        <v/>
      </c>
      <c r="G351" s="209" t="str">
        <f t="array" ref="G351">UPPER(IF(ISNA($AA351),"",INDEX(DECLARATIONS,$AA351,4)))</f>
        <v/>
      </c>
      <c r="H351" t="str">
        <f>IF(AND(A351&gt;0,ISTEXT(B351)),IF(SECNAME="YES",LEFT(B351&amp;" ",FIND(" ",B351&amp;" ")+2)&amp;IF(F351&gt;0," ("&amp;F351&amp;")",""),B351&amp;IF(F351&gt;0," ("&amp;F351&amp;")","")),"#"&amp;$A351)</f>
        <v/>
      </c>
      <c r="I351" s="209">
        <f>IF(LEN($A351)&gt;0,IF(LEN($J351)&gt;0,MATCH(J351,MatchNames,0),EventIndex),0)</f>
        <v>0</v>
      </c>
      <c r="J351" s="209" t="str">
        <f>IF(LEN($A351)&gt;0,IF(LEN(Declarations!$F351)&gt;0,Declarations!$F351,conftype),"")</f>
        <v/>
      </c>
      <c r="M351" s="297">
        <f>IF(ISNA(VLOOKUP($A351,SprintData,2,FALSE)),0,VLOOKUP($A351,SprintData,2,FALSE))</f>
        <v>0</v>
      </c>
      <c r="N351" s="297">
        <f>IF(ISNA(VLOOKUP($A351,JumpData,2,FALSE)),0,VLOOKUP($A351,JumpData,2,FALSE))</f>
        <v>0</v>
      </c>
      <c r="O351" s="297">
        <f>IF(ISNA(VLOOKUP($A351,RunData,2,FALSE)),0,VLOOKUP($A351,RunData,2,FALSE))</f>
        <v>0</v>
      </c>
      <c r="P351" s="297">
        <f>IF(ISNA(VLOOKUP($A351,ThrowData,2,FALSE)),0,VLOOKUP($A351,ThrowData,2,FALSE))</f>
        <v>0</v>
      </c>
      <c r="Q351" s="298">
        <f>IF(ISNA(VLOOKUP($A351,SprintData,4,FALSE)),0,VLOOKUP($A351,SprintData,4,FALSE))+V351</f>
        <v>0</v>
      </c>
      <c r="R351" s="298">
        <f>IF(ISNA(VLOOKUP($A351,JumpData,4,FALSE)),0,VLOOKUP($A351,JumpData,4,FALSE))+W351</f>
        <v>0</v>
      </c>
      <c r="S351" s="298">
        <f>IF(ISNA(VLOOKUP($A351,RunData,4,FALSE)),0,VLOOKUP($A351,RunData,4,FALSE))+X351</f>
        <v>0</v>
      </c>
      <c r="T351" s="298">
        <f>IF(ISNA(VLOOKUP($A351,ThrowData,4,FALSE)),0,VLOOKUP($A351,ThrowData,4,FALSE))+Y351</f>
        <v>0</v>
      </c>
      <c r="U351" s="299">
        <f t="shared" si="2"/>
        <v>0</v>
      </c>
      <c r="V351">
        <f>IF(AND($F351&gt;0,NOT(M351),Flexing),FlexPC,0)</f>
        <v>0</v>
      </c>
      <c r="W351">
        <f>IF(AND($F351&gt;0,NOT(N351),Flexing),FlexPC,0)</f>
        <v>0</v>
      </c>
      <c r="X351">
        <f>IF(AND($F351&gt;0,NOT(O351),Flexing),FlexPC,0)</f>
        <v>0</v>
      </c>
      <c r="Y351">
        <f>IF(AND($F351&gt;0,NOT(P351),Flexing),FlexPC,0)</f>
        <v>0</v>
      </c>
      <c r="AA351" s="209">
        <f t="shared" si="3"/>
        <v>350</v>
      </c>
    </row>
    <row r="352" ht="15.75" customHeight="1">
      <c r="A352" s="206" t="str">
        <f>+Declarations!A352&amp;""</f>
        <v/>
      </c>
      <c r="B352" t="str">
        <f>IF(LEN($A352),IF(LEN(Declarations!$B352)&gt;0,Declarations!$B352,"#"&amp;$A352),"")</f>
        <v/>
      </c>
      <c r="C352" s="209" t="str">
        <f t="array" ref="C352">IF(LEN(INDEX(DECLARATIONS,$AA352,3))&gt;0,INDEX(DECLARATIONS,$AA352,3),"...")</f>
        <v>...</v>
      </c>
      <c r="D352" s="209" t="str">
        <f t="shared" si="1"/>
        <v/>
      </c>
      <c r="E352" s="296" t="str">
        <f t="array" ref="E352">IF(ISNA($AA352),0,INDEX(DECLARATIONS,$AA352,5))</f>
        <v/>
      </c>
      <c r="F352" s="209" t="str">
        <f t="array" ref="F352">IF(ISNA($AA352),0,INDEX(DECLARATIONS,$AA352,7))</f>
        <v/>
      </c>
      <c r="G352" s="209" t="str">
        <f t="array" ref="G352">UPPER(IF(ISNA($AA352),"",INDEX(DECLARATIONS,$AA352,4)))</f>
        <v/>
      </c>
      <c r="H352" t="str">
        <f>IF(AND(A352&gt;0,ISTEXT(B352)),IF(SECNAME="YES",LEFT(B352&amp;" ",FIND(" ",B352&amp;" ")+2)&amp;IF(F352&gt;0," ("&amp;F352&amp;")",""),B352&amp;IF(F352&gt;0," ("&amp;F352&amp;")","")),"#"&amp;$A352)</f>
        <v/>
      </c>
      <c r="I352" s="209">
        <f>IF(LEN($A352)&gt;0,IF(LEN($J352)&gt;0,MATCH(J352,MatchNames,0),EventIndex),0)</f>
        <v>0</v>
      </c>
      <c r="J352" s="209" t="str">
        <f>IF(LEN($A352)&gt;0,IF(LEN(Declarations!$F352)&gt;0,Declarations!$F352,conftype),"")</f>
        <v/>
      </c>
      <c r="M352" s="297">
        <f>IF(ISNA(VLOOKUP($A352,SprintData,2,FALSE)),0,VLOOKUP($A352,SprintData,2,FALSE))</f>
        <v>0</v>
      </c>
      <c r="N352" s="297">
        <f>IF(ISNA(VLOOKUP($A352,JumpData,2,FALSE)),0,VLOOKUP($A352,JumpData,2,FALSE))</f>
        <v>0</v>
      </c>
      <c r="O352" s="297">
        <f>IF(ISNA(VLOOKUP($A352,RunData,2,FALSE)),0,VLOOKUP($A352,RunData,2,FALSE))</f>
        <v>0</v>
      </c>
      <c r="P352" s="297">
        <f>IF(ISNA(VLOOKUP($A352,ThrowData,2,FALSE)),0,VLOOKUP($A352,ThrowData,2,FALSE))</f>
        <v>0</v>
      </c>
      <c r="Q352" s="298">
        <f>IF(ISNA(VLOOKUP($A352,SprintData,4,FALSE)),0,VLOOKUP($A352,SprintData,4,FALSE))+V352</f>
        <v>0</v>
      </c>
      <c r="R352" s="298">
        <f>IF(ISNA(VLOOKUP($A352,JumpData,4,FALSE)),0,VLOOKUP($A352,JumpData,4,FALSE))+W352</f>
        <v>0</v>
      </c>
      <c r="S352" s="298">
        <f>IF(ISNA(VLOOKUP($A352,RunData,4,FALSE)),0,VLOOKUP($A352,RunData,4,FALSE))+X352</f>
        <v>0</v>
      </c>
      <c r="T352" s="298">
        <f>IF(ISNA(VLOOKUP($A352,ThrowData,4,FALSE)),0,VLOOKUP($A352,ThrowData,4,FALSE))+Y352</f>
        <v>0</v>
      </c>
      <c r="U352" s="299">
        <f t="shared" si="2"/>
        <v>0</v>
      </c>
      <c r="V352">
        <f>IF(AND($F352&gt;0,NOT(M352),Flexing),FlexPC,0)</f>
        <v>0</v>
      </c>
      <c r="W352">
        <f>IF(AND($F352&gt;0,NOT(N352),Flexing),FlexPC,0)</f>
        <v>0</v>
      </c>
      <c r="X352">
        <f>IF(AND($F352&gt;0,NOT(O352),Flexing),FlexPC,0)</f>
        <v>0</v>
      </c>
      <c r="Y352">
        <f>IF(AND($F352&gt;0,NOT(P352),Flexing),FlexPC,0)</f>
        <v>0</v>
      </c>
      <c r="AA352" s="209">
        <f t="shared" si="3"/>
        <v>351</v>
      </c>
    </row>
    <row r="353" ht="15.75" customHeight="1">
      <c r="A353" s="206" t="str">
        <f>+Declarations!A353&amp;""</f>
        <v/>
      </c>
      <c r="B353" t="str">
        <f>IF(LEN($A353),IF(LEN(Declarations!$B353)&gt;0,Declarations!$B353,"#"&amp;$A353),"")</f>
        <v/>
      </c>
      <c r="C353" s="209" t="str">
        <f t="array" ref="C353">IF(LEN(INDEX(DECLARATIONS,$AA353,3))&gt;0,INDEX(DECLARATIONS,$AA353,3),"...")</f>
        <v>...</v>
      </c>
      <c r="D353" s="209" t="str">
        <f t="shared" si="1"/>
        <v/>
      </c>
      <c r="E353" s="296" t="str">
        <f t="array" ref="E353">IF(ISNA($AA353),0,INDEX(DECLARATIONS,$AA353,5))</f>
        <v/>
      </c>
      <c r="F353" s="209" t="str">
        <f t="array" ref="F353">IF(ISNA($AA353),0,INDEX(DECLARATIONS,$AA353,7))</f>
        <v/>
      </c>
      <c r="G353" s="209" t="str">
        <f t="array" ref="G353">UPPER(IF(ISNA($AA353),"",INDEX(DECLARATIONS,$AA353,4)))</f>
        <v/>
      </c>
      <c r="H353" t="str">
        <f>IF(AND(A353&gt;0,ISTEXT(B353)),IF(SECNAME="YES",LEFT(B353&amp;" ",FIND(" ",B353&amp;" ")+2)&amp;IF(F353&gt;0," ("&amp;F353&amp;")",""),B353&amp;IF(F353&gt;0," ("&amp;F353&amp;")","")),"#"&amp;$A353)</f>
        <v/>
      </c>
      <c r="I353" s="209">
        <f>IF(LEN($A353)&gt;0,IF(LEN($J353)&gt;0,MATCH(J353,MatchNames,0),EventIndex),0)</f>
        <v>0</v>
      </c>
      <c r="J353" s="209" t="str">
        <f>IF(LEN($A353)&gt;0,IF(LEN(Declarations!$F353)&gt;0,Declarations!$F353,conftype),"")</f>
        <v/>
      </c>
      <c r="M353" s="297">
        <f>IF(ISNA(VLOOKUP($A353,SprintData,2,FALSE)),0,VLOOKUP($A353,SprintData,2,FALSE))</f>
        <v>0</v>
      </c>
      <c r="N353" s="297">
        <f>IF(ISNA(VLOOKUP($A353,JumpData,2,FALSE)),0,VLOOKUP($A353,JumpData,2,FALSE))</f>
        <v>0</v>
      </c>
      <c r="O353" s="297">
        <f>IF(ISNA(VLOOKUP($A353,RunData,2,FALSE)),0,VLOOKUP($A353,RunData,2,FALSE))</f>
        <v>0</v>
      </c>
      <c r="P353" s="297">
        <f>IF(ISNA(VLOOKUP($A353,ThrowData,2,FALSE)),0,VLOOKUP($A353,ThrowData,2,FALSE))</f>
        <v>0</v>
      </c>
      <c r="Q353" s="298">
        <f>IF(ISNA(VLOOKUP($A353,SprintData,4,FALSE)),0,VLOOKUP($A353,SprintData,4,FALSE))+V353</f>
        <v>0</v>
      </c>
      <c r="R353" s="298">
        <f>IF(ISNA(VLOOKUP($A353,JumpData,4,FALSE)),0,VLOOKUP($A353,JumpData,4,FALSE))+W353</f>
        <v>0</v>
      </c>
      <c r="S353" s="298">
        <f>IF(ISNA(VLOOKUP($A353,RunData,4,FALSE)),0,VLOOKUP($A353,RunData,4,FALSE))+X353</f>
        <v>0</v>
      </c>
      <c r="T353" s="298">
        <f>IF(ISNA(VLOOKUP($A353,ThrowData,4,FALSE)),0,VLOOKUP($A353,ThrowData,4,FALSE))+Y353</f>
        <v>0</v>
      </c>
      <c r="U353" s="299">
        <f t="shared" si="2"/>
        <v>0</v>
      </c>
      <c r="V353">
        <f>IF(AND($F353&gt;0,NOT(M353),Flexing),FlexPC,0)</f>
        <v>0</v>
      </c>
      <c r="W353">
        <f>IF(AND($F353&gt;0,NOT(N353),Flexing),FlexPC,0)</f>
        <v>0</v>
      </c>
      <c r="X353">
        <f>IF(AND($F353&gt;0,NOT(O353),Flexing),FlexPC,0)</f>
        <v>0</v>
      </c>
      <c r="Y353">
        <f>IF(AND($F353&gt;0,NOT(P353),Flexing),FlexPC,0)</f>
        <v>0</v>
      </c>
      <c r="AA353" s="209">
        <f t="shared" si="3"/>
        <v>352</v>
      </c>
    </row>
    <row r="354" ht="15.75" customHeight="1">
      <c r="A354" s="206" t="str">
        <f>+Declarations!A354&amp;""</f>
        <v/>
      </c>
      <c r="B354" t="str">
        <f>IF(LEN($A354),IF(LEN(Declarations!$B354)&gt;0,Declarations!$B354,"#"&amp;$A354),"")</f>
        <v/>
      </c>
      <c r="C354" s="209" t="str">
        <f t="array" ref="C354">IF(LEN(INDEX(DECLARATIONS,$AA354,3))&gt;0,INDEX(DECLARATIONS,$AA354,3),"...")</f>
        <v>...</v>
      </c>
      <c r="D354" s="209" t="str">
        <f t="shared" si="1"/>
        <v/>
      </c>
      <c r="E354" s="296" t="str">
        <f t="array" ref="E354">IF(ISNA($AA354),0,INDEX(DECLARATIONS,$AA354,5))</f>
        <v/>
      </c>
      <c r="F354" s="209" t="str">
        <f t="array" ref="F354">IF(ISNA($AA354),0,INDEX(DECLARATIONS,$AA354,7))</f>
        <v/>
      </c>
      <c r="G354" s="209" t="str">
        <f t="array" ref="G354">UPPER(IF(ISNA($AA354),"",INDEX(DECLARATIONS,$AA354,4)))</f>
        <v/>
      </c>
      <c r="H354" t="str">
        <f>IF(AND(A354&gt;0,ISTEXT(B354)),IF(SECNAME="YES",LEFT(B354&amp;" ",FIND(" ",B354&amp;" ")+2)&amp;IF(F354&gt;0," ("&amp;F354&amp;")",""),B354&amp;IF(F354&gt;0," ("&amp;F354&amp;")","")),"#"&amp;$A354)</f>
        <v/>
      </c>
      <c r="I354" s="209">
        <f>IF(LEN($A354)&gt;0,IF(LEN($J354)&gt;0,MATCH(J354,MatchNames,0),EventIndex),0)</f>
        <v>0</v>
      </c>
      <c r="J354" s="209" t="str">
        <f>IF(LEN($A354)&gt;0,IF(LEN(Declarations!$F354)&gt;0,Declarations!$F354,conftype),"")</f>
        <v/>
      </c>
      <c r="M354" s="297">
        <f>IF(ISNA(VLOOKUP($A354,SprintData,2,FALSE)),0,VLOOKUP($A354,SprintData,2,FALSE))</f>
        <v>0</v>
      </c>
      <c r="N354" s="297">
        <f>IF(ISNA(VLOOKUP($A354,JumpData,2,FALSE)),0,VLOOKUP($A354,JumpData,2,FALSE))</f>
        <v>0</v>
      </c>
      <c r="O354" s="297">
        <f>IF(ISNA(VLOOKUP($A354,RunData,2,FALSE)),0,VLOOKUP($A354,RunData,2,FALSE))</f>
        <v>0</v>
      </c>
      <c r="P354" s="297">
        <f>IF(ISNA(VLOOKUP($A354,ThrowData,2,FALSE)),0,VLOOKUP($A354,ThrowData,2,FALSE))</f>
        <v>0</v>
      </c>
      <c r="Q354" s="298">
        <f>IF(ISNA(VLOOKUP($A354,SprintData,4,FALSE)),0,VLOOKUP($A354,SprintData,4,FALSE))+V354</f>
        <v>0</v>
      </c>
      <c r="R354" s="298">
        <f>IF(ISNA(VLOOKUP($A354,JumpData,4,FALSE)),0,VLOOKUP($A354,JumpData,4,FALSE))+W354</f>
        <v>0</v>
      </c>
      <c r="S354" s="298">
        <f>IF(ISNA(VLOOKUP($A354,RunData,4,FALSE)),0,VLOOKUP($A354,RunData,4,FALSE))+X354</f>
        <v>0</v>
      </c>
      <c r="T354" s="298">
        <f>IF(ISNA(VLOOKUP($A354,ThrowData,4,FALSE)),0,VLOOKUP($A354,ThrowData,4,FALSE))+Y354</f>
        <v>0</v>
      </c>
      <c r="U354" s="299">
        <f t="shared" si="2"/>
        <v>0</v>
      </c>
      <c r="V354">
        <f>IF(AND($F354&gt;0,NOT(M354),Flexing),FlexPC,0)</f>
        <v>0</v>
      </c>
      <c r="W354">
        <f>IF(AND($F354&gt;0,NOT(N354),Flexing),FlexPC,0)</f>
        <v>0</v>
      </c>
      <c r="X354">
        <f>IF(AND($F354&gt;0,NOT(O354),Flexing),FlexPC,0)</f>
        <v>0</v>
      </c>
      <c r="Y354">
        <f>IF(AND($F354&gt;0,NOT(P354),Flexing),FlexPC,0)</f>
        <v>0</v>
      </c>
      <c r="AA354" s="209">
        <f t="shared" si="3"/>
        <v>353</v>
      </c>
    </row>
    <row r="355" ht="15.75" customHeight="1">
      <c r="A355" s="206" t="str">
        <f>+Declarations!A355&amp;""</f>
        <v/>
      </c>
      <c r="B355" t="str">
        <f>IF(LEN($A355),IF(LEN(Declarations!$B355)&gt;0,Declarations!$B355,"#"&amp;$A355),"")</f>
        <v/>
      </c>
      <c r="C355" s="209" t="str">
        <f t="array" ref="C355">IF(LEN(INDEX(DECLARATIONS,$AA355,3))&gt;0,INDEX(DECLARATIONS,$AA355,3),"...")</f>
        <v>...</v>
      </c>
      <c r="D355" s="209" t="str">
        <f t="shared" si="1"/>
        <v/>
      </c>
      <c r="E355" s="296" t="str">
        <f t="array" ref="E355">IF(ISNA($AA355),0,INDEX(DECLARATIONS,$AA355,5))</f>
        <v/>
      </c>
      <c r="F355" s="209" t="str">
        <f t="array" ref="F355">IF(ISNA($AA355),0,INDEX(DECLARATIONS,$AA355,7))</f>
        <v/>
      </c>
      <c r="G355" s="209" t="str">
        <f t="array" ref="G355">UPPER(IF(ISNA($AA355),"",INDEX(DECLARATIONS,$AA355,4)))</f>
        <v/>
      </c>
      <c r="H355" t="str">
        <f>IF(AND(A355&gt;0,ISTEXT(B355)),IF(SECNAME="YES",LEFT(B355&amp;" ",FIND(" ",B355&amp;" ")+2)&amp;IF(F355&gt;0," ("&amp;F355&amp;")",""),B355&amp;IF(F355&gt;0," ("&amp;F355&amp;")","")),"#"&amp;$A355)</f>
        <v/>
      </c>
      <c r="I355" s="209">
        <f>IF(LEN($A355)&gt;0,IF(LEN($J355)&gt;0,MATCH(J355,MatchNames,0),EventIndex),0)</f>
        <v>0</v>
      </c>
      <c r="J355" s="209" t="str">
        <f>IF(LEN($A355)&gt;0,IF(LEN(Declarations!$F355)&gt;0,Declarations!$F355,conftype),"")</f>
        <v/>
      </c>
      <c r="M355" s="297">
        <f>IF(ISNA(VLOOKUP($A355,SprintData,2,FALSE)),0,VLOOKUP($A355,SprintData,2,FALSE))</f>
        <v>0</v>
      </c>
      <c r="N355" s="297">
        <f>IF(ISNA(VLOOKUP($A355,JumpData,2,FALSE)),0,VLOOKUP($A355,JumpData,2,FALSE))</f>
        <v>0</v>
      </c>
      <c r="O355" s="297">
        <f>IF(ISNA(VLOOKUP($A355,RunData,2,FALSE)),0,VLOOKUP($A355,RunData,2,FALSE))</f>
        <v>0</v>
      </c>
      <c r="P355" s="297">
        <f>IF(ISNA(VLOOKUP($A355,ThrowData,2,FALSE)),0,VLOOKUP($A355,ThrowData,2,FALSE))</f>
        <v>0</v>
      </c>
      <c r="Q355" s="298">
        <f>IF(ISNA(VLOOKUP($A355,SprintData,4,FALSE)),0,VLOOKUP($A355,SprintData,4,FALSE))+V355</f>
        <v>0</v>
      </c>
      <c r="R355" s="298">
        <f>IF(ISNA(VLOOKUP($A355,JumpData,4,FALSE)),0,VLOOKUP($A355,JumpData,4,FALSE))+W355</f>
        <v>0</v>
      </c>
      <c r="S355" s="298">
        <f>IF(ISNA(VLOOKUP($A355,RunData,4,FALSE)),0,VLOOKUP($A355,RunData,4,FALSE))+X355</f>
        <v>0</v>
      </c>
      <c r="T355" s="298">
        <f>IF(ISNA(VLOOKUP($A355,ThrowData,4,FALSE)),0,VLOOKUP($A355,ThrowData,4,FALSE))+Y355</f>
        <v>0</v>
      </c>
      <c r="U355" s="299">
        <f t="shared" si="2"/>
        <v>0</v>
      </c>
      <c r="V355">
        <f>IF(AND($F355&gt;0,NOT(M355),Flexing),FlexPC,0)</f>
        <v>0</v>
      </c>
      <c r="W355">
        <f>IF(AND($F355&gt;0,NOT(N355),Flexing),FlexPC,0)</f>
        <v>0</v>
      </c>
      <c r="X355">
        <f>IF(AND($F355&gt;0,NOT(O355),Flexing),FlexPC,0)</f>
        <v>0</v>
      </c>
      <c r="Y355">
        <f>IF(AND($F355&gt;0,NOT(P355),Flexing),FlexPC,0)</f>
        <v>0</v>
      </c>
      <c r="AA355" s="209">
        <f t="shared" si="3"/>
        <v>354</v>
      </c>
    </row>
    <row r="356" ht="15.75" customHeight="1">
      <c r="A356" s="206" t="str">
        <f>+Declarations!A356&amp;""</f>
        <v/>
      </c>
      <c r="B356" t="str">
        <f>IF(LEN($A356),IF(LEN(Declarations!$B356)&gt;0,Declarations!$B356,"#"&amp;$A356),"")</f>
        <v/>
      </c>
      <c r="C356" s="209" t="str">
        <f t="array" ref="C356">IF(LEN(INDEX(DECLARATIONS,$AA356,3))&gt;0,INDEX(DECLARATIONS,$AA356,3),"...")</f>
        <v>...</v>
      </c>
      <c r="D356" s="209" t="str">
        <f t="shared" si="1"/>
        <v/>
      </c>
      <c r="E356" s="296" t="str">
        <f t="array" ref="E356">IF(ISNA($AA356),0,INDEX(DECLARATIONS,$AA356,5))</f>
        <v/>
      </c>
      <c r="F356" s="209" t="str">
        <f t="array" ref="F356">IF(ISNA($AA356),0,INDEX(DECLARATIONS,$AA356,7))</f>
        <v/>
      </c>
      <c r="G356" s="209" t="str">
        <f t="array" ref="G356">UPPER(IF(ISNA($AA356),"",INDEX(DECLARATIONS,$AA356,4)))</f>
        <v/>
      </c>
      <c r="H356" t="str">
        <f>IF(AND(A356&gt;0,ISTEXT(B356)),IF(SECNAME="YES",LEFT(B356&amp;" ",FIND(" ",B356&amp;" ")+2)&amp;IF(F356&gt;0," ("&amp;F356&amp;")",""),B356&amp;IF(F356&gt;0," ("&amp;F356&amp;")","")),"#"&amp;$A356)</f>
        <v/>
      </c>
      <c r="I356" s="209">
        <f>IF(LEN($A356)&gt;0,IF(LEN($J356)&gt;0,MATCH(J356,MatchNames,0),EventIndex),0)</f>
        <v>0</v>
      </c>
      <c r="J356" s="209" t="str">
        <f>IF(LEN($A356)&gt;0,IF(LEN(Declarations!$F356)&gt;0,Declarations!$F356,conftype),"")</f>
        <v/>
      </c>
      <c r="M356" s="297">
        <f>IF(ISNA(VLOOKUP($A356,SprintData,2,FALSE)),0,VLOOKUP($A356,SprintData,2,FALSE))</f>
        <v>0</v>
      </c>
      <c r="N356" s="297">
        <f>IF(ISNA(VLOOKUP($A356,JumpData,2,FALSE)),0,VLOOKUP($A356,JumpData,2,FALSE))</f>
        <v>0</v>
      </c>
      <c r="O356" s="297">
        <f>IF(ISNA(VLOOKUP($A356,RunData,2,FALSE)),0,VLOOKUP($A356,RunData,2,FALSE))</f>
        <v>0</v>
      </c>
      <c r="P356" s="297">
        <f>IF(ISNA(VLOOKUP($A356,ThrowData,2,FALSE)),0,VLOOKUP($A356,ThrowData,2,FALSE))</f>
        <v>0</v>
      </c>
      <c r="Q356" s="298">
        <f>IF(ISNA(VLOOKUP($A356,SprintData,4,FALSE)),0,VLOOKUP($A356,SprintData,4,FALSE))+V356</f>
        <v>0</v>
      </c>
      <c r="R356" s="298">
        <f>IF(ISNA(VLOOKUP($A356,JumpData,4,FALSE)),0,VLOOKUP($A356,JumpData,4,FALSE))+W356</f>
        <v>0</v>
      </c>
      <c r="S356" s="298">
        <f>IF(ISNA(VLOOKUP($A356,RunData,4,FALSE)),0,VLOOKUP($A356,RunData,4,FALSE))+X356</f>
        <v>0</v>
      </c>
      <c r="T356" s="298">
        <f>IF(ISNA(VLOOKUP($A356,ThrowData,4,FALSE)),0,VLOOKUP($A356,ThrowData,4,FALSE))+Y356</f>
        <v>0</v>
      </c>
      <c r="U356" s="299">
        <f t="shared" si="2"/>
        <v>0</v>
      </c>
      <c r="V356">
        <f>IF(AND($F356&gt;0,NOT(M356),Flexing),FlexPC,0)</f>
        <v>0</v>
      </c>
      <c r="W356">
        <f>IF(AND($F356&gt;0,NOT(N356),Flexing),FlexPC,0)</f>
        <v>0</v>
      </c>
      <c r="X356">
        <f>IF(AND($F356&gt;0,NOT(O356),Flexing),FlexPC,0)</f>
        <v>0</v>
      </c>
      <c r="Y356">
        <f>IF(AND($F356&gt;0,NOT(P356),Flexing),FlexPC,0)</f>
        <v>0</v>
      </c>
      <c r="AA356" s="209">
        <f t="shared" si="3"/>
        <v>355</v>
      </c>
    </row>
    <row r="357" ht="15.75" customHeight="1">
      <c r="A357" s="206" t="str">
        <f>+Declarations!A357&amp;""</f>
        <v/>
      </c>
      <c r="B357" t="str">
        <f>IF(LEN($A357),IF(LEN(Declarations!$B357)&gt;0,Declarations!$B357,"#"&amp;$A357),"")</f>
        <v/>
      </c>
      <c r="C357" s="209" t="str">
        <f t="array" ref="C357">IF(LEN(INDEX(DECLARATIONS,$AA357,3))&gt;0,INDEX(DECLARATIONS,$AA357,3),"...")</f>
        <v>...</v>
      </c>
      <c r="D357" s="209" t="str">
        <f t="shared" si="1"/>
        <v/>
      </c>
      <c r="E357" s="296" t="str">
        <f t="array" ref="E357">IF(ISNA($AA357),0,INDEX(DECLARATIONS,$AA357,5))</f>
        <v/>
      </c>
      <c r="F357" s="209" t="str">
        <f t="array" ref="F357">IF(ISNA($AA357),0,INDEX(DECLARATIONS,$AA357,7))</f>
        <v/>
      </c>
      <c r="G357" s="209" t="str">
        <f t="array" ref="G357">UPPER(IF(ISNA($AA357),"",INDEX(DECLARATIONS,$AA357,4)))</f>
        <v/>
      </c>
      <c r="H357" t="str">
        <f>IF(AND(A357&gt;0,ISTEXT(B357)),IF(SECNAME="YES",LEFT(B357&amp;" ",FIND(" ",B357&amp;" ")+2)&amp;IF(F357&gt;0," ("&amp;F357&amp;")",""),B357&amp;IF(F357&gt;0," ("&amp;F357&amp;")","")),"#"&amp;$A357)</f>
        <v/>
      </c>
      <c r="I357" s="209">
        <f>IF(LEN($A357)&gt;0,IF(LEN($J357)&gt;0,MATCH(J357,MatchNames,0),EventIndex),0)</f>
        <v>0</v>
      </c>
      <c r="J357" s="209" t="str">
        <f>IF(LEN($A357)&gt;0,IF(LEN(Declarations!$F357)&gt;0,Declarations!$F357,conftype),"")</f>
        <v/>
      </c>
      <c r="M357" s="297">
        <f>IF(ISNA(VLOOKUP($A357,SprintData,2,FALSE)),0,VLOOKUP($A357,SprintData,2,FALSE))</f>
        <v>0</v>
      </c>
      <c r="N357" s="297">
        <f>IF(ISNA(VLOOKUP($A357,JumpData,2,FALSE)),0,VLOOKUP($A357,JumpData,2,FALSE))</f>
        <v>0</v>
      </c>
      <c r="O357" s="297">
        <f>IF(ISNA(VLOOKUP($A357,RunData,2,FALSE)),0,VLOOKUP($A357,RunData,2,FALSE))</f>
        <v>0</v>
      </c>
      <c r="P357" s="297">
        <f>IF(ISNA(VLOOKUP($A357,ThrowData,2,FALSE)),0,VLOOKUP($A357,ThrowData,2,FALSE))</f>
        <v>0</v>
      </c>
      <c r="Q357" s="298">
        <f>IF(ISNA(VLOOKUP($A357,SprintData,4,FALSE)),0,VLOOKUP($A357,SprintData,4,FALSE))+V357</f>
        <v>0</v>
      </c>
      <c r="R357" s="298">
        <f>IF(ISNA(VLOOKUP($A357,JumpData,4,FALSE)),0,VLOOKUP($A357,JumpData,4,FALSE))+W357</f>
        <v>0</v>
      </c>
      <c r="S357" s="298">
        <f>IF(ISNA(VLOOKUP($A357,RunData,4,FALSE)),0,VLOOKUP($A357,RunData,4,FALSE))+X357</f>
        <v>0</v>
      </c>
      <c r="T357" s="298">
        <f>IF(ISNA(VLOOKUP($A357,ThrowData,4,FALSE)),0,VLOOKUP($A357,ThrowData,4,FALSE))+Y357</f>
        <v>0</v>
      </c>
      <c r="U357" s="299">
        <f t="shared" si="2"/>
        <v>0</v>
      </c>
      <c r="V357">
        <f>IF(AND($F357&gt;0,NOT(M357),Flexing),FlexPC,0)</f>
        <v>0</v>
      </c>
      <c r="W357">
        <f>IF(AND($F357&gt;0,NOT(N357),Flexing),FlexPC,0)</f>
        <v>0</v>
      </c>
      <c r="X357">
        <f>IF(AND($F357&gt;0,NOT(O357),Flexing),FlexPC,0)</f>
        <v>0</v>
      </c>
      <c r="Y357">
        <f>IF(AND($F357&gt;0,NOT(P357),Flexing),FlexPC,0)</f>
        <v>0</v>
      </c>
      <c r="AA357" s="209">
        <f t="shared" si="3"/>
        <v>356</v>
      </c>
    </row>
    <row r="358" ht="15.75" customHeight="1">
      <c r="A358" s="206" t="str">
        <f>+Declarations!A358&amp;""</f>
        <v/>
      </c>
      <c r="B358" t="str">
        <f>IF(LEN($A358),IF(LEN(Declarations!$B358)&gt;0,Declarations!$B358,"#"&amp;$A358),"")</f>
        <v/>
      </c>
      <c r="C358" s="209" t="str">
        <f t="array" ref="C358">IF(LEN(INDEX(DECLARATIONS,$AA358,3))&gt;0,INDEX(DECLARATIONS,$AA358,3),"...")</f>
        <v>...</v>
      </c>
      <c r="D358" s="209" t="str">
        <f t="shared" si="1"/>
        <v/>
      </c>
      <c r="E358" s="296" t="str">
        <f t="array" ref="E358">IF(ISNA($AA358),0,INDEX(DECLARATIONS,$AA358,5))</f>
        <v/>
      </c>
      <c r="F358" s="209" t="str">
        <f t="array" ref="F358">IF(ISNA($AA358),0,INDEX(DECLARATIONS,$AA358,7))</f>
        <v/>
      </c>
      <c r="G358" s="209" t="str">
        <f t="array" ref="G358">UPPER(IF(ISNA($AA358),"",INDEX(DECLARATIONS,$AA358,4)))</f>
        <v/>
      </c>
      <c r="H358" t="str">
        <f>IF(AND(A358&gt;0,ISTEXT(B358)),IF(SECNAME="YES",LEFT(B358&amp;" ",FIND(" ",B358&amp;" ")+2)&amp;IF(F358&gt;0," ("&amp;F358&amp;")",""),B358&amp;IF(F358&gt;0," ("&amp;F358&amp;")","")),"#"&amp;$A358)</f>
        <v/>
      </c>
      <c r="I358" s="209">
        <f>IF(LEN($A358)&gt;0,IF(LEN($J358)&gt;0,MATCH(J358,MatchNames,0),EventIndex),0)</f>
        <v>0</v>
      </c>
      <c r="J358" s="209" t="str">
        <f>IF(LEN($A358)&gt;0,IF(LEN(Declarations!$F358)&gt;0,Declarations!$F358,conftype),"")</f>
        <v/>
      </c>
      <c r="M358" s="297">
        <f>IF(ISNA(VLOOKUP($A358,SprintData,2,FALSE)),0,VLOOKUP($A358,SprintData,2,FALSE))</f>
        <v>0</v>
      </c>
      <c r="N358" s="297">
        <f>IF(ISNA(VLOOKUP($A358,JumpData,2,FALSE)),0,VLOOKUP($A358,JumpData,2,FALSE))</f>
        <v>0</v>
      </c>
      <c r="O358" s="297">
        <f>IF(ISNA(VLOOKUP($A358,RunData,2,FALSE)),0,VLOOKUP($A358,RunData,2,FALSE))</f>
        <v>0</v>
      </c>
      <c r="P358" s="297">
        <f>IF(ISNA(VLOOKUP($A358,ThrowData,2,FALSE)),0,VLOOKUP($A358,ThrowData,2,FALSE))</f>
        <v>0</v>
      </c>
      <c r="Q358" s="298">
        <f>IF(ISNA(VLOOKUP($A358,SprintData,4,FALSE)),0,VLOOKUP($A358,SprintData,4,FALSE))+V358</f>
        <v>0</v>
      </c>
      <c r="R358" s="298">
        <f>IF(ISNA(VLOOKUP($A358,JumpData,4,FALSE)),0,VLOOKUP($A358,JumpData,4,FALSE))+W358</f>
        <v>0</v>
      </c>
      <c r="S358" s="298">
        <f>IF(ISNA(VLOOKUP($A358,RunData,4,FALSE)),0,VLOOKUP($A358,RunData,4,FALSE))+X358</f>
        <v>0</v>
      </c>
      <c r="T358" s="298">
        <f>IF(ISNA(VLOOKUP($A358,ThrowData,4,FALSE)),0,VLOOKUP($A358,ThrowData,4,FALSE))+Y358</f>
        <v>0</v>
      </c>
      <c r="U358" s="299">
        <f t="shared" si="2"/>
        <v>0</v>
      </c>
      <c r="V358">
        <f>IF(AND($F358&gt;0,NOT(M358),Flexing),FlexPC,0)</f>
        <v>0</v>
      </c>
      <c r="W358">
        <f>IF(AND($F358&gt;0,NOT(N358),Flexing),FlexPC,0)</f>
        <v>0</v>
      </c>
      <c r="X358">
        <f>IF(AND($F358&gt;0,NOT(O358),Flexing),FlexPC,0)</f>
        <v>0</v>
      </c>
      <c r="Y358">
        <f>IF(AND($F358&gt;0,NOT(P358),Flexing),FlexPC,0)</f>
        <v>0</v>
      </c>
      <c r="AA358" s="209">
        <f t="shared" si="3"/>
        <v>357</v>
      </c>
    </row>
    <row r="359" ht="15.75" customHeight="1">
      <c r="A359" s="206" t="str">
        <f>+Declarations!A359&amp;""</f>
        <v/>
      </c>
      <c r="B359" t="str">
        <f>IF(LEN($A359),IF(LEN(Declarations!$B359)&gt;0,Declarations!$B359,"#"&amp;$A359),"")</f>
        <v/>
      </c>
      <c r="C359" s="209" t="str">
        <f t="array" ref="C359">IF(LEN(INDEX(DECLARATIONS,$AA359,3))&gt;0,INDEX(DECLARATIONS,$AA359,3),"...")</f>
        <v>...</v>
      </c>
      <c r="D359" s="209" t="str">
        <f t="shared" si="1"/>
        <v/>
      </c>
      <c r="E359" s="296" t="str">
        <f t="array" ref="E359">IF(ISNA($AA359),0,INDEX(DECLARATIONS,$AA359,5))</f>
        <v/>
      </c>
      <c r="F359" s="209" t="str">
        <f t="array" ref="F359">IF(ISNA($AA359),0,INDEX(DECLARATIONS,$AA359,7))</f>
        <v/>
      </c>
      <c r="G359" s="209" t="str">
        <f t="array" ref="G359">UPPER(IF(ISNA($AA359),"",INDEX(DECLARATIONS,$AA359,4)))</f>
        <v/>
      </c>
      <c r="H359" t="str">
        <f>IF(AND(A359&gt;0,ISTEXT(B359)),IF(SECNAME="YES",LEFT(B359&amp;" ",FIND(" ",B359&amp;" ")+2)&amp;IF(F359&gt;0," ("&amp;F359&amp;")",""),B359&amp;IF(F359&gt;0," ("&amp;F359&amp;")","")),"#"&amp;$A359)</f>
        <v/>
      </c>
      <c r="I359" s="209">
        <f>IF(LEN($A359)&gt;0,IF(LEN($J359)&gt;0,MATCH(J359,MatchNames,0),EventIndex),0)</f>
        <v>0</v>
      </c>
      <c r="J359" s="209" t="str">
        <f>IF(LEN($A359)&gt;0,IF(LEN(Declarations!$F359)&gt;0,Declarations!$F359,conftype),"")</f>
        <v/>
      </c>
      <c r="M359" s="297">
        <f>IF(ISNA(VLOOKUP($A359,SprintData,2,FALSE)),0,VLOOKUP($A359,SprintData,2,FALSE))</f>
        <v>0</v>
      </c>
      <c r="N359" s="297">
        <f>IF(ISNA(VLOOKUP($A359,JumpData,2,FALSE)),0,VLOOKUP($A359,JumpData,2,FALSE))</f>
        <v>0</v>
      </c>
      <c r="O359" s="297">
        <f>IF(ISNA(VLOOKUP($A359,RunData,2,FALSE)),0,VLOOKUP($A359,RunData,2,FALSE))</f>
        <v>0</v>
      </c>
      <c r="P359" s="297">
        <f>IF(ISNA(VLOOKUP($A359,ThrowData,2,FALSE)),0,VLOOKUP($A359,ThrowData,2,FALSE))</f>
        <v>0</v>
      </c>
      <c r="Q359" s="298">
        <f>IF(ISNA(VLOOKUP($A359,SprintData,4,FALSE)),0,VLOOKUP($A359,SprintData,4,FALSE))+V359</f>
        <v>0</v>
      </c>
      <c r="R359" s="298">
        <f>IF(ISNA(VLOOKUP($A359,JumpData,4,FALSE)),0,VLOOKUP($A359,JumpData,4,FALSE))+W359</f>
        <v>0</v>
      </c>
      <c r="S359" s="298">
        <f>IF(ISNA(VLOOKUP($A359,RunData,4,FALSE)),0,VLOOKUP($A359,RunData,4,FALSE))+X359</f>
        <v>0</v>
      </c>
      <c r="T359" s="298">
        <f>IF(ISNA(VLOOKUP($A359,ThrowData,4,FALSE)),0,VLOOKUP($A359,ThrowData,4,FALSE))+Y359</f>
        <v>0</v>
      </c>
      <c r="U359" s="299">
        <f t="shared" si="2"/>
        <v>0</v>
      </c>
      <c r="V359">
        <f>IF(AND($F359&gt;0,NOT(M359),Flexing),FlexPC,0)</f>
        <v>0</v>
      </c>
      <c r="W359">
        <f>IF(AND($F359&gt;0,NOT(N359),Flexing),FlexPC,0)</f>
        <v>0</v>
      </c>
      <c r="X359">
        <f>IF(AND($F359&gt;0,NOT(O359),Flexing),FlexPC,0)</f>
        <v>0</v>
      </c>
      <c r="Y359">
        <f>IF(AND($F359&gt;0,NOT(P359),Flexing),FlexPC,0)</f>
        <v>0</v>
      </c>
      <c r="AA359" s="209">
        <f t="shared" si="3"/>
        <v>358</v>
      </c>
    </row>
    <row r="360" ht="15.75" customHeight="1">
      <c r="A360" s="206" t="str">
        <f>+Declarations!A360&amp;""</f>
        <v/>
      </c>
      <c r="B360" t="str">
        <f>IF(LEN($A360),IF(LEN(Declarations!$B360)&gt;0,Declarations!$B360,"#"&amp;$A360),"")</f>
        <v/>
      </c>
      <c r="C360" s="209" t="str">
        <f t="array" ref="C360">IF(LEN(INDEX(DECLARATIONS,$AA360,3))&gt;0,INDEX(DECLARATIONS,$AA360,3),"...")</f>
        <v>...</v>
      </c>
      <c r="D360" s="209" t="str">
        <f t="shared" si="1"/>
        <v/>
      </c>
      <c r="E360" s="296" t="str">
        <f t="array" ref="E360">IF(ISNA($AA360),0,INDEX(DECLARATIONS,$AA360,5))</f>
        <v/>
      </c>
      <c r="F360" s="209" t="str">
        <f t="array" ref="F360">IF(ISNA($AA360),0,INDEX(DECLARATIONS,$AA360,7))</f>
        <v/>
      </c>
      <c r="G360" s="209" t="str">
        <f t="array" ref="G360">UPPER(IF(ISNA($AA360),"",INDEX(DECLARATIONS,$AA360,4)))</f>
        <v/>
      </c>
      <c r="H360" t="str">
        <f>IF(AND(A360&gt;0,ISTEXT(B360)),IF(SECNAME="YES",LEFT(B360&amp;" ",FIND(" ",B360&amp;" ")+2)&amp;IF(F360&gt;0," ("&amp;F360&amp;")",""),B360&amp;IF(F360&gt;0," ("&amp;F360&amp;")","")),"#"&amp;$A360)</f>
        <v/>
      </c>
      <c r="I360" s="209">
        <f>IF(LEN($A360)&gt;0,IF(LEN($J360)&gt;0,MATCH(J360,MatchNames,0),EventIndex),0)</f>
        <v>0</v>
      </c>
      <c r="J360" s="209" t="str">
        <f>IF(LEN($A360)&gt;0,IF(LEN(Declarations!$F360)&gt;0,Declarations!$F360,conftype),"")</f>
        <v/>
      </c>
      <c r="M360" s="297">
        <f>IF(ISNA(VLOOKUP($A360,SprintData,2,FALSE)),0,VLOOKUP($A360,SprintData,2,FALSE))</f>
        <v>0</v>
      </c>
      <c r="N360" s="297">
        <f>IF(ISNA(VLOOKUP($A360,JumpData,2,FALSE)),0,VLOOKUP($A360,JumpData,2,FALSE))</f>
        <v>0</v>
      </c>
      <c r="O360" s="297">
        <f>IF(ISNA(VLOOKUP($A360,RunData,2,FALSE)),0,VLOOKUP($A360,RunData,2,FALSE))</f>
        <v>0</v>
      </c>
      <c r="P360" s="297">
        <f>IF(ISNA(VLOOKUP($A360,ThrowData,2,FALSE)),0,VLOOKUP($A360,ThrowData,2,FALSE))</f>
        <v>0</v>
      </c>
      <c r="Q360" s="298">
        <f>IF(ISNA(VLOOKUP($A360,SprintData,4,FALSE)),0,VLOOKUP($A360,SprintData,4,FALSE))+V360</f>
        <v>0</v>
      </c>
      <c r="R360" s="298">
        <f>IF(ISNA(VLOOKUP($A360,JumpData,4,FALSE)),0,VLOOKUP($A360,JumpData,4,FALSE))+W360</f>
        <v>0</v>
      </c>
      <c r="S360" s="298">
        <f>IF(ISNA(VLOOKUP($A360,RunData,4,FALSE)),0,VLOOKUP($A360,RunData,4,FALSE))+X360</f>
        <v>0</v>
      </c>
      <c r="T360" s="298">
        <f>IF(ISNA(VLOOKUP($A360,ThrowData,4,FALSE)),0,VLOOKUP($A360,ThrowData,4,FALSE))+Y360</f>
        <v>0</v>
      </c>
      <c r="U360" s="299">
        <f t="shared" si="2"/>
        <v>0</v>
      </c>
      <c r="V360">
        <f>IF(AND($F360&gt;0,NOT(M360),Flexing),FlexPC,0)</f>
        <v>0</v>
      </c>
      <c r="W360">
        <f>IF(AND($F360&gt;0,NOT(N360),Flexing),FlexPC,0)</f>
        <v>0</v>
      </c>
      <c r="X360">
        <f>IF(AND($F360&gt;0,NOT(O360),Flexing),FlexPC,0)</f>
        <v>0</v>
      </c>
      <c r="Y360">
        <f>IF(AND($F360&gt;0,NOT(P360),Flexing),FlexPC,0)</f>
        <v>0</v>
      </c>
      <c r="AA360" s="209">
        <f t="shared" si="3"/>
        <v>359</v>
      </c>
    </row>
    <row r="361" ht="15.75" customHeight="1">
      <c r="A361" s="206" t="str">
        <f>+Declarations!A361&amp;""</f>
        <v/>
      </c>
      <c r="B361" t="str">
        <f>IF(LEN($A361),IF(LEN(Declarations!$B361)&gt;0,Declarations!$B361,"#"&amp;$A361),"")</f>
        <v/>
      </c>
      <c r="C361" s="209" t="str">
        <f t="array" ref="C361">IF(LEN(INDEX(DECLARATIONS,$AA361,3))&gt;0,INDEX(DECLARATIONS,$AA361,3),"...")</f>
        <v>...</v>
      </c>
      <c r="D361" s="209" t="str">
        <f t="shared" si="1"/>
        <v/>
      </c>
      <c r="E361" s="296" t="str">
        <f t="array" ref="E361">IF(ISNA($AA361),0,INDEX(DECLARATIONS,$AA361,5))</f>
        <v/>
      </c>
      <c r="F361" s="209" t="str">
        <f t="array" ref="F361">IF(ISNA($AA361),0,INDEX(DECLARATIONS,$AA361,7))</f>
        <v/>
      </c>
      <c r="G361" s="209" t="str">
        <f t="array" ref="G361">UPPER(IF(ISNA($AA361),"",INDEX(DECLARATIONS,$AA361,4)))</f>
        <v/>
      </c>
      <c r="H361" t="str">
        <f>IF(AND(A361&gt;0,ISTEXT(B361)),IF(SECNAME="YES",LEFT(B361&amp;" ",FIND(" ",B361&amp;" ")+2)&amp;IF(F361&gt;0," ("&amp;F361&amp;")",""),B361&amp;IF(F361&gt;0," ("&amp;F361&amp;")","")),"#"&amp;$A361)</f>
        <v/>
      </c>
      <c r="I361" s="209">
        <f>IF(LEN($A361)&gt;0,IF(LEN($J361)&gt;0,MATCH(J361,MatchNames,0),EventIndex),0)</f>
        <v>0</v>
      </c>
      <c r="J361" s="209" t="str">
        <f>IF(LEN($A361)&gt;0,IF(LEN(Declarations!$F361)&gt;0,Declarations!$F361,conftype),"")</f>
        <v/>
      </c>
      <c r="M361" s="297">
        <f>IF(ISNA(VLOOKUP($A361,SprintData,2,FALSE)),0,VLOOKUP($A361,SprintData,2,FALSE))</f>
        <v>0</v>
      </c>
      <c r="N361" s="297">
        <f>IF(ISNA(VLOOKUP($A361,JumpData,2,FALSE)),0,VLOOKUP($A361,JumpData,2,FALSE))</f>
        <v>0</v>
      </c>
      <c r="O361" s="297">
        <f>IF(ISNA(VLOOKUP($A361,RunData,2,FALSE)),0,VLOOKUP($A361,RunData,2,FALSE))</f>
        <v>0</v>
      </c>
      <c r="P361" s="297">
        <f>IF(ISNA(VLOOKUP($A361,ThrowData,2,FALSE)),0,VLOOKUP($A361,ThrowData,2,FALSE))</f>
        <v>0</v>
      </c>
      <c r="Q361" s="298">
        <f>IF(ISNA(VLOOKUP($A361,SprintData,4,FALSE)),0,VLOOKUP($A361,SprintData,4,FALSE))+V361</f>
        <v>0</v>
      </c>
      <c r="R361" s="298">
        <f>IF(ISNA(VLOOKUP($A361,JumpData,4,FALSE)),0,VLOOKUP($A361,JumpData,4,FALSE))+W361</f>
        <v>0</v>
      </c>
      <c r="S361" s="298">
        <f>IF(ISNA(VLOOKUP($A361,RunData,4,FALSE)),0,VLOOKUP($A361,RunData,4,FALSE))+X361</f>
        <v>0</v>
      </c>
      <c r="T361" s="298">
        <f>IF(ISNA(VLOOKUP($A361,ThrowData,4,FALSE)),0,VLOOKUP($A361,ThrowData,4,FALSE))+Y361</f>
        <v>0</v>
      </c>
      <c r="U361" s="299">
        <f t="shared" si="2"/>
        <v>0</v>
      </c>
      <c r="V361">
        <f>IF(AND($F361&gt;0,NOT(M361),Flexing),FlexPC,0)</f>
        <v>0</v>
      </c>
      <c r="W361">
        <f>IF(AND($F361&gt;0,NOT(N361),Flexing),FlexPC,0)</f>
        <v>0</v>
      </c>
      <c r="X361">
        <f>IF(AND($F361&gt;0,NOT(O361),Flexing),FlexPC,0)</f>
        <v>0</v>
      </c>
      <c r="Y361">
        <f>IF(AND($F361&gt;0,NOT(P361),Flexing),FlexPC,0)</f>
        <v>0</v>
      </c>
      <c r="AA361" s="209">
        <f t="shared" si="3"/>
        <v>360</v>
      </c>
    </row>
    <row r="362" ht="15.75" customHeight="1">
      <c r="A362" s="206" t="str">
        <f>+Declarations!A362&amp;""</f>
        <v/>
      </c>
      <c r="B362" t="str">
        <f>IF(LEN($A362),IF(LEN(Declarations!$B362)&gt;0,Declarations!$B362,"#"&amp;$A362),"")</f>
        <v/>
      </c>
      <c r="C362" s="209" t="str">
        <f t="array" ref="C362">IF(LEN(INDEX(DECLARATIONS,$AA362,3))&gt;0,INDEX(DECLARATIONS,$AA362,3),"...")</f>
        <v>...</v>
      </c>
      <c r="D362" s="209" t="str">
        <f t="shared" si="1"/>
        <v/>
      </c>
      <c r="E362" s="296" t="str">
        <f t="array" ref="E362">IF(ISNA($AA362),0,INDEX(DECLARATIONS,$AA362,5))</f>
        <v/>
      </c>
      <c r="F362" s="209" t="str">
        <f t="array" ref="F362">IF(ISNA($AA362),0,INDEX(DECLARATIONS,$AA362,7))</f>
        <v/>
      </c>
      <c r="G362" s="209" t="str">
        <f t="array" ref="G362">UPPER(IF(ISNA($AA362),"",INDEX(DECLARATIONS,$AA362,4)))</f>
        <v/>
      </c>
      <c r="H362" t="str">
        <f>IF(AND(A362&gt;0,ISTEXT(B362)),IF(SECNAME="YES",LEFT(B362&amp;" ",FIND(" ",B362&amp;" ")+2)&amp;IF(F362&gt;0," ("&amp;F362&amp;")",""),B362&amp;IF(F362&gt;0," ("&amp;F362&amp;")","")),"#"&amp;$A362)</f>
        <v/>
      </c>
      <c r="I362" s="209">
        <f>IF(LEN($A362)&gt;0,IF(LEN($J362)&gt;0,MATCH(J362,MatchNames,0),EventIndex),0)</f>
        <v>0</v>
      </c>
      <c r="J362" s="209" t="str">
        <f>IF(LEN($A362)&gt;0,IF(LEN(Declarations!$F362)&gt;0,Declarations!$F362,conftype),"")</f>
        <v/>
      </c>
      <c r="M362" s="297">
        <f>IF(ISNA(VLOOKUP($A362,SprintData,2,FALSE)),0,VLOOKUP($A362,SprintData,2,FALSE))</f>
        <v>0</v>
      </c>
      <c r="N362" s="297">
        <f>IF(ISNA(VLOOKUP($A362,JumpData,2,FALSE)),0,VLOOKUP($A362,JumpData,2,FALSE))</f>
        <v>0</v>
      </c>
      <c r="O362" s="297">
        <f>IF(ISNA(VLOOKUP($A362,RunData,2,FALSE)),0,VLOOKUP($A362,RunData,2,FALSE))</f>
        <v>0</v>
      </c>
      <c r="P362" s="297">
        <f>IF(ISNA(VLOOKUP($A362,ThrowData,2,FALSE)),0,VLOOKUP($A362,ThrowData,2,FALSE))</f>
        <v>0</v>
      </c>
      <c r="Q362" s="298">
        <f>IF(ISNA(VLOOKUP($A362,SprintData,4,FALSE)),0,VLOOKUP($A362,SprintData,4,FALSE))+V362</f>
        <v>0</v>
      </c>
      <c r="R362" s="298">
        <f>IF(ISNA(VLOOKUP($A362,JumpData,4,FALSE)),0,VLOOKUP($A362,JumpData,4,FALSE))+W362</f>
        <v>0</v>
      </c>
      <c r="S362" s="298">
        <f>IF(ISNA(VLOOKUP($A362,RunData,4,FALSE)),0,VLOOKUP($A362,RunData,4,FALSE))+X362</f>
        <v>0</v>
      </c>
      <c r="T362" s="298">
        <f>IF(ISNA(VLOOKUP($A362,ThrowData,4,FALSE)),0,VLOOKUP($A362,ThrowData,4,FALSE))+Y362</f>
        <v>0</v>
      </c>
      <c r="U362" s="299">
        <f t="shared" si="2"/>
        <v>0</v>
      </c>
      <c r="V362">
        <f>IF(AND($F362&gt;0,NOT(M362),Flexing),FlexPC,0)</f>
        <v>0</v>
      </c>
      <c r="W362">
        <f>IF(AND($F362&gt;0,NOT(N362),Flexing),FlexPC,0)</f>
        <v>0</v>
      </c>
      <c r="X362">
        <f>IF(AND($F362&gt;0,NOT(O362),Flexing),FlexPC,0)</f>
        <v>0</v>
      </c>
      <c r="Y362">
        <f>IF(AND($F362&gt;0,NOT(P362),Flexing),FlexPC,0)</f>
        <v>0</v>
      </c>
      <c r="AA362" s="209">
        <f t="shared" si="3"/>
        <v>361</v>
      </c>
    </row>
    <row r="363" ht="15.75" customHeight="1">
      <c r="A363" s="206" t="str">
        <f>+Declarations!A363&amp;""</f>
        <v/>
      </c>
      <c r="B363" t="str">
        <f>IF(LEN($A363),IF(LEN(Declarations!$B363)&gt;0,Declarations!$B363,"#"&amp;$A363),"")</f>
        <v/>
      </c>
      <c r="C363" s="209" t="str">
        <f t="array" ref="C363">IF(LEN(INDEX(DECLARATIONS,$AA363,3))&gt;0,INDEX(DECLARATIONS,$AA363,3),"...")</f>
        <v>...</v>
      </c>
      <c r="D363" s="209" t="str">
        <f t="shared" si="1"/>
        <v/>
      </c>
      <c r="E363" s="296" t="str">
        <f t="array" ref="E363">IF(ISNA($AA363),0,INDEX(DECLARATIONS,$AA363,5))</f>
        <v/>
      </c>
      <c r="F363" s="209" t="str">
        <f t="array" ref="F363">IF(ISNA($AA363),0,INDEX(DECLARATIONS,$AA363,7))</f>
        <v/>
      </c>
      <c r="G363" s="209" t="str">
        <f t="array" ref="G363">UPPER(IF(ISNA($AA363),"",INDEX(DECLARATIONS,$AA363,4)))</f>
        <v/>
      </c>
      <c r="H363" t="str">
        <f>IF(AND(A363&gt;0,ISTEXT(B363)),IF(SECNAME="YES",LEFT(B363&amp;" ",FIND(" ",B363&amp;" ")+2)&amp;IF(F363&gt;0," ("&amp;F363&amp;")",""),B363&amp;IF(F363&gt;0," ("&amp;F363&amp;")","")),"#"&amp;$A363)</f>
        <v/>
      </c>
      <c r="I363" s="209">
        <f>IF(LEN($A363)&gt;0,IF(LEN($J363)&gt;0,MATCH(J363,MatchNames,0),EventIndex),0)</f>
        <v>0</v>
      </c>
      <c r="J363" s="209" t="str">
        <f>IF(LEN($A363)&gt;0,IF(LEN(Declarations!$F363)&gt;0,Declarations!$F363,conftype),"")</f>
        <v/>
      </c>
      <c r="M363" s="297">
        <f>IF(ISNA(VLOOKUP($A363,SprintData,2,FALSE)),0,VLOOKUP($A363,SprintData,2,FALSE))</f>
        <v>0</v>
      </c>
      <c r="N363" s="297">
        <f>IF(ISNA(VLOOKUP($A363,JumpData,2,FALSE)),0,VLOOKUP($A363,JumpData,2,FALSE))</f>
        <v>0</v>
      </c>
      <c r="O363" s="297">
        <f>IF(ISNA(VLOOKUP($A363,RunData,2,FALSE)),0,VLOOKUP($A363,RunData,2,FALSE))</f>
        <v>0</v>
      </c>
      <c r="P363" s="297">
        <f>IF(ISNA(VLOOKUP($A363,ThrowData,2,FALSE)),0,VLOOKUP($A363,ThrowData,2,FALSE))</f>
        <v>0</v>
      </c>
      <c r="Q363" s="298">
        <f>IF(ISNA(VLOOKUP($A363,SprintData,4,FALSE)),0,VLOOKUP($A363,SprintData,4,FALSE))+V363</f>
        <v>0</v>
      </c>
      <c r="R363" s="298">
        <f>IF(ISNA(VLOOKUP($A363,JumpData,4,FALSE)),0,VLOOKUP($A363,JumpData,4,FALSE))+W363</f>
        <v>0</v>
      </c>
      <c r="S363" s="298">
        <f>IF(ISNA(VLOOKUP($A363,RunData,4,FALSE)),0,VLOOKUP($A363,RunData,4,FALSE))+X363</f>
        <v>0</v>
      </c>
      <c r="T363" s="298">
        <f>IF(ISNA(VLOOKUP($A363,ThrowData,4,FALSE)),0,VLOOKUP($A363,ThrowData,4,FALSE))+Y363</f>
        <v>0</v>
      </c>
      <c r="U363" s="299">
        <f t="shared" si="2"/>
        <v>0</v>
      </c>
      <c r="V363">
        <f>IF(AND($F363&gt;0,NOT(M363),Flexing),FlexPC,0)</f>
        <v>0</v>
      </c>
      <c r="W363">
        <f>IF(AND($F363&gt;0,NOT(N363),Flexing),FlexPC,0)</f>
        <v>0</v>
      </c>
      <c r="X363">
        <f>IF(AND($F363&gt;0,NOT(O363),Flexing),FlexPC,0)</f>
        <v>0</v>
      </c>
      <c r="Y363">
        <f>IF(AND($F363&gt;0,NOT(P363),Flexing),FlexPC,0)</f>
        <v>0</v>
      </c>
      <c r="AA363" s="209">
        <f t="shared" si="3"/>
        <v>362</v>
      </c>
    </row>
    <row r="364" ht="15.75" customHeight="1">
      <c r="A364" s="206" t="str">
        <f>+Declarations!A364&amp;""</f>
        <v/>
      </c>
      <c r="B364" t="str">
        <f>IF(LEN($A364),IF(LEN(Declarations!$B364)&gt;0,Declarations!$B364,"#"&amp;$A364),"")</f>
        <v/>
      </c>
      <c r="C364" s="209" t="str">
        <f t="array" ref="C364">IF(LEN(INDEX(DECLARATIONS,$AA364,3))&gt;0,INDEX(DECLARATIONS,$AA364,3),"...")</f>
        <v>...</v>
      </c>
      <c r="D364" s="209" t="str">
        <f t="shared" si="1"/>
        <v/>
      </c>
      <c r="E364" s="296" t="str">
        <f t="array" ref="E364">IF(ISNA($AA364),0,INDEX(DECLARATIONS,$AA364,5))</f>
        <v/>
      </c>
      <c r="F364" s="209" t="str">
        <f t="array" ref="F364">IF(ISNA($AA364),0,INDEX(DECLARATIONS,$AA364,7))</f>
        <v/>
      </c>
      <c r="G364" s="209" t="str">
        <f t="array" ref="G364">UPPER(IF(ISNA($AA364),"",INDEX(DECLARATIONS,$AA364,4)))</f>
        <v/>
      </c>
      <c r="H364" t="str">
        <f>IF(AND(A364&gt;0,ISTEXT(B364)),IF(SECNAME="YES",LEFT(B364&amp;" ",FIND(" ",B364&amp;" ")+2)&amp;IF(F364&gt;0," ("&amp;F364&amp;")",""),B364&amp;IF(F364&gt;0," ("&amp;F364&amp;")","")),"#"&amp;$A364)</f>
        <v/>
      </c>
      <c r="I364" s="209">
        <f>IF(LEN($A364)&gt;0,IF(LEN($J364)&gt;0,MATCH(J364,MatchNames,0),EventIndex),0)</f>
        <v>0</v>
      </c>
      <c r="J364" s="209" t="str">
        <f>IF(LEN($A364)&gt;0,IF(LEN(Declarations!$F364)&gt;0,Declarations!$F364,conftype),"")</f>
        <v/>
      </c>
      <c r="M364" s="297">
        <f>IF(ISNA(VLOOKUP($A364,SprintData,2,FALSE)),0,VLOOKUP($A364,SprintData,2,FALSE))</f>
        <v>0</v>
      </c>
      <c r="N364" s="297">
        <f>IF(ISNA(VLOOKUP($A364,JumpData,2,FALSE)),0,VLOOKUP($A364,JumpData,2,FALSE))</f>
        <v>0</v>
      </c>
      <c r="O364" s="297">
        <f>IF(ISNA(VLOOKUP($A364,RunData,2,FALSE)),0,VLOOKUP($A364,RunData,2,FALSE))</f>
        <v>0</v>
      </c>
      <c r="P364" s="297">
        <f>IF(ISNA(VLOOKUP($A364,ThrowData,2,FALSE)),0,VLOOKUP($A364,ThrowData,2,FALSE))</f>
        <v>0</v>
      </c>
      <c r="Q364" s="298">
        <f>IF(ISNA(VLOOKUP($A364,SprintData,4,FALSE)),0,VLOOKUP($A364,SprintData,4,FALSE))+V364</f>
        <v>0</v>
      </c>
      <c r="R364" s="298">
        <f>IF(ISNA(VLOOKUP($A364,JumpData,4,FALSE)),0,VLOOKUP($A364,JumpData,4,FALSE))+W364</f>
        <v>0</v>
      </c>
      <c r="S364" s="298">
        <f>IF(ISNA(VLOOKUP($A364,RunData,4,FALSE)),0,VLOOKUP($A364,RunData,4,FALSE))+X364</f>
        <v>0</v>
      </c>
      <c r="T364" s="298">
        <f>IF(ISNA(VLOOKUP($A364,ThrowData,4,FALSE)),0,VLOOKUP($A364,ThrowData,4,FALSE))+Y364</f>
        <v>0</v>
      </c>
      <c r="U364" s="299">
        <f t="shared" si="2"/>
        <v>0</v>
      </c>
      <c r="V364">
        <f>IF(AND($F364&gt;0,NOT(M364),Flexing),FlexPC,0)</f>
        <v>0</v>
      </c>
      <c r="W364">
        <f>IF(AND($F364&gt;0,NOT(N364),Flexing),FlexPC,0)</f>
        <v>0</v>
      </c>
      <c r="X364">
        <f>IF(AND($F364&gt;0,NOT(O364),Flexing),FlexPC,0)</f>
        <v>0</v>
      </c>
      <c r="Y364">
        <f>IF(AND($F364&gt;0,NOT(P364),Flexing),FlexPC,0)</f>
        <v>0</v>
      </c>
      <c r="AA364" s="209">
        <f t="shared" si="3"/>
        <v>363</v>
      </c>
    </row>
    <row r="365" ht="15.75" customHeight="1">
      <c r="A365" s="206" t="str">
        <f>+Declarations!A365&amp;""</f>
        <v/>
      </c>
      <c r="B365" t="str">
        <f>IF(LEN($A365),IF(LEN(Declarations!$B365)&gt;0,Declarations!$B365,"#"&amp;$A365),"")</f>
        <v/>
      </c>
      <c r="C365" s="209" t="str">
        <f t="array" ref="C365">IF(LEN(INDEX(DECLARATIONS,$AA365,3))&gt;0,INDEX(DECLARATIONS,$AA365,3),"...")</f>
        <v>...</v>
      </c>
      <c r="D365" s="209" t="str">
        <f t="shared" si="1"/>
        <v/>
      </c>
      <c r="E365" s="296" t="str">
        <f t="array" ref="E365">IF(ISNA($AA365),0,INDEX(DECLARATIONS,$AA365,5))</f>
        <v/>
      </c>
      <c r="F365" s="209" t="str">
        <f t="array" ref="F365">IF(ISNA($AA365),0,INDEX(DECLARATIONS,$AA365,7))</f>
        <v/>
      </c>
      <c r="G365" s="209" t="str">
        <f t="array" ref="G365">UPPER(IF(ISNA($AA365),"",INDEX(DECLARATIONS,$AA365,4)))</f>
        <v/>
      </c>
      <c r="H365" t="str">
        <f>IF(AND(A365&gt;0,ISTEXT(B365)),IF(SECNAME="YES",LEFT(B365&amp;" ",FIND(" ",B365&amp;" ")+2)&amp;IF(F365&gt;0," ("&amp;F365&amp;")",""),B365&amp;IF(F365&gt;0," ("&amp;F365&amp;")","")),"#"&amp;$A365)</f>
        <v/>
      </c>
      <c r="I365" s="209">
        <f>IF(LEN($A365)&gt;0,IF(LEN($J365)&gt;0,MATCH(J365,MatchNames,0),EventIndex),0)</f>
        <v>0</v>
      </c>
      <c r="J365" s="209" t="str">
        <f>IF(LEN($A365)&gt;0,IF(LEN(Declarations!$F365)&gt;0,Declarations!$F365,conftype),"")</f>
        <v/>
      </c>
      <c r="M365" s="297">
        <f>IF(ISNA(VLOOKUP($A365,SprintData,2,FALSE)),0,VLOOKUP($A365,SprintData,2,FALSE))</f>
        <v>0</v>
      </c>
      <c r="N365" s="297">
        <f>IF(ISNA(VLOOKUP($A365,JumpData,2,FALSE)),0,VLOOKUP($A365,JumpData,2,FALSE))</f>
        <v>0</v>
      </c>
      <c r="O365" s="297">
        <f>IF(ISNA(VLOOKUP($A365,RunData,2,FALSE)),0,VLOOKUP($A365,RunData,2,FALSE))</f>
        <v>0</v>
      </c>
      <c r="P365" s="297">
        <f>IF(ISNA(VLOOKUP($A365,ThrowData,2,FALSE)),0,VLOOKUP($A365,ThrowData,2,FALSE))</f>
        <v>0</v>
      </c>
      <c r="Q365" s="298">
        <f>IF(ISNA(VLOOKUP($A365,SprintData,4,FALSE)),0,VLOOKUP($A365,SprintData,4,FALSE))+V365</f>
        <v>0</v>
      </c>
      <c r="R365" s="298">
        <f>IF(ISNA(VLOOKUP($A365,JumpData,4,FALSE)),0,VLOOKUP($A365,JumpData,4,FALSE))+W365</f>
        <v>0</v>
      </c>
      <c r="S365" s="298">
        <f>IF(ISNA(VLOOKUP($A365,RunData,4,FALSE)),0,VLOOKUP($A365,RunData,4,FALSE))+X365</f>
        <v>0</v>
      </c>
      <c r="T365" s="298">
        <f>IF(ISNA(VLOOKUP($A365,ThrowData,4,FALSE)),0,VLOOKUP($A365,ThrowData,4,FALSE))+Y365</f>
        <v>0</v>
      </c>
      <c r="U365" s="299">
        <f t="shared" si="2"/>
        <v>0</v>
      </c>
      <c r="V365">
        <f>IF(AND($F365&gt;0,NOT(M365),Flexing),FlexPC,0)</f>
        <v>0</v>
      </c>
      <c r="W365">
        <f>IF(AND($F365&gt;0,NOT(N365),Flexing),FlexPC,0)</f>
        <v>0</v>
      </c>
      <c r="X365">
        <f>IF(AND($F365&gt;0,NOT(O365),Flexing),FlexPC,0)</f>
        <v>0</v>
      </c>
      <c r="Y365">
        <f>IF(AND($F365&gt;0,NOT(P365),Flexing),FlexPC,0)</f>
        <v>0</v>
      </c>
      <c r="AA365" s="209">
        <f t="shared" si="3"/>
        <v>364</v>
      </c>
    </row>
    <row r="366" ht="15.75" customHeight="1">
      <c r="A366" s="206" t="str">
        <f>+Declarations!A366&amp;""</f>
        <v/>
      </c>
      <c r="B366" t="str">
        <f>IF(LEN($A366),IF(LEN(Declarations!$B366)&gt;0,Declarations!$B366,"#"&amp;$A366),"")</f>
        <v/>
      </c>
      <c r="C366" s="209" t="str">
        <f t="array" ref="C366">IF(LEN(INDEX(DECLARATIONS,$AA366,3))&gt;0,INDEX(DECLARATIONS,$AA366,3),"...")</f>
        <v>...</v>
      </c>
      <c r="D366" s="209" t="str">
        <f t="shared" si="1"/>
        <v/>
      </c>
      <c r="E366" s="296" t="str">
        <f t="array" ref="E366">IF(ISNA($AA366),0,INDEX(DECLARATIONS,$AA366,5))</f>
        <v/>
      </c>
      <c r="F366" s="209" t="str">
        <f t="array" ref="F366">IF(ISNA($AA366),0,INDEX(DECLARATIONS,$AA366,7))</f>
        <v/>
      </c>
      <c r="G366" s="209" t="str">
        <f t="array" ref="G366">UPPER(IF(ISNA($AA366),"",INDEX(DECLARATIONS,$AA366,4)))</f>
        <v/>
      </c>
      <c r="H366" t="str">
        <f>IF(AND(A366&gt;0,ISTEXT(B366)),IF(SECNAME="YES",LEFT(B366&amp;" ",FIND(" ",B366&amp;" ")+2)&amp;IF(F366&gt;0," ("&amp;F366&amp;")",""),B366&amp;IF(F366&gt;0," ("&amp;F366&amp;")","")),"#"&amp;$A366)</f>
        <v/>
      </c>
      <c r="I366" s="209">
        <f>IF(LEN($A366)&gt;0,IF(LEN($J366)&gt;0,MATCH(J366,MatchNames,0),EventIndex),0)</f>
        <v>0</v>
      </c>
      <c r="J366" s="209" t="str">
        <f>IF(LEN($A366)&gt;0,IF(LEN(Declarations!$F366)&gt;0,Declarations!$F366,conftype),"")</f>
        <v/>
      </c>
      <c r="M366" s="297">
        <f>IF(ISNA(VLOOKUP($A366,SprintData,2,FALSE)),0,VLOOKUP($A366,SprintData,2,FALSE))</f>
        <v>0</v>
      </c>
      <c r="N366" s="297">
        <f>IF(ISNA(VLOOKUP($A366,JumpData,2,FALSE)),0,VLOOKUP($A366,JumpData,2,FALSE))</f>
        <v>0</v>
      </c>
      <c r="O366" s="297">
        <f>IF(ISNA(VLOOKUP($A366,RunData,2,FALSE)),0,VLOOKUP($A366,RunData,2,FALSE))</f>
        <v>0</v>
      </c>
      <c r="P366" s="297">
        <f>IF(ISNA(VLOOKUP($A366,ThrowData,2,FALSE)),0,VLOOKUP($A366,ThrowData,2,FALSE))</f>
        <v>0</v>
      </c>
      <c r="Q366" s="298">
        <f>IF(ISNA(VLOOKUP($A366,SprintData,4,FALSE)),0,VLOOKUP($A366,SprintData,4,FALSE))+V366</f>
        <v>0</v>
      </c>
      <c r="R366" s="298">
        <f>IF(ISNA(VLOOKUP($A366,JumpData,4,FALSE)),0,VLOOKUP($A366,JumpData,4,FALSE))+W366</f>
        <v>0</v>
      </c>
      <c r="S366" s="298">
        <f>IF(ISNA(VLOOKUP($A366,RunData,4,FALSE)),0,VLOOKUP($A366,RunData,4,FALSE))+X366</f>
        <v>0</v>
      </c>
      <c r="T366" s="298">
        <f>IF(ISNA(VLOOKUP($A366,ThrowData,4,FALSE)),0,VLOOKUP($A366,ThrowData,4,FALSE))+Y366</f>
        <v>0</v>
      </c>
      <c r="U366" s="299">
        <f t="shared" si="2"/>
        <v>0</v>
      </c>
      <c r="V366">
        <f>IF(AND($F366&gt;0,NOT(M366),Flexing),FlexPC,0)</f>
        <v>0</v>
      </c>
      <c r="W366">
        <f>IF(AND($F366&gt;0,NOT(N366),Flexing),FlexPC,0)</f>
        <v>0</v>
      </c>
      <c r="X366">
        <f>IF(AND($F366&gt;0,NOT(O366),Flexing),FlexPC,0)</f>
        <v>0</v>
      </c>
      <c r="Y366">
        <f>IF(AND($F366&gt;0,NOT(P366),Flexing),FlexPC,0)</f>
        <v>0</v>
      </c>
      <c r="AA366" s="209">
        <f t="shared" si="3"/>
        <v>365</v>
      </c>
    </row>
    <row r="367" ht="15.75" customHeight="1">
      <c r="A367" s="206" t="str">
        <f>+Declarations!A367&amp;""</f>
        <v/>
      </c>
      <c r="B367" t="str">
        <f>IF(LEN($A367),IF(LEN(Declarations!$B367)&gt;0,Declarations!$B367,"#"&amp;$A367),"")</f>
        <v/>
      </c>
      <c r="C367" s="209" t="str">
        <f t="array" ref="C367">IF(LEN(INDEX(DECLARATIONS,$AA367,3))&gt;0,INDEX(DECLARATIONS,$AA367,3),"...")</f>
        <v>...</v>
      </c>
      <c r="D367" s="209" t="str">
        <f t="shared" si="1"/>
        <v/>
      </c>
      <c r="E367" s="296" t="str">
        <f t="array" ref="E367">IF(ISNA($AA367),0,INDEX(DECLARATIONS,$AA367,5))</f>
        <v/>
      </c>
      <c r="F367" s="209" t="str">
        <f t="array" ref="F367">IF(ISNA($AA367),0,INDEX(DECLARATIONS,$AA367,7))</f>
        <v/>
      </c>
      <c r="G367" s="209" t="str">
        <f t="array" ref="G367">UPPER(IF(ISNA($AA367),"",INDEX(DECLARATIONS,$AA367,4)))</f>
        <v/>
      </c>
      <c r="H367" t="str">
        <f>IF(AND(A367&gt;0,ISTEXT(B367)),IF(SECNAME="YES",LEFT(B367&amp;" ",FIND(" ",B367&amp;" ")+2)&amp;IF(F367&gt;0," ("&amp;F367&amp;")",""),B367&amp;IF(F367&gt;0," ("&amp;F367&amp;")","")),"#"&amp;$A367)</f>
        <v/>
      </c>
      <c r="I367" s="209">
        <f>IF(LEN($A367)&gt;0,IF(LEN($J367)&gt;0,MATCH(J367,MatchNames,0),EventIndex),0)</f>
        <v>0</v>
      </c>
      <c r="J367" s="209" t="str">
        <f>IF(LEN($A367)&gt;0,IF(LEN(Declarations!$F367)&gt;0,Declarations!$F367,conftype),"")</f>
        <v/>
      </c>
      <c r="M367" s="297">
        <f>IF(ISNA(VLOOKUP($A367,SprintData,2,FALSE)),0,VLOOKUP($A367,SprintData,2,FALSE))</f>
        <v>0</v>
      </c>
      <c r="N367" s="297">
        <f>IF(ISNA(VLOOKUP($A367,JumpData,2,FALSE)),0,VLOOKUP($A367,JumpData,2,FALSE))</f>
        <v>0</v>
      </c>
      <c r="O367" s="297">
        <f>IF(ISNA(VLOOKUP($A367,RunData,2,FALSE)),0,VLOOKUP($A367,RunData,2,FALSE))</f>
        <v>0</v>
      </c>
      <c r="P367" s="297">
        <f>IF(ISNA(VLOOKUP($A367,ThrowData,2,FALSE)),0,VLOOKUP($A367,ThrowData,2,FALSE))</f>
        <v>0</v>
      </c>
      <c r="Q367" s="298">
        <f>IF(ISNA(VLOOKUP($A367,SprintData,4,FALSE)),0,VLOOKUP($A367,SprintData,4,FALSE))+V367</f>
        <v>0</v>
      </c>
      <c r="R367" s="298">
        <f>IF(ISNA(VLOOKUP($A367,JumpData,4,FALSE)),0,VLOOKUP($A367,JumpData,4,FALSE))+W367</f>
        <v>0</v>
      </c>
      <c r="S367" s="298">
        <f>IF(ISNA(VLOOKUP($A367,RunData,4,FALSE)),0,VLOOKUP($A367,RunData,4,FALSE))+X367</f>
        <v>0</v>
      </c>
      <c r="T367" s="298">
        <f>IF(ISNA(VLOOKUP($A367,ThrowData,4,FALSE)),0,VLOOKUP($A367,ThrowData,4,FALSE))+Y367</f>
        <v>0</v>
      </c>
      <c r="U367" s="299">
        <f t="shared" si="2"/>
        <v>0</v>
      </c>
      <c r="V367">
        <f>IF(AND($F367&gt;0,NOT(M367),Flexing),FlexPC,0)</f>
        <v>0</v>
      </c>
      <c r="W367">
        <f>IF(AND($F367&gt;0,NOT(N367),Flexing),FlexPC,0)</f>
        <v>0</v>
      </c>
      <c r="X367">
        <f>IF(AND($F367&gt;0,NOT(O367),Flexing),FlexPC,0)</f>
        <v>0</v>
      </c>
      <c r="Y367">
        <f>IF(AND($F367&gt;0,NOT(P367),Flexing),FlexPC,0)</f>
        <v>0</v>
      </c>
      <c r="AA367" s="209">
        <f t="shared" si="3"/>
        <v>366</v>
      </c>
    </row>
    <row r="368" ht="15.75" customHeight="1">
      <c r="A368" s="206" t="str">
        <f>+Declarations!A368&amp;""</f>
        <v/>
      </c>
      <c r="B368" t="str">
        <f>IF(LEN($A368),IF(LEN(Declarations!$B368)&gt;0,Declarations!$B368,"#"&amp;$A368),"")</f>
        <v/>
      </c>
      <c r="C368" s="209" t="str">
        <f t="array" ref="C368">IF(LEN(INDEX(DECLARATIONS,$AA368,3))&gt;0,INDEX(DECLARATIONS,$AA368,3),"...")</f>
        <v>...</v>
      </c>
      <c r="D368" s="209" t="str">
        <f t="shared" si="1"/>
        <v/>
      </c>
      <c r="E368" s="296" t="str">
        <f t="array" ref="E368">IF(ISNA($AA368),0,INDEX(DECLARATIONS,$AA368,5))</f>
        <v/>
      </c>
      <c r="F368" s="209" t="str">
        <f t="array" ref="F368">IF(ISNA($AA368),0,INDEX(DECLARATIONS,$AA368,7))</f>
        <v/>
      </c>
      <c r="G368" s="209" t="str">
        <f t="array" ref="G368">UPPER(IF(ISNA($AA368),"",INDEX(DECLARATIONS,$AA368,4)))</f>
        <v/>
      </c>
      <c r="H368" t="str">
        <f>IF(AND(A368&gt;0,ISTEXT(B368)),IF(SECNAME="YES",LEFT(B368&amp;" ",FIND(" ",B368&amp;" ")+2)&amp;IF(F368&gt;0," ("&amp;F368&amp;")",""),B368&amp;IF(F368&gt;0," ("&amp;F368&amp;")","")),"#"&amp;$A368)</f>
        <v/>
      </c>
      <c r="I368" s="209">
        <f>IF(LEN($A368)&gt;0,IF(LEN($J368)&gt;0,MATCH(J368,MatchNames,0),EventIndex),0)</f>
        <v>0</v>
      </c>
      <c r="J368" s="209" t="str">
        <f>IF(LEN($A368)&gt;0,IF(LEN(Declarations!$F368)&gt;0,Declarations!$F368,conftype),"")</f>
        <v/>
      </c>
      <c r="M368" s="297">
        <f>IF(ISNA(VLOOKUP($A368,SprintData,2,FALSE)),0,VLOOKUP($A368,SprintData,2,FALSE))</f>
        <v>0</v>
      </c>
      <c r="N368" s="297">
        <f>IF(ISNA(VLOOKUP($A368,JumpData,2,FALSE)),0,VLOOKUP($A368,JumpData,2,FALSE))</f>
        <v>0</v>
      </c>
      <c r="O368" s="297">
        <f>IF(ISNA(VLOOKUP($A368,RunData,2,FALSE)),0,VLOOKUP($A368,RunData,2,FALSE))</f>
        <v>0</v>
      </c>
      <c r="P368" s="297">
        <f>IF(ISNA(VLOOKUP($A368,ThrowData,2,FALSE)),0,VLOOKUP($A368,ThrowData,2,FALSE))</f>
        <v>0</v>
      </c>
      <c r="Q368" s="298">
        <f>IF(ISNA(VLOOKUP($A368,SprintData,4,FALSE)),0,VLOOKUP($A368,SprintData,4,FALSE))+V368</f>
        <v>0</v>
      </c>
      <c r="R368" s="298">
        <f>IF(ISNA(VLOOKUP($A368,JumpData,4,FALSE)),0,VLOOKUP($A368,JumpData,4,FALSE))+W368</f>
        <v>0</v>
      </c>
      <c r="S368" s="298">
        <f>IF(ISNA(VLOOKUP($A368,RunData,4,FALSE)),0,VLOOKUP($A368,RunData,4,FALSE))+X368</f>
        <v>0</v>
      </c>
      <c r="T368" s="298">
        <f>IF(ISNA(VLOOKUP($A368,ThrowData,4,FALSE)),0,VLOOKUP($A368,ThrowData,4,FALSE))+Y368</f>
        <v>0</v>
      </c>
      <c r="U368" s="299">
        <f t="shared" si="2"/>
        <v>0</v>
      </c>
      <c r="V368">
        <f>IF(AND($F368&gt;0,NOT(M368),Flexing),FlexPC,0)</f>
        <v>0</v>
      </c>
      <c r="W368">
        <f>IF(AND($F368&gt;0,NOT(N368),Flexing),FlexPC,0)</f>
        <v>0</v>
      </c>
      <c r="X368">
        <f>IF(AND($F368&gt;0,NOT(O368),Flexing),FlexPC,0)</f>
        <v>0</v>
      </c>
      <c r="Y368">
        <f>IF(AND($F368&gt;0,NOT(P368),Flexing),FlexPC,0)</f>
        <v>0</v>
      </c>
      <c r="AA368" s="209">
        <f t="shared" si="3"/>
        <v>367</v>
      </c>
    </row>
    <row r="369" ht="15.75" customHeight="1">
      <c r="A369" s="206" t="str">
        <f>+Declarations!A369&amp;""</f>
        <v/>
      </c>
      <c r="B369" t="str">
        <f>IF(LEN($A369),IF(LEN(Declarations!$B369)&gt;0,Declarations!$B369,"#"&amp;$A369),"")</f>
        <v/>
      </c>
      <c r="C369" s="209" t="str">
        <f t="array" ref="C369">IF(LEN(INDEX(DECLARATIONS,$AA369,3))&gt;0,INDEX(DECLARATIONS,$AA369,3),"...")</f>
        <v>...</v>
      </c>
      <c r="D369" s="209" t="str">
        <f t="shared" si="1"/>
        <v/>
      </c>
      <c r="E369" s="296" t="str">
        <f t="array" ref="E369">IF(ISNA($AA369),0,INDEX(DECLARATIONS,$AA369,5))</f>
        <v/>
      </c>
      <c r="F369" s="209" t="str">
        <f t="array" ref="F369">IF(ISNA($AA369),0,INDEX(DECLARATIONS,$AA369,7))</f>
        <v/>
      </c>
      <c r="G369" s="209" t="str">
        <f t="array" ref="G369">UPPER(IF(ISNA($AA369),"",INDEX(DECLARATIONS,$AA369,4)))</f>
        <v/>
      </c>
      <c r="H369" t="str">
        <f>IF(AND(A369&gt;0,ISTEXT(B369)),IF(SECNAME="YES",LEFT(B369&amp;" ",FIND(" ",B369&amp;" ")+2)&amp;IF(F369&gt;0," ("&amp;F369&amp;")",""),B369&amp;IF(F369&gt;0," ("&amp;F369&amp;")","")),"#"&amp;$A369)</f>
        <v/>
      </c>
      <c r="I369" s="209">
        <f>IF(LEN($A369)&gt;0,IF(LEN($J369)&gt;0,MATCH(J369,MatchNames,0),EventIndex),0)</f>
        <v>0</v>
      </c>
      <c r="J369" s="209" t="str">
        <f>IF(LEN($A369)&gt;0,IF(LEN(Declarations!$F369)&gt;0,Declarations!$F369,conftype),"")</f>
        <v/>
      </c>
      <c r="M369" s="297">
        <f>IF(ISNA(VLOOKUP($A369,SprintData,2,FALSE)),0,VLOOKUP($A369,SprintData,2,FALSE))</f>
        <v>0</v>
      </c>
      <c r="N369" s="297">
        <f>IF(ISNA(VLOOKUP($A369,JumpData,2,FALSE)),0,VLOOKUP($A369,JumpData,2,FALSE))</f>
        <v>0</v>
      </c>
      <c r="O369" s="297">
        <f>IF(ISNA(VLOOKUP($A369,RunData,2,FALSE)),0,VLOOKUP($A369,RunData,2,FALSE))</f>
        <v>0</v>
      </c>
      <c r="P369" s="297">
        <f>IF(ISNA(VLOOKUP($A369,ThrowData,2,FALSE)),0,VLOOKUP($A369,ThrowData,2,FALSE))</f>
        <v>0</v>
      </c>
      <c r="Q369" s="298">
        <f>IF(ISNA(VLOOKUP($A369,SprintData,4,FALSE)),0,VLOOKUP($A369,SprintData,4,FALSE))+V369</f>
        <v>0</v>
      </c>
      <c r="R369" s="298">
        <f>IF(ISNA(VLOOKUP($A369,JumpData,4,FALSE)),0,VLOOKUP($A369,JumpData,4,FALSE))+W369</f>
        <v>0</v>
      </c>
      <c r="S369" s="298">
        <f>IF(ISNA(VLOOKUP($A369,RunData,4,FALSE)),0,VLOOKUP($A369,RunData,4,FALSE))+X369</f>
        <v>0</v>
      </c>
      <c r="T369" s="298">
        <f>IF(ISNA(VLOOKUP($A369,ThrowData,4,FALSE)),0,VLOOKUP($A369,ThrowData,4,FALSE))+Y369</f>
        <v>0</v>
      </c>
      <c r="U369" s="299">
        <f t="shared" si="2"/>
        <v>0</v>
      </c>
      <c r="V369">
        <f>IF(AND($F369&gt;0,NOT(M369),Flexing),FlexPC,0)</f>
        <v>0</v>
      </c>
      <c r="W369">
        <f>IF(AND($F369&gt;0,NOT(N369),Flexing),FlexPC,0)</f>
        <v>0</v>
      </c>
      <c r="X369">
        <f>IF(AND($F369&gt;0,NOT(O369),Flexing),FlexPC,0)</f>
        <v>0</v>
      </c>
      <c r="Y369">
        <f>IF(AND($F369&gt;0,NOT(P369),Flexing),FlexPC,0)</f>
        <v>0</v>
      </c>
      <c r="AA369" s="209">
        <f t="shared" si="3"/>
        <v>368</v>
      </c>
    </row>
    <row r="370" ht="15.75" customHeight="1">
      <c r="A370" s="206" t="str">
        <f>+Declarations!A370&amp;""</f>
        <v/>
      </c>
      <c r="B370" t="str">
        <f>IF(LEN($A370),IF(LEN(Declarations!$B370)&gt;0,Declarations!$B370,"#"&amp;$A370),"")</f>
        <v/>
      </c>
      <c r="C370" s="209" t="str">
        <f t="array" ref="C370">IF(LEN(INDEX(DECLARATIONS,$AA370,3))&gt;0,INDEX(DECLARATIONS,$AA370,3),"...")</f>
        <v>...</v>
      </c>
      <c r="D370" s="209" t="str">
        <f t="shared" si="1"/>
        <v/>
      </c>
      <c r="E370" s="296" t="str">
        <f t="array" ref="E370">IF(ISNA($AA370),0,INDEX(DECLARATIONS,$AA370,5))</f>
        <v/>
      </c>
      <c r="F370" s="209" t="str">
        <f t="array" ref="F370">IF(ISNA($AA370),0,INDEX(DECLARATIONS,$AA370,7))</f>
        <v/>
      </c>
      <c r="G370" s="209" t="str">
        <f t="array" ref="G370">UPPER(IF(ISNA($AA370),"",INDEX(DECLARATIONS,$AA370,4)))</f>
        <v/>
      </c>
      <c r="H370" t="str">
        <f>IF(AND(A370&gt;0,ISTEXT(B370)),IF(SECNAME="YES",LEFT(B370&amp;" ",FIND(" ",B370&amp;" ")+2)&amp;IF(F370&gt;0," ("&amp;F370&amp;")",""),B370&amp;IF(F370&gt;0," ("&amp;F370&amp;")","")),"#"&amp;$A370)</f>
        <v/>
      </c>
      <c r="I370" s="209">
        <f>IF(LEN($A370)&gt;0,IF(LEN($J370)&gt;0,MATCH(J370,MatchNames,0),EventIndex),0)</f>
        <v>0</v>
      </c>
      <c r="J370" s="209" t="str">
        <f>IF(LEN($A370)&gt;0,IF(LEN(Declarations!$F370)&gt;0,Declarations!$F370,conftype),"")</f>
        <v/>
      </c>
      <c r="M370" s="297">
        <f>IF(ISNA(VLOOKUP($A370,SprintData,2,FALSE)),0,VLOOKUP($A370,SprintData,2,FALSE))</f>
        <v>0</v>
      </c>
      <c r="N370" s="297">
        <f>IF(ISNA(VLOOKUP($A370,JumpData,2,FALSE)),0,VLOOKUP($A370,JumpData,2,FALSE))</f>
        <v>0</v>
      </c>
      <c r="O370" s="297">
        <f>IF(ISNA(VLOOKUP($A370,RunData,2,FALSE)),0,VLOOKUP($A370,RunData,2,FALSE))</f>
        <v>0</v>
      </c>
      <c r="P370" s="297">
        <f>IF(ISNA(VLOOKUP($A370,ThrowData,2,FALSE)),0,VLOOKUP($A370,ThrowData,2,FALSE))</f>
        <v>0</v>
      </c>
      <c r="Q370" s="298">
        <f>IF(ISNA(VLOOKUP($A370,SprintData,4,FALSE)),0,VLOOKUP($A370,SprintData,4,FALSE))+V370</f>
        <v>0</v>
      </c>
      <c r="R370" s="298">
        <f>IF(ISNA(VLOOKUP($A370,JumpData,4,FALSE)),0,VLOOKUP($A370,JumpData,4,FALSE))+W370</f>
        <v>0</v>
      </c>
      <c r="S370" s="298">
        <f>IF(ISNA(VLOOKUP($A370,RunData,4,FALSE)),0,VLOOKUP($A370,RunData,4,FALSE))+X370</f>
        <v>0</v>
      </c>
      <c r="T370" s="298">
        <f>IF(ISNA(VLOOKUP($A370,ThrowData,4,FALSE)),0,VLOOKUP($A370,ThrowData,4,FALSE))+Y370</f>
        <v>0</v>
      </c>
      <c r="U370" s="299">
        <f t="shared" si="2"/>
        <v>0</v>
      </c>
      <c r="V370">
        <f>IF(AND($F370&gt;0,NOT(M370),Flexing),FlexPC,0)</f>
        <v>0</v>
      </c>
      <c r="W370">
        <f>IF(AND($F370&gt;0,NOT(N370),Flexing),FlexPC,0)</f>
        <v>0</v>
      </c>
      <c r="X370">
        <f>IF(AND($F370&gt;0,NOT(O370),Flexing),FlexPC,0)</f>
        <v>0</v>
      </c>
      <c r="Y370">
        <f>IF(AND($F370&gt;0,NOT(P370),Flexing),FlexPC,0)</f>
        <v>0</v>
      </c>
      <c r="AA370" s="209">
        <f t="shared" si="3"/>
        <v>369</v>
      </c>
    </row>
    <row r="371" ht="15.75" customHeight="1">
      <c r="A371" s="206" t="str">
        <f>+Declarations!A371&amp;""</f>
        <v/>
      </c>
      <c r="B371" t="str">
        <f>IF(LEN($A371),IF(LEN(Declarations!$B371)&gt;0,Declarations!$B371,"#"&amp;$A371),"")</f>
        <v/>
      </c>
      <c r="C371" s="209" t="str">
        <f t="array" ref="C371">IF(LEN(INDEX(DECLARATIONS,$AA371,3))&gt;0,INDEX(DECLARATIONS,$AA371,3),"...")</f>
        <v>...</v>
      </c>
      <c r="D371" s="209" t="str">
        <f t="shared" si="1"/>
        <v/>
      </c>
      <c r="E371" s="296" t="str">
        <f t="array" ref="E371">IF(ISNA($AA371),0,INDEX(DECLARATIONS,$AA371,5))</f>
        <v/>
      </c>
      <c r="F371" s="209" t="str">
        <f t="array" ref="F371">IF(ISNA($AA371),0,INDEX(DECLARATIONS,$AA371,7))</f>
        <v/>
      </c>
      <c r="G371" s="209" t="str">
        <f t="array" ref="G371">UPPER(IF(ISNA($AA371),"",INDEX(DECLARATIONS,$AA371,4)))</f>
        <v/>
      </c>
      <c r="H371" t="str">
        <f>IF(AND(A371&gt;0,ISTEXT(B371)),IF(SECNAME="YES",LEFT(B371&amp;" ",FIND(" ",B371&amp;" ")+2)&amp;IF(F371&gt;0," ("&amp;F371&amp;")",""),B371&amp;IF(F371&gt;0," ("&amp;F371&amp;")","")),"#"&amp;$A371)</f>
        <v/>
      </c>
      <c r="I371" s="209">
        <f>IF(LEN($A371)&gt;0,IF(LEN($J371)&gt;0,MATCH(J371,MatchNames,0),EventIndex),0)</f>
        <v>0</v>
      </c>
      <c r="J371" s="209" t="str">
        <f>IF(LEN($A371)&gt;0,IF(LEN(Declarations!$F371)&gt;0,Declarations!$F371,conftype),"")</f>
        <v/>
      </c>
      <c r="M371" s="297">
        <f>IF(ISNA(VLOOKUP($A371,SprintData,2,FALSE)),0,VLOOKUP($A371,SprintData,2,FALSE))</f>
        <v>0</v>
      </c>
      <c r="N371" s="297">
        <f>IF(ISNA(VLOOKUP($A371,JumpData,2,FALSE)),0,VLOOKUP($A371,JumpData,2,FALSE))</f>
        <v>0</v>
      </c>
      <c r="O371" s="297">
        <f>IF(ISNA(VLOOKUP($A371,RunData,2,FALSE)),0,VLOOKUP($A371,RunData,2,FALSE))</f>
        <v>0</v>
      </c>
      <c r="P371" s="297">
        <f>IF(ISNA(VLOOKUP($A371,ThrowData,2,FALSE)),0,VLOOKUP($A371,ThrowData,2,FALSE))</f>
        <v>0</v>
      </c>
      <c r="Q371" s="298">
        <f>IF(ISNA(VLOOKUP($A371,SprintData,4,FALSE)),0,VLOOKUP($A371,SprintData,4,FALSE))+V371</f>
        <v>0</v>
      </c>
      <c r="R371" s="298">
        <f>IF(ISNA(VLOOKUP($A371,JumpData,4,FALSE)),0,VLOOKUP($A371,JumpData,4,FALSE))+W371</f>
        <v>0</v>
      </c>
      <c r="S371" s="298">
        <f>IF(ISNA(VLOOKUP($A371,RunData,4,FALSE)),0,VLOOKUP($A371,RunData,4,FALSE))+X371</f>
        <v>0</v>
      </c>
      <c r="T371" s="298">
        <f>IF(ISNA(VLOOKUP($A371,ThrowData,4,FALSE)),0,VLOOKUP($A371,ThrowData,4,FALSE))+Y371</f>
        <v>0</v>
      </c>
      <c r="U371" s="299">
        <f t="shared" si="2"/>
        <v>0</v>
      </c>
      <c r="V371">
        <f>IF(AND($F371&gt;0,NOT(M371),Flexing),FlexPC,0)</f>
        <v>0</v>
      </c>
      <c r="W371">
        <f>IF(AND($F371&gt;0,NOT(N371),Flexing),FlexPC,0)</f>
        <v>0</v>
      </c>
      <c r="X371">
        <f>IF(AND($F371&gt;0,NOT(O371),Flexing),FlexPC,0)</f>
        <v>0</v>
      </c>
      <c r="Y371">
        <f>IF(AND($F371&gt;0,NOT(P371),Flexing),FlexPC,0)</f>
        <v>0</v>
      </c>
      <c r="AA371" s="209">
        <f t="shared" si="3"/>
        <v>370</v>
      </c>
    </row>
    <row r="372" ht="15.75" customHeight="1">
      <c r="A372" s="206" t="str">
        <f>+Declarations!A372&amp;""</f>
        <v/>
      </c>
      <c r="B372" t="str">
        <f>IF(LEN($A372),IF(LEN(Declarations!$B372)&gt;0,Declarations!$B372,"#"&amp;$A372),"")</f>
        <v/>
      </c>
      <c r="C372" s="209" t="str">
        <f t="array" ref="C372">IF(LEN(INDEX(DECLARATIONS,$AA372,3))&gt;0,INDEX(DECLARATIONS,$AA372,3),"...")</f>
        <v>...</v>
      </c>
      <c r="D372" s="209" t="str">
        <f t="shared" si="1"/>
        <v/>
      </c>
      <c r="E372" s="296" t="str">
        <f t="array" ref="E372">IF(ISNA($AA372),0,INDEX(DECLARATIONS,$AA372,5))</f>
        <v/>
      </c>
      <c r="F372" s="209" t="str">
        <f t="array" ref="F372">IF(ISNA($AA372),0,INDEX(DECLARATIONS,$AA372,7))</f>
        <v/>
      </c>
      <c r="G372" s="209" t="str">
        <f t="array" ref="G372">UPPER(IF(ISNA($AA372),"",INDEX(DECLARATIONS,$AA372,4)))</f>
        <v/>
      </c>
      <c r="H372" t="str">
        <f>IF(AND(A372&gt;0,ISTEXT(B372)),IF(SECNAME="YES",LEFT(B372&amp;" ",FIND(" ",B372&amp;" ")+2)&amp;IF(F372&gt;0," ("&amp;F372&amp;")",""),B372&amp;IF(F372&gt;0," ("&amp;F372&amp;")","")),"#"&amp;$A372)</f>
        <v/>
      </c>
      <c r="I372" s="209">
        <f>IF(LEN($A372)&gt;0,IF(LEN($J372)&gt;0,MATCH(J372,MatchNames,0),EventIndex),0)</f>
        <v>0</v>
      </c>
      <c r="J372" s="209" t="str">
        <f>IF(LEN($A372)&gt;0,IF(LEN(Declarations!$F372)&gt;0,Declarations!$F372,conftype),"")</f>
        <v/>
      </c>
      <c r="M372" s="297">
        <f>IF(ISNA(VLOOKUP($A372,SprintData,2,FALSE)),0,VLOOKUP($A372,SprintData,2,FALSE))</f>
        <v>0</v>
      </c>
      <c r="N372" s="297">
        <f>IF(ISNA(VLOOKUP($A372,JumpData,2,FALSE)),0,VLOOKUP($A372,JumpData,2,FALSE))</f>
        <v>0</v>
      </c>
      <c r="O372" s="297">
        <f>IF(ISNA(VLOOKUP($A372,RunData,2,FALSE)),0,VLOOKUP($A372,RunData,2,FALSE))</f>
        <v>0</v>
      </c>
      <c r="P372" s="297">
        <f>IF(ISNA(VLOOKUP($A372,ThrowData,2,FALSE)),0,VLOOKUP($A372,ThrowData,2,FALSE))</f>
        <v>0</v>
      </c>
      <c r="Q372" s="298">
        <f>IF(ISNA(VLOOKUP($A372,SprintData,4,FALSE)),0,VLOOKUP($A372,SprintData,4,FALSE))+V372</f>
        <v>0</v>
      </c>
      <c r="R372" s="298">
        <f>IF(ISNA(VLOOKUP($A372,JumpData,4,FALSE)),0,VLOOKUP($A372,JumpData,4,FALSE))+W372</f>
        <v>0</v>
      </c>
      <c r="S372" s="298">
        <f>IF(ISNA(VLOOKUP($A372,RunData,4,FALSE)),0,VLOOKUP($A372,RunData,4,FALSE))+X372</f>
        <v>0</v>
      </c>
      <c r="T372" s="298">
        <f>IF(ISNA(VLOOKUP($A372,ThrowData,4,FALSE)),0,VLOOKUP($A372,ThrowData,4,FALSE))+Y372</f>
        <v>0</v>
      </c>
      <c r="U372" s="299">
        <f t="shared" si="2"/>
        <v>0</v>
      </c>
      <c r="V372">
        <f>IF(AND($F372&gt;0,NOT(M372),Flexing),FlexPC,0)</f>
        <v>0</v>
      </c>
      <c r="W372">
        <f>IF(AND($F372&gt;0,NOT(N372),Flexing),FlexPC,0)</f>
        <v>0</v>
      </c>
      <c r="X372">
        <f>IF(AND($F372&gt;0,NOT(O372),Flexing),FlexPC,0)</f>
        <v>0</v>
      </c>
      <c r="Y372">
        <f>IF(AND($F372&gt;0,NOT(P372),Flexing),FlexPC,0)</f>
        <v>0</v>
      </c>
      <c r="AA372" s="209">
        <f t="shared" si="3"/>
        <v>371</v>
      </c>
    </row>
    <row r="373" ht="15.75" customHeight="1">
      <c r="A373" s="206" t="str">
        <f>+Declarations!A373&amp;""</f>
        <v/>
      </c>
      <c r="B373" t="str">
        <f>IF(LEN($A373),IF(LEN(Declarations!$B373)&gt;0,Declarations!$B373,"#"&amp;$A373),"")</f>
        <v/>
      </c>
      <c r="C373" s="209" t="str">
        <f t="array" ref="C373">IF(LEN(INDEX(DECLARATIONS,$AA373,3))&gt;0,INDEX(DECLARATIONS,$AA373,3),"...")</f>
        <v>...</v>
      </c>
      <c r="D373" s="209" t="str">
        <f t="shared" si="1"/>
        <v/>
      </c>
      <c r="E373" s="296" t="str">
        <f t="array" ref="E373">IF(ISNA($AA373),0,INDEX(DECLARATIONS,$AA373,5))</f>
        <v/>
      </c>
      <c r="F373" s="209" t="str">
        <f t="array" ref="F373">IF(ISNA($AA373),0,INDEX(DECLARATIONS,$AA373,7))</f>
        <v/>
      </c>
      <c r="G373" s="209" t="str">
        <f t="array" ref="G373">UPPER(IF(ISNA($AA373),"",INDEX(DECLARATIONS,$AA373,4)))</f>
        <v/>
      </c>
      <c r="H373" t="str">
        <f>IF(AND(A373&gt;0,ISTEXT(B373)),IF(SECNAME="YES",LEFT(B373&amp;" ",FIND(" ",B373&amp;" ")+2)&amp;IF(F373&gt;0," ("&amp;F373&amp;")",""),B373&amp;IF(F373&gt;0," ("&amp;F373&amp;")","")),"#"&amp;$A373)</f>
        <v/>
      </c>
      <c r="I373" s="209">
        <f>IF(LEN($A373)&gt;0,IF(LEN($J373)&gt;0,MATCH(J373,MatchNames,0),EventIndex),0)</f>
        <v>0</v>
      </c>
      <c r="J373" s="209" t="str">
        <f>IF(LEN($A373)&gt;0,IF(LEN(Declarations!$F373)&gt;0,Declarations!$F373,conftype),"")</f>
        <v/>
      </c>
      <c r="M373" s="297">
        <f>IF(ISNA(VLOOKUP($A373,SprintData,2,FALSE)),0,VLOOKUP($A373,SprintData,2,FALSE))</f>
        <v>0</v>
      </c>
      <c r="N373" s="297">
        <f>IF(ISNA(VLOOKUP($A373,JumpData,2,FALSE)),0,VLOOKUP($A373,JumpData,2,FALSE))</f>
        <v>0</v>
      </c>
      <c r="O373" s="297">
        <f>IF(ISNA(VLOOKUP($A373,RunData,2,FALSE)),0,VLOOKUP($A373,RunData,2,FALSE))</f>
        <v>0</v>
      </c>
      <c r="P373" s="297">
        <f>IF(ISNA(VLOOKUP($A373,ThrowData,2,FALSE)),0,VLOOKUP($A373,ThrowData,2,FALSE))</f>
        <v>0</v>
      </c>
      <c r="Q373" s="298">
        <f>IF(ISNA(VLOOKUP($A373,SprintData,4,FALSE)),0,VLOOKUP($A373,SprintData,4,FALSE))+V373</f>
        <v>0</v>
      </c>
      <c r="R373" s="298">
        <f>IF(ISNA(VLOOKUP($A373,JumpData,4,FALSE)),0,VLOOKUP($A373,JumpData,4,FALSE))+W373</f>
        <v>0</v>
      </c>
      <c r="S373" s="298">
        <f>IF(ISNA(VLOOKUP($A373,RunData,4,FALSE)),0,VLOOKUP($A373,RunData,4,FALSE))+X373</f>
        <v>0</v>
      </c>
      <c r="T373" s="298">
        <f>IF(ISNA(VLOOKUP($A373,ThrowData,4,FALSE)),0,VLOOKUP($A373,ThrowData,4,FALSE))+Y373</f>
        <v>0</v>
      </c>
      <c r="U373" s="299">
        <f t="shared" si="2"/>
        <v>0</v>
      </c>
      <c r="V373">
        <f>IF(AND($F373&gt;0,NOT(M373),Flexing),FlexPC,0)</f>
        <v>0</v>
      </c>
      <c r="W373">
        <f>IF(AND($F373&gt;0,NOT(N373),Flexing),FlexPC,0)</f>
        <v>0</v>
      </c>
      <c r="X373">
        <f>IF(AND($F373&gt;0,NOT(O373),Flexing),FlexPC,0)</f>
        <v>0</v>
      </c>
      <c r="Y373">
        <f>IF(AND($F373&gt;0,NOT(P373),Flexing),FlexPC,0)</f>
        <v>0</v>
      </c>
      <c r="AA373" s="209">
        <f t="shared" si="3"/>
        <v>372</v>
      </c>
    </row>
    <row r="374" ht="15.75" customHeight="1">
      <c r="A374" s="206" t="str">
        <f>+Declarations!A374&amp;""</f>
        <v/>
      </c>
      <c r="B374" t="str">
        <f>IF(LEN($A374),IF(LEN(Declarations!$B374)&gt;0,Declarations!$B374,"#"&amp;$A374),"")</f>
        <v/>
      </c>
      <c r="C374" s="209" t="str">
        <f t="array" ref="C374">IF(LEN(INDEX(DECLARATIONS,$AA374,3))&gt;0,INDEX(DECLARATIONS,$AA374,3),"...")</f>
        <v>...</v>
      </c>
      <c r="D374" s="209" t="str">
        <f t="shared" si="1"/>
        <v/>
      </c>
      <c r="E374" s="296" t="str">
        <f t="array" ref="E374">IF(ISNA($AA374),0,INDEX(DECLARATIONS,$AA374,5))</f>
        <v/>
      </c>
      <c r="F374" s="209" t="str">
        <f t="array" ref="F374">IF(ISNA($AA374),0,INDEX(DECLARATIONS,$AA374,7))</f>
        <v/>
      </c>
      <c r="G374" s="209" t="str">
        <f t="array" ref="G374">UPPER(IF(ISNA($AA374),"",INDEX(DECLARATIONS,$AA374,4)))</f>
        <v/>
      </c>
      <c r="H374" t="str">
        <f>IF(AND(A374&gt;0,ISTEXT(B374)),IF(SECNAME="YES",LEFT(B374&amp;" ",FIND(" ",B374&amp;" ")+2)&amp;IF(F374&gt;0," ("&amp;F374&amp;")",""),B374&amp;IF(F374&gt;0," ("&amp;F374&amp;")","")),"#"&amp;$A374)</f>
        <v/>
      </c>
      <c r="I374" s="209">
        <f>IF(LEN($A374)&gt;0,IF(LEN($J374)&gt;0,MATCH(J374,MatchNames,0),EventIndex),0)</f>
        <v>0</v>
      </c>
      <c r="J374" s="209" t="str">
        <f>IF(LEN($A374)&gt;0,IF(LEN(Declarations!$F374)&gt;0,Declarations!$F374,conftype),"")</f>
        <v/>
      </c>
      <c r="M374" s="297">
        <f>IF(ISNA(VLOOKUP($A374,SprintData,2,FALSE)),0,VLOOKUP($A374,SprintData,2,FALSE))</f>
        <v>0</v>
      </c>
      <c r="N374" s="297">
        <f>IF(ISNA(VLOOKUP($A374,JumpData,2,FALSE)),0,VLOOKUP($A374,JumpData,2,FALSE))</f>
        <v>0</v>
      </c>
      <c r="O374" s="297">
        <f>IF(ISNA(VLOOKUP($A374,RunData,2,FALSE)),0,VLOOKUP($A374,RunData,2,FALSE))</f>
        <v>0</v>
      </c>
      <c r="P374" s="297">
        <f>IF(ISNA(VLOOKUP($A374,ThrowData,2,FALSE)),0,VLOOKUP($A374,ThrowData,2,FALSE))</f>
        <v>0</v>
      </c>
      <c r="Q374" s="298">
        <f>IF(ISNA(VLOOKUP($A374,SprintData,4,FALSE)),0,VLOOKUP($A374,SprintData,4,FALSE))+V374</f>
        <v>0</v>
      </c>
      <c r="R374" s="298">
        <f>IF(ISNA(VLOOKUP($A374,JumpData,4,FALSE)),0,VLOOKUP($A374,JumpData,4,FALSE))+W374</f>
        <v>0</v>
      </c>
      <c r="S374" s="298">
        <f>IF(ISNA(VLOOKUP($A374,RunData,4,FALSE)),0,VLOOKUP($A374,RunData,4,FALSE))+X374</f>
        <v>0</v>
      </c>
      <c r="T374" s="298">
        <f>IF(ISNA(VLOOKUP($A374,ThrowData,4,FALSE)),0,VLOOKUP($A374,ThrowData,4,FALSE))+Y374</f>
        <v>0</v>
      </c>
      <c r="U374" s="299">
        <f t="shared" si="2"/>
        <v>0</v>
      </c>
      <c r="V374">
        <f>IF(AND($F374&gt;0,NOT(M374),Flexing),FlexPC,0)</f>
        <v>0</v>
      </c>
      <c r="W374">
        <f>IF(AND($F374&gt;0,NOT(N374),Flexing),FlexPC,0)</f>
        <v>0</v>
      </c>
      <c r="X374">
        <f>IF(AND($F374&gt;0,NOT(O374),Flexing),FlexPC,0)</f>
        <v>0</v>
      </c>
      <c r="Y374">
        <f>IF(AND($F374&gt;0,NOT(P374),Flexing),FlexPC,0)</f>
        <v>0</v>
      </c>
      <c r="AA374" s="209">
        <f t="shared" si="3"/>
        <v>373</v>
      </c>
    </row>
    <row r="375" ht="15.75" customHeight="1">
      <c r="A375" s="206" t="str">
        <f>+Declarations!A375&amp;""</f>
        <v/>
      </c>
      <c r="B375" t="str">
        <f>IF(LEN($A375),IF(LEN(Declarations!$B375)&gt;0,Declarations!$B375,"#"&amp;$A375),"")</f>
        <v/>
      </c>
      <c r="C375" s="209" t="str">
        <f t="array" ref="C375">IF(LEN(INDEX(DECLARATIONS,$AA375,3))&gt;0,INDEX(DECLARATIONS,$AA375,3),"...")</f>
        <v>...</v>
      </c>
      <c r="D375" s="209" t="str">
        <f t="shared" si="1"/>
        <v/>
      </c>
      <c r="E375" s="296" t="str">
        <f t="array" ref="E375">IF(ISNA($AA375),0,INDEX(DECLARATIONS,$AA375,5))</f>
        <v/>
      </c>
      <c r="F375" s="209" t="str">
        <f t="array" ref="F375">IF(ISNA($AA375),0,INDEX(DECLARATIONS,$AA375,7))</f>
        <v/>
      </c>
      <c r="G375" s="209" t="str">
        <f t="array" ref="G375">UPPER(IF(ISNA($AA375),"",INDEX(DECLARATIONS,$AA375,4)))</f>
        <v/>
      </c>
      <c r="H375" t="str">
        <f>IF(AND(A375&gt;0,ISTEXT(B375)),IF(SECNAME="YES",LEFT(B375&amp;" ",FIND(" ",B375&amp;" ")+2)&amp;IF(F375&gt;0," ("&amp;F375&amp;")",""),B375&amp;IF(F375&gt;0," ("&amp;F375&amp;")","")),"#"&amp;$A375)</f>
        <v/>
      </c>
      <c r="I375" s="209">
        <f>IF(LEN($A375)&gt;0,IF(LEN($J375)&gt;0,MATCH(J375,MatchNames,0),EventIndex),0)</f>
        <v>0</v>
      </c>
      <c r="J375" s="209" t="str">
        <f>IF(LEN($A375)&gt;0,IF(LEN(Declarations!$F375)&gt;0,Declarations!$F375,conftype),"")</f>
        <v/>
      </c>
      <c r="M375" s="297">
        <f>IF(ISNA(VLOOKUP($A375,SprintData,2,FALSE)),0,VLOOKUP($A375,SprintData,2,FALSE))</f>
        <v>0</v>
      </c>
      <c r="N375" s="297">
        <f>IF(ISNA(VLOOKUP($A375,JumpData,2,FALSE)),0,VLOOKUP($A375,JumpData,2,FALSE))</f>
        <v>0</v>
      </c>
      <c r="O375" s="297">
        <f>IF(ISNA(VLOOKUP($A375,RunData,2,FALSE)),0,VLOOKUP($A375,RunData,2,FALSE))</f>
        <v>0</v>
      </c>
      <c r="P375" s="297">
        <f>IF(ISNA(VLOOKUP($A375,ThrowData,2,FALSE)),0,VLOOKUP($A375,ThrowData,2,FALSE))</f>
        <v>0</v>
      </c>
      <c r="Q375" s="298">
        <f>IF(ISNA(VLOOKUP($A375,SprintData,4,FALSE)),0,VLOOKUP($A375,SprintData,4,FALSE))+V375</f>
        <v>0</v>
      </c>
      <c r="R375" s="298">
        <f>IF(ISNA(VLOOKUP($A375,JumpData,4,FALSE)),0,VLOOKUP($A375,JumpData,4,FALSE))+W375</f>
        <v>0</v>
      </c>
      <c r="S375" s="298">
        <f>IF(ISNA(VLOOKUP($A375,RunData,4,FALSE)),0,VLOOKUP($A375,RunData,4,FALSE))+X375</f>
        <v>0</v>
      </c>
      <c r="T375" s="298">
        <f>IF(ISNA(VLOOKUP($A375,ThrowData,4,FALSE)),0,VLOOKUP($A375,ThrowData,4,FALSE))+Y375</f>
        <v>0</v>
      </c>
      <c r="U375" s="299">
        <f t="shared" si="2"/>
        <v>0</v>
      </c>
      <c r="V375">
        <f>IF(AND($F375&gt;0,NOT(M375),Flexing),FlexPC,0)</f>
        <v>0</v>
      </c>
      <c r="W375">
        <f>IF(AND($F375&gt;0,NOT(N375),Flexing),FlexPC,0)</f>
        <v>0</v>
      </c>
      <c r="X375">
        <f>IF(AND($F375&gt;0,NOT(O375),Flexing),FlexPC,0)</f>
        <v>0</v>
      </c>
      <c r="Y375">
        <f>IF(AND($F375&gt;0,NOT(P375),Flexing),FlexPC,0)</f>
        <v>0</v>
      </c>
      <c r="AA375" s="209">
        <f t="shared" si="3"/>
        <v>374</v>
      </c>
    </row>
    <row r="376" ht="15.75" customHeight="1">
      <c r="A376" s="206" t="str">
        <f>+Declarations!A376&amp;""</f>
        <v/>
      </c>
      <c r="B376" t="str">
        <f>IF(LEN($A376),IF(LEN(Declarations!$B376)&gt;0,Declarations!$B376,"#"&amp;$A376),"")</f>
        <v/>
      </c>
      <c r="C376" s="209" t="str">
        <f t="array" ref="C376">IF(LEN(INDEX(DECLARATIONS,$AA376,3))&gt;0,INDEX(DECLARATIONS,$AA376,3),"...")</f>
        <v>...</v>
      </c>
      <c r="D376" s="209" t="str">
        <f t="shared" si="1"/>
        <v/>
      </c>
      <c r="E376" s="296" t="str">
        <f t="array" ref="E376">IF(ISNA($AA376),0,INDEX(DECLARATIONS,$AA376,5))</f>
        <v/>
      </c>
      <c r="F376" s="209" t="str">
        <f t="array" ref="F376">IF(ISNA($AA376),0,INDEX(DECLARATIONS,$AA376,7))</f>
        <v/>
      </c>
      <c r="G376" s="209" t="str">
        <f t="array" ref="G376">UPPER(IF(ISNA($AA376),"",INDEX(DECLARATIONS,$AA376,4)))</f>
        <v/>
      </c>
      <c r="H376" t="str">
        <f>IF(AND(A376&gt;0,ISTEXT(B376)),IF(SECNAME="YES",LEFT(B376&amp;" ",FIND(" ",B376&amp;" ")+2)&amp;IF(F376&gt;0," ("&amp;F376&amp;")",""),B376&amp;IF(F376&gt;0," ("&amp;F376&amp;")","")),"#"&amp;$A376)</f>
        <v/>
      </c>
      <c r="I376" s="209">
        <f>IF(LEN($A376)&gt;0,IF(LEN($J376)&gt;0,MATCH(J376,MatchNames,0),EventIndex),0)</f>
        <v>0</v>
      </c>
      <c r="J376" s="209" t="str">
        <f>IF(LEN($A376)&gt;0,IF(LEN(Declarations!$F376)&gt;0,Declarations!$F376,conftype),"")</f>
        <v/>
      </c>
      <c r="M376" s="297">
        <f>IF(ISNA(VLOOKUP($A376,SprintData,2,FALSE)),0,VLOOKUP($A376,SprintData,2,FALSE))</f>
        <v>0</v>
      </c>
      <c r="N376" s="297">
        <f>IF(ISNA(VLOOKUP($A376,JumpData,2,FALSE)),0,VLOOKUP($A376,JumpData,2,FALSE))</f>
        <v>0</v>
      </c>
      <c r="O376" s="297">
        <f>IF(ISNA(VLOOKUP($A376,RunData,2,FALSE)),0,VLOOKUP($A376,RunData,2,FALSE))</f>
        <v>0</v>
      </c>
      <c r="P376" s="297">
        <f>IF(ISNA(VLOOKUP($A376,ThrowData,2,FALSE)),0,VLOOKUP($A376,ThrowData,2,FALSE))</f>
        <v>0</v>
      </c>
      <c r="Q376" s="298">
        <f>IF(ISNA(VLOOKUP($A376,SprintData,4,FALSE)),0,VLOOKUP($A376,SprintData,4,FALSE))+V376</f>
        <v>0</v>
      </c>
      <c r="R376" s="298">
        <f>IF(ISNA(VLOOKUP($A376,JumpData,4,FALSE)),0,VLOOKUP($A376,JumpData,4,FALSE))+W376</f>
        <v>0</v>
      </c>
      <c r="S376" s="298">
        <f>IF(ISNA(VLOOKUP($A376,RunData,4,FALSE)),0,VLOOKUP($A376,RunData,4,FALSE))+X376</f>
        <v>0</v>
      </c>
      <c r="T376" s="298">
        <f>IF(ISNA(VLOOKUP($A376,ThrowData,4,FALSE)),0,VLOOKUP($A376,ThrowData,4,FALSE))+Y376</f>
        <v>0</v>
      </c>
      <c r="U376" s="299">
        <f t="shared" si="2"/>
        <v>0</v>
      </c>
      <c r="V376">
        <f>IF(AND($F376&gt;0,NOT(M376),Flexing),FlexPC,0)</f>
        <v>0</v>
      </c>
      <c r="W376">
        <f>IF(AND($F376&gt;0,NOT(N376),Flexing),FlexPC,0)</f>
        <v>0</v>
      </c>
      <c r="X376">
        <f>IF(AND($F376&gt;0,NOT(O376),Flexing),FlexPC,0)</f>
        <v>0</v>
      </c>
      <c r="Y376">
        <f>IF(AND($F376&gt;0,NOT(P376),Flexing),FlexPC,0)</f>
        <v>0</v>
      </c>
      <c r="AA376" s="209">
        <f t="shared" si="3"/>
        <v>375</v>
      </c>
    </row>
    <row r="377" ht="15.75" customHeight="1">
      <c r="A377" s="206" t="str">
        <f>+Declarations!A377&amp;""</f>
        <v/>
      </c>
      <c r="B377" t="str">
        <f>IF(LEN($A377),IF(LEN(Declarations!$B377)&gt;0,Declarations!$B377,"#"&amp;$A377),"")</f>
        <v/>
      </c>
      <c r="C377" s="209" t="str">
        <f t="array" ref="C377">IF(LEN(INDEX(DECLARATIONS,$AA377,3))&gt;0,INDEX(DECLARATIONS,$AA377,3),"...")</f>
        <v>...</v>
      </c>
      <c r="D377" s="209" t="str">
        <f t="shared" si="1"/>
        <v/>
      </c>
      <c r="E377" s="296" t="str">
        <f t="array" ref="E377">IF(ISNA($AA377),0,INDEX(DECLARATIONS,$AA377,5))</f>
        <v/>
      </c>
      <c r="F377" s="209" t="str">
        <f t="array" ref="F377">IF(ISNA($AA377),0,INDEX(DECLARATIONS,$AA377,7))</f>
        <v/>
      </c>
      <c r="G377" s="209" t="str">
        <f t="array" ref="G377">UPPER(IF(ISNA($AA377),"",INDEX(DECLARATIONS,$AA377,4)))</f>
        <v/>
      </c>
      <c r="H377" t="str">
        <f>IF(AND(A377&gt;0,ISTEXT(B377)),IF(SECNAME="YES",LEFT(B377&amp;" ",FIND(" ",B377&amp;" ")+2)&amp;IF(F377&gt;0," ("&amp;F377&amp;")",""),B377&amp;IF(F377&gt;0," ("&amp;F377&amp;")","")),"#"&amp;$A377)</f>
        <v/>
      </c>
      <c r="I377" s="209">
        <f>IF(LEN($A377)&gt;0,IF(LEN($J377)&gt;0,MATCH(J377,MatchNames,0),EventIndex),0)</f>
        <v>0</v>
      </c>
      <c r="J377" s="209" t="str">
        <f>IF(LEN($A377)&gt;0,IF(LEN(Declarations!$F377)&gt;0,Declarations!$F377,conftype),"")</f>
        <v/>
      </c>
      <c r="M377" s="297">
        <f>IF(ISNA(VLOOKUP($A377,SprintData,2,FALSE)),0,VLOOKUP($A377,SprintData,2,FALSE))</f>
        <v>0</v>
      </c>
      <c r="N377" s="297">
        <f>IF(ISNA(VLOOKUP($A377,JumpData,2,FALSE)),0,VLOOKUP($A377,JumpData,2,FALSE))</f>
        <v>0</v>
      </c>
      <c r="O377" s="297">
        <f>IF(ISNA(VLOOKUP($A377,RunData,2,FALSE)),0,VLOOKUP($A377,RunData,2,FALSE))</f>
        <v>0</v>
      </c>
      <c r="P377" s="297">
        <f>IF(ISNA(VLOOKUP($A377,ThrowData,2,FALSE)),0,VLOOKUP($A377,ThrowData,2,FALSE))</f>
        <v>0</v>
      </c>
      <c r="Q377" s="298">
        <f>IF(ISNA(VLOOKUP($A377,SprintData,4,FALSE)),0,VLOOKUP($A377,SprintData,4,FALSE))+V377</f>
        <v>0</v>
      </c>
      <c r="R377" s="298">
        <f>IF(ISNA(VLOOKUP($A377,JumpData,4,FALSE)),0,VLOOKUP($A377,JumpData,4,FALSE))+W377</f>
        <v>0</v>
      </c>
      <c r="S377" s="298">
        <f>IF(ISNA(VLOOKUP($A377,RunData,4,FALSE)),0,VLOOKUP($A377,RunData,4,FALSE))+X377</f>
        <v>0</v>
      </c>
      <c r="T377" s="298">
        <f>IF(ISNA(VLOOKUP($A377,ThrowData,4,FALSE)),0,VLOOKUP($A377,ThrowData,4,FALSE))+Y377</f>
        <v>0</v>
      </c>
      <c r="U377" s="299">
        <f t="shared" si="2"/>
        <v>0</v>
      </c>
      <c r="V377">
        <f>IF(AND($F377&gt;0,NOT(M377),Flexing),FlexPC,0)</f>
        <v>0</v>
      </c>
      <c r="W377">
        <f>IF(AND($F377&gt;0,NOT(N377),Flexing),FlexPC,0)</f>
        <v>0</v>
      </c>
      <c r="X377">
        <f>IF(AND($F377&gt;0,NOT(O377),Flexing),FlexPC,0)</f>
        <v>0</v>
      </c>
      <c r="Y377">
        <f>IF(AND($F377&gt;0,NOT(P377),Flexing),FlexPC,0)</f>
        <v>0</v>
      </c>
      <c r="AA377" s="209">
        <f t="shared" si="3"/>
        <v>376</v>
      </c>
    </row>
    <row r="378" ht="15.75" customHeight="1">
      <c r="A378" s="206" t="str">
        <f>+Declarations!A378&amp;""</f>
        <v/>
      </c>
      <c r="B378" t="str">
        <f>IF(LEN($A378),IF(LEN(Declarations!$B378)&gt;0,Declarations!$B378,"#"&amp;$A378),"")</f>
        <v/>
      </c>
      <c r="C378" s="209" t="str">
        <f t="array" ref="C378">IF(LEN(INDEX(DECLARATIONS,$AA378,3))&gt;0,INDEX(DECLARATIONS,$AA378,3),"...")</f>
        <v>...</v>
      </c>
      <c r="D378" s="209" t="str">
        <f t="shared" si="1"/>
        <v/>
      </c>
      <c r="E378" s="296" t="str">
        <f t="array" ref="E378">IF(ISNA($AA378),0,INDEX(DECLARATIONS,$AA378,5))</f>
        <v/>
      </c>
      <c r="F378" s="209" t="str">
        <f t="array" ref="F378">IF(ISNA($AA378),0,INDEX(DECLARATIONS,$AA378,7))</f>
        <v/>
      </c>
      <c r="G378" s="209" t="str">
        <f t="array" ref="G378">UPPER(IF(ISNA($AA378),"",INDEX(DECLARATIONS,$AA378,4)))</f>
        <v/>
      </c>
      <c r="H378" t="str">
        <f>IF(AND(A378&gt;0,ISTEXT(B378)),IF(SECNAME="YES",LEFT(B378&amp;" ",FIND(" ",B378&amp;" ")+2)&amp;IF(F378&gt;0," ("&amp;F378&amp;")",""),B378&amp;IF(F378&gt;0," ("&amp;F378&amp;")","")),"#"&amp;$A378)</f>
        <v/>
      </c>
      <c r="I378" s="209">
        <f>IF(LEN($A378)&gt;0,IF(LEN($J378)&gt;0,MATCH(J378,MatchNames,0),EventIndex),0)</f>
        <v>0</v>
      </c>
      <c r="J378" s="209" t="str">
        <f>IF(LEN($A378)&gt;0,IF(LEN(Declarations!$F378)&gt;0,Declarations!$F378,conftype),"")</f>
        <v/>
      </c>
      <c r="M378" s="297">
        <f>IF(ISNA(VLOOKUP($A378,SprintData,2,FALSE)),0,VLOOKUP($A378,SprintData,2,FALSE))</f>
        <v>0</v>
      </c>
      <c r="N378" s="297">
        <f>IF(ISNA(VLOOKUP($A378,JumpData,2,FALSE)),0,VLOOKUP($A378,JumpData,2,FALSE))</f>
        <v>0</v>
      </c>
      <c r="O378" s="297">
        <f>IF(ISNA(VLOOKUP($A378,RunData,2,FALSE)),0,VLOOKUP($A378,RunData,2,FALSE))</f>
        <v>0</v>
      </c>
      <c r="P378" s="297">
        <f>IF(ISNA(VLOOKUP($A378,ThrowData,2,FALSE)),0,VLOOKUP($A378,ThrowData,2,FALSE))</f>
        <v>0</v>
      </c>
      <c r="Q378" s="298">
        <f>IF(ISNA(VLOOKUP($A378,SprintData,4,FALSE)),0,VLOOKUP($A378,SprintData,4,FALSE))+V378</f>
        <v>0</v>
      </c>
      <c r="R378" s="298">
        <f>IF(ISNA(VLOOKUP($A378,JumpData,4,FALSE)),0,VLOOKUP($A378,JumpData,4,FALSE))+W378</f>
        <v>0</v>
      </c>
      <c r="S378" s="298">
        <f>IF(ISNA(VLOOKUP($A378,RunData,4,FALSE)),0,VLOOKUP($A378,RunData,4,FALSE))+X378</f>
        <v>0</v>
      </c>
      <c r="T378" s="298">
        <f>IF(ISNA(VLOOKUP($A378,ThrowData,4,FALSE)),0,VLOOKUP($A378,ThrowData,4,FALSE))+Y378</f>
        <v>0</v>
      </c>
      <c r="U378" s="299">
        <f t="shared" si="2"/>
        <v>0</v>
      </c>
      <c r="V378">
        <f>IF(AND($F378&gt;0,NOT(M378),Flexing),FlexPC,0)</f>
        <v>0</v>
      </c>
      <c r="W378">
        <f>IF(AND($F378&gt;0,NOT(N378),Flexing),FlexPC,0)</f>
        <v>0</v>
      </c>
      <c r="X378">
        <f>IF(AND($F378&gt;0,NOT(O378),Flexing),FlexPC,0)</f>
        <v>0</v>
      </c>
      <c r="Y378">
        <f>IF(AND($F378&gt;0,NOT(P378),Flexing),FlexPC,0)</f>
        <v>0</v>
      </c>
      <c r="AA378" s="209">
        <f t="shared" si="3"/>
        <v>377</v>
      </c>
    </row>
    <row r="379" ht="15.75" customHeight="1">
      <c r="A379" s="206" t="str">
        <f>+Declarations!A379&amp;""</f>
        <v/>
      </c>
      <c r="B379" t="str">
        <f>IF(LEN($A379),IF(LEN(Declarations!$B379)&gt;0,Declarations!$B379,"#"&amp;$A379),"")</f>
        <v/>
      </c>
      <c r="C379" s="209" t="str">
        <f t="array" ref="C379">IF(LEN(INDEX(DECLARATIONS,$AA379,3))&gt;0,INDEX(DECLARATIONS,$AA379,3),"...")</f>
        <v>...</v>
      </c>
      <c r="D379" s="209" t="str">
        <f t="shared" si="1"/>
        <v/>
      </c>
      <c r="E379" s="296" t="str">
        <f t="array" ref="E379">IF(ISNA($AA379),0,INDEX(DECLARATIONS,$AA379,5))</f>
        <v/>
      </c>
      <c r="F379" s="209" t="str">
        <f t="array" ref="F379">IF(ISNA($AA379),0,INDEX(DECLARATIONS,$AA379,7))</f>
        <v/>
      </c>
      <c r="G379" s="209" t="str">
        <f t="array" ref="G379">UPPER(IF(ISNA($AA379),"",INDEX(DECLARATIONS,$AA379,4)))</f>
        <v/>
      </c>
      <c r="H379" t="str">
        <f>IF(AND(A379&gt;0,ISTEXT(B379)),IF(SECNAME="YES",LEFT(B379&amp;" ",FIND(" ",B379&amp;" ")+2)&amp;IF(F379&gt;0," ("&amp;F379&amp;")",""),B379&amp;IF(F379&gt;0," ("&amp;F379&amp;")","")),"#"&amp;$A379)</f>
        <v/>
      </c>
      <c r="I379" s="209">
        <f>IF(LEN($A379)&gt;0,IF(LEN($J379)&gt;0,MATCH(J379,MatchNames,0),EventIndex),0)</f>
        <v>0</v>
      </c>
      <c r="J379" s="209" t="str">
        <f>IF(LEN($A379)&gt;0,IF(LEN(Declarations!$F379)&gt;0,Declarations!$F379,conftype),"")</f>
        <v/>
      </c>
      <c r="M379" s="297">
        <f>IF(ISNA(VLOOKUP($A379,SprintData,2,FALSE)),0,VLOOKUP($A379,SprintData,2,FALSE))</f>
        <v>0</v>
      </c>
      <c r="N379" s="297">
        <f>IF(ISNA(VLOOKUP($A379,JumpData,2,FALSE)),0,VLOOKUP($A379,JumpData,2,FALSE))</f>
        <v>0</v>
      </c>
      <c r="O379" s="297">
        <f>IF(ISNA(VLOOKUP($A379,RunData,2,FALSE)),0,VLOOKUP($A379,RunData,2,FALSE))</f>
        <v>0</v>
      </c>
      <c r="P379" s="297">
        <f>IF(ISNA(VLOOKUP($A379,ThrowData,2,FALSE)),0,VLOOKUP($A379,ThrowData,2,FALSE))</f>
        <v>0</v>
      </c>
      <c r="Q379" s="298">
        <f>IF(ISNA(VLOOKUP($A379,SprintData,4,FALSE)),0,VLOOKUP($A379,SprintData,4,FALSE))+V379</f>
        <v>0</v>
      </c>
      <c r="R379" s="298">
        <f>IF(ISNA(VLOOKUP($A379,JumpData,4,FALSE)),0,VLOOKUP($A379,JumpData,4,FALSE))+W379</f>
        <v>0</v>
      </c>
      <c r="S379" s="298">
        <f>IF(ISNA(VLOOKUP($A379,RunData,4,FALSE)),0,VLOOKUP($A379,RunData,4,FALSE))+X379</f>
        <v>0</v>
      </c>
      <c r="T379" s="298">
        <f>IF(ISNA(VLOOKUP($A379,ThrowData,4,FALSE)),0,VLOOKUP($A379,ThrowData,4,FALSE))+Y379</f>
        <v>0</v>
      </c>
      <c r="U379" s="299">
        <f t="shared" si="2"/>
        <v>0</v>
      </c>
      <c r="V379">
        <f>IF(AND($F379&gt;0,NOT(M379),Flexing),FlexPC,0)</f>
        <v>0</v>
      </c>
      <c r="W379">
        <f>IF(AND($F379&gt;0,NOT(N379),Flexing),FlexPC,0)</f>
        <v>0</v>
      </c>
      <c r="X379">
        <f>IF(AND($F379&gt;0,NOT(O379),Flexing),FlexPC,0)</f>
        <v>0</v>
      </c>
      <c r="Y379">
        <f>IF(AND($F379&gt;0,NOT(P379),Flexing),FlexPC,0)</f>
        <v>0</v>
      </c>
      <c r="AA379" s="209">
        <f t="shared" si="3"/>
        <v>378</v>
      </c>
    </row>
    <row r="380" ht="15.75" customHeight="1">
      <c r="A380" s="206" t="str">
        <f>+Declarations!A380&amp;""</f>
        <v/>
      </c>
      <c r="B380" t="str">
        <f>IF(LEN($A380),IF(LEN(Declarations!$B380)&gt;0,Declarations!$B380,"#"&amp;$A380),"")</f>
        <v/>
      </c>
      <c r="C380" s="209" t="str">
        <f t="array" ref="C380">IF(LEN(INDEX(DECLARATIONS,$AA380,3))&gt;0,INDEX(DECLARATIONS,$AA380,3),"...")</f>
        <v>...</v>
      </c>
      <c r="D380" s="209" t="str">
        <f t="shared" si="1"/>
        <v/>
      </c>
      <c r="E380" s="296" t="str">
        <f t="array" ref="E380">IF(ISNA($AA380),0,INDEX(DECLARATIONS,$AA380,5))</f>
        <v/>
      </c>
      <c r="F380" s="209" t="str">
        <f t="array" ref="F380">IF(ISNA($AA380),0,INDEX(DECLARATIONS,$AA380,7))</f>
        <v/>
      </c>
      <c r="G380" s="209" t="str">
        <f t="array" ref="G380">UPPER(IF(ISNA($AA380),"",INDEX(DECLARATIONS,$AA380,4)))</f>
        <v/>
      </c>
      <c r="H380" t="str">
        <f>IF(AND(A380&gt;0,ISTEXT(B380)),IF(SECNAME="YES",LEFT(B380&amp;" ",FIND(" ",B380&amp;" ")+2)&amp;IF(F380&gt;0," ("&amp;F380&amp;")",""),B380&amp;IF(F380&gt;0," ("&amp;F380&amp;")","")),"#"&amp;$A380)</f>
        <v/>
      </c>
      <c r="I380" s="209">
        <f>IF(LEN($A380)&gt;0,IF(LEN($J380)&gt;0,MATCH(J380,MatchNames,0),EventIndex),0)</f>
        <v>0</v>
      </c>
      <c r="J380" s="209" t="str">
        <f>IF(LEN($A380)&gt;0,IF(LEN(Declarations!$F380)&gt;0,Declarations!$F380,conftype),"")</f>
        <v/>
      </c>
      <c r="M380" s="297">
        <f>IF(ISNA(VLOOKUP($A380,SprintData,2,FALSE)),0,VLOOKUP($A380,SprintData,2,FALSE))</f>
        <v>0</v>
      </c>
      <c r="N380" s="297">
        <f>IF(ISNA(VLOOKUP($A380,JumpData,2,FALSE)),0,VLOOKUP($A380,JumpData,2,FALSE))</f>
        <v>0</v>
      </c>
      <c r="O380" s="297">
        <f>IF(ISNA(VLOOKUP($A380,RunData,2,FALSE)),0,VLOOKUP($A380,RunData,2,FALSE))</f>
        <v>0</v>
      </c>
      <c r="P380" s="297">
        <f>IF(ISNA(VLOOKUP($A380,ThrowData,2,FALSE)),0,VLOOKUP($A380,ThrowData,2,FALSE))</f>
        <v>0</v>
      </c>
      <c r="Q380" s="298">
        <f>IF(ISNA(VLOOKUP($A380,SprintData,4,FALSE)),0,VLOOKUP($A380,SprintData,4,FALSE))+V380</f>
        <v>0</v>
      </c>
      <c r="R380" s="298">
        <f>IF(ISNA(VLOOKUP($A380,JumpData,4,FALSE)),0,VLOOKUP($A380,JumpData,4,FALSE))+W380</f>
        <v>0</v>
      </c>
      <c r="S380" s="298">
        <f>IF(ISNA(VLOOKUP($A380,RunData,4,FALSE)),0,VLOOKUP($A380,RunData,4,FALSE))+X380</f>
        <v>0</v>
      </c>
      <c r="T380" s="298">
        <f>IF(ISNA(VLOOKUP($A380,ThrowData,4,FALSE)),0,VLOOKUP($A380,ThrowData,4,FALSE))+Y380</f>
        <v>0</v>
      </c>
      <c r="U380" s="299">
        <f t="shared" si="2"/>
        <v>0</v>
      </c>
      <c r="V380">
        <f>IF(AND($F380&gt;0,NOT(M380),Flexing),FlexPC,0)</f>
        <v>0</v>
      </c>
      <c r="W380">
        <f>IF(AND($F380&gt;0,NOT(N380),Flexing),FlexPC,0)</f>
        <v>0</v>
      </c>
      <c r="X380">
        <f>IF(AND($F380&gt;0,NOT(O380),Flexing),FlexPC,0)</f>
        <v>0</v>
      </c>
      <c r="Y380">
        <f>IF(AND($F380&gt;0,NOT(P380),Flexing),FlexPC,0)</f>
        <v>0</v>
      </c>
      <c r="AA380" s="209">
        <f t="shared" si="3"/>
        <v>379</v>
      </c>
    </row>
    <row r="381" ht="15.75" customHeight="1">
      <c r="A381" s="206" t="str">
        <f>+Declarations!A381&amp;""</f>
        <v/>
      </c>
      <c r="B381" t="str">
        <f>IF(LEN($A381),IF(LEN(Declarations!$B381)&gt;0,Declarations!$B381,"#"&amp;$A381),"")</f>
        <v/>
      </c>
      <c r="C381" s="209" t="str">
        <f t="array" ref="C381">IF(LEN(INDEX(DECLARATIONS,$AA381,3))&gt;0,INDEX(DECLARATIONS,$AA381,3),"...")</f>
        <v>...</v>
      </c>
      <c r="D381" s="209" t="str">
        <f t="shared" si="1"/>
        <v/>
      </c>
      <c r="E381" s="296" t="str">
        <f t="array" ref="E381">IF(ISNA($AA381),0,INDEX(DECLARATIONS,$AA381,5))</f>
        <v/>
      </c>
      <c r="F381" s="209" t="str">
        <f t="array" ref="F381">IF(ISNA($AA381),0,INDEX(DECLARATIONS,$AA381,7))</f>
        <v/>
      </c>
      <c r="G381" s="209" t="str">
        <f t="array" ref="G381">UPPER(IF(ISNA($AA381),"",INDEX(DECLARATIONS,$AA381,4)))</f>
        <v/>
      </c>
      <c r="H381" t="str">
        <f>IF(AND(A381&gt;0,ISTEXT(B381)),IF(SECNAME="YES",LEFT(B381&amp;" ",FIND(" ",B381&amp;" ")+2)&amp;IF(F381&gt;0," ("&amp;F381&amp;")",""),B381&amp;IF(F381&gt;0," ("&amp;F381&amp;")","")),"#"&amp;$A381)</f>
        <v/>
      </c>
      <c r="I381" s="209">
        <f>IF(LEN($A381)&gt;0,IF(LEN($J381)&gt;0,MATCH(J381,MatchNames,0),EventIndex),0)</f>
        <v>0</v>
      </c>
      <c r="J381" s="209" t="str">
        <f>IF(LEN($A381)&gt;0,IF(LEN(Declarations!$F381)&gt;0,Declarations!$F381,conftype),"")</f>
        <v/>
      </c>
      <c r="M381" s="297">
        <f>IF(ISNA(VLOOKUP($A381,SprintData,2,FALSE)),0,VLOOKUP($A381,SprintData,2,FALSE))</f>
        <v>0</v>
      </c>
      <c r="N381" s="297">
        <f>IF(ISNA(VLOOKUP($A381,JumpData,2,FALSE)),0,VLOOKUP($A381,JumpData,2,FALSE))</f>
        <v>0</v>
      </c>
      <c r="O381" s="297">
        <f>IF(ISNA(VLOOKUP($A381,RunData,2,FALSE)),0,VLOOKUP($A381,RunData,2,FALSE))</f>
        <v>0</v>
      </c>
      <c r="P381" s="297">
        <f>IF(ISNA(VLOOKUP($A381,ThrowData,2,FALSE)),0,VLOOKUP($A381,ThrowData,2,FALSE))</f>
        <v>0</v>
      </c>
      <c r="Q381" s="298">
        <f>IF(ISNA(VLOOKUP($A381,SprintData,4,FALSE)),0,VLOOKUP($A381,SprintData,4,FALSE))+V381</f>
        <v>0</v>
      </c>
      <c r="R381" s="298">
        <f>IF(ISNA(VLOOKUP($A381,JumpData,4,FALSE)),0,VLOOKUP($A381,JumpData,4,FALSE))+W381</f>
        <v>0</v>
      </c>
      <c r="S381" s="298">
        <f>IF(ISNA(VLOOKUP($A381,RunData,4,FALSE)),0,VLOOKUP($A381,RunData,4,FALSE))+X381</f>
        <v>0</v>
      </c>
      <c r="T381" s="298">
        <f>IF(ISNA(VLOOKUP($A381,ThrowData,4,FALSE)),0,VLOOKUP($A381,ThrowData,4,FALSE))+Y381</f>
        <v>0</v>
      </c>
      <c r="U381" s="299">
        <f t="shared" si="2"/>
        <v>0</v>
      </c>
      <c r="V381">
        <f>IF(AND($F381&gt;0,NOT(M381),Flexing),FlexPC,0)</f>
        <v>0</v>
      </c>
      <c r="W381">
        <f>IF(AND($F381&gt;0,NOT(N381),Flexing),FlexPC,0)</f>
        <v>0</v>
      </c>
      <c r="X381">
        <f>IF(AND($F381&gt;0,NOT(O381),Flexing),FlexPC,0)</f>
        <v>0</v>
      </c>
      <c r="Y381">
        <f>IF(AND($F381&gt;0,NOT(P381),Flexing),FlexPC,0)</f>
        <v>0</v>
      </c>
      <c r="AA381" s="209">
        <f t="shared" si="3"/>
        <v>380</v>
      </c>
    </row>
    <row r="382" ht="15.75" customHeight="1">
      <c r="A382" s="206" t="str">
        <f>+Declarations!A382&amp;""</f>
        <v/>
      </c>
      <c r="B382" t="str">
        <f>IF(LEN($A382),IF(LEN(Declarations!$B382)&gt;0,Declarations!$B382,"#"&amp;$A382),"")</f>
        <v/>
      </c>
      <c r="C382" s="209" t="str">
        <f t="array" ref="C382">IF(LEN(INDEX(DECLARATIONS,$AA382,3))&gt;0,INDEX(DECLARATIONS,$AA382,3),"...")</f>
        <v>...</v>
      </c>
      <c r="D382" s="209" t="str">
        <f t="shared" si="1"/>
        <v/>
      </c>
      <c r="E382" s="296" t="str">
        <f t="array" ref="E382">IF(ISNA($AA382),0,INDEX(DECLARATIONS,$AA382,5))</f>
        <v/>
      </c>
      <c r="F382" s="209" t="str">
        <f t="array" ref="F382">IF(ISNA($AA382),0,INDEX(DECLARATIONS,$AA382,7))</f>
        <v/>
      </c>
      <c r="G382" s="209" t="str">
        <f t="array" ref="G382">UPPER(IF(ISNA($AA382),"",INDEX(DECLARATIONS,$AA382,4)))</f>
        <v/>
      </c>
      <c r="H382" t="str">
        <f>IF(AND(A382&gt;0,ISTEXT(B382)),IF(SECNAME="YES",LEFT(B382&amp;" ",FIND(" ",B382&amp;" ")+2)&amp;IF(F382&gt;0," ("&amp;F382&amp;")",""),B382&amp;IF(F382&gt;0," ("&amp;F382&amp;")","")),"#"&amp;$A382)</f>
        <v/>
      </c>
      <c r="I382" s="209">
        <f>IF(LEN($A382)&gt;0,IF(LEN($J382)&gt;0,MATCH(J382,MatchNames,0),EventIndex),0)</f>
        <v>0</v>
      </c>
      <c r="J382" s="209" t="str">
        <f>IF(LEN($A382)&gt;0,IF(LEN(Declarations!$F382)&gt;0,Declarations!$F382,conftype),"")</f>
        <v/>
      </c>
      <c r="M382" s="297">
        <f>IF(ISNA(VLOOKUP($A382,SprintData,2,FALSE)),0,VLOOKUP($A382,SprintData,2,FALSE))</f>
        <v>0</v>
      </c>
      <c r="N382" s="297">
        <f>IF(ISNA(VLOOKUP($A382,JumpData,2,FALSE)),0,VLOOKUP($A382,JumpData,2,FALSE))</f>
        <v>0</v>
      </c>
      <c r="O382" s="297">
        <f>IF(ISNA(VLOOKUP($A382,RunData,2,FALSE)),0,VLOOKUP($A382,RunData,2,FALSE))</f>
        <v>0</v>
      </c>
      <c r="P382" s="297">
        <f>IF(ISNA(VLOOKUP($A382,ThrowData,2,FALSE)),0,VLOOKUP($A382,ThrowData,2,FALSE))</f>
        <v>0</v>
      </c>
      <c r="Q382" s="298">
        <f>IF(ISNA(VLOOKUP($A382,SprintData,4,FALSE)),0,VLOOKUP($A382,SprintData,4,FALSE))+V382</f>
        <v>0</v>
      </c>
      <c r="R382" s="298">
        <f>IF(ISNA(VLOOKUP($A382,JumpData,4,FALSE)),0,VLOOKUP($A382,JumpData,4,FALSE))+W382</f>
        <v>0</v>
      </c>
      <c r="S382" s="298">
        <f>IF(ISNA(VLOOKUP($A382,RunData,4,FALSE)),0,VLOOKUP($A382,RunData,4,FALSE))+X382</f>
        <v>0</v>
      </c>
      <c r="T382" s="298">
        <f>IF(ISNA(VLOOKUP($A382,ThrowData,4,FALSE)),0,VLOOKUP($A382,ThrowData,4,FALSE))+Y382</f>
        <v>0</v>
      </c>
      <c r="U382" s="299">
        <f t="shared" si="2"/>
        <v>0</v>
      </c>
      <c r="V382">
        <f>IF(AND($F382&gt;0,NOT(M382),Flexing),FlexPC,0)</f>
        <v>0</v>
      </c>
      <c r="W382">
        <f>IF(AND($F382&gt;0,NOT(N382),Flexing),FlexPC,0)</f>
        <v>0</v>
      </c>
      <c r="X382">
        <f>IF(AND($F382&gt;0,NOT(O382),Flexing),FlexPC,0)</f>
        <v>0</v>
      </c>
      <c r="Y382">
        <f>IF(AND($F382&gt;0,NOT(P382),Flexing),FlexPC,0)</f>
        <v>0</v>
      </c>
      <c r="AA382" s="209">
        <f t="shared" si="3"/>
        <v>381</v>
      </c>
    </row>
    <row r="383" ht="15.75" customHeight="1">
      <c r="A383" s="206" t="str">
        <f>+Declarations!A383&amp;""</f>
        <v/>
      </c>
      <c r="B383" t="str">
        <f>IF(LEN($A383),IF(LEN(Declarations!$B383)&gt;0,Declarations!$B383,"#"&amp;$A383),"")</f>
        <v/>
      </c>
      <c r="C383" s="209" t="str">
        <f t="array" ref="C383">IF(LEN(INDEX(DECLARATIONS,$AA383,3))&gt;0,INDEX(DECLARATIONS,$AA383,3),"...")</f>
        <v>...</v>
      </c>
      <c r="D383" s="209" t="str">
        <f t="shared" si="1"/>
        <v/>
      </c>
      <c r="E383" s="296" t="str">
        <f t="array" ref="E383">IF(ISNA($AA383),0,INDEX(DECLARATIONS,$AA383,5))</f>
        <v/>
      </c>
      <c r="F383" s="209" t="str">
        <f t="array" ref="F383">IF(ISNA($AA383),0,INDEX(DECLARATIONS,$AA383,7))</f>
        <v/>
      </c>
      <c r="G383" s="209" t="str">
        <f t="array" ref="G383">UPPER(IF(ISNA($AA383),"",INDEX(DECLARATIONS,$AA383,4)))</f>
        <v/>
      </c>
      <c r="H383" t="str">
        <f>IF(AND(A383&gt;0,ISTEXT(B383)),IF(SECNAME="YES",LEFT(B383&amp;" ",FIND(" ",B383&amp;" ")+2)&amp;IF(F383&gt;0," ("&amp;F383&amp;")",""),B383&amp;IF(F383&gt;0," ("&amp;F383&amp;")","")),"#"&amp;$A383)</f>
        <v/>
      </c>
      <c r="I383" s="209">
        <f>IF(LEN($A383)&gt;0,IF(LEN($J383)&gt;0,MATCH(J383,MatchNames,0),EventIndex),0)</f>
        <v>0</v>
      </c>
      <c r="J383" s="209" t="str">
        <f>IF(LEN($A383)&gt;0,IF(LEN(Declarations!$F383)&gt;0,Declarations!$F383,conftype),"")</f>
        <v/>
      </c>
      <c r="M383" s="297">
        <f>IF(ISNA(VLOOKUP($A383,SprintData,2,FALSE)),0,VLOOKUP($A383,SprintData,2,FALSE))</f>
        <v>0</v>
      </c>
      <c r="N383" s="297">
        <f>IF(ISNA(VLOOKUP($A383,JumpData,2,FALSE)),0,VLOOKUP($A383,JumpData,2,FALSE))</f>
        <v>0</v>
      </c>
      <c r="O383" s="297">
        <f>IF(ISNA(VLOOKUP($A383,RunData,2,FALSE)),0,VLOOKUP($A383,RunData,2,FALSE))</f>
        <v>0</v>
      </c>
      <c r="P383" s="297">
        <f>IF(ISNA(VLOOKUP($A383,ThrowData,2,FALSE)),0,VLOOKUP($A383,ThrowData,2,FALSE))</f>
        <v>0</v>
      </c>
      <c r="Q383" s="298">
        <f>IF(ISNA(VLOOKUP($A383,SprintData,4,FALSE)),0,VLOOKUP($A383,SprintData,4,FALSE))+V383</f>
        <v>0</v>
      </c>
      <c r="R383" s="298">
        <f>IF(ISNA(VLOOKUP($A383,JumpData,4,FALSE)),0,VLOOKUP($A383,JumpData,4,FALSE))+W383</f>
        <v>0</v>
      </c>
      <c r="S383" s="298">
        <f>IF(ISNA(VLOOKUP($A383,RunData,4,FALSE)),0,VLOOKUP($A383,RunData,4,FALSE))+X383</f>
        <v>0</v>
      </c>
      <c r="T383" s="298">
        <f>IF(ISNA(VLOOKUP($A383,ThrowData,4,FALSE)),0,VLOOKUP($A383,ThrowData,4,FALSE))+Y383</f>
        <v>0</v>
      </c>
      <c r="U383" s="299">
        <f t="shared" si="2"/>
        <v>0</v>
      </c>
      <c r="V383">
        <f>IF(AND($F383&gt;0,NOT(M383),Flexing),FlexPC,0)</f>
        <v>0</v>
      </c>
      <c r="W383">
        <f>IF(AND($F383&gt;0,NOT(N383),Flexing),FlexPC,0)</f>
        <v>0</v>
      </c>
      <c r="X383">
        <f>IF(AND($F383&gt;0,NOT(O383),Flexing),FlexPC,0)</f>
        <v>0</v>
      </c>
      <c r="Y383">
        <f>IF(AND($F383&gt;0,NOT(P383),Flexing),FlexPC,0)</f>
        <v>0</v>
      </c>
      <c r="AA383" s="209">
        <f t="shared" si="3"/>
        <v>382</v>
      </c>
    </row>
    <row r="384" ht="15.75" customHeight="1">
      <c r="A384" s="206" t="str">
        <f>+Declarations!A384&amp;""</f>
        <v/>
      </c>
      <c r="B384" t="str">
        <f>IF(LEN($A384),IF(LEN(Declarations!$B384)&gt;0,Declarations!$B384,"#"&amp;$A384),"")</f>
        <v/>
      </c>
      <c r="C384" s="209" t="str">
        <f t="array" ref="C384">IF(LEN(INDEX(DECLARATIONS,$AA384,3))&gt;0,INDEX(DECLARATIONS,$AA384,3),"...")</f>
        <v>...</v>
      </c>
      <c r="D384" s="209" t="str">
        <f t="shared" si="1"/>
        <v/>
      </c>
      <c r="E384" s="296" t="str">
        <f t="array" ref="E384">IF(ISNA($AA384),0,INDEX(DECLARATIONS,$AA384,5))</f>
        <v/>
      </c>
      <c r="F384" s="209" t="str">
        <f t="array" ref="F384">IF(ISNA($AA384),0,INDEX(DECLARATIONS,$AA384,7))</f>
        <v/>
      </c>
      <c r="G384" s="209" t="str">
        <f t="array" ref="G384">UPPER(IF(ISNA($AA384),"",INDEX(DECLARATIONS,$AA384,4)))</f>
        <v/>
      </c>
      <c r="H384" t="str">
        <f>IF(AND(A384&gt;0,ISTEXT(B384)),IF(SECNAME="YES",LEFT(B384&amp;" ",FIND(" ",B384&amp;" ")+2)&amp;IF(F384&gt;0," ("&amp;F384&amp;")",""),B384&amp;IF(F384&gt;0," ("&amp;F384&amp;")","")),"#"&amp;$A384)</f>
        <v/>
      </c>
      <c r="I384" s="209">
        <f>IF(LEN($A384)&gt;0,IF(LEN($J384)&gt;0,MATCH(J384,MatchNames,0),EventIndex),0)</f>
        <v>0</v>
      </c>
      <c r="J384" s="209" t="str">
        <f>IF(LEN($A384)&gt;0,IF(LEN(Declarations!$F384)&gt;0,Declarations!$F384,conftype),"")</f>
        <v/>
      </c>
      <c r="M384" s="297">
        <f>IF(ISNA(VLOOKUP($A384,SprintData,2,FALSE)),0,VLOOKUP($A384,SprintData,2,FALSE))</f>
        <v>0</v>
      </c>
      <c r="N384" s="297">
        <f>IF(ISNA(VLOOKUP($A384,JumpData,2,FALSE)),0,VLOOKUP($A384,JumpData,2,FALSE))</f>
        <v>0</v>
      </c>
      <c r="O384" s="297">
        <f>IF(ISNA(VLOOKUP($A384,RunData,2,FALSE)),0,VLOOKUP($A384,RunData,2,FALSE))</f>
        <v>0</v>
      </c>
      <c r="P384" s="297">
        <f>IF(ISNA(VLOOKUP($A384,ThrowData,2,FALSE)),0,VLOOKUP($A384,ThrowData,2,FALSE))</f>
        <v>0</v>
      </c>
      <c r="Q384" s="298">
        <f>IF(ISNA(VLOOKUP($A384,SprintData,4,FALSE)),0,VLOOKUP($A384,SprintData,4,FALSE))+V384</f>
        <v>0</v>
      </c>
      <c r="R384" s="298">
        <f>IF(ISNA(VLOOKUP($A384,JumpData,4,FALSE)),0,VLOOKUP($A384,JumpData,4,FALSE))+W384</f>
        <v>0</v>
      </c>
      <c r="S384" s="298">
        <f>IF(ISNA(VLOOKUP($A384,RunData,4,FALSE)),0,VLOOKUP($A384,RunData,4,FALSE))+X384</f>
        <v>0</v>
      </c>
      <c r="T384" s="298">
        <f>IF(ISNA(VLOOKUP($A384,ThrowData,4,FALSE)),0,VLOOKUP($A384,ThrowData,4,FALSE))+Y384</f>
        <v>0</v>
      </c>
      <c r="U384" s="299">
        <f t="shared" si="2"/>
        <v>0</v>
      </c>
      <c r="V384">
        <f>IF(AND($F384&gt;0,NOT(M384),Flexing),FlexPC,0)</f>
        <v>0</v>
      </c>
      <c r="W384">
        <f>IF(AND($F384&gt;0,NOT(N384),Flexing),FlexPC,0)</f>
        <v>0</v>
      </c>
      <c r="X384">
        <f>IF(AND($F384&gt;0,NOT(O384),Flexing),FlexPC,0)</f>
        <v>0</v>
      </c>
      <c r="Y384">
        <f>IF(AND($F384&gt;0,NOT(P384),Flexing),FlexPC,0)</f>
        <v>0</v>
      </c>
      <c r="AA384" s="209">
        <f t="shared" si="3"/>
        <v>383</v>
      </c>
    </row>
    <row r="385" ht="15.75" customHeight="1">
      <c r="A385" s="206" t="str">
        <f>+Declarations!A385&amp;""</f>
        <v/>
      </c>
      <c r="B385" t="str">
        <f>IF(LEN($A385),IF(LEN(Declarations!$B385)&gt;0,Declarations!$B385,"#"&amp;$A385),"")</f>
        <v/>
      </c>
      <c r="C385" s="209" t="str">
        <f t="array" ref="C385">IF(LEN(INDEX(DECLARATIONS,$AA385,3))&gt;0,INDEX(DECLARATIONS,$AA385,3),"...")</f>
        <v>...</v>
      </c>
      <c r="D385" s="209" t="str">
        <f t="shared" si="1"/>
        <v/>
      </c>
      <c r="E385" s="296" t="str">
        <f t="array" ref="E385">IF(ISNA($AA385),0,INDEX(DECLARATIONS,$AA385,5))</f>
        <v/>
      </c>
      <c r="F385" s="209" t="str">
        <f t="array" ref="F385">IF(ISNA($AA385),0,INDEX(DECLARATIONS,$AA385,7))</f>
        <v/>
      </c>
      <c r="G385" s="209" t="str">
        <f t="array" ref="G385">UPPER(IF(ISNA($AA385),"",INDEX(DECLARATIONS,$AA385,4)))</f>
        <v/>
      </c>
      <c r="H385" t="str">
        <f>IF(AND(A385&gt;0,ISTEXT(B385)),IF(SECNAME="YES",LEFT(B385&amp;" ",FIND(" ",B385&amp;" ")+2)&amp;IF(F385&gt;0," ("&amp;F385&amp;")",""),B385&amp;IF(F385&gt;0," ("&amp;F385&amp;")","")),"#"&amp;$A385)</f>
        <v/>
      </c>
      <c r="I385" s="209">
        <f>IF(LEN($A385)&gt;0,IF(LEN($J385)&gt;0,MATCH(J385,MatchNames,0),EventIndex),0)</f>
        <v>0</v>
      </c>
      <c r="J385" s="209" t="str">
        <f>IF(LEN($A385)&gt;0,IF(LEN(Declarations!$F385)&gt;0,Declarations!$F385,conftype),"")</f>
        <v/>
      </c>
      <c r="M385" s="297">
        <f>IF(ISNA(VLOOKUP($A385,SprintData,2,FALSE)),0,VLOOKUP($A385,SprintData,2,FALSE))</f>
        <v>0</v>
      </c>
      <c r="N385" s="297">
        <f>IF(ISNA(VLOOKUP($A385,JumpData,2,FALSE)),0,VLOOKUP($A385,JumpData,2,FALSE))</f>
        <v>0</v>
      </c>
      <c r="O385" s="297">
        <f>IF(ISNA(VLOOKUP($A385,RunData,2,FALSE)),0,VLOOKUP($A385,RunData,2,FALSE))</f>
        <v>0</v>
      </c>
      <c r="P385" s="297">
        <f>IF(ISNA(VLOOKUP($A385,ThrowData,2,FALSE)),0,VLOOKUP($A385,ThrowData,2,FALSE))</f>
        <v>0</v>
      </c>
      <c r="Q385" s="298">
        <f>IF(ISNA(VLOOKUP($A385,SprintData,4,FALSE)),0,VLOOKUP($A385,SprintData,4,FALSE))+V385</f>
        <v>0</v>
      </c>
      <c r="R385" s="298">
        <f>IF(ISNA(VLOOKUP($A385,JumpData,4,FALSE)),0,VLOOKUP($A385,JumpData,4,FALSE))+W385</f>
        <v>0</v>
      </c>
      <c r="S385" s="298">
        <f>IF(ISNA(VLOOKUP($A385,RunData,4,FALSE)),0,VLOOKUP($A385,RunData,4,FALSE))+X385</f>
        <v>0</v>
      </c>
      <c r="T385" s="298">
        <f>IF(ISNA(VLOOKUP($A385,ThrowData,4,FALSE)),0,VLOOKUP($A385,ThrowData,4,FALSE))+Y385</f>
        <v>0</v>
      </c>
      <c r="U385" s="299">
        <f t="shared" si="2"/>
        <v>0</v>
      </c>
      <c r="V385">
        <f>IF(AND($F385&gt;0,NOT(M385),Flexing),FlexPC,0)</f>
        <v>0</v>
      </c>
      <c r="W385">
        <f>IF(AND($F385&gt;0,NOT(N385),Flexing),FlexPC,0)</f>
        <v>0</v>
      </c>
      <c r="X385">
        <f>IF(AND($F385&gt;0,NOT(O385),Flexing),FlexPC,0)</f>
        <v>0</v>
      </c>
      <c r="Y385">
        <f>IF(AND($F385&gt;0,NOT(P385),Flexing),FlexPC,0)</f>
        <v>0</v>
      </c>
      <c r="AA385" s="209">
        <f t="shared" si="3"/>
        <v>384</v>
      </c>
    </row>
    <row r="386" ht="15.75" customHeight="1">
      <c r="A386" s="206" t="str">
        <f>+Declarations!A386&amp;""</f>
        <v/>
      </c>
      <c r="B386" t="str">
        <f>IF(LEN($A386),IF(LEN(Declarations!$B386)&gt;0,Declarations!$B386,"#"&amp;$A386),"")</f>
        <v/>
      </c>
      <c r="C386" s="209" t="str">
        <f t="array" ref="C386">IF(LEN(INDEX(DECLARATIONS,$AA386,3))&gt;0,INDEX(DECLARATIONS,$AA386,3),"...")</f>
        <v>...</v>
      </c>
      <c r="D386" s="209" t="str">
        <f t="shared" si="1"/>
        <v/>
      </c>
      <c r="E386" s="296" t="str">
        <f t="array" ref="E386">IF(ISNA($AA386),0,INDEX(DECLARATIONS,$AA386,5))</f>
        <v/>
      </c>
      <c r="F386" s="209" t="str">
        <f t="array" ref="F386">IF(ISNA($AA386),0,INDEX(DECLARATIONS,$AA386,7))</f>
        <v/>
      </c>
      <c r="G386" s="209" t="str">
        <f t="array" ref="G386">UPPER(IF(ISNA($AA386),"",INDEX(DECLARATIONS,$AA386,4)))</f>
        <v/>
      </c>
      <c r="H386" t="str">
        <f>IF(AND(A386&gt;0,ISTEXT(B386)),IF(SECNAME="YES",LEFT(B386&amp;" ",FIND(" ",B386&amp;" ")+2)&amp;IF(F386&gt;0," ("&amp;F386&amp;")",""),B386&amp;IF(F386&gt;0," ("&amp;F386&amp;")","")),"#"&amp;$A386)</f>
        <v/>
      </c>
      <c r="I386" s="209">
        <f>IF(LEN($A386)&gt;0,IF(LEN($J386)&gt;0,MATCH(J386,MatchNames,0),EventIndex),0)</f>
        <v>0</v>
      </c>
      <c r="J386" s="209" t="str">
        <f>IF(LEN($A386)&gt;0,IF(LEN(Declarations!$F386)&gt;0,Declarations!$F386,conftype),"")</f>
        <v/>
      </c>
      <c r="M386" s="297">
        <f>IF(ISNA(VLOOKUP($A386,SprintData,2,FALSE)),0,VLOOKUP($A386,SprintData,2,FALSE))</f>
        <v>0</v>
      </c>
      <c r="N386" s="297">
        <f>IF(ISNA(VLOOKUP($A386,JumpData,2,FALSE)),0,VLOOKUP($A386,JumpData,2,FALSE))</f>
        <v>0</v>
      </c>
      <c r="O386" s="297">
        <f>IF(ISNA(VLOOKUP($A386,RunData,2,FALSE)),0,VLOOKUP($A386,RunData,2,FALSE))</f>
        <v>0</v>
      </c>
      <c r="P386" s="297">
        <f>IF(ISNA(VLOOKUP($A386,ThrowData,2,FALSE)),0,VLOOKUP($A386,ThrowData,2,FALSE))</f>
        <v>0</v>
      </c>
      <c r="Q386" s="298">
        <f>IF(ISNA(VLOOKUP($A386,SprintData,4,FALSE)),0,VLOOKUP($A386,SprintData,4,FALSE))+V386</f>
        <v>0</v>
      </c>
      <c r="R386" s="298">
        <f>IF(ISNA(VLOOKUP($A386,JumpData,4,FALSE)),0,VLOOKUP($A386,JumpData,4,FALSE))+W386</f>
        <v>0</v>
      </c>
      <c r="S386" s="298">
        <f>IF(ISNA(VLOOKUP($A386,RunData,4,FALSE)),0,VLOOKUP($A386,RunData,4,FALSE))+X386</f>
        <v>0</v>
      </c>
      <c r="T386" s="298">
        <f>IF(ISNA(VLOOKUP($A386,ThrowData,4,FALSE)),0,VLOOKUP($A386,ThrowData,4,FALSE))+Y386</f>
        <v>0</v>
      </c>
      <c r="U386" s="299">
        <f t="shared" si="2"/>
        <v>0</v>
      </c>
      <c r="V386">
        <f>IF(AND($F386&gt;0,NOT(M386),Flexing),FlexPC,0)</f>
        <v>0</v>
      </c>
      <c r="W386">
        <f>IF(AND($F386&gt;0,NOT(N386),Flexing),FlexPC,0)</f>
        <v>0</v>
      </c>
      <c r="X386">
        <f>IF(AND($F386&gt;0,NOT(O386),Flexing),FlexPC,0)</f>
        <v>0</v>
      </c>
      <c r="Y386">
        <f>IF(AND($F386&gt;0,NOT(P386),Flexing),FlexPC,0)</f>
        <v>0</v>
      </c>
      <c r="AA386" s="209">
        <f t="shared" si="3"/>
        <v>385</v>
      </c>
    </row>
    <row r="387" ht="15.75" customHeight="1">
      <c r="A387" s="206" t="str">
        <f>+Declarations!A387&amp;""</f>
        <v/>
      </c>
      <c r="B387" t="str">
        <f>IF(LEN($A387),IF(LEN(Declarations!$B387)&gt;0,Declarations!$B387,"#"&amp;$A387),"")</f>
        <v/>
      </c>
      <c r="C387" s="209" t="str">
        <f t="array" ref="C387">IF(LEN(INDEX(DECLARATIONS,$AA387,3))&gt;0,INDEX(DECLARATIONS,$AA387,3),"...")</f>
        <v>...</v>
      </c>
      <c r="D387" s="209" t="str">
        <f t="shared" si="1"/>
        <v/>
      </c>
      <c r="E387" s="296" t="str">
        <f t="array" ref="E387">IF(ISNA($AA387),0,INDEX(DECLARATIONS,$AA387,5))</f>
        <v/>
      </c>
      <c r="F387" s="209" t="str">
        <f t="array" ref="F387">IF(ISNA($AA387),0,INDEX(DECLARATIONS,$AA387,7))</f>
        <v/>
      </c>
      <c r="G387" s="209" t="str">
        <f t="array" ref="G387">UPPER(IF(ISNA($AA387),"",INDEX(DECLARATIONS,$AA387,4)))</f>
        <v/>
      </c>
      <c r="H387" t="str">
        <f>IF(AND(A387&gt;0,ISTEXT(B387)),IF(SECNAME="YES",LEFT(B387&amp;" ",FIND(" ",B387&amp;" ")+2)&amp;IF(F387&gt;0," ("&amp;F387&amp;")",""),B387&amp;IF(F387&gt;0," ("&amp;F387&amp;")","")),"#"&amp;$A387)</f>
        <v/>
      </c>
      <c r="I387" s="209">
        <f>IF(LEN($A387)&gt;0,IF(LEN($J387)&gt;0,MATCH(J387,MatchNames,0),EventIndex),0)</f>
        <v>0</v>
      </c>
      <c r="J387" s="209" t="str">
        <f>IF(LEN($A387)&gt;0,IF(LEN(Declarations!$F387)&gt;0,Declarations!$F387,conftype),"")</f>
        <v/>
      </c>
      <c r="M387" s="297">
        <f>IF(ISNA(VLOOKUP($A387,SprintData,2,FALSE)),0,VLOOKUP($A387,SprintData,2,FALSE))</f>
        <v>0</v>
      </c>
      <c r="N387" s="297">
        <f>IF(ISNA(VLOOKUP($A387,JumpData,2,FALSE)),0,VLOOKUP($A387,JumpData,2,FALSE))</f>
        <v>0</v>
      </c>
      <c r="O387" s="297">
        <f>IF(ISNA(VLOOKUP($A387,RunData,2,FALSE)),0,VLOOKUP($A387,RunData,2,FALSE))</f>
        <v>0</v>
      </c>
      <c r="P387" s="297">
        <f>IF(ISNA(VLOOKUP($A387,ThrowData,2,FALSE)),0,VLOOKUP($A387,ThrowData,2,FALSE))</f>
        <v>0</v>
      </c>
      <c r="Q387" s="298">
        <f>IF(ISNA(VLOOKUP($A387,SprintData,4,FALSE)),0,VLOOKUP($A387,SprintData,4,FALSE))+V387</f>
        <v>0</v>
      </c>
      <c r="R387" s="298">
        <f>IF(ISNA(VLOOKUP($A387,JumpData,4,FALSE)),0,VLOOKUP($A387,JumpData,4,FALSE))+W387</f>
        <v>0</v>
      </c>
      <c r="S387" s="298">
        <f>IF(ISNA(VLOOKUP($A387,RunData,4,FALSE)),0,VLOOKUP($A387,RunData,4,FALSE))+X387</f>
        <v>0</v>
      </c>
      <c r="T387" s="298">
        <f>IF(ISNA(VLOOKUP($A387,ThrowData,4,FALSE)),0,VLOOKUP($A387,ThrowData,4,FALSE))+Y387</f>
        <v>0</v>
      </c>
      <c r="U387" s="299">
        <f t="shared" si="2"/>
        <v>0</v>
      </c>
      <c r="V387">
        <f>IF(AND($F387&gt;0,NOT(M387),Flexing),FlexPC,0)</f>
        <v>0</v>
      </c>
      <c r="W387">
        <f>IF(AND($F387&gt;0,NOT(N387),Flexing),FlexPC,0)</f>
        <v>0</v>
      </c>
      <c r="X387">
        <f>IF(AND($F387&gt;0,NOT(O387),Flexing),FlexPC,0)</f>
        <v>0</v>
      </c>
      <c r="Y387">
        <f>IF(AND($F387&gt;0,NOT(P387),Flexing),FlexPC,0)</f>
        <v>0</v>
      </c>
      <c r="AA387" s="209">
        <f t="shared" si="3"/>
        <v>386</v>
      </c>
    </row>
    <row r="388" ht="15.75" customHeight="1">
      <c r="A388" s="206" t="str">
        <f>+Declarations!A388&amp;""</f>
        <v/>
      </c>
      <c r="B388" t="str">
        <f>IF(LEN($A388),IF(LEN(Declarations!$B388)&gt;0,Declarations!$B388,"#"&amp;$A388),"")</f>
        <v/>
      </c>
      <c r="C388" s="209" t="str">
        <f t="array" ref="C388">IF(LEN(INDEX(DECLARATIONS,$AA388,3))&gt;0,INDEX(DECLARATIONS,$AA388,3),"...")</f>
        <v>...</v>
      </c>
      <c r="D388" s="209" t="str">
        <f t="shared" si="1"/>
        <v/>
      </c>
      <c r="E388" s="296" t="str">
        <f t="array" ref="E388">IF(ISNA($AA388),0,INDEX(DECLARATIONS,$AA388,5))</f>
        <v/>
      </c>
      <c r="F388" s="209" t="str">
        <f t="array" ref="F388">IF(ISNA($AA388),0,INDEX(DECLARATIONS,$AA388,7))</f>
        <v/>
      </c>
      <c r="G388" s="209" t="str">
        <f t="array" ref="G388">UPPER(IF(ISNA($AA388),"",INDEX(DECLARATIONS,$AA388,4)))</f>
        <v/>
      </c>
      <c r="H388" t="str">
        <f>IF(AND(A388&gt;0,ISTEXT(B388)),IF(SECNAME="YES",LEFT(B388&amp;" ",FIND(" ",B388&amp;" ")+2)&amp;IF(F388&gt;0," ("&amp;F388&amp;")",""),B388&amp;IF(F388&gt;0," ("&amp;F388&amp;")","")),"#"&amp;$A388)</f>
        <v/>
      </c>
      <c r="I388" s="209">
        <f>IF(LEN($A388)&gt;0,IF(LEN($J388)&gt;0,MATCH(J388,MatchNames,0),EventIndex),0)</f>
        <v>0</v>
      </c>
      <c r="J388" s="209" t="str">
        <f>IF(LEN($A388)&gt;0,IF(LEN(Declarations!$F388)&gt;0,Declarations!$F388,conftype),"")</f>
        <v/>
      </c>
      <c r="M388" s="297">
        <f>IF(ISNA(VLOOKUP($A388,SprintData,2,FALSE)),0,VLOOKUP($A388,SprintData,2,FALSE))</f>
        <v>0</v>
      </c>
      <c r="N388" s="297">
        <f>IF(ISNA(VLOOKUP($A388,JumpData,2,FALSE)),0,VLOOKUP($A388,JumpData,2,FALSE))</f>
        <v>0</v>
      </c>
      <c r="O388" s="297">
        <f>IF(ISNA(VLOOKUP($A388,RunData,2,FALSE)),0,VLOOKUP($A388,RunData,2,FALSE))</f>
        <v>0</v>
      </c>
      <c r="P388" s="297">
        <f>IF(ISNA(VLOOKUP($A388,ThrowData,2,FALSE)),0,VLOOKUP($A388,ThrowData,2,FALSE))</f>
        <v>0</v>
      </c>
      <c r="Q388" s="298">
        <f>IF(ISNA(VLOOKUP($A388,SprintData,4,FALSE)),0,VLOOKUP($A388,SprintData,4,FALSE))+V388</f>
        <v>0</v>
      </c>
      <c r="R388" s="298">
        <f>IF(ISNA(VLOOKUP($A388,JumpData,4,FALSE)),0,VLOOKUP($A388,JumpData,4,FALSE))+W388</f>
        <v>0</v>
      </c>
      <c r="S388" s="298">
        <f>IF(ISNA(VLOOKUP($A388,RunData,4,FALSE)),0,VLOOKUP($A388,RunData,4,FALSE))+X388</f>
        <v>0</v>
      </c>
      <c r="T388" s="298">
        <f>IF(ISNA(VLOOKUP($A388,ThrowData,4,FALSE)),0,VLOOKUP($A388,ThrowData,4,FALSE))+Y388</f>
        <v>0</v>
      </c>
      <c r="U388" s="299">
        <f t="shared" si="2"/>
        <v>0</v>
      </c>
      <c r="V388">
        <f>IF(AND($F388&gt;0,NOT(M388),Flexing),FlexPC,0)</f>
        <v>0</v>
      </c>
      <c r="W388">
        <f>IF(AND($F388&gt;0,NOT(N388),Flexing),FlexPC,0)</f>
        <v>0</v>
      </c>
      <c r="X388">
        <f>IF(AND($F388&gt;0,NOT(O388),Flexing),FlexPC,0)</f>
        <v>0</v>
      </c>
      <c r="Y388">
        <f>IF(AND($F388&gt;0,NOT(P388),Flexing),FlexPC,0)</f>
        <v>0</v>
      </c>
      <c r="AA388" s="209">
        <f t="shared" si="3"/>
        <v>387</v>
      </c>
    </row>
    <row r="389" ht="15.75" customHeight="1">
      <c r="A389" s="206" t="str">
        <f>+Declarations!A389&amp;""</f>
        <v/>
      </c>
      <c r="B389" t="str">
        <f>IF(LEN($A389),IF(LEN(Declarations!$B389)&gt;0,Declarations!$B389,"#"&amp;$A389),"")</f>
        <v/>
      </c>
      <c r="C389" s="209" t="str">
        <f t="array" ref="C389">IF(LEN(INDEX(DECLARATIONS,$AA389,3))&gt;0,INDEX(DECLARATIONS,$AA389,3),"...")</f>
        <v>...</v>
      </c>
      <c r="D389" s="209" t="str">
        <f t="shared" si="1"/>
        <v/>
      </c>
      <c r="E389" s="296" t="str">
        <f t="array" ref="E389">IF(ISNA($AA389),0,INDEX(DECLARATIONS,$AA389,5))</f>
        <v/>
      </c>
      <c r="F389" s="209" t="str">
        <f t="array" ref="F389">IF(ISNA($AA389),0,INDEX(DECLARATIONS,$AA389,7))</f>
        <v/>
      </c>
      <c r="G389" s="209" t="str">
        <f t="array" ref="G389">UPPER(IF(ISNA($AA389),"",INDEX(DECLARATIONS,$AA389,4)))</f>
        <v/>
      </c>
      <c r="H389" t="str">
        <f>IF(AND(A389&gt;0,ISTEXT(B389)),IF(SECNAME="YES",LEFT(B389&amp;" ",FIND(" ",B389&amp;" ")+2)&amp;IF(F389&gt;0," ("&amp;F389&amp;")",""),B389&amp;IF(F389&gt;0," ("&amp;F389&amp;")","")),"#"&amp;$A389)</f>
        <v/>
      </c>
      <c r="I389" s="209">
        <f>IF(LEN($A389)&gt;0,IF(LEN($J389)&gt;0,MATCH(J389,MatchNames,0),EventIndex),0)</f>
        <v>0</v>
      </c>
      <c r="J389" s="209" t="str">
        <f>IF(LEN($A389)&gt;0,IF(LEN(Declarations!$F389)&gt;0,Declarations!$F389,conftype),"")</f>
        <v/>
      </c>
      <c r="M389" s="297">
        <f>IF(ISNA(VLOOKUP($A389,SprintData,2,FALSE)),0,VLOOKUP($A389,SprintData,2,FALSE))</f>
        <v>0</v>
      </c>
      <c r="N389" s="297">
        <f>IF(ISNA(VLOOKUP($A389,JumpData,2,FALSE)),0,VLOOKUP($A389,JumpData,2,FALSE))</f>
        <v>0</v>
      </c>
      <c r="O389" s="297">
        <f>IF(ISNA(VLOOKUP($A389,RunData,2,FALSE)),0,VLOOKUP($A389,RunData,2,FALSE))</f>
        <v>0</v>
      </c>
      <c r="P389" s="297">
        <f>IF(ISNA(VLOOKUP($A389,ThrowData,2,FALSE)),0,VLOOKUP($A389,ThrowData,2,FALSE))</f>
        <v>0</v>
      </c>
      <c r="Q389" s="298">
        <f>IF(ISNA(VLOOKUP($A389,SprintData,4,FALSE)),0,VLOOKUP($A389,SprintData,4,FALSE))+V389</f>
        <v>0</v>
      </c>
      <c r="R389" s="298">
        <f>IF(ISNA(VLOOKUP($A389,JumpData,4,FALSE)),0,VLOOKUP($A389,JumpData,4,FALSE))+W389</f>
        <v>0</v>
      </c>
      <c r="S389" s="298">
        <f>IF(ISNA(VLOOKUP($A389,RunData,4,FALSE)),0,VLOOKUP($A389,RunData,4,FALSE))+X389</f>
        <v>0</v>
      </c>
      <c r="T389" s="298">
        <f>IF(ISNA(VLOOKUP($A389,ThrowData,4,FALSE)),0,VLOOKUP($A389,ThrowData,4,FALSE))+Y389</f>
        <v>0</v>
      </c>
      <c r="U389" s="299">
        <f t="shared" si="2"/>
        <v>0</v>
      </c>
      <c r="V389">
        <f>IF(AND($F389&gt;0,NOT(M389),Flexing),FlexPC,0)</f>
        <v>0</v>
      </c>
      <c r="W389">
        <f>IF(AND($F389&gt;0,NOT(N389),Flexing),FlexPC,0)</f>
        <v>0</v>
      </c>
      <c r="X389">
        <f>IF(AND($F389&gt;0,NOT(O389),Flexing),FlexPC,0)</f>
        <v>0</v>
      </c>
      <c r="Y389">
        <f>IF(AND($F389&gt;0,NOT(P389),Flexing),FlexPC,0)</f>
        <v>0</v>
      </c>
      <c r="AA389" s="209">
        <f t="shared" si="3"/>
        <v>388</v>
      </c>
    </row>
    <row r="390" ht="15.75" customHeight="1">
      <c r="A390" s="206" t="str">
        <f>+Declarations!A390&amp;""</f>
        <v/>
      </c>
      <c r="B390" t="str">
        <f>IF(LEN($A390),IF(LEN(Declarations!$B390)&gt;0,Declarations!$B390,"#"&amp;$A390),"")</f>
        <v/>
      </c>
      <c r="C390" s="209" t="str">
        <f t="array" ref="C390">IF(LEN(INDEX(DECLARATIONS,$AA390,3))&gt;0,INDEX(DECLARATIONS,$AA390,3),"...")</f>
        <v>...</v>
      </c>
      <c r="D390" s="209" t="str">
        <f t="shared" si="1"/>
        <v/>
      </c>
      <c r="E390" s="296" t="str">
        <f t="array" ref="E390">IF(ISNA($AA390),0,INDEX(DECLARATIONS,$AA390,5))</f>
        <v/>
      </c>
      <c r="F390" s="209" t="str">
        <f t="array" ref="F390">IF(ISNA($AA390),0,INDEX(DECLARATIONS,$AA390,7))</f>
        <v/>
      </c>
      <c r="G390" s="209" t="str">
        <f t="array" ref="G390">UPPER(IF(ISNA($AA390),"",INDEX(DECLARATIONS,$AA390,4)))</f>
        <v/>
      </c>
      <c r="H390" t="str">
        <f>IF(AND(A390&gt;0,ISTEXT(B390)),IF(SECNAME="YES",LEFT(B390&amp;" ",FIND(" ",B390&amp;" ")+2)&amp;IF(F390&gt;0," ("&amp;F390&amp;")",""),B390&amp;IF(F390&gt;0," ("&amp;F390&amp;")","")),"#"&amp;$A390)</f>
        <v/>
      </c>
      <c r="I390" s="209">
        <f>IF(LEN($A390)&gt;0,IF(LEN($J390)&gt;0,MATCH(J390,MatchNames,0),EventIndex),0)</f>
        <v>0</v>
      </c>
      <c r="J390" s="209" t="str">
        <f>IF(LEN($A390)&gt;0,IF(LEN(Declarations!$F390)&gt;0,Declarations!$F390,conftype),"")</f>
        <v/>
      </c>
      <c r="M390" s="297">
        <f>IF(ISNA(VLOOKUP($A390,SprintData,2,FALSE)),0,VLOOKUP($A390,SprintData,2,FALSE))</f>
        <v>0</v>
      </c>
      <c r="N390" s="297">
        <f>IF(ISNA(VLOOKUP($A390,JumpData,2,FALSE)),0,VLOOKUP($A390,JumpData,2,FALSE))</f>
        <v>0</v>
      </c>
      <c r="O390" s="297">
        <f>IF(ISNA(VLOOKUP($A390,RunData,2,FALSE)),0,VLOOKUP($A390,RunData,2,FALSE))</f>
        <v>0</v>
      </c>
      <c r="P390" s="297">
        <f>IF(ISNA(VLOOKUP($A390,ThrowData,2,FALSE)),0,VLOOKUP($A390,ThrowData,2,FALSE))</f>
        <v>0</v>
      </c>
      <c r="Q390" s="298">
        <f>IF(ISNA(VLOOKUP($A390,SprintData,4,FALSE)),0,VLOOKUP($A390,SprintData,4,FALSE))+V390</f>
        <v>0</v>
      </c>
      <c r="R390" s="298">
        <f>IF(ISNA(VLOOKUP($A390,JumpData,4,FALSE)),0,VLOOKUP($A390,JumpData,4,FALSE))+W390</f>
        <v>0</v>
      </c>
      <c r="S390" s="298">
        <f>IF(ISNA(VLOOKUP($A390,RunData,4,FALSE)),0,VLOOKUP($A390,RunData,4,FALSE))+X390</f>
        <v>0</v>
      </c>
      <c r="T390" s="298">
        <f>IF(ISNA(VLOOKUP($A390,ThrowData,4,FALSE)),0,VLOOKUP($A390,ThrowData,4,FALSE))+Y390</f>
        <v>0</v>
      </c>
      <c r="U390" s="299">
        <f t="shared" si="2"/>
        <v>0</v>
      </c>
      <c r="V390">
        <f>IF(AND($F390&gt;0,NOT(M390),Flexing),FlexPC,0)</f>
        <v>0</v>
      </c>
      <c r="W390">
        <f>IF(AND($F390&gt;0,NOT(N390),Flexing),FlexPC,0)</f>
        <v>0</v>
      </c>
      <c r="X390">
        <f>IF(AND($F390&gt;0,NOT(O390),Flexing),FlexPC,0)</f>
        <v>0</v>
      </c>
      <c r="Y390">
        <f>IF(AND($F390&gt;0,NOT(P390),Flexing),FlexPC,0)</f>
        <v>0</v>
      </c>
      <c r="AA390" s="209">
        <f t="shared" si="3"/>
        <v>389</v>
      </c>
    </row>
    <row r="391" ht="15.75" customHeight="1">
      <c r="A391" s="206" t="str">
        <f>+Declarations!A391&amp;""</f>
        <v/>
      </c>
      <c r="B391" t="str">
        <f>IF(LEN($A391),IF(LEN(Declarations!$B391)&gt;0,Declarations!$B391,"#"&amp;$A391),"")</f>
        <v/>
      </c>
      <c r="C391" s="209" t="str">
        <f t="array" ref="C391">IF(LEN(INDEX(DECLARATIONS,$AA391,3))&gt;0,INDEX(DECLARATIONS,$AA391,3),"...")</f>
        <v>...</v>
      </c>
      <c r="D391" s="209" t="str">
        <f t="shared" si="1"/>
        <v/>
      </c>
      <c r="E391" s="296" t="str">
        <f t="array" ref="E391">IF(ISNA($AA391),0,INDEX(DECLARATIONS,$AA391,5))</f>
        <v/>
      </c>
      <c r="F391" s="209" t="str">
        <f t="array" ref="F391">IF(ISNA($AA391),0,INDEX(DECLARATIONS,$AA391,7))</f>
        <v/>
      </c>
      <c r="G391" s="209" t="str">
        <f t="array" ref="G391">UPPER(IF(ISNA($AA391),"",INDEX(DECLARATIONS,$AA391,4)))</f>
        <v/>
      </c>
      <c r="H391" t="str">
        <f>IF(AND(A391&gt;0,ISTEXT(B391)),IF(SECNAME="YES",LEFT(B391&amp;" ",FIND(" ",B391&amp;" ")+2)&amp;IF(F391&gt;0," ("&amp;F391&amp;")",""),B391&amp;IF(F391&gt;0," ("&amp;F391&amp;")","")),"#"&amp;$A391)</f>
        <v/>
      </c>
      <c r="I391" s="209">
        <f>IF(LEN($A391)&gt;0,IF(LEN($J391)&gt;0,MATCH(J391,MatchNames,0),EventIndex),0)</f>
        <v>0</v>
      </c>
      <c r="J391" s="209" t="str">
        <f>IF(LEN($A391)&gt;0,IF(LEN(Declarations!$F391)&gt;0,Declarations!$F391,conftype),"")</f>
        <v/>
      </c>
      <c r="M391" s="297">
        <f>IF(ISNA(VLOOKUP($A391,SprintData,2,FALSE)),0,VLOOKUP($A391,SprintData,2,FALSE))</f>
        <v>0</v>
      </c>
      <c r="N391" s="297">
        <f>IF(ISNA(VLOOKUP($A391,JumpData,2,FALSE)),0,VLOOKUP($A391,JumpData,2,FALSE))</f>
        <v>0</v>
      </c>
      <c r="O391" s="297">
        <f>IF(ISNA(VLOOKUP($A391,RunData,2,FALSE)),0,VLOOKUP($A391,RunData,2,FALSE))</f>
        <v>0</v>
      </c>
      <c r="P391" s="297">
        <f>IF(ISNA(VLOOKUP($A391,ThrowData,2,FALSE)),0,VLOOKUP($A391,ThrowData,2,FALSE))</f>
        <v>0</v>
      </c>
      <c r="Q391" s="298">
        <f>IF(ISNA(VLOOKUP($A391,SprintData,4,FALSE)),0,VLOOKUP($A391,SprintData,4,FALSE))+V391</f>
        <v>0</v>
      </c>
      <c r="R391" s="298">
        <f>IF(ISNA(VLOOKUP($A391,JumpData,4,FALSE)),0,VLOOKUP($A391,JumpData,4,FALSE))+W391</f>
        <v>0</v>
      </c>
      <c r="S391" s="298">
        <f>IF(ISNA(VLOOKUP($A391,RunData,4,FALSE)),0,VLOOKUP($A391,RunData,4,FALSE))+X391</f>
        <v>0</v>
      </c>
      <c r="T391" s="298">
        <f>IF(ISNA(VLOOKUP($A391,ThrowData,4,FALSE)),0,VLOOKUP($A391,ThrowData,4,FALSE))+Y391</f>
        <v>0</v>
      </c>
      <c r="U391" s="299">
        <f t="shared" si="2"/>
        <v>0</v>
      </c>
      <c r="V391">
        <f>IF(AND($F391&gt;0,NOT(M391),Flexing),FlexPC,0)</f>
        <v>0</v>
      </c>
      <c r="W391">
        <f>IF(AND($F391&gt;0,NOT(N391),Flexing),FlexPC,0)</f>
        <v>0</v>
      </c>
      <c r="X391">
        <f>IF(AND($F391&gt;0,NOT(O391),Flexing),FlexPC,0)</f>
        <v>0</v>
      </c>
      <c r="Y391">
        <f>IF(AND($F391&gt;0,NOT(P391),Flexing),FlexPC,0)</f>
        <v>0</v>
      </c>
      <c r="AA391" s="209">
        <f t="shared" si="3"/>
        <v>390</v>
      </c>
    </row>
    <row r="392" ht="15.75" customHeight="1">
      <c r="A392" s="206" t="str">
        <f>+Declarations!A392&amp;""</f>
        <v/>
      </c>
      <c r="B392" t="str">
        <f>IF(LEN($A392),IF(LEN(Declarations!$B392)&gt;0,Declarations!$B392,"#"&amp;$A392),"")</f>
        <v/>
      </c>
      <c r="C392" s="209" t="str">
        <f t="array" ref="C392">IF(LEN(INDEX(DECLARATIONS,$AA392,3))&gt;0,INDEX(DECLARATIONS,$AA392,3),"...")</f>
        <v>...</v>
      </c>
      <c r="D392" s="209" t="str">
        <f t="shared" si="1"/>
        <v/>
      </c>
      <c r="E392" s="296" t="str">
        <f t="array" ref="E392">IF(ISNA($AA392),0,INDEX(DECLARATIONS,$AA392,5))</f>
        <v/>
      </c>
      <c r="F392" s="209" t="str">
        <f t="array" ref="F392">IF(ISNA($AA392),0,INDEX(DECLARATIONS,$AA392,7))</f>
        <v/>
      </c>
      <c r="G392" s="209" t="str">
        <f t="array" ref="G392">UPPER(IF(ISNA($AA392),"",INDEX(DECLARATIONS,$AA392,4)))</f>
        <v/>
      </c>
      <c r="H392" t="str">
        <f>IF(AND(A392&gt;0,ISTEXT(B392)),IF(SECNAME="YES",LEFT(B392&amp;" ",FIND(" ",B392&amp;" ")+2)&amp;IF(F392&gt;0," ("&amp;F392&amp;")",""),B392&amp;IF(F392&gt;0," ("&amp;F392&amp;")","")),"#"&amp;$A392)</f>
        <v/>
      </c>
      <c r="I392" s="209">
        <f>IF(LEN($A392)&gt;0,IF(LEN($J392)&gt;0,MATCH(J392,MatchNames,0),EventIndex),0)</f>
        <v>0</v>
      </c>
      <c r="J392" s="209" t="str">
        <f>IF(LEN($A392)&gt;0,IF(LEN(Declarations!$F392)&gt;0,Declarations!$F392,conftype),"")</f>
        <v/>
      </c>
      <c r="M392" s="297">
        <f>IF(ISNA(VLOOKUP($A392,SprintData,2,FALSE)),0,VLOOKUP($A392,SprintData,2,FALSE))</f>
        <v>0</v>
      </c>
      <c r="N392" s="297">
        <f>IF(ISNA(VLOOKUP($A392,JumpData,2,FALSE)),0,VLOOKUP($A392,JumpData,2,FALSE))</f>
        <v>0</v>
      </c>
      <c r="O392" s="297">
        <f>IF(ISNA(VLOOKUP($A392,RunData,2,FALSE)),0,VLOOKUP($A392,RunData,2,FALSE))</f>
        <v>0</v>
      </c>
      <c r="P392" s="297">
        <f>IF(ISNA(VLOOKUP($A392,ThrowData,2,FALSE)),0,VLOOKUP($A392,ThrowData,2,FALSE))</f>
        <v>0</v>
      </c>
      <c r="Q392" s="298">
        <f>IF(ISNA(VLOOKUP($A392,SprintData,4,FALSE)),0,VLOOKUP($A392,SprintData,4,FALSE))+V392</f>
        <v>0</v>
      </c>
      <c r="R392" s="298">
        <f>IF(ISNA(VLOOKUP($A392,JumpData,4,FALSE)),0,VLOOKUP($A392,JumpData,4,FALSE))+W392</f>
        <v>0</v>
      </c>
      <c r="S392" s="298">
        <f>IF(ISNA(VLOOKUP($A392,RunData,4,FALSE)),0,VLOOKUP($A392,RunData,4,FALSE))+X392</f>
        <v>0</v>
      </c>
      <c r="T392" s="298">
        <f>IF(ISNA(VLOOKUP($A392,ThrowData,4,FALSE)),0,VLOOKUP($A392,ThrowData,4,FALSE))+Y392</f>
        <v>0</v>
      </c>
      <c r="U392" s="299">
        <f t="shared" si="2"/>
        <v>0</v>
      </c>
      <c r="V392">
        <f>IF(AND($F392&gt;0,NOT(M392),Flexing),FlexPC,0)</f>
        <v>0</v>
      </c>
      <c r="W392">
        <f>IF(AND($F392&gt;0,NOT(N392),Flexing),FlexPC,0)</f>
        <v>0</v>
      </c>
      <c r="X392">
        <f>IF(AND($F392&gt;0,NOT(O392),Flexing),FlexPC,0)</f>
        <v>0</v>
      </c>
      <c r="Y392">
        <f>IF(AND($F392&gt;0,NOT(P392),Flexing),FlexPC,0)</f>
        <v>0</v>
      </c>
      <c r="AA392" s="209">
        <f t="shared" si="3"/>
        <v>391</v>
      </c>
    </row>
    <row r="393" ht="15.75" customHeight="1">
      <c r="A393" s="206" t="str">
        <f>+Declarations!A393&amp;""</f>
        <v/>
      </c>
      <c r="B393" t="str">
        <f>IF(LEN($A393),IF(LEN(Declarations!$B393)&gt;0,Declarations!$B393,"#"&amp;$A393),"")</f>
        <v/>
      </c>
      <c r="C393" s="209" t="str">
        <f t="array" ref="C393">IF(LEN(INDEX(DECLARATIONS,$AA393,3))&gt;0,INDEX(DECLARATIONS,$AA393,3),"...")</f>
        <v>...</v>
      </c>
      <c r="D393" s="209" t="str">
        <f t="shared" si="1"/>
        <v/>
      </c>
      <c r="E393" s="296" t="str">
        <f t="array" ref="E393">IF(ISNA($AA393),0,INDEX(DECLARATIONS,$AA393,5))</f>
        <v/>
      </c>
      <c r="F393" s="209" t="str">
        <f t="array" ref="F393">IF(ISNA($AA393),0,INDEX(DECLARATIONS,$AA393,7))</f>
        <v/>
      </c>
      <c r="G393" s="209" t="str">
        <f t="array" ref="G393">UPPER(IF(ISNA($AA393),"",INDEX(DECLARATIONS,$AA393,4)))</f>
        <v/>
      </c>
      <c r="H393" t="str">
        <f>IF(AND(A393&gt;0,ISTEXT(B393)),IF(SECNAME="YES",LEFT(B393&amp;" ",FIND(" ",B393&amp;" ")+2)&amp;IF(F393&gt;0," ("&amp;F393&amp;")",""),B393&amp;IF(F393&gt;0," ("&amp;F393&amp;")","")),"#"&amp;$A393)</f>
        <v/>
      </c>
      <c r="I393" s="209">
        <f>IF(LEN($A393)&gt;0,IF(LEN($J393)&gt;0,MATCH(J393,MatchNames,0),EventIndex),0)</f>
        <v>0</v>
      </c>
      <c r="J393" s="209" t="str">
        <f>IF(LEN($A393)&gt;0,IF(LEN(Declarations!$F393)&gt;0,Declarations!$F393,conftype),"")</f>
        <v/>
      </c>
      <c r="M393" s="297">
        <f>IF(ISNA(VLOOKUP($A393,SprintData,2,FALSE)),0,VLOOKUP($A393,SprintData,2,FALSE))</f>
        <v>0</v>
      </c>
      <c r="N393" s="297">
        <f>IF(ISNA(VLOOKUP($A393,JumpData,2,FALSE)),0,VLOOKUP($A393,JumpData,2,FALSE))</f>
        <v>0</v>
      </c>
      <c r="O393" s="297">
        <f>IF(ISNA(VLOOKUP($A393,RunData,2,FALSE)),0,VLOOKUP($A393,RunData,2,FALSE))</f>
        <v>0</v>
      </c>
      <c r="P393" s="297">
        <f>IF(ISNA(VLOOKUP($A393,ThrowData,2,FALSE)),0,VLOOKUP($A393,ThrowData,2,FALSE))</f>
        <v>0</v>
      </c>
      <c r="Q393" s="298">
        <f>IF(ISNA(VLOOKUP($A393,SprintData,4,FALSE)),0,VLOOKUP($A393,SprintData,4,FALSE))+V393</f>
        <v>0</v>
      </c>
      <c r="R393" s="298">
        <f>IF(ISNA(VLOOKUP($A393,JumpData,4,FALSE)),0,VLOOKUP($A393,JumpData,4,FALSE))+W393</f>
        <v>0</v>
      </c>
      <c r="S393" s="298">
        <f>IF(ISNA(VLOOKUP($A393,RunData,4,FALSE)),0,VLOOKUP($A393,RunData,4,FALSE))+X393</f>
        <v>0</v>
      </c>
      <c r="T393" s="298">
        <f>IF(ISNA(VLOOKUP($A393,ThrowData,4,FALSE)),0,VLOOKUP($A393,ThrowData,4,FALSE))+Y393</f>
        <v>0</v>
      </c>
      <c r="U393" s="299">
        <f t="shared" si="2"/>
        <v>0</v>
      </c>
      <c r="V393">
        <f>IF(AND($F393&gt;0,NOT(M393),Flexing),FlexPC,0)</f>
        <v>0</v>
      </c>
      <c r="W393">
        <f>IF(AND($F393&gt;0,NOT(N393),Flexing),FlexPC,0)</f>
        <v>0</v>
      </c>
      <c r="X393">
        <f>IF(AND($F393&gt;0,NOT(O393),Flexing),FlexPC,0)</f>
        <v>0</v>
      </c>
      <c r="Y393">
        <f>IF(AND($F393&gt;0,NOT(P393),Flexing),FlexPC,0)</f>
        <v>0</v>
      </c>
      <c r="AA393" s="209">
        <f t="shared" si="3"/>
        <v>392</v>
      </c>
    </row>
    <row r="394" ht="15.75" customHeight="1">
      <c r="A394" s="206" t="str">
        <f>+Declarations!A394&amp;""</f>
        <v/>
      </c>
      <c r="B394" t="str">
        <f>IF(LEN($A394),IF(LEN(Declarations!$B394)&gt;0,Declarations!$B394,"#"&amp;$A394),"")</f>
        <v/>
      </c>
      <c r="C394" s="209" t="str">
        <f t="array" ref="C394">IF(LEN(INDEX(DECLARATIONS,$AA394,3))&gt;0,INDEX(DECLARATIONS,$AA394,3),"...")</f>
        <v>...</v>
      </c>
      <c r="D394" s="209" t="str">
        <f t="shared" si="1"/>
        <v/>
      </c>
      <c r="E394" s="296" t="str">
        <f t="array" ref="E394">IF(ISNA($AA394),0,INDEX(DECLARATIONS,$AA394,5))</f>
        <v/>
      </c>
      <c r="F394" s="209" t="str">
        <f t="array" ref="F394">IF(ISNA($AA394),0,INDEX(DECLARATIONS,$AA394,7))</f>
        <v/>
      </c>
      <c r="G394" s="209" t="str">
        <f t="array" ref="G394">UPPER(IF(ISNA($AA394),"",INDEX(DECLARATIONS,$AA394,4)))</f>
        <v/>
      </c>
      <c r="H394" t="str">
        <f>IF(AND(A394&gt;0,ISTEXT(B394)),IF(SECNAME="YES",LEFT(B394&amp;" ",FIND(" ",B394&amp;" ")+2)&amp;IF(F394&gt;0," ("&amp;F394&amp;")",""),B394&amp;IF(F394&gt;0," ("&amp;F394&amp;")","")),"#"&amp;$A394)</f>
        <v/>
      </c>
      <c r="I394" s="209">
        <f>IF(LEN($A394)&gt;0,IF(LEN($J394)&gt;0,MATCH(J394,MatchNames,0),EventIndex),0)</f>
        <v>0</v>
      </c>
      <c r="J394" s="209" t="str">
        <f>IF(LEN($A394)&gt;0,IF(LEN(Declarations!$F394)&gt;0,Declarations!$F394,conftype),"")</f>
        <v/>
      </c>
      <c r="M394" s="297">
        <f>IF(ISNA(VLOOKUP($A394,SprintData,2,FALSE)),0,VLOOKUP($A394,SprintData,2,FALSE))</f>
        <v>0</v>
      </c>
      <c r="N394" s="297">
        <f>IF(ISNA(VLOOKUP($A394,JumpData,2,FALSE)),0,VLOOKUP($A394,JumpData,2,FALSE))</f>
        <v>0</v>
      </c>
      <c r="O394" s="297">
        <f>IF(ISNA(VLOOKUP($A394,RunData,2,FALSE)),0,VLOOKUP($A394,RunData,2,FALSE))</f>
        <v>0</v>
      </c>
      <c r="P394" s="297">
        <f>IF(ISNA(VLOOKUP($A394,ThrowData,2,FALSE)),0,VLOOKUP($A394,ThrowData,2,FALSE))</f>
        <v>0</v>
      </c>
      <c r="Q394" s="298">
        <f>IF(ISNA(VLOOKUP($A394,SprintData,4,FALSE)),0,VLOOKUP($A394,SprintData,4,FALSE))+V394</f>
        <v>0</v>
      </c>
      <c r="R394" s="298">
        <f>IF(ISNA(VLOOKUP($A394,JumpData,4,FALSE)),0,VLOOKUP($A394,JumpData,4,FALSE))+W394</f>
        <v>0</v>
      </c>
      <c r="S394" s="298">
        <f>IF(ISNA(VLOOKUP($A394,RunData,4,FALSE)),0,VLOOKUP($A394,RunData,4,FALSE))+X394</f>
        <v>0</v>
      </c>
      <c r="T394" s="298">
        <f>IF(ISNA(VLOOKUP($A394,ThrowData,4,FALSE)),0,VLOOKUP($A394,ThrowData,4,FALSE))+Y394</f>
        <v>0</v>
      </c>
      <c r="U394" s="299">
        <f t="shared" si="2"/>
        <v>0</v>
      </c>
      <c r="V394">
        <f>IF(AND($F394&gt;0,NOT(M394),Flexing),FlexPC,0)</f>
        <v>0</v>
      </c>
      <c r="W394">
        <f>IF(AND($F394&gt;0,NOT(N394),Flexing),FlexPC,0)</f>
        <v>0</v>
      </c>
      <c r="X394">
        <f>IF(AND($F394&gt;0,NOT(O394),Flexing),FlexPC,0)</f>
        <v>0</v>
      </c>
      <c r="Y394">
        <f>IF(AND($F394&gt;0,NOT(P394),Flexing),FlexPC,0)</f>
        <v>0</v>
      </c>
      <c r="AA394" s="209">
        <f t="shared" si="3"/>
        <v>393</v>
      </c>
    </row>
    <row r="395" ht="15.75" customHeight="1">
      <c r="A395" s="206" t="str">
        <f>+Declarations!A395&amp;""</f>
        <v/>
      </c>
      <c r="B395" t="str">
        <f>IF(LEN($A395),IF(LEN(Declarations!$B395)&gt;0,Declarations!$B395,"#"&amp;$A395),"")</f>
        <v/>
      </c>
      <c r="C395" s="209" t="str">
        <f t="array" ref="C395">IF(LEN(INDEX(DECLARATIONS,$AA395,3))&gt;0,INDEX(DECLARATIONS,$AA395,3),"...")</f>
        <v>...</v>
      </c>
      <c r="D395" s="209" t="str">
        <f t="shared" si="1"/>
        <v/>
      </c>
      <c r="E395" s="296" t="str">
        <f t="array" ref="E395">IF(ISNA($AA395),0,INDEX(DECLARATIONS,$AA395,5))</f>
        <v/>
      </c>
      <c r="F395" s="209" t="str">
        <f t="array" ref="F395">IF(ISNA($AA395),0,INDEX(DECLARATIONS,$AA395,7))</f>
        <v/>
      </c>
      <c r="G395" s="209" t="str">
        <f t="array" ref="G395">UPPER(IF(ISNA($AA395),"",INDEX(DECLARATIONS,$AA395,4)))</f>
        <v/>
      </c>
      <c r="H395" t="str">
        <f>IF(AND(A395&gt;0,ISTEXT(B395)),IF(SECNAME="YES",LEFT(B395&amp;" ",FIND(" ",B395&amp;" ")+2)&amp;IF(F395&gt;0," ("&amp;F395&amp;")",""),B395&amp;IF(F395&gt;0," ("&amp;F395&amp;")","")),"#"&amp;$A395)</f>
        <v/>
      </c>
      <c r="I395" s="209">
        <f>IF(LEN($A395)&gt;0,IF(LEN($J395)&gt;0,MATCH(J395,MatchNames,0),EventIndex),0)</f>
        <v>0</v>
      </c>
      <c r="J395" s="209" t="str">
        <f>IF(LEN($A395)&gt;0,IF(LEN(Declarations!$F395)&gt;0,Declarations!$F395,conftype),"")</f>
        <v/>
      </c>
      <c r="M395" s="297">
        <f>IF(ISNA(VLOOKUP($A395,SprintData,2,FALSE)),0,VLOOKUP($A395,SprintData,2,FALSE))</f>
        <v>0</v>
      </c>
      <c r="N395" s="297">
        <f>IF(ISNA(VLOOKUP($A395,JumpData,2,FALSE)),0,VLOOKUP($A395,JumpData,2,FALSE))</f>
        <v>0</v>
      </c>
      <c r="O395" s="297">
        <f>IF(ISNA(VLOOKUP($A395,RunData,2,FALSE)),0,VLOOKUP($A395,RunData,2,FALSE))</f>
        <v>0</v>
      </c>
      <c r="P395" s="297">
        <f>IF(ISNA(VLOOKUP($A395,ThrowData,2,FALSE)),0,VLOOKUP($A395,ThrowData,2,FALSE))</f>
        <v>0</v>
      </c>
      <c r="Q395" s="298">
        <f>IF(ISNA(VLOOKUP($A395,SprintData,4,FALSE)),0,VLOOKUP($A395,SprintData,4,FALSE))+V395</f>
        <v>0</v>
      </c>
      <c r="R395" s="298">
        <f>IF(ISNA(VLOOKUP($A395,JumpData,4,FALSE)),0,VLOOKUP($A395,JumpData,4,FALSE))+W395</f>
        <v>0</v>
      </c>
      <c r="S395" s="298">
        <f>IF(ISNA(VLOOKUP($A395,RunData,4,FALSE)),0,VLOOKUP($A395,RunData,4,FALSE))+X395</f>
        <v>0</v>
      </c>
      <c r="T395" s="298">
        <f>IF(ISNA(VLOOKUP($A395,ThrowData,4,FALSE)),0,VLOOKUP($A395,ThrowData,4,FALSE))+Y395</f>
        <v>0</v>
      </c>
      <c r="U395" s="299">
        <f t="shared" si="2"/>
        <v>0</v>
      </c>
      <c r="V395">
        <f>IF(AND($F395&gt;0,NOT(M395),Flexing),FlexPC,0)</f>
        <v>0</v>
      </c>
      <c r="W395">
        <f>IF(AND($F395&gt;0,NOT(N395),Flexing),FlexPC,0)</f>
        <v>0</v>
      </c>
      <c r="X395">
        <f>IF(AND($F395&gt;0,NOT(O395),Flexing),FlexPC,0)</f>
        <v>0</v>
      </c>
      <c r="Y395">
        <f>IF(AND($F395&gt;0,NOT(P395),Flexing),FlexPC,0)</f>
        <v>0</v>
      </c>
      <c r="AA395" s="209">
        <f t="shared" si="3"/>
        <v>394</v>
      </c>
    </row>
    <row r="396" ht="15.75" customHeight="1">
      <c r="A396" s="206" t="str">
        <f>+Declarations!A396&amp;""</f>
        <v/>
      </c>
      <c r="B396" t="str">
        <f>IF(LEN($A396),IF(LEN(Declarations!$B396)&gt;0,Declarations!$B396,"#"&amp;$A396),"")</f>
        <v/>
      </c>
      <c r="C396" s="209" t="str">
        <f t="array" ref="C396">IF(LEN(INDEX(DECLARATIONS,$AA396,3))&gt;0,INDEX(DECLARATIONS,$AA396,3),"...")</f>
        <v>...</v>
      </c>
      <c r="D396" s="209" t="str">
        <f t="shared" si="1"/>
        <v/>
      </c>
      <c r="E396" s="296" t="str">
        <f t="array" ref="E396">IF(ISNA($AA396),0,INDEX(DECLARATIONS,$AA396,5))</f>
        <v/>
      </c>
      <c r="F396" s="209" t="str">
        <f t="array" ref="F396">IF(ISNA($AA396),0,INDEX(DECLARATIONS,$AA396,7))</f>
        <v/>
      </c>
      <c r="G396" s="209" t="str">
        <f t="array" ref="G396">UPPER(IF(ISNA($AA396),"",INDEX(DECLARATIONS,$AA396,4)))</f>
        <v/>
      </c>
      <c r="H396" t="str">
        <f>IF(AND(A396&gt;0,ISTEXT(B396)),IF(SECNAME="YES",LEFT(B396&amp;" ",FIND(" ",B396&amp;" ")+2)&amp;IF(F396&gt;0," ("&amp;F396&amp;")",""),B396&amp;IF(F396&gt;0," ("&amp;F396&amp;")","")),"#"&amp;$A396)</f>
        <v/>
      </c>
      <c r="I396" s="209">
        <f>IF(LEN($A396)&gt;0,IF(LEN($J396)&gt;0,MATCH(J396,MatchNames,0),EventIndex),0)</f>
        <v>0</v>
      </c>
      <c r="J396" s="209" t="str">
        <f>IF(LEN($A396)&gt;0,IF(LEN(Declarations!$F396)&gt;0,Declarations!$F396,conftype),"")</f>
        <v/>
      </c>
      <c r="M396" s="297">
        <f>IF(ISNA(VLOOKUP($A396,SprintData,2,FALSE)),0,VLOOKUP($A396,SprintData,2,FALSE))</f>
        <v>0</v>
      </c>
      <c r="N396" s="297">
        <f>IF(ISNA(VLOOKUP($A396,JumpData,2,FALSE)),0,VLOOKUP($A396,JumpData,2,FALSE))</f>
        <v>0</v>
      </c>
      <c r="O396" s="297">
        <f>IF(ISNA(VLOOKUP($A396,RunData,2,FALSE)),0,VLOOKUP($A396,RunData,2,FALSE))</f>
        <v>0</v>
      </c>
      <c r="P396" s="297">
        <f>IF(ISNA(VLOOKUP($A396,ThrowData,2,FALSE)),0,VLOOKUP($A396,ThrowData,2,FALSE))</f>
        <v>0</v>
      </c>
      <c r="Q396" s="298">
        <f>IF(ISNA(VLOOKUP($A396,SprintData,4,FALSE)),0,VLOOKUP($A396,SprintData,4,FALSE))+V396</f>
        <v>0</v>
      </c>
      <c r="R396" s="298">
        <f>IF(ISNA(VLOOKUP($A396,JumpData,4,FALSE)),0,VLOOKUP($A396,JumpData,4,FALSE))+W396</f>
        <v>0</v>
      </c>
      <c r="S396" s="298">
        <f>IF(ISNA(VLOOKUP($A396,RunData,4,FALSE)),0,VLOOKUP($A396,RunData,4,FALSE))+X396</f>
        <v>0</v>
      </c>
      <c r="T396" s="298">
        <f>IF(ISNA(VLOOKUP($A396,ThrowData,4,FALSE)),0,VLOOKUP($A396,ThrowData,4,FALSE))+Y396</f>
        <v>0</v>
      </c>
      <c r="U396" s="299">
        <f t="shared" si="2"/>
        <v>0</v>
      </c>
      <c r="V396">
        <f>IF(AND($F396&gt;0,NOT(M396),Flexing),FlexPC,0)</f>
        <v>0</v>
      </c>
      <c r="W396">
        <f>IF(AND($F396&gt;0,NOT(N396),Flexing),FlexPC,0)</f>
        <v>0</v>
      </c>
      <c r="X396">
        <f>IF(AND($F396&gt;0,NOT(O396),Flexing),FlexPC,0)</f>
        <v>0</v>
      </c>
      <c r="Y396">
        <f>IF(AND($F396&gt;0,NOT(P396),Flexing),FlexPC,0)</f>
        <v>0</v>
      </c>
      <c r="AA396" s="209">
        <f t="shared" si="3"/>
        <v>395</v>
      </c>
    </row>
    <row r="397" ht="15.75" customHeight="1">
      <c r="A397" s="206" t="str">
        <f>+Declarations!A397&amp;""</f>
        <v/>
      </c>
      <c r="B397" t="str">
        <f>IF(LEN($A397),IF(LEN(Declarations!$B397)&gt;0,Declarations!$B397,"#"&amp;$A397),"")</f>
        <v/>
      </c>
      <c r="C397" s="209" t="str">
        <f t="array" ref="C397">IF(LEN(INDEX(DECLARATIONS,$AA397,3))&gt;0,INDEX(DECLARATIONS,$AA397,3),"...")</f>
        <v>...</v>
      </c>
      <c r="D397" s="209" t="str">
        <f t="shared" si="1"/>
        <v/>
      </c>
      <c r="E397" s="296" t="str">
        <f t="array" ref="E397">IF(ISNA($AA397),0,INDEX(DECLARATIONS,$AA397,5))</f>
        <v/>
      </c>
      <c r="F397" s="209" t="str">
        <f t="array" ref="F397">IF(ISNA($AA397),0,INDEX(DECLARATIONS,$AA397,7))</f>
        <v/>
      </c>
      <c r="G397" s="209" t="str">
        <f t="array" ref="G397">UPPER(IF(ISNA($AA397),"",INDEX(DECLARATIONS,$AA397,4)))</f>
        <v/>
      </c>
      <c r="H397" t="str">
        <f>IF(AND(A397&gt;0,ISTEXT(B397)),IF(SECNAME="YES",LEFT(B397&amp;" ",FIND(" ",B397&amp;" ")+2)&amp;IF(F397&gt;0," ("&amp;F397&amp;")",""),B397&amp;IF(F397&gt;0," ("&amp;F397&amp;")","")),"#"&amp;$A397)</f>
        <v/>
      </c>
      <c r="I397" s="209">
        <f>IF(LEN($A397)&gt;0,IF(LEN($J397)&gt;0,MATCH(J397,MatchNames,0),EventIndex),0)</f>
        <v>0</v>
      </c>
      <c r="J397" s="209" t="str">
        <f>IF(LEN($A397)&gt;0,IF(LEN(Declarations!$F397)&gt;0,Declarations!$F397,conftype),"")</f>
        <v/>
      </c>
      <c r="M397" s="297">
        <f>IF(ISNA(VLOOKUP($A397,SprintData,2,FALSE)),0,VLOOKUP($A397,SprintData,2,FALSE))</f>
        <v>0</v>
      </c>
      <c r="N397" s="297">
        <f>IF(ISNA(VLOOKUP($A397,JumpData,2,FALSE)),0,VLOOKUP($A397,JumpData,2,FALSE))</f>
        <v>0</v>
      </c>
      <c r="O397" s="297">
        <f>IF(ISNA(VLOOKUP($A397,RunData,2,FALSE)),0,VLOOKUP($A397,RunData,2,FALSE))</f>
        <v>0</v>
      </c>
      <c r="P397" s="297">
        <f>IF(ISNA(VLOOKUP($A397,ThrowData,2,FALSE)),0,VLOOKUP($A397,ThrowData,2,FALSE))</f>
        <v>0</v>
      </c>
      <c r="Q397" s="298">
        <f>IF(ISNA(VLOOKUP($A397,SprintData,4,FALSE)),0,VLOOKUP($A397,SprintData,4,FALSE))+V397</f>
        <v>0</v>
      </c>
      <c r="R397" s="298">
        <f>IF(ISNA(VLOOKUP($A397,JumpData,4,FALSE)),0,VLOOKUP($A397,JumpData,4,FALSE))+W397</f>
        <v>0</v>
      </c>
      <c r="S397" s="298">
        <f>IF(ISNA(VLOOKUP($A397,RunData,4,FALSE)),0,VLOOKUP($A397,RunData,4,FALSE))+X397</f>
        <v>0</v>
      </c>
      <c r="T397" s="298">
        <f>IF(ISNA(VLOOKUP($A397,ThrowData,4,FALSE)),0,VLOOKUP($A397,ThrowData,4,FALSE))+Y397</f>
        <v>0</v>
      </c>
      <c r="U397" s="299">
        <f t="shared" si="2"/>
        <v>0</v>
      </c>
      <c r="V397">
        <f>IF(AND($F397&gt;0,NOT(M397),Flexing),FlexPC,0)</f>
        <v>0</v>
      </c>
      <c r="W397">
        <f>IF(AND($F397&gt;0,NOT(N397),Flexing),FlexPC,0)</f>
        <v>0</v>
      </c>
      <c r="X397">
        <f>IF(AND($F397&gt;0,NOT(O397),Flexing),FlexPC,0)</f>
        <v>0</v>
      </c>
      <c r="Y397">
        <f>IF(AND($F397&gt;0,NOT(P397),Flexing),FlexPC,0)</f>
        <v>0</v>
      </c>
      <c r="AA397" s="209">
        <f t="shared" si="3"/>
        <v>396</v>
      </c>
    </row>
    <row r="398" ht="15.75" customHeight="1">
      <c r="A398" s="206" t="str">
        <f>+Declarations!A398&amp;""</f>
        <v/>
      </c>
      <c r="B398" t="str">
        <f>IF(LEN($A398),IF(LEN(Declarations!$B398)&gt;0,Declarations!$B398,"#"&amp;$A398),"")</f>
        <v/>
      </c>
      <c r="C398" s="209" t="str">
        <f t="array" ref="C398">IF(LEN(INDEX(DECLARATIONS,$AA398,3))&gt;0,INDEX(DECLARATIONS,$AA398,3),"...")</f>
        <v>...</v>
      </c>
      <c r="D398" s="209" t="str">
        <f t="shared" si="1"/>
        <v/>
      </c>
      <c r="E398" s="296" t="str">
        <f t="array" ref="E398">IF(ISNA($AA398),0,INDEX(DECLARATIONS,$AA398,5))</f>
        <v/>
      </c>
      <c r="F398" s="209" t="str">
        <f t="array" ref="F398">IF(ISNA($AA398),0,INDEX(DECLARATIONS,$AA398,7))</f>
        <v/>
      </c>
      <c r="G398" s="209" t="str">
        <f t="array" ref="G398">UPPER(IF(ISNA($AA398),"",INDEX(DECLARATIONS,$AA398,4)))</f>
        <v/>
      </c>
      <c r="H398" t="str">
        <f>IF(AND(A398&gt;0,ISTEXT(B398)),IF(SECNAME="YES",LEFT(B398&amp;" ",FIND(" ",B398&amp;" ")+2)&amp;IF(F398&gt;0," ("&amp;F398&amp;")",""),B398&amp;IF(F398&gt;0," ("&amp;F398&amp;")","")),"#"&amp;$A398)</f>
        <v/>
      </c>
      <c r="I398" s="209">
        <f>IF(LEN($A398)&gt;0,IF(LEN($J398)&gt;0,MATCH(J398,MatchNames,0),EventIndex),0)</f>
        <v>0</v>
      </c>
      <c r="J398" s="209" t="str">
        <f>IF(LEN($A398)&gt;0,IF(LEN(Declarations!$F398)&gt;0,Declarations!$F398,conftype),"")</f>
        <v/>
      </c>
      <c r="M398" s="297">
        <f>IF(ISNA(VLOOKUP($A398,SprintData,2,FALSE)),0,VLOOKUP($A398,SprintData,2,FALSE))</f>
        <v>0</v>
      </c>
      <c r="N398" s="297">
        <f>IF(ISNA(VLOOKUP($A398,JumpData,2,FALSE)),0,VLOOKUP($A398,JumpData,2,FALSE))</f>
        <v>0</v>
      </c>
      <c r="O398" s="297">
        <f>IF(ISNA(VLOOKUP($A398,RunData,2,FALSE)),0,VLOOKUP($A398,RunData,2,FALSE))</f>
        <v>0</v>
      </c>
      <c r="P398" s="297">
        <f>IF(ISNA(VLOOKUP($A398,ThrowData,2,FALSE)),0,VLOOKUP($A398,ThrowData,2,FALSE))</f>
        <v>0</v>
      </c>
      <c r="Q398" s="298">
        <f>IF(ISNA(VLOOKUP($A398,SprintData,4,FALSE)),0,VLOOKUP($A398,SprintData,4,FALSE))+V398</f>
        <v>0</v>
      </c>
      <c r="R398" s="298">
        <f>IF(ISNA(VLOOKUP($A398,JumpData,4,FALSE)),0,VLOOKUP($A398,JumpData,4,FALSE))+W398</f>
        <v>0</v>
      </c>
      <c r="S398" s="298">
        <f>IF(ISNA(VLOOKUP($A398,RunData,4,FALSE)),0,VLOOKUP($A398,RunData,4,FALSE))+X398</f>
        <v>0</v>
      </c>
      <c r="T398" s="298">
        <f>IF(ISNA(VLOOKUP($A398,ThrowData,4,FALSE)),0,VLOOKUP($A398,ThrowData,4,FALSE))+Y398</f>
        <v>0</v>
      </c>
      <c r="U398" s="299">
        <f t="shared" si="2"/>
        <v>0</v>
      </c>
      <c r="V398">
        <f>IF(AND($F398&gt;0,NOT(M398),Flexing),FlexPC,0)</f>
        <v>0</v>
      </c>
      <c r="W398">
        <f>IF(AND($F398&gt;0,NOT(N398),Flexing),FlexPC,0)</f>
        <v>0</v>
      </c>
      <c r="X398">
        <f>IF(AND($F398&gt;0,NOT(O398),Flexing),FlexPC,0)</f>
        <v>0</v>
      </c>
      <c r="Y398">
        <f>IF(AND($F398&gt;0,NOT(P398),Flexing),FlexPC,0)</f>
        <v>0</v>
      </c>
      <c r="AA398" s="209">
        <f t="shared" si="3"/>
        <v>397</v>
      </c>
    </row>
    <row r="399" ht="15.75" customHeight="1">
      <c r="A399" s="206" t="str">
        <f>+Declarations!A399&amp;""</f>
        <v/>
      </c>
      <c r="B399" t="str">
        <f>IF(LEN($A399),IF(LEN(Declarations!$B399)&gt;0,Declarations!$B399,"#"&amp;$A399),"")</f>
        <v/>
      </c>
      <c r="C399" s="209" t="str">
        <f t="array" ref="C399">IF(LEN(INDEX(DECLARATIONS,$AA399,3))&gt;0,INDEX(DECLARATIONS,$AA399,3),"...")</f>
        <v>...</v>
      </c>
      <c r="D399" s="209" t="str">
        <f t="shared" si="1"/>
        <v/>
      </c>
      <c r="E399" s="296" t="str">
        <f t="array" ref="E399">IF(ISNA($AA399),0,INDEX(DECLARATIONS,$AA399,5))</f>
        <v/>
      </c>
      <c r="F399" s="209" t="str">
        <f t="array" ref="F399">IF(ISNA($AA399),0,INDEX(DECLARATIONS,$AA399,7))</f>
        <v/>
      </c>
      <c r="G399" s="209" t="str">
        <f t="array" ref="G399">UPPER(IF(ISNA($AA399),"",INDEX(DECLARATIONS,$AA399,4)))</f>
        <v/>
      </c>
      <c r="H399" t="str">
        <f>IF(AND(A399&gt;0,ISTEXT(B399)),IF(SECNAME="YES",LEFT(B399&amp;" ",FIND(" ",B399&amp;" ")+2)&amp;IF(F399&gt;0," ("&amp;F399&amp;")",""),B399&amp;IF(F399&gt;0," ("&amp;F399&amp;")","")),"#"&amp;$A399)</f>
        <v/>
      </c>
      <c r="I399" s="209">
        <f>IF(LEN($A399)&gt;0,IF(LEN($J399)&gt;0,MATCH(J399,MatchNames,0),EventIndex),0)</f>
        <v>0</v>
      </c>
      <c r="J399" s="209" t="str">
        <f>IF(LEN($A399)&gt;0,IF(LEN(Declarations!$F399)&gt;0,Declarations!$F399,conftype),"")</f>
        <v/>
      </c>
      <c r="M399" s="297">
        <f>IF(ISNA(VLOOKUP($A399,SprintData,2,FALSE)),0,VLOOKUP($A399,SprintData,2,FALSE))</f>
        <v>0</v>
      </c>
      <c r="N399" s="297">
        <f>IF(ISNA(VLOOKUP($A399,JumpData,2,FALSE)),0,VLOOKUP($A399,JumpData,2,FALSE))</f>
        <v>0</v>
      </c>
      <c r="O399" s="297">
        <f>IF(ISNA(VLOOKUP($A399,RunData,2,FALSE)),0,VLOOKUP($A399,RunData,2,FALSE))</f>
        <v>0</v>
      </c>
      <c r="P399" s="297">
        <f>IF(ISNA(VLOOKUP($A399,ThrowData,2,FALSE)),0,VLOOKUP($A399,ThrowData,2,FALSE))</f>
        <v>0</v>
      </c>
      <c r="Q399" s="298">
        <f>IF(ISNA(VLOOKUP($A399,SprintData,4,FALSE)),0,VLOOKUP($A399,SprintData,4,FALSE))+V399</f>
        <v>0</v>
      </c>
      <c r="R399" s="298">
        <f>IF(ISNA(VLOOKUP($A399,JumpData,4,FALSE)),0,VLOOKUP($A399,JumpData,4,FALSE))+W399</f>
        <v>0</v>
      </c>
      <c r="S399" s="298">
        <f>IF(ISNA(VLOOKUP($A399,RunData,4,FALSE)),0,VLOOKUP($A399,RunData,4,FALSE))+X399</f>
        <v>0</v>
      </c>
      <c r="T399" s="298">
        <f>IF(ISNA(VLOOKUP($A399,ThrowData,4,FALSE)),0,VLOOKUP($A399,ThrowData,4,FALSE))+Y399</f>
        <v>0</v>
      </c>
      <c r="U399" s="299">
        <f t="shared" si="2"/>
        <v>0</v>
      </c>
      <c r="V399">
        <f>IF(AND($F399&gt;0,NOT(M399),Flexing),FlexPC,0)</f>
        <v>0</v>
      </c>
      <c r="W399">
        <f>IF(AND($F399&gt;0,NOT(N399),Flexing),FlexPC,0)</f>
        <v>0</v>
      </c>
      <c r="X399">
        <f>IF(AND($F399&gt;0,NOT(O399),Flexing),FlexPC,0)</f>
        <v>0</v>
      </c>
      <c r="Y399">
        <f>IF(AND($F399&gt;0,NOT(P399),Flexing),FlexPC,0)</f>
        <v>0</v>
      </c>
      <c r="AA399" s="209">
        <f t="shared" si="3"/>
        <v>398</v>
      </c>
    </row>
    <row r="400" ht="15.75" customHeight="1">
      <c r="A400" s="206" t="str">
        <f>+Declarations!A400&amp;""</f>
        <v/>
      </c>
      <c r="B400" t="str">
        <f>IF(LEN($A400),IF(LEN(Declarations!$B400)&gt;0,Declarations!$B400,"#"&amp;$A400),"")</f>
        <v/>
      </c>
      <c r="C400" s="209" t="str">
        <f t="array" ref="C400">IF(LEN(INDEX(DECLARATIONS,$AA400,3))&gt;0,INDEX(DECLARATIONS,$AA400,3),"...")</f>
        <v>...</v>
      </c>
      <c r="D400" s="209" t="str">
        <f t="shared" si="1"/>
        <v/>
      </c>
      <c r="E400" s="296" t="str">
        <f t="array" ref="E400">IF(ISNA($AA400),0,INDEX(DECLARATIONS,$AA400,5))</f>
        <v/>
      </c>
      <c r="F400" s="209" t="str">
        <f t="array" ref="F400">IF(ISNA($AA400),0,INDEX(DECLARATIONS,$AA400,7))</f>
        <v/>
      </c>
      <c r="G400" s="209" t="str">
        <f t="array" ref="G400">UPPER(IF(ISNA($AA400),"",INDEX(DECLARATIONS,$AA400,4)))</f>
        <v/>
      </c>
      <c r="H400" t="str">
        <f>IF(AND(A400&gt;0,ISTEXT(B400)),IF(SECNAME="YES",LEFT(B400&amp;" ",FIND(" ",B400&amp;" ")+2)&amp;IF(F400&gt;0," ("&amp;F400&amp;")",""),B400&amp;IF(F400&gt;0," ("&amp;F400&amp;")","")),"#"&amp;$A400)</f>
        <v/>
      </c>
      <c r="I400" s="209">
        <f>IF(LEN($A400)&gt;0,IF(LEN($J400)&gt;0,MATCH(J400,MatchNames,0),EventIndex),0)</f>
        <v>0</v>
      </c>
      <c r="J400" s="209" t="str">
        <f>IF(LEN($A400)&gt;0,IF(LEN(Declarations!$F400)&gt;0,Declarations!$F400,conftype),"")</f>
        <v/>
      </c>
      <c r="M400" s="297">
        <f>IF(ISNA(VLOOKUP($A400,SprintData,2,FALSE)),0,VLOOKUP($A400,SprintData,2,FALSE))</f>
        <v>0</v>
      </c>
      <c r="N400" s="297">
        <f>IF(ISNA(VLOOKUP($A400,JumpData,2,FALSE)),0,VLOOKUP($A400,JumpData,2,FALSE))</f>
        <v>0</v>
      </c>
      <c r="O400" s="297">
        <f>IF(ISNA(VLOOKUP($A400,RunData,2,FALSE)),0,VLOOKUP($A400,RunData,2,FALSE))</f>
        <v>0</v>
      </c>
      <c r="P400" s="297">
        <f>IF(ISNA(VLOOKUP($A400,ThrowData,2,FALSE)),0,VLOOKUP($A400,ThrowData,2,FALSE))</f>
        <v>0</v>
      </c>
      <c r="Q400" s="298">
        <f>IF(ISNA(VLOOKUP($A400,SprintData,4,FALSE)),0,VLOOKUP($A400,SprintData,4,FALSE))+V400</f>
        <v>0</v>
      </c>
      <c r="R400" s="298">
        <f>IF(ISNA(VLOOKUP($A400,JumpData,4,FALSE)),0,VLOOKUP($A400,JumpData,4,FALSE))+W400</f>
        <v>0</v>
      </c>
      <c r="S400" s="298">
        <f>IF(ISNA(VLOOKUP($A400,RunData,4,FALSE)),0,VLOOKUP($A400,RunData,4,FALSE))+X400</f>
        <v>0</v>
      </c>
      <c r="T400" s="298">
        <f>IF(ISNA(VLOOKUP($A400,ThrowData,4,FALSE)),0,VLOOKUP($A400,ThrowData,4,FALSE))+Y400</f>
        <v>0</v>
      </c>
      <c r="U400" s="299">
        <f t="shared" si="2"/>
        <v>0</v>
      </c>
      <c r="V400">
        <f>IF(AND($F400&gt;0,NOT(M400),Flexing),FlexPC,0)</f>
        <v>0</v>
      </c>
      <c r="W400">
        <f>IF(AND($F400&gt;0,NOT(N400),Flexing),FlexPC,0)</f>
        <v>0</v>
      </c>
      <c r="X400">
        <f>IF(AND($F400&gt;0,NOT(O400),Flexing),FlexPC,0)</f>
        <v>0</v>
      </c>
      <c r="Y400">
        <f>IF(AND($F400&gt;0,NOT(P400),Flexing),FlexPC,0)</f>
        <v>0</v>
      </c>
      <c r="AA400" s="209">
        <f t="shared" si="3"/>
        <v>399</v>
      </c>
    </row>
    <row r="401" ht="15.75" customHeight="1">
      <c r="A401" s="206" t="str">
        <f>+Declarations!A401&amp;""</f>
        <v/>
      </c>
      <c r="B401" t="str">
        <f>IF(LEN($A401),IF(LEN(Declarations!$B401)&gt;0,Declarations!$B401,"#"&amp;$A401),"")</f>
        <v/>
      </c>
      <c r="C401" s="209" t="str">
        <f t="array" ref="C401">IF(LEN(INDEX(DECLARATIONS,$AA401,3))&gt;0,INDEX(DECLARATIONS,$AA401,3),"...")</f>
        <v>...</v>
      </c>
      <c r="D401" s="209" t="str">
        <f t="shared" si="1"/>
        <v/>
      </c>
      <c r="E401" s="296" t="str">
        <f t="array" ref="E401">IF(ISNA($AA401),0,INDEX(DECLARATIONS,$AA401,5))</f>
        <v/>
      </c>
      <c r="F401" s="209" t="str">
        <f t="array" ref="F401">IF(ISNA($AA401),0,INDEX(DECLARATIONS,$AA401,7))</f>
        <v/>
      </c>
      <c r="G401" s="209" t="str">
        <f t="array" ref="G401">UPPER(IF(ISNA($AA401),"",INDEX(DECLARATIONS,$AA401,4)))</f>
        <v/>
      </c>
      <c r="H401" t="str">
        <f>IF(AND(A401&gt;0,ISTEXT(B401)),IF(SECNAME="YES",LEFT(B401&amp;" ",FIND(" ",B401&amp;" ")+2)&amp;IF(F401&gt;0," ("&amp;F401&amp;")",""),B401&amp;IF(F401&gt;0," ("&amp;F401&amp;")","")),"#"&amp;$A401)</f>
        <v/>
      </c>
      <c r="I401" s="209">
        <f>IF(LEN($A401)&gt;0,IF(LEN($J401)&gt;0,MATCH(J401,MatchNames,0),EventIndex),0)</f>
        <v>0</v>
      </c>
      <c r="J401" s="209" t="str">
        <f>IF(LEN($A401)&gt;0,IF(LEN(Declarations!$F401)&gt;0,Declarations!$F401,conftype),"")</f>
        <v/>
      </c>
      <c r="M401" s="297">
        <f>IF(ISNA(VLOOKUP($A401,SprintData,2,FALSE)),0,VLOOKUP($A401,SprintData,2,FALSE))</f>
        <v>0</v>
      </c>
      <c r="N401" s="297">
        <f>IF(ISNA(VLOOKUP($A401,JumpData,2,FALSE)),0,VLOOKUP($A401,JumpData,2,FALSE))</f>
        <v>0</v>
      </c>
      <c r="O401" s="297">
        <f>IF(ISNA(VLOOKUP($A401,RunData,2,FALSE)),0,VLOOKUP($A401,RunData,2,FALSE))</f>
        <v>0</v>
      </c>
      <c r="P401" s="297">
        <f>IF(ISNA(VLOOKUP($A401,ThrowData,2,FALSE)),0,VLOOKUP($A401,ThrowData,2,FALSE))</f>
        <v>0</v>
      </c>
      <c r="Q401" s="298">
        <f>IF(ISNA(VLOOKUP($A401,SprintData,4,FALSE)),0,VLOOKUP($A401,SprintData,4,FALSE))+V401</f>
        <v>0</v>
      </c>
      <c r="R401" s="298">
        <f>IF(ISNA(VLOOKUP($A401,JumpData,4,FALSE)),0,VLOOKUP($A401,JumpData,4,FALSE))+W401</f>
        <v>0</v>
      </c>
      <c r="S401" s="298">
        <f>IF(ISNA(VLOOKUP($A401,RunData,4,FALSE)),0,VLOOKUP($A401,RunData,4,FALSE))+X401</f>
        <v>0</v>
      </c>
      <c r="T401" s="298">
        <f>IF(ISNA(VLOOKUP($A401,ThrowData,4,FALSE)),0,VLOOKUP($A401,ThrowData,4,FALSE))+Y401</f>
        <v>0</v>
      </c>
      <c r="U401" s="299">
        <f t="shared" si="2"/>
        <v>0</v>
      </c>
      <c r="V401">
        <f>IF(AND($F401&gt;0,NOT(M401),Flexing),FlexPC,0)</f>
        <v>0</v>
      </c>
      <c r="W401">
        <f>IF(AND($F401&gt;0,NOT(N401),Flexing),FlexPC,0)</f>
        <v>0</v>
      </c>
      <c r="X401">
        <f>IF(AND($F401&gt;0,NOT(O401),Flexing),FlexPC,0)</f>
        <v>0</v>
      </c>
      <c r="Y401">
        <f>IF(AND($F401&gt;0,NOT(P401),Flexing),FlexPC,0)</f>
        <v>0</v>
      </c>
      <c r="AA401" s="209">
        <f t="shared" si="3"/>
        <v>400</v>
      </c>
    </row>
    <row r="402" ht="15.75" customHeight="1">
      <c r="A402" s="206" t="str">
        <f>+Declarations!A402&amp;""</f>
        <v/>
      </c>
      <c r="B402" t="str">
        <f>IF(LEN($A402),IF(LEN(Declarations!$B402)&gt;0,Declarations!$B402,"#"&amp;$A402),"")</f>
        <v/>
      </c>
      <c r="C402" s="209" t="str">
        <f t="array" ref="C402">IF(LEN(INDEX(DECLARATIONS,$AA402,3))&gt;0,INDEX(DECLARATIONS,$AA402,3),"...")</f>
        <v>...</v>
      </c>
      <c r="D402" s="209" t="str">
        <f t="shared" si="1"/>
        <v/>
      </c>
      <c r="E402" s="296" t="str">
        <f t="array" ref="E402">IF(ISNA($AA402),0,INDEX(DECLARATIONS,$AA402,5))</f>
        <v/>
      </c>
      <c r="F402" s="209" t="str">
        <f t="array" ref="F402">IF(ISNA($AA402),0,INDEX(DECLARATIONS,$AA402,7))</f>
        <v/>
      </c>
      <c r="G402" s="209" t="str">
        <f t="array" ref="G402">UPPER(IF(ISNA($AA402),"",INDEX(DECLARATIONS,$AA402,4)))</f>
        <v/>
      </c>
      <c r="H402" t="str">
        <f>IF(AND(A402&gt;0,ISTEXT(B402)),IF(SECNAME="YES",LEFT(B402&amp;" ",FIND(" ",B402&amp;" ")+2)&amp;IF(F402&gt;0," ("&amp;F402&amp;")",""),B402&amp;IF(F402&gt;0," ("&amp;F402&amp;")","")),"#"&amp;$A402)</f>
        <v/>
      </c>
      <c r="I402" s="209">
        <f>IF(LEN($A402)&gt;0,IF(LEN($J402)&gt;0,MATCH(J402,MatchNames,0),EventIndex),0)</f>
        <v>0</v>
      </c>
      <c r="J402" s="209" t="str">
        <f>IF(LEN($A402)&gt;0,IF(LEN(Declarations!$F402)&gt;0,Declarations!$F402,conftype),"")</f>
        <v/>
      </c>
      <c r="M402" s="297">
        <f>IF(ISNA(VLOOKUP($A402,SprintData,2,FALSE)),0,VLOOKUP($A402,SprintData,2,FALSE))</f>
        <v>0</v>
      </c>
      <c r="N402" s="297">
        <f>IF(ISNA(VLOOKUP($A402,JumpData,2,FALSE)),0,VLOOKUP($A402,JumpData,2,FALSE))</f>
        <v>0</v>
      </c>
      <c r="O402" s="297">
        <f>IF(ISNA(VLOOKUP($A402,RunData,2,FALSE)),0,VLOOKUP($A402,RunData,2,FALSE))</f>
        <v>0</v>
      </c>
      <c r="P402" s="297">
        <f>IF(ISNA(VLOOKUP($A402,ThrowData,2,FALSE)),0,VLOOKUP($A402,ThrowData,2,FALSE))</f>
        <v>0</v>
      </c>
      <c r="Q402" s="298">
        <f>IF(ISNA(VLOOKUP($A402,SprintData,4,FALSE)),0,VLOOKUP($A402,SprintData,4,FALSE))+V402</f>
        <v>0</v>
      </c>
      <c r="R402" s="298">
        <f>IF(ISNA(VLOOKUP($A402,JumpData,4,FALSE)),0,VLOOKUP($A402,JumpData,4,FALSE))+W402</f>
        <v>0</v>
      </c>
      <c r="S402" s="298">
        <f>IF(ISNA(VLOOKUP($A402,RunData,4,FALSE)),0,VLOOKUP($A402,RunData,4,FALSE))+X402</f>
        <v>0</v>
      </c>
      <c r="T402" s="298">
        <f>IF(ISNA(VLOOKUP($A402,ThrowData,4,FALSE)),0,VLOOKUP($A402,ThrowData,4,FALSE))+Y402</f>
        <v>0</v>
      </c>
      <c r="U402" s="299">
        <f t="shared" si="2"/>
        <v>0</v>
      </c>
      <c r="V402">
        <f>IF(AND($F402&gt;0,NOT(M402),Flexing),FlexPC,0)</f>
        <v>0</v>
      </c>
      <c r="W402">
        <f>IF(AND($F402&gt;0,NOT(N402),Flexing),FlexPC,0)</f>
        <v>0</v>
      </c>
      <c r="X402">
        <f>IF(AND($F402&gt;0,NOT(O402),Flexing),FlexPC,0)</f>
        <v>0</v>
      </c>
      <c r="Y402">
        <f>IF(AND($F402&gt;0,NOT(P402),Flexing),FlexPC,0)</f>
        <v>0</v>
      </c>
      <c r="AA402" s="209">
        <f t="shared" si="3"/>
        <v>401</v>
      </c>
    </row>
    <row r="403" ht="15.75" customHeight="1">
      <c r="A403" s="206" t="str">
        <f>+Declarations!A403&amp;""</f>
        <v/>
      </c>
      <c r="B403" t="str">
        <f>IF(LEN($A403),IF(LEN(Declarations!$B403)&gt;0,Declarations!$B403,"#"&amp;$A403),"")</f>
        <v/>
      </c>
      <c r="C403" s="209" t="str">
        <f t="array" ref="C403">IF(LEN(INDEX(DECLARATIONS,$AA403,3))&gt;0,INDEX(DECLARATIONS,$AA403,3),"...")</f>
        <v>...</v>
      </c>
      <c r="D403" s="209" t="str">
        <f t="shared" si="1"/>
        <v/>
      </c>
      <c r="E403" s="296" t="str">
        <f t="array" ref="E403">IF(ISNA($AA403),0,INDEX(DECLARATIONS,$AA403,5))</f>
        <v/>
      </c>
      <c r="F403" s="209" t="str">
        <f t="array" ref="F403">IF(ISNA($AA403),0,INDEX(DECLARATIONS,$AA403,7))</f>
        <v/>
      </c>
      <c r="G403" s="209" t="str">
        <f t="array" ref="G403">UPPER(IF(ISNA($AA403),"",INDEX(DECLARATIONS,$AA403,4)))</f>
        <v/>
      </c>
      <c r="H403" t="str">
        <f>IF(AND(A403&gt;0,ISTEXT(B403)),IF(SECNAME="YES",LEFT(B403&amp;" ",FIND(" ",B403&amp;" ")+2)&amp;IF(F403&gt;0," ("&amp;F403&amp;")",""),B403&amp;IF(F403&gt;0," ("&amp;F403&amp;")","")),"#"&amp;$A403)</f>
        <v/>
      </c>
      <c r="I403" s="209">
        <f>IF(LEN($A403)&gt;0,IF(LEN($J403)&gt;0,MATCH(J403,MatchNames,0),EventIndex),0)</f>
        <v>0</v>
      </c>
      <c r="J403" s="209" t="str">
        <f>IF(LEN($A403)&gt;0,IF(LEN(Declarations!$F403)&gt;0,Declarations!$F403,conftype),"")</f>
        <v/>
      </c>
      <c r="M403" s="297">
        <f>IF(ISNA(VLOOKUP($A403,SprintData,2,FALSE)),0,VLOOKUP($A403,SprintData,2,FALSE))</f>
        <v>0</v>
      </c>
      <c r="N403" s="297">
        <f>IF(ISNA(VLOOKUP($A403,JumpData,2,FALSE)),0,VLOOKUP($A403,JumpData,2,FALSE))</f>
        <v>0</v>
      </c>
      <c r="O403" s="297">
        <f>IF(ISNA(VLOOKUP($A403,RunData,2,FALSE)),0,VLOOKUP($A403,RunData,2,FALSE))</f>
        <v>0</v>
      </c>
      <c r="P403" s="297">
        <f>IF(ISNA(VLOOKUP($A403,ThrowData,2,FALSE)),0,VLOOKUP($A403,ThrowData,2,FALSE))</f>
        <v>0</v>
      </c>
      <c r="Q403" s="298">
        <f>IF(ISNA(VLOOKUP($A403,SprintData,4,FALSE)),0,VLOOKUP($A403,SprintData,4,FALSE))+V403</f>
        <v>0</v>
      </c>
      <c r="R403" s="298">
        <f>IF(ISNA(VLOOKUP($A403,JumpData,4,FALSE)),0,VLOOKUP($A403,JumpData,4,FALSE))+W403</f>
        <v>0</v>
      </c>
      <c r="S403" s="298">
        <f>IF(ISNA(VLOOKUP($A403,RunData,4,FALSE)),0,VLOOKUP($A403,RunData,4,FALSE))+X403</f>
        <v>0</v>
      </c>
      <c r="T403" s="298">
        <f>IF(ISNA(VLOOKUP($A403,ThrowData,4,FALSE)),0,VLOOKUP($A403,ThrowData,4,FALSE))+Y403</f>
        <v>0</v>
      </c>
      <c r="U403" s="299">
        <f t="shared" si="2"/>
        <v>0</v>
      </c>
      <c r="V403">
        <f>IF(AND($F403&gt;0,NOT(M403),Flexing),FlexPC,0)</f>
        <v>0</v>
      </c>
      <c r="W403">
        <f>IF(AND($F403&gt;0,NOT(N403),Flexing),FlexPC,0)</f>
        <v>0</v>
      </c>
      <c r="X403">
        <f>IF(AND($F403&gt;0,NOT(O403),Flexing),FlexPC,0)</f>
        <v>0</v>
      </c>
      <c r="Y403">
        <f>IF(AND($F403&gt;0,NOT(P403),Flexing),FlexPC,0)</f>
        <v>0</v>
      </c>
      <c r="AA403" s="209">
        <f t="shared" si="3"/>
        <v>402</v>
      </c>
    </row>
    <row r="404" ht="15.75" customHeight="1">
      <c r="A404" s="206" t="str">
        <f>+Declarations!A404&amp;""</f>
        <v/>
      </c>
      <c r="B404" t="str">
        <f>IF(LEN($A404),IF(LEN(Declarations!$B404)&gt;0,Declarations!$B404,"#"&amp;$A404),"")</f>
        <v/>
      </c>
      <c r="C404" s="209" t="str">
        <f t="array" ref="C404">IF(LEN(INDEX(DECLARATIONS,$AA404,3))&gt;0,INDEX(DECLARATIONS,$AA404,3),"...")</f>
        <v>...</v>
      </c>
      <c r="D404" s="209" t="str">
        <f t="shared" si="1"/>
        <v/>
      </c>
      <c r="E404" s="296" t="str">
        <f t="array" ref="E404">IF(ISNA($AA404),0,INDEX(DECLARATIONS,$AA404,5))</f>
        <v/>
      </c>
      <c r="F404" s="209" t="str">
        <f t="array" ref="F404">IF(ISNA($AA404),0,INDEX(DECLARATIONS,$AA404,7))</f>
        <v/>
      </c>
      <c r="G404" s="209" t="str">
        <f t="array" ref="G404">UPPER(IF(ISNA($AA404),"",INDEX(DECLARATIONS,$AA404,4)))</f>
        <v/>
      </c>
      <c r="H404" t="str">
        <f>IF(AND(A404&gt;0,ISTEXT(B404)),IF(SECNAME="YES",LEFT(B404&amp;" ",FIND(" ",B404&amp;" ")+2)&amp;IF(F404&gt;0," ("&amp;F404&amp;")",""),B404&amp;IF(F404&gt;0," ("&amp;F404&amp;")","")),"#"&amp;$A404)</f>
        <v/>
      </c>
      <c r="I404" s="209">
        <f>IF(LEN($A404)&gt;0,IF(LEN($J404)&gt;0,MATCH(J404,MatchNames,0),EventIndex),0)</f>
        <v>0</v>
      </c>
      <c r="J404" s="209" t="str">
        <f>IF(LEN($A404)&gt;0,IF(LEN(Declarations!$F404)&gt;0,Declarations!$F404,conftype),"")</f>
        <v/>
      </c>
      <c r="M404" s="297">
        <f>IF(ISNA(VLOOKUP($A404,SprintData,2,FALSE)),0,VLOOKUP($A404,SprintData,2,FALSE))</f>
        <v>0</v>
      </c>
      <c r="N404" s="297">
        <f>IF(ISNA(VLOOKUP($A404,JumpData,2,FALSE)),0,VLOOKUP($A404,JumpData,2,FALSE))</f>
        <v>0</v>
      </c>
      <c r="O404" s="297">
        <f>IF(ISNA(VLOOKUP($A404,RunData,2,FALSE)),0,VLOOKUP($A404,RunData,2,FALSE))</f>
        <v>0</v>
      </c>
      <c r="P404" s="297">
        <f>IF(ISNA(VLOOKUP($A404,ThrowData,2,FALSE)),0,VLOOKUP($A404,ThrowData,2,FALSE))</f>
        <v>0</v>
      </c>
      <c r="Q404" s="298">
        <f>IF(ISNA(VLOOKUP($A404,SprintData,4,FALSE)),0,VLOOKUP($A404,SprintData,4,FALSE))+V404</f>
        <v>0</v>
      </c>
      <c r="R404" s="298">
        <f>IF(ISNA(VLOOKUP($A404,JumpData,4,FALSE)),0,VLOOKUP($A404,JumpData,4,FALSE))+W404</f>
        <v>0</v>
      </c>
      <c r="S404" s="298">
        <f>IF(ISNA(VLOOKUP($A404,RunData,4,FALSE)),0,VLOOKUP($A404,RunData,4,FALSE))+X404</f>
        <v>0</v>
      </c>
      <c r="T404" s="298">
        <f>IF(ISNA(VLOOKUP($A404,ThrowData,4,FALSE)),0,VLOOKUP($A404,ThrowData,4,FALSE))+Y404</f>
        <v>0</v>
      </c>
      <c r="U404" s="299">
        <f t="shared" si="2"/>
        <v>0</v>
      </c>
      <c r="V404">
        <f>IF(AND($F404&gt;0,NOT(M404),Flexing),FlexPC,0)</f>
        <v>0</v>
      </c>
      <c r="W404">
        <f>IF(AND($F404&gt;0,NOT(N404),Flexing),FlexPC,0)</f>
        <v>0</v>
      </c>
      <c r="X404">
        <f>IF(AND($F404&gt;0,NOT(O404),Flexing),FlexPC,0)</f>
        <v>0</v>
      </c>
      <c r="Y404">
        <f>IF(AND($F404&gt;0,NOT(P404),Flexing),FlexPC,0)</f>
        <v>0</v>
      </c>
      <c r="AA404" s="209">
        <f t="shared" si="3"/>
        <v>403</v>
      </c>
    </row>
    <row r="405" ht="15.75" customHeight="1">
      <c r="A405" s="206" t="str">
        <f>+Declarations!A405&amp;""</f>
        <v/>
      </c>
      <c r="B405" t="str">
        <f>IF(LEN($A405),IF(LEN(Declarations!$B405)&gt;0,Declarations!$B405,"#"&amp;$A405),"")</f>
        <v/>
      </c>
      <c r="C405" s="209" t="str">
        <f t="array" ref="C405">IF(LEN(INDEX(DECLARATIONS,$AA405,3))&gt;0,INDEX(DECLARATIONS,$AA405,3),"...")</f>
        <v>...</v>
      </c>
      <c r="D405" s="209" t="str">
        <f t="shared" si="1"/>
        <v/>
      </c>
      <c r="E405" s="296" t="str">
        <f t="array" ref="E405">IF(ISNA($AA405),0,INDEX(DECLARATIONS,$AA405,5))</f>
        <v/>
      </c>
      <c r="F405" s="209" t="str">
        <f t="array" ref="F405">IF(ISNA($AA405),0,INDEX(DECLARATIONS,$AA405,7))</f>
        <v/>
      </c>
      <c r="G405" s="209" t="str">
        <f t="array" ref="G405">UPPER(IF(ISNA($AA405),"",INDEX(DECLARATIONS,$AA405,4)))</f>
        <v/>
      </c>
      <c r="H405" t="str">
        <f>IF(AND(A405&gt;0,ISTEXT(B405)),IF(SECNAME="YES",LEFT(B405&amp;" ",FIND(" ",B405&amp;" ")+2)&amp;IF(F405&gt;0," ("&amp;F405&amp;")",""),B405&amp;IF(F405&gt;0," ("&amp;F405&amp;")","")),"#"&amp;$A405)</f>
        <v/>
      </c>
      <c r="I405" s="209">
        <f>IF(LEN($A405)&gt;0,IF(LEN($J405)&gt;0,MATCH(J405,MatchNames,0),EventIndex),0)</f>
        <v>0</v>
      </c>
      <c r="J405" s="209" t="str">
        <f>IF(LEN($A405)&gt;0,IF(LEN(Declarations!$F405)&gt;0,Declarations!$F405,conftype),"")</f>
        <v/>
      </c>
      <c r="M405" s="297">
        <f>IF(ISNA(VLOOKUP($A405,SprintData,2,FALSE)),0,VLOOKUP($A405,SprintData,2,FALSE))</f>
        <v>0</v>
      </c>
      <c r="N405" s="297">
        <f>IF(ISNA(VLOOKUP($A405,JumpData,2,FALSE)),0,VLOOKUP($A405,JumpData,2,FALSE))</f>
        <v>0</v>
      </c>
      <c r="O405" s="297">
        <f>IF(ISNA(VLOOKUP($A405,RunData,2,FALSE)),0,VLOOKUP($A405,RunData,2,FALSE))</f>
        <v>0</v>
      </c>
      <c r="P405" s="297">
        <f>IF(ISNA(VLOOKUP($A405,ThrowData,2,FALSE)),0,VLOOKUP($A405,ThrowData,2,FALSE))</f>
        <v>0</v>
      </c>
      <c r="Q405" s="298">
        <f>IF(ISNA(VLOOKUP($A405,SprintData,4,FALSE)),0,VLOOKUP($A405,SprintData,4,FALSE))+V405</f>
        <v>0</v>
      </c>
      <c r="R405" s="298">
        <f>IF(ISNA(VLOOKUP($A405,JumpData,4,FALSE)),0,VLOOKUP($A405,JumpData,4,FALSE))+W405</f>
        <v>0</v>
      </c>
      <c r="S405" s="298">
        <f>IF(ISNA(VLOOKUP($A405,RunData,4,FALSE)),0,VLOOKUP($A405,RunData,4,FALSE))+X405</f>
        <v>0</v>
      </c>
      <c r="T405" s="298">
        <f>IF(ISNA(VLOOKUP($A405,ThrowData,4,FALSE)),0,VLOOKUP($A405,ThrowData,4,FALSE))+Y405</f>
        <v>0</v>
      </c>
      <c r="U405" s="299">
        <f t="shared" si="2"/>
        <v>0</v>
      </c>
      <c r="V405">
        <f>IF(AND($F405&gt;0,NOT(M405),Flexing),FlexPC,0)</f>
        <v>0</v>
      </c>
      <c r="W405">
        <f>IF(AND($F405&gt;0,NOT(N405),Flexing),FlexPC,0)</f>
        <v>0</v>
      </c>
      <c r="X405">
        <f>IF(AND($F405&gt;0,NOT(O405),Flexing),FlexPC,0)</f>
        <v>0</v>
      </c>
      <c r="Y405">
        <f>IF(AND($F405&gt;0,NOT(P405),Flexing),FlexPC,0)</f>
        <v>0</v>
      </c>
      <c r="AA405" s="209">
        <f t="shared" si="3"/>
        <v>404</v>
      </c>
    </row>
    <row r="406" ht="15.75" customHeight="1">
      <c r="A406" s="206" t="str">
        <f>+Declarations!A406&amp;""</f>
        <v/>
      </c>
      <c r="B406" t="str">
        <f>IF(LEN($A406),IF(LEN(Declarations!$B406)&gt;0,Declarations!$B406,"#"&amp;$A406),"")</f>
        <v/>
      </c>
      <c r="C406" s="209" t="str">
        <f t="array" ref="C406">IF(LEN(INDEX(DECLARATIONS,$AA406,3))&gt;0,INDEX(DECLARATIONS,$AA406,3),"...")</f>
        <v>...</v>
      </c>
      <c r="D406" s="209" t="str">
        <f t="shared" si="1"/>
        <v/>
      </c>
      <c r="E406" s="296" t="str">
        <f t="array" ref="E406">IF(ISNA($AA406),0,INDEX(DECLARATIONS,$AA406,5))</f>
        <v/>
      </c>
      <c r="F406" s="209" t="str">
        <f t="array" ref="F406">IF(ISNA($AA406),0,INDEX(DECLARATIONS,$AA406,7))</f>
        <v/>
      </c>
      <c r="G406" s="209" t="str">
        <f t="array" ref="G406">UPPER(IF(ISNA($AA406),"",INDEX(DECLARATIONS,$AA406,4)))</f>
        <v/>
      </c>
      <c r="H406" t="str">
        <f>IF(AND(A406&gt;0,ISTEXT(B406)),IF(SECNAME="YES",LEFT(B406&amp;" ",FIND(" ",B406&amp;" ")+2)&amp;IF(F406&gt;0," ("&amp;F406&amp;")",""),B406&amp;IF(F406&gt;0," ("&amp;F406&amp;")","")),"#"&amp;$A406)</f>
        <v/>
      </c>
      <c r="I406" s="209">
        <f>IF(LEN($A406)&gt;0,IF(LEN($J406)&gt;0,MATCH(J406,MatchNames,0),EventIndex),0)</f>
        <v>0</v>
      </c>
      <c r="J406" s="209" t="str">
        <f>IF(LEN($A406)&gt;0,IF(LEN(Declarations!$F406)&gt;0,Declarations!$F406,conftype),"")</f>
        <v/>
      </c>
      <c r="M406" s="297">
        <f>IF(ISNA(VLOOKUP($A406,SprintData,2,FALSE)),0,VLOOKUP($A406,SprintData,2,FALSE))</f>
        <v>0</v>
      </c>
      <c r="N406" s="297">
        <f>IF(ISNA(VLOOKUP($A406,JumpData,2,FALSE)),0,VLOOKUP($A406,JumpData,2,FALSE))</f>
        <v>0</v>
      </c>
      <c r="O406" s="297">
        <f>IF(ISNA(VLOOKUP($A406,RunData,2,FALSE)),0,VLOOKUP($A406,RunData,2,FALSE))</f>
        <v>0</v>
      </c>
      <c r="P406" s="297">
        <f>IF(ISNA(VLOOKUP($A406,ThrowData,2,FALSE)),0,VLOOKUP($A406,ThrowData,2,FALSE))</f>
        <v>0</v>
      </c>
      <c r="Q406" s="298">
        <f>IF(ISNA(VLOOKUP($A406,SprintData,4,FALSE)),0,VLOOKUP($A406,SprintData,4,FALSE))+V406</f>
        <v>0</v>
      </c>
      <c r="R406" s="298">
        <f>IF(ISNA(VLOOKUP($A406,JumpData,4,FALSE)),0,VLOOKUP($A406,JumpData,4,FALSE))+W406</f>
        <v>0</v>
      </c>
      <c r="S406" s="298">
        <f>IF(ISNA(VLOOKUP($A406,RunData,4,FALSE)),0,VLOOKUP($A406,RunData,4,FALSE))+X406</f>
        <v>0</v>
      </c>
      <c r="T406" s="298">
        <f>IF(ISNA(VLOOKUP($A406,ThrowData,4,FALSE)),0,VLOOKUP($A406,ThrowData,4,FALSE))+Y406</f>
        <v>0</v>
      </c>
      <c r="U406" s="299">
        <f t="shared" si="2"/>
        <v>0</v>
      </c>
      <c r="V406">
        <f>IF(AND($F406&gt;0,NOT(M406),Flexing),FlexPC,0)</f>
        <v>0</v>
      </c>
      <c r="W406">
        <f>IF(AND($F406&gt;0,NOT(N406),Flexing),FlexPC,0)</f>
        <v>0</v>
      </c>
      <c r="X406">
        <f>IF(AND($F406&gt;0,NOT(O406),Flexing),FlexPC,0)</f>
        <v>0</v>
      </c>
      <c r="Y406">
        <f>IF(AND($F406&gt;0,NOT(P406),Flexing),FlexPC,0)</f>
        <v>0</v>
      </c>
      <c r="AA406" s="209">
        <f t="shared" si="3"/>
        <v>405</v>
      </c>
    </row>
    <row r="407" ht="15.75" customHeight="1">
      <c r="A407" s="206" t="str">
        <f>+Declarations!A407&amp;""</f>
        <v/>
      </c>
      <c r="B407" t="str">
        <f>IF(LEN($A407),IF(LEN(Declarations!$B407)&gt;0,Declarations!$B407,"#"&amp;$A407),"")</f>
        <v/>
      </c>
      <c r="C407" s="209" t="str">
        <f t="array" ref="C407">IF(LEN(INDEX(DECLARATIONS,$AA407,3))&gt;0,INDEX(DECLARATIONS,$AA407,3),"...")</f>
        <v>...</v>
      </c>
      <c r="D407" s="209" t="str">
        <f t="shared" si="1"/>
        <v/>
      </c>
      <c r="E407" s="296" t="str">
        <f t="array" ref="E407">IF(ISNA($AA407),0,INDEX(DECLARATIONS,$AA407,5))</f>
        <v/>
      </c>
      <c r="F407" s="209" t="str">
        <f t="array" ref="F407">IF(ISNA($AA407),0,INDEX(DECLARATIONS,$AA407,7))</f>
        <v/>
      </c>
      <c r="G407" s="209" t="str">
        <f t="array" ref="G407">UPPER(IF(ISNA($AA407),"",INDEX(DECLARATIONS,$AA407,4)))</f>
        <v/>
      </c>
      <c r="H407" t="str">
        <f>IF(AND(A407&gt;0,ISTEXT(B407)),IF(SECNAME="YES",LEFT(B407&amp;" ",FIND(" ",B407&amp;" ")+2)&amp;IF(F407&gt;0," ("&amp;F407&amp;")",""),B407&amp;IF(F407&gt;0," ("&amp;F407&amp;")","")),"#"&amp;$A407)</f>
        <v/>
      </c>
      <c r="I407" s="209">
        <f>IF(LEN($A407)&gt;0,IF(LEN($J407)&gt;0,MATCH(J407,MatchNames,0),EventIndex),0)</f>
        <v>0</v>
      </c>
      <c r="J407" s="209" t="str">
        <f>IF(LEN($A407)&gt;0,IF(LEN(Declarations!$F407)&gt;0,Declarations!$F407,conftype),"")</f>
        <v/>
      </c>
      <c r="M407" s="297">
        <f>IF(ISNA(VLOOKUP($A407,SprintData,2,FALSE)),0,VLOOKUP($A407,SprintData,2,FALSE))</f>
        <v>0</v>
      </c>
      <c r="N407" s="297">
        <f>IF(ISNA(VLOOKUP($A407,JumpData,2,FALSE)),0,VLOOKUP($A407,JumpData,2,FALSE))</f>
        <v>0</v>
      </c>
      <c r="O407" s="297">
        <f>IF(ISNA(VLOOKUP($A407,RunData,2,FALSE)),0,VLOOKUP($A407,RunData,2,FALSE))</f>
        <v>0</v>
      </c>
      <c r="P407" s="297">
        <f>IF(ISNA(VLOOKUP($A407,ThrowData,2,FALSE)),0,VLOOKUP($A407,ThrowData,2,FALSE))</f>
        <v>0</v>
      </c>
      <c r="Q407" s="298">
        <f>IF(ISNA(VLOOKUP($A407,SprintData,4,FALSE)),0,VLOOKUP($A407,SprintData,4,FALSE))+V407</f>
        <v>0</v>
      </c>
      <c r="R407" s="298">
        <f>IF(ISNA(VLOOKUP($A407,JumpData,4,FALSE)),0,VLOOKUP($A407,JumpData,4,FALSE))+W407</f>
        <v>0</v>
      </c>
      <c r="S407" s="298">
        <f>IF(ISNA(VLOOKUP($A407,RunData,4,FALSE)),0,VLOOKUP($A407,RunData,4,FALSE))+X407</f>
        <v>0</v>
      </c>
      <c r="T407" s="298">
        <f>IF(ISNA(VLOOKUP($A407,ThrowData,4,FALSE)),0,VLOOKUP($A407,ThrowData,4,FALSE))+Y407</f>
        <v>0</v>
      </c>
      <c r="U407" s="299">
        <f t="shared" si="2"/>
        <v>0</v>
      </c>
      <c r="V407">
        <f>IF(AND($F407&gt;0,NOT(M407),Flexing),FlexPC,0)</f>
        <v>0</v>
      </c>
      <c r="W407">
        <f>IF(AND($F407&gt;0,NOT(N407),Flexing),FlexPC,0)</f>
        <v>0</v>
      </c>
      <c r="X407">
        <f>IF(AND($F407&gt;0,NOT(O407),Flexing),FlexPC,0)</f>
        <v>0</v>
      </c>
      <c r="Y407">
        <f>IF(AND($F407&gt;0,NOT(P407),Flexing),FlexPC,0)</f>
        <v>0</v>
      </c>
      <c r="AA407" s="209">
        <f t="shared" si="3"/>
        <v>406</v>
      </c>
    </row>
    <row r="408" ht="15.75" customHeight="1">
      <c r="A408" s="206" t="str">
        <f>+Declarations!A408&amp;""</f>
        <v/>
      </c>
      <c r="B408" t="str">
        <f>IF(LEN($A408),IF(LEN(Declarations!$B408)&gt;0,Declarations!$B408,"#"&amp;$A408),"")</f>
        <v/>
      </c>
      <c r="C408" s="209" t="str">
        <f t="array" ref="C408">IF(LEN(INDEX(DECLARATIONS,$AA408,3))&gt;0,INDEX(DECLARATIONS,$AA408,3),"...")</f>
        <v>...</v>
      </c>
      <c r="D408" s="209" t="str">
        <f t="shared" si="1"/>
        <v/>
      </c>
      <c r="E408" s="296" t="str">
        <f t="array" ref="E408">IF(ISNA($AA408),0,INDEX(DECLARATIONS,$AA408,5))</f>
        <v/>
      </c>
      <c r="F408" s="209" t="str">
        <f t="array" ref="F408">IF(ISNA($AA408),0,INDEX(DECLARATIONS,$AA408,7))</f>
        <v/>
      </c>
      <c r="G408" s="209" t="str">
        <f t="array" ref="G408">UPPER(IF(ISNA($AA408),"",INDEX(DECLARATIONS,$AA408,4)))</f>
        <v/>
      </c>
      <c r="H408" t="str">
        <f>IF(AND(A408&gt;0,ISTEXT(B408)),IF(SECNAME="YES",LEFT(B408&amp;" ",FIND(" ",B408&amp;" ")+2)&amp;IF(F408&gt;0," ("&amp;F408&amp;")",""),B408&amp;IF(F408&gt;0," ("&amp;F408&amp;")","")),"#"&amp;$A408)</f>
        <v/>
      </c>
      <c r="I408" s="209">
        <f>IF(LEN($A408)&gt;0,IF(LEN($J408)&gt;0,MATCH(J408,MatchNames,0),EventIndex),0)</f>
        <v>0</v>
      </c>
      <c r="J408" s="209" t="str">
        <f>IF(LEN($A408)&gt;0,IF(LEN(Declarations!$F408)&gt;0,Declarations!$F408,conftype),"")</f>
        <v/>
      </c>
      <c r="M408" s="297">
        <f>IF(ISNA(VLOOKUP($A408,SprintData,2,FALSE)),0,VLOOKUP($A408,SprintData,2,FALSE))</f>
        <v>0</v>
      </c>
      <c r="N408" s="297">
        <f>IF(ISNA(VLOOKUP($A408,JumpData,2,FALSE)),0,VLOOKUP($A408,JumpData,2,FALSE))</f>
        <v>0</v>
      </c>
      <c r="O408" s="297">
        <f>IF(ISNA(VLOOKUP($A408,RunData,2,FALSE)),0,VLOOKUP($A408,RunData,2,FALSE))</f>
        <v>0</v>
      </c>
      <c r="P408" s="297">
        <f>IF(ISNA(VLOOKUP($A408,ThrowData,2,FALSE)),0,VLOOKUP($A408,ThrowData,2,FALSE))</f>
        <v>0</v>
      </c>
      <c r="Q408" s="298">
        <f>IF(ISNA(VLOOKUP($A408,SprintData,4,FALSE)),0,VLOOKUP($A408,SprintData,4,FALSE))+V408</f>
        <v>0</v>
      </c>
      <c r="R408" s="298">
        <f>IF(ISNA(VLOOKUP($A408,JumpData,4,FALSE)),0,VLOOKUP($A408,JumpData,4,FALSE))+W408</f>
        <v>0</v>
      </c>
      <c r="S408" s="298">
        <f>IF(ISNA(VLOOKUP($A408,RunData,4,FALSE)),0,VLOOKUP($A408,RunData,4,FALSE))+X408</f>
        <v>0</v>
      </c>
      <c r="T408" s="298">
        <f>IF(ISNA(VLOOKUP($A408,ThrowData,4,FALSE)),0,VLOOKUP($A408,ThrowData,4,FALSE))+Y408</f>
        <v>0</v>
      </c>
      <c r="U408" s="299">
        <f t="shared" si="2"/>
        <v>0</v>
      </c>
      <c r="V408">
        <f>IF(AND($F408&gt;0,NOT(M408),Flexing),FlexPC,0)</f>
        <v>0</v>
      </c>
      <c r="W408">
        <f>IF(AND($F408&gt;0,NOT(N408),Flexing),FlexPC,0)</f>
        <v>0</v>
      </c>
      <c r="X408">
        <f>IF(AND($F408&gt;0,NOT(O408),Flexing),FlexPC,0)</f>
        <v>0</v>
      </c>
      <c r="Y408">
        <f>IF(AND($F408&gt;0,NOT(P408),Flexing),FlexPC,0)</f>
        <v>0</v>
      </c>
      <c r="AA408" s="209">
        <f t="shared" si="3"/>
        <v>407</v>
      </c>
    </row>
    <row r="409" ht="15.75" customHeight="1">
      <c r="A409" s="206" t="str">
        <f>+Declarations!A409&amp;""</f>
        <v/>
      </c>
      <c r="B409" t="str">
        <f>IF(LEN($A409),IF(LEN(Declarations!$B409)&gt;0,Declarations!$B409,"#"&amp;$A409),"")</f>
        <v/>
      </c>
      <c r="C409" s="209" t="str">
        <f t="array" ref="C409">IF(LEN(INDEX(DECLARATIONS,$AA409,3))&gt;0,INDEX(DECLARATIONS,$AA409,3),"...")</f>
        <v>...</v>
      </c>
      <c r="D409" s="209" t="str">
        <f t="shared" si="1"/>
        <v/>
      </c>
      <c r="E409" s="296" t="str">
        <f t="array" ref="E409">IF(ISNA($AA409),0,INDEX(DECLARATIONS,$AA409,5))</f>
        <v/>
      </c>
      <c r="F409" s="209" t="str">
        <f t="array" ref="F409">IF(ISNA($AA409),0,INDEX(DECLARATIONS,$AA409,7))</f>
        <v/>
      </c>
      <c r="G409" s="209" t="str">
        <f t="array" ref="G409">UPPER(IF(ISNA($AA409),"",INDEX(DECLARATIONS,$AA409,4)))</f>
        <v/>
      </c>
      <c r="H409" t="str">
        <f>IF(AND(A409&gt;0,ISTEXT(B409)),IF(SECNAME="YES",LEFT(B409&amp;" ",FIND(" ",B409&amp;" ")+2)&amp;IF(F409&gt;0," ("&amp;F409&amp;")",""),B409&amp;IF(F409&gt;0," ("&amp;F409&amp;")","")),"#"&amp;$A409)</f>
        <v/>
      </c>
      <c r="I409" s="209">
        <f>IF(LEN($A409)&gt;0,IF(LEN($J409)&gt;0,MATCH(J409,MatchNames,0),EventIndex),0)</f>
        <v>0</v>
      </c>
      <c r="J409" s="209" t="str">
        <f>IF(LEN($A409)&gt;0,IF(LEN(Declarations!$F409)&gt;0,Declarations!$F409,conftype),"")</f>
        <v/>
      </c>
      <c r="M409" s="297">
        <f>IF(ISNA(VLOOKUP($A409,SprintData,2,FALSE)),0,VLOOKUP($A409,SprintData,2,FALSE))</f>
        <v>0</v>
      </c>
      <c r="N409" s="297">
        <f>IF(ISNA(VLOOKUP($A409,JumpData,2,FALSE)),0,VLOOKUP($A409,JumpData,2,FALSE))</f>
        <v>0</v>
      </c>
      <c r="O409" s="297">
        <f>IF(ISNA(VLOOKUP($A409,RunData,2,FALSE)),0,VLOOKUP($A409,RunData,2,FALSE))</f>
        <v>0</v>
      </c>
      <c r="P409" s="297">
        <f>IF(ISNA(VLOOKUP($A409,ThrowData,2,FALSE)),0,VLOOKUP($A409,ThrowData,2,FALSE))</f>
        <v>0</v>
      </c>
      <c r="Q409" s="298">
        <f>IF(ISNA(VLOOKUP($A409,SprintData,4,FALSE)),0,VLOOKUP($A409,SprintData,4,FALSE))+V409</f>
        <v>0</v>
      </c>
      <c r="R409" s="298">
        <f>IF(ISNA(VLOOKUP($A409,JumpData,4,FALSE)),0,VLOOKUP($A409,JumpData,4,FALSE))+W409</f>
        <v>0</v>
      </c>
      <c r="S409" s="298">
        <f>IF(ISNA(VLOOKUP($A409,RunData,4,FALSE)),0,VLOOKUP($A409,RunData,4,FALSE))+X409</f>
        <v>0</v>
      </c>
      <c r="T409" s="298">
        <f>IF(ISNA(VLOOKUP($A409,ThrowData,4,FALSE)),0,VLOOKUP($A409,ThrowData,4,FALSE))+Y409</f>
        <v>0</v>
      </c>
      <c r="U409" s="299">
        <f t="shared" si="2"/>
        <v>0</v>
      </c>
      <c r="V409">
        <f>IF(AND($F409&gt;0,NOT(M409),Flexing),FlexPC,0)</f>
        <v>0</v>
      </c>
      <c r="W409">
        <f>IF(AND($F409&gt;0,NOT(N409),Flexing),FlexPC,0)</f>
        <v>0</v>
      </c>
      <c r="X409">
        <f>IF(AND($F409&gt;0,NOT(O409),Flexing),FlexPC,0)</f>
        <v>0</v>
      </c>
      <c r="Y409">
        <f>IF(AND($F409&gt;0,NOT(P409),Flexing),FlexPC,0)</f>
        <v>0</v>
      </c>
      <c r="AA409" s="209">
        <f t="shared" si="3"/>
        <v>408</v>
      </c>
    </row>
    <row r="410" ht="15.75" customHeight="1">
      <c r="A410" s="206" t="str">
        <f>+Declarations!A410&amp;""</f>
        <v/>
      </c>
      <c r="B410" t="str">
        <f>IF(LEN($A410),IF(LEN(Declarations!$B410)&gt;0,Declarations!$B410,"#"&amp;$A410),"")</f>
        <v/>
      </c>
      <c r="C410" s="209" t="str">
        <f t="array" ref="C410">IF(LEN(INDEX(DECLARATIONS,$AA410,3))&gt;0,INDEX(DECLARATIONS,$AA410,3),"...")</f>
        <v>...</v>
      </c>
      <c r="D410" s="209" t="str">
        <f t="shared" si="1"/>
        <v/>
      </c>
      <c r="E410" s="296" t="str">
        <f t="array" ref="E410">IF(ISNA($AA410),0,INDEX(DECLARATIONS,$AA410,5))</f>
        <v/>
      </c>
      <c r="F410" s="209" t="str">
        <f t="array" ref="F410">IF(ISNA($AA410),0,INDEX(DECLARATIONS,$AA410,7))</f>
        <v/>
      </c>
      <c r="G410" s="209" t="str">
        <f t="array" ref="G410">UPPER(IF(ISNA($AA410),"",INDEX(DECLARATIONS,$AA410,4)))</f>
        <v/>
      </c>
      <c r="H410" t="str">
        <f>IF(AND(A410&gt;0,ISTEXT(B410)),IF(SECNAME="YES",LEFT(B410&amp;" ",FIND(" ",B410&amp;" ")+2)&amp;IF(F410&gt;0," ("&amp;F410&amp;")",""),B410&amp;IF(F410&gt;0," ("&amp;F410&amp;")","")),"#"&amp;$A410)</f>
        <v/>
      </c>
      <c r="I410" s="209">
        <f>IF(LEN($A410)&gt;0,IF(LEN($J410)&gt;0,MATCH(J410,MatchNames,0),EventIndex),0)</f>
        <v>0</v>
      </c>
      <c r="J410" s="209" t="str">
        <f>IF(LEN($A410)&gt;0,IF(LEN(Declarations!$F410)&gt;0,Declarations!$F410,conftype),"")</f>
        <v/>
      </c>
      <c r="M410" s="297">
        <f>IF(ISNA(VLOOKUP($A410,SprintData,2,FALSE)),0,VLOOKUP($A410,SprintData,2,FALSE))</f>
        <v>0</v>
      </c>
      <c r="N410" s="297">
        <f>IF(ISNA(VLOOKUP($A410,JumpData,2,FALSE)),0,VLOOKUP($A410,JumpData,2,FALSE))</f>
        <v>0</v>
      </c>
      <c r="O410" s="297">
        <f>IF(ISNA(VLOOKUP($A410,RunData,2,FALSE)),0,VLOOKUP($A410,RunData,2,FALSE))</f>
        <v>0</v>
      </c>
      <c r="P410" s="297">
        <f>IF(ISNA(VLOOKUP($A410,ThrowData,2,FALSE)),0,VLOOKUP($A410,ThrowData,2,FALSE))</f>
        <v>0</v>
      </c>
      <c r="Q410" s="298">
        <f>IF(ISNA(VLOOKUP($A410,SprintData,4,FALSE)),0,VLOOKUP($A410,SprintData,4,FALSE))+V410</f>
        <v>0</v>
      </c>
      <c r="R410" s="298">
        <f>IF(ISNA(VLOOKUP($A410,JumpData,4,FALSE)),0,VLOOKUP($A410,JumpData,4,FALSE))+W410</f>
        <v>0</v>
      </c>
      <c r="S410" s="298">
        <f>IF(ISNA(VLOOKUP($A410,RunData,4,FALSE)),0,VLOOKUP($A410,RunData,4,FALSE))+X410</f>
        <v>0</v>
      </c>
      <c r="T410" s="298">
        <f>IF(ISNA(VLOOKUP($A410,ThrowData,4,FALSE)),0,VLOOKUP($A410,ThrowData,4,FALSE))+Y410</f>
        <v>0</v>
      </c>
      <c r="U410" s="299">
        <f t="shared" si="2"/>
        <v>0</v>
      </c>
      <c r="V410">
        <f>IF(AND($F410&gt;0,NOT(M410),Flexing),FlexPC,0)</f>
        <v>0</v>
      </c>
      <c r="W410">
        <f>IF(AND($F410&gt;0,NOT(N410),Flexing),FlexPC,0)</f>
        <v>0</v>
      </c>
      <c r="X410">
        <f>IF(AND($F410&gt;0,NOT(O410),Flexing),FlexPC,0)</f>
        <v>0</v>
      </c>
      <c r="Y410">
        <f>IF(AND($F410&gt;0,NOT(P410),Flexing),FlexPC,0)</f>
        <v>0</v>
      </c>
      <c r="AA410" s="209">
        <f t="shared" si="3"/>
        <v>409</v>
      </c>
    </row>
    <row r="411" ht="15.75" customHeight="1">
      <c r="A411" s="206" t="str">
        <f>+Declarations!A411&amp;""</f>
        <v/>
      </c>
      <c r="B411" t="str">
        <f>IF(LEN($A411),IF(LEN(Declarations!$B411)&gt;0,Declarations!$B411,"#"&amp;$A411),"")</f>
        <v/>
      </c>
      <c r="C411" s="209" t="str">
        <f t="array" ref="C411">IF(LEN(INDEX(DECLARATIONS,$AA411,3))&gt;0,INDEX(DECLARATIONS,$AA411,3),"...")</f>
        <v>...</v>
      </c>
      <c r="D411" s="209" t="str">
        <f t="shared" si="1"/>
        <v/>
      </c>
      <c r="E411" s="296" t="str">
        <f t="array" ref="E411">IF(ISNA($AA411),0,INDEX(DECLARATIONS,$AA411,5))</f>
        <v/>
      </c>
      <c r="F411" s="209" t="str">
        <f t="array" ref="F411">IF(ISNA($AA411),0,INDEX(DECLARATIONS,$AA411,7))</f>
        <v/>
      </c>
      <c r="G411" s="209" t="str">
        <f t="array" ref="G411">UPPER(IF(ISNA($AA411),"",INDEX(DECLARATIONS,$AA411,4)))</f>
        <v/>
      </c>
      <c r="H411" t="str">
        <f>IF(AND(A411&gt;0,ISTEXT(B411)),IF(SECNAME="YES",LEFT(B411&amp;" ",FIND(" ",B411&amp;" ")+2)&amp;IF(F411&gt;0," ("&amp;F411&amp;")",""),B411&amp;IF(F411&gt;0," ("&amp;F411&amp;")","")),"#"&amp;$A411)</f>
        <v/>
      </c>
      <c r="I411" s="209">
        <f>IF(LEN($A411)&gt;0,IF(LEN($J411)&gt;0,MATCH(J411,MatchNames,0),EventIndex),0)</f>
        <v>0</v>
      </c>
      <c r="J411" s="209" t="str">
        <f>IF(LEN($A411)&gt;0,IF(LEN(Declarations!$F411)&gt;0,Declarations!$F411,conftype),"")</f>
        <v/>
      </c>
      <c r="M411" s="297">
        <f>IF(ISNA(VLOOKUP($A411,SprintData,2,FALSE)),0,VLOOKUP($A411,SprintData,2,FALSE))</f>
        <v>0</v>
      </c>
      <c r="N411" s="297">
        <f>IF(ISNA(VLOOKUP($A411,JumpData,2,FALSE)),0,VLOOKUP($A411,JumpData,2,FALSE))</f>
        <v>0</v>
      </c>
      <c r="O411" s="297">
        <f>IF(ISNA(VLOOKUP($A411,RunData,2,FALSE)),0,VLOOKUP($A411,RunData,2,FALSE))</f>
        <v>0</v>
      </c>
      <c r="P411" s="297">
        <f>IF(ISNA(VLOOKUP($A411,ThrowData,2,FALSE)),0,VLOOKUP($A411,ThrowData,2,FALSE))</f>
        <v>0</v>
      </c>
      <c r="Q411" s="298">
        <f>IF(ISNA(VLOOKUP($A411,SprintData,4,FALSE)),0,VLOOKUP($A411,SprintData,4,FALSE))+V411</f>
        <v>0</v>
      </c>
      <c r="R411" s="298">
        <f>IF(ISNA(VLOOKUP($A411,JumpData,4,FALSE)),0,VLOOKUP($A411,JumpData,4,FALSE))+W411</f>
        <v>0</v>
      </c>
      <c r="S411" s="298">
        <f>IF(ISNA(VLOOKUP($A411,RunData,4,FALSE)),0,VLOOKUP($A411,RunData,4,FALSE))+X411</f>
        <v>0</v>
      </c>
      <c r="T411" s="298">
        <f>IF(ISNA(VLOOKUP($A411,ThrowData,4,FALSE)),0,VLOOKUP($A411,ThrowData,4,FALSE))+Y411</f>
        <v>0</v>
      </c>
      <c r="U411" s="299">
        <f t="shared" si="2"/>
        <v>0</v>
      </c>
      <c r="V411">
        <f>IF(AND($F411&gt;0,NOT(M411),Flexing),FlexPC,0)</f>
        <v>0</v>
      </c>
      <c r="W411">
        <f>IF(AND($F411&gt;0,NOT(N411),Flexing),FlexPC,0)</f>
        <v>0</v>
      </c>
      <c r="X411">
        <f>IF(AND($F411&gt;0,NOT(O411),Flexing),FlexPC,0)</f>
        <v>0</v>
      </c>
      <c r="Y411">
        <f>IF(AND($F411&gt;0,NOT(P411),Flexing),FlexPC,0)</f>
        <v>0</v>
      </c>
      <c r="AA411" s="209">
        <f t="shared" si="3"/>
        <v>410</v>
      </c>
    </row>
    <row r="412" ht="15.75" customHeight="1">
      <c r="A412" s="206" t="str">
        <f>+Declarations!A412&amp;""</f>
        <v/>
      </c>
      <c r="B412" t="str">
        <f>IF(LEN($A412),IF(LEN(Declarations!$B412)&gt;0,Declarations!$B412,"#"&amp;$A412),"")</f>
        <v/>
      </c>
      <c r="C412" s="209" t="str">
        <f t="array" ref="C412">IF(LEN(INDEX(DECLARATIONS,$AA412,3))&gt;0,INDEX(DECLARATIONS,$AA412,3),"...")</f>
        <v>...</v>
      </c>
      <c r="D412" s="209" t="str">
        <f t="shared" si="1"/>
        <v/>
      </c>
      <c r="E412" s="296" t="str">
        <f t="array" ref="E412">IF(ISNA($AA412),0,INDEX(DECLARATIONS,$AA412,5))</f>
        <v/>
      </c>
      <c r="F412" s="209" t="str">
        <f t="array" ref="F412">IF(ISNA($AA412),0,INDEX(DECLARATIONS,$AA412,7))</f>
        <v/>
      </c>
      <c r="G412" s="209" t="str">
        <f t="array" ref="G412">UPPER(IF(ISNA($AA412),"",INDEX(DECLARATIONS,$AA412,4)))</f>
        <v/>
      </c>
      <c r="H412" t="str">
        <f>IF(AND(A412&gt;0,ISTEXT(B412)),IF(SECNAME="YES",LEFT(B412&amp;" ",FIND(" ",B412&amp;" ")+2)&amp;IF(F412&gt;0," ("&amp;F412&amp;")",""),B412&amp;IF(F412&gt;0," ("&amp;F412&amp;")","")),"#"&amp;$A412)</f>
        <v/>
      </c>
      <c r="I412" s="209">
        <f>IF(LEN($A412)&gt;0,IF(LEN($J412)&gt;0,MATCH(J412,MatchNames,0),EventIndex),0)</f>
        <v>0</v>
      </c>
      <c r="J412" s="209" t="str">
        <f>IF(LEN($A412)&gt;0,IF(LEN(Declarations!$F412)&gt;0,Declarations!$F412,conftype),"")</f>
        <v/>
      </c>
      <c r="M412" s="297">
        <f>IF(ISNA(VLOOKUP($A412,SprintData,2,FALSE)),0,VLOOKUP($A412,SprintData,2,FALSE))</f>
        <v>0</v>
      </c>
      <c r="N412" s="297">
        <f>IF(ISNA(VLOOKUP($A412,JumpData,2,FALSE)),0,VLOOKUP($A412,JumpData,2,FALSE))</f>
        <v>0</v>
      </c>
      <c r="O412" s="297">
        <f>IF(ISNA(VLOOKUP($A412,RunData,2,FALSE)),0,VLOOKUP($A412,RunData,2,FALSE))</f>
        <v>0</v>
      </c>
      <c r="P412" s="297">
        <f>IF(ISNA(VLOOKUP($A412,ThrowData,2,FALSE)),0,VLOOKUP($A412,ThrowData,2,FALSE))</f>
        <v>0</v>
      </c>
      <c r="Q412" s="298">
        <f>IF(ISNA(VLOOKUP($A412,SprintData,4,FALSE)),0,VLOOKUP($A412,SprintData,4,FALSE))+V412</f>
        <v>0</v>
      </c>
      <c r="R412" s="298">
        <f>IF(ISNA(VLOOKUP($A412,JumpData,4,FALSE)),0,VLOOKUP($A412,JumpData,4,FALSE))+W412</f>
        <v>0</v>
      </c>
      <c r="S412" s="298">
        <f>IF(ISNA(VLOOKUP($A412,RunData,4,FALSE)),0,VLOOKUP($A412,RunData,4,FALSE))+X412</f>
        <v>0</v>
      </c>
      <c r="T412" s="298">
        <f>IF(ISNA(VLOOKUP($A412,ThrowData,4,FALSE)),0,VLOOKUP($A412,ThrowData,4,FALSE))+Y412</f>
        <v>0</v>
      </c>
      <c r="U412" s="299">
        <f t="shared" si="2"/>
        <v>0</v>
      </c>
      <c r="V412">
        <f>IF(AND($F412&gt;0,NOT(M412),Flexing),FlexPC,0)</f>
        <v>0</v>
      </c>
      <c r="W412">
        <f>IF(AND($F412&gt;0,NOT(N412),Flexing),FlexPC,0)</f>
        <v>0</v>
      </c>
      <c r="X412">
        <f>IF(AND($F412&gt;0,NOT(O412),Flexing),FlexPC,0)</f>
        <v>0</v>
      </c>
      <c r="Y412">
        <f>IF(AND($F412&gt;0,NOT(P412),Flexing),FlexPC,0)</f>
        <v>0</v>
      </c>
      <c r="AA412" s="209">
        <f t="shared" si="3"/>
        <v>411</v>
      </c>
    </row>
    <row r="413" ht="15.75" customHeight="1">
      <c r="A413" s="206" t="str">
        <f>+Declarations!A413&amp;""</f>
        <v/>
      </c>
      <c r="B413" t="str">
        <f>IF(LEN($A413),IF(LEN(Declarations!$B413)&gt;0,Declarations!$B413,"#"&amp;$A413),"")</f>
        <v/>
      </c>
      <c r="C413" s="209" t="str">
        <f t="array" ref="C413">IF(LEN(INDEX(DECLARATIONS,$AA413,3))&gt;0,INDEX(DECLARATIONS,$AA413,3),"...")</f>
        <v>...</v>
      </c>
      <c r="D413" s="209" t="str">
        <f t="shared" si="1"/>
        <v/>
      </c>
      <c r="E413" s="296" t="str">
        <f t="array" ref="E413">IF(ISNA($AA413),0,INDEX(DECLARATIONS,$AA413,5))</f>
        <v/>
      </c>
      <c r="F413" s="209" t="str">
        <f t="array" ref="F413">IF(ISNA($AA413),0,INDEX(DECLARATIONS,$AA413,7))</f>
        <v/>
      </c>
      <c r="G413" s="209" t="str">
        <f t="array" ref="G413">UPPER(IF(ISNA($AA413),"",INDEX(DECLARATIONS,$AA413,4)))</f>
        <v/>
      </c>
      <c r="H413" t="str">
        <f>IF(AND(A413&gt;0,ISTEXT(B413)),IF(SECNAME="YES",LEFT(B413&amp;" ",FIND(" ",B413&amp;" ")+2)&amp;IF(F413&gt;0," ("&amp;F413&amp;")",""),B413&amp;IF(F413&gt;0," ("&amp;F413&amp;")","")),"#"&amp;$A413)</f>
        <v/>
      </c>
      <c r="I413" s="209">
        <f>IF(LEN($A413)&gt;0,IF(LEN($J413)&gt;0,MATCH(J413,MatchNames,0),EventIndex),0)</f>
        <v>0</v>
      </c>
      <c r="J413" s="209" t="str">
        <f>IF(LEN($A413)&gt;0,IF(LEN(Declarations!$F413)&gt;0,Declarations!$F413,conftype),"")</f>
        <v/>
      </c>
      <c r="M413" s="297">
        <f>IF(ISNA(VLOOKUP($A413,SprintData,2,FALSE)),0,VLOOKUP($A413,SprintData,2,FALSE))</f>
        <v>0</v>
      </c>
      <c r="N413" s="297">
        <f>IF(ISNA(VLOOKUP($A413,JumpData,2,FALSE)),0,VLOOKUP($A413,JumpData,2,FALSE))</f>
        <v>0</v>
      </c>
      <c r="O413" s="297">
        <f>IF(ISNA(VLOOKUP($A413,RunData,2,FALSE)),0,VLOOKUP($A413,RunData,2,FALSE))</f>
        <v>0</v>
      </c>
      <c r="P413" s="297">
        <f>IF(ISNA(VLOOKUP($A413,ThrowData,2,FALSE)),0,VLOOKUP($A413,ThrowData,2,FALSE))</f>
        <v>0</v>
      </c>
      <c r="Q413" s="298">
        <f>IF(ISNA(VLOOKUP($A413,SprintData,4,FALSE)),0,VLOOKUP($A413,SprintData,4,FALSE))+V413</f>
        <v>0</v>
      </c>
      <c r="R413" s="298">
        <f>IF(ISNA(VLOOKUP($A413,JumpData,4,FALSE)),0,VLOOKUP($A413,JumpData,4,FALSE))+W413</f>
        <v>0</v>
      </c>
      <c r="S413" s="298">
        <f>IF(ISNA(VLOOKUP($A413,RunData,4,FALSE)),0,VLOOKUP($A413,RunData,4,FALSE))+X413</f>
        <v>0</v>
      </c>
      <c r="T413" s="298">
        <f>IF(ISNA(VLOOKUP($A413,ThrowData,4,FALSE)),0,VLOOKUP($A413,ThrowData,4,FALSE))+Y413</f>
        <v>0</v>
      </c>
      <c r="U413" s="299">
        <f t="shared" si="2"/>
        <v>0</v>
      </c>
      <c r="V413">
        <f>IF(AND($F413&gt;0,NOT(M413),Flexing),FlexPC,0)</f>
        <v>0</v>
      </c>
      <c r="W413">
        <f>IF(AND($F413&gt;0,NOT(N413),Flexing),FlexPC,0)</f>
        <v>0</v>
      </c>
      <c r="X413">
        <f>IF(AND($F413&gt;0,NOT(O413),Flexing),FlexPC,0)</f>
        <v>0</v>
      </c>
      <c r="Y413">
        <f>IF(AND($F413&gt;0,NOT(P413),Flexing),FlexPC,0)</f>
        <v>0</v>
      </c>
      <c r="AA413" s="209">
        <f t="shared" si="3"/>
        <v>412</v>
      </c>
    </row>
    <row r="414" ht="15.75" customHeight="1">
      <c r="A414" s="206" t="str">
        <f>+Declarations!A414&amp;""</f>
        <v/>
      </c>
      <c r="B414" t="str">
        <f>IF(LEN($A414),IF(LEN(Declarations!$B414)&gt;0,Declarations!$B414,"#"&amp;$A414),"")</f>
        <v/>
      </c>
      <c r="C414" s="209" t="str">
        <f t="array" ref="C414">IF(LEN(INDEX(DECLARATIONS,$AA414,3))&gt;0,INDEX(DECLARATIONS,$AA414,3),"...")</f>
        <v>...</v>
      </c>
      <c r="D414" s="209" t="str">
        <f t="shared" si="1"/>
        <v/>
      </c>
      <c r="E414" s="296" t="str">
        <f t="array" ref="E414">IF(ISNA($AA414),0,INDEX(DECLARATIONS,$AA414,5))</f>
        <v/>
      </c>
      <c r="F414" s="209" t="str">
        <f t="array" ref="F414">IF(ISNA($AA414),0,INDEX(DECLARATIONS,$AA414,7))</f>
        <v/>
      </c>
      <c r="G414" s="209" t="str">
        <f t="array" ref="G414">UPPER(IF(ISNA($AA414),"",INDEX(DECLARATIONS,$AA414,4)))</f>
        <v/>
      </c>
      <c r="H414" t="str">
        <f>IF(AND(A414&gt;0,ISTEXT(B414)),IF(SECNAME="YES",LEFT(B414&amp;" ",FIND(" ",B414&amp;" ")+2)&amp;IF(F414&gt;0," ("&amp;F414&amp;")",""),B414&amp;IF(F414&gt;0," ("&amp;F414&amp;")","")),"#"&amp;$A414)</f>
        <v/>
      </c>
      <c r="I414" s="209">
        <f>IF(LEN($A414)&gt;0,IF(LEN($J414)&gt;0,MATCH(J414,MatchNames,0),EventIndex),0)</f>
        <v>0</v>
      </c>
      <c r="J414" s="209" t="str">
        <f>IF(LEN($A414)&gt;0,IF(LEN(Declarations!$F414)&gt;0,Declarations!$F414,conftype),"")</f>
        <v/>
      </c>
      <c r="M414" s="297">
        <f>IF(ISNA(VLOOKUP($A414,SprintData,2,FALSE)),0,VLOOKUP($A414,SprintData,2,FALSE))</f>
        <v>0</v>
      </c>
      <c r="N414" s="297">
        <f>IF(ISNA(VLOOKUP($A414,JumpData,2,FALSE)),0,VLOOKUP($A414,JumpData,2,FALSE))</f>
        <v>0</v>
      </c>
      <c r="O414" s="297">
        <f>IF(ISNA(VLOOKUP($A414,RunData,2,FALSE)),0,VLOOKUP($A414,RunData,2,FALSE))</f>
        <v>0</v>
      </c>
      <c r="P414" s="297">
        <f>IF(ISNA(VLOOKUP($A414,ThrowData,2,FALSE)),0,VLOOKUP($A414,ThrowData,2,FALSE))</f>
        <v>0</v>
      </c>
      <c r="Q414" s="298">
        <f>IF(ISNA(VLOOKUP($A414,SprintData,4,FALSE)),0,VLOOKUP($A414,SprintData,4,FALSE))+V414</f>
        <v>0</v>
      </c>
      <c r="R414" s="298">
        <f>IF(ISNA(VLOOKUP($A414,JumpData,4,FALSE)),0,VLOOKUP($A414,JumpData,4,FALSE))+W414</f>
        <v>0</v>
      </c>
      <c r="S414" s="298">
        <f>IF(ISNA(VLOOKUP($A414,RunData,4,FALSE)),0,VLOOKUP($A414,RunData,4,FALSE))+X414</f>
        <v>0</v>
      </c>
      <c r="T414" s="298">
        <f>IF(ISNA(VLOOKUP($A414,ThrowData,4,FALSE)),0,VLOOKUP($A414,ThrowData,4,FALSE))+Y414</f>
        <v>0</v>
      </c>
      <c r="U414" s="299">
        <f t="shared" si="2"/>
        <v>0</v>
      </c>
      <c r="V414">
        <f>IF(AND($F414&gt;0,NOT(M414),Flexing),FlexPC,0)</f>
        <v>0</v>
      </c>
      <c r="W414">
        <f>IF(AND($F414&gt;0,NOT(N414),Flexing),FlexPC,0)</f>
        <v>0</v>
      </c>
      <c r="X414">
        <f>IF(AND($F414&gt;0,NOT(O414),Flexing),FlexPC,0)</f>
        <v>0</v>
      </c>
      <c r="Y414">
        <f>IF(AND($F414&gt;0,NOT(P414),Flexing),FlexPC,0)</f>
        <v>0</v>
      </c>
      <c r="AA414" s="209">
        <f t="shared" si="3"/>
        <v>413</v>
      </c>
    </row>
    <row r="415" ht="15.75" customHeight="1">
      <c r="A415" s="206" t="str">
        <f>+Declarations!A415&amp;""</f>
        <v/>
      </c>
      <c r="B415" t="str">
        <f>IF(LEN($A415),IF(LEN(Declarations!$B415)&gt;0,Declarations!$B415,"#"&amp;$A415),"")</f>
        <v/>
      </c>
      <c r="C415" s="209" t="str">
        <f t="array" ref="C415">IF(LEN(INDEX(DECLARATIONS,$AA415,3))&gt;0,INDEX(DECLARATIONS,$AA415,3),"...")</f>
        <v>...</v>
      </c>
      <c r="D415" s="209" t="str">
        <f t="shared" si="1"/>
        <v/>
      </c>
      <c r="E415" s="296" t="str">
        <f t="array" ref="E415">IF(ISNA($AA415),0,INDEX(DECLARATIONS,$AA415,5))</f>
        <v/>
      </c>
      <c r="F415" s="209" t="str">
        <f t="array" ref="F415">IF(ISNA($AA415),0,INDEX(DECLARATIONS,$AA415,7))</f>
        <v/>
      </c>
      <c r="G415" s="209" t="str">
        <f t="array" ref="G415">UPPER(IF(ISNA($AA415),"",INDEX(DECLARATIONS,$AA415,4)))</f>
        <v/>
      </c>
      <c r="H415" t="str">
        <f>IF(AND(A415&gt;0,ISTEXT(B415)),IF(SECNAME="YES",LEFT(B415&amp;" ",FIND(" ",B415&amp;" ")+2)&amp;IF(F415&gt;0," ("&amp;F415&amp;")",""),B415&amp;IF(F415&gt;0," ("&amp;F415&amp;")","")),"#"&amp;$A415)</f>
        <v/>
      </c>
      <c r="I415" s="209">
        <f>IF(LEN($A415)&gt;0,IF(LEN($J415)&gt;0,MATCH(J415,MatchNames,0),EventIndex),0)</f>
        <v>0</v>
      </c>
      <c r="J415" s="209" t="str">
        <f>IF(LEN($A415)&gt;0,IF(LEN(Declarations!$F415)&gt;0,Declarations!$F415,conftype),"")</f>
        <v/>
      </c>
      <c r="M415" s="297">
        <f>IF(ISNA(VLOOKUP($A415,SprintData,2,FALSE)),0,VLOOKUP($A415,SprintData,2,FALSE))</f>
        <v>0</v>
      </c>
      <c r="N415" s="297">
        <f>IF(ISNA(VLOOKUP($A415,JumpData,2,FALSE)),0,VLOOKUP($A415,JumpData,2,FALSE))</f>
        <v>0</v>
      </c>
      <c r="O415" s="297">
        <f>IF(ISNA(VLOOKUP($A415,RunData,2,FALSE)),0,VLOOKUP($A415,RunData,2,FALSE))</f>
        <v>0</v>
      </c>
      <c r="P415" s="297">
        <f>IF(ISNA(VLOOKUP($A415,ThrowData,2,FALSE)),0,VLOOKUP($A415,ThrowData,2,FALSE))</f>
        <v>0</v>
      </c>
      <c r="Q415" s="298">
        <f>IF(ISNA(VLOOKUP($A415,SprintData,4,FALSE)),0,VLOOKUP($A415,SprintData,4,FALSE))+V415</f>
        <v>0</v>
      </c>
      <c r="R415" s="298">
        <f>IF(ISNA(VLOOKUP($A415,JumpData,4,FALSE)),0,VLOOKUP($A415,JumpData,4,FALSE))+W415</f>
        <v>0</v>
      </c>
      <c r="S415" s="298">
        <f>IF(ISNA(VLOOKUP($A415,RunData,4,FALSE)),0,VLOOKUP($A415,RunData,4,FALSE))+X415</f>
        <v>0</v>
      </c>
      <c r="T415" s="298">
        <f>IF(ISNA(VLOOKUP($A415,ThrowData,4,FALSE)),0,VLOOKUP($A415,ThrowData,4,FALSE))+Y415</f>
        <v>0</v>
      </c>
      <c r="U415" s="299">
        <f t="shared" si="2"/>
        <v>0</v>
      </c>
      <c r="V415">
        <f>IF(AND($F415&gt;0,NOT(M415),Flexing),FlexPC,0)</f>
        <v>0</v>
      </c>
      <c r="W415">
        <f>IF(AND($F415&gt;0,NOT(N415),Flexing),FlexPC,0)</f>
        <v>0</v>
      </c>
      <c r="X415">
        <f>IF(AND($F415&gt;0,NOT(O415),Flexing),FlexPC,0)</f>
        <v>0</v>
      </c>
      <c r="Y415">
        <f>IF(AND($F415&gt;0,NOT(P415),Flexing),FlexPC,0)</f>
        <v>0</v>
      </c>
      <c r="AA415" s="209">
        <f t="shared" si="3"/>
        <v>414</v>
      </c>
    </row>
    <row r="416" ht="15.75" customHeight="1">
      <c r="A416" s="206" t="str">
        <f>+Declarations!A416&amp;""</f>
        <v/>
      </c>
      <c r="B416" t="str">
        <f>IF(LEN($A416),IF(LEN(Declarations!$B416)&gt;0,Declarations!$B416,"#"&amp;$A416),"")</f>
        <v/>
      </c>
      <c r="C416" s="209" t="str">
        <f t="array" ref="C416">IF(LEN(INDEX(DECLARATIONS,$AA416,3))&gt;0,INDEX(DECLARATIONS,$AA416,3),"...")</f>
        <v>...</v>
      </c>
      <c r="D416" s="209" t="str">
        <f t="shared" si="1"/>
        <v/>
      </c>
      <c r="E416" s="296" t="str">
        <f t="array" ref="E416">IF(ISNA($AA416),0,INDEX(DECLARATIONS,$AA416,5))</f>
        <v/>
      </c>
      <c r="F416" s="209" t="str">
        <f t="array" ref="F416">IF(ISNA($AA416),0,INDEX(DECLARATIONS,$AA416,7))</f>
        <v/>
      </c>
      <c r="G416" s="209" t="str">
        <f t="array" ref="G416">UPPER(IF(ISNA($AA416),"",INDEX(DECLARATIONS,$AA416,4)))</f>
        <v/>
      </c>
      <c r="H416" t="str">
        <f>IF(AND(A416&gt;0,ISTEXT(B416)),IF(SECNAME="YES",LEFT(B416&amp;" ",FIND(" ",B416&amp;" ")+2)&amp;IF(F416&gt;0," ("&amp;F416&amp;")",""),B416&amp;IF(F416&gt;0," ("&amp;F416&amp;")","")),"#"&amp;$A416)</f>
        <v/>
      </c>
      <c r="I416" s="209">
        <f>IF(LEN($A416)&gt;0,IF(LEN($J416)&gt;0,MATCH(J416,MatchNames,0),EventIndex),0)</f>
        <v>0</v>
      </c>
      <c r="J416" s="209" t="str">
        <f>IF(LEN($A416)&gt;0,IF(LEN(Declarations!$F416)&gt;0,Declarations!$F416,conftype),"")</f>
        <v/>
      </c>
      <c r="M416" s="297">
        <f>IF(ISNA(VLOOKUP($A416,SprintData,2,FALSE)),0,VLOOKUP($A416,SprintData,2,FALSE))</f>
        <v>0</v>
      </c>
      <c r="N416" s="297">
        <f>IF(ISNA(VLOOKUP($A416,JumpData,2,FALSE)),0,VLOOKUP($A416,JumpData,2,FALSE))</f>
        <v>0</v>
      </c>
      <c r="O416" s="297">
        <f>IF(ISNA(VLOOKUP($A416,RunData,2,FALSE)),0,VLOOKUP($A416,RunData,2,FALSE))</f>
        <v>0</v>
      </c>
      <c r="P416" s="297">
        <f>IF(ISNA(VLOOKUP($A416,ThrowData,2,FALSE)),0,VLOOKUP($A416,ThrowData,2,FALSE))</f>
        <v>0</v>
      </c>
      <c r="Q416" s="298">
        <f>IF(ISNA(VLOOKUP($A416,SprintData,4,FALSE)),0,VLOOKUP($A416,SprintData,4,FALSE))+V416</f>
        <v>0</v>
      </c>
      <c r="R416" s="298">
        <f>IF(ISNA(VLOOKUP($A416,JumpData,4,FALSE)),0,VLOOKUP($A416,JumpData,4,FALSE))+W416</f>
        <v>0</v>
      </c>
      <c r="S416" s="298">
        <f>IF(ISNA(VLOOKUP($A416,RunData,4,FALSE)),0,VLOOKUP($A416,RunData,4,FALSE))+X416</f>
        <v>0</v>
      </c>
      <c r="T416" s="298">
        <f>IF(ISNA(VLOOKUP($A416,ThrowData,4,FALSE)),0,VLOOKUP($A416,ThrowData,4,FALSE))+Y416</f>
        <v>0</v>
      </c>
      <c r="U416" s="299">
        <f t="shared" si="2"/>
        <v>0</v>
      </c>
      <c r="V416">
        <f>IF(AND($F416&gt;0,NOT(M416),Flexing),FlexPC,0)</f>
        <v>0</v>
      </c>
      <c r="W416">
        <f>IF(AND($F416&gt;0,NOT(N416),Flexing),FlexPC,0)</f>
        <v>0</v>
      </c>
      <c r="X416">
        <f>IF(AND($F416&gt;0,NOT(O416),Flexing),FlexPC,0)</f>
        <v>0</v>
      </c>
      <c r="Y416">
        <f>IF(AND($F416&gt;0,NOT(P416),Flexing),FlexPC,0)</f>
        <v>0</v>
      </c>
      <c r="AA416" s="209">
        <f t="shared" si="3"/>
        <v>415</v>
      </c>
    </row>
    <row r="417" ht="15.75" customHeight="1">
      <c r="A417" s="206" t="str">
        <f>+Declarations!A417&amp;""</f>
        <v/>
      </c>
      <c r="B417" t="str">
        <f>IF(LEN($A417),IF(LEN(Declarations!$B417)&gt;0,Declarations!$B417,"#"&amp;$A417),"")</f>
        <v/>
      </c>
      <c r="C417" s="209" t="str">
        <f t="array" ref="C417">IF(LEN(INDEX(DECLARATIONS,$AA417,3))&gt;0,INDEX(DECLARATIONS,$AA417,3),"...")</f>
        <v>...</v>
      </c>
      <c r="D417" s="209" t="str">
        <f t="shared" si="1"/>
        <v/>
      </c>
      <c r="E417" s="296" t="str">
        <f t="array" ref="E417">IF(ISNA($AA417),0,INDEX(DECLARATIONS,$AA417,5))</f>
        <v/>
      </c>
      <c r="F417" s="209" t="str">
        <f t="array" ref="F417">IF(ISNA($AA417),0,INDEX(DECLARATIONS,$AA417,7))</f>
        <v/>
      </c>
      <c r="G417" s="209" t="str">
        <f t="array" ref="G417">UPPER(IF(ISNA($AA417),"",INDEX(DECLARATIONS,$AA417,4)))</f>
        <v/>
      </c>
      <c r="H417" t="str">
        <f>IF(AND(A417&gt;0,ISTEXT(B417)),IF(SECNAME="YES",LEFT(B417&amp;" ",FIND(" ",B417&amp;" ")+2)&amp;IF(F417&gt;0," ("&amp;F417&amp;")",""),B417&amp;IF(F417&gt;0," ("&amp;F417&amp;")","")),"#"&amp;$A417)</f>
        <v/>
      </c>
      <c r="I417" s="209">
        <f>IF(LEN($A417)&gt;0,IF(LEN($J417)&gt;0,MATCH(J417,MatchNames,0),EventIndex),0)</f>
        <v>0</v>
      </c>
      <c r="J417" s="209" t="str">
        <f>IF(LEN($A417)&gt;0,IF(LEN(Declarations!$F417)&gt;0,Declarations!$F417,conftype),"")</f>
        <v/>
      </c>
      <c r="M417" s="297">
        <f>IF(ISNA(VLOOKUP($A417,SprintData,2,FALSE)),0,VLOOKUP($A417,SprintData,2,FALSE))</f>
        <v>0</v>
      </c>
      <c r="N417" s="297">
        <f>IF(ISNA(VLOOKUP($A417,JumpData,2,FALSE)),0,VLOOKUP($A417,JumpData,2,FALSE))</f>
        <v>0</v>
      </c>
      <c r="O417" s="297">
        <f>IF(ISNA(VLOOKUP($A417,RunData,2,FALSE)),0,VLOOKUP($A417,RunData,2,FALSE))</f>
        <v>0</v>
      </c>
      <c r="P417" s="297">
        <f>IF(ISNA(VLOOKUP($A417,ThrowData,2,FALSE)),0,VLOOKUP($A417,ThrowData,2,FALSE))</f>
        <v>0</v>
      </c>
      <c r="Q417" s="298">
        <f>IF(ISNA(VLOOKUP($A417,SprintData,4,FALSE)),0,VLOOKUP($A417,SprintData,4,FALSE))+V417</f>
        <v>0</v>
      </c>
      <c r="R417" s="298">
        <f>IF(ISNA(VLOOKUP($A417,JumpData,4,FALSE)),0,VLOOKUP($A417,JumpData,4,FALSE))+W417</f>
        <v>0</v>
      </c>
      <c r="S417" s="298">
        <f>IF(ISNA(VLOOKUP($A417,RunData,4,FALSE)),0,VLOOKUP($A417,RunData,4,FALSE))+X417</f>
        <v>0</v>
      </c>
      <c r="T417" s="298">
        <f>IF(ISNA(VLOOKUP($A417,ThrowData,4,FALSE)),0,VLOOKUP($A417,ThrowData,4,FALSE))+Y417</f>
        <v>0</v>
      </c>
      <c r="U417" s="299">
        <f t="shared" si="2"/>
        <v>0</v>
      </c>
      <c r="V417">
        <f>IF(AND($F417&gt;0,NOT(M417),Flexing),FlexPC,0)</f>
        <v>0</v>
      </c>
      <c r="W417">
        <f>IF(AND($F417&gt;0,NOT(N417),Flexing),FlexPC,0)</f>
        <v>0</v>
      </c>
      <c r="X417">
        <f>IF(AND($F417&gt;0,NOT(O417),Flexing),FlexPC,0)</f>
        <v>0</v>
      </c>
      <c r="Y417">
        <f>IF(AND($F417&gt;0,NOT(P417),Flexing),FlexPC,0)</f>
        <v>0</v>
      </c>
      <c r="AA417" s="209">
        <f t="shared" si="3"/>
        <v>416</v>
      </c>
    </row>
    <row r="418" ht="15.75" customHeight="1">
      <c r="A418" s="206" t="str">
        <f>+Declarations!A418&amp;""</f>
        <v/>
      </c>
      <c r="B418" t="str">
        <f>IF(LEN($A418),IF(LEN(Declarations!$B418)&gt;0,Declarations!$B418,"#"&amp;$A418),"")</f>
        <v/>
      </c>
      <c r="C418" s="209" t="str">
        <f t="array" ref="C418">IF(LEN(INDEX(DECLARATIONS,$AA418,3))&gt;0,INDEX(DECLARATIONS,$AA418,3),"...")</f>
        <v>...</v>
      </c>
      <c r="D418" s="209" t="str">
        <f t="shared" si="1"/>
        <v/>
      </c>
      <c r="E418" s="296" t="str">
        <f t="array" ref="E418">IF(ISNA($AA418),0,INDEX(DECLARATIONS,$AA418,5))</f>
        <v/>
      </c>
      <c r="F418" s="209" t="str">
        <f t="array" ref="F418">IF(ISNA($AA418),0,INDEX(DECLARATIONS,$AA418,7))</f>
        <v/>
      </c>
      <c r="G418" s="209" t="str">
        <f t="array" ref="G418">UPPER(IF(ISNA($AA418),"",INDEX(DECLARATIONS,$AA418,4)))</f>
        <v/>
      </c>
      <c r="H418" t="str">
        <f>IF(AND(A418&gt;0,ISTEXT(B418)),IF(SECNAME="YES",LEFT(B418&amp;" ",FIND(" ",B418&amp;" ")+2)&amp;IF(F418&gt;0," ("&amp;F418&amp;")",""),B418&amp;IF(F418&gt;0," ("&amp;F418&amp;")","")),"#"&amp;$A418)</f>
        <v/>
      </c>
      <c r="I418" s="209">
        <f>IF(LEN($A418)&gt;0,IF(LEN($J418)&gt;0,MATCH(J418,MatchNames,0),EventIndex),0)</f>
        <v>0</v>
      </c>
      <c r="J418" s="209" t="str">
        <f>IF(LEN($A418)&gt;0,IF(LEN(Declarations!$F418)&gt;0,Declarations!$F418,conftype),"")</f>
        <v/>
      </c>
      <c r="M418" s="297">
        <f>IF(ISNA(VLOOKUP($A418,SprintData,2,FALSE)),0,VLOOKUP($A418,SprintData,2,FALSE))</f>
        <v>0</v>
      </c>
      <c r="N418" s="297">
        <f>IF(ISNA(VLOOKUP($A418,JumpData,2,FALSE)),0,VLOOKUP($A418,JumpData,2,FALSE))</f>
        <v>0</v>
      </c>
      <c r="O418" s="297">
        <f>IF(ISNA(VLOOKUP($A418,RunData,2,FALSE)),0,VLOOKUP($A418,RunData,2,FALSE))</f>
        <v>0</v>
      </c>
      <c r="P418" s="297">
        <f>IF(ISNA(VLOOKUP($A418,ThrowData,2,FALSE)),0,VLOOKUP($A418,ThrowData,2,FALSE))</f>
        <v>0</v>
      </c>
      <c r="Q418" s="298">
        <f>IF(ISNA(VLOOKUP($A418,SprintData,4,FALSE)),0,VLOOKUP($A418,SprintData,4,FALSE))+V418</f>
        <v>0</v>
      </c>
      <c r="R418" s="298">
        <f>IF(ISNA(VLOOKUP($A418,JumpData,4,FALSE)),0,VLOOKUP($A418,JumpData,4,FALSE))+W418</f>
        <v>0</v>
      </c>
      <c r="S418" s="298">
        <f>IF(ISNA(VLOOKUP($A418,RunData,4,FALSE)),0,VLOOKUP($A418,RunData,4,FALSE))+X418</f>
        <v>0</v>
      </c>
      <c r="T418" s="298">
        <f>IF(ISNA(VLOOKUP($A418,ThrowData,4,FALSE)),0,VLOOKUP($A418,ThrowData,4,FALSE))+Y418</f>
        <v>0</v>
      </c>
      <c r="U418" s="299">
        <f t="shared" si="2"/>
        <v>0</v>
      </c>
      <c r="V418">
        <f>IF(AND($F418&gt;0,NOT(M418),Flexing),FlexPC,0)</f>
        <v>0</v>
      </c>
      <c r="W418">
        <f>IF(AND($F418&gt;0,NOT(N418),Flexing),FlexPC,0)</f>
        <v>0</v>
      </c>
      <c r="X418">
        <f>IF(AND($F418&gt;0,NOT(O418),Flexing),FlexPC,0)</f>
        <v>0</v>
      </c>
      <c r="Y418">
        <f>IF(AND($F418&gt;0,NOT(P418),Flexing),FlexPC,0)</f>
        <v>0</v>
      </c>
      <c r="AA418" s="209">
        <f t="shared" si="3"/>
        <v>417</v>
      </c>
    </row>
    <row r="419" ht="15.75" customHeight="1">
      <c r="A419" s="206" t="str">
        <f>+Declarations!A419&amp;""</f>
        <v/>
      </c>
      <c r="B419" t="str">
        <f>IF(LEN($A419),IF(LEN(Declarations!$B419)&gt;0,Declarations!$B419,"#"&amp;$A419),"")</f>
        <v/>
      </c>
      <c r="C419" s="209" t="str">
        <f t="array" ref="C419">IF(LEN(INDEX(DECLARATIONS,$AA419,3))&gt;0,INDEX(DECLARATIONS,$AA419,3),"...")</f>
        <v>...</v>
      </c>
      <c r="D419" s="209" t="str">
        <f t="shared" si="1"/>
        <v/>
      </c>
      <c r="E419" s="296" t="str">
        <f t="array" ref="E419">IF(ISNA($AA419),0,INDEX(DECLARATIONS,$AA419,5))</f>
        <v/>
      </c>
      <c r="F419" s="209" t="str">
        <f t="array" ref="F419">IF(ISNA($AA419),0,INDEX(DECLARATIONS,$AA419,7))</f>
        <v/>
      </c>
      <c r="G419" s="209" t="str">
        <f t="array" ref="G419">UPPER(IF(ISNA($AA419),"",INDEX(DECLARATIONS,$AA419,4)))</f>
        <v/>
      </c>
      <c r="H419" t="str">
        <f>IF(AND(A419&gt;0,ISTEXT(B419)),IF(SECNAME="YES",LEFT(B419&amp;" ",FIND(" ",B419&amp;" ")+2)&amp;IF(F419&gt;0," ("&amp;F419&amp;")",""),B419&amp;IF(F419&gt;0," ("&amp;F419&amp;")","")),"#"&amp;$A419)</f>
        <v/>
      </c>
      <c r="I419" s="209">
        <f>IF(LEN($A419)&gt;0,IF(LEN($J419)&gt;0,MATCH(J419,MatchNames,0),EventIndex),0)</f>
        <v>0</v>
      </c>
      <c r="J419" s="209" t="str">
        <f>IF(LEN($A419)&gt;0,IF(LEN(Declarations!$F419)&gt;0,Declarations!$F419,conftype),"")</f>
        <v/>
      </c>
      <c r="M419" s="297">
        <f>IF(ISNA(VLOOKUP($A419,SprintData,2,FALSE)),0,VLOOKUP($A419,SprintData,2,FALSE))</f>
        <v>0</v>
      </c>
      <c r="N419" s="297">
        <f>IF(ISNA(VLOOKUP($A419,JumpData,2,FALSE)),0,VLOOKUP($A419,JumpData,2,FALSE))</f>
        <v>0</v>
      </c>
      <c r="O419" s="297">
        <f>IF(ISNA(VLOOKUP($A419,RunData,2,FALSE)),0,VLOOKUP($A419,RunData,2,FALSE))</f>
        <v>0</v>
      </c>
      <c r="P419" s="297">
        <f>IF(ISNA(VLOOKUP($A419,ThrowData,2,FALSE)),0,VLOOKUP($A419,ThrowData,2,FALSE))</f>
        <v>0</v>
      </c>
      <c r="Q419" s="298">
        <f>IF(ISNA(VLOOKUP($A419,SprintData,4,FALSE)),0,VLOOKUP($A419,SprintData,4,FALSE))+V419</f>
        <v>0</v>
      </c>
      <c r="R419" s="298">
        <f>IF(ISNA(VLOOKUP($A419,JumpData,4,FALSE)),0,VLOOKUP($A419,JumpData,4,FALSE))+W419</f>
        <v>0</v>
      </c>
      <c r="S419" s="298">
        <f>IF(ISNA(VLOOKUP($A419,RunData,4,FALSE)),0,VLOOKUP($A419,RunData,4,FALSE))+X419</f>
        <v>0</v>
      </c>
      <c r="T419" s="298">
        <f>IF(ISNA(VLOOKUP($A419,ThrowData,4,FALSE)),0,VLOOKUP($A419,ThrowData,4,FALSE))+Y419</f>
        <v>0</v>
      </c>
      <c r="U419" s="299">
        <f t="shared" si="2"/>
        <v>0</v>
      </c>
      <c r="V419">
        <f>IF(AND($F419&gt;0,NOT(M419),Flexing),FlexPC,0)</f>
        <v>0</v>
      </c>
      <c r="W419">
        <f>IF(AND($F419&gt;0,NOT(N419),Flexing),FlexPC,0)</f>
        <v>0</v>
      </c>
      <c r="X419">
        <f>IF(AND($F419&gt;0,NOT(O419),Flexing),FlexPC,0)</f>
        <v>0</v>
      </c>
      <c r="Y419">
        <f>IF(AND($F419&gt;0,NOT(P419),Flexing),FlexPC,0)</f>
        <v>0</v>
      </c>
      <c r="AA419" s="209">
        <f t="shared" si="3"/>
        <v>418</v>
      </c>
    </row>
    <row r="420" ht="15.75" customHeight="1">
      <c r="A420" s="206" t="str">
        <f>+Declarations!A420&amp;""</f>
        <v/>
      </c>
      <c r="B420" t="str">
        <f>IF(LEN($A420),IF(LEN(Declarations!$B420)&gt;0,Declarations!$B420,"#"&amp;$A420),"")</f>
        <v/>
      </c>
      <c r="C420" s="209" t="str">
        <f t="array" ref="C420">IF(LEN(INDEX(DECLARATIONS,$AA420,3))&gt;0,INDEX(DECLARATIONS,$AA420,3),"...")</f>
        <v>...</v>
      </c>
      <c r="D420" s="209" t="str">
        <f t="shared" si="1"/>
        <v/>
      </c>
      <c r="E420" s="296" t="str">
        <f t="array" ref="E420">IF(ISNA($AA420),0,INDEX(DECLARATIONS,$AA420,5))</f>
        <v/>
      </c>
      <c r="F420" s="209" t="str">
        <f t="array" ref="F420">IF(ISNA($AA420),0,INDEX(DECLARATIONS,$AA420,7))</f>
        <v/>
      </c>
      <c r="G420" s="209" t="str">
        <f t="array" ref="G420">UPPER(IF(ISNA($AA420),"",INDEX(DECLARATIONS,$AA420,4)))</f>
        <v/>
      </c>
      <c r="H420" t="str">
        <f>IF(AND(A420&gt;0,ISTEXT(B420)),IF(SECNAME="YES",LEFT(B420&amp;" ",FIND(" ",B420&amp;" ")+2)&amp;IF(F420&gt;0," ("&amp;F420&amp;")",""),B420&amp;IF(F420&gt;0," ("&amp;F420&amp;")","")),"#"&amp;$A420)</f>
        <v/>
      </c>
      <c r="I420" s="209">
        <f>IF(LEN($A420)&gt;0,IF(LEN($J420)&gt;0,MATCH(J420,MatchNames,0),EventIndex),0)</f>
        <v>0</v>
      </c>
      <c r="J420" s="209" t="str">
        <f>IF(LEN($A420)&gt;0,IF(LEN(Declarations!$F420)&gt;0,Declarations!$F420,conftype),"")</f>
        <v/>
      </c>
      <c r="M420" s="297">
        <f>IF(ISNA(VLOOKUP($A420,SprintData,2,FALSE)),0,VLOOKUP($A420,SprintData,2,FALSE))</f>
        <v>0</v>
      </c>
      <c r="N420" s="297">
        <f>IF(ISNA(VLOOKUP($A420,JumpData,2,FALSE)),0,VLOOKUP($A420,JumpData,2,FALSE))</f>
        <v>0</v>
      </c>
      <c r="O420" s="297">
        <f>IF(ISNA(VLOOKUP($A420,RunData,2,FALSE)),0,VLOOKUP($A420,RunData,2,FALSE))</f>
        <v>0</v>
      </c>
      <c r="P420" s="297">
        <f>IF(ISNA(VLOOKUP($A420,ThrowData,2,FALSE)),0,VLOOKUP($A420,ThrowData,2,FALSE))</f>
        <v>0</v>
      </c>
      <c r="Q420" s="298">
        <f>IF(ISNA(VLOOKUP($A420,SprintData,4,FALSE)),0,VLOOKUP($A420,SprintData,4,FALSE))+V420</f>
        <v>0</v>
      </c>
      <c r="R420" s="298">
        <f>IF(ISNA(VLOOKUP($A420,JumpData,4,FALSE)),0,VLOOKUP($A420,JumpData,4,FALSE))+W420</f>
        <v>0</v>
      </c>
      <c r="S420" s="298">
        <f>IF(ISNA(VLOOKUP($A420,RunData,4,FALSE)),0,VLOOKUP($A420,RunData,4,FALSE))+X420</f>
        <v>0</v>
      </c>
      <c r="T420" s="298">
        <f>IF(ISNA(VLOOKUP($A420,ThrowData,4,FALSE)),0,VLOOKUP($A420,ThrowData,4,FALSE))+Y420</f>
        <v>0</v>
      </c>
      <c r="U420" s="299">
        <f t="shared" si="2"/>
        <v>0</v>
      </c>
      <c r="V420">
        <f>IF(AND($F420&gt;0,NOT(M420),Flexing),FlexPC,0)</f>
        <v>0</v>
      </c>
      <c r="W420">
        <f>IF(AND($F420&gt;0,NOT(N420),Flexing),FlexPC,0)</f>
        <v>0</v>
      </c>
      <c r="X420">
        <f>IF(AND($F420&gt;0,NOT(O420),Flexing),FlexPC,0)</f>
        <v>0</v>
      </c>
      <c r="Y420">
        <f>IF(AND($F420&gt;0,NOT(P420),Flexing),FlexPC,0)</f>
        <v>0</v>
      </c>
      <c r="AA420" s="209">
        <f t="shared" si="3"/>
        <v>419</v>
      </c>
    </row>
    <row r="421" ht="15.75" customHeight="1">
      <c r="A421" s="206" t="str">
        <f>+Declarations!A421&amp;""</f>
        <v/>
      </c>
      <c r="B421" t="str">
        <f>IF(LEN($A421),IF(LEN(Declarations!$B421)&gt;0,Declarations!$B421,"#"&amp;$A421),"")</f>
        <v/>
      </c>
      <c r="C421" s="209" t="str">
        <f t="array" ref="C421">IF(LEN(INDEX(DECLARATIONS,$AA421,3))&gt;0,INDEX(DECLARATIONS,$AA421,3),"...")</f>
        <v>...</v>
      </c>
      <c r="D421" s="209" t="str">
        <f t="shared" si="1"/>
        <v/>
      </c>
      <c r="E421" s="296" t="str">
        <f t="array" ref="E421">IF(ISNA($AA421),0,INDEX(DECLARATIONS,$AA421,5))</f>
        <v/>
      </c>
      <c r="F421" s="209" t="str">
        <f t="array" ref="F421">IF(ISNA($AA421),0,INDEX(DECLARATIONS,$AA421,7))</f>
        <v/>
      </c>
      <c r="G421" s="209" t="str">
        <f t="array" ref="G421">UPPER(IF(ISNA($AA421),"",INDEX(DECLARATIONS,$AA421,4)))</f>
        <v/>
      </c>
      <c r="H421" t="str">
        <f>IF(AND(A421&gt;0,ISTEXT(B421)),IF(SECNAME="YES",LEFT(B421&amp;" ",FIND(" ",B421&amp;" ")+2)&amp;IF(F421&gt;0," ("&amp;F421&amp;")",""),B421&amp;IF(F421&gt;0," ("&amp;F421&amp;")","")),"#"&amp;$A421)</f>
        <v/>
      </c>
      <c r="I421" s="209">
        <f>IF(LEN($A421)&gt;0,IF(LEN($J421)&gt;0,MATCH(J421,MatchNames,0),EventIndex),0)</f>
        <v>0</v>
      </c>
      <c r="J421" s="209" t="str">
        <f>IF(LEN($A421)&gt;0,IF(LEN(Declarations!$F421)&gt;0,Declarations!$F421,conftype),"")</f>
        <v/>
      </c>
      <c r="M421" s="297">
        <f>IF(ISNA(VLOOKUP($A421,SprintData,2,FALSE)),0,VLOOKUP($A421,SprintData,2,FALSE))</f>
        <v>0</v>
      </c>
      <c r="N421" s="297">
        <f>IF(ISNA(VLOOKUP($A421,JumpData,2,FALSE)),0,VLOOKUP($A421,JumpData,2,FALSE))</f>
        <v>0</v>
      </c>
      <c r="O421" s="297">
        <f>IF(ISNA(VLOOKUP($A421,RunData,2,FALSE)),0,VLOOKUP($A421,RunData,2,FALSE))</f>
        <v>0</v>
      </c>
      <c r="P421" s="297">
        <f>IF(ISNA(VLOOKUP($A421,ThrowData,2,FALSE)),0,VLOOKUP($A421,ThrowData,2,FALSE))</f>
        <v>0</v>
      </c>
      <c r="Q421" s="298">
        <f>IF(ISNA(VLOOKUP($A421,SprintData,4,FALSE)),0,VLOOKUP($A421,SprintData,4,FALSE))+V421</f>
        <v>0</v>
      </c>
      <c r="R421" s="298">
        <f>IF(ISNA(VLOOKUP($A421,JumpData,4,FALSE)),0,VLOOKUP($A421,JumpData,4,FALSE))+W421</f>
        <v>0</v>
      </c>
      <c r="S421" s="298">
        <f>IF(ISNA(VLOOKUP($A421,RunData,4,FALSE)),0,VLOOKUP($A421,RunData,4,FALSE))+X421</f>
        <v>0</v>
      </c>
      <c r="T421" s="298">
        <f>IF(ISNA(VLOOKUP($A421,ThrowData,4,FALSE)),0,VLOOKUP($A421,ThrowData,4,FALSE))+Y421</f>
        <v>0</v>
      </c>
      <c r="U421" s="299">
        <f t="shared" si="2"/>
        <v>0</v>
      </c>
      <c r="V421">
        <f>IF(AND($F421&gt;0,NOT(M421),Flexing),FlexPC,0)</f>
        <v>0</v>
      </c>
      <c r="W421">
        <f>IF(AND($F421&gt;0,NOT(N421),Flexing),FlexPC,0)</f>
        <v>0</v>
      </c>
      <c r="X421">
        <f>IF(AND($F421&gt;0,NOT(O421),Flexing),FlexPC,0)</f>
        <v>0</v>
      </c>
      <c r="Y421">
        <f>IF(AND($F421&gt;0,NOT(P421),Flexing),FlexPC,0)</f>
        <v>0</v>
      </c>
      <c r="AA421" s="209">
        <f t="shared" si="3"/>
        <v>420</v>
      </c>
    </row>
    <row r="422" ht="15.75" customHeight="1">
      <c r="A422" s="206" t="str">
        <f>+Declarations!A422&amp;""</f>
        <v/>
      </c>
      <c r="B422" t="str">
        <f>IF(LEN($A422),IF(LEN(Declarations!$B422)&gt;0,Declarations!$B422,"#"&amp;$A422),"")</f>
        <v/>
      </c>
      <c r="C422" s="209" t="str">
        <f t="array" ref="C422">IF(LEN(INDEX(DECLARATIONS,$AA422,3))&gt;0,INDEX(DECLARATIONS,$AA422,3),"...")</f>
        <v>...</v>
      </c>
      <c r="D422" s="209" t="str">
        <f t="shared" si="1"/>
        <v/>
      </c>
      <c r="E422" s="296" t="str">
        <f t="array" ref="E422">IF(ISNA($AA422),0,INDEX(DECLARATIONS,$AA422,5))</f>
        <v/>
      </c>
      <c r="F422" s="209" t="str">
        <f t="array" ref="F422">IF(ISNA($AA422),0,INDEX(DECLARATIONS,$AA422,7))</f>
        <v/>
      </c>
      <c r="G422" s="209" t="str">
        <f t="array" ref="G422">UPPER(IF(ISNA($AA422),"",INDEX(DECLARATIONS,$AA422,4)))</f>
        <v/>
      </c>
      <c r="H422" t="str">
        <f>IF(AND(A422&gt;0,ISTEXT(B422)),IF(SECNAME="YES",LEFT(B422&amp;" ",FIND(" ",B422&amp;" ")+2)&amp;IF(F422&gt;0," ("&amp;F422&amp;")",""),B422&amp;IF(F422&gt;0," ("&amp;F422&amp;")","")),"#"&amp;$A422)</f>
        <v/>
      </c>
      <c r="I422" s="209">
        <f>IF(LEN($A422)&gt;0,IF(LEN($J422)&gt;0,MATCH(J422,MatchNames,0),EventIndex),0)</f>
        <v>0</v>
      </c>
      <c r="J422" s="209" t="str">
        <f>IF(LEN($A422)&gt;0,IF(LEN(Declarations!$F422)&gt;0,Declarations!$F422,conftype),"")</f>
        <v/>
      </c>
      <c r="M422" s="297">
        <f>IF(ISNA(VLOOKUP($A422,SprintData,2,FALSE)),0,VLOOKUP($A422,SprintData,2,FALSE))</f>
        <v>0</v>
      </c>
      <c r="N422" s="297">
        <f>IF(ISNA(VLOOKUP($A422,JumpData,2,FALSE)),0,VLOOKUP($A422,JumpData,2,FALSE))</f>
        <v>0</v>
      </c>
      <c r="O422" s="297">
        <f>IF(ISNA(VLOOKUP($A422,RunData,2,FALSE)),0,VLOOKUP($A422,RunData,2,FALSE))</f>
        <v>0</v>
      </c>
      <c r="P422" s="297">
        <f>IF(ISNA(VLOOKUP($A422,ThrowData,2,FALSE)),0,VLOOKUP($A422,ThrowData,2,FALSE))</f>
        <v>0</v>
      </c>
      <c r="Q422" s="298">
        <f>IF(ISNA(VLOOKUP($A422,SprintData,4,FALSE)),0,VLOOKUP($A422,SprintData,4,FALSE))+V422</f>
        <v>0</v>
      </c>
      <c r="R422" s="298">
        <f>IF(ISNA(VLOOKUP($A422,JumpData,4,FALSE)),0,VLOOKUP($A422,JumpData,4,FALSE))+W422</f>
        <v>0</v>
      </c>
      <c r="S422" s="298">
        <f>IF(ISNA(VLOOKUP($A422,RunData,4,FALSE)),0,VLOOKUP($A422,RunData,4,FALSE))+X422</f>
        <v>0</v>
      </c>
      <c r="T422" s="298">
        <f>IF(ISNA(VLOOKUP($A422,ThrowData,4,FALSE)),0,VLOOKUP($A422,ThrowData,4,FALSE))+Y422</f>
        <v>0</v>
      </c>
      <c r="U422" s="299">
        <f t="shared" si="2"/>
        <v>0</v>
      </c>
      <c r="V422">
        <f>IF(AND($F422&gt;0,NOT(M422),Flexing),FlexPC,0)</f>
        <v>0</v>
      </c>
      <c r="W422">
        <f>IF(AND($F422&gt;0,NOT(N422),Flexing),FlexPC,0)</f>
        <v>0</v>
      </c>
      <c r="X422">
        <f>IF(AND($F422&gt;0,NOT(O422),Flexing),FlexPC,0)</f>
        <v>0</v>
      </c>
      <c r="Y422">
        <f>IF(AND($F422&gt;0,NOT(P422),Flexing),FlexPC,0)</f>
        <v>0</v>
      </c>
      <c r="AA422" s="209">
        <f t="shared" si="3"/>
        <v>421</v>
      </c>
    </row>
    <row r="423" ht="15.75" customHeight="1">
      <c r="A423" s="206" t="str">
        <f>+Declarations!A423&amp;""</f>
        <v/>
      </c>
      <c r="B423" t="str">
        <f>IF(LEN($A423),IF(LEN(Declarations!$B423)&gt;0,Declarations!$B423,"#"&amp;$A423),"")</f>
        <v/>
      </c>
      <c r="C423" s="209" t="str">
        <f t="array" ref="C423">IF(LEN(INDEX(DECLARATIONS,$AA423,3))&gt;0,INDEX(DECLARATIONS,$AA423,3),"...")</f>
        <v>...</v>
      </c>
      <c r="D423" s="209" t="str">
        <f t="shared" si="1"/>
        <v/>
      </c>
      <c r="E423" s="296" t="str">
        <f t="array" ref="E423">IF(ISNA($AA423),0,INDEX(DECLARATIONS,$AA423,5))</f>
        <v/>
      </c>
      <c r="F423" s="209" t="str">
        <f t="array" ref="F423">IF(ISNA($AA423),0,INDEX(DECLARATIONS,$AA423,7))</f>
        <v/>
      </c>
      <c r="G423" s="209" t="str">
        <f t="array" ref="G423">UPPER(IF(ISNA($AA423),"",INDEX(DECLARATIONS,$AA423,4)))</f>
        <v/>
      </c>
      <c r="H423" t="str">
        <f>IF(AND(A423&gt;0,ISTEXT(B423)),IF(SECNAME="YES",LEFT(B423&amp;" ",FIND(" ",B423&amp;" ")+2)&amp;IF(F423&gt;0," ("&amp;F423&amp;")",""),B423&amp;IF(F423&gt;0," ("&amp;F423&amp;")","")),"#"&amp;$A423)</f>
        <v/>
      </c>
      <c r="I423" s="209">
        <f>IF(LEN($A423)&gt;0,IF(LEN($J423)&gt;0,MATCH(J423,MatchNames,0),EventIndex),0)</f>
        <v>0</v>
      </c>
      <c r="J423" s="209" t="str">
        <f>IF(LEN($A423)&gt;0,IF(LEN(Declarations!$F423)&gt;0,Declarations!$F423,conftype),"")</f>
        <v/>
      </c>
      <c r="M423" s="297">
        <f>IF(ISNA(VLOOKUP($A423,SprintData,2,FALSE)),0,VLOOKUP($A423,SprintData,2,FALSE))</f>
        <v>0</v>
      </c>
      <c r="N423" s="297">
        <f>IF(ISNA(VLOOKUP($A423,JumpData,2,FALSE)),0,VLOOKUP($A423,JumpData,2,FALSE))</f>
        <v>0</v>
      </c>
      <c r="O423" s="297">
        <f>IF(ISNA(VLOOKUP($A423,RunData,2,FALSE)),0,VLOOKUP($A423,RunData,2,FALSE))</f>
        <v>0</v>
      </c>
      <c r="P423" s="297">
        <f>IF(ISNA(VLOOKUP($A423,ThrowData,2,FALSE)),0,VLOOKUP($A423,ThrowData,2,FALSE))</f>
        <v>0</v>
      </c>
      <c r="Q423" s="298">
        <f>IF(ISNA(VLOOKUP($A423,SprintData,4,FALSE)),0,VLOOKUP($A423,SprintData,4,FALSE))+V423</f>
        <v>0</v>
      </c>
      <c r="R423" s="298">
        <f>IF(ISNA(VLOOKUP($A423,JumpData,4,FALSE)),0,VLOOKUP($A423,JumpData,4,FALSE))+W423</f>
        <v>0</v>
      </c>
      <c r="S423" s="298">
        <f>IF(ISNA(VLOOKUP($A423,RunData,4,FALSE)),0,VLOOKUP($A423,RunData,4,FALSE))+X423</f>
        <v>0</v>
      </c>
      <c r="T423" s="298">
        <f>IF(ISNA(VLOOKUP($A423,ThrowData,4,FALSE)),0,VLOOKUP($A423,ThrowData,4,FALSE))+Y423</f>
        <v>0</v>
      </c>
      <c r="U423" s="299">
        <f t="shared" si="2"/>
        <v>0</v>
      </c>
      <c r="V423">
        <f>IF(AND($F423&gt;0,NOT(M423),Flexing),FlexPC,0)</f>
        <v>0</v>
      </c>
      <c r="W423">
        <f>IF(AND($F423&gt;0,NOT(N423),Flexing),FlexPC,0)</f>
        <v>0</v>
      </c>
      <c r="X423">
        <f>IF(AND($F423&gt;0,NOT(O423),Flexing),FlexPC,0)</f>
        <v>0</v>
      </c>
      <c r="Y423">
        <f>IF(AND($F423&gt;0,NOT(P423),Flexing),FlexPC,0)</f>
        <v>0</v>
      </c>
      <c r="AA423" s="209">
        <f t="shared" si="3"/>
        <v>422</v>
      </c>
    </row>
    <row r="424" ht="15.75" customHeight="1">
      <c r="A424" s="206" t="str">
        <f>+Declarations!A424&amp;""</f>
        <v/>
      </c>
      <c r="B424" t="str">
        <f>IF(LEN($A424),IF(LEN(Declarations!$B424)&gt;0,Declarations!$B424,"#"&amp;$A424),"")</f>
        <v/>
      </c>
      <c r="C424" s="209" t="str">
        <f t="array" ref="C424">IF(LEN(INDEX(DECLARATIONS,$AA424,3))&gt;0,INDEX(DECLARATIONS,$AA424,3),"...")</f>
        <v>...</v>
      </c>
      <c r="D424" s="209" t="str">
        <f t="shared" si="1"/>
        <v/>
      </c>
      <c r="E424" s="296" t="str">
        <f t="array" ref="E424">IF(ISNA($AA424),0,INDEX(DECLARATIONS,$AA424,5))</f>
        <v/>
      </c>
      <c r="F424" s="209" t="str">
        <f t="array" ref="F424">IF(ISNA($AA424),0,INDEX(DECLARATIONS,$AA424,7))</f>
        <v/>
      </c>
      <c r="G424" s="209" t="str">
        <f t="array" ref="G424">UPPER(IF(ISNA($AA424),"",INDEX(DECLARATIONS,$AA424,4)))</f>
        <v/>
      </c>
      <c r="H424" t="str">
        <f>IF(AND(A424&gt;0,ISTEXT(B424)),IF(SECNAME="YES",LEFT(B424&amp;" ",FIND(" ",B424&amp;" ")+2)&amp;IF(F424&gt;0," ("&amp;F424&amp;")",""),B424&amp;IF(F424&gt;0," ("&amp;F424&amp;")","")),"#"&amp;$A424)</f>
        <v/>
      </c>
      <c r="I424" s="209">
        <f>IF(LEN($A424)&gt;0,IF(LEN($J424)&gt;0,MATCH(J424,MatchNames,0),EventIndex),0)</f>
        <v>0</v>
      </c>
      <c r="J424" s="209" t="str">
        <f>IF(LEN($A424)&gt;0,IF(LEN(Declarations!$F424)&gt;0,Declarations!$F424,conftype),"")</f>
        <v/>
      </c>
      <c r="M424" s="297">
        <f>IF(ISNA(VLOOKUP($A424,SprintData,2,FALSE)),0,VLOOKUP($A424,SprintData,2,FALSE))</f>
        <v>0</v>
      </c>
      <c r="N424" s="297">
        <f>IF(ISNA(VLOOKUP($A424,JumpData,2,FALSE)),0,VLOOKUP($A424,JumpData,2,FALSE))</f>
        <v>0</v>
      </c>
      <c r="O424" s="297">
        <f>IF(ISNA(VLOOKUP($A424,RunData,2,FALSE)),0,VLOOKUP($A424,RunData,2,FALSE))</f>
        <v>0</v>
      </c>
      <c r="P424" s="297">
        <f>IF(ISNA(VLOOKUP($A424,ThrowData,2,FALSE)),0,VLOOKUP($A424,ThrowData,2,FALSE))</f>
        <v>0</v>
      </c>
      <c r="Q424" s="298">
        <f>IF(ISNA(VLOOKUP($A424,SprintData,4,FALSE)),0,VLOOKUP($A424,SprintData,4,FALSE))+V424</f>
        <v>0</v>
      </c>
      <c r="R424" s="298">
        <f>IF(ISNA(VLOOKUP($A424,JumpData,4,FALSE)),0,VLOOKUP($A424,JumpData,4,FALSE))+W424</f>
        <v>0</v>
      </c>
      <c r="S424" s="298">
        <f>IF(ISNA(VLOOKUP($A424,RunData,4,FALSE)),0,VLOOKUP($A424,RunData,4,FALSE))+X424</f>
        <v>0</v>
      </c>
      <c r="T424" s="298">
        <f>IF(ISNA(VLOOKUP($A424,ThrowData,4,FALSE)),0,VLOOKUP($A424,ThrowData,4,FALSE))+Y424</f>
        <v>0</v>
      </c>
      <c r="U424" s="299">
        <f t="shared" si="2"/>
        <v>0</v>
      </c>
      <c r="V424">
        <f>IF(AND($F424&gt;0,NOT(M424),Flexing),FlexPC,0)</f>
        <v>0</v>
      </c>
      <c r="W424">
        <f>IF(AND($F424&gt;0,NOT(N424),Flexing),FlexPC,0)</f>
        <v>0</v>
      </c>
      <c r="X424">
        <f>IF(AND($F424&gt;0,NOT(O424),Flexing),FlexPC,0)</f>
        <v>0</v>
      </c>
      <c r="Y424">
        <f>IF(AND($F424&gt;0,NOT(P424),Flexing),FlexPC,0)</f>
        <v>0</v>
      </c>
      <c r="AA424" s="209">
        <f t="shared" si="3"/>
        <v>423</v>
      </c>
    </row>
    <row r="425" ht="15.75" customHeight="1">
      <c r="A425" s="206" t="str">
        <f>+Declarations!A425&amp;""</f>
        <v/>
      </c>
      <c r="B425" t="str">
        <f>IF(LEN($A425),IF(LEN(Declarations!$B425)&gt;0,Declarations!$B425,"#"&amp;$A425),"")</f>
        <v/>
      </c>
      <c r="C425" s="209" t="str">
        <f t="array" ref="C425">IF(LEN(INDEX(DECLARATIONS,$AA425,3))&gt;0,INDEX(DECLARATIONS,$AA425,3),"...")</f>
        <v>...</v>
      </c>
      <c r="D425" s="209" t="str">
        <f t="shared" si="1"/>
        <v/>
      </c>
      <c r="E425" s="296" t="str">
        <f t="array" ref="E425">IF(ISNA($AA425),0,INDEX(DECLARATIONS,$AA425,5))</f>
        <v/>
      </c>
      <c r="F425" s="209" t="str">
        <f t="array" ref="F425">IF(ISNA($AA425),0,INDEX(DECLARATIONS,$AA425,7))</f>
        <v/>
      </c>
      <c r="G425" s="209" t="str">
        <f t="array" ref="G425">UPPER(IF(ISNA($AA425),"",INDEX(DECLARATIONS,$AA425,4)))</f>
        <v/>
      </c>
      <c r="H425" t="str">
        <f>IF(AND(A425&gt;0,ISTEXT(B425)),IF(SECNAME="YES",LEFT(B425&amp;" ",FIND(" ",B425&amp;" ")+2)&amp;IF(F425&gt;0," ("&amp;F425&amp;")",""),B425&amp;IF(F425&gt;0," ("&amp;F425&amp;")","")),"#"&amp;$A425)</f>
        <v/>
      </c>
      <c r="I425" s="209">
        <f>IF(LEN($A425)&gt;0,IF(LEN($J425)&gt;0,MATCH(J425,MatchNames,0),EventIndex),0)</f>
        <v>0</v>
      </c>
      <c r="J425" s="209" t="str">
        <f>IF(LEN($A425)&gt;0,IF(LEN(Declarations!$F425)&gt;0,Declarations!$F425,conftype),"")</f>
        <v/>
      </c>
      <c r="M425" s="297">
        <f>IF(ISNA(VLOOKUP($A425,SprintData,2,FALSE)),0,VLOOKUP($A425,SprintData,2,FALSE))</f>
        <v>0</v>
      </c>
      <c r="N425" s="297">
        <f>IF(ISNA(VLOOKUP($A425,JumpData,2,FALSE)),0,VLOOKUP($A425,JumpData,2,FALSE))</f>
        <v>0</v>
      </c>
      <c r="O425" s="297">
        <f>IF(ISNA(VLOOKUP($A425,RunData,2,FALSE)),0,VLOOKUP($A425,RunData,2,FALSE))</f>
        <v>0</v>
      </c>
      <c r="P425" s="297">
        <f>IF(ISNA(VLOOKUP($A425,ThrowData,2,FALSE)),0,VLOOKUP($A425,ThrowData,2,FALSE))</f>
        <v>0</v>
      </c>
      <c r="Q425" s="298">
        <f>IF(ISNA(VLOOKUP($A425,SprintData,4,FALSE)),0,VLOOKUP($A425,SprintData,4,FALSE))+V425</f>
        <v>0</v>
      </c>
      <c r="R425" s="298">
        <f>IF(ISNA(VLOOKUP($A425,JumpData,4,FALSE)),0,VLOOKUP($A425,JumpData,4,FALSE))+W425</f>
        <v>0</v>
      </c>
      <c r="S425" s="298">
        <f>IF(ISNA(VLOOKUP($A425,RunData,4,FALSE)),0,VLOOKUP($A425,RunData,4,FALSE))+X425</f>
        <v>0</v>
      </c>
      <c r="T425" s="298">
        <f>IF(ISNA(VLOOKUP($A425,ThrowData,4,FALSE)),0,VLOOKUP($A425,ThrowData,4,FALSE))+Y425</f>
        <v>0</v>
      </c>
      <c r="U425" s="299">
        <f t="shared" si="2"/>
        <v>0</v>
      </c>
      <c r="V425">
        <f>IF(AND($F425&gt;0,NOT(M425),Flexing),FlexPC,0)</f>
        <v>0</v>
      </c>
      <c r="W425">
        <f>IF(AND($F425&gt;0,NOT(N425),Flexing),FlexPC,0)</f>
        <v>0</v>
      </c>
      <c r="X425">
        <f>IF(AND($F425&gt;0,NOT(O425),Flexing),FlexPC,0)</f>
        <v>0</v>
      </c>
      <c r="Y425">
        <f>IF(AND($F425&gt;0,NOT(P425),Flexing),FlexPC,0)</f>
        <v>0</v>
      </c>
      <c r="AA425" s="209">
        <f t="shared" si="3"/>
        <v>424</v>
      </c>
    </row>
    <row r="426" ht="15.75" customHeight="1">
      <c r="A426" s="206" t="str">
        <f>+Declarations!A426&amp;""</f>
        <v/>
      </c>
      <c r="B426" t="str">
        <f>IF(LEN($A426),IF(LEN(Declarations!$B426)&gt;0,Declarations!$B426,"#"&amp;$A426),"")</f>
        <v/>
      </c>
      <c r="C426" s="209" t="str">
        <f t="array" ref="C426">IF(LEN(INDEX(DECLARATIONS,$AA426,3))&gt;0,INDEX(DECLARATIONS,$AA426,3),"...")</f>
        <v>...</v>
      </c>
      <c r="D426" s="209" t="str">
        <f t="shared" si="1"/>
        <v/>
      </c>
      <c r="E426" s="296" t="str">
        <f t="array" ref="E426">IF(ISNA($AA426),0,INDEX(DECLARATIONS,$AA426,5))</f>
        <v/>
      </c>
      <c r="F426" s="209" t="str">
        <f t="array" ref="F426">IF(ISNA($AA426),0,INDEX(DECLARATIONS,$AA426,7))</f>
        <v/>
      </c>
      <c r="G426" s="209" t="str">
        <f t="array" ref="G426">UPPER(IF(ISNA($AA426),"",INDEX(DECLARATIONS,$AA426,4)))</f>
        <v/>
      </c>
      <c r="H426" t="str">
        <f>IF(AND(A426&gt;0,ISTEXT(B426)),IF(SECNAME="YES",LEFT(B426&amp;" ",FIND(" ",B426&amp;" ")+2)&amp;IF(F426&gt;0," ("&amp;F426&amp;")",""),B426&amp;IF(F426&gt;0," ("&amp;F426&amp;")","")),"#"&amp;$A426)</f>
        <v/>
      </c>
      <c r="I426" s="209">
        <f>IF(LEN($A426)&gt;0,IF(LEN($J426)&gt;0,MATCH(J426,MatchNames,0),EventIndex),0)</f>
        <v>0</v>
      </c>
      <c r="J426" s="209" t="str">
        <f>IF(LEN($A426)&gt;0,IF(LEN(Declarations!$F426)&gt;0,Declarations!$F426,conftype),"")</f>
        <v/>
      </c>
      <c r="M426" s="297">
        <f>IF(ISNA(VLOOKUP($A426,SprintData,2,FALSE)),0,VLOOKUP($A426,SprintData,2,FALSE))</f>
        <v>0</v>
      </c>
      <c r="N426" s="297">
        <f>IF(ISNA(VLOOKUP($A426,JumpData,2,FALSE)),0,VLOOKUP($A426,JumpData,2,FALSE))</f>
        <v>0</v>
      </c>
      <c r="O426" s="297">
        <f>IF(ISNA(VLOOKUP($A426,RunData,2,FALSE)),0,VLOOKUP($A426,RunData,2,FALSE))</f>
        <v>0</v>
      </c>
      <c r="P426" s="297">
        <f>IF(ISNA(VLOOKUP($A426,ThrowData,2,FALSE)),0,VLOOKUP($A426,ThrowData,2,FALSE))</f>
        <v>0</v>
      </c>
      <c r="Q426" s="298">
        <f>IF(ISNA(VLOOKUP($A426,SprintData,4,FALSE)),0,VLOOKUP($A426,SprintData,4,FALSE))+V426</f>
        <v>0</v>
      </c>
      <c r="R426" s="298">
        <f>IF(ISNA(VLOOKUP($A426,JumpData,4,FALSE)),0,VLOOKUP($A426,JumpData,4,FALSE))+W426</f>
        <v>0</v>
      </c>
      <c r="S426" s="298">
        <f>IF(ISNA(VLOOKUP($A426,RunData,4,FALSE)),0,VLOOKUP($A426,RunData,4,FALSE))+X426</f>
        <v>0</v>
      </c>
      <c r="T426" s="298">
        <f>IF(ISNA(VLOOKUP($A426,ThrowData,4,FALSE)),0,VLOOKUP($A426,ThrowData,4,FALSE))+Y426</f>
        <v>0</v>
      </c>
      <c r="U426" s="299">
        <f t="shared" si="2"/>
        <v>0</v>
      </c>
      <c r="V426">
        <f>IF(AND($F426&gt;0,NOT(M426),Flexing),FlexPC,0)</f>
        <v>0</v>
      </c>
      <c r="W426">
        <f>IF(AND($F426&gt;0,NOT(N426),Flexing),FlexPC,0)</f>
        <v>0</v>
      </c>
      <c r="X426">
        <f>IF(AND($F426&gt;0,NOT(O426),Flexing),FlexPC,0)</f>
        <v>0</v>
      </c>
      <c r="Y426">
        <f>IF(AND($F426&gt;0,NOT(P426),Flexing),FlexPC,0)</f>
        <v>0</v>
      </c>
      <c r="AA426" s="209">
        <f t="shared" si="3"/>
        <v>425</v>
      </c>
    </row>
    <row r="427" ht="15.75" customHeight="1">
      <c r="A427" s="206" t="str">
        <f>+Declarations!A427&amp;""</f>
        <v/>
      </c>
      <c r="B427" t="str">
        <f>IF(LEN($A427),IF(LEN(Declarations!$B427)&gt;0,Declarations!$B427,"#"&amp;$A427),"")</f>
        <v/>
      </c>
      <c r="C427" s="209" t="str">
        <f t="array" ref="C427">IF(LEN(INDEX(DECLARATIONS,$AA427,3))&gt;0,INDEX(DECLARATIONS,$AA427,3),"...")</f>
        <v>...</v>
      </c>
      <c r="D427" s="209" t="str">
        <f t="shared" si="1"/>
        <v/>
      </c>
      <c r="E427" s="296" t="str">
        <f t="array" ref="E427">IF(ISNA($AA427),0,INDEX(DECLARATIONS,$AA427,5))</f>
        <v/>
      </c>
      <c r="F427" s="209" t="str">
        <f t="array" ref="F427">IF(ISNA($AA427),0,INDEX(DECLARATIONS,$AA427,7))</f>
        <v/>
      </c>
      <c r="G427" s="209" t="str">
        <f t="array" ref="G427">UPPER(IF(ISNA($AA427),"",INDEX(DECLARATIONS,$AA427,4)))</f>
        <v/>
      </c>
      <c r="H427" t="str">
        <f>IF(AND(A427&gt;0,ISTEXT(B427)),IF(SECNAME="YES",LEFT(B427&amp;" ",FIND(" ",B427&amp;" ")+2)&amp;IF(F427&gt;0," ("&amp;F427&amp;")",""),B427&amp;IF(F427&gt;0," ("&amp;F427&amp;")","")),"#"&amp;$A427)</f>
        <v/>
      </c>
      <c r="I427" s="209">
        <f>IF(LEN($A427)&gt;0,IF(LEN($J427)&gt;0,MATCH(J427,MatchNames,0),EventIndex),0)</f>
        <v>0</v>
      </c>
      <c r="J427" s="209" t="str">
        <f>IF(LEN($A427)&gt;0,IF(LEN(Declarations!$F427)&gt;0,Declarations!$F427,conftype),"")</f>
        <v/>
      </c>
      <c r="M427" s="297">
        <f>IF(ISNA(VLOOKUP($A427,SprintData,2,FALSE)),0,VLOOKUP($A427,SprintData,2,FALSE))</f>
        <v>0</v>
      </c>
      <c r="N427" s="297">
        <f>IF(ISNA(VLOOKUP($A427,JumpData,2,FALSE)),0,VLOOKUP($A427,JumpData,2,FALSE))</f>
        <v>0</v>
      </c>
      <c r="O427" s="297">
        <f>IF(ISNA(VLOOKUP($A427,RunData,2,FALSE)),0,VLOOKUP($A427,RunData,2,FALSE))</f>
        <v>0</v>
      </c>
      <c r="P427" s="297">
        <f>IF(ISNA(VLOOKUP($A427,ThrowData,2,FALSE)),0,VLOOKUP($A427,ThrowData,2,FALSE))</f>
        <v>0</v>
      </c>
      <c r="Q427" s="298">
        <f>IF(ISNA(VLOOKUP($A427,SprintData,4,FALSE)),0,VLOOKUP($A427,SprintData,4,FALSE))+V427</f>
        <v>0</v>
      </c>
      <c r="R427" s="298">
        <f>IF(ISNA(VLOOKUP($A427,JumpData,4,FALSE)),0,VLOOKUP($A427,JumpData,4,FALSE))+W427</f>
        <v>0</v>
      </c>
      <c r="S427" s="298">
        <f>IF(ISNA(VLOOKUP($A427,RunData,4,FALSE)),0,VLOOKUP($A427,RunData,4,FALSE))+X427</f>
        <v>0</v>
      </c>
      <c r="T427" s="298">
        <f>IF(ISNA(VLOOKUP($A427,ThrowData,4,FALSE)),0,VLOOKUP($A427,ThrowData,4,FALSE))+Y427</f>
        <v>0</v>
      </c>
      <c r="U427" s="299">
        <f t="shared" si="2"/>
        <v>0</v>
      </c>
      <c r="V427">
        <f>IF(AND($F427&gt;0,NOT(M427),Flexing),FlexPC,0)</f>
        <v>0</v>
      </c>
      <c r="W427">
        <f>IF(AND($F427&gt;0,NOT(N427),Flexing),FlexPC,0)</f>
        <v>0</v>
      </c>
      <c r="X427">
        <f>IF(AND($F427&gt;0,NOT(O427),Flexing),FlexPC,0)</f>
        <v>0</v>
      </c>
      <c r="Y427">
        <f>IF(AND($F427&gt;0,NOT(P427),Flexing),FlexPC,0)</f>
        <v>0</v>
      </c>
      <c r="AA427" s="209">
        <f t="shared" si="3"/>
        <v>426</v>
      </c>
    </row>
    <row r="428" ht="15.75" customHeight="1">
      <c r="A428" s="206" t="str">
        <f>+Declarations!A428&amp;""</f>
        <v/>
      </c>
      <c r="B428" t="str">
        <f>IF(LEN($A428),IF(LEN(Declarations!$B428)&gt;0,Declarations!$B428,"#"&amp;$A428),"")</f>
        <v/>
      </c>
      <c r="C428" s="209" t="str">
        <f t="array" ref="C428">IF(LEN(INDEX(DECLARATIONS,$AA428,3))&gt;0,INDEX(DECLARATIONS,$AA428,3),"...")</f>
        <v>...</v>
      </c>
      <c r="D428" s="209" t="str">
        <f t="shared" si="1"/>
        <v/>
      </c>
      <c r="E428" s="296" t="str">
        <f t="array" ref="E428">IF(ISNA($AA428),0,INDEX(DECLARATIONS,$AA428,5))</f>
        <v/>
      </c>
      <c r="F428" s="209" t="str">
        <f t="array" ref="F428">IF(ISNA($AA428),0,INDEX(DECLARATIONS,$AA428,7))</f>
        <v/>
      </c>
      <c r="G428" s="209" t="str">
        <f t="array" ref="G428">UPPER(IF(ISNA($AA428),"",INDEX(DECLARATIONS,$AA428,4)))</f>
        <v/>
      </c>
      <c r="H428" t="str">
        <f>IF(AND(A428&gt;0,ISTEXT(B428)),IF(SECNAME="YES",LEFT(B428&amp;" ",FIND(" ",B428&amp;" ")+2)&amp;IF(F428&gt;0," ("&amp;F428&amp;")",""),B428&amp;IF(F428&gt;0," ("&amp;F428&amp;")","")),"#"&amp;$A428)</f>
        <v/>
      </c>
      <c r="I428" s="209">
        <f>IF(LEN($A428)&gt;0,IF(LEN($J428)&gt;0,MATCH(J428,MatchNames,0),EventIndex),0)</f>
        <v>0</v>
      </c>
      <c r="J428" s="209" t="str">
        <f>IF(LEN($A428)&gt;0,IF(LEN(Declarations!$F428)&gt;0,Declarations!$F428,conftype),"")</f>
        <v/>
      </c>
      <c r="M428" s="297">
        <f>IF(ISNA(VLOOKUP($A428,SprintData,2,FALSE)),0,VLOOKUP($A428,SprintData,2,FALSE))</f>
        <v>0</v>
      </c>
      <c r="N428" s="297">
        <f>IF(ISNA(VLOOKUP($A428,JumpData,2,FALSE)),0,VLOOKUP($A428,JumpData,2,FALSE))</f>
        <v>0</v>
      </c>
      <c r="O428" s="297">
        <f>IF(ISNA(VLOOKUP($A428,RunData,2,FALSE)),0,VLOOKUP($A428,RunData,2,FALSE))</f>
        <v>0</v>
      </c>
      <c r="P428" s="297">
        <f>IF(ISNA(VLOOKUP($A428,ThrowData,2,FALSE)),0,VLOOKUP($A428,ThrowData,2,FALSE))</f>
        <v>0</v>
      </c>
      <c r="Q428" s="298">
        <f>IF(ISNA(VLOOKUP($A428,SprintData,4,FALSE)),0,VLOOKUP($A428,SprintData,4,FALSE))+V428</f>
        <v>0</v>
      </c>
      <c r="R428" s="298">
        <f>IF(ISNA(VLOOKUP($A428,JumpData,4,FALSE)),0,VLOOKUP($A428,JumpData,4,FALSE))+W428</f>
        <v>0</v>
      </c>
      <c r="S428" s="298">
        <f>IF(ISNA(VLOOKUP($A428,RunData,4,FALSE)),0,VLOOKUP($A428,RunData,4,FALSE))+X428</f>
        <v>0</v>
      </c>
      <c r="T428" s="298">
        <f>IF(ISNA(VLOOKUP($A428,ThrowData,4,FALSE)),0,VLOOKUP($A428,ThrowData,4,FALSE))+Y428</f>
        <v>0</v>
      </c>
      <c r="U428" s="299">
        <f t="shared" si="2"/>
        <v>0</v>
      </c>
      <c r="V428">
        <f>IF(AND($F428&gt;0,NOT(M428),Flexing),FlexPC,0)</f>
        <v>0</v>
      </c>
      <c r="W428">
        <f>IF(AND($F428&gt;0,NOT(N428),Flexing),FlexPC,0)</f>
        <v>0</v>
      </c>
      <c r="X428">
        <f>IF(AND($F428&gt;0,NOT(O428),Flexing),FlexPC,0)</f>
        <v>0</v>
      </c>
      <c r="Y428">
        <f>IF(AND($F428&gt;0,NOT(P428),Flexing),FlexPC,0)</f>
        <v>0</v>
      </c>
      <c r="AA428" s="209">
        <f t="shared" si="3"/>
        <v>427</v>
      </c>
    </row>
    <row r="429" ht="15.75" customHeight="1">
      <c r="A429" s="206" t="str">
        <f>+Declarations!A429&amp;""</f>
        <v/>
      </c>
      <c r="B429" t="str">
        <f>IF(LEN($A429),IF(LEN(Declarations!$B429)&gt;0,Declarations!$B429,"#"&amp;$A429),"")</f>
        <v/>
      </c>
      <c r="C429" s="209" t="str">
        <f t="array" ref="C429">IF(LEN(INDEX(DECLARATIONS,$AA429,3))&gt;0,INDEX(DECLARATIONS,$AA429,3),"...")</f>
        <v>...</v>
      </c>
      <c r="D429" s="209" t="str">
        <f t="shared" si="1"/>
        <v/>
      </c>
      <c r="E429" s="296" t="str">
        <f t="array" ref="E429">IF(ISNA($AA429),0,INDEX(DECLARATIONS,$AA429,5))</f>
        <v/>
      </c>
      <c r="F429" s="209" t="str">
        <f t="array" ref="F429">IF(ISNA($AA429),0,INDEX(DECLARATIONS,$AA429,7))</f>
        <v/>
      </c>
      <c r="G429" s="209" t="str">
        <f t="array" ref="G429">UPPER(IF(ISNA($AA429),"",INDEX(DECLARATIONS,$AA429,4)))</f>
        <v/>
      </c>
      <c r="H429" t="str">
        <f>IF(AND(A429&gt;0,ISTEXT(B429)),IF(SECNAME="YES",LEFT(B429&amp;" ",FIND(" ",B429&amp;" ")+2)&amp;IF(F429&gt;0," ("&amp;F429&amp;")",""),B429&amp;IF(F429&gt;0," ("&amp;F429&amp;")","")),"#"&amp;$A429)</f>
        <v/>
      </c>
      <c r="I429" s="209">
        <f>IF(LEN($A429)&gt;0,IF(LEN($J429)&gt;0,MATCH(J429,MatchNames,0),EventIndex),0)</f>
        <v>0</v>
      </c>
      <c r="J429" s="209" t="str">
        <f>IF(LEN($A429)&gt;0,IF(LEN(Declarations!$F429)&gt;0,Declarations!$F429,conftype),"")</f>
        <v/>
      </c>
      <c r="M429" s="297">
        <f>IF(ISNA(VLOOKUP($A429,SprintData,2,FALSE)),0,VLOOKUP($A429,SprintData,2,FALSE))</f>
        <v>0</v>
      </c>
      <c r="N429" s="297">
        <f>IF(ISNA(VLOOKUP($A429,JumpData,2,FALSE)),0,VLOOKUP($A429,JumpData,2,FALSE))</f>
        <v>0</v>
      </c>
      <c r="O429" s="297">
        <f>IF(ISNA(VLOOKUP($A429,RunData,2,FALSE)),0,VLOOKUP($A429,RunData,2,FALSE))</f>
        <v>0</v>
      </c>
      <c r="P429" s="297">
        <f>IF(ISNA(VLOOKUP($A429,ThrowData,2,FALSE)),0,VLOOKUP($A429,ThrowData,2,FALSE))</f>
        <v>0</v>
      </c>
      <c r="Q429" s="298">
        <f>IF(ISNA(VLOOKUP($A429,SprintData,4,FALSE)),0,VLOOKUP($A429,SprintData,4,FALSE))+V429</f>
        <v>0</v>
      </c>
      <c r="R429" s="298">
        <f>IF(ISNA(VLOOKUP($A429,JumpData,4,FALSE)),0,VLOOKUP($A429,JumpData,4,FALSE))+W429</f>
        <v>0</v>
      </c>
      <c r="S429" s="298">
        <f>IF(ISNA(VLOOKUP($A429,RunData,4,FALSE)),0,VLOOKUP($A429,RunData,4,FALSE))+X429</f>
        <v>0</v>
      </c>
      <c r="T429" s="298">
        <f>IF(ISNA(VLOOKUP($A429,ThrowData,4,FALSE)),0,VLOOKUP($A429,ThrowData,4,FALSE))+Y429</f>
        <v>0</v>
      </c>
      <c r="U429" s="299">
        <f t="shared" si="2"/>
        <v>0</v>
      </c>
      <c r="V429">
        <f>IF(AND($F429&gt;0,NOT(M429),Flexing),FlexPC,0)</f>
        <v>0</v>
      </c>
      <c r="W429">
        <f>IF(AND($F429&gt;0,NOT(N429),Flexing),FlexPC,0)</f>
        <v>0</v>
      </c>
      <c r="X429">
        <f>IF(AND($F429&gt;0,NOT(O429),Flexing),FlexPC,0)</f>
        <v>0</v>
      </c>
      <c r="Y429">
        <f>IF(AND($F429&gt;0,NOT(P429),Flexing),FlexPC,0)</f>
        <v>0</v>
      </c>
      <c r="AA429" s="209">
        <f t="shared" si="3"/>
        <v>428</v>
      </c>
    </row>
    <row r="430" ht="15.75" customHeight="1">
      <c r="A430" s="206" t="str">
        <f>+Declarations!A430&amp;""</f>
        <v/>
      </c>
      <c r="B430" t="str">
        <f>IF(LEN($A430),IF(LEN(Declarations!$B430)&gt;0,Declarations!$B430,"#"&amp;$A430),"")</f>
        <v/>
      </c>
      <c r="C430" s="209" t="str">
        <f t="array" ref="C430">IF(LEN(INDEX(DECLARATIONS,$AA430,3))&gt;0,INDEX(DECLARATIONS,$AA430,3),"...")</f>
        <v>...</v>
      </c>
      <c r="D430" s="209" t="str">
        <f t="shared" si="1"/>
        <v/>
      </c>
      <c r="E430" s="296" t="str">
        <f t="array" ref="E430">IF(ISNA($AA430),0,INDEX(DECLARATIONS,$AA430,5))</f>
        <v/>
      </c>
      <c r="F430" s="209" t="str">
        <f t="array" ref="F430">IF(ISNA($AA430),0,INDEX(DECLARATIONS,$AA430,7))</f>
        <v/>
      </c>
      <c r="G430" s="209" t="str">
        <f t="array" ref="G430">UPPER(IF(ISNA($AA430),"",INDEX(DECLARATIONS,$AA430,4)))</f>
        <v/>
      </c>
      <c r="H430" t="str">
        <f>IF(AND(A430&gt;0,ISTEXT(B430)),IF(SECNAME="YES",LEFT(B430&amp;" ",FIND(" ",B430&amp;" ")+2)&amp;IF(F430&gt;0," ("&amp;F430&amp;")",""),B430&amp;IF(F430&gt;0," ("&amp;F430&amp;")","")),"#"&amp;$A430)</f>
        <v/>
      </c>
      <c r="I430" s="209">
        <f>IF(LEN($A430)&gt;0,IF(LEN($J430)&gt;0,MATCH(J430,MatchNames,0),EventIndex),0)</f>
        <v>0</v>
      </c>
      <c r="J430" s="209" t="str">
        <f>IF(LEN($A430)&gt;0,IF(LEN(Declarations!$F430)&gt;0,Declarations!$F430,conftype),"")</f>
        <v/>
      </c>
      <c r="M430" s="297">
        <f>IF(ISNA(VLOOKUP($A430,SprintData,2,FALSE)),0,VLOOKUP($A430,SprintData,2,FALSE))</f>
        <v>0</v>
      </c>
      <c r="N430" s="297">
        <f>IF(ISNA(VLOOKUP($A430,JumpData,2,FALSE)),0,VLOOKUP($A430,JumpData,2,FALSE))</f>
        <v>0</v>
      </c>
      <c r="O430" s="297">
        <f>IF(ISNA(VLOOKUP($A430,RunData,2,FALSE)),0,VLOOKUP($A430,RunData,2,FALSE))</f>
        <v>0</v>
      </c>
      <c r="P430" s="297">
        <f>IF(ISNA(VLOOKUP($A430,ThrowData,2,FALSE)),0,VLOOKUP($A430,ThrowData,2,FALSE))</f>
        <v>0</v>
      </c>
      <c r="Q430" s="298">
        <f>IF(ISNA(VLOOKUP($A430,SprintData,4,FALSE)),0,VLOOKUP($A430,SprintData,4,FALSE))+V430</f>
        <v>0</v>
      </c>
      <c r="R430" s="298">
        <f>IF(ISNA(VLOOKUP($A430,JumpData,4,FALSE)),0,VLOOKUP($A430,JumpData,4,FALSE))+W430</f>
        <v>0</v>
      </c>
      <c r="S430" s="298">
        <f>IF(ISNA(VLOOKUP($A430,RunData,4,FALSE)),0,VLOOKUP($A430,RunData,4,FALSE))+X430</f>
        <v>0</v>
      </c>
      <c r="T430" s="298">
        <f>IF(ISNA(VLOOKUP($A430,ThrowData,4,FALSE)),0,VLOOKUP($A430,ThrowData,4,FALSE))+Y430</f>
        <v>0</v>
      </c>
      <c r="U430" s="299">
        <f t="shared" si="2"/>
        <v>0</v>
      </c>
      <c r="V430">
        <f>IF(AND($F430&gt;0,NOT(M430),Flexing),FlexPC,0)</f>
        <v>0</v>
      </c>
      <c r="W430">
        <f>IF(AND($F430&gt;0,NOT(N430),Flexing),FlexPC,0)</f>
        <v>0</v>
      </c>
      <c r="X430">
        <f>IF(AND($F430&gt;0,NOT(O430),Flexing),FlexPC,0)</f>
        <v>0</v>
      </c>
      <c r="Y430">
        <f>IF(AND($F430&gt;0,NOT(P430),Flexing),FlexPC,0)</f>
        <v>0</v>
      </c>
      <c r="AA430" s="209">
        <f t="shared" si="3"/>
        <v>429</v>
      </c>
    </row>
    <row r="431" ht="15.75" customHeight="1">
      <c r="A431" s="206" t="str">
        <f>+Declarations!A431&amp;""</f>
        <v/>
      </c>
      <c r="B431" t="str">
        <f>IF(LEN($A431),IF(LEN(Declarations!$B431)&gt;0,Declarations!$B431,"#"&amp;$A431),"")</f>
        <v/>
      </c>
      <c r="C431" s="209" t="str">
        <f t="array" ref="C431">IF(LEN(INDEX(DECLARATIONS,$AA431,3))&gt;0,INDEX(DECLARATIONS,$AA431,3),"...")</f>
        <v>...</v>
      </c>
      <c r="D431" s="209" t="str">
        <f t="shared" si="1"/>
        <v/>
      </c>
      <c r="E431" s="296" t="str">
        <f t="array" ref="E431">IF(ISNA($AA431),0,INDEX(DECLARATIONS,$AA431,5))</f>
        <v/>
      </c>
      <c r="F431" s="209" t="str">
        <f t="array" ref="F431">IF(ISNA($AA431),0,INDEX(DECLARATIONS,$AA431,7))</f>
        <v/>
      </c>
      <c r="G431" s="209" t="str">
        <f t="array" ref="G431">UPPER(IF(ISNA($AA431),"",INDEX(DECLARATIONS,$AA431,4)))</f>
        <v/>
      </c>
      <c r="H431" t="str">
        <f>IF(AND(A431&gt;0,ISTEXT(B431)),IF(SECNAME="YES",LEFT(B431&amp;" ",FIND(" ",B431&amp;" ")+2)&amp;IF(F431&gt;0," ("&amp;F431&amp;")",""),B431&amp;IF(F431&gt;0," ("&amp;F431&amp;")","")),"#"&amp;$A431)</f>
        <v/>
      </c>
      <c r="I431" s="209">
        <f>IF(LEN($A431)&gt;0,IF(LEN($J431)&gt;0,MATCH(J431,MatchNames,0),EventIndex),0)</f>
        <v>0</v>
      </c>
      <c r="J431" s="209" t="str">
        <f>IF(LEN($A431)&gt;0,IF(LEN(Declarations!$F431)&gt;0,Declarations!$F431,conftype),"")</f>
        <v/>
      </c>
      <c r="M431" s="297">
        <f>IF(ISNA(VLOOKUP($A431,SprintData,2,FALSE)),0,VLOOKUP($A431,SprintData,2,FALSE))</f>
        <v>0</v>
      </c>
      <c r="N431" s="297">
        <f>IF(ISNA(VLOOKUP($A431,JumpData,2,FALSE)),0,VLOOKUP($A431,JumpData,2,FALSE))</f>
        <v>0</v>
      </c>
      <c r="O431" s="297">
        <f>IF(ISNA(VLOOKUP($A431,RunData,2,FALSE)),0,VLOOKUP($A431,RunData,2,FALSE))</f>
        <v>0</v>
      </c>
      <c r="P431" s="297">
        <f>IF(ISNA(VLOOKUP($A431,ThrowData,2,FALSE)),0,VLOOKUP($A431,ThrowData,2,FALSE))</f>
        <v>0</v>
      </c>
      <c r="Q431" s="298">
        <f>IF(ISNA(VLOOKUP($A431,SprintData,4,FALSE)),0,VLOOKUP($A431,SprintData,4,FALSE))+V431</f>
        <v>0</v>
      </c>
      <c r="R431" s="298">
        <f>IF(ISNA(VLOOKUP($A431,JumpData,4,FALSE)),0,VLOOKUP($A431,JumpData,4,FALSE))+W431</f>
        <v>0</v>
      </c>
      <c r="S431" s="298">
        <f>IF(ISNA(VLOOKUP($A431,RunData,4,FALSE)),0,VLOOKUP($A431,RunData,4,FALSE))+X431</f>
        <v>0</v>
      </c>
      <c r="T431" s="298">
        <f>IF(ISNA(VLOOKUP($A431,ThrowData,4,FALSE)),0,VLOOKUP($A431,ThrowData,4,FALSE))+Y431</f>
        <v>0</v>
      </c>
      <c r="U431" s="299">
        <f t="shared" si="2"/>
        <v>0</v>
      </c>
      <c r="V431">
        <f>IF(AND($F431&gt;0,NOT(M431),Flexing),FlexPC,0)</f>
        <v>0</v>
      </c>
      <c r="W431">
        <f>IF(AND($F431&gt;0,NOT(N431),Flexing),FlexPC,0)</f>
        <v>0</v>
      </c>
      <c r="X431">
        <f>IF(AND($F431&gt;0,NOT(O431),Flexing),FlexPC,0)</f>
        <v>0</v>
      </c>
      <c r="Y431">
        <f>IF(AND($F431&gt;0,NOT(P431),Flexing),FlexPC,0)</f>
        <v>0</v>
      </c>
      <c r="AA431" s="209">
        <f t="shared" si="3"/>
        <v>430</v>
      </c>
    </row>
    <row r="432" ht="15.75" customHeight="1">
      <c r="A432" s="206" t="str">
        <f>+Declarations!A432&amp;""</f>
        <v/>
      </c>
      <c r="B432" t="str">
        <f>IF(LEN($A432),IF(LEN(Declarations!$B432)&gt;0,Declarations!$B432,"#"&amp;$A432),"")</f>
        <v/>
      </c>
      <c r="C432" s="209" t="str">
        <f t="array" ref="C432">IF(LEN(INDEX(DECLARATIONS,$AA432,3))&gt;0,INDEX(DECLARATIONS,$AA432,3),"...")</f>
        <v>...</v>
      </c>
      <c r="D432" s="209" t="str">
        <f t="shared" si="1"/>
        <v/>
      </c>
      <c r="E432" s="296" t="str">
        <f t="array" ref="E432">IF(ISNA($AA432),0,INDEX(DECLARATIONS,$AA432,5))</f>
        <v/>
      </c>
      <c r="F432" s="209" t="str">
        <f t="array" ref="F432">IF(ISNA($AA432),0,INDEX(DECLARATIONS,$AA432,7))</f>
        <v/>
      </c>
      <c r="G432" s="209" t="str">
        <f t="array" ref="G432">UPPER(IF(ISNA($AA432),"",INDEX(DECLARATIONS,$AA432,4)))</f>
        <v/>
      </c>
      <c r="H432" t="str">
        <f>IF(AND(A432&gt;0,ISTEXT(B432)),IF(SECNAME="YES",LEFT(B432&amp;" ",FIND(" ",B432&amp;" ")+2)&amp;IF(F432&gt;0," ("&amp;F432&amp;")",""),B432&amp;IF(F432&gt;0," ("&amp;F432&amp;")","")),"#"&amp;$A432)</f>
        <v/>
      </c>
      <c r="I432" s="209">
        <f>IF(LEN($A432)&gt;0,IF(LEN($J432)&gt;0,MATCH(J432,MatchNames,0),EventIndex),0)</f>
        <v>0</v>
      </c>
      <c r="J432" s="209" t="str">
        <f>IF(LEN($A432)&gt;0,IF(LEN(Declarations!$F432)&gt;0,Declarations!$F432,conftype),"")</f>
        <v/>
      </c>
      <c r="M432" s="297">
        <f>IF(ISNA(VLOOKUP($A432,SprintData,2,FALSE)),0,VLOOKUP($A432,SprintData,2,FALSE))</f>
        <v>0</v>
      </c>
      <c r="N432" s="297">
        <f>IF(ISNA(VLOOKUP($A432,JumpData,2,FALSE)),0,VLOOKUP($A432,JumpData,2,FALSE))</f>
        <v>0</v>
      </c>
      <c r="O432" s="297">
        <f>IF(ISNA(VLOOKUP($A432,RunData,2,FALSE)),0,VLOOKUP($A432,RunData,2,FALSE))</f>
        <v>0</v>
      </c>
      <c r="P432" s="297">
        <f>IF(ISNA(VLOOKUP($A432,ThrowData,2,FALSE)),0,VLOOKUP($A432,ThrowData,2,FALSE))</f>
        <v>0</v>
      </c>
      <c r="Q432" s="298">
        <f>IF(ISNA(VLOOKUP($A432,SprintData,4,FALSE)),0,VLOOKUP($A432,SprintData,4,FALSE))+V432</f>
        <v>0</v>
      </c>
      <c r="R432" s="298">
        <f>IF(ISNA(VLOOKUP($A432,JumpData,4,FALSE)),0,VLOOKUP($A432,JumpData,4,FALSE))+W432</f>
        <v>0</v>
      </c>
      <c r="S432" s="298">
        <f>IF(ISNA(VLOOKUP($A432,RunData,4,FALSE)),0,VLOOKUP($A432,RunData,4,FALSE))+X432</f>
        <v>0</v>
      </c>
      <c r="T432" s="298">
        <f>IF(ISNA(VLOOKUP($A432,ThrowData,4,FALSE)),0,VLOOKUP($A432,ThrowData,4,FALSE))+Y432</f>
        <v>0</v>
      </c>
      <c r="U432" s="299">
        <f t="shared" si="2"/>
        <v>0</v>
      </c>
      <c r="V432">
        <f>IF(AND($F432&gt;0,NOT(M432),Flexing),FlexPC,0)</f>
        <v>0</v>
      </c>
      <c r="W432">
        <f>IF(AND($F432&gt;0,NOT(N432),Flexing),FlexPC,0)</f>
        <v>0</v>
      </c>
      <c r="X432">
        <f>IF(AND($F432&gt;0,NOT(O432),Flexing),FlexPC,0)</f>
        <v>0</v>
      </c>
      <c r="Y432">
        <f>IF(AND($F432&gt;0,NOT(P432),Flexing),FlexPC,0)</f>
        <v>0</v>
      </c>
      <c r="AA432" s="209">
        <f t="shared" si="3"/>
        <v>431</v>
      </c>
    </row>
    <row r="433" ht="15.75" customHeight="1">
      <c r="A433" s="206" t="str">
        <f>+Declarations!A433&amp;""</f>
        <v/>
      </c>
      <c r="B433" t="str">
        <f>IF(LEN($A433),IF(LEN(Declarations!$B433)&gt;0,Declarations!$B433,"#"&amp;$A433),"")</f>
        <v/>
      </c>
      <c r="C433" s="209" t="str">
        <f t="array" ref="C433">IF(LEN(INDEX(DECLARATIONS,$AA433,3))&gt;0,INDEX(DECLARATIONS,$AA433,3),"...")</f>
        <v>...</v>
      </c>
      <c r="D433" s="209" t="str">
        <f t="shared" si="1"/>
        <v/>
      </c>
      <c r="E433" s="296" t="str">
        <f t="array" ref="E433">IF(ISNA($AA433),0,INDEX(DECLARATIONS,$AA433,5))</f>
        <v/>
      </c>
      <c r="F433" s="209" t="str">
        <f t="array" ref="F433">IF(ISNA($AA433),0,INDEX(DECLARATIONS,$AA433,7))</f>
        <v/>
      </c>
      <c r="G433" s="209" t="str">
        <f t="array" ref="G433">UPPER(IF(ISNA($AA433),"",INDEX(DECLARATIONS,$AA433,4)))</f>
        <v/>
      </c>
      <c r="H433" t="str">
        <f>IF(AND(A433&gt;0,ISTEXT(B433)),IF(SECNAME="YES",LEFT(B433&amp;" ",FIND(" ",B433&amp;" ")+2)&amp;IF(F433&gt;0," ("&amp;F433&amp;")",""),B433&amp;IF(F433&gt;0," ("&amp;F433&amp;")","")),"#"&amp;$A433)</f>
        <v/>
      </c>
      <c r="I433" s="209">
        <f>IF(LEN($A433)&gt;0,IF(LEN($J433)&gt;0,MATCH(J433,MatchNames,0),EventIndex),0)</f>
        <v>0</v>
      </c>
      <c r="J433" s="209" t="str">
        <f>IF(LEN($A433)&gt;0,IF(LEN(Declarations!$F433)&gt;0,Declarations!$F433,conftype),"")</f>
        <v/>
      </c>
      <c r="M433" s="297">
        <f>IF(ISNA(VLOOKUP($A433,SprintData,2,FALSE)),0,VLOOKUP($A433,SprintData,2,FALSE))</f>
        <v>0</v>
      </c>
      <c r="N433" s="297">
        <f>IF(ISNA(VLOOKUP($A433,JumpData,2,FALSE)),0,VLOOKUP($A433,JumpData,2,FALSE))</f>
        <v>0</v>
      </c>
      <c r="O433" s="297">
        <f>IF(ISNA(VLOOKUP($A433,RunData,2,FALSE)),0,VLOOKUP($A433,RunData,2,FALSE))</f>
        <v>0</v>
      </c>
      <c r="P433" s="297">
        <f>IF(ISNA(VLOOKUP($A433,ThrowData,2,FALSE)),0,VLOOKUP($A433,ThrowData,2,FALSE))</f>
        <v>0</v>
      </c>
      <c r="Q433" s="298">
        <f>IF(ISNA(VLOOKUP($A433,SprintData,4,FALSE)),0,VLOOKUP($A433,SprintData,4,FALSE))+V433</f>
        <v>0</v>
      </c>
      <c r="R433" s="298">
        <f>IF(ISNA(VLOOKUP($A433,JumpData,4,FALSE)),0,VLOOKUP($A433,JumpData,4,FALSE))+W433</f>
        <v>0</v>
      </c>
      <c r="S433" s="298">
        <f>IF(ISNA(VLOOKUP($A433,RunData,4,FALSE)),0,VLOOKUP($A433,RunData,4,FALSE))+X433</f>
        <v>0</v>
      </c>
      <c r="T433" s="298">
        <f>IF(ISNA(VLOOKUP($A433,ThrowData,4,FALSE)),0,VLOOKUP($A433,ThrowData,4,FALSE))+Y433</f>
        <v>0</v>
      </c>
      <c r="U433" s="299">
        <f t="shared" si="2"/>
        <v>0</v>
      </c>
      <c r="V433">
        <f>IF(AND($F433&gt;0,NOT(M433),Flexing),FlexPC,0)</f>
        <v>0</v>
      </c>
      <c r="W433">
        <f>IF(AND($F433&gt;0,NOT(N433),Flexing),FlexPC,0)</f>
        <v>0</v>
      </c>
      <c r="X433">
        <f>IF(AND($F433&gt;0,NOT(O433),Flexing),FlexPC,0)</f>
        <v>0</v>
      </c>
      <c r="Y433">
        <f>IF(AND($F433&gt;0,NOT(P433),Flexing),FlexPC,0)</f>
        <v>0</v>
      </c>
      <c r="AA433" s="209">
        <f t="shared" si="3"/>
        <v>432</v>
      </c>
    </row>
    <row r="434" ht="15.75" customHeight="1">
      <c r="A434" s="206" t="str">
        <f>+Declarations!A434&amp;""</f>
        <v/>
      </c>
      <c r="B434" t="str">
        <f>IF(LEN($A434),IF(LEN(Declarations!$B434)&gt;0,Declarations!$B434,"#"&amp;$A434),"")</f>
        <v/>
      </c>
      <c r="C434" s="209" t="str">
        <f t="array" ref="C434">IF(LEN(INDEX(DECLARATIONS,$AA434,3))&gt;0,INDEX(DECLARATIONS,$AA434,3),"...")</f>
        <v>...</v>
      </c>
      <c r="D434" s="209" t="str">
        <f t="shared" si="1"/>
        <v/>
      </c>
      <c r="E434" s="296" t="str">
        <f t="array" ref="E434">IF(ISNA($AA434),0,INDEX(DECLARATIONS,$AA434,5))</f>
        <v/>
      </c>
      <c r="F434" s="209" t="str">
        <f t="array" ref="F434">IF(ISNA($AA434),0,INDEX(DECLARATIONS,$AA434,7))</f>
        <v/>
      </c>
      <c r="G434" s="209" t="str">
        <f t="array" ref="G434">UPPER(IF(ISNA($AA434),"",INDEX(DECLARATIONS,$AA434,4)))</f>
        <v/>
      </c>
      <c r="H434" t="str">
        <f>IF(AND(A434&gt;0,ISTEXT(B434)),IF(SECNAME="YES",LEFT(B434&amp;" ",FIND(" ",B434&amp;" ")+2)&amp;IF(F434&gt;0," ("&amp;F434&amp;")",""),B434&amp;IF(F434&gt;0," ("&amp;F434&amp;")","")),"#"&amp;$A434)</f>
        <v/>
      </c>
      <c r="I434" s="209">
        <f>IF(LEN($A434)&gt;0,IF(LEN($J434)&gt;0,MATCH(J434,MatchNames,0),EventIndex),0)</f>
        <v>0</v>
      </c>
      <c r="J434" s="209" t="str">
        <f>IF(LEN($A434)&gt;0,IF(LEN(Declarations!$F434)&gt;0,Declarations!$F434,conftype),"")</f>
        <v/>
      </c>
      <c r="M434" s="297">
        <f>IF(ISNA(VLOOKUP($A434,SprintData,2,FALSE)),0,VLOOKUP($A434,SprintData,2,FALSE))</f>
        <v>0</v>
      </c>
      <c r="N434" s="297">
        <f>IF(ISNA(VLOOKUP($A434,JumpData,2,FALSE)),0,VLOOKUP($A434,JumpData,2,FALSE))</f>
        <v>0</v>
      </c>
      <c r="O434" s="297">
        <f>IF(ISNA(VLOOKUP($A434,RunData,2,FALSE)),0,VLOOKUP($A434,RunData,2,FALSE))</f>
        <v>0</v>
      </c>
      <c r="P434" s="297">
        <f>IF(ISNA(VLOOKUP($A434,ThrowData,2,FALSE)),0,VLOOKUP($A434,ThrowData,2,FALSE))</f>
        <v>0</v>
      </c>
      <c r="Q434" s="298">
        <f>IF(ISNA(VLOOKUP($A434,SprintData,4,FALSE)),0,VLOOKUP($A434,SprintData,4,FALSE))+V434</f>
        <v>0</v>
      </c>
      <c r="R434" s="298">
        <f>IF(ISNA(VLOOKUP($A434,JumpData,4,FALSE)),0,VLOOKUP($A434,JumpData,4,FALSE))+W434</f>
        <v>0</v>
      </c>
      <c r="S434" s="298">
        <f>IF(ISNA(VLOOKUP($A434,RunData,4,FALSE)),0,VLOOKUP($A434,RunData,4,FALSE))+X434</f>
        <v>0</v>
      </c>
      <c r="T434" s="298">
        <f>IF(ISNA(VLOOKUP($A434,ThrowData,4,FALSE)),0,VLOOKUP($A434,ThrowData,4,FALSE))+Y434</f>
        <v>0</v>
      </c>
      <c r="U434" s="299">
        <f t="shared" si="2"/>
        <v>0</v>
      </c>
      <c r="V434">
        <f>IF(AND($F434&gt;0,NOT(M434),Flexing),FlexPC,0)</f>
        <v>0</v>
      </c>
      <c r="W434">
        <f>IF(AND($F434&gt;0,NOT(N434),Flexing),FlexPC,0)</f>
        <v>0</v>
      </c>
      <c r="X434">
        <f>IF(AND($F434&gt;0,NOT(O434),Flexing),FlexPC,0)</f>
        <v>0</v>
      </c>
      <c r="Y434">
        <f>IF(AND($F434&gt;0,NOT(P434),Flexing),FlexPC,0)</f>
        <v>0</v>
      </c>
      <c r="AA434" s="209">
        <f t="shared" si="3"/>
        <v>433</v>
      </c>
    </row>
    <row r="435" ht="15.75" customHeight="1">
      <c r="A435" s="206" t="str">
        <f>+Declarations!A435&amp;""</f>
        <v/>
      </c>
      <c r="B435" t="str">
        <f>IF(LEN($A435),IF(LEN(Declarations!$B435)&gt;0,Declarations!$B435,"#"&amp;$A435),"")</f>
        <v/>
      </c>
      <c r="C435" s="209" t="str">
        <f t="array" ref="C435">IF(LEN(INDEX(DECLARATIONS,$AA435,3))&gt;0,INDEX(DECLARATIONS,$AA435,3),"...")</f>
        <v>...</v>
      </c>
      <c r="D435" s="209" t="str">
        <f t="shared" si="1"/>
        <v/>
      </c>
      <c r="E435" s="296" t="str">
        <f t="array" ref="E435">IF(ISNA($AA435),0,INDEX(DECLARATIONS,$AA435,5))</f>
        <v/>
      </c>
      <c r="F435" s="209" t="str">
        <f t="array" ref="F435">IF(ISNA($AA435),0,INDEX(DECLARATIONS,$AA435,7))</f>
        <v/>
      </c>
      <c r="G435" s="209" t="str">
        <f t="array" ref="G435">UPPER(IF(ISNA($AA435),"",INDEX(DECLARATIONS,$AA435,4)))</f>
        <v/>
      </c>
      <c r="H435" t="str">
        <f>IF(AND(A435&gt;0,ISTEXT(B435)),IF(SECNAME="YES",LEFT(B435&amp;" ",FIND(" ",B435&amp;" ")+2)&amp;IF(F435&gt;0," ("&amp;F435&amp;")",""),B435&amp;IF(F435&gt;0," ("&amp;F435&amp;")","")),"#"&amp;$A435)</f>
        <v/>
      </c>
      <c r="I435" s="209">
        <f>IF(LEN($A435)&gt;0,IF(LEN($J435)&gt;0,MATCH(J435,MatchNames,0),EventIndex),0)</f>
        <v>0</v>
      </c>
      <c r="J435" s="209" t="str">
        <f>IF(LEN($A435)&gt;0,IF(LEN(Declarations!$F435)&gt;0,Declarations!$F435,conftype),"")</f>
        <v/>
      </c>
      <c r="M435" s="297">
        <f>IF(ISNA(VLOOKUP($A435,SprintData,2,FALSE)),0,VLOOKUP($A435,SprintData,2,FALSE))</f>
        <v>0</v>
      </c>
      <c r="N435" s="297">
        <f>IF(ISNA(VLOOKUP($A435,JumpData,2,FALSE)),0,VLOOKUP($A435,JumpData,2,FALSE))</f>
        <v>0</v>
      </c>
      <c r="O435" s="297">
        <f>IF(ISNA(VLOOKUP($A435,RunData,2,FALSE)),0,VLOOKUP($A435,RunData,2,FALSE))</f>
        <v>0</v>
      </c>
      <c r="P435" s="297">
        <f>IF(ISNA(VLOOKUP($A435,ThrowData,2,FALSE)),0,VLOOKUP($A435,ThrowData,2,FALSE))</f>
        <v>0</v>
      </c>
      <c r="Q435" s="298">
        <f>IF(ISNA(VLOOKUP($A435,SprintData,4,FALSE)),0,VLOOKUP($A435,SprintData,4,FALSE))+V435</f>
        <v>0</v>
      </c>
      <c r="R435" s="298">
        <f>IF(ISNA(VLOOKUP($A435,JumpData,4,FALSE)),0,VLOOKUP($A435,JumpData,4,FALSE))+W435</f>
        <v>0</v>
      </c>
      <c r="S435" s="298">
        <f>IF(ISNA(VLOOKUP($A435,RunData,4,FALSE)),0,VLOOKUP($A435,RunData,4,FALSE))+X435</f>
        <v>0</v>
      </c>
      <c r="T435" s="298">
        <f>IF(ISNA(VLOOKUP($A435,ThrowData,4,FALSE)),0,VLOOKUP($A435,ThrowData,4,FALSE))+Y435</f>
        <v>0</v>
      </c>
      <c r="U435" s="299">
        <f t="shared" si="2"/>
        <v>0</v>
      </c>
      <c r="V435">
        <f>IF(AND($F435&gt;0,NOT(M435),Flexing),FlexPC,0)</f>
        <v>0</v>
      </c>
      <c r="W435">
        <f>IF(AND($F435&gt;0,NOT(N435),Flexing),FlexPC,0)</f>
        <v>0</v>
      </c>
      <c r="X435">
        <f>IF(AND($F435&gt;0,NOT(O435),Flexing),FlexPC,0)</f>
        <v>0</v>
      </c>
      <c r="Y435">
        <f>IF(AND($F435&gt;0,NOT(P435),Flexing),FlexPC,0)</f>
        <v>0</v>
      </c>
      <c r="AA435" s="209">
        <f t="shared" si="3"/>
        <v>434</v>
      </c>
    </row>
    <row r="436" ht="15.75" customHeight="1">
      <c r="A436" s="206" t="str">
        <f>+Declarations!A436&amp;""</f>
        <v/>
      </c>
      <c r="B436" t="str">
        <f>IF(LEN($A436),IF(LEN(Declarations!$B436)&gt;0,Declarations!$B436,"#"&amp;$A436),"")</f>
        <v/>
      </c>
      <c r="C436" s="209" t="str">
        <f t="array" ref="C436">IF(LEN(INDEX(DECLARATIONS,$AA436,3))&gt;0,INDEX(DECLARATIONS,$AA436,3),"...")</f>
        <v>...</v>
      </c>
      <c r="D436" s="209" t="str">
        <f t="shared" si="1"/>
        <v/>
      </c>
      <c r="E436" s="296" t="str">
        <f t="array" ref="E436">IF(ISNA($AA436),0,INDEX(DECLARATIONS,$AA436,5))</f>
        <v/>
      </c>
      <c r="F436" s="209" t="str">
        <f t="array" ref="F436">IF(ISNA($AA436),0,INDEX(DECLARATIONS,$AA436,7))</f>
        <v/>
      </c>
      <c r="G436" s="209" t="str">
        <f t="array" ref="G436">UPPER(IF(ISNA($AA436),"",INDEX(DECLARATIONS,$AA436,4)))</f>
        <v/>
      </c>
      <c r="H436" t="str">
        <f>IF(AND(A436&gt;0,ISTEXT(B436)),IF(SECNAME="YES",LEFT(B436&amp;" ",FIND(" ",B436&amp;" ")+2)&amp;IF(F436&gt;0," ("&amp;F436&amp;")",""),B436&amp;IF(F436&gt;0," ("&amp;F436&amp;")","")),"#"&amp;$A436)</f>
        <v/>
      </c>
      <c r="I436" s="209">
        <f>IF(LEN($A436)&gt;0,IF(LEN($J436)&gt;0,MATCH(J436,MatchNames,0),EventIndex),0)</f>
        <v>0</v>
      </c>
      <c r="J436" s="209" t="str">
        <f>IF(LEN($A436)&gt;0,IF(LEN(Declarations!$F436)&gt;0,Declarations!$F436,conftype),"")</f>
        <v/>
      </c>
      <c r="M436" s="297">
        <f>IF(ISNA(VLOOKUP($A436,SprintData,2,FALSE)),0,VLOOKUP($A436,SprintData,2,FALSE))</f>
        <v>0</v>
      </c>
      <c r="N436" s="297">
        <f>IF(ISNA(VLOOKUP($A436,JumpData,2,FALSE)),0,VLOOKUP($A436,JumpData,2,FALSE))</f>
        <v>0</v>
      </c>
      <c r="O436" s="297">
        <f>IF(ISNA(VLOOKUP($A436,RunData,2,FALSE)),0,VLOOKUP($A436,RunData,2,FALSE))</f>
        <v>0</v>
      </c>
      <c r="P436" s="297">
        <f>IF(ISNA(VLOOKUP($A436,ThrowData,2,FALSE)),0,VLOOKUP($A436,ThrowData,2,FALSE))</f>
        <v>0</v>
      </c>
      <c r="Q436" s="298">
        <f>IF(ISNA(VLOOKUP($A436,SprintData,4,FALSE)),0,VLOOKUP($A436,SprintData,4,FALSE))+V436</f>
        <v>0</v>
      </c>
      <c r="R436" s="298">
        <f>IF(ISNA(VLOOKUP($A436,JumpData,4,FALSE)),0,VLOOKUP($A436,JumpData,4,FALSE))+W436</f>
        <v>0</v>
      </c>
      <c r="S436" s="298">
        <f>IF(ISNA(VLOOKUP($A436,RunData,4,FALSE)),0,VLOOKUP($A436,RunData,4,FALSE))+X436</f>
        <v>0</v>
      </c>
      <c r="T436" s="298">
        <f>IF(ISNA(VLOOKUP($A436,ThrowData,4,FALSE)),0,VLOOKUP($A436,ThrowData,4,FALSE))+Y436</f>
        <v>0</v>
      </c>
      <c r="U436" s="299">
        <f t="shared" si="2"/>
        <v>0</v>
      </c>
      <c r="V436">
        <f>IF(AND($F436&gt;0,NOT(M436),Flexing),FlexPC,0)</f>
        <v>0</v>
      </c>
      <c r="W436">
        <f>IF(AND($F436&gt;0,NOT(N436),Flexing),FlexPC,0)</f>
        <v>0</v>
      </c>
      <c r="X436">
        <f>IF(AND($F436&gt;0,NOT(O436),Flexing),FlexPC,0)</f>
        <v>0</v>
      </c>
      <c r="Y436">
        <f>IF(AND($F436&gt;0,NOT(P436),Flexing),FlexPC,0)</f>
        <v>0</v>
      </c>
      <c r="AA436" s="209">
        <f t="shared" si="3"/>
        <v>435</v>
      </c>
    </row>
    <row r="437" ht="15.75" customHeight="1">
      <c r="A437" s="206" t="str">
        <f>+Declarations!A437&amp;""</f>
        <v/>
      </c>
      <c r="B437" t="str">
        <f>IF(LEN($A437),IF(LEN(Declarations!$B437)&gt;0,Declarations!$B437,"#"&amp;$A437),"")</f>
        <v/>
      </c>
      <c r="C437" s="209" t="str">
        <f t="array" ref="C437">IF(LEN(INDEX(DECLARATIONS,$AA437,3))&gt;0,INDEX(DECLARATIONS,$AA437,3),"...")</f>
        <v>...</v>
      </c>
      <c r="D437" s="209" t="str">
        <f t="shared" si="1"/>
        <v/>
      </c>
      <c r="E437" s="296" t="str">
        <f t="array" ref="E437">IF(ISNA($AA437),0,INDEX(DECLARATIONS,$AA437,5))</f>
        <v/>
      </c>
      <c r="F437" s="209" t="str">
        <f t="array" ref="F437">IF(ISNA($AA437),0,INDEX(DECLARATIONS,$AA437,7))</f>
        <v/>
      </c>
      <c r="G437" s="209" t="str">
        <f t="array" ref="G437">UPPER(IF(ISNA($AA437),"",INDEX(DECLARATIONS,$AA437,4)))</f>
        <v/>
      </c>
      <c r="H437" t="str">
        <f>IF(AND(A437&gt;0,ISTEXT(B437)),IF(SECNAME="YES",LEFT(B437&amp;" ",FIND(" ",B437&amp;" ")+2)&amp;IF(F437&gt;0," ("&amp;F437&amp;")",""),B437&amp;IF(F437&gt;0," ("&amp;F437&amp;")","")),"#"&amp;$A437)</f>
        <v/>
      </c>
      <c r="I437" s="209">
        <f>IF(LEN($A437)&gt;0,IF(LEN($J437)&gt;0,MATCH(J437,MatchNames,0),EventIndex),0)</f>
        <v>0</v>
      </c>
      <c r="J437" s="209" t="str">
        <f>IF(LEN($A437)&gt;0,IF(LEN(Declarations!$F437)&gt;0,Declarations!$F437,conftype),"")</f>
        <v/>
      </c>
      <c r="M437" s="297">
        <f>IF(ISNA(VLOOKUP($A437,SprintData,2,FALSE)),0,VLOOKUP($A437,SprintData,2,FALSE))</f>
        <v>0</v>
      </c>
      <c r="N437" s="297">
        <f>IF(ISNA(VLOOKUP($A437,JumpData,2,FALSE)),0,VLOOKUP($A437,JumpData,2,FALSE))</f>
        <v>0</v>
      </c>
      <c r="O437" s="297">
        <f>IF(ISNA(VLOOKUP($A437,RunData,2,FALSE)),0,VLOOKUP($A437,RunData,2,FALSE))</f>
        <v>0</v>
      </c>
      <c r="P437" s="297">
        <f>IF(ISNA(VLOOKUP($A437,ThrowData,2,FALSE)),0,VLOOKUP($A437,ThrowData,2,FALSE))</f>
        <v>0</v>
      </c>
      <c r="Q437" s="298">
        <f>IF(ISNA(VLOOKUP($A437,SprintData,4,FALSE)),0,VLOOKUP($A437,SprintData,4,FALSE))+V437</f>
        <v>0</v>
      </c>
      <c r="R437" s="298">
        <f>IF(ISNA(VLOOKUP($A437,JumpData,4,FALSE)),0,VLOOKUP($A437,JumpData,4,FALSE))+W437</f>
        <v>0</v>
      </c>
      <c r="S437" s="298">
        <f>IF(ISNA(VLOOKUP($A437,RunData,4,FALSE)),0,VLOOKUP($A437,RunData,4,FALSE))+X437</f>
        <v>0</v>
      </c>
      <c r="T437" s="298">
        <f>IF(ISNA(VLOOKUP($A437,ThrowData,4,FALSE)),0,VLOOKUP($A437,ThrowData,4,FALSE))+Y437</f>
        <v>0</v>
      </c>
      <c r="U437" s="299">
        <f t="shared" si="2"/>
        <v>0</v>
      </c>
      <c r="V437">
        <f>IF(AND($F437&gt;0,NOT(M437),Flexing),FlexPC,0)</f>
        <v>0</v>
      </c>
      <c r="W437">
        <f>IF(AND($F437&gt;0,NOT(N437),Flexing),FlexPC,0)</f>
        <v>0</v>
      </c>
      <c r="X437">
        <f>IF(AND($F437&gt;0,NOT(O437),Flexing),FlexPC,0)</f>
        <v>0</v>
      </c>
      <c r="Y437">
        <f>IF(AND($F437&gt;0,NOT(P437),Flexing),FlexPC,0)</f>
        <v>0</v>
      </c>
      <c r="AA437" s="209">
        <f t="shared" si="3"/>
        <v>436</v>
      </c>
    </row>
    <row r="438" ht="15.75" customHeight="1">
      <c r="A438" s="206" t="str">
        <f>+Declarations!A438&amp;""</f>
        <v/>
      </c>
      <c r="B438" t="str">
        <f>IF(LEN($A438),IF(LEN(Declarations!$B438)&gt;0,Declarations!$B438,"#"&amp;$A438),"")</f>
        <v/>
      </c>
      <c r="C438" s="209" t="str">
        <f t="array" ref="C438">IF(LEN(INDEX(DECLARATIONS,$AA438,3))&gt;0,INDEX(DECLARATIONS,$AA438,3),"...")</f>
        <v>...</v>
      </c>
      <c r="D438" s="209" t="str">
        <f t="shared" si="1"/>
        <v/>
      </c>
      <c r="E438" s="296" t="str">
        <f t="array" ref="E438">IF(ISNA($AA438),0,INDEX(DECLARATIONS,$AA438,5))</f>
        <v/>
      </c>
      <c r="F438" s="209" t="str">
        <f t="array" ref="F438">IF(ISNA($AA438),0,INDEX(DECLARATIONS,$AA438,7))</f>
        <v/>
      </c>
      <c r="G438" s="209" t="str">
        <f t="array" ref="G438">UPPER(IF(ISNA($AA438),"",INDEX(DECLARATIONS,$AA438,4)))</f>
        <v/>
      </c>
      <c r="H438" t="str">
        <f>IF(AND(A438&gt;0,ISTEXT(B438)),IF(SECNAME="YES",LEFT(B438&amp;" ",FIND(" ",B438&amp;" ")+2)&amp;IF(F438&gt;0," ("&amp;F438&amp;")",""),B438&amp;IF(F438&gt;0," ("&amp;F438&amp;")","")),"#"&amp;$A438)</f>
        <v/>
      </c>
      <c r="I438" s="209">
        <f>IF(LEN($A438)&gt;0,IF(LEN($J438)&gt;0,MATCH(J438,MatchNames,0),EventIndex),0)</f>
        <v>0</v>
      </c>
      <c r="J438" s="209" t="str">
        <f>IF(LEN($A438)&gt;0,IF(LEN(Declarations!$F438)&gt;0,Declarations!$F438,conftype),"")</f>
        <v/>
      </c>
      <c r="M438" s="297">
        <f>IF(ISNA(VLOOKUP($A438,SprintData,2,FALSE)),0,VLOOKUP($A438,SprintData,2,FALSE))</f>
        <v>0</v>
      </c>
      <c r="N438" s="297">
        <f>IF(ISNA(VLOOKUP($A438,JumpData,2,FALSE)),0,VLOOKUP($A438,JumpData,2,FALSE))</f>
        <v>0</v>
      </c>
      <c r="O438" s="297">
        <f>IF(ISNA(VLOOKUP($A438,RunData,2,FALSE)),0,VLOOKUP($A438,RunData,2,FALSE))</f>
        <v>0</v>
      </c>
      <c r="P438" s="297">
        <f>IF(ISNA(VLOOKUP($A438,ThrowData,2,FALSE)),0,VLOOKUP($A438,ThrowData,2,FALSE))</f>
        <v>0</v>
      </c>
      <c r="Q438" s="298">
        <f>IF(ISNA(VLOOKUP($A438,SprintData,4,FALSE)),0,VLOOKUP($A438,SprintData,4,FALSE))+V438</f>
        <v>0</v>
      </c>
      <c r="R438" s="298">
        <f>IF(ISNA(VLOOKUP($A438,JumpData,4,FALSE)),0,VLOOKUP($A438,JumpData,4,FALSE))+W438</f>
        <v>0</v>
      </c>
      <c r="S438" s="298">
        <f>IF(ISNA(VLOOKUP($A438,RunData,4,FALSE)),0,VLOOKUP($A438,RunData,4,FALSE))+X438</f>
        <v>0</v>
      </c>
      <c r="T438" s="298">
        <f>IF(ISNA(VLOOKUP($A438,ThrowData,4,FALSE)),0,VLOOKUP($A438,ThrowData,4,FALSE))+Y438</f>
        <v>0</v>
      </c>
      <c r="U438" s="299">
        <f t="shared" si="2"/>
        <v>0</v>
      </c>
      <c r="V438">
        <f>IF(AND($F438&gt;0,NOT(M438),Flexing),FlexPC,0)</f>
        <v>0</v>
      </c>
      <c r="W438">
        <f>IF(AND($F438&gt;0,NOT(N438),Flexing),FlexPC,0)</f>
        <v>0</v>
      </c>
      <c r="X438">
        <f>IF(AND($F438&gt;0,NOT(O438),Flexing),FlexPC,0)</f>
        <v>0</v>
      </c>
      <c r="Y438">
        <f>IF(AND($F438&gt;0,NOT(P438),Flexing),FlexPC,0)</f>
        <v>0</v>
      </c>
      <c r="AA438" s="209">
        <f t="shared" si="3"/>
        <v>437</v>
      </c>
    </row>
    <row r="439" ht="15.75" customHeight="1">
      <c r="A439" s="206" t="str">
        <f>+Declarations!A439&amp;""</f>
        <v/>
      </c>
      <c r="B439" t="str">
        <f>IF(LEN($A439),IF(LEN(Declarations!$B439)&gt;0,Declarations!$B439,"#"&amp;$A439),"")</f>
        <v/>
      </c>
      <c r="C439" s="209" t="str">
        <f t="array" ref="C439">IF(LEN(INDEX(DECLARATIONS,$AA439,3))&gt;0,INDEX(DECLARATIONS,$AA439,3),"...")</f>
        <v>...</v>
      </c>
      <c r="D439" s="209" t="str">
        <f t="shared" si="1"/>
        <v/>
      </c>
      <c r="E439" s="296" t="str">
        <f t="array" ref="E439">IF(ISNA($AA439),0,INDEX(DECLARATIONS,$AA439,5))</f>
        <v/>
      </c>
      <c r="F439" s="209" t="str">
        <f t="array" ref="F439">IF(ISNA($AA439),0,INDEX(DECLARATIONS,$AA439,7))</f>
        <v/>
      </c>
      <c r="G439" s="209" t="str">
        <f t="array" ref="G439">UPPER(IF(ISNA($AA439),"",INDEX(DECLARATIONS,$AA439,4)))</f>
        <v/>
      </c>
      <c r="H439" t="str">
        <f>IF(AND(A439&gt;0,ISTEXT(B439)),IF(SECNAME="YES",LEFT(B439&amp;" ",FIND(" ",B439&amp;" ")+2)&amp;IF(F439&gt;0," ("&amp;F439&amp;")",""),B439&amp;IF(F439&gt;0," ("&amp;F439&amp;")","")),"#"&amp;$A439)</f>
        <v/>
      </c>
      <c r="I439" s="209">
        <f>IF(LEN($A439)&gt;0,IF(LEN($J439)&gt;0,MATCH(J439,MatchNames,0),EventIndex),0)</f>
        <v>0</v>
      </c>
      <c r="J439" s="209" t="str">
        <f>IF(LEN($A439)&gt;0,IF(LEN(Declarations!$F439)&gt;0,Declarations!$F439,conftype),"")</f>
        <v/>
      </c>
      <c r="M439" s="297">
        <f>IF(ISNA(VLOOKUP($A439,SprintData,2,FALSE)),0,VLOOKUP($A439,SprintData,2,FALSE))</f>
        <v>0</v>
      </c>
      <c r="N439" s="297">
        <f>IF(ISNA(VLOOKUP($A439,JumpData,2,FALSE)),0,VLOOKUP($A439,JumpData,2,FALSE))</f>
        <v>0</v>
      </c>
      <c r="O439" s="297">
        <f>IF(ISNA(VLOOKUP($A439,RunData,2,FALSE)),0,VLOOKUP($A439,RunData,2,FALSE))</f>
        <v>0</v>
      </c>
      <c r="P439" s="297">
        <f>IF(ISNA(VLOOKUP($A439,ThrowData,2,FALSE)),0,VLOOKUP($A439,ThrowData,2,FALSE))</f>
        <v>0</v>
      </c>
      <c r="Q439" s="298">
        <f>IF(ISNA(VLOOKUP($A439,SprintData,4,FALSE)),0,VLOOKUP($A439,SprintData,4,FALSE))+V439</f>
        <v>0</v>
      </c>
      <c r="R439" s="298">
        <f>IF(ISNA(VLOOKUP($A439,JumpData,4,FALSE)),0,VLOOKUP($A439,JumpData,4,FALSE))+W439</f>
        <v>0</v>
      </c>
      <c r="S439" s="298">
        <f>IF(ISNA(VLOOKUP($A439,RunData,4,FALSE)),0,VLOOKUP($A439,RunData,4,FALSE))+X439</f>
        <v>0</v>
      </c>
      <c r="T439" s="298">
        <f>IF(ISNA(VLOOKUP($A439,ThrowData,4,FALSE)),0,VLOOKUP($A439,ThrowData,4,FALSE))+Y439</f>
        <v>0</v>
      </c>
      <c r="U439" s="299">
        <f t="shared" si="2"/>
        <v>0</v>
      </c>
      <c r="V439">
        <f>IF(AND($F439&gt;0,NOT(M439),Flexing),FlexPC,0)</f>
        <v>0</v>
      </c>
      <c r="W439">
        <f>IF(AND($F439&gt;0,NOT(N439),Flexing),FlexPC,0)</f>
        <v>0</v>
      </c>
      <c r="X439">
        <f>IF(AND($F439&gt;0,NOT(O439),Flexing),FlexPC,0)</f>
        <v>0</v>
      </c>
      <c r="Y439">
        <f>IF(AND($F439&gt;0,NOT(P439),Flexing),FlexPC,0)</f>
        <v>0</v>
      </c>
      <c r="AA439" s="209">
        <f t="shared" si="3"/>
        <v>438</v>
      </c>
    </row>
    <row r="440" ht="15.75" customHeight="1">
      <c r="A440" s="206" t="str">
        <f>+Declarations!A440&amp;""</f>
        <v/>
      </c>
      <c r="B440" t="str">
        <f>IF(LEN($A440),IF(LEN(Declarations!$B440)&gt;0,Declarations!$B440,"#"&amp;$A440),"")</f>
        <v/>
      </c>
      <c r="C440" s="209" t="str">
        <f t="array" ref="C440">IF(LEN(INDEX(DECLARATIONS,$AA440,3))&gt;0,INDEX(DECLARATIONS,$AA440,3),"...")</f>
        <v>...</v>
      </c>
      <c r="D440" s="209" t="str">
        <f t="shared" si="1"/>
        <v/>
      </c>
      <c r="E440" s="296" t="str">
        <f t="array" ref="E440">IF(ISNA($AA440),0,INDEX(DECLARATIONS,$AA440,5))</f>
        <v/>
      </c>
      <c r="F440" s="209" t="str">
        <f t="array" ref="F440">IF(ISNA($AA440),0,INDEX(DECLARATIONS,$AA440,7))</f>
        <v/>
      </c>
      <c r="G440" s="209" t="str">
        <f t="array" ref="G440">UPPER(IF(ISNA($AA440),"",INDEX(DECLARATIONS,$AA440,4)))</f>
        <v/>
      </c>
      <c r="H440" t="str">
        <f>IF(AND(A440&gt;0,ISTEXT(B440)),IF(SECNAME="YES",LEFT(B440&amp;" ",FIND(" ",B440&amp;" ")+2)&amp;IF(F440&gt;0," ("&amp;F440&amp;")",""),B440&amp;IF(F440&gt;0," ("&amp;F440&amp;")","")),"#"&amp;$A440)</f>
        <v/>
      </c>
      <c r="I440" s="209">
        <f>IF(LEN($A440)&gt;0,IF(LEN($J440)&gt;0,MATCH(J440,MatchNames,0),EventIndex),0)</f>
        <v>0</v>
      </c>
      <c r="J440" s="209" t="str">
        <f>IF(LEN($A440)&gt;0,IF(LEN(Declarations!$F440)&gt;0,Declarations!$F440,conftype),"")</f>
        <v/>
      </c>
      <c r="M440" s="297">
        <f>IF(ISNA(VLOOKUP($A440,SprintData,2,FALSE)),0,VLOOKUP($A440,SprintData,2,FALSE))</f>
        <v>0</v>
      </c>
      <c r="N440" s="297">
        <f>IF(ISNA(VLOOKUP($A440,JumpData,2,FALSE)),0,VLOOKUP($A440,JumpData,2,FALSE))</f>
        <v>0</v>
      </c>
      <c r="O440" s="297">
        <f>IF(ISNA(VLOOKUP($A440,RunData,2,FALSE)),0,VLOOKUP($A440,RunData,2,FALSE))</f>
        <v>0</v>
      </c>
      <c r="P440" s="297">
        <f>IF(ISNA(VLOOKUP($A440,ThrowData,2,FALSE)),0,VLOOKUP($A440,ThrowData,2,FALSE))</f>
        <v>0</v>
      </c>
      <c r="Q440" s="298">
        <f>IF(ISNA(VLOOKUP($A440,SprintData,4,FALSE)),0,VLOOKUP($A440,SprintData,4,FALSE))+V440</f>
        <v>0</v>
      </c>
      <c r="R440" s="298">
        <f>IF(ISNA(VLOOKUP($A440,JumpData,4,FALSE)),0,VLOOKUP($A440,JumpData,4,FALSE))+W440</f>
        <v>0</v>
      </c>
      <c r="S440" s="298">
        <f>IF(ISNA(VLOOKUP($A440,RunData,4,FALSE)),0,VLOOKUP($A440,RunData,4,FALSE))+X440</f>
        <v>0</v>
      </c>
      <c r="T440" s="298">
        <f>IF(ISNA(VLOOKUP($A440,ThrowData,4,FALSE)),0,VLOOKUP($A440,ThrowData,4,FALSE))+Y440</f>
        <v>0</v>
      </c>
      <c r="U440" s="299">
        <f t="shared" si="2"/>
        <v>0</v>
      </c>
      <c r="V440">
        <f>IF(AND($F440&gt;0,NOT(M440),Flexing),FlexPC,0)</f>
        <v>0</v>
      </c>
      <c r="W440">
        <f>IF(AND($F440&gt;0,NOT(N440),Flexing),FlexPC,0)</f>
        <v>0</v>
      </c>
      <c r="X440">
        <f>IF(AND($F440&gt;0,NOT(O440),Flexing),FlexPC,0)</f>
        <v>0</v>
      </c>
      <c r="Y440">
        <f>IF(AND($F440&gt;0,NOT(P440),Flexing),FlexPC,0)</f>
        <v>0</v>
      </c>
      <c r="AA440" s="209">
        <f t="shared" si="3"/>
        <v>439</v>
      </c>
    </row>
    <row r="441" ht="15.75" customHeight="1">
      <c r="A441" s="206" t="str">
        <f>+Declarations!A441&amp;""</f>
        <v/>
      </c>
      <c r="B441" t="str">
        <f>IF(LEN($A441),IF(LEN(Declarations!$B441)&gt;0,Declarations!$B441,"#"&amp;$A441),"")</f>
        <v/>
      </c>
      <c r="C441" s="209" t="str">
        <f t="array" ref="C441">IF(LEN(INDEX(DECLARATIONS,$AA441,3))&gt;0,INDEX(DECLARATIONS,$AA441,3),"...")</f>
        <v>...</v>
      </c>
      <c r="D441" s="209" t="str">
        <f t="shared" si="1"/>
        <v/>
      </c>
      <c r="E441" s="296" t="str">
        <f t="array" ref="E441">IF(ISNA($AA441),0,INDEX(DECLARATIONS,$AA441,5))</f>
        <v/>
      </c>
      <c r="F441" s="209" t="str">
        <f t="array" ref="F441">IF(ISNA($AA441),0,INDEX(DECLARATIONS,$AA441,7))</f>
        <v/>
      </c>
      <c r="G441" s="209" t="str">
        <f t="array" ref="G441">UPPER(IF(ISNA($AA441),"",INDEX(DECLARATIONS,$AA441,4)))</f>
        <v/>
      </c>
      <c r="H441" t="str">
        <f>IF(AND(A441&gt;0,ISTEXT(B441)),IF(SECNAME="YES",LEFT(B441&amp;" ",FIND(" ",B441&amp;" ")+2)&amp;IF(F441&gt;0," ("&amp;F441&amp;")",""),B441&amp;IF(F441&gt;0," ("&amp;F441&amp;")","")),"#"&amp;$A441)</f>
        <v/>
      </c>
      <c r="I441" s="209">
        <f>IF(LEN($A441)&gt;0,IF(LEN($J441)&gt;0,MATCH(J441,MatchNames,0),EventIndex),0)</f>
        <v>0</v>
      </c>
      <c r="J441" s="209" t="str">
        <f>IF(LEN($A441)&gt;0,IF(LEN(Declarations!$F441)&gt;0,Declarations!$F441,conftype),"")</f>
        <v/>
      </c>
      <c r="M441" s="297">
        <f>IF(ISNA(VLOOKUP($A441,SprintData,2,FALSE)),0,VLOOKUP($A441,SprintData,2,FALSE))</f>
        <v>0</v>
      </c>
      <c r="N441" s="297">
        <f>IF(ISNA(VLOOKUP($A441,JumpData,2,FALSE)),0,VLOOKUP($A441,JumpData,2,FALSE))</f>
        <v>0</v>
      </c>
      <c r="O441" s="297">
        <f>IF(ISNA(VLOOKUP($A441,RunData,2,FALSE)),0,VLOOKUP($A441,RunData,2,FALSE))</f>
        <v>0</v>
      </c>
      <c r="P441" s="297">
        <f>IF(ISNA(VLOOKUP($A441,ThrowData,2,FALSE)),0,VLOOKUP($A441,ThrowData,2,FALSE))</f>
        <v>0</v>
      </c>
      <c r="Q441" s="298">
        <f>IF(ISNA(VLOOKUP($A441,SprintData,4,FALSE)),0,VLOOKUP($A441,SprintData,4,FALSE))+V441</f>
        <v>0</v>
      </c>
      <c r="R441" s="298">
        <f>IF(ISNA(VLOOKUP($A441,JumpData,4,FALSE)),0,VLOOKUP($A441,JumpData,4,FALSE))+W441</f>
        <v>0</v>
      </c>
      <c r="S441" s="298">
        <f>IF(ISNA(VLOOKUP($A441,RunData,4,FALSE)),0,VLOOKUP($A441,RunData,4,FALSE))+X441</f>
        <v>0</v>
      </c>
      <c r="T441" s="298">
        <f>IF(ISNA(VLOOKUP($A441,ThrowData,4,FALSE)),0,VLOOKUP($A441,ThrowData,4,FALSE))+Y441</f>
        <v>0</v>
      </c>
      <c r="U441" s="299">
        <f t="shared" si="2"/>
        <v>0</v>
      </c>
      <c r="V441">
        <f>IF(AND($F441&gt;0,NOT(M441),Flexing),FlexPC,0)</f>
        <v>0</v>
      </c>
      <c r="W441">
        <f>IF(AND($F441&gt;0,NOT(N441),Flexing),FlexPC,0)</f>
        <v>0</v>
      </c>
      <c r="X441">
        <f>IF(AND($F441&gt;0,NOT(O441),Flexing),FlexPC,0)</f>
        <v>0</v>
      </c>
      <c r="Y441">
        <f>IF(AND($F441&gt;0,NOT(P441),Flexing),FlexPC,0)</f>
        <v>0</v>
      </c>
      <c r="AA441" s="209">
        <f t="shared" si="3"/>
        <v>440</v>
      </c>
    </row>
    <row r="442" ht="15.75" customHeight="1">
      <c r="A442" s="206" t="str">
        <f>+Declarations!A442&amp;""</f>
        <v/>
      </c>
      <c r="B442" t="str">
        <f>IF(LEN($A442),IF(LEN(Declarations!$B442)&gt;0,Declarations!$B442,"#"&amp;$A442),"")</f>
        <v/>
      </c>
      <c r="C442" s="209" t="str">
        <f t="array" ref="C442">IF(LEN(INDEX(DECLARATIONS,$AA442,3))&gt;0,INDEX(DECLARATIONS,$AA442,3),"...")</f>
        <v>...</v>
      </c>
      <c r="D442" s="209" t="str">
        <f t="shared" si="1"/>
        <v/>
      </c>
      <c r="E442" s="296" t="str">
        <f t="array" ref="E442">IF(ISNA($AA442),0,INDEX(DECLARATIONS,$AA442,5))</f>
        <v/>
      </c>
      <c r="F442" s="209" t="str">
        <f t="array" ref="F442">IF(ISNA($AA442),0,INDEX(DECLARATIONS,$AA442,7))</f>
        <v/>
      </c>
      <c r="G442" s="209" t="str">
        <f t="array" ref="G442">UPPER(IF(ISNA($AA442),"",INDEX(DECLARATIONS,$AA442,4)))</f>
        <v/>
      </c>
      <c r="H442" t="str">
        <f>IF(AND(A442&gt;0,ISTEXT(B442)),IF(SECNAME="YES",LEFT(B442&amp;" ",FIND(" ",B442&amp;" ")+2)&amp;IF(F442&gt;0," ("&amp;F442&amp;")",""),B442&amp;IF(F442&gt;0," ("&amp;F442&amp;")","")),"#"&amp;$A442)</f>
        <v/>
      </c>
      <c r="I442" s="209">
        <f>IF(LEN($A442)&gt;0,IF(LEN($J442)&gt;0,MATCH(J442,MatchNames,0),EventIndex),0)</f>
        <v>0</v>
      </c>
      <c r="J442" s="209" t="str">
        <f>IF(LEN($A442)&gt;0,IF(LEN(Declarations!$F442)&gt;0,Declarations!$F442,conftype),"")</f>
        <v/>
      </c>
      <c r="M442" s="297">
        <f>IF(ISNA(VLOOKUP($A442,SprintData,2,FALSE)),0,VLOOKUP($A442,SprintData,2,FALSE))</f>
        <v>0</v>
      </c>
      <c r="N442" s="297">
        <f>IF(ISNA(VLOOKUP($A442,JumpData,2,FALSE)),0,VLOOKUP($A442,JumpData,2,FALSE))</f>
        <v>0</v>
      </c>
      <c r="O442" s="297">
        <f>IF(ISNA(VLOOKUP($A442,RunData,2,FALSE)),0,VLOOKUP($A442,RunData,2,FALSE))</f>
        <v>0</v>
      </c>
      <c r="P442" s="297">
        <f>IF(ISNA(VLOOKUP($A442,ThrowData,2,FALSE)),0,VLOOKUP($A442,ThrowData,2,FALSE))</f>
        <v>0</v>
      </c>
      <c r="Q442" s="298">
        <f>IF(ISNA(VLOOKUP($A442,SprintData,4,FALSE)),0,VLOOKUP($A442,SprintData,4,FALSE))+V442</f>
        <v>0</v>
      </c>
      <c r="R442" s="298">
        <f>IF(ISNA(VLOOKUP($A442,JumpData,4,FALSE)),0,VLOOKUP($A442,JumpData,4,FALSE))+W442</f>
        <v>0</v>
      </c>
      <c r="S442" s="298">
        <f>IF(ISNA(VLOOKUP($A442,RunData,4,FALSE)),0,VLOOKUP($A442,RunData,4,FALSE))+X442</f>
        <v>0</v>
      </c>
      <c r="T442" s="298">
        <f>IF(ISNA(VLOOKUP($A442,ThrowData,4,FALSE)),0,VLOOKUP($A442,ThrowData,4,FALSE))+Y442</f>
        <v>0</v>
      </c>
      <c r="U442" s="299">
        <f t="shared" si="2"/>
        <v>0</v>
      </c>
      <c r="V442">
        <f>IF(AND($F442&gt;0,NOT(M442),Flexing),FlexPC,0)</f>
        <v>0</v>
      </c>
      <c r="W442">
        <f>IF(AND($F442&gt;0,NOT(N442),Flexing),FlexPC,0)</f>
        <v>0</v>
      </c>
      <c r="X442">
        <f>IF(AND($F442&gt;0,NOT(O442),Flexing),FlexPC,0)</f>
        <v>0</v>
      </c>
      <c r="Y442">
        <f>IF(AND($F442&gt;0,NOT(P442),Flexing),FlexPC,0)</f>
        <v>0</v>
      </c>
      <c r="AA442" s="209">
        <f t="shared" si="3"/>
        <v>441</v>
      </c>
    </row>
    <row r="443" ht="15.75" customHeight="1">
      <c r="A443" s="206" t="str">
        <f>+Declarations!A443&amp;""</f>
        <v/>
      </c>
      <c r="B443" t="str">
        <f>IF(LEN($A443),IF(LEN(Declarations!$B443)&gt;0,Declarations!$B443,"#"&amp;$A443),"")</f>
        <v/>
      </c>
      <c r="C443" s="209" t="str">
        <f t="array" ref="C443">IF(LEN(INDEX(DECLARATIONS,$AA443,3))&gt;0,INDEX(DECLARATIONS,$AA443,3),"...")</f>
        <v>...</v>
      </c>
      <c r="D443" s="209" t="str">
        <f t="shared" si="1"/>
        <v/>
      </c>
      <c r="E443" s="296" t="str">
        <f t="array" ref="E443">IF(ISNA($AA443),0,INDEX(DECLARATIONS,$AA443,5))</f>
        <v/>
      </c>
      <c r="F443" s="209" t="str">
        <f t="array" ref="F443">IF(ISNA($AA443),0,INDEX(DECLARATIONS,$AA443,7))</f>
        <v/>
      </c>
      <c r="G443" s="209" t="str">
        <f t="array" ref="G443">UPPER(IF(ISNA($AA443),"",INDEX(DECLARATIONS,$AA443,4)))</f>
        <v/>
      </c>
      <c r="H443" t="str">
        <f>IF(AND(A443&gt;0,ISTEXT(B443)),IF(SECNAME="YES",LEFT(B443&amp;" ",FIND(" ",B443&amp;" ")+2)&amp;IF(F443&gt;0," ("&amp;F443&amp;")",""),B443&amp;IF(F443&gt;0," ("&amp;F443&amp;")","")),"#"&amp;$A443)</f>
        <v/>
      </c>
      <c r="I443" s="209">
        <f>IF(LEN($A443)&gt;0,IF(LEN($J443)&gt;0,MATCH(J443,MatchNames,0),EventIndex),0)</f>
        <v>0</v>
      </c>
      <c r="J443" s="209" t="str">
        <f>IF(LEN($A443)&gt;0,IF(LEN(Declarations!$F443)&gt;0,Declarations!$F443,conftype),"")</f>
        <v/>
      </c>
      <c r="M443" s="297">
        <f>IF(ISNA(VLOOKUP($A443,SprintData,2,FALSE)),0,VLOOKUP($A443,SprintData,2,FALSE))</f>
        <v>0</v>
      </c>
      <c r="N443" s="297">
        <f>IF(ISNA(VLOOKUP($A443,JumpData,2,FALSE)),0,VLOOKUP($A443,JumpData,2,FALSE))</f>
        <v>0</v>
      </c>
      <c r="O443" s="297">
        <f>IF(ISNA(VLOOKUP($A443,RunData,2,FALSE)),0,VLOOKUP($A443,RunData,2,FALSE))</f>
        <v>0</v>
      </c>
      <c r="P443" s="297">
        <f>IF(ISNA(VLOOKUP($A443,ThrowData,2,FALSE)),0,VLOOKUP($A443,ThrowData,2,FALSE))</f>
        <v>0</v>
      </c>
      <c r="Q443" s="298">
        <f>IF(ISNA(VLOOKUP($A443,SprintData,4,FALSE)),0,VLOOKUP($A443,SprintData,4,FALSE))+V443</f>
        <v>0</v>
      </c>
      <c r="R443" s="298">
        <f>IF(ISNA(VLOOKUP($A443,JumpData,4,FALSE)),0,VLOOKUP($A443,JumpData,4,FALSE))+W443</f>
        <v>0</v>
      </c>
      <c r="S443" s="298">
        <f>IF(ISNA(VLOOKUP($A443,RunData,4,FALSE)),0,VLOOKUP($A443,RunData,4,FALSE))+X443</f>
        <v>0</v>
      </c>
      <c r="T443" s="298">
        <f>IF(ISNA(VLOOKUP($A443,ThrowData,4,FALSE)),0,VLOOKUP($A443,ThrowData,4,FALSE))+Y443</f>
        <v>0</v>
      </c>
      <c r="U443" s="299">
        <f t="shared" si="2"/>
        <v>0</v>
      </c>
      <c r="V443">
        <f>IF(AND($F443&gt;0,NOT(M443),Flexing),FlexPC,0)</f>
        <v>0</v>
      </c>
      <c r="W443">
        <f>IF(AND($F443&gt;0,NOT(N443),Flexing),FlexPC,0)</f>
        <v>0</v>
      </c>
      <c r="X443">
        <f>IF(AND($F443&gt;0,NOT(O443),Flexing),FlexPC,0)</f>
        <v>0</v>
      </c>
      <c r="Y443">
        <f>IF(AND($F443&gt;0,NOT(P443),Flexing),FlexPC,0)</f>
        <v>0</v>
      </c>
      <c r="AA443" s="209">
        <f t="shared" si="3"/>
        <v>442</v>
      </c>
    </row>
    <row r="444" ht="15.75" customHeight="1">
      <c r="A444" s="206" t="str">
        <f>+Declarations!A444&amp;""</f>
        <v/>
      </c>
      <c r="B444" t="str">
        <f>IF(LEN($A444),IF(LEN(Declarations!$B444)&gt;0,Declarations!$B444,"#"&amp;$A444),"")</f>
        <v/>
      </c>
      <c r="C444" s="209" t="str">
        <f t="array" ref="C444">IF(LEN(INDEX(DECLARATIONS,$AA444,3))&gt;0,INDEX(DECLARATIONS,$AA444,3),"...")</f>
        <v>...</v>
      </c>
      <c r="D444" s="209" t="str">
        <f t="shared" si="1"/>
        <v/>
      </c>
      <c r="E444" s="296" t="str">
        <f t="array" ref="E444">IF(ISNA($AA444),0,INDEX(DECLARATIONS,$AA444,5))</f>
        <v/>
      </c>
      <c r="F444" s="209" t="str">
        <f t="array" ref="F444">IF(ISNA($AA444),0,INDEX(DECLARATIONS,$AA444,7))</f>
        <v/>
      </c>
      <c r="G444" s="209" t="str">
        <f t="array" ref="G444">UPPER(IF(ISNA($AA444),"",INDEX(DECLARATIONS,$AA444,4)))</f>
        <v/>
      </c>
      <c r="H444" t="str">
        <f>IF(AND(A444&gt;0,ISTEXT(B444)),IF(SECNAME="YES",LEFT(B444&amp;" ",FIND(" ",B444&amp;" ")+2)&amp;IF(F444&gt;0," ("&amp;F444&amp;")",""),B444&amp;IF(F444&gt;0," ("&amp;F444&amp;")","")),"#"&amp;$A444)</f>
        <v/>
      </c>
      <c r="I444" s="209">
        <f>IF(LEN($A444)&gt;0,IF(LEN($J444)&gt;0,MATCH(J444,MatchNames,0),EventIndex),0)</f>
        <v>0</v>
      </c>
      <c r="J444" s="209" t="str">
        <f>IF(LEN($A444)&gt;0,IF(LEN(Declarations!$F444)&gt;0,Declarations!$F444,conftype),"")</f>
        <v/>
      </c>
      <c r="M444" s="297">
        <f>IF(ISNA(VLOOKUP($A444,SprintData,2,FALSE)),0,VLOOKUP($A444,SprintData,2,FALSE))</f>
        <v>0</v>
      </c>
      <c r="N444" s="297">
        <f>IF(ISNA(VLOOKUP($A444,JumpData,2,FALSE)),0,VLOOKUP($A444,JumpData,2,FALSE))</f>
        <v>0</v>
      </c>
      <c r="O444" s="297">
        <f>IF(ISNA(VLOOKUP($A444,RunData,2,FALSE)),0,VLOOKUP($A444,RunData,2,FALSE))</f>
        <v>0</v>
      </c>
      <c r="P444" s="297">
        <f>IF(ISNA(VLOOKUP($A444,ThrowData,2,FALSE)),0,VLOOKUP($A444,ThrowData,2,FALSE))</f>
        <v>0</v>
      </c>
      <c r="Q444" s="298">
        <f>IF(ISNA(VLOOKUP($A444,SprintData,4,FALSE)),0,VLOOKUP($A444,SprintData,4,FALSE))+V444</f>
        <v>0</v>
      </c>
      <c r="R444" s="298">
        <f>IF(ISNA(VLOOKUP($A444,JumpData,4,FALSE)),0,VLOOKUP($A444,JumpData,4,FALSE))+W444</f>
        <v>0</v>
      </c>
      <c r="S444" s="298">
        <f>IF(ISNA(VLOOKUP($A444,RunData,4,FALSE)),0,VLOOKUP($A444,RunData,4,FALSE))+X444</f>
        <v>0</v>
      </c>
      <c r="T444" s="298">
        <f>IF(ISNA(VLOOKUP($A444,ThrowData,4,FALSE)),0,VLOOKUP($A444,ThrowData,4,FALSE))+Y444</f>
        <v>0</v>
      </c>
      <c r="U444" s="299">
        <f t="shared" si="2"/>
        <v>0</v>
      </c>
      <c r="V444">
        <f>IF(AND($F444&gt;0,NOT(M444),Flexing),FlexPC,0)</f>
        <v>0</v>
      </c>
      <c r="W444">
        <f>IF(AND($F444&gt;0,NOT(N444),Flexing),FlexPC,0)</f>
        <v>0</v>
      </c>
      <c r="X444">
        <f>IF(AND($F444&gt;0,NOT(O444),Flexing),FlexPC,0)</f>
        <v>0</v>
      </c>
      <c r="Y444">
        <f>IF(AND($F444&gt;0,NOT(P444),Flexing),FlexPC,0)</f>
        <v>0</v>
      </c>
      <c r="AA444" s="209">
        <f t="shared" si="3"/>
        <v>443</v>
      </c>
    </row>
    <row r="445" ht="15.75" customHeight="1">
      <c r="A445" s="206" t="str">
        <f>+Declarations!A445&amp;""</f>
        <v/>
      </c>
      <c r="B445" t="str">
        <f>IF(LEN($A445),IF(LEN(Declarations!$B445)&gt;0,Declarations!$B445,"#"&amp;$A445),"")</f>
        <v/>
      </c>
      <c r="C445" s="209" t="str">
        <f t="array" ref="C445">IF(LEN(INDEX(DECLARATIONS,$AA445,3))&gt;0,INDEX(DECLARATIONS,$AA445,3),"...")</f>
        <v>...</v>
      </c>
      <c r="D445" s="209" t="str">
        <f t="shared" si="1"/>
        <v/>
      </c>
      <c r="E445" s="296" t="str">
        <f t="array" ref="E445">IF(ISNA($AA445),0,INDEX(DECLARATIONS,$AA445,5))</f>
        <v/>
      </c>
      <c r="F445" s="209" t="str">
        <f t="array" ref="F445">IF(ISNA($AA445),0,INDEX(DECLARATIONS,$AA445,7))</f>
        <v/>
      </c>
      <c r="G445" s="209" t="str">
        <f t="array" ref="G445">UPPER(IF(ISNA($AA445),"",INDEX(DECLARATIONS,$AA445,4)))</f>
        <v/>
      </c>
      <c r="H445" t="str">
        <f>IF(AND(A445&gt;0,ISTEXT(B445)),IF(SECNAME="YES",LEFT(B445&amp;" ",FIND(" ",B445&amp;" ")+2)&amp;IF(F445&gt;0," ("&amp;F445&amp;")",""),B445&amp;IF(F445&gt;0," ("&amp;F445&amp;")","")),"#"&amp;$A445)</f>
        <v/>
      </c>
      <c r="I445" s="209">
        <f>IF(LEN($A445)&gt;0,IF(LEN($J445)&gt;0,MATCH(J445,MatchNames,0),EventIndex),0)</f>
        <v>0</v>
      </c>
      <c r="J445" s="209" t="str">
        <f>IF(LEN($A445)&gt;0,IF(LEN(Declarations!$F445)&gt;0,Declarations!$F445,conftype),"")</f>
        <v/>
      </c>
      <c r="M445" s="297">
        <f>IF(ISNA(VLOOKUP($A445,SprintData,2,FALSE)),0,VLOOKUP($A445,SprintData,2,FALSE))</f>
        <v>0</v>
      </c>
      <c r="N445" s="297">
        <f>IF(ISNA(VLOOKUP($A445,JumpData,2,FALSE)),0,VLOOKUP($A445,JumpData,2,FALSE))</f>
        <v>0</v>
      </c>
      <c r="O445" s="297">
        <f>IF(ISNA(VLOOKUP($A445,RunData,2,FALSE)),0,VLOOKUP($A445,RunData,2,FALSE))</f>
        <v>0</v>
      </c>
      <c r="P445" s="297">
        <f>IF(ISNA(VLOOKUP($A445,ThrowData,2,FALSE)),0,VLOOKUP($A445,ThrowData,2,FALSE))</f>
        <v>0</v>
      </c>
      <c r="Q445" s="298">
        <f>IF(ISNA(VLOOKUP($A445,SprintData,4,FALSE)),0,VLOOKUP($A445,SprintData,4,FALSE))+V445</f>
        <v>0</v>
      </c>
      <c r="R445" s="298">
        <f>IF(ISNA(VLOOKUP($A445,JumpData,4,FALSE)),0,VLOOKUP($A445,JumpData,4,FALSE))+W445</f>
        <v>0</v>
      </c>
      <c r="S445" s="298">
        <f>IF(ISNA(VLOOKUP($A445,RunData,4,FALSE)),0,VLOOKUP($A445,RunData,4,FALSE))+X445</f>
        <v>0</v>
      </c>
      <c r="T445" s="298">
        <f>IF(ISNA(VLOOKUP($A445,ThrowData,4,FALSE)),0,VLOOKUP($A445,ThrowData,4,FALSE))+Y445</f>
        <v>0</v>
      </c>
      <c r="U445" s="299">
        <f t="shared" si="2"/>
        <v>0</v>
      </c>
      <c r="V445">
        <f>IF(AND($F445&gt;0,NOT(M445),Flexing),FlexPC,0)</f>
        <v>0</v>
      </c>
      <c r="W445">
        <f>IF(AND($F445&gt;0,NOT(N445),Flexing),FlexPC,0)</f>
        <v>0</v>
      </c>
      <c r="X445">
        <f>IF(AND($F445&gt;0,NOT(O445),Flexing),FlexPC,0)</f>
        <v>0</v>
      </c>
      <c r="Y445">
        <f>IF(AND($F445&gt;0,NOT(P445),Flexing),FlexPC,0)</f>
        <v>0</v>
      </c>
      <c r="AA445" s="209">
        <f t="shared" si="3"/>
        <v>444</v>
      </c>
    </row>
    <row r="446" ht="15.75" customHeight="1">
      <c r="A446" s="206" t="str">
        <f>+Declarations!A446&amp;""</f>
        <v/>
      </c>
      <c r="B446" t="str">
        <f>IF(LEN($A446),IF(LEN(Declarations!$B446)&gt;0,Declarations!$B446,"#"&amp;$A446),"")</f>
        <v/>
      </c>
      <c r="C446" s="209" t="str">
        <f t="array" ref="C446">IF(LEN(INDEX(DECLARATIONS,$AA446,3))&gt;0,INDEX(DECLARATIONS,$AA446,3),"...")</f>
        <v>...</v>
      </c>
      <c r="D446" s="209" t="str">
        <f t="shared" si="1"/>
        <v/>
      </c>
      <c r="E446" s="296" t="str">
        <f t="array" ref="E446">IF(ISNA($AA446),0,INDEX(DECLARATIONS,$AA446,5))</f>
        <v/>
      </c>
      <c r="F446" s="209" t="str">
        <f t="array" ref="F446">IF(ISNA($AA446),0,INDEX(DECLARATIONS,$AA446,7))</f>
        <v/>
      </c>
      <c r="G446" s="209" t="str">
        <f t="array" ref="G446">UPPER(IF(ISNA($AA446),"",INDEX(DECLARATIONS,$AA446,4)))</f>
        <v/>
      </c>
      <c r="H446" t="str">
        <f>IF(AND(A446&gt;0,ISTEXT(B446)),IF(SECNAME="YES",LEFT(B446&amp;" ",FIND(" ",B446&amp;" ")+2)&amp;IF(F446&gt;0," ("&amp;F446&amp;")",""),B446&amp;IF(F446&gt;0," ("&amp;F446&amp;")","")),"#"&amp;$A446)</f>
        <v/>
      </c>
      <c r="I446" s="209">
        <f>IF(LEN($A446)&gt;0,IF(LEN($J446)&gt;0,MATCH(J446,MatchNames,0),EventIndex),0)</f>
        <v>0</v>
      </c>
      <c r="J446" s="209" t="str">
        <f>IF(LEN($A446)&gt;0,IF(LEN(Declarations!$F446)&gt;0,Declarations!$F446,conftype),"")</f>
        <v/>
      </c>
      <c r="M446" s="297">
        <f>IF(ISNA(VLOOKUP($A446,SprintData,2,FALSE)),0,VLOOKUP($A446,SprintData,2,FALSE))</f>
        <v>0</v>
      </c>
      <c r="N446" s="297">
        <f>IF(ISNA(VLOOKUP($A446,JumpData,2,FALSE)),0,VLOOKUP($A446,JumpData,2,FALSE))</f>
        <v>0</v>
      </c>
      <c r="O446" s="297">
        <f>IF(ISNA(VLOOKUP($A446,RunData,2,FALSE)),0,VLOOKUP($A446,RunData,2,FALSE))</f>
        <v>0</v>
      </c>
      <c r="P446" s="297">
        <f>IF(ISNA(VLOOKUP($A446,ThrowData,2,FALSE)),0,VLOOKUP($A446,ThrowData,2,FALSE))</f>
        <v>0</v>
      </c>
      <c r="Q446" s="298">
        <f>IF(ISNA(VLOOKUP($A446,SprintData,4,FALSE)),0,VLOOKUP($A446,SprintData,4,FALSE))+V446</f>
        <v>0</v>
      </c>
      <c r="R446" s="298">
        <f>IF(ISNA(VLOOKUP($A446,JumpData,4,FALSE)),0,VLOOKUP($A446,JumpData,4,FALSE))+W446</f>
        <v>0</v>
      </c>
      <c r="S446" s="298">
        <f>IF(ISNA(VLOOKUP($A446,RunData,4,FALSE)),0,VLOOKUP($A446,RunData,4,FALSE))+X446</f>
        <v>0</v>
      </c>
      <c r="T446" s="298">
        <f>IF(ISNA(VLOOKUP($A446,ThrowData,4,FALSE)),0,VLOOKUP($A446,ThrowData,4,FALSE))+Y446</f>
        <v>0</v>
      </c>
      <c r="U446" s="299">
        <f t="shared" si="2"/>
        <v>0</v>
      </c>
      <c r="V446">
        <f>IF(AND($F446&gt;0,NOT(M446),Flexing),FlexPC,0)</f>
        <v>0</v>
      </c>
      <c r="W446">
        <f>IF(AND($F446&gt;0,NOT(N446),Flexing),FlexPC,0)</f>
        <v>0</v>
      </c>
      <c r="X446">
        <f>IF(AND($F446&gt;0,NOT(O446),Flexing),FlexPC,0)</f>
        <v>0</v>
      </c>
      <c r="Y446">
        <f>IF(AND($F446&gt;0,NOT(P446),Flexing),FlexPC,0)</f>
        <v>0</v>
      </c>
      <c r="AA446" s="209">
        <f t="shared" si="3"/>
        <v>445</v>
      </c>
    </row>
    <row r="447" ht="15.75" customHeight="1">
      <c r="A447" s="206" t="str">
        <f>+Declarations!A447&amp;""</f>
        <v/>
      </c>
      <c r="B447" t="str">
        <f>IF(LEN($A447),IF(LEN(Declarations!$B447)&gt;0,Declarations!$B447,"#"&amp;$A447),"")</f>
        <v/>
      </c>
      <c r="C447" s="209" t="str">
        <f t="array" ref="C447">IF(LEN(INDEX(DECLARATIONS,$AA447,3))&gt;0,INDEX(DECLARATIONS,$AA447,3),"...")</f>
        <v>...</v>
      </c>
      <c r="D447" s="209" t="str">
        <f t="shared" si="1"/>
        <v/>
      </c>
      <c r="E447" s="296" t="str">
        <f t="array" ref="E447">IF(ISNA($AA447),0,INDEX(DECLARATIONS,$AA447,5))</f>
        <v/>
      </c>
      <c r="F447" s="209" t="str">
        <f t="array" ref="F447">IF(ISNA($AA447),0,INDEX(DECLARATIONS,$AA447,7))</f>
        <v/>
      </c>
      <c r="G447" s="209" t="str">
        <f t="array" ref="G447">UPPER(IF(ISNA($AA447),"",INDEX(DECLARATIONS,$AA447,4)))</f>
        <v/>
      </c>
      <c r="H447" t="str">
        <f>IF(AND(A447&gt;0,ISTEXT(B447)),IF(SECNAME="YES",LEFT(B447&amp;" ",FIND(" ",B447&amp;" ")+2)&amp;IF(F447&gt;0," ("&amp;F447&amp;")",""),B447&amp;IF(F447&gt;0," ("&amp;F447&amp;")","")),"#"&amp;$A447)</f>
        <v/>
      </c>
      <c r="I447" s="209">
        <f>IF(LEN($A447)&gt;0,IF(LEN($J447)&gt;0,MATCH(J447,MatchNames,0),EventIndex),0)</f>
        <v>0</v>
      </c>
      <c r="J447" s="209" t="str">
        <f>IF(LEN($A447)&gt;0,IF(LEN(Declarations!$F447)&gt;0,Declarations!$F447,conftype),"")</f>
        <v/>
      </c>
      <c r="M447" s="297">
        <f>IF(ISNA(VLOOKUP($A447,SprintData,2,FALSE)),0,VLOOKUP($A447,SprintData,2,FALSE))</f>
        <v>0</v>
      </c>
      <c r="N447" s="297">
        <f>IF(ISNA(VLOOKUP($A447,JumpData,2,FALSE)),0,VLOOKUP($A447,JumpData,2,FALSE))</f>
        <v>0</v>
      </c>
      <c r="O447" s="297">
        <f>IF(ISNA(VLOOKUP($A447,RunData,2,FALSE)),0,VLOOKUP($A447,RunData,2,FALSE))</f>
        <v>0</v>
      </c>
      <c r="P447" s="297">
        <f>IF(ISNA(VLOOKUP($A447,ThrowData,2,FALSE)),0,VLOOKUP($A447,ThrowData,2,FALSE))</f>
        <v>0</v>
      </c>
      <c r="Q447" s="298">
        <f>IF(ISNA(VLOOKUP($A447,SprintData,4,FALSE)),0,VLOOKUP($A447,SprintData,4,FALSE))+V447</f>
        <v>0</v>
      </c>
      <c r="R447" s="298">
        <f>IF(ISNA(VLOOKUP($A447,JumpData,4,FALSE)),0,VLOOKUP($A447,JumpData,4,FALSE))+W447</f>
        <v>0</v>
      </c>
      <c r="S447" s="298">
        <f>IF(ISNA(VLOOKUP($A447,RunData,4,FALSE)),0,VLOOKUP($A447,RunData,4,FALSE))+X447</f>
        <v>0</v>
      </c>
      <c r="T447" s="298">
        <f>IF(ISNA(VLOOKUP($A447,ThrowData,4,FALSE)),0,VLOOKUP($A447,ThrowData,4,FALSE))+Y447</f>
        <v>0</v>
      </c>
      <c r="U447" s="299">
        <f t="shared" si="2"/>
        <v>0</v>
      </c>
      <c r="V447">
        <f>IF(AND($F447&gt;0,NOT(M447),Flexing),FlexPC,0)</f>
        <v>0</v>
      </c>
      <c r="W447">
        <f>IF(AND($F447&gt;0,NOT(N447),Flexing),FlexPC,0)</f>
        <v>0</v>
      </c>
      <c r="X447">
        <f>IF(AND($F447&gt;0,NOT(O447),Flexing),FlexPC,0)</f>
        <v>0</v>
      </c>
      <c r="Y447">
        <f>IF(AND($F447&gt;0,NOT(P447),Flexing),FlexPC,0)</f>
        <v>0</v>
      </c>
      <c r="AA447" s="209">
        <f t="shared" si="3"/>
        <v>446</v>
      </c>
    </row>
    <row r="448" ht="15.75" customHeight="1">
      <c r="A448" s="206" t="str">
        <f>+Declarations!A448&amp;""</f>
        <v/>
      </c>
      <c r="B448" t="str">
        <f>IF(LEN($A448),IF(LEN(Declarations!$B448)&gt;0,Declarations!$B448,"#"&amp;$A448),"")</f>
        <v/>
      </c>
      <c r="C448" s="209" t="str">
        <f t="array" ref="C448">IF(LEN(INDEX(DECLARATIONS,$AA448,3))&gt;0,INDEX(DECLARATIONS,$AA448,3),"...")</f>
        <v>...</v>
      </c>
      <c r="D448" s="209" t="str">
        <f t="shared" si="1"/>
        <v/>
      </c>
      <c r="E448" s="296" t="str">
        <f t="array" ref="E448">IF(ISNA($AA448),0,INDEX(DECLARATIONS,$AA448,5))</f>
        <v/>
      </c>
      <c r="F448" s="209" t="str">
        <f t="array" ref="F448">IF(ISNA($AA448),0,INDEX(DECLARATIONS,$AA448,7))</f>
        <v/>
      </c>
      <c r="G448" s="209" t="str">
        <f t="array" ref="G448">UPPER(IF(ISNA($AA448),"",INDEX(DECLARATIONS,$AA448,4)))</f>
        <v/>
      </c>
      <c r="H448" t="str">
        <f>IF(AND(A448&gt;0,ISTEXT(B448)),IF(SECNAME="YES",LEFT(B448&amp;" ",FIND(" ",B448&amp;" ")+2)&amp;IF(F448&gt;0," ("&amp;F448&amp;")",""),B448&amp;IF(F448&gt;0," ("&amp;F448&amp;")","")),"#"&amp;$A448)</f>
        <v/>
      </c>
      <c r="I448" s="209">
        <f>IF(LEN($A448)&gt;0,IF(LEN($J448)&gt;0,MATCH(J448,MatchNames,0),EventIndex),0)</f>
        <v>0</v>
      </c>
      <c r="J448" s="209" t="str">
        <f>IF(LEN($A448)&gt;0,IF(LEN(Declarations!$F448)&gt;0,Declarations!$F448,conftype),"")</f>
        <v/>
      </c>
      <c r="M448" s="297">
        <f>IF(ISNA(VLOOKUP($A448,SprintData,2,FALSE)),0,VLOOKUP($A448,SprintData,2,FALSE))</f>
        <v>0</v>
      </c>
      <c r="N448" s="297">
        <f>IF(ISNA(VLOOKUP($A448,JumpData,2,FALSE)),0,VLOOKUP($A448,JumpData,2,FALSE))</f>
        <v>0</v>
      </c>
      <c r="O448" s="297">
        <f>IF(ISNA(VLOOKUP($A448,RunData,2,FALSE)),0,VLOOKUP($A448,RunData,2,FALSE))</f>
        <v>0</v>
      </c>
      <c r="P448" s="297">
        <f>IF(ISNA(VLOOKUP($A448,ThrowData,2,FALSE)),0,VLOOKUP($A448,ThrowData,2,FALSE))</f>
        <v>0</v>
      </c>
      <c r="Q448" s="298">
        <f>IF(ISNA(VLOOKUP($A448,SprintData,4,FALSE)),0,VLOOKUP($A448,SprintData,4,FALSE))+V448</f>
        <v>0</v>
      </c>
      <c r="R448" s="298">
        <f>IF(ISNA(VLOOKUP($A448,JumpData,4,FALSE)),0,VLOOKUP($A448,JumpData,4,FALSE))+W448</f>
        <v>0</v>
      </c>
      <c r="S448" s="298">
        <f>IF(ISNA(VLOOKUP($A448,RunData,4,FALSE)),0,VLOOKUP($A448,RunData,4,FALSE))+X448</f>
        <v>0</v>
      </c>
      <c r="T448" s="298">
        <f>IF(ISNA(VLOOKUP($A448,ThrowData,4,FALSE)),0,VLOOKUP($A448,ThrowData,4,FALSE))+Y448</f>
        <v>0</v>
      </c>
      <c r="U448" s="299">
        <f t="shared" si="2"/>
        <v>0</v>
      </c>
      <c r="V448">
        <f>IF(AND($F448&gt;0,NOT(M448),Flexing),FlexPC,0)</f>
        <v>0</v>
      </c>
      <c r="W448">
        <f>IF(AND($F448&gt;0,NOT(N448),Flexing),FlexPC,0)</f>
        <v>0</v>
      </c>
      <c r="X448">
        <f>IF(AND($F448&gt;0,NOT(O448),Flexing),FlexPC,0)</f>
        <v>0</v>
      </c>
      <c r="Y448">
        <f>IF(AND($F448&gt;0,NOT(P448),Flexing),FlexPC,0)</f>
        <v>0</v>
      </c>
      <c r="AA448" s="209">
        <f t="shared" si="3"/>
        <v>447</v>
      </c>
    </row>
    <row r="449" ht="15.75" customHeight="1">
      <c r="A449" s="206" t="str">
        <f>+Declarations!A449&amp;""</f>
        <v/>
      </c>
      <c r="B449" t="str">
        <f>IF(LEN($A449),IF(LEN(Declarations!$B449)&gt;0,Declarations!$B449,"#"&amp;$A449),"")</f>
        <v/>
      </c>
      <c r="C449" s="209" t="str">
        <f t="array" ref="C449">IF(LEN(INDEX(DECLARATIONS,$AA449,3))&gt;0,INDEX(DECLARATIONS,$AA449,3),"...")</f>
        <v>...</v>
      </c>
      <c r="D449" s="209" t="str">
        <f t="shared" si="1"/>
        <v/>
      </c>
      <c r="E449" s="296" t="str">
        <f t="array" ref="E449">IF(ISNA($AA449),0,INDEX(DECLARATIONS,$AA449,5))</f>
        <v/>
      </c>
      <c r="F449" s="209" t="str">
        <f t="array" ref="F449">IF(ISNA($AA449),0,INDEX(DECLARATIONS,$AA449,7))</f>
        <v/>
      </c>
      <c r="G449" s="209" t="str">
        <f t="array" ref="G449">UPPER(IF(ISNA($AA449),"",INDEX(DECLARATIONS,$AA449,4)))</f>
        <v/>
      </c>
      <c r="H449" t="str">
        <f>IF(AND(A449&gt;0,ISTEXT(B449)),IF(SECNAME="YES",LEFT(B449&amp;" ",FIND(" ",B449&amp;" ")+2)&amp;IF(F449&gt;0," ("&amp;F449&amp;")",""),B449&amp;IF(F449&gt;0," ("&amp;F449&amp;")","")),"#"&amp;$A449)</f>
        <v/>
      </c>
      <c r="I449" s="209">
        <f>IF(LEN($A449)&gt;0,IF(LEN($J449)&gt;0,MATCH(J449,MatchNames,0),EventIndex),0)</f>
        <v>0</v>
      </c>
      <c r="J449" s="209" t="str">
        <f>IF(LEN($A449)&gt;0,IF(LEN(Declarations!$F449)&gt;0,Declarations!$F449,conftype),"")</f>
        <v/>
      </c>
      <c r="M449" s="297">
        <f>IF(ISNA(VLOOKUP($A449,SprintData,2,FALSE)),0,VLOOKUP($A449,SprintData,2,FALSE))</f>
        <v>0</v>
      </c>
      <c r="N449" s="297">
        <f>IF(ISNA(VLOOKUP($A449,JumpData,2,FALSE)),0,VLOOKUP($A449,JumpData,2,FALSE))</f>
        <v>0</v>
      </c>
      <c r="O449" s="297">
        <f>IF(ISNA(VLOOKUP($A449,RunData,2,FALSE)),0,VLOOKUP($A449,RunData,2,FALSE))</f>
        <v>0</v>
      </c>
      <c r="P449" s="297">
        <f>IF(ISNA(VLOOKUP($A449,ThrowData,2,FALSE)),0,VLOOKUP($A449,ThrowData,2,FALSE))</f>
        <v>0</v>
      </c>
      <c r="Q449" s="298">
        <f>IF(ISNA(VLOOKUP($A449,SprintData,4,FALSE)),0,VLOOKUP($A449,SprintData,4,FALSE))+V449</f>
        <v>0</v>
      </c>
      <c r="R449" s="298">
        <f>IF(ISNA(VLOOKUP($A449,JumpData,4,FALSE)),0,VLOOKUP($A449,JumpData,4,FALSE))+W449</f>
        <v>0</v>
      </c>
      <c r="S449" s="298">
        <f>IF(ISNA(VLOOKUP($A449,RunData,4,FALSE)),0,VLOOKUP($A449,RunData,4,FALSE))+X449</f>
        <v>0</v>
      </c>
      <c r="T449" s="298">
        <f>IF(ISNA(VLOOKUP($A449,ThrowData,4,FALSE)),0,VLOOKUP($A449,ThrowData,4,FALSE))+Y449</f>
        <v>0</v>
      </c>
      <c r="U449" s="299">
        <f t="shared" si="2"/>
        <v>0</v>
      </c>
      <c r="V449">
        <f>IF(AND($F449&gt;0,NOT(M449),Flexing),FlexPC,0)</f>
        <v>0</v>
      </c>
      <c r="W449">
        <f>IF(AND($F449&gt;0,NOT(N449),Flexing),FlexPC,0)</f>
        <v>0</v>
      </c>
      <c r="X449">
        <f>IF(AND($F449&gt;0,NOT(O449),Flexing),FlexPC,0)</f>
        <v>0</v>
      </c>
      <c r="Y449">
        <f>IF(AND($F449&gt;0,NOT(P449),Flexing),FlexPC,0)</f>
        <v>0</v>
      </c>
      <c r="AA449" s="209">
        <f t="shared" si="3"/>
        <v>448</v>
      </c>
    </row>
    <row r="450" ht="15.75" customHeight="1">
      <c r="A450" s="206" t="str">
        <f>+Declarations!A450&amp;""</f>
        <v/>
      </c>
      <c r="B450" t="str">
        <f>IF(LEN($A450),IF(LEN(Declarations!$B450)&gt;0,Declarations!$B450,"#"&amp;$A450),"")</f>
        <v/>
      </c>
      <c r="C450" s="209" t="str">
        <f t="array" ref="C450">IF(LEN(INDEX(DECLARATIONS,$AA450,3))&gt;0,INDEX(DECLARATIONS,$AA450,3),"...")</f>
        <v>...</v>
      </c>
      <c r="D450" s="209" t="str">
        <f t="shared" si="1"/>
        <v/>
      </c>
      <c r="E450" s="296" t="str">
        <f t="array" ref="E450">IF(ISNA($AA450),0,INDEX(DECLARATIONS,$AA450,5))</f>
        <v/>
      </c>
      <c r="F450" s="209" t="str">
        <f t="array" ref="F450">IF(ISNA($AA450),0,INDEX(DECLARATIONS,$AA450,7))</f>
        <v/>
      </c>
      <c r="G450" s="209" t="str">
        <f t="array" ref="G450">UPPER(IF(ISNA($AA450),"",INDEX(DECLARATIONS,$AA450,4)))</f>
        <v/>
      </c>
      <c r="H450" t="str">
        <f>IF(AND(A450&gt;0,ISTEXT(B450)),IF(SECNAME="YES",LEFT(B450&amp;" ",FIND(" ",B450&amp;" ")+2)&amp;IF(F450&gt;0," ("&amp;F450&amp;")",""),B450&amp;IF(F450&gt;0," ("&amp;F450&amp;")","")),"#"&amp;$A450)</f>
        <v/>
      </c>
      <c r="I450" s="209">
        <f>IF(LEN($A450)&gt;0,IF(LEN($J450)&gt;0,MATCH(J450,MatchNames,0),EventIndex),0)</f>
        <v>0</v>
      </c>
      <c r="J450" s="209" t="str">
        <f>IF(LEN($A450)&gt;0,IF(LEN(Declarations!$F450)&gt;0,Declarations!$F450,conftype),"")</f>
        <v/>
      </c>
      <c r="M450" s="297">
        <f>IF(ISNA(VLOOKUP($A450,SprintData,2,FALSE)),0,VLOOKUP($A450,SprintData,2,FALSE))</f>
        <v>0</v>
      </c>
      <c r="N450" s="297">
        <f>IF(ISNA(VLOOKUP($A450,JumpData,2,FALSE)),0,VLOOKUP($A450,JumpData,2,FALSE))</f>
        <v>0</v>
      </c>
      <c r="O450" s="297">
        <f>IF(ISNA(VLOOKUP($A450,RunData,2,FALSE)),0,VLOOKUP($A450,RunData,2,FALSE))</f>
        <v>0</v>
      </c>
      <c r="P450" s="297">
        <f>IF(ISNA(VLOOKUP($A450,ThrowData,2,FALSE)),0,VLOOKUP($A450,ThrowData,2,FALSE))</f>
        <v>0</v>
      </c>
      <c r="Q450" s="298">
        <f>IF(ISNA(VLOOKUP($A450,SprintData,4,FALSE)),0,VLOOKUP($A450,SprintData,4,FALSE))+V450</f>
        <v>0</v>
      </c>
      <c r="R450" s="298">
        <f>IF(ISNA(VLOOKUP($A450,JumpData,4,FALSE)),0,VLOOKUP($A450,JumpData,4,FALSE))+W450</f>
        <v>0</v>
      </c>
      <c r="S450" s="298">
        <f>IF(ISNA(VLOOKUP($A450,RunData,4,FALSE)),0,VLOOKUP($A450,RunData,4,FALSE))+X450</f>
        <v>0</v>
      </c>
      <c r="T450" s="298">
        <f>IF(ISNA(VLOOKUP($A450,ThrowData,4,FALSE)),0,VLOOKUP($A450,ThrowData,4,FALSE))+Y450</f>
        <v>0</v>
      </c>
      <c r="U450" s="299">
        <f t="shared" si="2"/>
        <v>0</v>
      </c>
      <c r="V450">
        <f>IF(AND($F450&gt;0,NOT(M450),Flexing),FlexPC,0)</f>
        <v>0</v>
      </c>
      <c r="W450">
        <f>IF(AND($F450&gt;0,NOT(N450),Flexing),FlexPC,0)</f>
        <v>0</v>
      </c>
      <c r="X450">
        <f>IF(AND($F450&gt;0,NOT(O450),Flexing),FlexPC,0)</f>
        <v>0</v>
      </c>
      <c r="Y450">
        <f>IF(AND($F450&gt;0,NOT(P450),Flexing),FlexPC,0)</f>
        <v>0</v>
      </c>
      <c r="AA450" s="209">
        <f t="shared" si="3"/>
        <v>449</v>
      </c>
    </row>
    <row r="451" ht="15.75" customHeight="1">
      <c r="A451" s="206" t="str">
        <f>+Declarations!A451&amp;""</f>
        <v/>
      </c>
      <c r="B451" t="str">
        <f>IF(LEN($A451),IF(LEN(Declarations!$B451)&gt;0,Declarations!$B451,"#"&amp;$A451),"")</f>
        <v/>
      </c>
      <c r="C451" s="209" t="str">
        <f t="array" ref="C451">IF(LEN(INDEX(DECLARATIONS,$AA451,3))&gt;0,INDEX(DECLARATIONS,$AA451,3),"...")</f>
        <v>...</v>
      </c>
      <c r="D451" s="209" t="str">
        <f t="shared" si="1"/>
        <v/>
      </c>
      <c r="E451" s="296" t="str">
        <f t="array" ref="E451">IF(ISNA($AA451),0,INDEX(DECLARATIONS,$AA451,5))</f>
        <v/>
      </c>
      <c r="F451" s="209" t="str">
        <f t="array" ref="F451">IF(ISNA($AA451),0,INDEX(DECLARATIONS,$AA451,7))</f>
        <v/>
      </c>
      <c r="G451" s="209" t="str">
        <f t="array" ref="G451">UPPER(IF(ISNA($AA451),"",INDEX(DECLARATIONS,$AA451,4)))</f>
        <v/>
      </c>
      <c r="H451" t="str">
        <f>IF(AND(A451&gt;0,ISTEXT(B451)),IF(SECNAME="YES",LEFT(B451&amp;" ",FIND(" ",B451&amp;" ")+2)&amp;IF(F451&gt;0," ("&amp;F451&amp;")",""),B451&amp;IF(F451&gt;0," ("&amp;F451&amp;")","")),"#"&amp;$A451)</f>
        <v/>
      </c>
      <c r="I451" s="209">
        <f>IF(LEN($A451)&gt;0,IF(LEN($J451)&gt;0,MATCH(J451,MatchNames,0),EventIndex),0)</f>
        <v>0</v>
      </c>
      <c r="J451" s="209" t="str">
        <f>IF(LEN($A451)&gt;0,IF(LEN(Declarations!$F451)&gt;0,Declarations!$F451,conftype),"")</f>
        <v/>
      </c>
      <c r="M451" s="297">
        <f>IF(ISNA(VLOOKUP($A451,SprintData,2,FALSE)),0,VLOOKUP($A451,SprintData,2,FALSE))</f>
        <v>0</v>
      </c>
      <c r="N451" s="297">
        <f>IF(ISNA(VLOOKUP($A451,JumpData,2,FALSE)),0,VLOOKUP($A451,JumpData,2,FALSE))</f>
        <v>0</v>
      </c>
      <c r="O451" s="297">
        <f>IF(ISNA(VLOOKUP($A451,RunData,2,FALSE)),0,VLOOKUP($A451,RunData,2,FALSE))</f>
        <v>0</v>
      </c>
      <c r="P451" s="297">
        <f>IF(ISNA(VLOOKUP($A451,ThrowData,2,FALSE)),0,VLOOKUP($A451,ThrowData,2,FALSE))</f>
        <v>0</v>
      </c>
      <c r="Q451" s="298">
        <f>IF(ISNA(VLOOKUP($A451,SprintData,4,FALSE)),0,VLOOKUP($A451,SprintData,4,FALSE))+V451</f>
        <v>0</v>
      </c>
      <c r="R451" s="298">
        <f>IF(ISNA(VLOOKUP($A451,JumpData,4,FALSE)),0,VLOOKUP($A451,JumpData,4,FALSE))+W451</f>
        <v>0</v>
      </c>
      <c r="S451" s="298">
        <f>IF(ISNA(VLOOKUP($A451,RunData,4,FALSE)),0,VLOOKUP($A451,RunData,4,FALSE))+X451</f>
        <v>0</v>
      </c>
      <c r="T451" s="298">
        <f>IF(ISNA(VLOOKUP($A451,ThrowData,4,FALSE)),0,VLOOKUP($A451,ThrowData,4,FALSE))+Y451</f>
        <v>0</v>
      </c>
      <c r="U451" s="299">
        <f t="shared" si="2"/>
        <v>0</v>
      </c>
      <c r="V451">
        <f>IF(AND($F451&gt;0,NOT(M451),Flexing),FlexPC,0)</f>
        <v>0</v>
      </c>
      <c r="W451">
        <f>IF(AND($F451&gt;0,NOT(N451),Flexing),FlexPC,0)</f>
        <v>0</v>
      </c>
      <c r="X451">
        <f>IF(AND($F451&gt;0,NOT(O451),Flexing),FlexPC,0)</f>
        <v>0</v>
      </c>
      <c r="Y451">
        <f>IF(AND($F451&gt;0,NOT(P451),Flexing),FlexPC,0)</f>
        <v>0</v>
      </c>
      <c r="AA451" s="209">
        <f t="shared" si="3"/>
        <v>450</v>
      </c>
    </row>
    <row r="452" ht="15.75" customHeight="1">
      <c r="A452" s="206" t="str">
        <f>+Declarations!A452&amp;""</f>
        <v/>
      </c>
      <c r="B452" t="str">
        <f>IF(LEN($A452),IF(LEN(Declarations!$B452)&gt;0,Declarations!$B452,"#"&amp;$A452),"")</f>
        <v/>
      </c>
      <c r="C452" s="209" t="str">
        <f t="array" ref="C452">IF(LEN(INDEX(DECLARATIONS,$AA452,3))&gt;0,INDEX(DECLARATIONS,$AA452,3),"...")</f>
        <v>...</v>
      </c>
      <c r="D452" s="209" t="str">
        <f t="shared" si="1"/>
        <v/>
      </c>
      <c r="E452" s="296" t="str">
        <f t="array" ref="E452">IF(ISNA($AA452),0,INDEX(DECLARATIONS,$AA452,5))</f>
        <v/>
      </c>
      <c r="F452" s="209" t="str">
        <f t="array" ref="F452">IF(ISNA($AA452),0,INDEX(DECLARATIONS,$AA452,7))</f>
        <v/>
      </c>
      <c r="G452" s="209" t="str">
        <f t="array" ref="G452">UPPER(IF(ISNA($AA452),"",INDEX(DECLARATIONS,$AA452,4)))</f>
        <v/>
      </c>
      <c r="H452" t="str">
        <f>IF(AND(A452&gt;0,ISTEXT(B452)),IF(SECNAME="YES",LEFT(B452&amp;" ",FIND(" ",B452&amp;" ")+2)&amp;IF(F452&gt;0," ("&amp;F452&amp;")",""),B452&amp;IF(F452&gt;0," ("&amp;F452&amp;")","")),"#"&amp;$A452)</f>
        <v/>
      </c>
      <c r="I452" s="209">
        <f>IF(LEN($A452)&gt;0,IF(LEN($J452)&gt;0,MATCH(J452,MatchNames,0),EventIndex),0)</f>
        <v>0</v>
      </c>
      <c r="J452" s="209" t="str">
        <f>IF(LEN($A452)&gt;0,IF(LEN(Declarations!$F452)&gt;0,Declarations!$F452,conftype),"")</f>
        <v/>
      </c>
      <c r="M452" s="297">
        <f>IF(ISNA(VLOOKUP($A452,SprintData,2,FALSE)),0,VLOOKUP($A452,SprintData,2,FALSE))</f>
        <v>0</v>
      </c>
      <c r="N452" s="297">
        <f>IF(ISNA(VLOOKUP($A452,JumpData,2,FALSE)),0,VLOOKUP($A452,JumpData,2,FALSE))</f>
        <v>0</v>
      </c>
      <c r="O452" s="297">
        <f>IF(ISNA(VLOOKUP($A452,RunData,2,FALSE)),0,VLOOKUP($A452,RunData,2,FALSE))</f>
        <v>0</v>
      </c>
      <c r="P452" s="297">
        <f>IF(ISNA(VLOOKUP($A452,ThrowData,2,FALSE)),0,VLOOKUP($A452,ThrowData,2,FALSE))</f>
        <v>0</v>
      </c>
      <c r="Q452" s="298">
        <f>IF(ISNA(VLOOKUP($A452,SprintData,4,FALSE)),0,VLOOKUP($A452,SprintData,4,FALSE))+V452</f>
        <v>0</v>
      </c>
      <c r="R452" s="298">
        <f>IF(ISNA(VLOOKUP($A452,JumpData,4,FALSE)),0,VLOOKUP($A452,JumpData,4,FALSE))+W452</f>
        <v>0</v>
      </c>
      <c r="S452" s="298">
        <f>IF(ISNA(VLOOKUP($A452,RunData,4,FALSE)),0,VLOOKUP($A452,RunData,4,FALSE))+X452</f>
        <v>0</v>
      </c>
      <c r="T452" s="298">
        <f>IF(ISNA(VLOOKUP($A452,ThrowData,4,FALSE)),0,VLOOKUP($A452,ThrowData,4,FALSE))+Y452</f>
        <v>0</v>
      </c>
      <c r="U452" s="299">
        <f t="shared" si="2"/>
        <v>0</v>
      </c>
      <c r="V452">
        <f>IF(AND($F452&gt;0,NOT(M452),Flexing),FlexPC,0)</f>
        <v>0</v>
      </c>
      <c r="W452">
        <f>IF(AND($F452&gt;0,NOT(N452),Flexing),FlexPC,0)</f>
        <v>0</v>
      </c>
      <c r="X452">
        <f>IF(AND($F452&gt;0,NOT(O452),Flexing),FlexPC,0)</f>
        <v>0</v>
      </c>
      <c r="Y452">
        <f>IF(AND($F452&gt;0,NOT(P452),Flexing),FlexPC,0)</f>
        <v>0</v>
      </c>
      <c r="AA452" s="209">
        <f t="shared" si="3"/>
        <v>451</v>
      </c>
    </row>
    <row r="453" ht="15.75" customHeight="1">
      <c r="A453" s="206" t="str">
        <f>+Declarations!A453&amp;""</f>
        <v/>
      </c>
      <c r="B453" t="str">
        <f>IF(LEN($A453),IF(LEN(Declarations!$B453)&gt;0,Declarations!$B453,"#"&amp;$A453),"")</f>
        <v/>
      </c>
      <c r="C453" s="209" t="str">
        <f t="array" ref="C453">IF(LEN(INDEX(DECLARATIONS,$AA453,3))&gt;0,INDEX(DECLARATIONS,$AA453,3),"...")</f>
        <v>...</v>
      </c>
      <c r="D453" s="209" t="str">
        <f t="shared" si="1"/>
        <v/>
      </c>
      <c r="E453" s="296" t="str">
        <f t="array" ref="E453">IF(ISNA($AA453),0,INDEX(DECLARATIONS,$AA453,5))</f>
        <v/>
      </c>
      <c r="F453" s="209" t="str">
        <f t="array" ref="F453">IF(ISNA($AA453),0,INDEX(DECLARATIONS,$AA453,7))</f>
        <v/>
      </c>
      <c r="G453" s="209" t="str">
        <f t="array" ref="G453">UPPER(IF(ISNA($AA453),"",INDEX(DECLARATIONS,$AA453,4)))</f>
        <v/>
      </c>
      <c r="H453" t="str">
        <f>IF(AND(A453&gt;0,ISTEXT(B453)),IF(SECNAME="YES",LEFT(B453&amp;" ",FIND(" ",B453&amp;" ")+2)&amp;IF(F453&gt;0," ("&amp;F453&amp;")",""),B453&amp;IF(F453&gt;0," ("&amp;F453&amp;")","")),"#"&amp;$A453)</f>
        <v/>
      </c>
      <c r="I453" s="209">
        <f>IF(LEN($A453)&gt;0,IF(LEN($J453)&gt;0,MATCH(J453,MatchNames,0),EventIndex),0)</f>
        <v>0</v>
      </c>
      <c r="J453" s="209" t="str">
        <f>IF(LEN($A453)&gt;0,IF(LEN(Declarations!$F453)&gt;0,Declarations!$F453,conftype),"")</f>
        <v/>
      </c>
      <c r="M453" s="297">
        <f>IF(ISNA(VLOOKUP($A453,SprintData,2,FALSE)),0,VLOOKUP($A453,SprintData,2,FALSE))</f>
        <v>0</v>
      </c>
      <c r="N453" s="297">
        <f>IF(ISNA(VLOOKUP($A453,JumpData,2,FALSE)),0,VLOOKUP($A453,JumpData,2,FALSE))</f>
        <v>0</v>
      </c>
      <c r="O453" s="297">
        <f>IF(ISNA(VLOOKUP($A453,RunData,2,FALSE)),0,VLOOKUP($A453,RunData,2,FALSE))</f>
        <v>0</v>
      </c>
      <c r="P453" s="297">
        <f>IF(ISNA(VLOOKUP($A453,ThrowData,2,FALSE)),0,VLOOKUP($A453,ThrowData,2,FALSE))</f>
        <v>0</v>
      </c>
      <c r="Q453" s="298">
        <f>IF(ISNA(VLOOKUP($A453,SprintData,4,FALSE)),0,VLOOKUP($A453,SprintData,4,FALSE))+V453</f>
        <v>0</v>
      </c>
      <c r="R453" s="298">
        <f>IF(ISNA(VLOOKUP($A453,JumpData,4,FALSE)),0,VLOOKUP($A453,JumpData,4,FALSE))+W453</f>
        <v>0</v>
      </c>
      <c r="S453" s="298">
        <f>IF(ISNA(VLOOKUP($A453,RunData,4,FALSE)),0,VLOOKUP($A453,RunData,4,FALSE))+X453</f>
        <v>0</v>
      </c>
      <c r="T453" s="298">
        <f>IF(ISNA(VLOOKUP($A453,ThrowData,4,FALSE)),0,VLOOKUP($A453,ThrowData,4,FALSE))+Y453</f>
        <v>0</v>
      </c>
      <c r="U453" s="299">
        <f t="shared" si="2"/>
        <v>0</v>
      </c>
      <c r="V453">
        <f>IF(AND($F453&gt;0,NOT(M453),Flexing),FlexPC,0)</f>
        <v>0</v>
      </c>
      <c r="W453">
        <f>IF(AND($F453&gt;0,NOT(N453),Flexing),FlexPC,0)</f>
        <v>0</v>
      </c>
      <c r="X453">
        <f>IF(AND($F453&gt;0,NOT(O453),Flexing),FlexPC,0)</f>
        <v>0</v>
      </c>
      <c r="Y453">
        <f>IF(AND($F453&gt;0,NOT(P453),Flexing),FlexPC,0)</f>
        <v>0</v>
      </c>
      <c r="AA453" s="209">
        <f t="shared" si="3"/>
        <v>452</v>
      </c>
    </row>
    <row r="454" ht="15.75" customHeight="1">
      <c r="A454" s="206" t="str">
        <f>+Declarations!A454&amp;""</f>
        <v/>
      </c>
      <c r="B454" t="str">
        <f>IF(LEN($A454),IF(LEN(Declarations!$B454)&gt;0,Declarations!$B454,"#"&amp;$A454),"")</f>
        <v/>
      </c>
      <c r="C454" s="209" t="str">
        <f t="array" ref="C454">IF(LEN(INDEX(DECLARATIONS,$AA454,3))&gt;0,INDEX(DECLARATIONS,$AA454,3),"...")</f>
        <v>...</v>
      </c>
      <c r="D454" s="209" t="str">
        <f t="shared" si="1"/>
        <v/>
      </c>
      <c r="E454" s="296" t="str">
        <f t="array" ref="E454">IF(ISNA($AA454),0,INDEX(DECLARATIONS,$AA454,5))</f>
        <v/>
      </c>
      <c r="F454" s="209" t="str">
        <f t="array" ref="F454">IF(ISNA($AA454),0,INDEX(DECLARATIONS,$AA454,7))</f>
        <v/>
      </c>
      <c r="G454" s="209" t="str">
        <f t="array" ref="G454">UPPER(IF(ISNA($AA454),"",INDEX(DECLARATIONS,$AA454,4)))</f>
        <v/>
      </c>
      <c r="H454" t="str">
        <f>IF(AND(A454&gt;0,ISTEXT(B454)),IF(SECNAME="YES",LEFT(B454&amp;" ",FIND(" ",B454&amp;" ")+2)&amp;IF(F454&gt;0," ("&amp;F454&amp;")",""),B454&amp;IF(F454&gt;0," ("&amp;F454&amp;")","")),"#"&amp;$A454)</f>
        <v/>
      </c>
      <c r="I454" s="209">
        <f>IF(LEN($A454)&gt;0,IF(LEN($J454)&gt;0,MATCH(J454,MatchNames,0),EventIndex),0)</f>
        <v>0</v>
      </c>
      <c r="J454" s="209" t="str">
        <f>IF(LEN($A454)&gt;0,IF(LEN(Declarations!$F454)&gt;0,Declarations!$F454,conftype),"")</f>
        <v/>
      </c>
      <c r="M454" s="297">
        <f>IF(ISNA(VLOOKUP($A454,SprintData,2,FALSE)),0,VLOOKUP($A454,SprintData,2,FALSE))</f>
        <v>0</v>
      </c>
      <c r="N454" s="297">
        <f>IF(ISNA(VLOOKUP($A454,JumpData,2,FALSE)),0,VLOOKUP($A454,JumpData,2,FALSE))</f>
        <v>0</v>
      </c>
      <c r="O454" s="297">
        <f>IF(ISNA(VLOOKUP($A454,RunData,2,FALSE)),0,VLOOKUP($A454,RunData,2,FALSE))</f>
        <v>0</v>
      </c>
      <c r="P454" s="297">
        <f>IF(ISNA(VLOOKUP($A454,ThrowData,2,FALSE)),0,VLOOKUP($A454,ThrowData,2,FALSE))</f>
        <v>0</v>
      </c>
      <c r="Q454" s="298">
        <f>IF(ISNA(VLOOKUP($A454,SprintData,4,FALSE)),0,VLOOKUP($A454,SprintData,4,FALSE))+V454</f>
        <v>0</v>
      </c>
      <c r="R454" s="298">
        <f>IF(ISNA(VLOOKUP($A454,JumpData,4,FALSE)),0,VLOOKUP($A454,JumpData,4,FALSE))+W454</f>
        <v>0</v>
      </c>
      <c r="S454" s="298">
        <f>IF(ISNA(VLOOKUP($A454,RunData,4,FALSE)),0,VLOOKUP($A454,RunData,4,FALSE))+X454</f>
        <v>0</v>
      </c>
      <c r="T454" s="298">
        <f>IF(ISNA(VLOOKUP($A454,ThrowData,4,FALSE)),0,VLOOKUP($A454,ThrowData,4,FALSE))+Y454</f>
        <v>0</v>
      </c>
      <c r="U454" s="299">
        <f t="shared" si="2"/>
        <v>0</v>
      </c>
      <c r="V454">
        <f>IF(AND($F454&gt;0,NOT(M454),Flexing),FlexPC,0)</f>
        <v>0</v>
      </c>
      <c r="W454">
        <f>IF(AND($F454&gt;0,NOT(N454),Flexing),FlexPC,0)</f>
        <v>0</v>
      </c>
      <c r="X454">
        <f>IF(AND($F454&gt;0,NOT(O454),Flexing),FlexPC,0)</f>
        <v>0</v>
      </c>
      <c r="Y454">
        <f>IF(AND($F454&gt;0,NOT(P454),Flexing),FlexPC,0)</f>
        <v>0</v>
      </c>
      <c r="AA454" s="209">
        <f t="shared" si="3"/>
        <v>453</v>
      </c>
    </row>
    <row r="455" ht="15.75" customHeight="1">
      <c r="A455" s="206" t="str">
        <f>+Declarations!A455&amp;""</f>
        <v/>
      </c>
      <c r="B455" t="str">
        <f>IF(LEN($A455),IF(LEN(Declarations!$B455)&gt;0,Declarations!$B455,"#"&amp;$A455),"")</f>
        <v/>
      </c>
      <c r="C455" s="209" t="str">
        <f t="array" ref="C455">IF(LEN(INDEX(DECLARATIONS,$AA455,3))&gt;0,INDEX(DECLARATIONS,$AA455,3),"...")</f>
        <v>...</v>
      </c>
      <c r="D455" s="209" t="str">
        <f t="shared" si="1"/>
        <v/>
      </c>
      <c r="E455" s="296" t="str">
        <f t="array" ref="E455">IF(ISNA($AA455),0,INDEX(DECLARATIONS,$AA455,5))</f>
        <v/>
      </c>
      <c r="F455" s="209" t="str">
        <f t="array" ref="F455">IF(ISNA($AA455),0,INDEX(DECLARATIONS,$AA455,7))</f>
        <v/>
      </c>
      <c r="G455" s="209" t="str">
        <f t="array" ref="G455">UPPER(IF(ISNA($AA455),"",INDEX(DECLARATIONS,$AA455,4)))</f>
        <v/>
      </c>
      <c r="H455" t="str">
        <f>IF(AND(A455&gt;0,ISTEXT(B455)),IF(SECNAME="YES",LEFT(B455&amp;" ",FIND(" ",B455&amp;" ")+2)&amp;IF(F455&gt;0," ("&amp;F455&amp;")",""),B455&amp;IF(F455&gt;0," ("&amp;F455&amp;")","")),"#"&amp;$A455)</f>
        <v/>
      </c>
      <c r="I455" s="209">
        <f>IF(LEN($A455)&gt;0,IF(LEN($J455)&gt;0,MATCH(J455,MatchNames,0),EventIndex),0)</f>
        <v>0</v>
      </c>
      <c r="J455" s="209" t="str">
        <f>IF(LEN($A455)&gt;0,IF(LEN(Declarations!$F455)&gt;0,Declarations!$F455,conftype),"")</f>
        <v/>
      </c>
      <c r="M455" s="297">
        <f>IF(ISNA(VLOOKUP($A455,SprintData,2,FALSE)),0,VLOOKUP($A455,SprintData,2,FALSE))</f>
        <v>0</v>
      </c>
      <c r="N455" s="297">
        <f>IF(ISNA(VLOOKUP($A455,JumpData,2,FALSE)),0,VLOOKUP($A455,JumpData,2,FALSE))</f>
        <v>0</v>
      </c>
      <c r="O455" s="297">
        <f>IF(ISNA(VLOOKUP($A455,RunData,2,FALSE)),0,VLOOKUP($A455,RunData,2,FALSE))</f>
        <v>0</v>
      </c>
      <c r="P455" s="297">
        <f>IF(ISNA(VLOOKUP($A455,ThrowData,2,FALSE)),0,VLOOKUP($A455,ThrowData,2,FALSE))</f>
        <v>0</v>
      </c>
      <c r="Q455" s="298">
        <f>IF(ISNA(VLOOKUP($A455,SprintData,4,FALSE)),0,VLOOKUP($A455,SprintData,4,FALSE))+V455</f>
        <v>0</v>
      </c>
      <c r="R455" s="298">
        <f>IF(ISNA(VLOOKUP($A455,JumpData,4,FALSE)),0,VLOOKUP($A455,JumpData,4,FALSE))+W455</f>
        <v>0</v>
      </c>
      <c r="S455" s="298">
        <f>IF(ISNA(VLOOKUP($A455,RunData,4,FALSE)),0,VLOOKUP($A455,RunData,4,FALSE))+X455</f>
        <v>0</v>
      </c>
      <c r="T455" s="298">
        <f>IF(ISNA(VLOOKUP($A455,ThrowData,4,FALSE)),0,VLOOKUP($A455,ThrowData,4,FALSE))+Y455</f>
        <v>0</v>
      </c>
      <c r="U455" s="299">
        <f t="shared" si="2"/>
        <v>0</v>
      </c>
      <c r="V455">
        <f>IF(AND($F455&gt;0,NOT(M455),Flexing),FlexPC,0)</f>
        <v>0</v>
      </c>
      <c r="W455">
        <f>IF(AND($F455&gt;0,NOT(N455),Flexing),FlexPC,0)</f>
        <v>0</v>
      </c>
      <c r="X455">
        <f>IF(AND($F455&gt;0,NOT(O455),Flexing),FlexPC,0)</f>
        <v>0</v>
      </c>
      <c r="Y455">
        <f>IF(AND($F455&gt;0,NOT(P455),Flexing),FlexPC,0)</f>
        <v>0</v>
      </c>
      <c r="AA455" s="209">
        <f t="shared" si="3"/>
        <v>454</v>
      </c>
    </row>
    <row r="456" ht="15.75" customHeight="1">
      <c r="A456" s="206" t="str">
        <f>+Declarations!A456&amp;""</f>
        <v/>
      </c>
      <c r="B456" t="str">
        <f>IF(LEN($A456),IF(LEN(Declarations!$B456)&gt;0,Declarations!$B456,"#"&amp;$A456),"")</f>
        <v/>
      </c>
      <c r="C456" s="209" t="str">
        <f t="array" ref="C456">IF(LEN(INDEX(DECLARATIONS,$AA456,3))&gt;0,INDEX(DECLARATIONS,$AA456,3),"...")</f>
        <v>...</v>
      </c>
      <c r="D456" s="209" t="str">
        <f t="shared" si="1"/>
        <v/>
      </c>
      <c r="E456" s="296" t="str">
        <f t="array" ref="E456">IF(ISNA($AA456),0,INDEX(DECLARATIONS,$AA456,5))</f>
        <v/>
      </c>
      <c r="F456" s="209" t="str">
        <f t="array" ref="F456">IF(ISNA($AA456),0,INDEX(DECLARATIONS,$AA456,7))</f>
        <v/>
      </c>
      <c r="G456" s="209" t="str">
        <f t="array" ref="G456">UPPER(IF(ISNA($AA456),"",INDEX(DECLARATIONS,$AA456,4)))</f>
        <v/>
      </c>
      <c r="H456" t="str">
        <f>IF(AND(A456&gt;0,ISTEXT(B456)),IF(SECNAME="YES",LEFT(B456&amp;" ",FIND(" ",B456&amp;" ")+2)&amp;IF(F456&gt;0," ("&amp;F456&amp;")",""),B456&amp;IF(F456&gt;0," ("&amp;F456&amp;")","")),"#"&amp;$A456)</f>
        <v/>
      </c>
      <c r="I456" s="209">
        <f>IF(LEN($A456)&gt;0,IF(LEN($J456)&gt;0,MATCH(J456,MatchNames,0),EventIndex),0)</f>
        <v>0</v>
      </c>
      <c r="J456" s="209" t="str">
        <f>IF(LEN($A456)&gt;0,IF(LEN(Declarations!$F456)&gt;0,Declarations!$F456,conftype),"")</f>
        <v/>
      </c>
      <c r="M456" s="297">
        <f>IF(ISNA(VLOOKUP($A456,SprintData,2,FALSE)),0,VLOOKUP($A456,SprintData,2,FALSE))</f>
        <v>0</v>
      </c>
      <c r="N456" s="297">
        <f>IF(ISNA(VLOOKUP($A456,JumpData,2,FALSE)),0,VLOOKUP($A456,JumpData,2,FALSE))</f>
        <v>0</v>
      </c>
      <c r="O456" s="297">
        <f>IF(ISNA(VLOOKUP($A456,RunData,2,FALSE)),0,VLOOKUP($A456,RunData,2,FALSE))</f>
        <v>0</v>
      </c>
      <c r="P456" s="297">
        <f>IF(ISNA(VLOOKUP($A456,ThrowData,2,FALSE)),0,VLOOKUP($A456,ThrowData,2,FALSE))</f>
        <v>0</v>
      </c>
      <c r="Q456" s="298">
        <f>IF(ISNA(VLOOKUP($A456,SprintData,4,FALSE)),0,VLOOKUP($A456,SprintData,4,FALSE))+V456</f>
        <v>0</v>
      </c>
      <c r="R456" s="298">
        <f>IF(ISNA(VLOOKUP($A456,JumpData,4,FALSE)),0,VLOOKUP($A456,JumpData,4,FALSE))+W456</f>
        <v>0</v>
      </c>
      <c r="S456" s="298">
        <f>IF(ISNA(VLOOKUP($A456,RunData,4,FALSE)),0,VLOOKUP($A456,RunData,4,FALSE))+X456</f>
        <v>0</v>
      </c>
      <c r="T456" s="298">
        <f>IF(ISNA(VLOOKUP($A456,ThrowData,4,FALSE)),0,VLOOKUP($A456,ThrowData,4,FALSE))+Y456</f>
        <v>0</v>
      </c>
      <c r="U456" s="299">
        <f t="shared" si="2"/>
        <v>0</v>
      </c>
      <c r="V456">
        <f>IF(AND($F456&gt;0,NOT(M456),Flexing),FlexPC,0)</f>
        <v>0</v>
      </c>
      <c r="W456">
        <f>IF(AND($F456&gt;0,NOT(N456),Flexing),FlexPC,0)</f>
        <v>0</v>
      </c>
      <c r="X456">
        <f>IF(AND($F456&gt;0,NOT(O456),Flexing),FlexPC,0)</f>
        <v>0</v>
      </c>
      <c r="Y456">
        <f>IF(AND($F456&gt;0,NOT(P456),Flexing),FlexPC,0)</f>
        <v>0</v>
      </c>
      <c r="AA456" s="209">
        <f t="shared" si="3"/>
        <v>455</v>
      </c>
    </row>
    <row r="457" ht="15.75" customHeight="1">
      <c r="A457" s="206" t="str">
        <f>+Declarations!A457&amp;""</f>
        <v/>
      </c>
      <c r="B457" t="str">
        <f>IF(LEN($A457),IF(LEN(Declarations!$B457)&gt;0,Declarations!$B457,"#"&amp;$A457),"")</f>
        <v/>
      </c>
      <c r="C457" s="209" t="str">
        <f t="array" ref="C457">IF(LEN(INDEX(DECLARATIONS,$AA457,3))&gt;0,INDEX(DECLARATIONS,$AA457,3),"...")</f>
        <v>...</v>
      </c>
      <c r="D457" s="209" t="str">
        <f t="shared" si="1"/>
        <v/>
      </c>
      <c r="E457" s="296" t="str">
        <f t="array" ref="E457">IF(ISNA($AA457),0,INDEX(DECLARATIONS,$AA457,5))</f>
        <v/>
      </c>
      <c r="F457" s="209" t="str">
        <f t="array" ref="F457">IF(ISNA($AA457),0,INDEX(DECLARATIONS,$AA457,7))</f>
        <v/>
      </c>
      <c r="G457" s="209" t="str">
        <f t="array" ref="G457">UPPER(IF(ISNA($AA457),"",INDEX(DECLARATIONS,$AA457,4)))</f>
        <v/>
      </c>
      <c r="H457" t="str">
        <f>IF(AND(A457&gt;0,ISTEXT(B457)),IF(SECNAME="YES",LEFT(B457&amp;" ",FIND(" ",B457&amp;" ")+2)&amp;IF(F457&gt;0," ("&amp;F457&amp;")",""),B457&amp;IF(F457&gt;0," ("&amp;F457&amp;")","")),"#"&amp;$A457)</f>
        <v/>
      </c>
      <c r="I457" s="209">
        <f>IF(LEN($A457)&gt;0,IF(LEN($J457)&gt;0,MATCH(J457,MatchNames,0),EventIndex),0)</f>
        <v>0</v>
      </c>
      <c r="J457" s="209" t="str">
        <f>IF(LEN($A457)&gt;0,IF(LEN(Declarations!$F457)&gt;0,Declarations!$F457,conftype),"")</f>
        <v/>
      </c>
      <c r="M457" s="297">
        <f>IF(ISNA(VLOOKUP($A457,SprintData,2,FALSE)),0,VLOOKUP($A457,SprintData,2,FALSE))</f>
        <v>0</v>
      </c>
      <c r="N457" s="297">
        <f>IF(ISNA(VLOOKUP($A457,JumpData,2,FALSE)),0,VLOOKUP($A457,JumpData,2,FALSE))</f>
        <v>0</v>
      </c>
      <c r="O457" s="297">
        <f>IF(ISNA(VLOOKUP($A457,RunData,2,FALSE)),0,VLOOKUP($A457,RunData,2,FALSE))</f>
        <v>0</v>
      </c>
      <c r="P457" s="297">
        <f>IF(ISNA(VLOOKUP($A457,ThrowData,2,FALSE)),0,VLOOKUP($A457,ThrowData,2,FALSE))</f>
        <v>0</v>
      </c>
      <c r="Q457" s="298">
        <f>IF(ISNA(VLOOKUP($A457,SprintData,4,FALSE)),0,VLOOKUP($A457,SprintData,4,FALSE))+V457</f>
        <v>0</v>
      </c>
      <c r="R457" s="298">
        <f>IF(ISNA(VLOOKUP($A457,JumpData,4,FALSE)),0,VLOOKUP($A457,JumpData,4,FALSE))+W457</f>
        <v>0</v>
      </c>
      <c r="S457" s="298">
        <f>IF(ISNA(VLOOKUP($A457,RunData,4,FALSE)),0,VLOOKUP($A457,RunData,4,FALSE))+X457</f>
        <v>0</v>
      </c>
      <c r="T457" s="298">
        <f>IF(ISNA(VLOOKUP($A457,ThrowData,4,FALSE)),0,VLOOKUP($A457,ThrowData,4,FALSE))+Y457</f>
        <v>0</v>
      </c>
      <c r="U457" s="299">
        <f t="shared" si="2"/>
        <v>0</v>
      </c>
      <c r="V457">
        <f>IF(AND($F457&gt;0,NOT(M457),Flexing),FlexPC,0)</f>
        <v>0</v>
      </c>
      <c r="W457">
        <f>IF(AND($F457&gt;0,NOT(N457),Flexing),FlexPC,0)</f>
        <v>0</v>
      </c>
      <c r="X457">
        <f>IF(AND($F457&gt;0,NOT(O457),Flexing),FlexPC,0)</f>
        <v>0</v>
      </c>
      <c r="Y457">
        <f>IF(AND($F457&gt;0,NOT(P457),Flexing),FlexPC,0)</f>
        <v>0</v>
      </c>
      <c r="AA457" s="209">
        <f t="shared" si="3"/>
        <v>456</v>
      </c>
    </row>
    <row r="458" ht="15.75" customHeight="1">
      <c r="A458" s="206" t="str">
        <f>+Declarations!A458&amp;""</f>
        <v/>
      </c>
      <c r="B458" t="str">
        <f>IF(LEN($A458),IF(LEN(Declarations!$B458)&gt;0,Declarations!$B458,"#"&amp;$A458),"")</f>
        <v/>
      </c>
      <c r="C458" s="209" t="str">
        <f t="array" ref="C458">IF(LEN(INDEX(DECLARATIONS,$AA458,3))&gt;0,INDEX(DECLARATIONS,$AA458,3),"...")</f>
        <v>...</v>
      </c>
      <c r="D458" s="209" t="str">
        <f t="shared" si="1"/>
        <v/>
      </c>
      <c r="E458" s="296" t="str">
        <f t="array" ref="E458">IF(ISNA($AA458),0,INDEX(DECLARATIONS,$AA458,5))</f>
        <v/>
      </c>
      <c r="F458" s="209" t="str">
        <f t="array" ref="F458">IF(ISNA($AA458),0,INDEX(DECLARATIONS,$AA458,7))</f>
        <v/>
      </c>
      <c r="G458" s="209" t="str">
        <f t="array" ref="G458">UPPER(IF(ISNA($AA458),"",INDEX(DECLARATIONS,$AA458,4)))</f>
        <v/>
      </c>
      <c r="H458" t="str">
        <f>IF(AND(A458&gt;0,ISTEXT(B458)),IF(SECNAME="YES",LEFT(B458&amp;" ",FIND(" ",B458&amp;" ")+2)&amp;IF(F458&gt;0," ("&amp;F458&amp;")",""),B458&amp;IF(F458&gt;0," ("&amp;F458&amp;")","")),"#"&amp;$A458)</f>
        <v/>
      </c>
      <c r="I458" s="209">
        <f>IF(LEN($A458)&gt;0,IF(LEN($J458)&gt;0,MATCH(J458,MatchNames,0),EventIndex),0)</f>
        <v>0</v>
      </c>
      <c r="J458" s="209" t="str">
        <f>IF(LEN($A458)&gt;0,IF(LEN(Declarations!$F458)&gt;0,Declarations!$F458,conftype),"")</f>
        <v/>
      </c>
      <c r="M458" s="297">
        <f>IF(ISNA(VLOOKUP($A458,SprintData,2,FALSE)),0,VLOOKUP($A458,SprintData,2,FALSE))</f>
        <v>0</v>
      </c>
      <c r="N458" s="297">
        <f>IF(ISNA(VLOOKUP($A458,JumpData,2,FALSE)),0,VLOOKUP($A458,JumpData,2,FALSE))</f>
        <v>0</v>
      </c>
      <c r="O458" s="297">
        <f>IF(ISNA(VLOOKUP($A458,RunData,2,FALSE)),0,VLOOKUP($A458,RunData,2,FALSE))</f>
        <v>0</v>
      </c>
      <c r="P458" s="297">
        <f>IF(ISNA(VLOOKUP($A458,ThrowData,2,FALSE)),0,VLOOKUP($A458,ThrowData,2,FALSE))</f>
        <v>0</v>
      </c>
      <c r="Q458" s="298">
        <f>IF(ISNA(VLOOKUP($A458,SprintData,4,FALSE)),0,VLOOKUP($A458,SprintData,4,FALSE))+V458</f>
        <v>0</v>
      </c>
      <c r="R458" s="298">
        <f>IF(ISNA(VLOOKUP($A458,JumpData,4,FALSE)),0,VLOOKUP($A458,JumpData,4,FALSE))+W458</f>
        <v>0</v>
      </c>
      <c r="S458" s="298">
        <f>IF(ISNA(VLOOKUP($A458,RunData,4,FALSE)),0,VLOOKUP($A458,RunData,4,FALSE))+X458</f>
        <v>0</v>
      </c>
      <c r="T458" s="298">
        <f>IF(ISNA(VLOOKUP($A458,ThrowData,4,FALSE)),0,VLOOKUP($A458,ThrowData,4,FALSE))+Y458</f>
        <v>0</v>
      </c>
      <c r="U458" s="299">
        <f t="shared" si="2"/>
        <v>0</v>
      </c>
      <c r="V458">
        <f>IF(AND($F458&gt;0,NOT(M458),Flexing),FlexPC,0)</f>
        <v>0</v>
      </c>
      <c r="W458">
        <f>IF(AND($F458&gt;0,NOT(N458),Flexing),FlexPC,0)</f>
        <v>0</v>
      </c>
      <c r="X458">
        <f>IF(AND($F458&gt;0,NOT(O458),Flexing),FlexPC,0)</f>
        <v>0</v>
      </c>
      <c r="Y458">
        <f>IF(AND($F458&gt;0,NOT(P458),Flexing),FlexPC,0)</f>
        <v>0</v>
      </c>
      <c r="AA458" s="209">
        <f t="shared" si="3"/>
        <v>457</v>
      </c>
    </row>
    <row r="459" ht="15.75" customHeight="1">
      <c r="A459" s="206" t="str">
        <f>+Declarations!A459&amp;""</f>
        <v/>
      </c>
      <c r="B459" t="str">
        <f>IF(LEN($A459),IF(LEN(Declarations!$B459)&gt;0,Declarations!$B459,"#"&amp;$A459),"")</f>
        <v/>
      </c>
      <c r="C459" s="209" t="str">
        <f t="array" ref="C459">IF(LEN(INDEX(DECLARATIONS,$AA459,3))&gt;0,INDEX(DECLARATIONS,$AA459,3),"...")</f>
        <v>...</v>
      </c>
      <c r="D459" s="209" t="str">
        <f t="shared" si="1"/>
        <v/>
      </c>
      <c r="E459" s="296" t="str">
        <f t="array" ref="E459">IF(ISNA($AA459),0,INDEX(DECLARATIONS,$AA459,5))</f>
        <v/>
      </c>
      <c r="F459" s="209" t="str">
        <f t="array" ref="F459">IF(ISNA($AA459),0,INDEX(DECLARATIONS,$AA459,7))</f>
        <v/>
      </c>
      <c r="G459" s="209" t="str">
        <f t="array" ref="G459">UPPER(IF(ISNA($AA459),"",INDEX(DECLARATIONS,$AA459,4)))</f>
        <v/>
      </c>
      <c r="H459" t="str">
        <f>IF(AND(A459&gt;0,ISTEXT(B459)),IF(SECNAME="YES",LEFT(B459&amp;" ",FIND(" ",B459&amp;" ")+2)&amp;IF(F459&gt;0," ("&amp;F459&amp;")",""),B459&amp;IF(F459&gt;0," ("&amp;F459&amp;")","")),"#"&amp;$A459)</f>
        <v/>
      </c>
      <c r="I459" s="209">
        <f>IF(LEN($A459)&gt;0,IF(LEN($J459)&gt;0,MATCH(J459,MatchNames,0),EventIndex),0)</f>
        <v>0</v>
      </c>
      <c r="J459" s="209" t="str">
        <f>IF(LEN($A459)&gt;0,IF(LEN(Declarations!$F459)&gt;0,Declarations!$F459,conftype),"")</f>
        <v/>
      </c>
      <c r="M459" s="297">
        <f>IF(ISNA(VLOOKUP($A459,SprintData,2,FALSE)),0,VLOOKUP($A459,SprintData,2,FALSE))</f>
        <v>0</v>
      </c>
      <c r="N459" s="297">
        <f>IF(ISNA(VLOOKUP($A459,JumpData,2,FALSE)),0,VLOOKUP($A459,JumpData,2,FALSE))</f>
        <v>0</v>
      </c>
      <c r="O459" s="297">
        <f>IF(ISNA(VLOOKUP($A459,RunData,2,FALSE)),0,VLOOKUP($A459,RunData,2,FALSE))</f>
        <v>0</v>
      </c>
      <c r="P459" s="297">
        <f>IF(ISNA(VLOOKUP($A459,ThrowData,2,FALSE)),0,VLOOKUP($A459,ThrowData,2,FALSE))</f>
        <v>0</v>
      </c>
      <c r="Q459" s="298">
        <f>IF(ISNA(VLOOKUP($A459,SprintData,4,FALSE)),0,VLOOKUP($A459,SprintData,4,FALSE))+V459</f>
        <v>0</v>
      </c>
      <c r="R459" s="298">
        <f>IF(ISNA(VLOOKUP($A459,JumpData,4,FALSE)),0,VLOOKUP($A459,JumpData,4,FALSE))+W459</f>
        <v>0</v>
      </c>
      <c r="S459" s="298">
        <f>IF(ISNA(VLOOKUP($A459,RunData,4,FALSE)),0,VLOOKUP($A459,RunData,4,FALSE))+X459</f>
        <v>0</v>
      </c>
      <c r="T459" s="298">
        <f>IF(ISNA(VLOOKUP($A459,ThrowData,4,FALSE)),0,VLOOKUP($A459,ThrowData,4,FALSE))+Y459</f>
        <v>0</v>
      </c>
      <c r="U459" s="299">
        <f t="shared" si="2"/>
        <v>0</v>
      </c>
      <c r="V459">
        <f>IF(AND($F459&gt;0,NOT(M459),Flexing),FlexPC,0)</f>
        <v>0</v>
      </c>
      <c r="W459">
        <f>IF(AND($F459&gt;0,NOT(N459),Flexing),FlexPC,0)</f>
        <v>0</v>
      </c>
      <c r="X459">
        <f>IF(AND($F459&gt;0,NOT(O459),Flexing),FlexPC,0)</f>
        <v>0</v>
      </c>
      <c r="Y459">
        <f>IF(AND($F459&gt;0,NOT(P459),Flexing),FlexPC,0)</f>
        <v>0</v>
      </c>
      <c r="AA459" s="209">
        <f t="shared" si="3"/>
        <v>458</v>
      </c>
    </row>
    <row r="460" ht="15.75" customHeight="1">
      <c r="A460" s="206" t="str">
        <f>+Declarations!A460&amp;""</f>
        <v/>
      </c>
      <c r="B460" t="str">
        <f>IF(LEN($A460),IF(LEN(Declarations!$B460)&gt;0,Declarations!$B460,"#"&amp;$A460),"")</f>
        <v/>
      </c>
      <c r="C460" s="209" t="str">
        <f t="array" ref="C460">IF(LEN(INDEX(DECLARATIONS,$AA460,3))&gt;0,INDEX(DECLARATIONS,$AA460,3),"...")</f>
        <v>...</v>
      </c>
      <c r="D460" s="209" t="str">
        <f t="shared" si="1"/>
        <v/>
      </c>
      <c r="E460" s="296" t="str">
        <f t="array" ref="E460">IF(ISNA($AA460),0,INDEX(DECLARATIONS,$AA460,5))</f>
        <v/>
      </c>
      <c r="F460" s="209" t="str">
        <f t="array" ref="F460">IF(ISNA($AA460),0,INDEX(DECLARATIONS,$AA460,7))</f>
        <v/>
      </c>
      <c r="G460" s="209" t="str">
        <f t="array" ref="G460">UPPER(IF(ISNA($AA460),"",INDEX(DECLARATIONS,$AA460,4)))</f>
        <v/>
      </c>
      <c r="H460" t="str">
        <f>IF(AND(A460&gt;0,ISTEXT(B460)),IF(SECNAME="YES",LEFT(B460&amp;" ",FIND(" ",B460&amp;" ")+2)&amp;IF(F460&gt;0," ("&amp;F460&amp;")",""),B460&amp;IF(F460&gt;0," ("&amp;F460&amp;")","")),"#"&amp;$A460)</f>
        <v/>
      </c>
      <c r="I460" s="209">
        <f>IF(LEN($A460)&gt;0,IF(LEN($J460)&gt;0,MATCH(J460,MatchNames,0),EventIndex),0)</f>
        <v>0</v>
      </c>
      <c r="J460" s="209" t="str">
        <f>IF(LEN($A460)&gt;0,IF(LEN(Declarations!$F460)&gt;0,Declarations!$F460,conftype),"")</f>
        <v/>
      </c>
      <c r="M460" s="297">
        <f>IF(ISNA(VLOOKUP($A460,SprintData,2,FALSE)),0,VLOOKUP($A460,SprintData,2,FALSE))</f>
        <v>0</v>
      </c>
      <c r="N460" s="297">
        <f>IF(ISNA(VLOOKUP($A460,JumpData,2,FALSE)),0,VLOOKUP($A460,JumpData,2,FALSE))</f>
        <v>0</v>
      </c>
      <c r="O460" s="297">
        <f>IF(ISNA(VLOOKUP($A460,RunData,2,FALSE)),0,VLOOKUP($A460,RunData,2,FALSE))</f>
        <v>0</v>
      </c>
      <c r="P460" s="297">
        <f>IF(ISNA(VLOOKUP($A460,ThrowData,2,FALSE)),0,VLOOKUP($A460,ThrowData,2,FALSE))</f>
        <v>0</v>
      </c>
      <c r="Q460" s="298">
        <f>IF(ISNA(VLOOKUP($A460,SprintData,4,FALSE)),0,VLOOKUP($A460,SprintData,4,FALSE))+V460</f>
        <v>0</v>
      </c>
      <c r="R460" s="298">
        <f>IF(ISNA(VLOOKUP($A460,JumpData,4,FALSE)),0,VLOOKUP($A460,JumpData,4,FALSE))+W460</f>
        <v>0</v>
      </c>
      <c r="S460" s="298">
        <f>IF(ISNA(VLOOKUP($A460,RunData,4,FALSE)),0,VLOOKUP($A460,RunData,4,FALSE))+X460</f>
        <v>0</v>
      </c>
      <c r="T460" s="298">
        <f>IF(ISNA(VLOOKUP($A460,ThrowData,4,FALSE)),0,VLOOKUP($A460,ThrowData,4,FALSE))+Y460</f>
        <v>0</v>
      </c>
      <c r="U460" s="299">
        <f t="shared" si="2"/>
        <v>0</v>
      </c>
      <c r="V460">
        <f>IF(AND($F460&gt;0,NOT(M460),Flexing),FlexPC,0)</f>
        <v>0</v>
      </c>
      <c r="W460">
        <f>IF(AND($F460&gt;0,NOT(N460),Flexing),FlexPC,0)</f>
        <v>0</v>
      </c>
      <c r="X460">
        <f>IF(AND($F460&gt;0,NOT(O460),Flexing),FlexPC,0)</f>
        <v>0</v>
      </c>
      <c r="Y460">
        <f>IF(AND($F460&gt;0,NOT(P460),Flexing),FlexPC,0)</f>
        <v>0</v>
      </c>
      <c r="AA460" s="209">
        <f t="shared" si="3"/>
        <v>459</v>
      </c>
    </row>
    <row r="461" ht="15.75" customHeight="1">
      <c r="A461" s="206" t="str">
        <f>+Declarations!A461&amp;""</f>
        <v/>
      </c>
      <c r="B461" t="str">
        <f>IF(LEN($A461),IF(LEN(Declarations!$B461)&gt;0,Declarations!$B461,"#"&amp;$A461),"")</f>
        <v/>
      </c>
      <c r="C461" s="209" t="str">
        <f t="array" ref="C461">IF(LEN(INDEX(DECLARATIONS,$AA461,3))&gt;0,INDEX(DECLARATIONS,$AA461,3),"...")</f>
        <v>...</v>
      </c>
      <c r="D461" s="209" t="str">
        <f t="shared" si="1"/>
        <v/>
      </c>
      <c r="E461" s="296" t="str">
        <f t="array" ref="E461">IF(ISNA($AA461),0,INDEX(DECLARATIONS,$AA461,5))</f>
        <v/>
      </c>
      <c r="F461" s="209" t="str">
        <f t="array" ref="F461">IF(ISNA($AA461),0,INDEX(DECLARATIONS,$AA461,7))</f>
        <v/>
      </c>
      <c r="G461" s="209" t="str">
        <f t="array" ref="G461">UPPER(IF(ISNA($AA461),"",INDEX(DECLARATIONS,$AA461,4)))</f>
        <v/>
      </c>
      <c r="H461" t="str">
        <f>IF(AND(A461&gt;0,ISTEXT(B461)),IF(SECNAME="YES",LEFT(B461&amp;" ",FIND(" ",B461&amp;" ")+2)&amp;IF(F461&gt;0," ("&amp;F461&amp;")",""),B461&amp;IF(F461&gt;0," ("&amp;F461&amp;")","")),"#"&amp;$A461)</f>
        <v/>
      </c>
      <c r="I461" s="209">
        <f>IF(LEN($A461)&gt;0,IF(LEN($J461)&gt;0,MATCH(J461,MatchNames,0),EventIndex),0)</f>
        <v>0</v>
      </c>
      <c r="J461" s="209" t="str">
        <f>IF(LEN($A461)&gt;0,IF(LEN(Declarations!$F461)&gt;0,Declarations!$F461,conftype),"")</f>
        <v/>
      </c>
      <c r="M461" s="297">
        <f>IF(ISNA(VLOOKUP($A461,SprintData,2,FALSE)),0,VLOOKUP($A461,SprintData,2,FALSE))</f>
        <v>0</v>
      </c>
      <c r="N461" s="297">
        <f>IF(ISNA(VLOOKUP($A461,JumpData,2,FALSE)),0,VLOOKUP($A461,JumpData,2,FALSE))</f>
        <v>0</v>
      </c>
      <c r="O461" s="297">
        <f>IF(ISNA(VLOOKUP($A461,RunData,2,FALSE)),0,VLOOKUP($A461,RunData,2,FALSE))</f>
        <v>0</v>
      </c>
      <c r="P461" s="297">
        <f>IF(ISNA(VLOOKUP($A461,ThrowData,2,FALSE)),0,VLOOKUP($A461,ThrowData,2,FALSE))</f>
        <v>0</v>
      </c>
      <c r="Q461" s="298">
        <f>IF(ISNA(VLOOKUP($A461,SprintData,4,FALSE)),0,VLOOKUP($A461,SprintData,4,FALSE))+V461</f>
        <v>0</v>
      </c>
      <c r="R461" s="298">
        <f>IF(ISNA(VLOOKUP($A461,JumpData,4,FALSE)),0,VLOOKUP($A461,JumpData,4,FALSE))+W461</f>
        <v>0</v>
      </c>
      <c r="S461" s="298">
        <f>IF(ISNA(VLOOKUP($A461,RunData,4,FALSE)),0,VLOOKUP($A461,RunData,4,FALSE))+X461</f>
        <v>0</v>
      </c>
      <c r="T461" s="298">
        <f>IF(ISNA(VLOOKUP($A461,ThrowData,4,FALSE)),0,VLOOKUP($A461,ThrowData,4,FALSE))+Y461</f>
        <v>0</v>
      </c>
      <c r="U461" s="299">
        <f t="shared" si="2"/>
        <v>0</v>
      </c>
      <c r="V461">
        <f>IF(AND($F461&gt;0,NOT(M461),Flexing),FlexPC,0)</f>
        <v>0</v>
      </c>
      <c r="W461">
        <f>IF(AND($F461&gt;0,NOT(N461),Flexing),FlexPC,0)</f>
        <v>0</v>
      </c>
      <c r="X461">
        <f>IF(AND($F461&gt;0,NOT(O461),Flexing),FlexPC,0)</f>
        <v>0</v>
      </c>
      <c r="Y461">
        <f>IF(AND($F461&gt;0,NOT(P461),Flexing),FlexPC,0)</f>
        <v>0</v>
      </c>
      <c r="AA461" s="209">
        <f t="shared" si="3"/>
        <v>460</v>
      </c>
    </row>
    <row r="462" ht="15.75" customHeight="1">
      <c r="A462" s="206" t="str">
        <f>+Declarations!A462&amp;""</f>
        <v/>
      </c>
      <c r="B462" t="str">
        <f>IF(LEN($A462),IF(LEN(Declarations!$B462)&gt;0,Declarations!$B462,"#"&amp;$A462),"")</f>
        <v/>
      </c>
      <c r="C462" s="209" t="str">
        <f t="array" ref="C462">IF(LEN(INDEX(DECLARATIONS,$AA462,3))&gt;0,INDEX(DECLARATIONS,$AA462,3),"...")</f>
        <v>...</v>
      </c>
      <c r="D462" s="209" t="str">
        <f t="shared" si="1"/>
        <v/>
      </c>
      <c r="E462" s="296" t="str">
        <f t="array" ref="E462">IF(ISNA($AA462),0,INDEX(DECLARATIONS,$AA462,5))</f>
        <v/>
      </c>
      <c r="F462" s="209" t="str">
        <f t="array" ref="F462">IF(ISNA($AA462),0,INDEX(DECLARATIONS,$AA462,7))</f>
        <v/>
      </c>
      <c r="G462" s="209" t="str">
        <f t="array" ref="G462">UPPER(IF(ISNA($AA462),"",INDEX(DECLARATIONS,$AA462,4)))</f>
        <v/>
      </c>
      <c r="H462" t="str">
        <f>IF(AND(A462&gt;0,ISTEXT(B462)),IF(SECNAME="YES",LEFT(B462&amp;" ",FIND(" ",B462&amp;" ")+2)&amp;IF(F462&gt;0," ("&amp;F462&amp;")",""),B462&amp;IF(F462&gt;0," ("&amp;F462&amp;")","")),"#"&amp;$A462)</f>
        <v/>
      </c>
      <c r="I462" s="209">
        <f>IF(LEN($A462)&gt;0,IF(LEN($J462)&gt;0,MATCH(J462,MatchNames,0),EventIndex),0)</f>
        <v>0</v>
      </c>
      <c r="J462" s="209" t="str">
        <f>IF(LEN($A462)&gt;0,IF(LEN(Declarations!$F462)&gt;0,Declarations!$F462,conftype),"")</f>
        <v/>
      </c>
      <c r="M462" s="297">
        <f>IF(ISNA(VLOOKUP($A462,SprintData,2,FALSE)),0,VLOOKUP($A462,SprintData,2,FALSE))</f>
        <v>0</v>
      </c>
      <c r="N462" s="297">
        <f>IF(ISNA(VLOOKUP($A462,JumpData,2,FALSE)),0,VLOOKUP($A462,JumpData,2,FALSE))</f>
        <v>0</v>
      </c>
      <c r="O462" s="297">
        <f>IF(ISNA(VLOOKUP($A462,RunData,2,FALSE)),0,VLOOKUP($A462,RunData,2,FALSE))</f>
        <v>0</v>
      </c>
      <c r="P462" s="297">
        <f>IF(ISNA(VLOOKUP($A462,ThrowData,2,FALSE)),0,VLOOKUP($A462,ThrowData,2,FALSE))</f>
        <v>0</v>
      </c>
      <c r="Q462" s="298">
        <f>IF(ISNA(VLOOKUP($A462,SprintData,4,FALSE)),0,VLOOKUP($A462,SprintData,4,FALSE))+V462</f>
        <v>0</v>
      </c>
      <c r="R462" s="298">
        <f>IF(ISNA(VLOOKUP($A462,JumpData,4,FALSE)),0,VLOOKUP($A462,JumpData,4,FALSE))+W462</f>
        <v>0</v>
      </c>
      <c r="S462" s="298">
        <f>IF(ISNA(VLOOKUP($A462,RunData,4,FALSE)),0,VLOOKUP($A462,RunData,4,FALSE))+X462</f>
        <v>0</v>
      </c>
      <c r="T462" s="298">
        <f>IF(ISNA(VLOOKUP($A462,ThrowData,4,FALSE)),0,VLOOKUP($A462,ThrowData,4,FALSE))+Y462</f>
        <v>0</v>
      </c>
      <c r="U462" s="299">
        <f t="shared" si="2"/>
        <v>0</v>
      </c>
      <c r="V462">
        <f>IF(AND($F462&gt;0,NOT(M462),Flexing),FlexPC,0)</f>
        <v>0</v>
      </c>
      <c r="W462">
        <f>IF(AND($F462&gt;0,NOT(N462),Flexing),FlexPC,0)</f>
        <v>0</v>
      </c>
      <c r="X462">
        <f>IF(AND($F462&gt;0,NOT(O462),Flexing),FlexPC,0)</f>
        <v>0</v>
      </c>
      <c r="Y462">
        <f>IF(AND($F462&gt;0,NOT(P462),Flexing),FlexPC,0)</f>
        <v>0</v>
      </c>
      <c r="AA462" s="209">
        <f t="shared" si="3"/>
        <v>461</v>
      </c>
    </row>
    <row r="463" ht="15.75" customHeight="1">
      <c r="A463" s="206" t="str">
        <f>+Declarations!A463&amp;""</f>
        <v/>
      </c>
      <c r="B463" t="str">
        <f>IF(LEN($A463),IF(LEN(Declarations!$B463)&gt;0,Declarations!$B463,"#"&amp;$A463),"")</f>
        <v/>
      </c>
      <c r="C463" s="209" t="str">
        <f t="array" ref="C463">IF(LEN(INDEX(DECLARATIONS,$AA463,3))&gt;0,INDEX(DECLARATIONS,$AA463,3),"...")</f>
        <v>...</v>
      </c>
      <c r="D463" s="209" t="str">
        <f t="shared" si="1"/>
        <v/>
      </c>
      <c r="E463" s="296" t="str">
        <f t="array" ref="E463">IF(ISNA($AA463),0,INDEX(DECLARATIONS,$AA463,5))</f>
        <v/>
      </c>
      <c r="F463" s="209" t="str">
        <f t="array" ref="F463">IF(ISNA($AA463),0,INDEX(DECLARATIONS,$AA463,7))</f>
        <v/>
      </c>
      <c r="G463" s="209" t="str">
        <f t="array" ref="G463">UPPER(IF(ISNA($AA463),"",INDEX(DECLARATIONS,$AA463,4)))</f>
        <v/>
      </c>
      <c r="H463" t="str">
        <f>IF(AND(A463&gt;0,ISTEXT(B463)),IF(SECNAME="YES",LEFT(B463&amp;" ",FIND(" ",B463&amp;" ")+2)&amp;IF(F463&gt;0," ("&amp;F463&amp;")",""),B463&amp;IF(F463&gt;0," ("&amp;F463&amp;")","")),"#"&amp;$A463)</f>
        <v/>
      </c>
      <c r="I463" s="209">
        <f>IF(LEN($A463)&gt;0,IF(LEN($J463)&gt;0,MATCH(J463,MatchNames,0),EventIndex),0)</f>
        <v>0</v>
      </c>
      <c r="J463" s="209" t="str">
        <f>IF(LEN($A463)&gt;0,IF(LEN(Declarations!$F463)&gt;0,Declarations!$F463,conftype),"")</f>
        <v/>
      </c>
      <c r="M463" s="297">
        <f>IF(ISNA(VLOOKUP($A463,SprintData,2,FALSE)),0,VLOOKUP($A463,SprintData,2,FALSE))</f>
        <v>0</v>
      </c>
      <c r="N463" s="297">
        <f>IF(ISNA(VLOOKUP($A463,JumpData,2,FALSE)),0,VLOOKUP($A463,JumpData,2,FALSE))</f>
        <v>0</v>
      </c>
      <c r="O463" s="297">
        <f>IF(ISNA(VLOOKUP($A463,RunData,2,FALSE)),0,VLOOKUP($A463,RunData,2,FALSE))</f>
        <v>0</v>
      </c>
      <c r="P463" s="297">
        <f>IF(ISNA(VLOOKUP($A463,ThrowData,2,FALSE)),0,VLOOKUP($A463,ThrowData,2,FALSE))</f>
        <v>0</v>
      </c>
      <c r="Q463" s="298">
        <f>IF(ISNA(VLOOKUP($A463,SprintData,4,FALSE)),0,VLOOKUP($A463,SprintData,4,FALSE))+V463</f>
        <v>0</v>
      </c>
      <c r="R463" s="298">
        <f>IF(ISNA(VLOOKUP($A463,JumpData,4,FALSE)),0,VLOOKUP($A463,JumpData,4,FALSE))+W463</f>
        <v>0</v>
      </c>
      <c r="S463" s="298">
        <f>IF(ISNA(VLOOKUP($A463,RunData,4,FALSE)),0,VLOOKUP($A463,RunData,4,FALSE))+X463</f>
        <v>0</v>
      </c>
      <c r="T463" s="298">
        <f>IF(ISNA(VLOOKUP($A463,ThrowData,4,FALSE)),0,VLOOKUP($A463,ThrowData,4,FALSE))+Y463</f>
        <v>0</v>
      </c>
      <c r="U463" s="299">
        <f t="shared" si="2"/>
        <v>0</v>
      </c>
      <c r="V463">
        <f>IF(AND($F463&gt;0,NOT(M463),Flexing),FlexPC,0)</f>
        <v>0</v>
      </c>
      <c r="W463">
        <f>IF(AND($F463&gt;0,NOT(N463),Flexing),FlexPC,0)</f>
        <v>0</v>
      </c>
      <c r="X463">
        <f>IF(AND($F463&gt;0,NOT(O463),Flexing),FlexPC,0)</f>
        <v>0</v>
      </c>
      <c r="Y463">
        <f>IF(AND($F463&gt;0,NOT(P463),Flexing),FlexPC,0)</f>
        <v>0</v>
      </c>
      <c r="AA463" s="209">
        <f t="shared" si="3"/>
        <v>462</v>
      </c>
    </row>
    <row r="464" ht="15.75" customHeight="1">
      <c r="A464" s="206" t="str">
        <f>+Declarations!A464&amp;""</f>
        <v/>
      </c>
      <c r="B464" t="str">
        <f>IF(LEN($A464),IF(LEN(Declarations!$B464)&gt;0,Declarations!$B464,"#"&amp;$A464),"")</f>
        <v/>
      </c>
      <c r="C464" s="209" t="str">
        <f t="array" ref="C464">IF(LEN(INDEX(DECLARATIONS,$AA464,3))&gt;0,INDEX(DECLARATIONS,$AA464,3),"...")</f>
        <v>...</v>
      </c>
      <c r="D464" s="209" t="str">
        <f t="shared" si="1"/>
        <v/>
      </c>
      <c r="E464" s="296" t="str">
        <f t="array" ref="E464">IF(ISNA($AA464),0,INDEX(DECLARATIONS,$AA464,5))</f>
        <v/>
      </c>
      <c r="F464" s="209" t="str">
        <f t="array" ref="F464">IF(ISNA($AA464),0,INDEX(DECLARATIONS,$AA464,7))</f>
        <v/>
      </c>
      <c r="G464" s="209" t="str">
        <f t="array" ref="G464">UPPER(IF(ISNA($AA464),"",INDEX(DECLARATIONS,$AA464,4)))</f>
        <v/>
      </c>
      <c r="H464" t="str">
        <f>IF(AND(A464&gt;0,ISTEXT(B464)),IF(SECNAME="YES",LEFT(B464&amp;" ",FIND(" ",B464&amp;" ")+2)&amp;IF(F464&gt;0," ("&amp;F464&amp;")",""),B464&amp;IF(F464&gt;0," ("&amp;F464&amp;")","")),"#"&amp;$A464)</f>
        <v/>
      </c>
      <c r="I464" s="209">
        <f>IF(LEN($A464)&gt;0,IF(LEN($J464)&gt;0,MATCH(J464,MatchNames,0),EventIndex),0)</f>
        <v>0</v>
      </c>
      <c r="J464" s="209" t="str">
        <f>IF(LEN($A464)&gt;0,IF(LEN(Declarations!$F464)&gt;0,Declarations!$F464,conftype),"")</f>
        <v/>
      </c>
      <c r="M464" s="297">
        <f>IF(ISNA(VLOOKUP($A464,SprintData,2,FALSE)),0,VLOOKUP($A464,SprintData,2,FALSE))</f>
        <v>0</v>
      </c>
      <c r="N464" s="297">
        <f>IF(ISNA(VLOOKUP($A464,JumpData,2,FALSE)),0,VLOOKUP($A464,JumpData,2,FALSE))</f>
        <v>0</v>
      </c>
      <c r="O464" s="297">
        <f>IF(ISNA(VLOOKUP($A464,RunData,2,FALSE)),0,VLOOKUP($A464,RunData,2,FALSE))</f>
        <v>0</v>
      </c>
      <c r="P464" s="297">
        <f>IF(ISNA(VLOOKUP($A464,ThrowData,2,FALSE)),0,VLOOKUP($A464,ThrowData,2,FALSE))</f>
        <v>0</v>
      </c>
      <c r="Q464" s="298">
        <f>IF(ISNA(VLOOKUP($A464,SprintData,4,FALSE)),0,VLOOKUP($A464,SprintData,4,FALSE))+V464</f>
        <v>0</v>
      </c>
      <c r="R464" s="298">
        <f>IF(ISNA(VLOOKUP($A464,JumpData,4,FALSE)),0,VLOOKUP($A464,JumpData,4,FALSE))+W464</f>
        <v>0</v>
      </c>
      <c r="S464" s="298">
        <f>IF(ISNA(VLOOKUP($A464,RunData,4,FALSE)),0,VLOOKUP($A464,RunData,4,FALSE))+X464</f>
        <v>0</v>
      </c>
      <c r="T464" s="298">
        <f>IF(ISNA(VLOOKUP($A464,ThrowData,4,FALSE)),0,VLOOKUP($A464,ThrowData,4,FALSE))+Y464</f>
        <v>0</v>
      </c>
      <c r="U464" s="299">
        <f t="shared" si="2"/>
        <v>0</v>
      </c>
      <c r="V464">
        <f>IF(AND($F464&gt;0,NOT(M464),Flexing),FlexPC,0)</f>
        <v>0</v>
      </c>
      <c r="W464">
        <f>IF(AND($F464&gt;0,NOT(N464),Flexing),FlexPC,0)</f>
        <v>0</v>
      </c>
      <c r="X464">
        <f>IF(AND($F464&gt;0,NOT(O464),Flexing),FlexPC,0)</f>
        <v>0</v>
      </c>
      <c r="Y464">
        <f>IF(AND($F464&gt;0,NOT(P464),Flexing),FlexPC,0)</f>
        <v>0</v>
      </c>
      <c r="AA464" s="209">
        <f t="shared" si="3"/>
        <v>463</v>
      </c>
    </row>
    <row r="465" ht="15.75" customHeight="1">
      <c r="A465" s="206" t="str">
        <f>+Declarations!A465&amp;""</f>
        <v/>
      </c>
      <c r="B465" t="str">
        <f>IF(LEN($A465),IF(LEN(Declarations!$B465)&gt;0,Declarations!$B465,"#"&amp;$A465),"")</f>
        <v/>
      </c>
      <c r="C465" s="209" t="str">
        <f t="array" ref="C465">IF(LEN(INDEX(DECLARATIONS,$AA465,3))&gt;0,INDEX(DECLARATIONS,$AA465,3),"...")</f>
        <v>...</v>
      </c>
      <c r="D465" s="209" t="str">
        <f t="shared" si="1"/>
        <v/>
      </c>
      <c r="E465" s="296" t="str">
        <f t="array" ref="E465">IF(ISNA($AA465),0,INDEX(DECLARATIONS,$AA465,5))</f>
        <v/>
      </c>
      <c r="F465" s="209" t="str">
        <f t="array" ref="F465">IF(ISNA($AA465),0,INDEX(DECLARATIONS,$AA465,7))</f>
        <v/>
      </c>
      <c r="G465" s="209" t="str">
        <f t="array" ref="G465">UPPER(IF(ISNA($AA465),"",INDEX(DECLARATIONS,$AA465,4)))</f>
        <v/>
      </c>
      <c r="H465" t="str">
        <f>IF(AND(A465&gt;0,ISTEXT(B465)),IF(SECNAME="YES",LEFT(B465&amp;" ",FIND(" ",B465&amp;" ")+2)&amp;IF(F465&gt;0," ("&amp;F465&amp;")",""),B465&amp;IF(F465&gt;0," ("&amp;F465&amp;")","")),"#"&amp;$A465)</f>
        <v/>
      </c>
      <c r="I465" s="209">
        <f>IF(LEN($A465)&gt;0,IF(LEN($J465)&gt;0,MATCH(J465,MatchNames,0),EventIndex),0)</f>
        <v>0</v>
      </c>
      <c r="J465" s="209" t="str">
        <f>IF(LEN($A465)&gt;0,IF(LEN(Declarations!$F465)&gt;0,Declarations!$F465,conftype),"")</f>
        <v/>
      </c>
      <c r="M465" s="297">
        <f>IF(ISNA(VLOOKUP($A465,SprintData,2,FALSE)),0,VLOOKUP($A465,SprintData,2,FALSE))</f>
        <v>0</v>
      </c>
      <c r="N465" s="297">
        <f>IF(ISNA(VLOOKUP($A465,JumpData,2,FALSE)),0,VLOOKUP($A465,JumpData,2,FALSE))</f>
        <v>0</v>
      </c>
      <c r="O465" s="297">
        <f>IF(ISNA(VLOOKUP($A465,RunData,2,FALSE)),0,VLOOKUP($A465,RunData,2,FALSE))</f>
        <v>0</v>
      </c>
      <c r="P465" s="297">
        <f>IF(ISNA(VLOOKUP($A465,ThrowData,2,FALSE)),0,VLOOKUP($A465,ThrowData,2,FALSE))</f>
        <v>0</v>
      </c>
      <c r="Q465" s="298">
        <f>IF(ISNA(VLOOKUP($A465,SprintData,4,FALSE)),0,VLOOKUP($A465,SprintData,4,FALSE))+V465</f>
        <v>0</v>
      </c>
      <c r="R465" s="298">
        <f>IF(ISNA(VLOOKUP($A465,JumpData,4,FALSE)),0,VLOOKUP($A465,JumpData,4,FALSE))+W465</f>
        <v>0</v>
      </c>
      <c r="S465" s="298">
        <f>IF(ISNA(VLOOKUP($A465,RunData,4,FALSE)),0,VLOOKUP($A465,RunData,4,FALSE))+X465</f>
        <v>0</v>
      </c>
      <c r="T465" s="298">
        <f>IF(ISNA(VLOOKUP($A465,ThrowData,4,FALSE)),0,VLOOKUP($A465,ThrowData,4,FALSE))+Y465</f>
        <v>0</v>
      </c>
      <c r="U465" s="299">
        <f t="shared" si="2"/>
        <v>0</v>
      </c>
      <c r="V465">
        <f>IF(AND($F465&gt;0,NOT(M465),Flexing),FlexPC,0)</f>
        <v>0</v>
      </c>
      <c r="W465">
        <f>IF(AND($F465&gt;0,NOT(N465),Flexing),FlexPC,0)</f>
        <v>0</v>
      </c>
      <c r="X465">
        <f>IF(AND($F465&gt;0,NOT(O465),Flexing),FlexPC,0)</f>
        <v>0</v>
      </c>
      <c r="Y465">
        <f>IF(AND($F465&gt;0,NOT(P465),Flexing),FlexPC,0)</f>
        <v>0</v>
      </c>
      <c r="AA465" s="209">
        <f t="shared" si="3"/>
        <v>464</v>
      </c>
    </row>
    <row r="466" ht="15.75" customHeight="1">
      <c r="A466" s="206" t="str">
        <f>+Declarations!A466&amp;""</f>
        <v/>
      </c>
      <c r="B466" t="str">
        <f>IF(LEN($A466),IF(LEN(Declarations!$B466)&gt;0,Declarations!$B466,"#"&amp;$A466),"")</f>
        <v/>
      </c>
      <c r="C466" s="209" t="str">
        <f t="array" ref="C466">IF(LEN(INDEX(DECLARATIONS,$AA466,3))&gt;0,INDEX(DECLARATIONS,$AA466,3),"...")</f>
        <v>...</v>
      </c>
      <c r="D466" s="209" t="str">
        <f t="shared" si="1"/>
        <v/>
      </c>
      <c r="E466" s="296" t="str">
        <f t="array" ref="E466">IF(ISNA($AA466),0,INDEX(DECLARATIONS,$AA466,5))</f>
        <v/>
      </c>
      <c r="F466" s="209" t="str">
        <f t="array" ref="F466">IF(ISNA($AA466),0,INDEX(DECLARATIONS,$AA466,7))</f>
        <v/>
      </c>
      <c r="G466" s="209" t="str">
        <f t="array" ref="G466">UPPER(IF(ISNA($AA466),"",INDEX(DECLARATIONS,$AA466,4)))</f>
        <v/>
      </c>
      <c r="H466" t="str">
        <f>IF(AND(A466&gt;0,ISTEXT(B466)),IF(SECNAME="YES",LEFT(B466&amp;" ",FIND(" ",B466&amp;" ")+2)&amp;IF(F466&gt;0," ("&amp;F466&amp;")",""),B466&amp;IF(F466&gt;0," ("&amp;F466&amp;")","")),"#"&amp;$A466)</f>
        <v/>
      </c>
      <c r="I466" s="209">
        <f>IF(LEN($A466)&gt;0,IF(LEN($J466)&gt;0,MATCH(J466,MatchNames,0),EventIndex),0)</f>
        <v>0</v>
      </c>
      <c r="J466" s="209" t="str">
        <f>IF(LEN($A466)&gt;0,IF(LEN(Declarations!$F466)&gt;0,Declarations!$F466,conftype),"")</f>
        <v/>
      </c>
      <c r="M466" s="297">
        <f>IF(ISNA(VLOOKUP($A466,SprintData,2,FALSE)),0,VLOOKUP($A466,SprintData,2,FALSE))</f>
        <v>0</v>
      </c>
      <c r="N466" s="297">
        <f>IF(ISNA(VLOOKUP($A466,JumpData,2,FALSE)),0,VLOOKUP($A466,JumpData,2,FALSE))</f>
        <v>0</v>
      </c>
      <c r="O466" s="297">
        <f>IF(ISNA(VLOOKUP($A466,RunData,2,FALSE)),0,VLOOKUP($A466,RunData,2,FALSE))</f>
        <v>0</v>
      </c>
      <c r="P466" s="297">
        <f>IF(ISNA(VLOOKUP($A466,ThrowData,2,FALSE)),0,VLOOKUP($A466,ThrowData,2,FALSE))</f>
        <v>0</v>
      </c>
      <c r="Q466" s="298">
        <f>IF(ISNA(VLOOKUP($A466,SprintData,4,FALSE)),0,VLOOKUP($A466,SprintData,4,FALSE))+V466</f>
        <v>0</v>
      </c>
      <c r="R466" s="298">
        <f>IF(ISNA(VLOOKUP($A466,JumpData,4,FALSE)),0,VLOOKUP($A466,JumpData,4,FALSE))+W466</f>
        <v>0</v>
      </c>
      <c r="S466" s="298">
        <f>IF(ISNA(VLOOKUP($A466,RunData,4,FALSE)),0,VLOOKUP($A466,RunData,4,FALSE))+X466</f>
        <v>0</v>
      </c>
      <c r="T466" s="298">
        <f>IF(ISNA(VLOOKUP($A466,ThrowData,4,FALSE)),0,VLOOKUP($A466,ThrowData,4,FALSE))+Y466</f>
        <v>0</v>
      </c>
      <c r="U466" s="299">
        <f t="shared" si="2"/>
        <v>0</v>
      </c>
      <c r="V466">
        <f>IF(AND($F466&gt;0,NOT(M466),Flexing),FlexPC,0)</f>
        <v>0</v>
      </c>
      <c r="W466">
        <f>IF(AND($F466&gt;0,NOT(N466),Flexing),FlexPC,0)</f>
        <v>0</v>
      </c>
      <c r="X466">
        <f>IF(AND($F466&gt;0,NOT(O466),Flexing),FlexPC,0)</f>
        <v>0</v>
      </c>
      <c r="Y466">
        <f>IF(AND($F466&gt;0,NOT(P466),Flexing),FlexPC,0)</f>
        <v>0</v>
      </c>
      <c r="AA466" s="209">
        <f t="shared" si="3"/>
        <v>465</v>
      </c>
    </row>
    <row r="467" ht="15.75" customHeight="1">
      <c r="A467" s="206" t="str">
        <f>+Declarations!A467&amp;""</f>
        <v/>
      </c>
      <c r="B467" t="str">
        <f>IF(LEN($A467),IF(LEN(Declarations!$B467)&gt;0,Declarations!$B467,"#"&amp;$A467),"")</f>
        <v/>
      </c>
      <c r="C467" s="209" t="str">
        <f t="array" ref="C467">IF(LEN(INDEX(DECLARATIONS,$AA467,3))&gt;0,INDEX(DECLARATIONS,$AA467,3),"...")</f>
        <v>...</v>
      </c>
      <c r="D467" s="209" t="str">
        <f t="shared" si="1"/>
        <v/>
      </c>
      <c r="E467" s="296" t="str">
        <f t="array" ref="E467">IF(ISNA($AA467),0,INDEX(DECLARATIONS,$AA467,5))</f>
        <v/>
      </c>
      <c r="F467" s="209" t="str">
        <f t="array" ref="F467">IF(ISNA($AA467),0,INDEX(DECLARATIONS,$AA467,7))</f>
        <v/>
      </c>
      <c r="G467" s="209" t="str">
        <f t="array" ref="G467">UPPER(IF(ISNA($AA467),"",INDEX(DECLARATIONS,$AA467,4)))</f>
        <v/>
      </c>
      <c r="H467" t="str">
        <f>IF(AND(A467&gt;0,ISTEXT(B467)),IF(SECNAME="YES",LEFT(B467&amp;" ",FIND(" ",B467&amp;" ")+2)&amp;IF(F467&gt;0," ("&amp;F467&amp;")",""),B467&amp;IF(F467&gt;0," ("&amp;F467&amp;")","")),"#"&amp;$A467)</f>
        <v/>
      </c>
      <c r="I467" s="209">
        <f>IF(LEN($A467)&gt;0,IF(LEN($J467)&gt;0,MATCH(J467,MatchNames,0),EventIndex),0)</f>
        <v>0</v>
      </c>
      <c r="J467" s="209" t="str">
        <f>IF(LEN($A467)&gt;0,IF(LEN(Declarations!$F467)&gt;0,Declarations!$F467,conftype),"")</f>
        <v/>
      </c>
      <c r="M467" s="297">
        <f>IF(ISNA(VLOOKUP($A467,SprintData,2,FALSE)),0,VLOOKUP($A467,SprintData,2,FALSE))</f>
        <v>0</v>
      </c>
      <c r="N467" s="297">
        <f>IF(ISNA(VLOOKUP($A467,JumpData,2,FALSE)),0,VLOOKUP($A467,JumpData,2,FALSE))</f>
        <v>0</v>
      </c>
      <c r="O467" s="297">
        <f>IF(ISNA(VLOOKUP($A467,RunData,2,FALSE)),0,VLOOKUP($A467,RunData,2,FALSE))</f>
        <v>0</v>
      </c>
      <c r="P467" s="297">
        <f>IF(ISNA(VLOOKUP($A467,ThrowData,2,FALSE)),0,VLOOKUP($A467,ThrowData,2,FALSE))</f>
        <v>0</v>
      </c>
      <c r="Q467" s="298">
        <f>IF(ISNA(VLOOKUP($A467,SprintData,4,FALSE)),0,VLOOKUP($A467,SprintData,4,FALSE))+V467</f>
        <v>0</v>
      </c>
      <c r="R467" s="298">
        <f>IF(ISNA(VLOOKUP($A467,JumpData,4,FALSE)),0,VLOOKUP($A467,JumpData,4,FALSE))+W467</f>
        <v>0</v>
      </c>
      <c r="S467" s="298">
        <f>IF(ISNA(VLOOKUP($A467,RunData,4,FALSE)),0,VLOOKUP($A467,RunData,4,FALSE))+X467</f>
        <v>0</v>
      </c>
      <c r="T467" s="298">
        <f>IF(ISNA(VLOOKUP($A467,ThrowData,4,FALSE)),0,VLOOKUP($A467,ThrowData,4,FALSE))+Y467</f>
        <v>0</v>
      </c>
      <c r="U467" s="299">
        <f t="shared" si="2"/>
        <v>0</v>
      </c>
      <c r="V467">
        <f>IF(AND($F467&gt;0,NOT(M467),Flexing),FlexPC,0)</f>
        <v>0</v>
      </c>
      <c r="W467">
        <f>IF(AND($F467&gt;0,NOT(N467),Flexing),FlexPC,0)</f>
        <v>0</v>
      </c>
      <c r="X467">
        <f>IF(AND($F467&gt;0,NOT(O467),Flexing),FlexPC,0)</f>
        <v>0</v>
      </c>
      <c r="Y467">
        <f>IF(AND($F467&gt;0,NOT(P467),Flexing),FlexPC,0)</f>
        <v>0</v>
      </c>
      <c r="AA467" s="209">
        <f t="shared" si="3"/>
        <v>466</v>
      </c>
    </row>
    <row r="468" ht="15.75" customHeight="1">
      <c r="A468" s="206" t="str">
        <f>+Declarations!A468&amp;""</f>
        <v/>
      </c>
      <c r="B468" t="str">
        <f>IF(LEN($A468),IF(LEN(Declarations!$B468)&gt;0,Declarations!$B468,"#"&amp;$A468),"")</f>
        <v/>
      </c>
      <c r="C468" s="209" t="str">
        <f t="array" ref="C468">IF(LEN(INDEX(DECLARATIONS,$AA468,3))&gt;0,INDEX(DECLARATIONS,$AA468,3),"...")</f>
        <v>...</v>
      </c>
      <c r="D468" s="209" t="str">
        <f t="shared" si="1"/>
        <v/>
      </c>
      <c r="E468" s="296" t="str">
        <f t="array" ref="E468">IF(ISNA($AA468),0,INDEX(DECLARATIONS,$AA468,5))</f>
        <v/>
      </c>
      <c r="F468" s="209" t="str">
        <f t="array" ref="F468">IF(ISNA($AA468),0,INDEX(DECLARATIONS,$AA468,7))</f>
        <v/>
      </c>
      <c r="G468" s="209" t="str">
        <f t="array" ref="G468">UPPER(IF(ISNA($AA468),"",INDEX(DECLARATIONS,$AA468,4)))</f>
        <v/>
      </c>
      <c r="H468" t="str">
        <f>IF(AND(A468&gt;0,ISTEXT(B468)),IF(SECNAME="YES",LEFT(B468&amp;" ",FIND(" ",B468&amp;" ")+2)&amp;IF(F468&gt;0," ("&amp;F468&amp;")",""),B468&amp;IF(F468&gt;0," ("&amp;F468&amp;")","")),"#"&amp;$A468)</f>
        <v/>
      </c>
      <c r="I468" s="209">
        <f>IF(LEN($A468)&gt;0,IF(LEN($J468)&gt;0,MATCH(J468,MatchNames,0),EventIndex),0)</f>
        <v>0</v>
      </c>
      <c r="J468" s="209" t="str">
        <f>IF(LEN($A468)&gt;0,IF(LEN(Declarations!$F468)&gt;0,Declarations!$F468,conftype),"")</f>
        <v/>
      </c>
      <c r="M468" s="297">
        <f>IF(ISNA(VLOOKUP($A468,SprintData,2,FALSE)),0,VLOOKUP($A468,SprintData,2,FALSE))</f>
        <v>0</v>
      </c>
      <c r="N468" s="297">
        <f>IF(ISNA(VLOOKUP($A468,JumpData,2,FALSE)),0,VLOOKUP($A468,JumpData,2,FALSE))</f>
        <v>0</v>
      </c>
      <c r="O468" s="297">
        <f>IF(ISNA(VLOOKUP($A468,RunData,2,FALSE)),0,VLOOKUP($A468,RunData,2,FALSE))</f>
        <v>0</v>
      </c>
      <c r="P468" s="297">
        <f>IF(ISNA(VLOOKUP($A468,ThrowData,2,FALSE)),0,VLOOKUP($A468,ThrowData,2,FALSE))</f>
        <v>0</v>
      </c>
      <c r="Q468" s="298">
        <f>IF(ISNA(VLOOKUP($A468,SprintData,4,FALSE)),0,VLOOKUP($A468,SprintData,4,FALSE))+V468</f>
        <v>0</v>
      </c>
      <c r="R468" s="298">
        <f>IF(ISNA(VLOOKUP($A468,JumpData,4,FALSE)),0,VLOOKUP($A468,JumpData,4,FALSE))+W468</f>
        <v>0</v>
      </c>
      <c r="S468" s="298">
        <f>IF(ISNA(VLOOKUP($A468,RunData,4,FALSE)),0,VLOOKUP($A468,RunData,4,FALSE))+X468</f>
        <v>0</v>
      </c>
      <c r="T468" s="298">
        <f>IF(ISNA(VLOOKUP($A468,ThrowData,4,FALSE)),0,VLOOKUP($A468,ThrowData,4,FALSE))+Y468</f>
        <v>0</v>
      </c>
      <c r="U468" s="299">
        <f t="shared" si="2"/>
        <v>0</v>
      </c>
      <c r="V468">
        <f>IF(AND($F468&gt;0,NOT(M468),Flexing),FlexPC,0)</f>
        <v>0</v>
      </c>
      <c r="W468">
        <f>IF(AND($F468&gt;0,NOT(N468),Flexing),FlexPC,0)</f>
        <v>0</v>
      </c>
      <c r="X468">
        <f>IF(AND($F468&gt;0,NOT(O468),Flexing),FlexPC,0)</f>
        <v>0</v>
      </c>
      <c r="Y468">
        <f>IF(AND($F468&gt;0,NOT(P468),Flexing),FlexPC,0)</f>
        <v>0</v>
      </c>
      <c r="AA468" s="209">
        <f t="shared" si="3"/>
        <v>467</v>
      </c>
    </row>
    <row r="469" ht="15.75" customHeight="1">
      <c r="A469" s="206" t="str">
        <f>+Declarations!A469&amp;""</f>
        <v/>
      </c>
      <c r="B469" t="str">
        <f>IF(LEN($A469),IF(LEN(Declarations!$B469)&gt;0,Declarations!$B469,"#"&amp;$A469),"")</f>
        <v/>
      </c>
      <c r="C469" s="209" t="str">
        <f t="array" ref="C469">IF(LEN(INDEX(DECLARATIONS,$AA469,3))&gt;0,INDEX(DECLARATIONS,$AA469,3),"...")</f>
        <v>...</v>
      </c>
      <c r="D469" s="209" t="str">
        <f t="shared" si="1"/>
        <v/>
      </c>
      <c r="E469" s="296" t="str">
        <f t="array" ref="E469">IF(ISNA($AA469),0,INDEX(DECLARATIONS,$AA469,5))</f>
        <v/>
      </c>
      <c r="F469" s="209" t="str">
        <f t="array" ref="F469">IF(ISNA($AA469),0,INDEX(DECLARATIONS,$AA469,7))</f>
        <v/>
      </c>
      <c r="G469" s="209" t="str">
        <f t="array" ref="G469">UPPER(IF(ISNA($AA469),"",INDEX(DECLARATIONS,$AA469,4)))</f>
        <v/>
      </c>
      <c r="H469" t="str">
        <f>IF(AND(A469&gt;0,ISTEXT(B469)),IF(SECNAME="YES",LEFT(B469&amp;" ",FIND(" ",B469&amp;" ")+2)&amp;IF(F469&gt;0," ("&amp;F469&amp;")",""),B469&amp;IF(F469&gt;0," ("&amp;F469&amp;")","")),"#"&amp;$A469)</f>
        <v/>
      </c>
      <c r="I469" s="209">
        <f>IF(LEN($A469)&gt;0,IF(LEN($J469)&gt;0,MATCH(J469,MatchNames,0),EventIndex),0)</f>
        <v>0</v>
      </c>
      <c r="J469" s="209" t="str">
        <f>IF(LEN($A469)&gt;0,IF(LEN(Declarations!$F469)&gt;0,Declarations!$F469,conftype),"")</f>
        <v/>
      </c>
      <c r="M469" s="297">
        <f>IF(ISNA(VLOOKUP($A469,SprintData,2,FALSE)),0,VLOOKUP($A469,SprintData,2,FALSE))</f>
        <v>0</v>
      </c>
      <c r="N469" s="297">
        <f>IF(ISNA(VLOOKUP($A469,JumpData,2,FALSE)),0,VLOOKUP($A469,JumpData,2,FALSE))</f>
        <v>0</v>
      </c>
      <c r="O469" s="297">
        <f>IF(ISNA(VLOOKUP($A469,RunData,2,FALSE)),0,VLOOKUP($A469,RunData,2,FALSE))</f>
        <v>0</v>
      </c>
      <c r="P469" s="297">
        <f>IF(ISNA(VLOOKUP($A469,ThrowData,2,FALSE)),0,VLOOKUP($A469,ThrowData,2,FALSE))</f>
        <v>0</v>
      </c>
      <c r="Q469" s="298">
        <f>IF(ISNA(VLOOKUP($A469,SprintData,4,FALSE)),0,VLOOKUP($A469,SprintData,4,FALSE))+V469</f>
        <v>0</v>
      </c>
      <c r="R469" s="298">
        <f>IF(ISNA(VLOOKUP($A469,JumpData,4,FALSE)),0,VLOOKUP($A469,JumpData,4,FALSE))+W469</f>
        <v>0</v>
      </c>
      <c r="S469" s="298">
        <f>IF(ISNA(VLOOKUP($A469,RunData,4,FALSE)),0,VLOOKUP($A469,RunData,4,FALSE))+X469</f>
        <v>0</v>
      </c>
      <c r="T469" s="298">
        <f>IF(ISNA(VLOOKUP($A469,ThrowData,4,FALSE)),0,VLOOKUP($A469,ThrowData,4,FALSE))+Y469</f>
        <v>0</v>
      </c>
      <c r="U469" s="299">
        <f t="shared" si="2"/>
        <v>0</v>
      </c>
      <c r="V469">
        <f>IF(AND($F469&gt;0,NOT(M469),Flexing),FlexPC,0)</f>
        <v>0</v>
      </c>
      <c r="W469">
        <f>IF(AND($F469&gt;0,NOT(N469),Flexing),FlexPC,0)</f>
        <v>0</v>
      </c>
      <c r="X469">
        <f>IF(AND($F469&gt;0,NOT(O469),Flexing),FlexPC,0)</f>
        <v>0</v>
      </c>
      <c r="Y469">
        <f>IF(AND($F469&gt;0,NOT(P469),Flexing),FlexPC,0)</f>
        <v>0</v>
      </c>
      <c r="AA469" s="209">
        <f t="shared" si="3"/>
        <v>468</v>
      </c>
    </row>
    <row r="470" ht="15.75" customHeight="1">
      <c r="A470" s="206" t="str">
        <f>+Declarations!A470&amp;""</f>
        <v/>
      </c>
      <c r="B470" t="str">
        <f>IF(LEN($A470),IF(LEN(Declarations!$B470)&gt;0,Declarations!$B470,"#"&amp;$A470),"")</f>
        <v/>
      </c>
      <c r="C470" s="209" t="str">
        <f t="array" ref="C470">IF(LEN(INDEX(DECLARATIONS,$AA470,3))&gt;0,INDEX(DECLARATIONS,$AA470,3),"...")</f>
        <v>...</v>
      </c>
      <c r="D470" s="209" t="str">
        <f t="shared" si="1"/>
        <v/>
      </c>
      <c r="E470" s="296" t="str">
        <f t="array" ref="E470">IF(ISNA($AA470),0,INDEX(DECLARATIONS,$AA470,5))</f>
        <v/>
      </c>
      <c r="F470" s="209" t="str">
        <f t="array" ref="F470">IF(ISNA($AA470),0,INDEX(DECLARATIONS,$AA470,7))</f>
        <v/>
      </c>
      <c r="G470" s="209" t="str">
        <f t="array" ref="G470">UPPER(IF(ISNA($AA470),"",INDEX(DECLARATIONS,$AA470,4)))</f>
        <v/>
      </c>
      <c r="H470" t="str">
        <f>IF(AND(A470&gt;0,ISTEXT(B470)),IF(SECNAME="YES",LEFT(B470&amp;" ",FIND(" ",B470&amp;" ")+2)&amp;IF(F470&gt;0," ("&amp;F470&amp;")",""),B470&amp;IF(F470&gt;0," ("&amp;F470&amp;")","")),"#"&amp;$A470)</f>
        <v/>
      </c>
      <c r="I470" s="209">
        <f>IF(LEN($A470)&gt;0,IF(LEN($J470)&gt;0,MATCH(J470,MatchNames,0),EventIndex),0)</f>
        <v>0</v>
      </c>
      <c r="J470" s="209" t="str">
        <f>IF(LEN($A470)&gt;0,IF(LEN(Declarations!$F470)&gt;0,Declarations!$F470,conftype),"")</f>
        <v/>
      </c>
      <c r="M470" s="297">
        <f>IF(ISNA(VLOOKUP($A470,SprintData,2,FALSE)),0,VLOOKUP($A470,SprintData,2,FALSE))</f>
        <v>0</v>
      </c>
      <c r="N470" s="297">
        <f>IF(ISNA(VLOOKUP($A470,JumpData,2,FALSE)),0,VLOOKUP($A470,JumpData,2,FALSE))</f>
        <v>0</v>
      </c>
      <c r="O470" s="297">
        <f>IF(ISNA(VLOOKUP($A470,RunData,2,FALSE)),0,VLOOKUP($A470,RunData,2,FALSE))</f>
        <v>0</v>
      </c>
      <c r="P470" s="297">
        <f>IF(ISNA(VLOOKUP($A470,ThrowData,2,FALSE)),0,VLOOKUP($A470,ThrowData,2,FALSE))</f>
        <v>0</v>
      </c>
      <c r="Q470" s="298">
        <f>IF(ISNA(VLOOKUP($A470,SprintData,4,FALSE)),0,VLOOKUP($A470,SprintData,4,FALSE))+V470</f>
        <v>0</v>
      </c>
      <c r="R470" s="298">
        <f>IF(ISNA(VLOOKUP($A470,JumpData,4,FALSE)),0,VLOOKUP($A470,JumpData,4,FALSE))+W470</f>
        <v>0</v>
      </c>
      <c r="S470" s="298">
        <f>IF(ISNA(VLOOKUP($A470,RunData,4,FALSE)),0,VLOOKUP($A470,RunData,4,FALSE))+X470</f>
        <v>0</v>
      </c>
      <c r="T470" s="298">
        <f>IF(ISNA(VLOOKUP($A470,ThrowData,4,FALSE)),0,VLOOKUP($A470,ThrowData,4,FALSE))+Y470</f>
        <v>0</v>
      </c>
      <c r="U470" s="299">
        <f t="shared" si="2"/>
        <v>0</v>
      </c>
      <c r="V470">
        <f>IF(AND($F470&gt;0,NOT(M470),Flexing),FlexPC,0)</f>
        <v>0</v>
      </c>
      <c r="W470">
        <f>IF(AND($F470&gt;0,NOT(N470),Flexing),FlexPC,0)</f>
        <v>0</v>
      </c>
      <c r="X470">
        <f>IF(AND($F470&gt;0,NOT(O470),Flexing),FlexPC,0)</f>
        <v>0</v>
      </c>
      <c r="Y470">
        <f>IF(AND($F470&gt;0,NOT(P470),Flexing),FlexPC,0)</f>
        <v>0</v>
      </c>
      <c r="AA470" s="209">
        <f t="shared" si="3"/>
        <v>469</v>
      </c>
    </row>
    <row r="471" ht="15.75" customHeight="1">
      <c r="A471" s="206" t="str">
        <f>+Declarations!A471&amp;""</f>
        <v/>
      </c>
      <c r="B471" t="str">
        <f>IF(LEN($A471),IF(LEN(Declarations!$B471)&gt;0,Declarations!$B471,"#"&amp;$A471),"")</f>
        <v/>
      </c>
      <c r="C471" s="209" t="str">
        <f t="array" ref="C471">IF(LEN(INDEX(DECLARATIONS,$AA471,3))&gt;0,INDEX(DECLARATIONS,$AA471,3),"...")</f>
        <v>...</v>
      </c>
      <c r="D471" s="209" t="str">
        <f t="shared" si="1"/>
        <v/>
      </c>
      <c r="E471" s="296" t="str">
        <f t="array" ref="E471">IF(ISNA($AA471),0,INDEX(DECLARATIONS,$AA471,5))</f>
        <v/>
      </c>
      <c r="F471" s="209" t="str">
        <f t="array" ref="F471">IF(ISNA($AA471),0,INDEX(DECLARATIONS,$AA471,7))</f>
        <v/>
      </c>
      <c r="G471" s="209" t="str">
        <f t="array" ref="G471">UPPER(IF(ISNA($AA471),"",INDEX(DECLARATIONS,$AA471,4)))</f>
        <v/>
      </c>
      <c r="H471" t="str">
        <f>IF(AND(A471&gt;0,ISTEXT(B471)),IF(SECNAME="YES",LEFT(B471&amp;" ",FIND(" ",B471&amp;" ")+2)&amp;IF(F471&gt;0," ("&amp;F471&amp;")",""),B471&amp;IF(F471&gt;0," ("&amp;F471&amp;")","")),"#"&amp;$A471)</f>
        <v/>
      </c>
      <c r="I471" s="209">
        <f>IF(LEN($A471)&gt;0,IF(LEN($J471)&gt;0,MATCH(J471,MatchNames,0),EventIndex),0)</f>
        <v>0</v>
      </c>
      <c r="J471" s="209" t="str">
        <f>IF(LEN($A471)&gt;0,IF(LEN(Declarations!$F471)&gt;0,Declarations!$F471,conftype),"")</f>
        <v/>
      </c>
      <c r="M471" s="297">
        <f>IF(ISNA(VLOOKUP($A471,SprintData,2,FALSE)),0,VLOOKUP($A471,SprintData,2,FALSE))</f>
        <v>0</v>
      </c>
      <c r="N471" s="297">
        <f>IF(ISNA(VLOOKUP($A471,JumpData,2,FALSE)),0,VLOOKUP($A471,JumpData,2,FALSE))</f>
        <v>0</v>
      </c>
      <c r="O471" s="297">
        <f>IF(ISNA(VLOOKUP($A471,RunData,2,FALSE)),0,VLOOKUP($A471,RunData,2,FALSE))</f>
        <v>0</v>
      </c>
      <c r="P471" s="297">
        <f>IF(ISNA(VLOOKUP($A471,ThrowData,2,FALSE)),0,VLOOKUP($A471,ThrowData,2,FALSE))</f>
        <v>0</v>
      </c>
      <c r="Q471" s="298">
        <f>IF(ISNA(VLOOKUP($A471,SprintData,4,FALSE)),0,VLOOKUP($A471,SprintData,4,FALSE))+V471</f>
        <v>0</v>
      </c>
      <c r="R471" s="298">
        <f>IF(ISNA(VLOOKUP($A471,JumpData,4,FALSE)),0,VLOOKUP($A471,JumpData,4,FALSE))+W471</f>
        <v>0</v>
      </c>
      <c r="S471" s="298">
        <f>IF(ISNA(VLOOKUP($A471,RunData,4,FALSE)),0,VLOOKUP($A471,RunData,4,FALSE))+X471</f>
        <v>0</v>
      </c>
      <c r="T471" s="298">
        <f>IF(ISNA(VLOOKUP($A471,ThrowData,4,FALSE)),0,VLOOKUP($A471,ThrowData,4,FALSE))+Y471</f>
        <v>0</v>
      </c>
      <c r="U471" s="299">
        <f t="shared" si="2"/>
        <v>0</v>
      </c>
      <c r="V471">
        <f>IF(AND($F471&gt;0,NOT(M471),Flexing),FlexPC,0)</f>
        <v>0</v>
      </c>
      <c r="W471">
        <f>IF(AND($F471&gt;0,NOT(N471),Flexing),FlexPC,0)</f>
        <v>0</v>
      </c>
      <c r="X471">
        <f>IF(AND($F471&gt;0,NOT(O471),Flexing),FlexPC,0)</f>
        <v>0</v>
      </c>
      <c r="Y471">
        <f>IF(AND($F471&gt;0,NOT(P471),Flexing),FlexPC,0)</f>
        <v>0</v>
      </c>
      <c r="AA471" s="209">
        <f t="shared" si="3"/>
        <v>470</v>
      </c>
    </row>
    <row r="472" ht="15.75" customHeight="1">
      <c r="A472" s="206" t="str">
        <f>+Declarations!A472&amp;""</f>
        <v/>
      </c>
      <c r="B472" t="str">
        <f>IF(LEN($A472),IF(LEN(Declarations!$B472)&gt;0,Declarations!$B472,"#"&amp;$A472),"")</f>
        <v/>
      </c>
      <c r="C472" s="209" t="str">
        <f t="array" ref="C472">IF(LEN(INDEX(DECLARATIONS,$AA472,3))&gt;0,INDEX(DECLARATIONS,$AA472,3),"...")</f>
        <v>...</v>
      </c>
      <c r="D472" s="209" t="str">
        <f t="shared" si="1"/>
        <v/>
      </c>
      <c r="E472" s="296" t="str">
        <f t="array" ref="E472">IF(ISNA($AA472),0,INDEX(DECLARATIONS,$AA472,5))</f>
        <v/>
      </c>
      <c r="F472" s="209" t="str">
        <f t="array" ref="F472">IF(ISNA($AA472),0,INDEX(DECLARATIONS,$AA472,7))</f>
        <v/>
      </c>
      <c r="G472" s="209" t="str">
        <f t="array" ref="G472">UPPER(IF(ISNA($AA472),"",INDEX(DECLARATIONS,$AA472,4)))</f>
        <v/>
      </c>
      <c r="H472" t="str">
        <f>IF(AND(A472&gt;0,ISTEXT(B472)),IF(SECNAME="YES",LEFT(B472&amp;" ",FIND(" ",B472&amp;" ")+2)&amp;IF(F472&gt;0," ("&amp;F472&amp;")",""),B472&amp;IF(F472&gt;0," ("&amp;F472&amp;")","")),"#"&amp;$A472)</f>
        <v/>
      </c>
      <c r="I472" s="209">
        <f>IF(LEN($A472)&gt;0,IF(LEN($J472)&gt;0,MATCH(J472,MatchNames,0),EventIndex),0)</f>
        <v>0</v>
      </c>
      <c r="J472" s="209" t="str">
        <f>IF(LEN($A472)&gt;0,IF(LEN(Declarations!$F472)&gt;0,Declarations!$F472,conftype),"")</f>
        <v/>
      </c>
      <c r="M472" s="297">
        <f>IF(ISNA(VLOOKUP($A472,SprintData,2,FALSE)),0,VLOOKUP($A472,SprintData,2,FALSE))</f>
        <v>0</v>
      </c>
      <c r="N472" s="297">
        <f>IF(ISNA(VLOOKUP($A472,JumpData,2,FALSE)),0,VLOOKUP($A472,JumpData,2,FALSE))</f>
        <v>0</v>
      </c>
      <c r="O472" s="297">
        <f>IF(ISNA(VLOOKUP($A472,RunData,2,FALSE)),0,VLOOKUP($A472,RunData,2,FALSE))</f>
        <v>0</v>
      </c>
      <c r="P472" s="297">
        <f>IF(ISNA(VLOOKUP($A472,ThrowData,2,FALSE)),0,VLOOKUP($A472,ThrowData,2,FALSE))</f>
        <v>0</v>
      </c>
      <c r="Q472" s="298">
        <f>IF(ISNA(VLOOKUP($A472,SprintData,4,FALSE)),0,VLOOKUP($A472,SprintData,4,FALSE))+V472</f>
        <v>0</v>
      </c>
      <c r="R472" s="298">
        <f>IF(ISNA(VLOOKUP($A472,JumpData,4,FALSE)),0,VLOOKUP($A472,JumpData,4,FALSE))+W472</f>
        <v>0</v>
      </c>
      <c r="S472" s="298">
        <f>IF(ISNA(VLOOKUP($A472,RunData,4,FALSE)),0,VLOOKUP($A472,RunData,4,FALSE))+X472</f>
        <v>0</v>
      </c>
      <c r="T472" s="298">
        <f>IF(ISNA(VLOOKUP($A472,ThrowData,4,FALSE)),0,VLOOKUP($A472,ThrowData,4,FALSE))+Y472</f>
        <v>0</v>
      </c>
      <c r="U472" s="299">
        <f t="shared" si="2"/>
        <v>0</v>
      </c>
      <c r="V472">
        <f>IF(AND($F472&gt;0,NOT(M472),Flexing),FlexPC,0)</f>
        <v>0</v>
      </c>
      <c r="W472">
        <f>IF(AND($F472&gt;0,NOT(N472),Flexing),FlexPC,0)</f>
        <v>0</v>
      </c>
      <c r="X472">
        <f>IF(AND($F472&gt;0,NOT(O472),Flexing),FlexPC,0)</f>
        <v>0</v>
      </c>
      <c r="Y472">
        <f>IF(AND($F472&gt;0,NOT(P472),Flexing),FlexPC,0)</f>
        <v>0</v>
      </c>
      <c r="AA472" s="209">
        <f t="shared" si="3"/>
        <v>471</v>
      </c>
    </row>
    <row r="473" ht="15.75" customHeight="1">
      <c r="A473" s="206" t="str">
        <f>+Declarations!A473&amp;""</f>
        <v/>
      </c>
      <c r="B473" t="str">
        <f>IF(LEN($A473),IF(LEN(Declarations!$B473)&gt;0,Declarations!$B473,"#"&amp;$A473),"")</f>
        <v/>
      </c>
      <c r="C473" s="209" t="str">
        <f t="array" ref="C473">IF(LEN(INDEX(DECLARATIONS,$AA473,3))&gt;0,INDEX(DECLARATIONS,$AA473,3),"...")</f>
        <v>...</v>
      </c>
      <c r="D473" s="209" t="str">
        <f t="shared" si="1"/>
        <v/>
      </c>
      <c r="E473" s="296" t="str">
        <f t="array" ref="E473">IF(ISNA($AA473),0,INDEX(DECLARATIONS,$AA473,5))</f>
        <v/>
      </c>
      <c r="F473" s="209" t="str">
        <f t="array" ref="F473">IF(ISNA($AA473),0,INDEX(DECLARATIONS,$AA473,7))</f>
        <v/>
      </c>
      <c r="G473" s="209" t="str">
        <f t="array" ref="G473">UPPER(IF(ISNA($AA473),"",INDEX(DECLARATIONS,$AA473,4)))</f>
        <v/>
      </c>
      <c r="H473" t="str">
        <f>IF(AND(A473&gt;0,ISTEXT(B473)),IF(SECNAME="YES",LEFT(B473&amp;" ",FIND(" ",B473&amp;" ")+2)&amp;IF(F473&gt;0," ("&amp;F473&amp;")",""),B473&amp;IF(F473&gt;0," ("&amp;F473&amp;")","")),"#"&amp;$A473)</f>
        <v/>
      </c>
      <c r="I473" s="209">
        <f>IF(LEN($A473)&gt;0,IF(LEN($J473)&gt;0,MATCH(J473,MatchNames,0),EventIndex),0)</f>
        <v>0</v>
      </c>
      <c r="J473" s="209" t="str">
        <f>IF(LEN($A473)&gt;0,IF(LEN(Declarations!$F473)&gt;0,Declarations!$F473,conftype),"")</f>
        <v/>
      </c>
      <c r="M473" s="297">
        <f>IF(ISNA(VLOOKUP($A473,SprintData,2,FALSE)),0,VLOOKUP($A473,SprintData,2,FALSE))</f>
        <v>0</v>
      </c>
      <c r="N473" s="297">
        <f>IF(ISNA(VLOOKUP($A473,JumpData,2,FALSE)),0,VLOOKUP($A473,JumpData,2,FALSE))</f>
        <v>0</v>
      </c>
      <c r="O473" s="297">
        <f>IF(ISNA(VLOOKUP($A473,RunData,2,FALSE)),0,VLOOKUP($A473,RunData,2,FALSE))</f>
        <v>0</v>
      </c>
      <c r="P473" s="297">
        <f>IF(ISNA(VLOOKUP($A473,ThrowData,2,FALSE)),0,VLOOKUP($A473,ThrowData,2,FALSE))</f>
        <v>0</v>
      </c>
      <c r="Q473" s="298">
        <f>IF(ISNA(VLOOKUP($A473,SprintData,4,FALSE)),0,VLOOKUP($A473,SprintData,4,FALSE))+V473</f>
        <v>0</v>
      </c>
      <c r="R473" s="298">
        <f>IF(ISNA(VLOOKUP($A473,JumpData,4,FALSE)),0,VLOOKUP($A473,JumpData,4,FALSE))+W473</f>
        <v>0</v>
      </c>
      <c r="S473" s="298">
        <f>IF(ISNA(VLOOKUP($A473,RunData,4,FALSE)),0,VLOOKUP($A473,RunData,4,FALSE))+X473</f>
        <v>0</v>
      </c>
      <c r="T473" s="298">
        <f>IF(ISNA(VLOOKUP($A473,ThrowData,4,FALSE)),0,VLOOKUP($A473,ThrowData,4,FALSE))+Y473</f>
        <v>0</v>
      </c>
      <c r="U473" s="299">
        <f t="shared" si="2"/>
        <v>0</v>
      </c>
      <c r="V473">
        <f>IF(AND($F473&gt;0,NOT(M473),Flexing),FlexPC,0)</f>
        <v>0</v>
      </c>
      <c r="W473">
        <f>IF(AND($F473&gt;0,NOT(N473),Flexing),FlexPC,0)</f>
        <v>0</v>
      </c>
      <c r="X473">
        <f>IF(AND($F473&gt;0,NOT(O473),Flexing),FlexPC,0)</f>
        <v>0</v>
      </c>
      <c r="Y473">
        <f>IF(AND($F473&gt;0,NOT(P473),Flexing),FlexPC,0)</f>
        <v>0</v>
      </c>
      <c r="AA473" s="209">
        <f t="shared" si="3"/>
        <v>472</v>
      </c>
    </row>
    <row r="474" ht="15.75" customHeight="1">
      <c r="A474" s="206" t="str">
        <f>+Declarations!A474&amp;""</f>
        <v/>
      </c>
      <c r="B474" t="str">
        <f>IF(LEN($A474),IF(LEN(Declarations!$B474)&gt;0,Declarations!$B474,"#"&amp;$A474),"")</f>
        <v/>
      </c>
      <c r="C474" s="209" t="str">
        <f t="array" ref="C474">IF(LEN(INDEX(DECLARATIONS,$AA474,3))&gt;0,INDEX(DECLARATIONS,$AA474,3),"...")</f>
        <v>...</v>
      </c>
      <c r="D474" s="209" t="str">
        <f t="shared" si="1"/>
        <v/>
      </c>
      <c r="E474" s="296" t="str">
        <f t="array" ref="E474">IF(ISNA($AA474),0,INDEX(DECLARATIONS,$AA474,5))</f>
        <v/>
      </c>
      <c r="F474" s="209" t="str">
        <f t="array" ref="F474">IF(ISNA($AA474),0,INDEX(DECLARATIONS,$AA474,7))</f>
        <v/>
      </c>
      <c r="G474" s="209" t="str">
        <f t="array" ref="G474">UPPER(IF(ISNA($AA474),"",INDEX(DECLARATIONS,$AA474,4)))</f>
        <v/>
      </c>
      <c r="H474" t="str">
        <f>IF(AND(A474&gt;0,ISTEXT(B474)),IF(SECNAME="YES",LEFT(B474&amp;" ",FIND(" ",B474&amp;" ")+2)&amp;IF(F474&gt;0," ("&amp;F474&amp;")",""),B474&amp;IF(F474&gt;0," ("&amp;F474&amp;")","")),"#"&amp;$A474)</f>
        <v/>
      </c>
      <c r="I474" s="209">
        <f>IF(LEN($A474)&gt;0,IF(LEN($J474)&gt;0,MATCH(J474,MatchNames,0),EventIndex),0)</f>
        <v>0</v>
      </c>
      <c r="J474" s="209" t="str">
        <f>IF(LEN($A474)&gt;0,IF(LEN(Declarations!$F474)&gt;0,Declarations!$F474,conftype),"")</f>
        <v/>
      </c>
      <c r="M474" s="297">
        <f>IF(ISNA(VLOOKUP($A474,SprintData,2,FALSE)),0,VLOOKUP($A474,SprintData,2,FALSE))</f>
        <v>0</v>
      </c>
      <c r="N474" s="297">
        <f>IF(ISNA(VLOOKUP($A474,JumpData,2,FALSE)),0,VLOOKUP($A474,JumpData,2,FALSE))</f>
        <v>0</v>
      </c>
      <c r="O474" s="297">
        <f>IF(ISNA(VLOOKUP($A474,RunData,2,FALSE)),0,VLOOKUP($A474,RunData,2,FALSE))</f>
        <v>0</v>
      </c>
      <c r="P474" s="297">
        <f>IF(ISNA(VLOOKUP($A474,ThrowData,2,FALSE)),0,VLOOKUP($A474,ThrowData,2,FALSE))</f>
        <v>0</v>
      </c>
      <c r="Q474" s="298">
        <f>IF(ISNA(VLOOKUP($A474,SprintData,4,FALSE)),0,VLOOKUP($A474,SprintData,4,FALSE))+V474</f>
        <v>0</v>
      </c>
      <c r="R474" s="298">
        <f>IF(ISNA(VLOOKUP($A474,JumpData,4,FALSE)),0,VLOOKUP($A474,JumpData,4,FALSE))+W474</f>
        <v>0</v>
      </c>
      <c r="S474" s="298">
        <f>IF(ISNA(VLOOKUP($A474,RunData,4,FALSE)),0,VLOOKUP($A474,RunData,4,FALSE))+X474</f>
        <v>0</v>
      </c>
      <c r="T474" s="298">
        <f>IF(ISNA(VLOOKUP($A474,ThrowData,4,FALSE)),0,VLOOKUP($A474,ThrowData,4,FALSE))+Y474</f>
        <v>0</v>
      </c>
      <c r="U474" s="299">
        <f t="shared" si="2"/>
        <v>0</v>
      </c>
      <c r="V474">
        <f>IF(AND($F474&gt;0,NOT(M474),Flexing),FlexPC,0)</f>
        <v>0</v>
      </c>
      <c r="W474">
        <f>IF(AND($F474&gt;0,NOT(N474),Flexing),FlexPC,0)</f>
        <v>0</v>
      </c>
      <c r="X474">
        <f>IF(AND($F474&gt;0,NOT(O474),Flexing),FlexPC,0)</f>
        <v>0</v>
      </c>
      <c r="Y474">
        <f>IF(AND($F474&gt;0,NOT(P474),Flexing),FlexPC,0)</f>
        <v>0</v>
      </c>
      <c r="AA474" s="209">
        <f t="shared" si="3"/>
        <v>473</v>
      </c>
    </row>
    <row r="475" ht="15.75" customHeight="1">
      <c r="A475" s="206" t="str">
        <f>+Declarations!A475&amp;""</f>
        <v/>
      </c>
      <c r="B475" t="str">
        <f>IF(LEN($A475),IF(LEN(Declarations!$B475)&gt;0,Declarations!$B475,"#"&amp;$A475),"")</f>
        <v/>
      </c>
      <c r="C475" s="209" t="str">
        <f t="array" ref="C475">IF(LEN(INDEX(DECLARATIONS,$AA475,3))&gt;0,INDEX(DECLARATIONS,$AA475,3),"...")</f>
        <v>...</v>
      </c>
      <c r="D475" s="209" t="str">
        <f t="shared" si="1"/>
        <v/>
      </c>
      <c r="E475" s="296" t="str">
        <f t="array" ref="E475">IF(ISNA($AA475),0,INDEX(DECLARATIONS,$AA475,5))</f>
        <v/>
      </c>
      <c r="F475" s="209" t="str">
        <f t="array" ref="F475">IF(ISNA($AA475),0,INDEX(DECLARATIONS,$AA475,7))</f>
        <v/>
      </c>
      <c r="G475" s="209" t="str">
        <f t="array" ref="G475">UPPER(IF(ISNA($AA475),"",INDEX(DECLARATIONS,$AA475,4)))</f>
        <v/>
      </c>
      <c r="H475" t="str">
        <f>IF(AND(A475&gt;0,ISTEXT(B475)),IF(SECNAME="YES",LEFT(B475&amp;" ",FIND(" ",B475&amp;" ")+2)&amp;IF(F475&gt;0," ("&amp;F475&amp;")",""),B475&amp;IF(F475&gt;0," ("&amp;F475&amp;")","")),"#"&amp;$A475)</f>
        <v/>
      </c>
      <c r="I475" s="209">
        <f>IF(LEN($A475)&gt;0,IF(LEN($J475)&gt;0,MATCH(J475,MatchNames,0),EventIndex),0)</f>
        <v>0</v>
      </c>
      <c r="J475" s="209" t="str">
        <f>IF(LEN($A475)&gt;0,IF(LEN(Declarations!$F475)&gt;0,Declarations!$F475,conftype),"")</f>
        <v/>
      </c>
      <c r="M475" s="297">
        <f>IF(ISNA(VLOOKUP($A475,SprintData,2,FALSE)),0,VLOOKUP($A475,SprintData,2,FALSE))</f>
        <v>0</v>
      </c>
      <c r="N475" s="297">
        <f>IF(ISNA(VLOOKUP($A475,JumpData,2,FALSE)),0,VLOOKUP($A475,JumpData,2,FALSE))</f>
        <v>0</v>
      </c>
      <c r="O475" s="297">
        <f>IF(ISNA(VLOOKUP($A475,RunData,2,FALSE)),0,VLOOKUP($A475,RunData,2,FALSE))</f>
        <v>0</v>
      </c>
      <c r="P475" s="297">
        <f>IF(ISNA(VLOOKUP($A475,ThrowData,2,FALSE)),0,VLOOKUP($A475,ThrowData,2,FALSE))</f>
        <v>0</v>
      </c>
      <c r="Q475" s="298">
        <f>IF(ISNA(VLOOKUP($A475,SprintData,4,FALSE)),0,VLOOKUP($A475,SprintData,4,FALSE))+V475</f>
        <v>0</v>
      </c>
      <c r="R475" s="298">
        <f>IF(ISNA(VLOOKUP($A475,JumpData,4,FALSE)),0,VLOOKUP($A475,JumpData,4,FALSE))+W475</f>
        <v>0</v>
      </c>
      <c r="S475" s="298">
        <f>IF(ISNA(VLOOKUP($A475,RunData,4,FALSE)),0,VLOOKUP($A475,RunData,4,FALSE))+X475</f>
        <v>0</v>
      </c>
      <c r="T475" s="298">
        <f>IF(ISNA(VLOOKUP($A475,ThrowData,4,FALSE)),0,VLOOKUP($A475,ThrowData,4,FALSE))+Y475</f>
        <v>0</v>
      </c>
      <c r="U475" s="299">
        <f t="shared" si="2"/>
        <v>0</v>
      </c>
      <c r="V475">
        <f>IF(AND($F475&gt;0,NOT(M475),Flexing),FlexPC,0)</f>
        <v>0</v>
      </c>
      <c r="W475">
        <f>IF(AND($F475&gt;0,NOT(N475),Flexing),FlexPC,0)</f>
        <v>0</v>
      </c>
      <c r="X475">
        <f>IF(AND($F475&gt;0,NOT(O475),Flexing),FlexPC,0)</f>
        <v>0</v>
      </c>
      <c r="Y475">
        <f>IF(AND($F475&gt;0,NOT(P475),Flexing),FlexPC,0)</f>
        <v>0</v>
      </c>
      <c r="AA475" s="209">
        <f t="shared" si="3"/>
        <v>474</v>
      </c>
    </row>
    <row r="476" ht="15.75" customHeight="1">
      <c r="A476" s="206" t="str">
        <f>+Declarations!A476&amp;""</f>
        <v/>
      </c>
      <c r="B476" t="str">
        <f>IF(LEN($A476),IF(LEN(Declarations!$B476)&gt;0,Declarations!$B476,"#"&amp;$A476),"")</f>
        <v/>
      </c>
      <c r="C476" s="209" t="str">
        <f t="array" ref="C476">IF(LEN(INDEX(DECLARATIONS,$AA476,3))&gt;0,INDEX(DECLARATIONS,$AA476,3),"...")</f>
        <v>...</v>
      </c>
      <c r="D476" s="209" t="str">
        <f t="shared" si="1"/>
        <v/>
      </c>
      <c r="E476" s="296" t="str">
        <f t="array" ref="E476">IF(ISNA($AA476),0,INDEX(DECLARATIONS,$AA476,5))</f>
        <v/>
      </c>
      <c r="F476" s="209" t="str">
        <f t="array" ref="F476">IF(ISNA($AA476),0,INDEX(DECLARATIONS,$AA476,7))</f>
        <v/>
      </c>
      <c r="G476" s="209" t="str">
        <f t="array" ref="G476">UPPER(IF(ISNA($AA476),"",INDEX(DECLARATIONS,$AA476,4)))</f>
        <v/>
      </c>
      <c r="H476" t="str">
        <f>IF(AND(A476&gt;0,ISTEXT(B476)),IF(SECNAME="YES",LEFT(B476&amp;" ",FIND(" ",B476&amp;" ")+2)&amp;IF(F476&gt;0," ("&amp;F476&amp;")",""),B476&amp;IF(F476&gt;0," ("&amp;F476&amp;")","")),"#"&amp;$A476)</f>
        <v/>
      </c>
      <c r="I476" s="209">
        <f>IF(LEN($A476)&gt;0,IF(LEN($J476)&gt;0,MATCH(J476,MatchNames,0),EventIndex),0)</f>
        <v>0</v>
      </c>
      <c r="J476" s="209" t="str">
        <f>IF(LEN($A476)&gt;0,IF(LEN(Declarations!$F476)&gt;0,Declarations!$F476,conftype),"")</f>
        <v/>
      </c>
      <c r="M476" s="297">
        <f>IF(ISNA(VLOOKUP($A476,SprintData,2,FALSE)),0,VLOOKUP($A476,SprintData,2,FALSE))</f>
        <v>0</v>
      </c>
      <c r="N476" s="297">
        <f>IF(ISNA(VLOOKUP($A476,JumpData,2,FALSE)),0,VLOOKUP($A476,JumpData,2,FALSE))</f>
        <v>0</v>
      </c>
      <c r="O476" s="297">
        <f>IF(ISNA(VLOOKUP($A476,RunData,2,FALSE)),0,VLOOKUP($A476,RunData,2,FALSE))</f>
        <v>0</v>
      </c>
      <c r="P476" s="297">
        <f>IF(ISNA(VLOOKUP($A476,ThrowData,2,FALSE)),0,VLOOKUP($A476,ThrowData,2,FALSE))</f>
        <v>0</v>
      </c>
      <c r="Q476" s="298">
        <f>IF(ISNA(VLOOKUP($A476,SprintData,4,FALSE)),0,VLOOKUP($A476,SprintData,4,FALSE))+V476</f>
        <v>0</v>
      </c>
      <c r="R476" s="298">
        <f>IF(ISNA(VLOOKUP($A476,JumpData,4,FALSE)),0,VLOOKUP($A476,JumpData,4,FALSE))+W476</f>
        <v>0</v>
      </c>
      <c r="S476" s="298">
        <f>IF(ISNA(VLOOKUP($A476,RunData,4,FALSE)),0,VLOOKUP($A476,RunData,4,FALSE))+X476</f>
        <v>0</v>
      </c>
      <c r="T476" s="298">
        <f>IF(ISNA(VLOOKUP($A476,ThrowData,4,FALSE)),0,VLOOKUP($A476,ThrowData,4,FALSE))+Y476</f>
        <v>0</v>
      </c>
      <c r="U476" s="299">
        <f t="shared" si="2"/>
        <v>0</v>
      </c>
      <c r="V476">
        <f>IF(AND($F476&gt;0,NOT(M476),Flexing),FlexPC,0)</f>
        <v>0</v>
      </c>
      <c r="W476">
        <f>IF(AND($F476&gt;0,NOT(N476),Flexing),FlexPC,0)</f>
        <v>0</v>
      </c>
      <c r="X476">
        <f>IF(AND($F476&gt;0,NOT(O476),Flexing),FlexPC,0)</f>
        <v>0</v>
      </c>
      <c r="Y476">
        <f>IF(AND($F476&gt;0,NOT(P476),Flexing),FlexPC,0)</f>
        <v>0</v>
      </c>
      <c r="AA476" s="209">
        <f t="shared" si="3"/>
        <v>475</v>
      </c>
    </row>
    <row r="477" ht="15.75" customHeight="1">
      <c r="A477" s="206" t="str">
        <f>+Declarations!A477&amp;""</f>
        <v/>
      </c>
      <c r="B477" t="str">
        <f>IF(LEN($A477),IF(LEN(Declarations!$B477)&gt;0,Declarations!$B477,"#"&amp;$A477),"")</f>
        <v/>
      </c>
      <c r="C477" s="209" t="str">
        <f t="array" ref="C477">IF(LEN(INDEX(DECLARATIONS,$AA477,3))&gt;0,INDEX(DECLARATIONS,$AA477,3),"...")</f>
        <v>...</v>
      </c>
      <c r="D477" s="209" t="str">
        <f t="shared" si="1"/>
        <v/>
      </c>
      <c r="E477" s="296" t="str">
        <f t="array" ref="E477">IF(ISNA($AA477),0,INDEX(DECLARATIONS,$AA477,5))</f>
        <v/>
      </c>
      <c r="F477" s="209" t="str">
        <f t="array" ref="F477">IF(ISNA($AA477),0,INDEX(DECLARATIONS,$AA477,7))</f>
        <v/>
      </c>
      <c r="G477" s="209" t="str">
        <f t="array" ref="G477">UPPER(IF(ISNA($AA477),"",INDEX(DECLARATIONS,$AA477,4)))</f>
        <v/>
      </c>
      <c r="H477" t="str">
        <f>IF(AND(A477&gt;0,ISTEXT(B477)),IF(SECNAME="YES",LEFT(B477&amp;" ",FIND(" ",B477&amp;" ")+2)&amp;IF(F477&gt;0," ("&amp;F477&amp;")",""),B477&amp;IF(F477&gt;0," ("&amp;F477&amp;")","")),"#"&amp;$A477)</f>
        <v/>
      </c>
      <c r="I477" s="209">
        <f>IF(LEN($A477)&gt;0,IF(LEN($J477)&gt;0,MATCH(J477,MatchNames,0),EventIndex),0)</f>
        <v>0</v>
      </c>
      <c r="J477" s="209" t="str">
        <f>IF(LEN($A477)&gt;0,IF(LEN(Declarations!$F477)&gt;0,Declarations!$F477,conftype),"")</f>
        <v/>
      </c>
      <c r="M477" s="297">
        <f>IF(ISNA(VLOOKUP($A477,SprintData,2,FALSE)),0,VLOOKUP($A477,SprintData,2,FALSE))</f>
        <v>0</v>
      </c>
      <c r="N477" s="297">
        <f>IF(ISNA(VLOOKUP($A477,JumpData,2,FALSE)),0,VLOOKUP($A477,JumpData,2,FALSE))</f>
        <v>0</v>
      </c>
      <c r="O477" s="297">
        <f>IF(ISNA(VLOOKUP($A477,RunData,2,FALSE)),0,VLOOKUP($A477,RunData,2,FALSE))</f>
        <v>0</v>
      </c>
      <c r="P477" s="297">
        <f>IF(ISNA(VLOOKUP($A477,ThrowData,2,FALSE)),0,VLOOKUP($A477,ThrowData,2,FALSE))</f>
        <v>0</v>
      </c>
      <c r="Q477" s="298">
        <f>IF(ISNA(VLOOKUP($A477,SprintData,4,FALSE)),0,VLOOKUP($A477,SprintData,4,FALSE))+V477</f>
        <v>0</v>
      </c>
      <c r="R477" s="298">
        <f>IF(ISNA(VLOOKUP($A477,JumpData,4,FALSE)),0,VLOOKUP($A477,JumpData,4,FALSE))+W477</f>
        <v>0</v>
      </c>
      <c r="S477" s="298">
        <f>IF(ISNA(VLOOKUP($A477,RunData,4,FALSE)),0,VLOOKUP($A477,RunData,4,FALSE))+X477</f>
        <v>0</v>
      </c>
      <c r="T477" s="298">
        <f>IF(ISNA(VLOOKUP($A477,ThrowData,4,FALSE)),0,VLOOKUP($A477,ThrowData,4,FALSE))+Y477</f>
        <v>0</v>
      </c>
      <c r="U477" s="299">
        <f t="shared" si="2"/>
        <v>0</v>
      </c>
      <c r="V477">
        <f>IF(AND($F477&gt;0,NOT(M477),Flexing),FlexPC,0)</f>
        <v>0</v>
      </c>
      <c r="W477">
        <f>IF(AND($F477&gt;0,NOT(N477),Flexing),FlexPC,0)</f>
        <v>0</v>
      </c>
      <c r="X477">
        <f>IF(AND($F477&gt;0,NOT(O477),Flexing),FlexPC,0)</f>
        <v>0</v>
      </c>
      <c r="Y477">
        <f>IF(AND($F477&gt;0,NOT(P477),Flexing),FlexPC,0)</f>
        <v>0</v>
      </c>
      <c r="AA477" s="209">
        <f t="shared" si="3"/>
        <v>476</v>
      </c>
    </row>
    <row r="478" ht="15.75" customHeight="1">
      <c r="A478" s="206" t="str">
        <f>+Declarations!A478&amp;""</f>
        <v/>
      </c>
      <c r="B478" t="str">
        <f>IF(LEN($A478),IF(LEN(Declarations!$B478)&gt;0,Declarations!$B478,"#"&amp;$A478),"")</f>
        <v/>
      </c>
      <c r="C478" s="209" t="str">
        <f t="array" ref="C478">IF(LEN(INDEX(DECLARATIONS,$AA478,3))&gt;0,INDEX(DECLARATIONS,$AA478,3),"...")</f>
        <v>...</v>
      </c>
      <c r="D478" s="209" t="str">
        <f t="shared" si="1"/>
        <v/>
      </c>
      <c r="E478" s="296" t="str">
        <f t="array" ref="E478">IF(ISNA($AA478),0,INDEX(DECLARATIONS,$AA478,5))</f>
        <v/>
      </c>
      <c r="F478" s="209" t="str">
        <f t="array" ref="F478">IF(ISNA($AA478),0,INDEX(DECLARATIONS,$AA478,7))</f>
        <v/>
      </c>
      <c r="G478" s="209" t="str">
        <f t="array" ref="G478">UPPER(IF(ISNA($AA478),"",INDEX(DECLARATIONS,$AA478,4)))</f>
        <v/>
      </c>
      <c r="H478" t="str">
        <f>IF(AND(A478&gt;0,ISTEXT(B478)),IF(SECNAME="YES",LEFT(B478&amp;" ",FIND(" ",B478&amp;" ")+2)&amp;IF(F478&gt;0," ("&amp;F478&amp;")",""),B478&amp;IF(F478&gt;0," ("&amp;F478&amp;")","")),"#"&amp;$A478)</f>
        <v/>
      </c>
      <c r="I478" s="209">
        <f>IF(LEN($A478)&gt;0,IF(LEN($J478)&gt;0,MATCH(J478,MatchNames,0),EventIndex),0)</f>
        <v>0</v>
      </c>
      <c r="J478" s="209" t="str">
        <f>IF(LEN($A478)&gt;0,IF(LEN(Declarations!$F478)&gt;0,Declarations!$F478,conftype),"")</f>
        <v/>
      </c>
      <c r="M478" s="297">
        <f>IF(ISNA(VLOOKUP($A478,SprintData,2,FALSE)),0,VLOOKUP($A478,SprintData,2,FALSE))</f>
        <v>0</v>
      </c>
      <c r="N478" s="297">
        <f>IF(ISNA(VLOOKUP($A478,JumpData,2,FALSE)),0,VLOOKUP($A478,JumpData,2,FALSE))</f>
        <v>0</v>
      </c>
      <c r="O478" s="297">
        <f>IF(ISNA(VLOOKUP($A478,RunData,2,FALSE)),0,VLOOKUP($A478,RunData,2,FALSE))</f>
        <v>0</v>
      </c>
      <c r="P478" s="297">
        <f>IF(ISNA(VLOOKUP($A478,ThrowData,2,FALSE)),0,VLOOKUP($A478,ThrowData,2,FALSE))</f>
        <v>0</v>
      </c>
      <c r="Q478" s="298">
        <f>IF(ISNA(VLOOKUP($A478,SprintData,4,FALSE)),0,VLOOKUP($A478,SprintData,4,FALSE))+V478</f>
        <v>0</v>
      </c>
      <c r="R478" s="298">
        <f>IF(ISNA(VLOOKUP($A478,JumpData,4,FALSE)),0,VLOOKUP($A478,JumpData,4,FALSE))+W478</f>
        <v>0</v>
      </c>
      <c r="S478" s="298">
        <f>IF(ISNA(VLOOKUP($A478,RunData,4,FALSE)),0,VLOOKUP($A478,RunData,4,FALSE))+X478</f>
        <v>0</v>
      </c>
      <c r="T478" s="298">
        <f>IF(ISNA(VLOOKUP($A478,ThrowData,4,FALSE)),0,VLOOKUP($A478,ThrowData,4,FALSE))+Y478</f>
        <v>0</v>
      </c>
      <c r="U478" s="299">
        <f t="shared" si="2"/>
        <v>0</v>
      </c>
      <c r="V478">
        <f>IF(AND($F478&gt;0,NOT(M478),Flexing),FlexPC,0)</f>
        <v>0</v>
      </c>
      <c r="W478">
        <f>IF(AND($F478&gt;0,NOT(N478),Flexing),FlexPC,0)</f>
        <v>0</v>
      </c>
      <c r="X478">
        <f>IF(AND($F478&gt;0,NOT(O478),Flexing),FlexPC,0)</f>
        <v>0</v>
      </c>
      <c r="Y478">
        <f>IF(AND($F478&gt;0,NOT(P478),Flexing),FlexPC,0)</f>
        <v>0</v>
      </c>
      <c r="AA478" s="209">
        <f t="shared" si="3"/>
        <v>477</v>
      </c>
    </row>
    <row r="479" ht="15.75" customHeight="1">
      <c r="A479" s="206" t="str">
        <f>+Declarations!A479&amp;""</f>
        <v/>
      </c>
      <c r="B479" t="str">
        <f>IF(LEN($A479),IF(LEN(Declarations!$B479)&gt;0,Declarations!$B479,"#"&amp;$A479),"")</f>
        <v/>
      </c>
      <c r="C479" s="209" t="str">
        <f t="array" ref="C479">IF(LEN(INDEX(DECLARATIONS,$AA479,3))&gt;0,INDEX(DECLARATIONS,$AA479,3),"...")</f>
        <v>...</v>
      </c>
      <c r="D479" s="209" t="str">
        <f t="shared" si="1"/>
        <v/>
      </c>
      <c r="E479" s="296" t="str">
        <f t="array" ref="E479">IF(ISNA($AA479),0,INDEX(DECLARATIONS,$AA479,5))</f>
        <v/>
      </c>
      <c r="F479" s="209" t="str">
        <f t="array" ref="F479">IF(ISNA($AA479),0,INDEX(DECLARATIONS,$AA479,7))</f>
        <v/>
      </c>
      <c r="G479" s="209" t="str">
        <f t="array" ref="G479">UPPER(IF(ISNA($AA479),"",INDEX(DECLARATIONS,$AA479,4)))</f>
        <v/>
      </c>
      <c r="H479" t="str">
        <f>IF(AND(A479&gt;0,ISTEXT(B479)),IF(SECNAME="YES",LEFT(B479&amp;" ",FIND(" ",B479&amp;" ")+2)&amp;IF(F479&gt;0," ("&amp;F479&amp;")",""),B479&amp;IF(F479&gt;0," ("&amp;F479&amp;")","")),"#"&amp;$A479)</f>
        <v/>
      </c>
      <c r="I479" s="209">
        <f>IF(LEN($A479)&gt;0,IF(LEN($J479)&gt;0,MATCH(J479,MatchNames,0),EventIndex),0)</f>
        <v>0</v>
      </c>
      <c r="J479" s="209" t="str">
        <f>IF(LEN($A479)&gt;0,IF(LEN(Declarations!$F479)&gt;0,Declarations!$F479,conftype),"")</f>
        <v/>
      </c>
      <c r="M479" s="297">
        <f>IF(ISNA(VLOOKUP($A479,SprintData,2,FALSE)),0,VLOOKUP($A479,SprintData,2,FALSE))</f>
        <v>0</v>
      </c>
      <c r="N479" s="297">
        <f>IF(ISNA(VLOOKUP($A479,JumpData,2,FALSE)),0,VLOOKUP($A479,JumpData,2,FALSE))</f>
        <v>0</v>
      </c>
      <c r="O479" s="297">
        <f>IF(ISNA(VLOOKUP($A479,RunData,2,FALSE)),0,VLOOKUP($A479,RunData,2,FALSE))</f>
        <v>0</v>
      </c>
      <c r="P479" s="297">
        <f>IF(ISNA(VLOOKUP($A479,ThrowData,2,FALSE)),0,VLOOKUP($A479,ThrowData,2,FALSE))</f>
        <v>0</v>
      </c>
      <c r="Q479" s="298">
        <f>IF(ISNA(VLOOKUP($A479,SprintData,4,FALSE)),0,VLOOKUP($A479,SprintData,4,FALSE))+V479</f>
        <v>0</v>
      </c>
      <c r="R479" s="298">
        <f>IF(ISNA(VLOOKUP($A479,JumpData,4,FALSE)),0,VLOOKUP($A479,JumpData,4,FALSE))+W479</f>
        <v>0</v>
      </c>
      <c r="S479" s="298">
        <f>IF(ISNA(VLOOKUP($A479,RunData,4,FALSE)),0,VLOOKUP($A479,RunData,4,FALSE))+X479</f>
        <v>0</v>
      </c>
      <c r="T479" s="298">
        <f>IF(ISNA(VLOOKUP($A479,ThrowData,4,FALSE)),0,VLOOKUP($A479,ThrowData,4,FALSE))+Y479</f>
        <v>0</v>
      </c>
      <c r="U479" s="299">
        <f t="shared" si="2"/>
        <v>0</v>
      </c>
      <c r="V479">
        <f>IF(AND($F479&gt;0,NOT(M479),Flexing),FlexPC,0)</f>
        <v>0</v>
      </c>
      <c r="W479">
        <f>IF(AND($F479&gt;0,NOT(N479),Flexing),FlexPC,0)</f>
        <v>0</v>
      </c>
      <c r="X479">
        <f>IF(AND($F479&gt;0,NOT(O479),Flexing),FlexPC,0)</f>
        <v>0</v>
      </c>
      <c r="Y479">
        <f>IF(AND($F479&gt;0,NOT(P479),Flexing),FlexPC,0)</f>
        <v>0</v>
      </c>
      <c r="AA479" s="209">
        <f t="shared" si="3"/>
        <v>478</v>
      </c>
    </row>
    <row r="480" ht="15.75" customHeight="1">
      <c r="A480" s="206" t="str">
        <f>+Declarations!A480&amp;""</f>
        <v/>
      </c>
      <c r="B480" t="str">
        <f>IF(LEN($A480),IF(LEN(Declarations!$B480)&gt;0,Declarations!$B480,"#"&amp;$A480),"")</f>
        <v/>
      </c>
      <c r="C480" s="209" t="str">
        <f t="array" ref="C480">IF(LEN(INDEX(DECLARATIONS,$AA480,3))&gt;0,INDEX(DECLARATIONS,$AA480,3),"...")</f>
        <v>...</v>
      </c>
      <c r="D480" s="209" t="str">
        <f t="shared" si="1"/>
        <v/>
      </c>
      <c r="E480" s="296" t="str">
        <f t="array" ref="E480">IF(ISNA($AA480),0,INDEX(DECLARATIONS,$AA480,5))</f>
        <v/>
      </c>
      <c r="F480" s="209" t="str">
        <f t="array" ref="F480">IF(ISNA($AA480),0,INDEX(DECLARATIONS,$AA480,7))</f>
        <v/>
      </c>
      <c r="G480" s="209" t="str">
        <f t="array" ref="G480">UPPER(IF(ISNA($AA480),"",INDEX(DECLARATIONS,$AA480,4)))</f>
        <v/>
      </c>
      <c r="H480" t="str">
        <f>IF(AND(A480&gt;0,ISTEXT(B480)),IF(SECNAME="YES",LEFT(B480&amp;" ",FIND(" ",B480&amp;" ")+2)&amp;IF(F480&gt;0," ("&amp;F480&amp;")",""),B480&amp;IF(F480&gt;0," ("&amp;F480&amp;")","")),"#"&amp;$A480)</f>
        <v/>
      </c>
      <c r="I480" s="209">
        <f>IF(LEN($A480)&gt;0,IF(LEN($J480)&gt;0,MATCH(J480,MatchNames,0),EventIndex),0)</f>
        <v>0</v>
      </c>
      <c r="J480" s="209" t="str">
        <f>IF(LEN($A480)&gt;0,IF(LEN(Declarations!$F480)&gt;0,Declarations!$F480,conftype),"")</f>
        <v/>
      </c>
      <c r="M480" s="297">
        <f>IF(ISNA(VLOOKUP($A480,SprintData,2,FALSE)),0,VLOOKUP($A480,SprintData,2,FALSE))</f>
        <v>0</v>
      </c>
      <c r="N480" s="297">
        <f>IF(ISNA(VLOOKUP($A480,JumpData,2,FALSE)),0,VLOOKUP($A480,JumpData,2,FALSE))</f>
        <v>0</v>
      </c>
      <c r="O480" s="297">
        <f>IF(ISNA(VLOOKUP($A480,RunData,2,FALSE)),0,VLOOKUP($A480,RunData,2,FALSE))</f>
        <v>0</v>
      </c>
      <c r="P480" s="297">
        <f>IF(ISNA(VLOOKUP($A480,ThrowData,2,FALSE)),0,VLOOKUP($A480,ThrowData,2,FALSE))</f>
        <v>0</v>
      </c>
      <c r="Q480" s="298">
        <f>IF(ISNA(VLOOKUP($A480,SprintData,4,FALSE)),0,VLOOKUP($A480,SprintData,4,FALSE))+V480</f>
        <v>0</v>
      </c>
      <c r="R480" s="298">
        <f>IF(ISNA(VLOOKUP($A480,JumpData,4,FALSE)),0,VLOOKUP($A480,JumpData,4,FALSE))+W480</f>
        <v>0</v>
      </c>
      <c r="S480" s="298">
        <f>IF(ISNA(VLOOKUP($A480,RunData,4,FALSE)),0,VLOOKUP($A480,RunData,4,FALSE))+X480</f>
        <v>0</v>
      </c>
      <c r="T480" s="298">
        <f>IF(ISNA(VLOOKUP($A480,ThrowData,4,FALSE)),0,VLOOKUP($A480,ThrowData,4,FALSE))+Y480</f>
        <v>0</v>
      </c>
      <c r="U480" s="299">
        <f t="shared" si="2"/>
        <v>0</v>
      </c>
      <c r="V480">
        <f>IF(AND($F480&gt;0,NOT(M480),Flexing),FlexPC,0)</f>
        <v>0</v>
      </c>
      <c r="W480">
        <f>IF(AND($F480&gt;0,NOT(N480),Flexing),FlexPC,0)</f>
        <v>0</v>
      </c>
      <c r="X480">
        <f>IF(AND($F480&gt;0,NOT(O480),Flexing),FlexPC,0)</f>
        <v>0</v>
      </c>
      <c r="Y480">
        <f>IF(AND($F480&gt;0,NOT(P480),Flexing),FlexPC,0)</f>
        <v>0</v>
      </c>
      <c r="AA480" s="209">
        <f t="shared" si="3"/>
        <v>479</v>
      </c>
    </row>
    <row r="481" ht="15.75" customHeight="1">
      <c r="A481" s="206" t="str">
        <f>+Declarations!A481&amp;""</f>
        <v/>
      </c>
      <c r="B481" t="str">
        <f>IF(LEN($A481),IF(LEN(Declarations!$B481)&gt;0,Declarations!$B481,"#"&amp;$A481),"")</f>
        <v/>
      </c>
      <c r="C481" s="209" t="str">
        <f t="array" ref="C481">IF(LEN(INDEX(DECLARATIONS,$AA481,3))&gt;0,INDEX(DECLARATIONS,$AA481,3),"...")</f>
        <v>...</v>
      </c>
      <c r="D481" s="209" t="str">
        <f t="shared" si="1"/>
        <v/>
      </c>
      <c r="E481" s="296" t="str">
        <f t="array" ref="E481">IF(ISNA($AA481),0,INDEX(DECLARATIONS,$AA481,5))</f>
        <v/>
      </c>
      <c r="F481" s="209" t="str">
        <f t="array" ref="F481">IF(ISNA($AA481),0,INDEX(DECLARATIONS,$AA481,7))</f>
        <v/>
      </c>
      <c r="G481" s="209" t="str">
        <f t="array" ref="G481">UPPER(IF(ISNA($AA481),"",INDEX(DECLARATIONS,$AA481,4)))</f>
        <v/>
      </c>
      <c r="H481" t="str">
        <f>IF(AND(A481&gt;0,ISTEXT(B481)),IF(SECNAME="YES",LEFT(B481&amp;" ",FIND(" ",B481&amp;" ")+2)&amp;IF(F481&gt;0," ("&amp;F481&amp;")",""),B481&amp;IF(F481&gt;0," ("&amp;F481&amp;")","")),"#"&amp;$A481)</f>
        <v/>
      </c>
      <c r="I481" s="209">
        <f>IF(LEN($A481)&gt;0,IF(LEN($J481)&gt;0,MATCH(J481,MatchNames,0),EventIndex),0)</f>
        <v>0</v>
      </c>
      <c r="J481" s="209" t="str">
        <f>IF(LEN($A481)&gt;0,IF(LEN(Declarations!$F481)&gt;0,Declarations!$F481,conftype),"")</f>
        <v/>
      </c>
      <c r="M481" s="297">
        <f>IF(ISNA(VLOOKUP($A481,SprintData,2,FALSE)),0,VLOOKUP($A481,SprintData,2,FALSE))</f>
        <v>0</v>
      </c>
      <c r="N481" s="297">
        <f>IF(ISNA(VLOOKUP($A481,JumpData,2,FALSE)),0,VLOOKUP($A481,JumpData,2,FALSE))</f>
        <v>0</v>
      </c>
      <c r="O481" s="297">
        <f>IF(ISNA(VLOOKUP($A481,RunData,2,FALSE)),0,VLOOKUP($A481,RunData,2,FALSE))</f>
        <v>0</v>
      </c>
      <c r="P481" s="297">
        <f>IF(ISNA(VLOOKUP($A481,ThrowData,2,FALSE)),0,VLOOKUP($A481,ThrowData,2,FALSE))</f>
        <v>0</v>
      </c>
      <c r="Q481" s="298">
        <f>IF(ISNA(VLOOKUP($A481,SprintData,4,FALSE)),0,VLOOKUP($A481,SprintData,4,FALSE))+V481</f>
        <v>0</v>
      </c>
      <c r="R481" s="298">
        <f>IF(ISNA(VLOOKUP($A481,JumpData,4,FALSE)),0,VLOOKUP($A481,JumpData,4,FALSE))+W481</f>
        <v>0</v>
      </c>
      <c r="S481" s="298">
        <f>IF(ISNA(VLOOKUP($A481,RunData,4,FALSE)),0,VLOOKUP($A481,RunData,4,FALSE))+X481</f>
        <v>0</v>
      </c>
      <c r="T481" s="298">
        <f>IF(ISNA(VLOOKUP($A481,ThrowData,4,FALSE)),0,VLOOKUP($A481,ThrowData,4,FALSE))+Y481</f>
        <v>0</v>
      </c>
      <c r="U481" s="299">
        <f t="shared" si="2"/>
        <v>0</v>
      </c>
      <c r="V481">
        <f>IF(AND($F481&gt;0,NOT(M481),Flexing),FlexPC,0)</f>
        <v>0</v>
      </c>
      <c r="W481">
        <f>IF(AND($F481&gt;0,NOT(N481),Flexing),FlexPC,0)</f>
        <v>0</v>
      </c>
      <c r="X481">
        <f>IF(AND($F481&gt;0,NOT(O481),Flexing),FlexPC,0)</f>
        <v>0</v>
      </c>
      <c r="Y481">
        <f>IF(AND($F481&gt;0,NOT(P481),Flexing),FlexPC,0)</f>
        <v>0</v>
      </c>
      <c r="AA481" s="209">
        <f t="shared" si="3"/>
        <v>480</v>
      </c>
    </row>
    <row r="482" ht="15.75" customHeight="1">
      <c r="A482" s="206" t="str">
        <f>+Declarations!A482&amp;""</f>
        <v/>
      </c>
      <c r="B482" t="str">
        <f>IF(LEN($A482),IF(LEN(Declarations!$B482)&gt;0,Declarations!$B482,"#"&amp;$A482),"")</f>
        <v/>
      </c>
      <c r="C482" s="209" t="str">
        <f t="array" ref="C482">IF(LEN(INDEX(DECLARATIONS,$AA482,3))&gt;0,INDEX(DECLARATIONS,$AA482,3),"...")</f>
        <v>...</v>
      </c>
      <c r="D482" s="209" t="str">
        <f t="shared" si="1"/>
        <v/>
      </c>
      <c r="E482" s="296" t="str">
        <f t="array" ref="E482">IF(ISNA($AA482),0,INDEX(DECLARATIONS,$AA482,5))</f>
        <v/>
      </c>
      <c r="F482" s="209" t="str">
        <f t="array" ref="F482">IF(ISNA($AA482),0,INDEX(DECLARATIONS,$AA482,7))</f>
        <v/>
      </c>
      <c r="G482" s="209" t="str">
        <f t="array" ref="G482">UPPER(IF(ISNA($AA482),"",INDEX(DECLARATIONS,$AA482,4)))</f>
        <v/>
      </c>
      <c r="H482" t="str">
        <f>IF(AND(A482&gt;0,ISTEXT(B482)),IF(SECNAME="YES",LEFT(B482&amp;" ",FIND(" ",B482&amp;" ")+2)&amp;IF(F482&gt;0," ("&amp;F482&amp;")",""),B482&amp;IF(F482&gt;0," ("&amp;F482&amp;")","")),"#"&amp;$A482)</f>
        <v/>
      </c>
      <c r="I482" s="209">
        <f>IF(LEN($A482)&gt;0,IF(LEN($J482)&gt;0,MATCH(J482,MatchNames,0),EventIndex),0)</f>
        <v>0</v>
      </c>
      <c r="J482" s="209" t="str">
        <f>IF(LEN($A482)&gt;0,IF(LEN(Declarations!$F482)&gt;0,Declarations!$F482,conftype),"")</f>
        <v/>
      </c>
      <c r="M482" s="297">
        <f>IF(ISNA(VLOOKUP($A482,SprintData,2,FALSE)),0,VLOOKUP($A482,SprintData,2,FALSE))</f>
        <v>0</v>
      </c>
      <c r="N482" s="297">
        <f>IF(ISNA(VLOOKUP($A482,JumpData,2,FALSE)),0,VLOOKUP($A482,JumpData,2,FALSE))</f>
        <v>0</v>
      </c>
      <c r="O482" s="297">
        <f>IF(ISNA(VLOOKUP($A482,RunData,2,FALSE)),0,VLOOKUP($A482,RunData,2,FALSE))</f>
        <v>0</v>
      </c>
      <c r="P482" s="297">
        <f>IF(ISNA(VLOOKUP($A482,ThrowData,2,FALSE)),0,VLOOKUP($A482,ThrowData,2,FALSE))</f>
        <v>0</v>
      </c>
      <c r="Q482" s="298">
        <f>IF(ISNA(VLOOKUP($A482,SprintData,4,FALSE)),0,VLOOKUP($A482,SprintData,4,FALSE))+V482</f>
        <v>0</v>
      </c>
      <c r="R482" s="298">
        <f>IF(ISNA(VLOOKUP($A482,JumpData,4,FALSE)),0,VLOOKUP($A482,JumpData,4,FALSE))+W482</f>
        <v>0</v>
      </c>
      <c r="S482" s="298">
        <f>IF(ISNA(VLOOKUP($A482,RunData,4,FALSE)),0,VLOOKUP($A482,RunData,4,FALSE))+X482</f>
        <v>0</v>
      </c>
      <c r="T482" s="298">
        <f>IF(ISNA(VLOOKUP($A482,ThrowData,4,FALSE)),0,VLOOKUP($A482,ThrowData,4,FALSE))+Y482</f>
        <v>0</v>
      </c>
      <c r="U482" s="299">
        <f t="shared" si="2"/>
        <v>0</v>
      </c>
      <c r="V482">
        <f>IF(AND($F482&gt;0,NOT(M482),Flexing),FlexPC,0)</f>
        <v>0</v>
      </c>
      <c r="W482">
        <f>IF(AND($F482&gt;0,NOT(N482),Flexing),FlexPC,0)</f>
        <v>0</v>
      </c>
      <c r="X482">
        <f>IF(AND($F482&gt;0,NOT(O482),Flexing),FlexPC,0)</f>
        <v>0</v>
      </c>
      <c r="Y482">
        <f>IF(AND($F482&gt;0,NOT(P482),Flexing),FlexPC,0)</f>
        <v>0</v>
      </c>
      <c r="AA482" s="209">
        <f t="shared" si="3"/>
        <v>481</v>
      </c>
    </row>
    <row r="483" ht="15.75" customHeight="1">
      <c r="A483" s="206" t="str">
        <f>+Declarations!A483&amp;""</f>
        <v/>
      </c>
      <c r="B483" t="str">
        <f>IF(LEN($A483),IF(LEN(Declarations!$B483)&gt;0,Declarations!$B483,"#"&amp;$A483),"")</f>
        <v/>
      </c>
      <c r="C483" s="209" t="str">
        <f t="array" ref="C483">IF(LEN(INDEX(DECLARATIONS,$AA483,3))&gt;0,INDEX(DECLARATIONS,$AA483,3),"...")</f>
        <v>...</v>
      </c>
      <c r="D483" s="209" t="str">
        <f t="shared" si="1"/>
        <v/>
      </c>
      <c r="E483" s="296" t="str">
        <f t="array" ref="E483">IF(ISNA($AA483),0,INDEX(DECLARATIONS,$AA483,5))</f>
        <v/>
      </c>
      <c r="F483" s="209" t="str">
        <f t="array" ref="F483">IF(ISNA($AA483),0,INDEX(DECLARATIONS,$AA483,7))</f>
        <v/>
      </c>
      <c r="G483" s="209" t="str">
        <f t="array" ref="G483">UPPER(IF(ISNA($AA483),"",INDEX(DECLARATIONS,$AA483,4)))</f>
        <v/>
      </c>
      <c r="H483" t="str">
        <f>IF(AND(A483&gt;0,ISTEXT(B483)),IF(SECNAME="YES",LEFT(B483&amp;" ",FIND(" ",B483&amp;" ")+2)&amp;IF(F483&gt;0," ("&amp;F483&amp;")",""),B483&amp;IF(F483&gt;0," ("&amp;F483&amp;")","")),"#"&amp;$A483)</f>
        <v/>
      </c>
      <c r="I483" s="209">
        <f>IF(LEN($A483)&gt;0,IF(LEN($J483)&gt;0,MATCH(J483,MatchNames,0),EventIndex),0)</f>
        <v>0</v>
      </c>
      <c r="J483" s="209" t="str">
        <f>IF(LEN($A483)&gt;0,IF(LEN(Declarations!$F483)&gt;0,Declarations!$F483,conftype),"")</f>
        <v/>
      </c>
      <c r="M483" s="297">
        <f>IF(ISNA(VLOOKUP($A483,SprintData,2,FALSE)),0,VLOOKUP($A483,SprintData,2,FALSE))</f>
        <v>0</v>
      </c>
      <c r="N483" s="297">
        <f>IF(ISNA(VLOOKUP($A483,JumpData,2,FALSE)),0,VLOOKUP($A483,JumpData,2,FALSE))</f>
        <v>0</v>
      </c>
      <c r="O483" s="297">
        <f>IF(ISNA(VLOOKUP($A483,RunData,2,FALSE)),0,VLOOKUP($A483,RunData,2,FALSE))</f>
        <v>0</v>
      </c>
      <c r="P483" s="297">
        <f>IF(ISNA(VLOOKUP($A483,ThrowData,2,FALSE)),0,VLOOKUP($A483,ThrowData,2,FALSE))</f>
        <v>0</v>
      </c>
      <c r="Q483" s="298">
        <f>IF(ISNA(VLOOKUP($A483,SprintData,4,FALSE)),0,VLOOKUP($A483,SprintData,4,FALSE))+V483</f>
        <v>0</v>
      </c>
      <c r="R483" s="298">
        <f>IF(ISNA(VLOOKUP($A483,JumpData,4,FALSE)),0,VLOOKUP($A483,JumpData,4,FALSE))+W483</f>
        <v>0</v>
      </c>
      <c r="S483" s="298">
        <f>IF(ISNA(VLOOKUP($A483,RunData,4,FALSE)),0,VLOOKUP($A483,RunData,4,FALSE))+X483</f>
        <v>0</v>
      </c>
      <c r="T483" s="298">
        <f>IF(ISNA(VLOOKUP($A483,ThrowData,4,FALSE)),0,VLOOKUP($A483,ThrowData,4,FALSE))+Y483</f>
        <v>0</v>
      </c>
      <c r="U483" s="299">
        <f t="shared" si="2"/>
        <v>0</v>
      </c>
      <c r="V483">
        <f>IF(AND($F483&gt;0,NOT(M483),Flexing),FlexPC,0)</f>
        <v>0</v>
      </c>
      <c r="W483">
        <f>IF(AND($F483&gt;0,NOT(N483),Flexing),FlexPC,0)</f>
        <v>0</v>
      </c>
      <c r="X483">
        <f>IF(AND($F483&gt;0,NOT(O483),Flexing),FlexPC,0)</f>
        <v>0</v>
      </c>
      <c r="Y483">
        <f>IF(AND($F483&gt;0,NOT(P483),Flexing),FlexPC,0)</f>
        <v>0</v>
      </c>
      <c r="AA483" s="209">
        <f t="shared" si="3"/>
        <v>482</v>
      </c>
    </row>
    <row r="484" ht="15.75" customHeight="1">
      <c r="A484" s="206" t="str">
        <f>+Declarations!A484&amp;""</f>
        <v/>
      </c>
      <c r="B484" t="str">
        <f>IF(LEN($A484),IF(LEN(Declarations!$B484)&gt;0,Declarations!$B484,"#"&amp;$A484),"")</f>
        <v/>
      </c>
      <c r="C484" s="209" t="str">
        <f t="array" ref="C484">IF(LEN(INDEX(DECLARATIONS,$AA484,3))&gt;0,INDEX(DECLARATIONS,$AA484,3),"...")</f>
        <v>...</v>
      </c>
      <c r="D484" s="209" t="str">
        <f t="shared" si="1"/>
        <v/>
      </c>
      <c r="E484" s="296" t="str">
        <f t="array" ref="E484">IF(ISNA($AA484),0,INDEX(DECLARATIONS,$AA484,5))</f>
        <v/>
      </c>
      <c r="F484" s="209" t="str">
        <f t="array" ref="F484">IF(ISNA($AA484),0,INDEX(DECLARATIONS,$AA484,7))</f>
        <v/>
      </c>
      <c r="G484" s="209" t="str">
        <f t="array" ref="G484">UPPER(IF(ISNA($AA484),"",INDEX(DECLARATIONS,$AA484,4)))</f>
        <v/>
      </c>
      <c r="H484" t="str">
        <f>IF(AND(A484&gt;0,ISTEXT(B484)),IF(SECNAME="YES",LEFT(B484&amp;" ",FIND(" ",B484&amp;" ")+2)&amp;IF(F484&gt;0," ("&amp;F484&amp;")",""),B484&amp;IF(F484&gt;0," ("&amp;F484&amp;")","")),"#"&amp;$A484)</f>
        <v/>
      </c>
      <c r="I484" s="209">
        <f>IF(LEN($A484)&gt;0,IF(LEN($J484)&gt;0,MATCH(J484,MatchNames,0),EventIndex),0)</f>
        <v>0</v>
      </c>
      <c r="J484" s="209" t="str">
        <f>IF(LEN($A484)&gt;0,IF(LEN(Declarations!$F484)&gt;0,Declarations!$F484,conftype),"")</f>
        <v/>
      </c>
      <c r="M484" s="297">
        <f>IF(ISNA(VLOOKUP($A484,SprintData,2,FALSE)),0,VLOOKUP($A484,SprintData,2,FALSE))</f>
        <v>0</v>
      </c>
      <c r="N484" s="297">
        <f>IF(ISNA(VLOOKUP($A484,JumpData,2,FALSE)),0,VLOOKUP($A484,JumpData,2,FALSE))</f>
        <v>0</v>
      </c>
      <c r="O484" s="297">
        <f>IF(ISNA(VLOOKUP($A484,RunData,2,FALSE)),0,VLOOKUP($A484,RunData,2,FALSE))</f>
        <v>0</v>
      </c>
      <c r="P484" s="297">
        <f>IF(ISNA(VLOOKUP($A484,ThrowData,2,FALSE)),0,VLOOKUP($A484,ThrowData,2,FALSE))</f>
        <v>0</v>
      </c>
      <c r="Q484" s="298">
        <f>IF(ISNA(VLOOKUP($A484,SprintData,4,FALSE)),0,VLOOKUP($A484,SprintData,4,FALSE))+V484</f>
        <v>0</v>
      </c>
      <c r="R484" s="298">
        <f>IF(ISNA(VLOOKUP($A484,JumpData,4,FALSE)),0,VLOOKUP($A484,JumpData,4,FALSE))+W484</f>
        <v>0</v>
      </c>
      <c r="S484" s="298">
        <f>IF(ISNA(VLOOKUP($A484,RunData,4,FALSE)),0,VLOOKUP($A484,RunData,4,FALSE))+X484</f>
        <v>0</v>
      </c>
      <c r="T484" s="298">
        <f>IF(ISNA(VLOOKUP($A484,ThrowData,4,FALSE)),0,VLOOKUP($A484,ThrowData,4,FALSE))+Y484</f>
        <v>0</v>
      </c>
      <c r="U484" s="299">
        <f t="shared" si="2"/>
        <v>0</v>
      </c>
      <c r="V484">
        <f>IF(AND($F484&gt;0,NOT(M484),Flexing),FlexPC,0)</f>
        <v>0</v>
      </c>
      <c r="W484">
        <f>IF(AND($F484&gt;0,NOT(N484),Flexing),FlexPC,0)</f>
        <v>0</v>
      </c>
      <c r="X484">
        <f>IF(AND($F484&gt;0,NOT(O484),Flexing),FlexPC,0)</f>
        <v>0</v>
      </c>
      <c r="Y484">
        <f>IF(AND($F484&gt;0,NOT(P484),Flexing),FlexPC,0)</f>
        <v>0</v>
      </c>
      <c r="AA484" s="209">
        <f t="shared" si="3"/>
        <v>483</v>
      </c>
    </row>
    <row r="485" ht="15.75" customHeight="1">
      <c r="A485" s="206" t="str">
        <f>+Declarations!A485&amp;""</f>
        <v/>
      </c>
      <c r="B485" t="str">
        <f>IF(LEN($A485),IF(LEN(Declarations!$B485)&gt;0,Declarations!$B485,"#"&amp;$A485),"")</f>
        <v/>
      </c>
      <c r="C485" s="209" t="str">
        <f t="array" ref="C485">IF(LEN(INDEX(DECLARATIONS,$AA485,3))&gt;0,INDEX(DECLARATIONS,$AA485,3),"...")</f>
        <v>...</v>
      </c>
      <c r="D485" s="209" t="str">
        <f t="shared" si="1"/>
        <v/>
      </c>
      <c r="E485" s="296" t="str">
        <f t="array" ref="E485">IF(ISNA($AA485),0,INDEX(DECLARATIONS,$AA485,5))</f>
        <v/>
      </c>
      <c r="F485" s="209" t="str">
        <f t="array" ref="F485">IF(ISNA($AA485),0,INDEX(DECLARATIONS,$AA485,7))</f>
        <v/>
      </c>
      <c r="G485" s="209" t="str">
        <f t="array" ref="G485">UPPER(IF(ISNA($AA485),"",INDEX(DECLARATIONS,$AA485,4)))</f>
        <v/>
      </c>
      <c r="H485" t="str">
        <f>IF(AND(A485&gt;0,ISTEXT(B485)),IF(SECNAME="YES",LEFT(B485&amp;" ",FIND(" ",B485&amp;" ")+2)&amp;IF(F485&gt;0," ("&amp;F485&amp;")",""),B485&amp;IF(F485&gt;0," ("&amp;F485&amp;")","")),"#"&amp;$A485)</f>
        <v/>
      </c>
      <c r="I485" s="209">
        <f>IF(LEN($A485)&gt;0,IF(LEN($J485)&gt;0,MATCH(J485,MatchNames,0),EventIndex),0)</f>
        <v>0</v>
      </c>
      <c r="J485" s="209" t="str">
        <f>IF(LEN($A485)&gt;0,IF(LEN(Declarations!$F485)&gt;0,Declarations!$F485,conftype),"")</f>
        <v/>
      </c>
      <c r="M485" s="297">
        <f>IF(ISNA(VLOOKUP($A485,SprintData,2,FALSE)),0,VLOOKUP($A485,SprintData,2,FALSE))</f>
        <v>0</v>
      </c>
      <c r="N485" s="297">
        <f>IF(ISNA(VLOOKUP($A485,JumpData,2,FALSE)),0,VLOOKUP($A485,JumpData,2,FALSE))</f>
        <v>0</v>
      </c>
      <c r="O485" s="297">
        <f>IF(ISNA(VLOOKUP($A485,RunData,2,FALSE)),0,VLOOKUP($A485,RunData,2,FALSE))</f>
        <v>0</v>
      </c>
      <c r="P485" s="297">
        <f>IF(ISNA(VLOOKUP($A485,ThrowData,2,FALSE)),0,VLOOKUP($A485,ThrowData,2,FALSE))</f>
        <v>0</v>
      </c>
      <c r="Q485" s="298">
        <f>IF(ISNA(VLOOKUP($A485,SprintData,4,FALSE)),0,VLOOKUP($A485,SprintData,4,FALSE))+V485</f>
        <v>0</v>
      </c>
      <c r="R485" s="298">
        <f>IF(ISNA(VLOOKUP($A485,JumpData,4,FALSE)),0,VLOOKUP($A485,JumpData,4,FALSE))+W485</f>
        <v>0</v>
      </c>
      <c r="S485" s="298">
        <f>IF(ISNA(VLOOKUP($A485,RunData,4,FALSE)),0,VLOOKUP($A485,RunData,4,FALSE))+X485</f>
        <v>0</v>
      </c>
      <c r="T485" s="298">
        <f>IF(ISNA(VLOOKUP($A485,ThrowData,4,FALSE)),0,VLOOKUP($A485,ThrowData,4,FALSE))+Y485</f>
        <v>0</v>
      </c>
      <c r="U485" s="299">
        <f t="shared" si="2"/>
        <v>0</v>
      </c>
      <c r="V485">
        <f>IF(AND($F485&gt;0,NOT(M485),Flexing),FlexPC,0)</f>
        <v>0</v>
      </c>
      <c r="W485">
        <f>IF(AND($F485&gt;0,NOT(N485),Flexing),FlexPC,0)</f>
        <v>0</v>
      </c>
      <c r="X485">
        <f>IF(AND($F485&gt;0,NOT(O485),Flexing),FlexPC,0)</f>
        <v>0</v>
      </c>
      <c r="Y485">
        <f>IF(AND($F485&gt;0,NOT(P485),Flexing),FlexPC,0)</f>
        <v>0</v>
      </c>
      <c r="AA485" s="209">
        <f t="shared" si="3"/>
        <v>484</v>
      </c>
    </row>
    <row r="486" ht="15.75" customHeight="1">
      <c r="A486" s="206" t="str">
        <f>+Declarations!A486&amp;""</f>
        <v/>
      </c>
      <c r="B486" t="str">
        <f>IF(LEN($A486),IF(LEN(Declarations!$B486)&gt;0,Declarations!$B486,"#"&amp;$A486),"")</f>
        <v/>
      </c>
      <c r="C486" s="209" t="str">
        <f t="array" ref="C486">IF(LEN(INDEX(DECLARATIONS,$AA486,3))&gt;0,INDEX(DECLARATIONS,$AA486,3),"...")</f>
        <v>...</v>
      </c>
      <c r="D486" s="209" t="str">
        <f t="shared" si="1"/>
        <v/>
      </c>
      <c r="E486" s="296" t="str">
        <f t="array" ref="E486">IF(ISNA($AA486),0,INDEX(DECLARATIONS,$AA486,5))</f>
        <v/>
      </c>
      <c r="F486" s="209" t="str">
        <f t="array" ref="F486">IF(ISNA($AA486),0,INDEX(DECLARATIONS,$AA486,7))</f>
        <v/>
      </c>
      <c r="G486" s="209" t="str">
        <f t="array" ref="G486">UPPER(IF(ISNA($AA486),"",INDEX(DECLARATIONS,$AA486,4)))</f>
        <v/>
      </c>
      <c r="H486" t="str">
        <f>IF(AND(A486&gt;0,ISTEXT(B486)),IF(SECNAME="YES",LEFT(B486&amp;" ",FIND(" ",B486&amp;" ")+2)&amp;IF(F486&gt;0," ("&amp;F486&amp;")",""),B486&amp;IF(F486&gt;0," ("&amp;F486&amp;")","")),"#"&amp;$A486)</f>
        <v/>
      </c>
      <c r="I486" s="209">
        <f>IF(LEN($A486)&gt;0,IF(LEN($J486)&gt;0,MATCH(J486,MatchNames,0),EventIndex),0)</f>
        <v>0</v>
      </c>
      <c r="J486" s="209" t="str">
        <f>IF(LEN($A486)&gt;0,IF(LEN(Declarations!$F486)&gt;0,Declarations!$F486,conftype),"")</f>
        <v/>
      </c>
      <c r="M486" s="297">
        <f>IF(ISNA(VLOOKUP($A486,SprintData,2,FALSE)),0,VLOOKUP($A486,SprintData,2,FALSE))</f>
        <v>0</v>
      </c>
      <c r="N486" s="297">
        <f>IF(ISNA(VLOOKUP($A486,JumpData,2,FALSE)),0,VLOOKUP($A486,JumpData,2,FALSE))</f>
        <v>0</v>
      </c>
      <c r="O486" s="297">
        <f>IF(ISNA(VLOOKUP($A486,RunData,2,FALSE)),0,VLOOKUP($A486,RunData,2,FALSE))</f>
        <v>0</v>
      </c>
      <c r="P486" s="297">
        <f>IF(ISNA(VLOOKUP($A486,ThrowData,2,FALSE)),0,VLOOKUP($A486,ThrowData,2,FALSE))</f>
        <v>0</v>
      </c>
      <c r="Q486" s="298">
        <f>IF(ISNA(VLOOKUP($A486,SprintData,4,FALSE)),0,VLOOKUP($A486,SprintData,4,FALSE))+V486</f>
        <v>0</v>
      </c>
      <c r="R486" s="298">
        <f>IF(ISNA(VLOOKUP($A486,JumpData,4,FALSE)),0,VLOOKUP($A486,JumpData,4,FALSE))+W486</f>
        <v>0</v>
      </c>
      <c r="S486" s="298">
        <f>IF(ISNA(VLOOKUP($A486,RunData,4,FALSE)),0,VLOOKUP($A486,RunData,4,FALSE))+X486</f>
        <v>0</v>
      </c>
      <c r="T486" s="298">
        <f>IF(ISNA(VLOOKUP($A486,ThrowData,4,FALSE)),0,VLOOKUP($A486,ThrowData,4,FALSE))+Y486</f>
        <v>0</v>
      </c>
      <c r="U486" s="299">
        <f t="shared" si="2"/>
        <v>0</v>
      </c>
      <c r="V486">
        <f>IF(AND($F486&gt;0,NOT(M486),Flexing),FlexPC,0)</f>
        <v>0</v>
      </c>
      <c r="W486">
        <f>IF(AND($F486&gt;0,NOT(N486),Flexing),FlexPC,0)</f>
        <v>0</v>
      </c>
      <c r="X486">
        <f>IF(AND($F486&gt;0,NOT(O486),Flexing),FlexPC,0)</f>
        <v>0</v>
      </c>
      <c r="Y486">
        <f>IF(AND($F486&gt;0,NOT(P486),Flexing),FlexPC,0)</f>
        <v>0</v>
      </c>
      <c r="AA486" s="209">
        <f t="shared" si="3"/>
        <v>485</v>
      </c>
    </row>
    <row r="487" ht="15.75" customHeight="1">
      <c r="A487" s="206" t="str">
        <f>+Declarations!A487&amp;""</f>
        <v/>
      </c>
      <c r="B487" t="str">
        <f>IF(LEN($A487),IF(LEN(Declarations!$B487)&gt;0,Declarations!$B487,"#"&amp;$A487),"")</f>
        <v/>
      </c>
      <c r="C487" s="209" t="str">
        <f t="array" ref="C487">IF(LEN(INDEX(DECLARATIONS,$AA487,3))&gt;0,INDEX(DECLARATIONS,$AA487,3),"...")</f>
        <v>...</v>
      </c>
      <c r="D487" s="209" t="str">
        <f t="shared" si="1"/>
        <v/>
      </c>
      <c r="E487" s="296" t="str">
        <f t="array" ref="E487">IF(ISNA($AA487),0,INDEX(DECLARATIONS,$AA487,5))</f>
        <v/>
      </c>
      <c r="F487" s="209" t="str">
        <f t="array" ref="F487">IF(ISNA($AA487),0,INDEX(DECLARATIONS,$AA487,7))</f>
        <v/>
      </c>
      <c r="G487" s="209" t="str">
        <f t="array" ref="G487">UPPER(IF(ISNA($AA487),"",INDEX(DECLARATIONS,$AA487,4)))</f>
        <v/>
      </c>
      <c r="H487" t="str">
        <f>IF(AND(A487&gt;0,ISTEXT(B487)),IF(SECNAME="YES",LEFT(B487&amp;" ",FIND(" ",B487&amp;" ")+2)&amp;IF(F487&gt;0," ("&amp;F487&amp;")",""),B487&amp;IF(F487&gt;0," ("&amp;F487&amp;")","")),"#"&amp;$A487)</f>
        <v/>
      </c>
      <c r="I487" s="209">
        <f>IF(LEN($A487)&gt;0,IF(LEN($J487)&gt;0,MATCH(J487,MatchNames,0),EventIndex),0)</f>
        <v>0</v>
      </c>
      <c r="J487" s="209" t="str">
        <f>IF(LEN($A487)&gt;0,IF(LEN(Declarations!$F487)&gt;0,Declarations!$F487,conftype),"")</f>
        <v/>
      </c>
      <c r="M487" s="297">
        <f>IF(ISNA(VLOOKUP($A487,SprintData,2,FALSE)),0,VLOOKUP($A487,SprintData,2,FALSE))</f>
        <v>0</v>
      </c>
      <c r="N487" s="297">
        <f>IF(ISNA(VLOOKUP($A487,JumpData,2,FALSE)),0,VLOOKUP($A487,JumpData,2,FALSE))</f>
        <v>0</v>
      </c>
      <c r="O487" s="297">
        <f>IF(ISNA(VLOOKUP($A487,RunData,2,FALSE)),0,VLOOKUP($A487,RunData,2,FALSE))</f>
        <v>0</v>
      </c>
      <c r="P487" s="297">
        <f>IF(ISNA(VLOOKUP($A487,ThrowData,2,FALSE)),0,VLOOKUP($A487,ThrowData,2,FALSE))</f>
        <v>0</v>
      </c>
      <c r="Q487" s="298">
        <f>IF(ISNA(VLOOKUP($A487,SprintData,4,FALSE)),0,VLOOKUP($A487,SprintData,4,FALSE))+V487</f>
        <v>0</v>
      </c>
      <c r="R487" s="298">
        <f>IF(ISNA(VLOOKUP($A487,JumpData,4,FALSE)),0,VLOOKUP($A487,JumpData,4,FALSE))+W487</f>
        <v>0</v>
      </c>
      <c r="S487" s="298">
        <f>IF(ISNA(VLOOKUP($A487,RunData,4,FALSE)),0,VLOOKUP($A487,RunData,4,FALSE))+X487</f>
        <v>0</v>
      </c>
      <c r="T487" s="298">
        <f>IF(ISNA(VLOOKUP($A487,ThrowData,4,FALSE)),0,VLOOKUP($A487,ThrowData,4,FALSE))+Y487</f>
        <v>0</v>
      </c>
      <c r="U487" s="299">
        <f t="shared" si="2"/>
        <v>0</v>
      </c>
      <c r="V487">
        <f>IF(AND($F487&gt;0,NOT(M487),Flexing),FlexPC,0)</f>
        <v>0</v>
      </c>
      <c r="W487">
        <f>IF(AND($F487&gt;0,NOT(N487),Flexing),FlexPC,0)</f>
        <v>0</v>
      </c>
      <c r="X487">
        <f>IF(AND($F487&gt;0,NOT(O487),Flexing),FlexPC,0)</f>
        <v>0</v>
      </c>
      <c r="Y487">
        <f>IF(AND($F487&gt;0,NOT(P487),Flexing),FlexPC,0)</f>
        <v>0</v>
      </c>
      <c r="AA487" s="209">
        <f t="shared" si="3"/>
        <v>486</v>
      </c>
    </row>
    <row r="488" ht="15.75" customHeight="1">
      <c r="A488" s="206" t="str">
        <f>+Declarations!A488&amp;""</f>
        <v/>
      </c>
      <c r="B488" t="str">
        <f>IF(LEN($A488),IF(LEN(Declarations!$B488)&gt;0,Declarations!$B488,"#"&amp;$A488),"")</f>
        <v/>
      </c>
      <c r="C488" s="209" t="str">
        <f t="array" ref="C488">IF(LEN(INDEX(DECLARATIONS,$AA488,3))&gt;0,INDEX(DECLARATIONS,$AA488,3),"...")</f>
        <v>...</v>
      </c>
      <c r="D488" s="209" t="str">
        <f t="shared" si="1"/>
        <v/>
      </c>
      <c r="E488" s="296" t="str">
        <f t="array" ref="E488">IF(ISNA($AA488),0,INDEX(DECLARATIONS,$AA488,5))</f>
        <v/>
      </c>
      <c r="F488" s="209" t="str">
        <f t="array" ref="F488">IF(ISNA($AA488),0,INDEX(DECLARATIONS,$AA488,7))</f>
        <v/>
      </c>
      <c r="G488" s="209" t="str">
        <f t="array" ref="G488">UPPER(IF(ISNA($AA488),"",INDEX(DECLARATIONS,$AA488,4)))</f>
        <v/>
      </c>
      <c r="H488" t="str">
        <f>IF(AND(A488&gt;0,ISTEXT(B488)),IF(SECNAME="YES",LEFT(B488&amp;" ",FIND(" ",B488&amp;" ")+2)&amp;IF(F488&gt;0," ("&amp;F488&amp;")",""),B488&amp;IF(F488&gt;0," ("&amp;F488&amp;")","")),"#"&amp;$A488)</f>
        <v/>
      </c>
      <c r="I488" s="209">
        <f>IF(LEN($A488)&gt;0,IF(LEN($J488)&gt;0,MATCH(J488,MatchNames,0),EventIndex),0)</f>
        <v>0</v>
      </c>
      <c r="J488" s="209" t="str">
        <f>IF(LEN($A488)&gt;0,IF(LEN(Declarations!$F488)&gt;0,Declarations!$F488,conftype),"")</f>
        <v/>
      </c>
      <c r="M488" s="297">
        <f>IF(ISNA(VLOOKUP($A488,SprintData,2,FALSE)),0,VLOOKUP($A488,SprintData,2,FALSE))</f>
        <v>0</v>
      </c>
      <c r="N488" s="297">
        <f>IF(ISNA(VLOOKUP($A488,JumpData,2,FALSE)),0,VLOOKUP($A488,JumpData,2,FALSE))</f>
        <v>0</v>
      </c>
      <c r="O488" s="297">
        <f>IF(ISNA(VLOOKUP($A488,RunData,2,FALSE)),0,VLOOKUP($A488,RunData,2,FALSE))</f>
        <v>0</v>
      </c>
      <c r="P488" s="297">
        <f>IF(ISNA(VLOOKUP($A488,ThrowData,2,FALSE)),0,VLOOKUP($A488,ThrowData,2,FALSE))</f>
        <v>0</v>
      </c>
      <c r="Q488" s="298">
        <f>IF(ISNA(VLOOKUP($A488,SprintData,4,FALSE)),0,VLOOKUP($A488,SprintData,4,FALSE))+V488</f>
        <v>0</v>
      </c>
      <c r="R488" s="298">
        <f>IF(ISNA(VLOOKUP($A488,JumpData,4,FALSE)),0,VLOOKUP($A488,JumpData,4,FALSE))+W488</f>
        <v>0</v>
      </c>
      <c r="S488" s="298">
        <f>IF(ISNA(VLOOKUP($A488,RunData,4,FALSE)),0,VLOOKUP($A488,RunData,4,FALSE))+X488</f>
        <v>0</v>
      </c>
      <c r="T488" s="298">
        <f>IF(ISNA(VLOOKUP($A488,ThrowData,4,FALSE)),0,VLOOKUP($A488,ThrowData,4,FALSE))+Y488</f>
        <v>0</v>
      </c>
      <c r="U488" s="299">
        <f t="shared" si="2"/>
        <v>0</v>
      </c>
      <c r="V488">
        <f>IF(AND($F488&gt;0,NOT(M488),Flexing),FlexPC,0)</f>
        <v>0</v>
      </c>
      <c r="W488">
        <f>IF(AND($F488&gt;0,NOT(N488),Flexing),FlexPC,0)</f>
        <v>0</v>
      </c>
      <c r="X488">
        <f>IF(AND($F488&gt;0,NOT(O488),Flexing),FlexPC,0)</f>
        <v>0</v>
      </c>
      <c r="Y488">
        <f>IF(AND($F488&gt;0,NOT(P488),Flexing),FlexPC,0)</f>
        <v>0</v>
      </c>
      <c r="AA488" s="209">
        <f t="shared" si="3"/>
        <v>487</v>
      </c>
    </row>
    <row r="489" ht="15.75" customHeight="1">
      <c r="A489" s="206" t="str">
        <f>+Declarations!A489&amp;""</f>
        <v/>
      </c>
      <c r="B489" t="str">
        <f>IF(LEN($A489),IF(LEN(Declarations!$B489)&gt;0,Declarations!$B489,"#"&amp;$A489),"")</f>
        <v/>
      </c>
      <c r="C489" s="209" t="str">
        <f t="array" ref="C489">IF(LEN(INDEX(DECLARATIONS,$AA489,3))&gt;0,INDEX(DECLARATIONS,$AA489,3),"...")</f>
        <v>...</v>
      </c>
      <c r="D489" s="209" t="str">
        <f t="shared" si="1"/>
        <v/>
      </c>
      <c r="E489" s="296" t="str">
        <f t="array" ref="E489">IF(ISNA($AA489),0,INDEX(DECLARATIONS,$AA489,5))</f>
        <v/>
      </c>
      <c r="F489" s="209" t="str">
        <f t="array" ref="F489">IF(ISNA($AA489),0,INDEX(DECLARATIONS,$AA489,7))</f>
        <v/>
      </c>
      <c r="G489" s="209" t="str">
        <f t="array" ref="G489">UPPER(IF(ISNA($AA489),"",INDEX(DECLARATIONS,$AA489,4)))</f>
        <v/>
      </c>
      <c r="H489" t="str">
        <f>IF(AND(A489&gt;0,ISTEXT(B489)),IF(SECNAME="YES",LEFT(B489&amp;" ",FIND(" ",B489&amp;" ")+2)&amp;IF(F489&gt;0," ("&amp;F489&amp;")",""),B489&amp;IF(F489&gt;0," ("&amp;F489&amp;")","")),"#"&amp;$A489)</f>
        <v/>
      </c>
      <c r="I489" s="209">
        <f>IF(LEN($A489)&gt;0,IF(LEN($J489)&gt;0,MATCH(J489,MatchNames,0),EventIndex),0)</f>
        <v>0</v>
      </c>
      <c r="J489" s="209" t="str">
        <f>IF(LEN($A489)&gt;0,IF(LEN(Declarations!$F489)&gt;0,Declarations!$F489,conftype),"")</f>
        <v/>
      </c>
      <c r="M489" s="297">
        <f>IF(ISNA(VLOOKUP($A489,SprintData,2,FALSE)),0,VLOOKUP($A489,SprintData,2,FALSE))</f>
        <v>0</v>
      </c>
      <c r="N489" s="297">
        <f>IF(ISNA(VLOOKUP($A489,JumpData,2,FALSE)),0,VLOOKUP($A489,JumpData,2,FALSE))</f>
        <v>0</v>
      </c>
      <c r="O489" s="297">
        <f>IF(ISNA(VLOOKUP($A489,RunData,2,FALSE)),0,VLOOKUP($A489,RunData,2,FALSE))</f>
        <v>0</v>
      </c>
      <c r="P489" s="297">
        <f>IF(ISNA(VLOOKUP($A489,ThrowData,2,FALSE)),0,VLOOKUP($A489,ThrowData,2,FALSE))</f>
        <v>0</v>
      </c>
      <c r="Q489" s="298">
        <f>IF(ISNA(VLOOKUP($A489,SprintData,4,FALSE)),0,VLOOKUP($A489,SprintData,4,FALSE))+V489</f>
        <v>0</v>
      </c>
      <c r="R489" s="298">
        <f>IF(ISNA(VLOOKUP($A489,JumpData,4,FALSE)),0,VLOOKUP($A489,JumpData,4,FALSE))+W489</f>
        <v>0</v>
      </c>
      <c r="S489" s="298">
        <f>IF(ISNA(VLOOKUP($A489,RunData,4,FALSE)),0,VLOOKUP($A489,RunData,4,FALSE))+X489</f>
        <v>0</v>
      </c>
      <c r="T489" s="298">
        <f>IF(ISNA(VLOOKUP($A489,ThrowData,4,FALSE)),0,VLOOKUP($A489,ThrowData,4,FALSE))+Y489</f>
        <v>0</v>
      </c>
      <c r="U489" s="299">
        <f t="shared" si="2"/>
        <v>0</v>
      </c>
      <c r="V489">
        <f>IF(AND($F489&gt;0,NOT(M489),Flexing),FlexPC,0)</f>
        <v>0</v>
      </c>
      <c r="W489">
        <f>IF(AND($F489&gt;0,NOT(N489),Flexing),FlexPC,0)</f>
        <v>0</v>
      </c>
      <c r="X489">
        <f>IF(AND($F489&gt;0,NOT(O489),Flexing),FlexPC,0)</f>
        <v>0</v>
      </c>
      <c r="Y489">
        <f>IF(AND($F489&gt;0,NOT(P489),Flexing),FlexPC,0)</f>
        <v>0</v>
      </c>
      <c r="AA489" s="209">
        <f t="shared" si="3"/>
        <v>488</v>
      </c>
    </row>
    <row r="490" ht="15.75" customHeight="1">
      <c r="A490" s="206" t="str">
        <f>+Declarations!A490&amp;""</f>
        <v/>
      </c>
      <c r="B490" t="str">
        <f>IF(LEN($A490),IF(LEN(Declarations!$B490)&gt;0,Declarations!$B490,"#"&amp;$A490),"")</f>
        <v/>
      </c>
      <c r="C490" s="209" t="str">
        <f t="array" ref="C490">IF(LEN(INDEX(DECLARATIONS,$AA490,3))&gt;0,INDEX(DECLARATIONS,$AA490,3),"...")</f>
        <v>...</v>
      </c>
      <c r="D490" s="209" t="str">
        <f t="shared" si="1"/>
        <v/>
      </c>
      <c r="E490" s="296" t="str">
        <f t="array" ref="E490">IF(ISNA($AA490),0,INDEX(DECLARATIONS,$AA490,5))</f>
        <v/>
      </c>
      <c r="F490" s="209" t="str">
        <f t="array" ref="F490">IF(ISNA($AA490),0,INDEX(DECLARATIONS,$AA490,7))</f>
        <v/>
      </c>
      <c r="G490" s="209" t="str">
        <f t="array" ref="G490">UPPER(IF(ISNA($AA490),"",INDEX(DECLARATIONS,$AA490,4)))</f>
        <v/>
      </c>
      <c r="H490" t="str">
        <f>IF(AND(A490&gt;0,ISTEXT(B490)),IF(SECNAME="YES",LEFT(B490&amp;" ",FIND(" ",B490&amp;" ")+2)&amp;IF(F490&gt;0," ("&amp;F490&amp;")",""),B490&amp;IF(F490&gt;0," ("&amp;F490&amp;")","")),"#"&amp;$A490)</f>
        <v/>
      </c>
      <c r="I490" s="209">
        <f>IF(LEN($A490)&gt;0,IF(LEN($J490)&gt;0,MATCH(J490,MatchNames,0),EventIndex),0)</f>
        <v>0</v>
      </c>
      <c r="J490" s="209" t="str">
        <f>IF(LEN($A490)&gt;0,IF(LEN(Declarations!$F490)&gt;0,Declarations!$F490,conftype),"")</f>
        <v/>
      </c>
      <c r="M490" s="297">
        <f>IF(ISNA(VLOOKUP($A490,SprintData,2,FALSE)),0,VLOOKUP($A490,SprintData,2,FALSE))</f>
        <v>0</v>
      </c>
      <c r="N490" s="297">
        <f>IF(ISNA(VLOOKUP($A490,JumpData,2,FALSE)),0,VLOOKUP($A490,JumpData,2,FALSE))</f>
        <v>0</v>
      </c>
      <c r="O490" s="297">
        <f>IF(ISNA(VLOOKUP($A490,RunData,2,FALSE)),0,VLOOKUP($A490,RunData,2,FALSE))</f>
        <v>0</v>
      </c>
      <c r="P490" s="297">
        <f>IF(ISNA(VLOOKUP($A490,ThrowData,2,FALSE)),0,VLOOKUP($A490,ThrowData,2,FALSE))</f>
        <v>0</v>
      </c>
      <c r="Q490" s="298">
        <f>IF(ISNA(VLOOKUP($A490,SprintData,4,FALSE)),0,VLOOKUP($A490,SprintData,4,FALSE))+V490</f>
        <v>0</v>
      </c>
      <c r="R490" s="298">
        <f>IF(ISNA(VLOOKUP($A490,JumpData,4,FALSE)),0,VLOOKUP($A490,JumpData,4,FALSE))+W490</f>
        <v>0</v>
      </c>
      <c r="S490" s="298">
        <f>IF(ISNA(VLOOKUP($A490,RunData,4,FALSE)),0,VLOOKUP($A490,RunData,4,FALSE))+X490</f>
        <v>0</v>
      </c>
      <c r="T490" s="298">
        <f>IF(ISNA(VLOOKUP($A490,ThrowData,4,FALSE)),0,VLOOKUP($A490,ThrowData,4,FALSE))+Y490</f>
        <v>0</v>
      </c>
      <c r="U490" s="299">
        <f t="shared" si="2"/>
        <v>0</v>
      </c>
      <c r="V490">
        <f>IF(AND($F490&gt;0,NOT(M490),Flexing),FlexPC,0)</f>
        <v>0</v>
      </c>
      <c r="W490">
        <f>IF(AND($F490&gt;0,NOT(N490),Flexing),FlexPC,0)</f>
        <v>0</v>
      </c>
      <c r="X490">
        <f>IF(AND($F490&gt;0,NOT(O490),Flexing),FlexPC,0)</f>
        <v>0</v>
      </c>
      <c r="Y490">
        <f>IF(AND($F490&gt;0,NOT(P490),Flexing),FlexPC,0)</f>
        <v>0</v>
      </c>
      <c r="AA490" s="209">
        <f t="shared" si="3"/>
        <v>489</v>
      </c>
    </row>
    <row r="491" ht="15.75" customHeight="1">
      <c r="A491" s="206" t="str">
        <f>+Declarations!A491&amp;""</f>
        <v/>
      </c>
      <c r="B491" t="str">
        <f>IF(LEN($A491),IF(LEN(Declarations!$B491)&gt;0,Declarations!$B491,"#"&amp;$A491),"")</f>
        <v/>
      </c>
      <c r="C491" s="209" t="str">
        <f t="array" ref="C491">IF(LEN(INDEX(DECLARATIONS,$AA491,3))&gt;0,INDEX(DECLARATIONS,$AA491,3),"...")</f>
        <v>...</v>
      </c>
      <c r="D491" s="209" t="str">
        <f t="shared" si="1"/>
        <v/>
      </c>
      <c r="E491" s="296" t="str">
        <f t="array" ref="E491">IF(ISNA($AA491),0,INDEX(DECLARATIONS,$AA491,5))</f>
        <v/>
      </c>
      <c r="F491" s="209" t="str">
        <f t="array" ref="F491">IF(ISNA($AA491),0,INDEX(DECLARATIONS,$AA491,7))</f>
        <v/>
      </c>
      <c r="G491" s="209" t="str">
        <f t="array" ref="G491">UPPER(IF(ISNA($AA491),"",INDEX(DECLARATIONS,$AA491,4)))</f>
        <v/>
      </c>
      <c r="H491" t="str">
        <f>IF(AND(A491&gt;0,ISTEXT(B491)),IF(SECNAME="YES",LEFT(B491&amp;" ",FIND(" ",B491&amp;" ")+2)&amp;IF(F491&gt;0," ("&amp;F491&amp;")",""),B491&amp;IF(F491&gt;0," ("&amp;F491&amp;")","")),"#"&amp;$A491)</f>
        <v/>
      </c>
      <c r="I491" s="209">
        <f>IF(LEN($A491)&gt;0,IF(LEN($J491)&gt;0,MATCH(J491,MatchNames,0),EventIndex),0)</f>
        <v>0</v>
      </c>
      <c r="J491" s="209" t="str">
        <f>IF(LEN($A491)&gt;0,IF(LEN(Declarations!$F491)&gt;0,Declarations!$F491,conftype),"")</f>
        <v/>
      </c>
      <c r="M491" s="297">
        <f>IF(ISNA(VLOOKUP($A491,SprintData,2,FALSE)),0,VLOOKUP($A491,SprintData,2,FALSE))</f>
        <v>0</v>
      </c>
      <c r="N491" s="297">
        <f>IF(ISNA(VLOOKUP($A491,JumpData,2,FALSE)),0,VLOOKUP($A491,JumpData,2,FALSE))</f>
        <v>0</v>
      </c>
      <c r="O491" s="297">
        <f>IF(ISNA(VLOOKUP($A491,RunData,2,FALSE)),0,VLOOKUP($A491,RunData,2,FALSE))</f>
        <v>0</v>
      </c>
      <c r="P491" s="297">
        <f>IF(ISNA(VLOOKUP($A491,ThrowData,2,FALSE)),0,VLOOKUP($A491,ThrowData,2,FALSE))</f>
        <v>0</v>
      </c>
      <c r="Q491" s="298">
        <f>IF(ISNA(VLOOKUP($A491,SprintData,4,FALSE)),0,VLOOKUP($A491,SprintData,4,FALSE))+V491</f>
        <v>0</v>
      </c>
      <c r="R491" s="298">
        <f>IF(ISNA(VLOOKUP($A491,JumpData,4,FALSE)),0,VLOOKUP($A491,JumpData,4,FALSE))+W491</f>
        <v>0</v>
      </c>
      <c r="S491" s="298">
        <f>IF(ISNA(VLOOKUP($A491,RunData,4,FALSE)),0,VLOOKUP($A491,RunData,4,FALSE))+X491</f>
        <v>0</v>
      </c>
      <c r="T491" s="298">
        <f>IF(ISNA(VLOOKUP($A491,ThrowData,4,FALSE)),0,VLOOKUP($A491,ThrowData,4,FALSE))+Y491</f>
        <v>0</v>
      </c>
      <c r="U491" s="299">
        <f t="shared" si="2"/>
        <v>0</v>
      </c>
      <c r="V491">
        <f>IF(AND($F491&gt;0,NOT(M491),Flexing),FlexPC,0)</f>
        <v>0</v>
      </c>
      <c r="W491">
        <f>IF(AND($F491&gt;0,NOT(N491),Flexing),FlexPC,0)</f>
        <v>0</v>
      </c>
      <c r="X491">
        <f>IF(AND($F491&gt;0,NOT(O491),Flexing),FlexPC,0)</f>
        <v>0</v>
      </c>
      <c r="Y491">
        <f>IF(AND($F491&gt;0,NOT(P491),Flexing),FlexPC,0)</f>
        <v>0</v>
      </c>
      <c r="AA491" s="209">
        <f t="shared" si="3"/>
        <v>490</v>
      </c>
    </row>
    <row r="492" ht="15.75" customHeight="1">
      <c r="A492" s="206" t="str">
        <f>+Declarations!A492&amp;""</f>
        <v/>
      </c>
      <c r="B492" t="str">
        <f>IF(LEN($A492),IF(LEN(Declarations!$B492)&gt;0,Declarations!$B492,"#"&amp;$A492),"")</f>
        <v/>
      </c>
      <c r="C492" s="209" t="str">
        <f t="array" ref="C492">IF(LEN(INDEX(DECLARATIONS,$AA492,3))&gt;0,INDEX(DECLARATIONS,$AA492,3),"...")</f>
        <v>...</v>
      </c>
      <c r="D492" s="209" t="str">
        <f t="shared" si="1"/>
        <v/>
      </c>
      <c r="E492" s="296" t="str">
        <f t="array" ref="E492">IF(ISNA($AA492),0,INDEX(DECLARATIONS,$AA492,5))</f>
        <v/>
      </c>
      <c r="F492" s="209" t="str">
        <f t="array" ref="F492">IF(ISNA($AA492),0,INDEX(DECLARATIONS,$AA492,7))</f>
        <v/>
      </c>
      <c r="G492" s="209" t="str">
        <f t="array" ref="G492">UPPER(IF(ISNA($AA492),"",INDEX(DECLARATIONS,$AA492,4)))</f>
        <v/>
      </c>
      <c r="H492" t="str">
        <f>IF(AND(A492&gt;0,ISTEXT(B492)),IF(SECNAME="YES",LEFT(B492&amp;" ",FIND(" ",B492&amp;" ")+2)&amp;IF(F492&gt;0," ("&amp;F492&amp;")",""),B492&amp;IF(F492&gt;0," ("&amp;F492&amp;")","")),"#"&amp;$A492)</f>
        <v/>
      </c>
      <c r="I492" s="209">
        <f>IF(LEN($A492)&gt;0,IF(LEN($J492)&gt;0,MATCH(J492,MatchNames,0),EventIndex),0)</f>
        <v>0</v>
      </c>
      <c r="J492" s="209" t="str">
        <f>IF(LEN($A492)&gt;0,IF(LEN(Declarations!$F492)&gt;0,Declarations!$F492,conftype),"")</f>
        <v/>
      </c>
      <c r="M492" s="297">
        <f>IF(ISNA(VLOOKUP($A492,SprintData,2,FALSE)),0,VLOOKUP($A492,SprintData,2,FALSE))</f>
        <v>0</v>
      </c>
      <c r="N492" s="297">
        <f>IF(ISNA(VLOOKUP($A492,JumpData,2,FALSE)),0,VLOOKUP($A492,JumpData,2,FALSE))</f>
        <v>0</v>
      </c>
      <c r="O492" s="297">
        <f>IF(ISNA(VLOOKUP($A492,RunData,2,FALSE)),0,VLOOKUP($A492,RunData,2,FALSE))</f>
        <v>0</v>
      </c>
      <c r="P492" s="297">
        <f>IF(ISNA(VLOOKUP($A492,ThrowData,2,FALSE)),0,VLOOKUP($A492,ThrowData,2,FALSE))</f>
        <v>0</v>
      </c>
      <c r="Q492" s="298">
        <f>IF(ISNA(VLOOKUP($A492,SprintData,4,FALSE)),0,VLOOKUP($A492,SprintData,4,FALSE))+V492</f>
        <v>0</v>
      </c>
      <c r="R492" s="298">
        <f>IF(ISNA(VLOOKUP($A492,JumpData,4,FALSE)),0,VLOOKUP($A492,JumpData,4,FALSE))+W492</f>
        <v>0</v>
      </c>
      <c r="S492" s="298">
        <f>IF(ISNA(VLOOKUP($A492,RunData,4,FALSE)),0,VLOOKUP($A492,RunData,4,FALSE))+X492</f>
        <v>0</v>
      </c>
      <c r="T492" s="298">
        <f>IF(ISNA(VLOOKUP($A492,ThrowData,4,FALSE)),0,VLOOKUP($A492,ThrowData,4,FALSE))+Y492</f>
        <v>0</v>
      </c>
      <c r="U492" s="299">
        <f t="shared" si="2"/>
        <v>0</v>
      </c>
      <c r="V492">
        <f>IF(AND($F492&gt;0,NOT(M492),Flexing),FlexPC,0)</f>
        <v>0</v>
      </c>
      <c r="W492">
        <f>IF(AND($F492&gt;0,NOT(N492),Flexing),FlexPC,0)</f>
        <v>0</v>
      </c>
      <c r="X492">
        <f>IF(AND($F492&gt;0,NOT(O492),Flexing),FlexPC,0)</f>
        <v>0</v>
      </c>
      <c r="Y492">
        <f>IF(AND($F492&gt;0,NOT(P492),Flexing),FlexPC,0)</f>
        <v>0</v>
      </c>
      <c r="AA492" s="209">
        <f t="shared" si="3"/>
        <v>491</v>
      </c>
    </row>
    <row r="493" ht="15.75" customHeight="1">
      <c r="A493" s="206" t="str">
        <f>+Declarations!A493&amp;""</f>
        <v/>
      </c>
      <c r="B493" t="str">
        <f>IF(LEN($A493),IF(LEN(Declarations!$B493)&gt;0,Declarations!$B493,"#"&amp;$A493),"")</f>
        <v/>
      </c>
      <c r="C493" s="209" t="str">
        <f t="array" ref="C493">IF(LEN(INDEX(DECLARATIONS,$AA493,3))&gt;0,INDEX(DECLARATIONS,$AA493,3),"...")</f>
        <v>...</v>
      </c>
      <c r="D493" s="209" t="str">
        <f t="shared" si="1"/>
        <v/>
      </c>
      <c r="E493" s="296" t="str">
        <f t="array" ref="E493">IF(ISNA($AA493),0,INDEX(DECLARATIONS,$AA493,5))</f>
        <v/>
      </c>
      <c r="F493" s="209" t="str">
        <f t="array" ref="F493">IF(ISNA($AA493),0,INDEX(DECLARATIONS,$AA493,7))</f>
        <v/>
      </c>
      <c r="G493" s="209" t="str">
        <f t="array" ref="G493">UPPER(IF(ISNA($AA493),"",INDEX(DECLARATIONS,$AA493,4)))</f>
        <v/>
      </c>
      <c r="H493" t="str">
        <f>IF(AND(A493&gt;0,ISTEXT(B493)),IF(SECNAME="YES",LEFT(B493&amp;" ",FIND(" ",B493&amp;" ")+2)&amp;IF(F493&gt;0," ("&amp;F493&amp;")",""),B493&amp;IF(F493&gt;0," ("&amp;F493&amp;")","")),"#"&amp;$A493)</f>
        <v/>
      </c>
      <c r="I493" s="209">
        <f>IF(LEN($A493)&gt;0,IF(LEN($J493)&gt;0,MATCH(J493,MatchNames,0),EventIndex),0)</f>
        <v>0</v>
      </c>
      <c r="J493" s="209" t="str">
        <f>IF(LEN($A493)&gt;0,IF(LEN(Declarations!$F493)&gt;0,Declarations!$F493,conftype),"")</f>
        <v/>
      </c>
      <c r="M493" s="297">
        <f>IF(ISNA(VLOOKUP($A493,SprintData,2,FALSE)),0,VLOOKUP($A493,SprintData,2,FALSE))</f>
        <v>0</v>
      </c>
      <c r="N493" s="297">
        <f>IF(ISNA(VLOOKUP($A493,JumpData,2,FALSE)),0,VLOOKUP($A493,JumpData,2,FALSE))</f>
        <v>0</v>
      </c>
      <c r="O493" s="297">
        <f>IF(ISNA(VLOOKUP($A493,RunData,2,FALSE)),0,VLOOKUP($A493,RunData,2,FALSE))</f>
        <v>0</v>
      </c>
      <c r="P493" s="297">
        <f>IF(ISNA(VLOOKUP($A493,ThrowData,2,FALSE)),0,VLOOKUP($A493,ThrowData,2,FALSE))</f>
        <v>0</v>
      </c>
      <c r="Q493" s="298">
        <f>IF(ISNA(VLOOKUP($A493,SprintData,4,FALSE)),0,VLOOKUP($A493,SprintData,4,FALSE))+V493</f>
        <v>0</v>
      </c>
      <c r="R493" s="298">
        <f>IF(ISNA(VLOOKUP($A493,JumpData,4,FALSE)),0,VLOOKUP($A493,JumpData,4,FALSE))+W493</f>
        <v>0</v>
      </c>
      <c r="S493" s="298">
        <f>IF(ISNA(VLOOKUP($A493,RunData,4,FALSE)),0,VLOOKUP($A493,RunData,4,FALSE))+X493</f>
        <v>0</v>
      </c>
      <c r="T493" s="298">
        <f>IF(ISNA(VLOOKUP($A493,ThrowData,4,FALSE)),0,VLOOKUP($A493,ThrowData,4,FALSE))+Y493</f>
        <v>0</v>
      </c>
      <c r="U493" s="299">
        <f t="shared" si="2"/>
        <v>0</v>
      </c>
      <c r="V493">
        <f>IF(AND($F493&gt;0,NOT(M493),Flexing),FlexPC,0)</f>
        <v>0</v>
      </c>
      <c r="W493">
        <f>IF(AND($F493&gt;0,NOT(N493),Flexing),FlexPC,0)</f>
        <v>0</v>
      </c>
      <c r="X493">
        <f>IF(AND($F493&gt;0,NOT(O493),Flexing),FlexPC,0)</f>
        <v>0</v>
      </c>
      <c r="Y493">
        <f>IF(AND($F493&gt;0,NOT(P493),Flexing),FlexPC,0)</f>
        <v>0</v>
      </c>
      <c r="AA493" s="209">
        <f t="shared" si="3"/>
        <v>492</v>
      </c>
    </row>
    <row r="494" ht="15.75" customHeight="1">
      <c r="A494" s="206" t="str">
        <f>+Declarations!A494&amp;""</f>
        <v/>
      </c>
      <c r="B494" t="str">
        <f>IF(LEN($A494),IF(LEN(Declarations!$B494)&gt;0,Declarations!$B494,"#"&amp;$A494),"")</f>
        <v/>
      </c>
      <c r="C494" s="209" t="str">
        <f t="array" ref="C494">IF(LEN(INDEX(DECLARATIONS,$AA494,3))&gt;0,INDEX(DECLARATIONS,$AA494,3),"...")</f>
        <v>...</v>
      </c>
      <c r="D494" s="209" t="str">
        <f t="shared" si="1"/>
        <v/>
      </c>
      <c r="E494" s="296" t="str">
        <f t="array" ref="E494">IF(ISNA($AA494),0,INDEX(DECLARATIONS,$AA494,5))</f>
        <v/>
      </c>
      <c r="F494" s="209" t="str">
        <f t="array" ref="F494">IF(ISNA($AA494),0,INDEX(DECLARATIONS,$AA494,7))</f>
        <v/>
      </c>
      <c r="G494" s="209" t="str">
        <f t="array" ref="G494">UPPER(IF(ISNA($AA494),"",INDEX(DECLARATIONS,$AA494,4)))</f>
        <v/>
      </c>
      <c r="H494" t="str">
        <f>IF(AND(A494&gt;0,ISTEXT(B494)),IF(SECNAME="YES",LEFT(B494&amp;" ",FIND(" ",B494&amp;" ")+2)&amp;IF(F494&gt;0," ("&amp;F494&amp;")",""),B494&amp;IF(F494&gt;0," ("&amp;F494&amp;")","")),"#"&amp;$A494)</f>
        <v/>
      </c>
      <c r="I494" s="209">
        <f>IF(LEN($A494)&gt;0,IF(LEN($J494)&gt;0,MATCH(J494,MatchNames,0),EventIndex),0)</f>
        <v>0</v>
      </c>
      <c r="J494" s="209" t="str">
        <f>IF(LEN($A494)&gt;0,IF(LEN(Declarations!$F494)&gt;0,Declarations!$F494,conftype),"")</f>
        <v/>
      </c>
      <c r="M494" s="297">
        <f>IF(ISNA(VLOOKUP($A494,SprintData,2,FALSE)),0,VLOOKUP($A494,SprintData,2,FALSE))</f>
        <v>0</v>
      </c>
      <c r="N494" s="297">
        <f>IF(ISNA(VLOOKUP($A494,JumpData,2,FALSE)),0,VLOOKUP($A494,JumpData,2,FALSE))</f>
        <v>0</v>
      </c>
      <c r="O494" s="297">
        <f>IF(ISNA(VLOOKUP($A494,RunData,2,FALSE)),0,VLOOKUP($A494,RunData,2,FALSE))</f>
        <v>0</v>
      </c>
      <c r="P494" s="297">
        <f>IF(ISNA(VLOOKUP($A494,ThrowData,2,FALSE)),0,VLOOKUP($A494,ThrowData,2,FALSE))</f>
        <v>0</v>
      </c>
      <c r="Q494" s="298">
        <f>IF(ISNA(VLOOKUP($A494,SprintData,4,FALSE)),0,VLOOKUP($A494,SprintData,4,FALSE))+V494</f>
        <v>0</v>
      </c>
      <c r="R494" s="298">
        <f>IF(ISNA(VLOOKUP($A494,JumpData,4,FALSE)),0,VLOOKUP($A494,JumpData,4,FALSE))+W494</f>
        <v>0</v>
      </c>
      <c r="S494" s="298">
        <f>IF(ISNA(VLOOKUP($A494,RunData,4,FALSE)),0,VLOOKUP($A494,RunData,4,FALSE))+X494</f>
        <v>0</v>
      </c>
      <c r="T494" s="298">
        <f>IF(ISNA(VLOOKUP($A494,ThrowData,4,FALSE)),0,VLOOKUP($A494,ThrowData,4,FALSE))+Y494</f>
        <v>0</v>
      </c>
      <c r="U494" s="299">
        <f t="shared" si="2"/>
        <v>0</v>
      </c>
      <c r="V494">
        <f>IF(AND($F494&gt;0,NOT(M494),Flexing),FlexPC,0)</f>
        <v>0</v>
      </c>
      <c r="W494">
        <f>IF(AND($F494&gt;0,NOT(N494),Flexing),FlexPC,0)</f>
        <v>0</v>
      </c>
      <c r="X494">
        <f>IF(AND($F494&gt;0,NOT(O494),Flexing),FlexPC,0)</f>
        <v>0</v>
      </c>
      <c r="Y494">
        <f>IF(AND($F494&gt;0,NOT(P494),Flexing),FlexPC,0)</f>
        <v>0</v>
      </c>
      <c r="AA494" s="209">
        <f t="shared" si="3"/>
        <v>493</v>
      </c>
    </row>
    <row r="495" ht="15.75" customHeight="1">
      <c r="A495" s="206" t="str">
        <f>+Declarations!A495&amp;""</f>
        <v/>
      </c>
      <c r="B495" t="str">
        <f>IF(LEN($A495),IF(LEN(Declarations!$B495)&gt;0,Declarations!$B495,"#"&amp;$A495),"")</f>
        <v/>
      </c>
      <c r="C495" s="209" t="str">
        <f t="array" ref="C495">IF(LEN(INDEX(DECLARATIONS,$AA495,3))&gt;0,INDEX(DECLARATIONS,$AA495,3),"...")</f>
        <v>...</v>
      </c>
      <c r="D495" s="209" t="str">
        <f t="shared" si="1"/>
        <v/>
      </c>
      <c r="E495" s="296" t="str">
        <f t="array" ref="E495">IF(ISNA($AA495),0,INDEX(DECLARATIONS,$AA495,5))</f>
        <v/>
      </c>
      <c r="F495" s="209" t="str">
        <f t="array" ref="F495">IF(ISNA($AA495),0,INDEX(DECLARATIONS,$AA495,7))</f>
        <v/>
      </c>
      <c r="G495" s="209" t="str">
        <f t="array" ref="G495">UPPER(IF(ISNA($AA495),"",INDEX(DECLARATIONS,$AA495,4)))</f>
        <v/>
      </c>
      <c r="H495" t="str">
        <f>IF(AND(A495&gt;0,ISTEXT(B495)),IF(SECNAME="YES",LEFT(B495&amp;" ",FIND(" ",B495&amp;" ")+2)&amp;IF(F495&gt;0," ("&amp;F495&amp;")",""),B495&amp;IF(F495&gt;0," ("&amp;F495&amp;")","")),"#"&amp;$A495)</f>
        <v/>
      </c>
      <c r="I495" s="209">
        <f>IF(LEN($A495)&gt;0,IF(LEN($J495)&gt;0,MATCH(J495,MatchNames,0),EventIndex),0)</f>
        <v>0</v>
      </c>
      <c r="J495" s="209" t="str">
        <f>IF(LEN($A495)&gt;0,IF(LEN(Declarations!$F495)&gt;0,Declarations!$F495,conftype),"")</f>
        <v/>
      </c>
      <c r="M495" s="297">
        <f>IF(ISNA(VLOOKUP($A495,SprintData,2,FALSE)),0,VLOOKUP($A495,SprintData,2,FALSE))</f>
        <v>0</v>
      </c>
      <c r="N495" s="297">
        <f>IF(ISNA(VLOOKUP($A495,JumpData,2,FALSE)),0,VLOOKUP($A495,JumpData,2,FALSE))</f>
        <v>0</v>
      </c>
      <c r="O495" s="297">
        <f>IF(ISNA(VLOOKUP($A495,RunData,2,FALSE)),0,VLOOKUP($A495,RunData,2,FALSE))</f>
        <v>0</v>
      </c>
      <c r="P495" s="297">
        <f>IF(ISNA(VLOOKUP($A495,ThrowData,2,FALSE)),0,VLOOKUP($A495,ThrowData,2,FALSE))</f>
        <v>0</v>
      </c>
      <c r="Q495" s="298">
        <f>IF(ISNA(VLOOKUP($A495,SprintData,4,FALSE)),0,VLOOKUP($A495,SprintData,4,FALSE))+V495</f>
        <v>0</v>
      </c>
      <c r="R495" s="298">
        <f>IF(ISNA(VLOOKUP($A495,JumpData,4,FALSE)),0,VLOOKUP($A495,JumpData,4,FALSE))+W495</f>
        <v>0</v>
      </c>
      <c r="S495" s="298">
        <f>IF(ISNA(VLOOKUP($A495,RunData,4,FALSE)),0,VLOOKUP($A495,RunData,4,FALSE))+X495</f>
        <v>0</v>
      </c>
      <c r="T495" s="298">
        <f>IF(ISNA(VLOOKUP($A495,ThrowData,4,FALSE)),0,VLOOKUP($A495,ThrowData,4,FALSE))+Y495</f>
        <v>0</v>
      </c>
      <c r="U495" s="299">
        <f t="shared" si="2"/>
        <v>0</v>
      </c>
      <c r="V495">
        <f>IF(AND($F495&gt;0,NOT(M495),Flexing),FlexPC,0)</f>
        <v>0</v>
      </c>
      <c r="W495">
        <f>IF(AND($F495&gt;0,NOT(N495),Flexing),FlexPC,0)</f>
        <v>0</v>
      </c>
      <c r="X495">
        <f>IF(AND($F495&gt;0,NOT(O495),Flexing),FlexPC,0)</f>
        <v>0</v>
      </c>
      <c r="Y495">
        <f>IF(AND($F495&gt;0,NOT(P495),Flexing),FlexPC,0)</f>
        <v>0</v>
      </c>
      <c r="AA495" s="209">
        <f t="shared" si="3"/>
        <v>494</v>
      </c>
    </row>
    <row r="496" ht="15.75" customHeight="1">
      <c r="A496" s="206" t="str">
        <f>+Declarations!A496&amp;""</f>
        <v/>
      </c>
      <c r="B496" t="str">
        <f>IF(LEN($A496),IF(LEN(Declarations!$B496)&gt;0,Declarations!$B496,"#"&amp;$A496),"")</f>
        <v/>
      </c>
      <c r="C496" s="209" t="str">
        <f t="array" ref="C496">IF(LEN(INDEX(DECLARATIONS,$AA496,3))&gt;0,INDEX(DECLARATIONS,$AA496,3),"...")</f>
        <v>...</v>
      </c>
      <c r="D496" s="209" t="str">
        <f t="shared" si="1"/>
        <v/>
      </c>
      <c r="E496" s="296" t="str">
        <f t="array" ref="E496">IF(ISNA($AA496),0,INDEX(DECLARATIONS,$AA496,5))</f>
        <v/>
      </c>
      <c r="F496" s="209" t="str">
        <f t="array" ref="F496">IF(ISNA($AA496),0,INDEX(DECLARATIONS,$AA496,7))</f>
        <v/>
      </c>
      <c r="G496" s="209" t="str">
        <f t="array" ref="G496">UPPER(IF(ISNA($AA496),"",INDEX(DECLARATIONS,$AA496,4)))</f>
        <v/>
      </c>
      <c r="H496" t="str">
        <f>IF(AND(A496&gt;0,ISTEXT(B496)),IF(SECNAME="YES",LEFT(B496&amp;" ",FIND(" ",B496&amp;" ")+2)&amp;IF(F496&gt;0," ("&amp;F496&amp;")",""),B496&amp;IF(F496&gt;0," ("&amp;F496&amp;")","")),"#"&amp;$A496)</f>
        <v/>
      </c>
      <c r="I496" s="209">
        <f>IF(LEN($A496)&gt;0,IF(LEN($J496)&gt;0,MATCH(J496,MatchNames,0),EventIndex),0)</f>
        <v>0</v>
      </c>
      <c r="J496" s="209" t="str">
        <f>IF(LEN($A496)&gt;0,IF(LEN(Declarations!$F496)&gt;0,Declarations!$F496,conftype),"")</f>
        <v/>
      </c>
      <c r="M496" s="297">
        <f>IF(ISNA(VLOOKUP($A496,SprintData,2,FALSE)),0,VLOOKUP($A496,SprintData,2,FALSE))</f>
        <v>0</v>
      </c>
      <c r="N496" s="297">
        <f>IF(ISNA(VLOOKUP($A496,JumpData,2,FALSE)),0,VLOOKUP($A496,JumpData,2,FALSE))</f>
        <v>0</v>
      </c>
      <c r="O496" s="297">
        <f>IF(ISNA(VLOOKUP($A496,RunData,2,FALSE)),0,VLOOKUP($A496,RunData,2,FALSE))</f>
        <v>0</v>
      </c>
      <c r="P496" s="297">
        <f>IF(ISNA(VLOOKUP($A496,ThrowData,2,FALSE)),0,VLOOKUP($A496,ThrowData,2,FALSE))</f>
        <v>0</v>
      </c>
      <c r="Q496" s="298">
        <f>IF(ISNA(VLOOKUP($A496,SprintData,4,FALSE)),0,VLOOKUP($A496,SprintData,4,FALSE))+V496</f>
        <v>0</v>
      </c>
      <c r="R496" s="298">
        <f>IF(ISNA(VLOOKUP($A496,JumpData,4,FALSE)),0,VLOOKUP($A496,JumpData,4,FALSE))+W496</f>
        <v>0</v>
      </c>
      <c r="S496" s="298">
        <f>IF(ISNA(VLOOKUP($A496,RunData,4,FALSE)),0,VLOOKUP($A496,RunData,4,FALSE))+X496</f>
        <v>0</v>
      </c>
      <c r="T496" s="298">
        <f>IF(ISNA(VLOOKUP($A496,ThrowData,4,FALSE)),0,VLOOKUP($A496,ThrowData,4,FALSE))+Y496</f>
        <v>0</v>
      </c>
      <c r="U496" s="299">
        <f t="shared" si="2"/>
        <v>0</v>
      </c>
      <c r="V496">
        <f>IF(AND($F496&gt;0,NOT(M496),Flexing),FlexPC,0)</f>
        <v>0</v>
      </c>
      <c r="W496">
        <f>IF(AND($F496&gt;0,NOT(N496),Flexing),FlexPC,0)</f>
        <v>0</v>
      </c>
      <c r="X496">
        <f>IF(AND($F496&gt;0,NOT(O496),Flexing),FlexPC,0)</f>
        <v>0</v>
      </c>
      <c r="Y496">
        <f>IF(AND($F496&gt;0,NOT(P496),Flexing),FlexPC,0)</f>
        <v>0</v>
      </c>
      <c r="AA496" s="209">
        <f t="shared" si="3"/>
        <v>495</v>
      </c>
    </row>
    <row r="497" ht="15.75" customHeight="1">
      <c r="A497" s="206" t="str">
        <f>+Declarations!A497&amp;""</f>
        <v/>
      </c>
      <c r="B497" t="str">
        <f>IF(LEN($A497),IF(LEN(Declarations!$B497)&gt;0,Declarations!$B497,"#"&amp;$A497),"")</f>
        <v/>
      </c>
      <c r="C497" s="209" t="str">
        <f t="array" ref="C497">IF(LEN(INDEX(DECLARATIONS,$AA497,3))&gt;0,INDEX(DECLARATIONS,$AA497,3),"...")</f>
        <v>...</v>
      </c>
      <c r="D497" s="209" t="str">
        <f t="shared" si="1"/>
        <v/>
      </c>
      <c r="E497" s="296" t="str">
        <f t="array" ref="E497">IF(ISNA($AA497),0,INDEX(DECLARATIONS,$AA497,5))</f>
        <v/>
      </c>
      <c r="F497" s="209" t="str">
        <f t="array" ref="F497">IF(ISNA($AA497),0,INDEX(DECLARATIONS,$AA497,7))</f>
        <v/>
      </c>
      <c r="G497" s="209" t="str">
        <f t="array" ref="G497">UPPER(IF(ISNA($AA497),"",INDEX(DECLARATIONS,$AA497,4)))</f>
        <v/>
      </c>
      <c r="H497" t="str">
        <f>IF(AND(A497&gt;0,ISTEXT(B497)),IF(SECNAME="YES",LEFT(B497&amp;" ",FIND(" ",B497&amp;" ")+2)&amp;IF(F497&gt;0," ("&amp;F497&amp;")",""),B497&amp;IF(F497&gt;0," ("&amp;F497&amp;")","")),"#"&amp;$A497)</f>
        <v/>
      </c>
      <c r="I497" s="209">
        <f>IF(LEN($A497)&gt;0,IF(LEN($J497)&gt;0,MATCH(J497,MatchNames,0),EventIndex),0)</f>
        <v>0</v>
      </c>
      <c r="J497" s="209" t="str">
        <f>IF(LEN($A497)&gt;0,IF(LEN(Declarations!$F497)&gt;0,Declarations!$F497,conftype),"")</f>
        <v/>
      </c>
      <c r="M497" s="297">
        <f>IF(ISNA(VLOOKUP($A497,SprintData,2,FALSE)),0,VLOOKUP($A497,SprintData,2,FALSE))</f>
        <v>0</v>
      </c>
      <c r="N497" s="297">
        <f>IF(ISNA(VLOOKUP($A497,JumpData,2,FALSE)),0,VLOOKUP($A497,JumpData,2,FALSE))</f>
        <v>0</v>
      </c>
      <c r="O497" s="297">
        <f>IF(ISNA(VLOOKUP($A497,RunData,2,FALSE)),0,VLOOKUP($A497,RunData,2,FALSE))</f>
        <v>0</v>
      </c>
      <c r="P497" s="297">
        <f>IF(ISNA(VLOOKUP($A497,ThrowData,2,FALSE)),0,VLOOKUP($A497,ThrowData,2,FALSE))</f>
        <v>0</v>
      </c>
      <c r="Q497" s="298">
        <f>IF(ISNA(VLOOKUP($A497,SprintData,4,FALSE)),0,VLOOKUP($A497,SprintData,4,FALSE))+V497</f>
        <v>0</v>
      </c>
      <c r="R497" s="298">
        <f>IF(ISNA(VLOOKUP($A497,JumpData,4,FALSE)),0,VLOOKUP($A497,JumpData,4,FALSE))+W497</f>
        <v>0</v>
      </c>
      <c r="S497" s="298">
        <f>IF(ISNA(VLOOKUP($A497,RunData,4,FALSE)),0,VLOOKUP($A497,RunData,4,FALSE))+X497</f>
        <v>0</v>
      </c>
      <c r="T497" s="298">
        <f>IF(ISNA(VLOOKUP($A497,ThrowData,4,FALSE)),0,VLOOKUP($A497,ThrowData,4,FALSE))+Y497</f>
        <v>0</v>
      </c>
      <c r="U497" s="299">
        <f t="shared" si="2"/>
        <v>0</v>
      </c>
      <c r="V497">
        <f>IF(AND($F497&gt;0,NOT(M497),Flexing),FlexPC,0)</f>
        <v>0</v>
      </c>
      <c r="W497">
        <f>IF(AND($F497&gt;0,NOT(N497),Flexing),FlexPC,0)</f>
        <v>0</v>
      </c>
      <c r="X497">
        <f>IF(AND($F497&gt;0,NOT(O497),Flexing),FlexPC,0)</f>
        <v>0</v>
      </c>
      <c r="Y497">
        <f>IF(AND($F497&gt;0,NOT(P497),Flexing),FlexPC,0)</f>
        <v>0</v>
      </c>
      <c r="AA497" s="209">
        <f t="shared" si="3"/>
        <v>496</v>
      </c>
    </row>
    <row r="498" ht="15.75" customHeight="1">
      <c r="A498" s="206" t="str">
        <f>+Declarations!A498&amp;""</f>
        <v/>
      </c>
      <c r="B498" t="str">
        <f>IF(LEN($A498),IF(LEN(Declarations!$B498)&gt;0,Declarations!$B498,"#"&amp;$A498),"")</f>
        <v/>
      </c>
      <c r="C498" s="209" t="str">
        <f t="array" ref="C498">IF(LEN(INDEX(DECLARATIONS,$AA498,3))&gt;0,INDEX(DECLARATIONS,$AA498,3),"...")</f>
        <v>...</v>
      </c>
      <c r="D498" s="209" t="str">
        <f t="shared" si="1"/>
        <v/>
      </c>
      <c r="E498" s="296" t="str">
        <f t="array" ref="E498">IF(ISNA($AA498),0,INDEX(DECLARATIONS,$AA498,5))</f>
        <v/>
      </c>
      <c r="F498" s="209" t="str">
        <f t="array" ref="F498">IF(ISNA($AA498),0,INDEX(DECLARATIONS,$AA498,7))</f>
        <v/>
      </c>
      <c r="G498" s="209" t="str">
        <f t="array" ref="G498">UPPER(IF(ISNA($AA498),"",INDEX(DECLARATIONS,$AA498,4)))</f>
        <v/>
      </c>
      <c r="H498" t="str">
        <f>IF(AND(A498&gt;0,ISTEXT(B498)),IF(SECNAME="YES",LEFT(B498&amp;" ",FIND(" ",B498&amp;" ")+2)&amp;IF(F498&gt;0," ("&amp;F498&amp;")",""),B498&amp;IF(F498&gt;0," ("&amp;F498&amp;")","")),"#"&amp;$A498)</f>
        <v/>
      </c>
      <c r="I498" s="209">
        <f>IF(LEN($A498)&gt;0,IF(LEN($J498)&gt;0,MATCH(J498,MatchNames,0),EventIndex),0)</f>
        <v>0</v>
      </c>
      <c r="J498" s="209" t="str">
        <f>IF(LEN($A498)&gt;0,IF(LEN(Declarations!$F498)&gt;0,Declarations!$F498,conftype),"")</f>
        <v/>
      </c>
      <c r="M498" s="297">
        <f>IF(ISNA(VLOOKUP($A498,SprintData,2,FALSE)),0,VLOOKUP($A498,SprintData,2,FALSE))</f>
        <v>0</v>
      </c>
      <c r="N498" s="297">
        <f>IF(ISNA(VLOOKUP($A498,JumpData,2,FALSE)),0,VLOOKUP($A498,JumpData,2,FALSE))</f>
        <v>0</v>
      </c>
      <c r="O498" s="297">
        <f>IF(ISNA(VLOOKUP($A498,RunData,2,FALSE)),0,VLOOKUP($A498,RunData,2,FALSE))</f>
        <v>0</v>
      </c>
      <c r="P498" s="297">
        <f>IF(ISNA(VLOOKUP($A498,ThrowData,2,FALSE)),0,VLOOKUP($A498,ThrowData,2,FALSE))</f>
        <v>0</v>
      </c>
      <c r="Q498" s="298">
        <f>IF(ISNA(VLOOKUP($A498,SprintData,4,FALSE)),0,VLOOKUP($A498,SprintData,4,FALSE))+V498</f>
        <v>0</v>
      </c>
      <c r="R498" s="298">
        <f>IF(ISNA(VLOOKUP($A498,JumpData,4,FALSE)),0,VLOOKUP($A498,JumpData,4,FALSE))+W498</f>
        <v>0</v>
      </c>
      <c r="S498" s="298">
        <f>IF(ISNA(VLOOKUP($A498,RunData,4,FALSE)),0,VLOOKUP($A498,RunData,4,FALSE))+X498</f>
        <v>0</v>
      </c>
      <c r="T498" s="298">
        <f>IF(ISNA(VLOOKUP($A498,ThrowData,4,FALSE)),0,VLOOKUP($A498,ThrowData,4,FALSE))+Y498</f>
        <v>0</v>
      </c>
      <c r="U498" s="299">
        <f t="shared" si="2"/>
        <v>0</v>
      </c>
      <c r="V498">
        <f>IF(AND($F498&gt;0,NOT(M498),Flexing),FlexPC,0)</f>
        <v>0</v>
      </c>
      <c r="W498">
        <f>IF(AND($F498&gt;0,NOT(N498),Flexing),FlexPC,0)</f>
        <v>0</v>
      </c>
      <c r="X498">
        <f>IF(AND($F498&gt;0,NOT(O498),Flexing),FlexPC,0)</f>
        <v>0</v>
      </c>
      <c r="Y498">
        <f>IF(AND($F498&gt;0,NOT(P498),Flexing),FlexPC,0)</f>
        <v>0</v>
      </c>
      <c r="AA498" s="209">
        <f t="shared" si="3"/>
        <v>497</v>
      </c>
    </row>
    <row r="499" ht="15.75" customHeight="1">
      <c r="A499" s="206" t="str">
        <f>+Declarations!A499&amp;""</f>
        <v/>
      </c>
      <c r="B499" t="str">
        <f>IF(LEN($A499),IF(LEN(Declarations!$B499)&gt;0,Declarations!$B499,"#"&amp;$A499),"")</f>
        <v/>
      </c>
      <c r="C499" s="209" t="str">
        <f t="array" ref="C499">IF(LEN(INDEX(DECLARATIONS,$AA499,3))&gt;0,INDEX(DECLARATIONS,$AA499,3),"...")</f>
        <v>...</v>
      </c>
      <c r="D499" s="209" t="str">
        <f t="shared" si="1"/>
        <v/>
      </c>
      <c r="E499" s="296" t="str">
        <f t="array" ref="E499">IF(ISNA($AA499),0,INDEX(DECLARATIONS,$AA499,5))</f>
        <v/>
      </c>
      <c r="F499" s="209" t="str">
        <f t="array" ref="F499">IF(ISNA($AA499),0,INDEX(DECLARATIONS,$AA499,7))</f>
        <v/>
      </c>
      <c r="G499" s="209" t="str">
        <f t="array" ref="G499">UPPER(IF(ISNA($AA499),"",INDEX(DECLARATIONS,$AA499,4)))</f>
        <v/>
      </c>
      <c r="H499" t="str">
        <f>IF(AND(A499&gt;0,ISTEXT(B499)),IF(SECNAME="YES",LEFT(B499&amp;" ",FIND(" ",B499&amp;" ")+2)&amp;IF(F499&gt;0," ("&amp;F499&amp;")",""),B499&amp;IF(F499&gt;0," ("&amp;F499&amp;")","")),"#"&amp;$A499)</f>
        <v/>
      </c>
      <c r="I499" s="209">
        <f>IF(LEN($A499)&gt;0,IF(LEN($J499)&gt;0,MATCH(J499,MatchNames,0),EventIndex),0)</f>
        <v>0</v>
      </c>
      <c r="J499" s="209" t="str">
        <f>IF(LEN($A499)&gt;0,IF(LEN(Declarations!$F499)&gt;0,Declarations!$F499,conftype),"")</f>
        <v/>
      </c>
      <c r="M499" s="297">
        <f>IF(ISNA(VLOOKUP($A499,SprintData,2,FALSE)),0,VLOOKUP($A499,SprintData,2,FALSE))</f>
        <v>0</v>
      </c>
      <c r="N499" s="297">
        <f>IF(ISNA(VLOOKUP($A499,JumpData,2,FALSE)),0,VLOOKUP($A499,JumpData,2,FALSE))</f>
        <v>0</v>
      </c>
      <c r="O499" s="297">
        <f>IF(ISNA(VLOOKUP($A499,RunData,2,FALSE)),0,VLOOKUP($A499,RunData,2,FALSE))</f>
        <v>0</v>
      </c>
      <c r="P499" s="297">
        <f>IF(ISNA(VLOOKUP($A499,ThrowData,2,FALSE)),0,VLOOKUP($A499,ThrowData,2,FALSE))</f>
        <v>0</v>
      </c>
      <c r="Q499" s="298">
        <f>IF(ISNA(VLOOKUP($A499,SprintData,4,FALSE)),0,VLOOKUP($A499,SprintData,4,FALSE))+V499</f>
        <v>0</v>
      </c>
      <c r="R499" s="298">
        <f>IF(ISNA(VLOOKUP($A499,JumpData,4,FALSE)),0,VLOOKUP($A499,JumpData,4,FALSE))+W499</f>
        <v>0</v>
      </c>
      <c r="S499" s="298">
        <f>IF(ISNA(VLOOKUP($A499,RunData,4,FALSE)),0,VLOOKUP($A499,RunData,4,FALSE))+X499</f>
        <v>0</v>
      </c>
      <c r="T499" s="298">
        <f>IF(ISNA(VLOOKUP($A499,ThrowData,4,FALSE)),0,VLOOKUP($A499,ThrowData,4,FALSE))+Y499</f>
        <v>0</v>
      </c>
      <c r="U499" s="299">
        <f t="shared" si="2"/>
        <v>0</v>
      </c>
      <c r="V499">
        <f>IF(AND($F499&gt;0,NOT(M499),Flexing),FlexPC,0)</f>
        <v>0</v>
      </c>
      <c r="W499">
        <f>IF(AND($F499&gt;0,NOT(N499),Flexing),FlexPC,0)</f>
        <v>0</v>
      </c>
      <c r="X499">
        <f>IF(AND($F499&gt;0,NOT(O499),Flexing),FlexPC,0)</f>
        <v>0</v>
      </c>
      <c r="Y499">
        <f>IF(AND($F499&gt;0,NOT(P499),Flexing),FlexPC,0)</f>
        <v>0</v>
      </c>
      <c r="AA499" s="209">
        <f t="shared" si="3"/>
        <v>498</v>
      </c>
    </row>
    <row r="500" ht="15.75" customHeight="1">
      <c r="A500" s="206" t="str">
        <f>+Declarations!A500&amp;""</f>
        <v/>
      </c>
      <c r="B500" t="str">
        <f>IF(LEN($A500),IF(LEN(Declarations!$B500)&gt;0,Declarations!$B500,"#"&amp;$A500),"")</f>
        <v/>
      </c>
      <c r="C500" s="209" t="str">
        <f t="array" ref="C500">IF(LEN(INDEX(DECLARATIONS,$AA500,3))&gt;0,INDEX(DECLARATIONS,$AA500,3),"...")</f>
        <v>...</v>
      </c>
      <c r="D500" s="209" t="str">
        <f t="shared" si="1"/>
        <v/>
      </c>
      <c r="E500" s="296" t="str">
        <f t="array" ref="E500">IF(ISNA($AA500),0,INDEX(DECLARATIONS,$AA500,5))</f>
        <v/>
      </c>
      <c r="F500" s="209" t="str">
        <f t="array" ref="F500">IF(ISNA($AA500),0,INDEX(DECLARATIONS,$AA500,7))</f>
        <v/>
      </c>
      <c r="G500" s="209" t="str">
        <f t="array" ref="G500">UPPER(IF(ISNA($AA500),"",INDEX(DECLARATIONS,$AA500,4)))</f>
        <v/>
      </c>
      <c r="H500" t="str">
        <f>IF(AND(A500&gt;0,ISTEXT(B500)),IF(SECNAME="YES",LEFT(B500&amp;" ",FIND(" ",B500&amp;" ")+2)&amp;IF(F500&gt;0," ("&amp;F500&amp;")",""),B500&amp;IF(F500&gt;0," ("&amp;F500&amp;")","")),"#"&amp;$A500)</f>
        <v/>
      </c>
      <c r="I500" s="209">
        <f>IF(LEN($A500)&gt;0,IF(LEN($J500)&gt;0,MATCH(J500,MatchNames,0),EventIndex),0)</f>
        <v>0</v>
      </c>
      <c r="J500" s="209" t="str">
        <f>IF(LEN($A500)&gt;0,IF(LEN(Declarations!$F500)&gt;0,Declarations!$F500,conftype),"")</f>
        <v/>
      </c>
      <c r="M500" s="297">
        <f>IF(ISNA(VLOOKUP($A500,SprintData,2,FALSE)),0,VLOOKUP($A500,SprintData,2,FALSE))</f>
        <v>0</v>
      </c>
      <c r="N500" s="297">
        <f>IF(ISNA(VLOOKUP($A500,JumpData,2,FALSE)),0,VLOOKUP($A500,JumpData,2,FALSE))</f>
        <v>0</v>
      </c>
      <c r="O500" s="297">
        <f>IF(ISNA(VLOOKUP($A500,RunData,2,FALSE)),0,VLOOKUP($A500,RunData,2,FALSE))</f>
        <v>0</v>
      </c>
      <c r="P500" s="297">
        <f>IF(ISNA(VLOOKUP($A500,ThrowData,2,FALSE)),0,VLOOKUP($A500,ThrowData,2,FALSE))</f>
        <v>0</v>
      </c>
      <c r="Q500" s="298">
        <f>IF(ISNA(VLOOKUP($A500,SprintData,4,FALSE)),0,VLOOKUP($A500,SprintData,4,FALSE))+V500</f>
        <v>0</v>
      </c>
      <c r="R500" s="298">
        <f>IF(ISNA(VLOOKUP($A500,JumpData,4,FALSE)),0,VLOOKUP($A500,JumpData,4,FALSE))+W500</f>
        <v>0</v>
      </c>
      <c r="S500" s="298">
        <f>IF(ISNA(VLOOKUP($A500,RunData,4,FALSE)),0,VLOOKUP($A500,RunData,4,FALSE))+X500</f>
        <v>0</v>
      </c>
      <c r="T500" s="298">
        <f>IF(ISNA(VLOOKUP($A500,ThrowData,4,FALSE)),0,VLOOKUP($A500,ThrowData,4,FALSE))+Y500</f>
        <v>0</v>
      </c>
      <c r="U500" s="299">
        <f t="shared" si="2"/>
        <v>0</v>
      </c>
      <c r="V500">
        <f>IF(AND($F500&gt;0,NOT(M500),Flexing),FlexPC,0)</f>
        <v>0</v>
      </c>
      <c r="W500">
        <f>IF(AND($F500&gt;0,NOT(N500),Flexing),FlexPC,0)</f>
        <v>0</v>
      </c>
      <c r="X500">
        <f>IF(AND($F500&gt;0,NOT(O500),Flexing),FlexPC,0)</f>
        <v>0</v>
      </c>
      <c r="Y500">
        <f>IF(AND($F500&gt;0,NOT(P500),Flexing),FlexPC,0)</f>
        <v>0</v>
      </c>
      <c r="AA500" s="209">
        <f t="shared" si="3"/>
        <v>499</v>
      </c>
    </row>
    <row r="501" ht="15.75" customHeight="1">
      <c r="A501" s="206" t="str">
        <f>+Declarations!A501&amp;""</f>
        <v/>
      </c>
      <c r="B501" t="str">
        <f>IF(LEN($A501),IF(LEN(Declarations!$B501)&gt;0,Declarations!$B501,"#"&amp;$A501),"")</f>
        <v/>
      </c>
      <c r="C501" s="209" t="str">
        <f t="array" ref="C501">IF(LEN(INDEX(DECLARATIONS,$AA501,3))&gt;0,INDEX(DECLARATIONS,$AA501,3),"...")</f>
        <v>...</v>
      </c>
      <c r="D501" s="209" t="str">
        <f t="shared" si="1"/>
        <v/>
      </c>
      <c r="E501" s="296" t="str">
        <f t="array" ref="E501">IF(ISNA($AA501),0,INDEX(DECLARATIONS,$AA501,5))</f>
        <v/>
      </c>
      <c r="F501" s="209" t="str">
        <f t="array" ref="F501">IF(ISNA($AA501),0,INDEX(DECLARATIONS,$AA501,7))</f>
        <v/>
      </c>
      <c r="G501" s="209" t="str">
        <f t="array" ref="G501">UPPER(IF(ISNA($AA501),"",INDEX(DECLARATIONS,$AA501,4)))</f>
        <v/>
      </c>
      <c r="H501" t="str">
        <f>IF(AND(A501&gt;0,ISTEXT(B501)),IF(SECNAME="YES",LEFT(B501&amp;" ",FIND(" ",B501&amp;" ")+2)&amp;IF(F501&gt;0," ("&amp;F501&amp;")",""),B501&amp;IF(F501&gt;0," ("&amp;F501&amp;")","")),"#"&amp;$A501)</f>
        <v/>
      </c>
      <c r="I501" s="209">
        <f>IF(LEN($A501)&gt;0,IF(LEN($J501)&gt;0,MATCH(J501,MatchNames,0),EventIndex),0)</f>
        <v>0</v>
      </c>
      <c r="J501" s="209" t="str">
        <f>IF(LEN($A501)&gt;0,IF(LEN(Declarations!$F501)&gt;0,Declarations!$F501,conftype),"")</f>
        <v/>
      </c>
      <c r="M501" s="297">
        <f>IF(ISNA(VLOOKUP($A501,SprintData,2,FALSE)),0,VLOOKUP($A501,SprintData,2,FALSE))</f>
        <v>0</v>
      </c>
      <c r="N501" s="297">
        <f>IF(ISNA(VLOOKUP($A501,JumpData,2,FALSE)),0,VLOOKUP($A501,JumpData,2,FALSE))</f>
        <v>0</v>
      </c>
      <c r="O501" s="297">
        <f>IF(ISNA(VLOOKUP($A501,RunData,2,FALSE)),0,VLOOKUP($A501,RunData,2,FALSE))</f>
        <v>0</v>
      </c>
      <c r="P501" s="297">
        <f>IF(ISNA(VLOOKUP($A501,ThrowData,2,FALSE)),0,VLOOKUP($A501,ThrowData,2,FALSE))</f>
        <v>0</v>
      </c>
      <c r="Q501" s="298">
        <f>IF(ISNA(VLOOKUP($A501,SprintData,4,FALSE)),0,VLOOKUP($A501,SprintData,4,FALSE))+V501</f>
        <v>0</v>
      </c>
      <c r="R501" s="298">
        <f>IF(ISNA(VLOOKUP($A501,JumpData,4,FALSE)),0,VLOOKUP($A501,JumpData,4,FALSE))+W501</f>
        <v>0</v>
      </c>
      <c r="S501" s="298">
        <f>IF(ISNA(VLOOKUP($A501,RunData,4,FALSE)),0,VLOOKUP($A501,RunData,4,FALSE))+X501</f>
        <v>0</v>
      </c>
      <c r="T501" s="298">
        <f>IF(ISNA(VLOOKUP($A501,ThrowData,4,FALSE)),0,VLOOKUP($A501,ThrowData,4,FALSE))+Y501</f>
        <v>0</v>
      </c>
      <c r="U501" s="299">
        <f t="shared" si="2"/>
        <v>0</v>
      </c>
      <c r="V501">
        <f>IF(AND($F501&gt;0,NOT(M501),Flexing),FlexPC,0)</f>
        <v>0</v>
      </c>
      <c r="W501">
        <f>IF(AND($F501&gt;0,NOT(N501),Flexing),FlexPC,0)</f>
        <v>0</v>
      </c>
      <c r="X501">
        <f>IF(AND($F501&gt;0,NOT(O501),Flexing),FlexPC,0)</f>
        <v>0</v>
      </c>
      <c r="Y501">
        <f>IF(AND($F501&gt;0,NOT(P501),Flexing),FlexPC,0)</f>
        <v>0</v>
      </c>
      <c r="AA501" s="209">
        <f t="shared" si="3"/>
        <v>500</v>
      </c>
    </row>
    <row r="502" ht="15.75" customHeight="1">
      <c r="A502" s="206" t="str">
        <f>+Declarations!A502&amp;""</f>
        <v/>
      </c>
      <c r="B502" t="str">
        <f>IF(LEN($A502),IF(LEN(Declarations!$B502)&gt;0,Declarations!$B502,"#"&amp;$A502),"")</f>
        <v/>
      </c>
      <c r="C502" s="209" t="str">
        <f t="array" ref="C502">IF(LEN(INDEX(DECLARATIONS,$AA502,3))&gt;0,INDEX(DECLARATIONS,$AA502,3),"...")</f>
        <v>...</v>
      </c>
      <c r="D502" s="209" t="str">
        <f t="shared" si="1"/>
        <v/>
      </c>
      <c r="E502" s="296" t="str">
        <f t="array" ref="E502">IF(ISNA($AA502),0,INDEX(DECLARATIONS,$AA502,5))</f>
        <v/>
      </c>
      <c r="F502" s="209" t="str">
        <f t="array" ref="F502">IF(ISNA($AA502),0,INDEX(DECLARATIONS,$AA502,7))</f>
        <v/>
      </c>
      <c r="G502" s="209" t="str">
        <f t="array" ref="G502">UPPER(IF(ISNA($AA502),"",INDEX(DECLARATIONS,$AA502,4)))</f>
        <v/>
      </c>
      <c r="H502" t="str">
        <f>IF(AND(A502&gt;0,ISTEXT(B502)),IF(SECNAME="YES",LEFT(B502&amp;" ",FIND(" ",B502&amp;" ")+2)&amp;IF(F502&gt;0," ("&amp;F502&amp;")",""),B502&amp;IF(F502&gt;0," ("&amp;F502&amp;")","")),"#"&amp;$A502)</f>
        <v/>
      </c>
      <c r="I502" s="209">
        <f>IF(LEN($A502)&gt;0,IF(LEN($J502)&gt;0,MATCH(J502,MatchNames,0),EventIndex),0)</f>
        <v>0</v>
      </c>
      <c r="J502" s="209" t="str">
        <f>IF(LEN($A502)&gt;0,IF(LEN(Declarations!$F502)&gt;0,Declarations!$F502,conftype),"")</f>
        <v/>
      </c>
      <c r="M502" s="297">
        <f>IF(ISNA(VLOOKUP($A502,SprintData,2,FALSE)),0,VLOOKUP($A502,SprintData,2,FALSE))</f>
        <v>0</v>
      </c>
      <c r="N502" s="297">
        <f>IF(ISNA(VLOOKUP($A502,JumpData,2,FALSE)),0,VLOOKUP($A502,JumpData,2,FALSE))</f>
        <v>0</v>
      </c>
      <c r="O502" s="297">
        <f>IF(ISNA(VLOOKUP($A502,RunData,2,FALSE)),0,VLOOKUP($A502,RunData,2,FALSE))</f>
        <v>0</v>
      </c>
      <c r="P502" s="297">
        <f>IF(ISNA(VLOOKUP($A502,ThrowData,2,FALSE)),0,VLOOKUP($A502,ThrowData,2,FALSE))</f>
        <v>0</v>
      </c>
      <c r="Q502" s="298">
        <f>IF(ISNA(VLOOKUP($A502,SprintData,4,FALSE)),0,VLOOKUP($A502,SprintData,4,FALSE))+V502</f>
        <v>0</v>
      </c>
      <c r="R502" s="298">
        <f>IF(ISNA(VLOOKUP($A502,JumpData,4,FALSE)),0,VLOOKUP($A502,JumpData,4,FALSE))+W502</f>
        <v>0</v>
      </c>
      <c r="S502" s="298">
        <f>IF(ISNA(VLOOKUP($A502,RunData,4,FALSE)),0,VLOOKUP($A502,RunData,4,FALSE))+X502</f>
        <v>0</v>
      </c>
      <c r="T502" s="298">
        <f>IF(ISNA(VLOOKUP($A502,ThrowData,4,FALSE)),0,VLOOKUP($A502,ThrowData,4,FALSE))+Y502</f>
        <v>0</v>
      </c>
      <c r="U502" s="299">
        <f t="shared" si="2"/>
        <v>0</v>
      </c>
      <c r="V502">
        <f>IF(AND($F502&gt;0,NOT(M502),Flexing),FlexPC,0)</f>
        <v>0</v>
      </c>
      <c r="W502">
        <f>IF(AND($F502&gt;0,NOT(N502),Flexing),FlexPC,0)</f>
        <v>0</v>
      </c>
      <c r="X502">
        <f>IF(AND($F502&gt;0,NOT(O502),Flexing),FlexPC,0)</f>
        <v>0</v>
      </c>
      <c r="Y502">
        <f>IF(AND($F502&gt;0,NOT(P502),Flexing),FlexPC,0)</f>
        <v>0</v>
      </c>
      <c r="AA502" s="209">
        <f t="shared" si="3"/>
        <v>501</v>
      </c>
    </row>
    <row r="503" ht="15.75" customHeight="1">
      <c r="A503" s="206" t="str">
        <f>+Declarations!A503&amp;""</f>
        <v/>
      </c>
      <c r="B503" t="str">
        <f>IF(LEN($A503),IF(LEN(Declarations!$B503)&gt;0,Declarations!$B503,"#"&amp;$A503),"")</f>
        <v/>
      </c>
      <c r="C503" s="209" t="str">
        <f t="array" ref="C503">IF(LEN(INDEX(DECLARATIONS,$AA503,3))&gt;0,INDEX(DECLARATIONS,$AA503,3),"...")</f>
        <v>...</v>
      </c>
      <c r="D503" s="209" t="str">
        <f t="shared" si="1"/>
        <v/>
      </c>
      <c r="E503" s="296" t="str">
        <f t="array" ref="E503">IF(ISNA($AA503),0,INDEX(DECLARATIONS,$AA503,5))</f>
        <v/>
      </c>
      <c r="F503" s="209" t="str">
        <f t="array" ref="F503">IF(ISNA($AA503),0,INDEX(DECLARATIONS,$AA503,7))</f>
        <v/>
      </c>
      <c r="G503" s="209" t="str">
        <f t="array" ref="G503">UPPER(IF(ISNA($AA503),"",INDEX(DECLARATIONS,$AA503,4)))</f>
        <v/>
      </c>
      <c r="H503" t="str">
        <f>IF(AND(A503&gt;0,ISTEXT(B503)),IF(SECNAME="YES",LEFT(B503&amp;" ",FIND(" ",B503&amp;" ")+2)&amp;IF(F503&gt;0," ("&amp;F503&amp;")",""),B503&amp;IF(F503&gt;0," ("&amp;F503&amp;")","")),"#"&amp;$A503)</f>
        <v/>
      </c>
      <c r="I503" s="209">
        <f>IF(LEN($A503)&gt;0,IF(LEN($J503)&gt;0,MATCH(J503,MatchNames,0),EventIndex),0)</f>
        <v>0</v>
      </c>
      <c r="J503" s="209" t="str">
        <f>IF(LEN($A503)&gt;0,IF(LEN(Declarations!$F503)&gt;0,Declarations!$F503,conftype),"")</f>
        <v/>
      </c>
      <c r="M503" s="297">
        <f>IF(ISNA(VLOOKUP($A503,SprintData,2,FALSE)),0,VLOOKUP($A503,SprintData,2,FALSE))</f>
        <v>0</v>
      </c>
      <c r="N503" s="297">
        <f>IF(ISNA(VLOOKUP($A503,JumpData,2,FALSE)),0,VLOOKUP($A503,JumpData,2,FALSE))</f>
        <v>0</v>
      </c>
      <c r="O503" s="297">
        <f>IF(ISNA(VLOOKUP($A503,RunData,2,FALSE)),0,VLOOKUP($A503,RunData,2,FALSE))</f>
        <v>0</v>
      </c>
      <c r="P503" s="297">
        <f>IF(ISNA(VLOOKUP($A503,ThrowData,2,FALSE)),0,VLOOKUP($A503,ThrowData,2,FALSE))</f>
        <v>0</v>
      </c>
      <c r="Q503" s="298">
        <f>IF(ISNA(VLOOKUP($A503,SprintData,4,FALSE)),0,VLOOKUP($A503,SprintData,4,FALSE))+V503</f>
        <v>0</v>
      </c>
      <c r="R503" s="298">
        <f>IF(ISNA(VLOOKUP($A503,JumpData,4,FALSE)),0,VLOOKUP($A503,JumpData,4,FALSE))+W503</f>
        <v>0</v>
      </c>
      <c r="S503" s="298">
        <f>IF(ISNA(VLOOKUP($A503,RunData,4,FALSE)),0,VLOOKUP($A503,RunData,4,FALSE))+X503</f>
        <v>0</v>
      </c>
      <c r="T503" s="298">
        <f>IF(ISNA(VLOOKUP($A503,ThrowData,4,FALSE)),0,VLOOKUP($A503,ThrowData,4,FALSE))+Y503</f>
        <v>0</v>
      </c>
      <c r="U503" s="299">
        <f t="shared" si="2"/>
        <v>0</v>
      </c>
      <c r="V503">
        <f>IF(AND($F503&gt;0,NOT(M503),Flexing),FlexPC,0)</f>
        <v>0</v>
      </c>
      <c r="W503">
        <f>IF(AND($F503&gt;0,NOT(N503),Flexing),FlexPC,0)</f>
        <v>0</v>
      </c>
      <c r="X503">
        <f>IF(AND($F503&gt;0,NOT(O503),Flexing),FlexPC,0)</f>
        <v>0</v>
      </c>
      <c r="Y503">
        <f>IF(AND($F503&gt;0,NOT(P503),Flexing),FlexPC,0)</f>
        <v>0</v>
      </c>
      <c r="AA503" s="209">
        <f t="shared" si="3"/>
        <v>502</v>
      </c>
    </row>
    <row r="504" ht="15.75" customHeight="1">
      <c r="A504" s="206" t="str">
        <f>+Declarations!A504&amp;""</f>
        <v/>
      </c>
      <c r="B504" t="str">
        <f>IF(LEN($A504),IF(LEN(Declarations!$B504)&gt;0,Declarations!$B504,"#"&amp;$A504),"")</f>
        <v/>
      </c>
      <c r="C504" s="209" t="str">
        <f t="array" ref="C504">IF(LEN(INDEX(DECLARATIONS,$AA504,3))&gt;0,INDEX(DECLARATIONS,$AA504,3),"...")</f>
        <v>...</v>
      </c>
      <c r="D504" s="209" t="str">
        <f t="shared" si="1"/>
        <v/>
      </c>
      <c r="E504" s="296" t="str">
        <f t="array" ref="E504">IF(ISNA($AA504),0,INDEX(DECLARATIONS,$AA504,5))</f>
        <v/>
      </c>
      <c r="F504" s="209" t="str">
        <f t="array" ref="F504">IF(ISNA($AA504),0,INDEX(DECLARATIONS,$AA504,7))</f>
        <v/>
      </c>
      <c r="G504" s="209" t="str">
        <f t="array" ref="G504">UPPER(IF(ISNA($AA504),"",INDEX(DECLARATIONS,$AA504,4)))</f>
        <v/>
      </c>
      <c r="H504" t="str">
        <f>IF(AND(A504&gt;0,ISTEXT(B504)),IF(SECNAME="YES",LEFT(B504&amp;" ",FIND(" ",B504&amp;" ")+2)&amp;IF(F504&gt;0," ("&amp;F504&amp;")",""),B504&amp;IF(F504&gt;0," ("&amp;F504&amp;")","")),"#"&amp;$A504)</f>
        <v/>
      </c>
      <c r="I504" s="209">
        <f>IF(LEN($A504)&gt;0,IF(LEN($J504)&gt;0,MATCH(J504,MatchNames,0),EventIndex),0)</f>
        <v>0</v>
      </c>
      <c r="J504" s="209" t="str">
        <f>IF(LEN($A504)&gt;0,IF(LEN(Declarations!$F504)&gt;0,Declarations!$F504,conftype),"")</f>
        <v/>
      </c>
      <c r="M504" s="297">
        <f>IF(ISNA(VLOOKUP($A504,SprintData,2,FALSE)),0,VLOOKUP($A504,SprintData,2,FALSE))</f>
        <v>0</v>
      </c>
      <c r="N504" s="297">
        <f>IF(ISNA(VLOOKUP($A504,JumpData,2,FALSE)),0,VLOOKUP($A504,JumpData,2,FALSE))</f>
        <v>0</v>
      </c>
      <c r="O504" s="297">
        <f>IF(ISNA(VLOOKUP($A504,RunData,2,FALSE)),0,VLOOKUP($A504,RunData,2,FALSE))</f>
        <v>0</v>
      </c>
      <c r="P504" s="297">
        <f>IF(ISNA(VLOOKUP($A504,ThrowData,2,FALSE)),0,VLOOKUP($A504,ThrowData,2,FALSE))</f>
        <v>0</v>
      </c>
      <c r="Q504" s="298">
        <f>IF(ISNA(VLOOKUP($A504,SprintData,4,FALSE)),0,VLOOKUP($A504,SprintData,4,FALSE))+V504</f>
        <v>0</v>
      </c>
      <c r="R504" s="298">
        <f>IF(ISNA(VLOOKUP($A504,JumpData,4,FALSE)),0,VLOOKUP($A504,JumpData,4,FALSE))+W504</f>
        <v>0</v>
      </c>
      <c r="S504" s="298">
        <f>IF(ISNA(VLOOKUP($A504,RunData,4,FALSE)),0,VLOOKUP($A504,RunData,4,FALSE))+X504</f>
        <v>0</v>
      </c>
      <c r="T504" s="298">
        <f>IF(ISNA(VLOOKUP($A504,ThrowData,4,FALSE)),0,VLOOKUP($A504,ThrowData,4,FALSE))+Y504</f>
        <v>0</v>
      </c>
      <c r="U504" s="299">
        <f t="shared" si="2"/>
        <v>0</v>
      </c>
      <c r="V504">
        <f>IF(AND($F504&gt;0,NOT(M504),Flexing),FlexPC,0)</f>
        <v>0</v>
      </c>
      <c r="W504">
        <f>IF(AND($F504&gt;0,NOT(N504),Flexing),FlexPC,0)</f>
        <v>0</v>
      </c>
      <c r="X504">
        <f>IF(AND($F504&gt;0,NOT(O504),Flexing),FlexPC,0)</f>
        <v>0</v>
      </c>
      <c r="Y504">
        <f>IF(AND($F504&gt;0,NOT(P504),Flexing),FlexPC,0)</f>
        <v>0</v>
      </c>
      <c r="AA504" s="209">
        <f t="shared" si="3"/>
        <v>503</v>
      </c>
    </row>
    <row r="505" ht="15.75" customHeight="1">
      <c r="A505" s="206" t="str">
        <f>+Declarations!A505&amp;""</f>
        <v/>
      </c>
      <c r="B505" t="str">
        <f>IF(LEN($A505),IF(LEN(Declarations!$B505)&gt;0,Declarations!$B505,"#"&amp;$A505),"")</f>
        <v/>
      </c>
      <c r="C505" s="209" t="str">
        <f t="array" ref="C505">IF(LEN(INDEX(DECLARATIONS,$AA505,3))&gt;0,INDEX(DECLARATIONS,$AA505,3),"...")</f>
        <v>...</v>
      </c>
      <c r="D505" s="209" t="str">
        <f t="shared" si="1"/>
        <v/>
      </c>
      <c r="E505" s="296" t="str">
        <f t="array" ref="E505">IF(ISNA($AA505),0,INDEX(DECLARATIONS,$AA505,5))</f>
        <v/>
      </c>
      <c r="F505" s="209" t="str">
        <f t="array" ref="F505">IF(ISNA($AA505),0,INDEX(DECLARATIONS,$AA505,7))</f>
        <v/>
      </c>
      <c r="G505" s="209" t="str">
        <f t="array" ref="G505">UPPER(IF(ISNA($AA505),"",INDEX(DECLARATIONS,$AA505,4)))</f>
        <v/>
      </c>
      <c r="H505" t="str">
        <f>IF(AND(A505&gt;0,ISTEXT(B505)),IF(SECNAME="YES",LEFT(B505&amp;" ",FIND(" ",B505&amp;" ")+2)&amp;IF(F505&gt;0," ("&amp;F505&amp;")",""),B505&amp;IF(F505&gt;0," ("&amp;F505&amp;")","")),"#"&amp;$A505)</f>
        <v/>
      </c>
      <c r="I505" s="209">
        <f>IF(LEN($A505)&gt;0,IF(LEN($J505)&gt;0,MATCH(J505,MatchNames,0),EventIndex),0)</f>
        <v>0</v>
      </c>
      <c r="J505" s="209" t="str">
        <f>IF(LEN($A505)&gt;0,IF(LEN(Declarations!$F505)&gt;0,Declarations!$F505,conftype),"")</f>
        <v/>
      </c>
      <c r="M505" s="297">
        <f>IF(ISNA(VLOOKUP($A505,SprintData,2,FALSE)),0,VLOOKUP($A505,SprintData,2,FALSE))</f>
        <v>0</v>
      </c>
      <c r="N505" s="297">
        <f>IF(ISNA(VLOOKUP($A505,JumpData,2,FALSE)),0,VLOOKUP($A505,JumpData,2,FALSE))</f>
        <v>0</v>
      </c>
      <c r="O505" s="297">
        <f>IF(ISNA(VLOOKUP($A505,RunData,2,FALSE)),0,VLOOKUP($A505,RunData,2,FALSE))</f>
        <v>0</v>
      </c>
      <c r="P505" s="297">
        <f>IF(ISNA(VLOOKUP($A505,ThrowData,2,FALSE)),0,VLOOKUP($A505,ThrowData,2,FALSE))</f>
        <v>0</v>
      </c>
      <c r="Q505" s="298">
        <f>IF(ISNA(VLOOKUP($A505,SprintData,4,FALSE)),0,VLOOKUP($A505,SprintData,4,FALSE))+V505</f>
        <v>0</v>
      </c>
      <c r="R505" s="298">
        <f>IF(ISNA(VLOOKUP($A505,JumpData,4,FALSE)),0,VLOOKUP($A505,JumpData,4,FALSE))+W505</f>
        <v>0</v>
      </c>
      <c r="S505" s="298">
        <f>IF(ISNA(VLOOKUP($A505,RunData,4,FALSE)),0,VLOOKUP($A505,RunData,4,FALSE))+X505</f>
        <v>0</v>
      </c>
      <c r="T505" s="298">
        <f>IF(ISNA(VLOOKUP($A505,ThrowData,4,FALSE)),0,VLOOKUP($A505,ThrowData,4,FALSE))+Y505</f>
        <v>0</v>
      </c>
      <c r="U505" s="299">
        <f t="shared" si="2"/>
        <v>0</v>
      </c>
      <c r="V505">
        <f>IF(AND($F505&gt;0,NOT(M505),Flexing),FlexPC,0)</f>
        <v>0</v>
      </c>
      <c r="W505">
        <f>IF(AND($F505&gt;0,NOT(N505),Flexing),FlexPC,0)</f>
        <v>0</v>
      </c>
      <c r="X505">
        <f>IF(AND($F505&gt;0,NOT(O505),Flexing),FlexPC,0)</f>
        <v>0</v>
      </c>
      <c r="Y505">
        <f>IF(AND($F505&gt;0,NOT(P505),Flexing),FlexPC,0)</f>
        <v>0</v>
      </c>
      <c r="AA505" s="209">
        <f t="shared" si="3"/>
        <v>504</v>
      </c>
    </row>
    <row r="506" ht="15.75" customHeight="1">
      <c r="A506" s="206" t="str">
        <f>+Declarations!A506&amp;""</f>
        <v/>
      </c>
      <c r="B506" t="str">
        <f>IF(LEN($A506),IF(LEN(Declarations!$B506)&gt;0,Declarations!$B506,"#"&amp;$A506),"")</f>
        <v/>
      </c>
      <c r="C506" s="209" t="str">
        <f t="array" ref="C506">IF(LEN(INDEX(DECLARATIONS,$AA506,3))&gt;0,INDEX(DECLARATIONS,$AA506,3),"...")</f>
        <v>...</v>
      </c>
      <c r="D506" s="209" t="str">
        <f t="shared" si="1"/>
        <v/>
      </c>
      <c r="E506" s="296" t="str">
        <f t="array" ref="E506">IF(ISNA($AA506),0,INDEX(DECLARATIONS,$AA506,5))</f>
        <v/>
      </c>
      <c r="F506" s="209" t="str">
        <f t="array" ref="F506">IF(ISNA($AA506),0,INDEX(DECLARATIONS,$AA506,7))</f>
        <v/>
      </c>
      <c r="G506" s="209" t="str">
        <f t="array" ref="G506">UPPER(IF(ISNA($AA506),"",INDEX(DECLARATIONS,$AA506,4)))</f>
        <v/>
      </c>
      <c r="H506" t="str">
        <f>IF(AND(A506&gt;0,ISTEXT(B506)),IF(SECNAME="YES",LEFT(B506&amp;" ",FIND(" ",B506&amp;" ")+2)&amp;IF(F506&gt;0," ("&amp;F506&amp;")",""),B506&amp;IF(F506&gt;0," ("&amp;F506&amp;")","")),"#"&amp;$A506)</f>
        <v/>
      </c>
      <c r="I506" s="209">
        <f>IF(LEN($A506)&gt;0,IF(LEN($J506)&gt;0,MATCH(J506,MatchNames,0),EventIndex),0)</f>
        <v>0</v>
      </c>
      <c r="J506" s="209" t="str">
        <f>IF(LEN($A506)&gt;0,IF(LEN(Declarations!$F506)&gt;0,Declarations!$F506,conftype),"")</f>
        <v/>
      </c>
      <c r="M506" s="297">
        <f>IF(ISNA(VLOOKUP($A506,SprintData,2,FALSE)),0,VLOOKUP($A506,SprintData,2,FALSE))</f>
        <v>0</v>
      </c>
      <c r="N506" s="297">
        <f>IF(ISNA(VLOOKUP($A506,JumpData,2,FALSE)),0,VLOOKUP($A506,JumpData,2,FALSE))</f>
        <v>0</v>
      </c>
      <c r="O506" s="297">
        <f>IF(ISNA(VLOOKUP($A506,RunData,2,FALSE)),0,VLOOKUP($A506,RunData,2,FALSE))</f>
        <v>0</v>
      </c>
      <c r="P506" s="297">
        <f>IF(ISNA(VLOOKUP($A506,ThrowData,2,FALSE)),0,VLOOKUP($A506,ThrowData,2,FALSE))</f>
        <v>0</v>
      </c>
      <c r="Q506" s="298">
        <f>IF(ISNA(VLOOKUP($A506,SprintData,4,FALSE)),0,VLOOKUP($A506,SprintData,4,FALSE))+V506</f>
        <v>0</v>
      </c>
      <c r="R506" s="298">
        <f>IF(ISNA(VLOOKUP($A506,JumpData,4,FALSE)),0,VLOOKUP($A506,JumpData,4,FALSE))+W506</f>
        <v>0</v>
      </c>
      <c r="S506" s="298">
        <f>IF(ISNA(VLOOKUP($A506,RunData,4,FALSE)),0,VLOOKUP($A506,RunData,4,FALSE))+X506</f>
        <v>0</v>
      </c>
      <c r="T506" s="298">
        <f>IF(ISNA(VLOOKUP($A506,ThrowData,4,FALSE)),0,VLOOKUP($A506,ThrowData,4,FALSE))+Y506</f>
        <v>0</v>
      </c>
      <c r="U506" s="299">
        <f t="shared" si="2"/>
        <v>0</v>
      </c>
      <c r="V506">
        <f>IF(AND($F506&gt;0,NOT(M506),Flexing),FlexPC,0)</f>
        <v>0</v>
      </c>
      <c r="W506">
        <f>IF(AND($F506&gt;0,NOT(N506),Flexing),FlexPC,0)</f>
        <v>0</v>
      </c>
      <c r="X506">
        <f>IF(AND($F506&gt;0,NOT(O506),Flexing),FlexPC,0)</f>
        <v>0</v>
      </c>
      <c r="Y506">
        <f>IF(AND($F506&gt;0,NOT(P506),Flexing),FlexPC,0)</f>
        <v>0</v>
      </c>
      <c r="AA506" s="209">
        <f t="shared" si="3"/>
        <v>505</v>
      </c>
    </row>
    <row r="507" ht="15.75" customHeight="1">
      <c r="A507" s="206" t="str">
        <f>+Declarations!A507&amp;""</f>
        <v/>
      </c>
      <c r="B507" t="str">
        <f>IF(LEN($A507),IF(LEN(Declarations!$B507)&gt;0,Declarations!$B507,"#"&amp;$A507),"")</f>
        <v/>
      </c>
      <c r="C507" s="209" t="str">
        <f t="array" ref="C507">IF(LEN(INDEX(DECLARATIONS,$AA507,3))&gt;0,INDEX(DECLARATIONS,$AA507,3),"...")</f>
        <v>...</v>
      </c>
      <c r="D507" s="209" t="str">
        <f t="shared" si="1"/>
        <v/>
      </c>
      <c r="E507" s="296" t="str">
        <f t="array" ref="E507">IF(ISNA($AA507),0,INDEX(DECLARATIONS,$AA507,5))</f>
        <v/>
      </c>
      <c r="F507" s="209" t="str">
        <f t="array" ref="F507">IF(ISNA($AA507),0,INDEX(DECLARATIONS,$AA507,7))</f>
        <v/>
      </c>
      <c r="G507" s="209" t="str">
        <f t="array" ref="G507">UPPER(IF(ISNA($AA507),"",INDEX(DECLARATIONS,$AA507,4)))</f>
        <v/>
      </c>
      <c r="H507" t="str">
        <f>IF(AND(A507&gt;0,ISTEXT(B507)),IF(SECNAME="YES",LEFT(B507&amp;" ",FIND(" ",B507&amp;" ")+2)&amp;IF(F507&gt;0," ("&amp;F507&amp;")",""),B507&amp;IF(F507&gt;0," ("&amp;F507&amp;")","")),"#"&amp;$A507)</f>
        <v/>
      </c>
      <c r="I507" s="209">
        <f>IF(LEN($A507)&gt;0,IF(LEN($J507)&gt;0,MATCH(J507,MatchNames,0),EventIndex),0)</f>
        <v>0</v>
      </c>
      <c r="J507" s="209" t="str">
        <f>IF(LEN($A507)&gt;0,IF(LEN(Declarations!$F507)&gt;0,Declarations!$F507,conftype),"")</f>
        <v/>
      </c>
      <c r="M507" s="297">
        <f>IF(ISNA(VLOOKUP($A507,SprintData,2,FALSE)),0,VLOOKUP($A507,SprintData,2,FALSE))</f>
        <v>0</v>
      </c>
      <c r="N507" s="297">
        <f>IF(ISNA(VLOOKUP($A507,JumpData,2,FALSE)),0,VLOOKUP($A507,JumpData,2,FALSE))</f>
        <v>0</v>
      </c>
      <c r="O507" s="297">
        <f>IF(ISNA(VLOOKUP($A507,RunData,2,FALSE)),0,VLOOKUP($A507,RunData,2,FALSE))</f>
        <v>0</v>
      </c>
      <c r="P507" s="297">
        <f>IF(ISNA(VLOOKUP($A507,ThrowData,2,FALSE)),0,VLOOKUP($A507,ThrowData,2,FALSE))</f>
        <v>0</v>
      </c>
      <c r="Q507" s="298">
        <f>IF(ISNA(VLOOKUP($A507,SprintData,4,FALSE)),0,VLOOKUP($A507,SprintData,4,FALSE))+V507</f>
        <v>0</v>
      </c>
      <c r="R507" s="298">
        <f>IF(ISNA(VLOOKUP($A507,JumpData,4,FALSE)),0,VLOOKUP($A507,JumpData,4,FALSE))+W507</f>
        <v>0</v>
      </c>
      <c r="S507" s="298">
        <f>IF(ISNA(VLOOKUP($A507,RunData,4,FALSE)),0,VLOOKUP($A507,RunData,4,FALSE))+X507</f>
        <v>0</v>
      </c>
      <c r="T507" s="298">
        <f>IF(ISNA(VLOOKUP($A507,ThrowData,4,FALSE)),0,VLOOKUP($A507,ThrowData,4,FALSE))+Y507</f>
        <v>0</v>
      </c>
      <c r="U507" s="299">
        <f t="shared" si="2"/>
        <v>0</v>
      </c>
      <c r="V507">
        <f>IF(AND($F507&gt;0,NOT(M507),Flexing),FlexPC,0)</f>
        <v>0</v>
      </c>
      <c r="W507">
        <f>IF(AND($F507&gt;0,NOT(N507),Flexing),FlexPC,0)</f>
        <v>0</v>
      </c>
      <c r="X507">
        <f>IF(AND($F507&gt;0,NOT(O507),Flexing),FlexPC,0)</f>
        <v>0</v>
      </c>
      <c r="Y507">
        <f>IF(AND($F507&gt;0,NOT(P507),Flexing),FlexPC,0)</f>
        <v>0</v>
      </c>
      <c r="AA507" s="209">
        <f t="shared" si="3"/>
        <v>506</v>
      </c>
    </row>
    <row r="508" ht="15.75" customHeight="1">
      <c r="A508" s="206" t="str">
        <f>+Declarations!A508&amp;""</f>
        <v/>
      </c>
      <c r="B508" t="str">
        <f>IF(LEN($A508),IF(LEN(Declarations!$B508)&gt;0,Declarations!$B508,"#"&amp;$A508),"")</f>
        <v/>
      </c>
      <c r="C508" s="209" t="str">
        <f t="array" ref="C508">IF(LEN(INDEX(DECLARATIONS,$AA508,3))&gt;0,INDEX(DECLARATIONS,$AA508,3),"...")</f>
        <v>...</v>
      </c>
      <c r="D508" s="209" t="str">
        <f t="shared" si="1"/>
        <v/>
      </c>
      <c r="E508" s="296" t="str">
        <f t="array" ref="E508">IF(ISNA($AA508),0,INDEX(DECLARATIONS,$AA508,5))</f>
        <v/>
      </c>
      <c r="F508" s="209" t="str">
        <f t="array" ref="F508">IF(ISNA($AA508),0,INDEX(DECLARATIONS,$AA508,7))</f>
        <v/>
      </c>
      <c r="G508" s="209" t="str">
        <f t="array" ref="G508">UPPER(IF(ISNA($AA508),"",INDEX(DECLARATIONS,$AA508,4)))</f>
        <v/>
      </c>
      <c r="H508" t="str">
        <f>IF(AND(A508&gt;0,ISTEXT(B508)),IF(SECNAME="YES",LEFT(B508&amp;" ",FIND(" ",B508&amp;" ")+2)&amp;IF(F508&gt;0," ("&amp;F508&amp;")",""),B508&amp;IF(F508&gt;0," ("&amp;F508&amp;")","")),"#"&amp;$A508)</f>
        <v/>
      </c>
      <c r="I508" s="209">
        <f>IF(LEN($A508)&gt;0,IF(LEN($J508)&gt;0,MATCH(J508,MatchNames,0),EventIndex),0)</f>
        <v>0</v>
      </c>
      <c r="J508" s="209" t="str">
        <f>IF(LEN($A508)&gt;0,IF(LEN(Declarations!$F508)&gt;0,Declarations!$F508,conftype),"")</f>
        <v/>
      </c>
      <c r="M508" s="297">
        <f>IF(ISNA(VLOOKUP($A508,SprintData,2,FALSE)),0,VLOOKUP($A508,SprintData,2,FALSE))</f>
        <v>0</v>
      </c>
      <c r="N508" s="297">
        <f>IF(ISNA(VLOOKUP($A508,JumpData,2,FALSE)),0,VLOOKUP($A508,JumpData,2,FALSE))</f>
        <v>0</v>
      </c>
      <c r="O508" s="297">
        <f>IF(ISNA(VLOOKUP($A508,RunData,2,FALSE)),0,VLOOKUP($A508,RunData,2,FALSE))</f>
        <v>0</v>
      </c>
      <c r="P508" s="297">
        <f>IF(ISNA(VLOOKUP($A508,ThrowData,2,FALSE)),0,VLOOKUP($A508,ThrowData,2,FALSE))</f>
        <v>0</v>
      </c>
      <c r="Q508" s="298">
        <f>IF(ISNA(VLOOKUP($A508,SprintData,4,FALSE)),0,VLOOKUP($A508,SprintData,4,FALSE))+V508</f>
        <v>0</v>
      </c>
      <c r="R508" s="298">
        <f>IF(ISNA(VLOOKUP($A508,JumpData,4,FALSE)),0,VLOOKUP($A508,JumpData,4,FALSE))+W508</f>
        <v>0</v>
      </c>
      <c r="S508" s="298">
        <f>IF(ISNA(VLOOKUP($A508,RunData,4,FALSE)),0,VLOOKUP($A508,RunData,4,FALSE))+X508</f>
        <v>0</v>
      </c>
      <c r="T508" s="298">
        <f>IF(ISNA(VLOOKUP($A508,ThrowData,4,FALSE)),0,VLOOKUP($A508,ThrowData,4,FALSE))+Y508</f>
        <v>0</v>
      </c>
      <c r="U508" s="299">
        <f t="shared" si="2"/>
        <v>0</v>
      </c>
      <c r="V508">
        <f>IF(AND($F508&gt;0,NOT(M508),Flexing),FlexPC,0)</f>
        <v>0</v>
      </c>
      <c r="W508">
        <f>IF(AND($F508&gt;0,NOT(N508),Flexing),FlexPC,0)</f>
        <v>0</v>
      </c>
      <c r="X508">
        <f>IF(AND($F508&gt;0,NOT(O508),Flexing),FlexPC,0)</f>
        <v>0</v>
      </c>
      <c r="Y508">
        <f>IF(AND($F508&gt;0,NOT(P508),Flexing),FlexPC,0)</f>
        <v>0</v>
      </c>
      <c r="AA508" s="209">
        <f t="shared" si="3"/>
        <v>507</v>
      </c>
    </row>
    <row r="509" ht="15.75" customHeight="1">
      <c r="A509" s="206" t="str">
        <f>+Declarations!A509&amp;""</f>
        <v/>
      </c>
      <c r="B509" t="str">
        <f>IF(LEN($A509),IF(LEN(Declarations!$B509)&gt;0,Declarations!$B509,"#"&amp;$A509),"")</f>
        <v/>
      </c>
      <c r="C509" s="209" t="str">
        <f t="array" ref="C509">IF(LEN(INDEX(DECLARATIONS,$AA509,3))&gt;0,INDEX(DECLARATIONS,$AA509,3),"...")</f>
        <v>...</v>
      </c>
      <c r="D509" s="209" t="str">
        <f t="shared" si="1"/>
        <v/>
      </c>
      <c r="E509" s="296" t="str">
        <f t="array" ref="E509">IF(ISNA($AA509),0,INDEX(DECLARATIONS,$AA509,5))</f>
        <v/>
      </c>
      <c r="F509" s="209" t="str">
        <f t="array" ref="F509">IF(ISNA($AA509),0,INDEX(DECLARATIONS,$AA509,7))</f>
        <v/>
      </c>
      <c r="G509" s="209" t="str">
        <f t="array" ref="G509">UPPER(IF(ISNA($AA509),"",INDEX(DECLARATIONS,$AA509,4)))</f>
        <v/>
      </c>
      <c r="H509" t="str">
        <f>IF(AND(A509&gt;0,ISTEXT(B509)),IF(SECNAME="YES",LEFT(B509&amp;" ",FIND(" ",B509&amp;" ")+2)&amp;IF(F509&gt;0," ("&amp;F509&amp;")",""),B509&amp;IF(F509&gt;0," ("&amp;F509&amp;")","")),"#"&amp;$A509)</f>
        <v/>
      </c>
      <c r="I509" s="209">
        <f>IF(LEN($A509)&gt;0,IF(LEN($J509)&gt;0,MATCH(J509,MatchNames,0),EventIndex),0)</f>
        <v>0</v>
      </c>
      <c r="J509" s="209" t="str">
        <f>IF(LEN($A509)&gt;0,IF(LEN(Declarations!$F509)&gt;0,Declarations!$F509,conftype),"")</f>
        <v/>
      </c>
      <c r="M509" s="297">
        <f>IF(ISNA(VLOOKUP($A509,SprintData,2,FALSE)),0,VLOOKUP($A509,SprintData,2,FALSE))</f>
        <v>0</v>
      </c>
      <c r="N509" s="297">
        <f>IF(ISNA(VLOOKUP($A509,JumpData,2,FALSE)),0,VLOOKUP($A509,JumpData,2,FALSE))</f>
        <v>0</v>
      </c>
      <c r="O509" s="297">
        <f>IF(ISNA(VLOOKUP($A509,RunData,2,FALSE)),0,VLOOKUP($A509,RunData,2,FALSE))</f>
        <v>0</v>
      </c>
      <c r="P509" s="297">
        <f>IF(ISNA(VLOOKUP($A509,ThrowData,2,FALSE)),0,VLOOKUP($A509,ThrowData,2,FALSE))</f>
        <v>0</v>
      </c>
      <c r="Q509" s="298">
        <f>IF(ISNA(VLOOKUP($A509,SprintData,4,FALSE)),0,VLOOKUP($A509,SprintData,4,FALSE))+V509</f>
        <v>0</v>
      </c>
      <c r="R509" s="298">
        <f>IF(ISNA(VLOOKUP($A509,JumpData,4,FALSE)),0,VLOOKUP($A509,JumpData,4,FALSE))+W509</f>
        <v>0</v>
      </c>
      <c r="S509" s="298">
        <f>IF(ISNA(VLOOKUP($A509,RunData,4,FALSE)),0,VLOOKUP($A509,RunData,4,FALSE))+X509</f>
        <v>0</v>
      </c>
      <c r="T509" s="298">
        <f>IF(ISNA(VLOOKUP($A509,ThrowData,4,FALSE)),0,VLOOKUP($A509,ThrowData,4,FALSE))+Y509</f>
        <v>0</v>
      </c>
      <c r="U509" s="299">
        <f t="shared" si="2"/>
        <v>0</v>
      </c>
      <c r="V509">
        <f>IF(AND($F509&gt;0,NOT(M509),Flexing),FlexPC,0)</f>
        <v>0</v>
      </c>
      <c r="W509">
        <f>IF(AND($F509&gt;0,NOT(N509),Flexing),FlexPC,0)</f>
        <v>0</v>
      </c>
      <c r="X509">
        <f>IF(AND($F509&gt;0,NOT(O509),Flexing),FlexPC,0)</f>
        <v>0</v>
      </c>
      <c r="Y509">
        <f>IF(AND($F509&gt;0,NOT(P509),Flexing),FlexPC,0)</f>
        <v>0</v>
      </c>
      <c r="AA509" s="209">
        <f t="shared" si="3"/>
        <v>508</v>
      </c>
    </row>
    <row r="510" ht="15.75" customHeight="1">
      <c r="A510" s="206" t="str">
        <f>+Declarations!A510&amp;""</f>
        <v/>
      </c>
      <c r="B510" t="str">
        <f>IF(LEN($A510),IF(LEN(Declarations!$B510)&gt;0,Declarations!$B510,"#"&amp;$A510),"")</f>
        <v/>
      </c>
      <c r="C510" s="209" t="str">
        <f t="array" ref="C510">IF(LEN(INDEX(DECLARATIONS,$AA510,3))&gt;0,INDEX(DECLARATIONS,$AA510,3),"...")</f>
        <v>...</v>
      </c>
      <c r="D510" s="209" t="str">
        <f t="shared" si="1"/>
        <v/>
      </c>
      <c r="E510" s="296" t="str">
        <f t="array" ref="E510">IF(ISNA($AA510),0,INDEX(DECLARATIONS,$AA510,5))</f>
        <v/>
      </c>
      <c r="F510" s="209" t="str">
        <f t="array" ref="F510">IF(ISNA($AA510),0,INDEX(DECLARATIONS,$AA510,7))</f>
        <v/>
      </c>
      <c r="G510" s="209" t="str">
        <f t="array" ref="G510">UPPER(IF(ISNA($AA510),"",INDEX(DECLARATIONS,$AA510,4)))</f>
        <v/>
      </c>
      <c r="H510" t="str">
        <f>IF(AND(A510&gt;0,ISTEXT(B510)),IF(SECNAME="YES",LEFT(B510&amp;" ",FIND(" ",B510&amp;" ")+2)&amp;IF(F510&gt;0," ("&amp;F510&amp;")",""),B510&amp;IF(F510&gt;0," ("&amp;F510&amp;")","")),"#"&amp;$A510)</f>
        <v/>
      </c>
      <c r="I510" s="209">
        <f>IF(LEN($A510)&gt;0,IF(LEN($J510)&gt;0,MATCH(J510,MatchNames,0),EventIndex),0)</f>
        <v>0</v>
      </c>
      <c r="J510" s="209" t="str">
        <f>IF(LEN($A510)&gt;0,IF(LEN(Declarations!$F510)&gt;0,Declarations!$F510,conftype),"")</f>
        <v/>
      </c>
      <c r="M510" s="297">
        <f>IF(ISNA(VLOOKUP($A510,SprintData,2,FALSE)),0,VLOOKUP($A510,SprintData,2,FALSE))</f>
        <v>0</v>
      </c>
      <c r="N510" s="297">
        <f>IF(ISNA(VLOOKUP($A510,JumpData,2,FALSE)),0,VLOOKUP($A510,JumpData,2,FALSE))</f>
        <v>0</v>
      </c>
      <c r="O510" s="297">
        <f>IF(ISNA(VLOOKUP($A510,RunData,2,FALSE)),0,VLOOKUP($A510,RunData,2,FALSE))</f>
        <v>0</v>
      </c>
      <c r="P510" s="297">
        <f>IF(ISNA(VLOOKUP($A510,ThrowData,2,FALSE)),0,VLOOKUP($A510,ThrowData,2,FALSE))</f>
        <v>0</v>
      </c>
      <c r="Q510" s="298">
        <f>IF(ISNA(VLOOKUP($A510,SprintData,4,FALSE)),0,VLOOKUP($A510,SprintData,4,FALSE))+V510</f>
        <v>0</v>
      </c>
      <c r="R510" s="298">
        <f>IF(ISNA(VLOOKUP($A510,JumpData,4,FALSE)),0,VLOOKUP($A510,JumpData,4,FALSE))+W510</f>
        <v>0</v>
      </c>
      <c r="S510" s="298">
        <f>IF(ISNA(VLOOKUP($A510,RunData,4,FALSE)),0,VLOOKUP($A510,RunData,4,FALSE))+X510</f>
        <v>0</v>
      </c>
      <c r="T510" s="298">
        <f>IF(ISNA(VLOOKUP($A510,ThrowData,4,FALSE)),0,VLOOKUP($A510,ThrowData,4,FALSE))+Y510</f>
        <v>0</v>
      </c>
      <c r="U510" s="299">
        <f t="shared" si="2"/>
        <v>0</v>
      </c>
      <c r="V510">
        <f>IF(AND($F510&gt;0,NOT(M510),Flexing),FlexPC,0)</f>
        <v>0</v>
      </c>
      <c r="W510">
        <f>IF(AND($F510&gt;0,NOT(N510),Flexing),FlexPC,0)</f>
        <v>0</v>
      </c>
      <c r="X510">
        <f>IF(AND($F510&gt;0,NOT(O510),Flexing),FlexPC,0)</f>
        <v>0</v>
      </c>
      <c r="Y510">
        <f>IF(AND($F510&gt;0,NOT(P510),Flexing),FlexPC,0)</f>
        <v>0</v>
      </c>
      <c r="AA510" s="209">
        <f t="shared" si="3"/>
        <v>509</v>
      </c>
    </row>
    <row r="511" ht="15.75" customHeight="1">
      <c r="A511" s="206" t="str">
        <f>+Declarations!A511&amp;""</f>
        <v/>
      </c>
      <c r="B511" t="str">
        <f>IF(LEN($A511),IF(LEN(Declarations!$B511)&gt;0,Declarations!$B511,"#"&amp;$A511),"")</f>
        <v/>
      </c>
      <c r="C511" s="209" t="str">
        <f t="array" ref="C511">IF(LEN(INDEX(DECLARATIONS,$AA511,3))&gt;0,INDEX(DECLARATIONS,$AA511,3),"...")</f>
        <v>...</v>
      </c>
      <c r="D511" s="209" t="str">
        <f t="shared" si="1"/>
        <v/>
      </c>
      <c r="E511" s="296" t="str">
        <f t="array" ref="E511">IF(ISNA($AA511),0,INDEX(DECLARATIONS,$AA511,5))</f>
        <v/>
      </c>
      <c r="F511" s="209" t="str">
        <f t="array" ref="F511">IF(ISNA($AA511),0,INDEX(DECLARATIONS,$AA511,7))</f>
        <v/>
      </c>
      <c r="G511" s="209" t="str">
        <f t="array" ref="G511">UPPER(IF(ISNA($AA511),"",INDEX(DECLARATIONS,$AA511,4)))</f>
        <v/>
      </c>
      <c r="H511" t="str">
        <f>IF(AND(A511&gt;0,ISTEXT(B511)),IF(SECNAME="YES",LEFT(B511&amp;" ",FIND(" ",B511&amp;" ")+2)&amp;IF(F511&gt;0," ("&amp;F511&amp;")",""),B511&amp;IF(F511&gt;0," ("&amp;F511&amp;")","")),"#"&amp;$A511)</f>
        <v/>
      </c>
      <c r="I511" s="209">
        <f>IF(LEN($A511)&gt;0,IF(LEN($J511)&gt;0,MATCH(J511,MatchNames,0),EventIndex),0)</f>
        <v>0</v>
      </c>
      <c r="J511" s="209" t="str">
        <f>IF(LEN($A511)&gt;0,IF(LEN(Declarations!$F511)&gt;0,Declarations!$F511,conftype),"")</f>
        <v/>
      </c>
      <c r="M511" s="297">
        <f>IF(ISNA(VLOOKUP($A511,SprintData,2,FALSE)),0,VLOOKUP($A511,SprintData,2,FALSE))</f>
        <v>0</v>
      </c>
      <c r="N511" s="297">
        <f>IF(ISNA(VLOOKUP($A511,JumpData,2,FALSE)),0,VLOOKUP($A511,JumpData,2,FALSE))</f>
        <v>0</v>
      </c>
      <c r="O511" s="297">
        <f>IF(ISNA(VLOOKUP($A511,RunData,2,FALSE)),0,VLOOKUP($A511,RunData,2,FALSE))</f>
        <v>0</v>
      </c>
      <c r="P511" s="297">
        <f>IF(ISNA(VLOOKUP($A511,ThrowData,2,FALSE)),0,VLOOKUP($A511,ThrowData,2,FALSE))</f>
        <v>0</v>
      </c>
      <c r="Q511" s="298">
        <f>IF(ISNA(VLOOKUP($A511,SprintData,4,FALSE)),0,VLOOKUP($A511,SprintData,4,FALSE))+V511</f>
        <v>0</v>
      </c>
      <c r="R511" s="298">
        <f>IF(ISNA(VLOOKUP($A511,JumpData,4,FALSE)),0,VLOOKUP($A511,JumpData,4,FALSE))+W511</f>
        <v>0</v>
      </c>
      <c r="S511" s="298">
        <f>IF(ISNA(VLOOKUP($A511,RunData,4,FALSE)),0,VLOOKUP($A511,RunData,4,FALSE))+X511</f>
        <v>0</v>
      </c>
      <c r="T511" s="298">
        <f>IF(ISNA(VLOOKUP($A511,ThrowData,4,FALSE)),0,VLOOKUP($A511,ThrowData,4,FALSE))+Y511</f>
        <v>0</v>
      </c>
      <c r="U511" s="299">
        <f t="shared" si="2"/>
        <v>0</v>
      </c>
      <c r="V511">
        <f>IF(AND($F511&gt;0,NOT(M511),Flexing),FlexPC,0)</f>
        <v>0</v>
      </c>
      <c r="W511">
        <f>IF(AND($F511&gt;0,NOT(N511),Flexing),FlexPC,0)</f>
        <v>0</v>
      </c>
      <c r="X511">
        <f>IF(AND($F511&gt;0,NOT(O511),Flexing),FlexPC,0)</f>
        <v>0</v>
      </c>
      <c r="Y511">
        <f>IF(AND($F511&gt;0,NOT(P511),Flexing),FlexPC,0)</f>
        <v>0</v>
      </c>
      <c r="AA511" s="209">
        <f t="shared" si="3"/>
        <v>510</v>
      </c>
    </row>
    <row r="512" ht="15.75" customHeight="1">
      <c r="A512" s="206" t="str">
        <f>+Declarations!A512&amp;""</f>
        <v/>
      </c>
      <c r="B512" t="str">
        <f>IF(LEN($A512),IF(LEN(Declarations!$B512)&gt;0,Declarations!$B512,"#"&amp;$A512),"")</f>
        <v/>
      </c>
      <c r="C512" s="209" t="str">
        <f t="array" ref="C512">IF(LEN(INDEX(DECLARATIONS,$AA512,3))&gt;0,INDEX(DECLARATIONS,$AA512,3),"...")</f>
        <v>...</v>
      </c>
      <c r="D512" s="209" t="str">
        <f t="shared" si="1"/>
        <v/>
      </c>
      <c r="E512" s="296" t="str">
        <f t="array" ref="E512">IF(ISNA($AA512),0,INDEX(DECLARATIONS,$AA512,5))</f>
        <v/>
      </c>
      <c r="F512" s="209" t="str">
        <f t="array" ref="F512">IF(ISNA($AA512),0,INDEX(DECLARATIONS,$AA512,7))</f>
        <v/>
      </c>
      <c r="G512" s="209" t="str">
        <f t="array" ref="G512">UPPER(IF(ISNA($AA512),"",INDEX(DECLARATIONS,$AA512,4)))</f>
        <v/>
      </c>
      <c r="H512" t="str">
        <f>IF(AND(A512&gt;0,ISTEXT(B512)),IF(SECNAME="YES",LEFT(B512&amp;" ",FIND(" ",B512&amp;" ")+2)&amp;IF(F512&gt;0," ("&amp;F512&amp;")",""),B512&amp;IF(F512&gt;0," ("&amp;F512&amp;")","")),"#"&amp;$A512)</f>
        <v/>
      </c>
      <c r="I512" s="209">
        <f>IF(LEN($A512)&gt;0,IF(LEN($J512)&gt;0,MATCH(J512,MatchNames,0),EventIndex),0)</f>
        <v>0</v>
      </c>
      <c r="J512" s="209" t="str">
        <f>IF(LEN($A512)&gt;0,IF(LEN(Declarations!$F512)&gt;0,Declarations!$F512,conftype),"")</f>
        <v/>
      </c>
      <c r="M512" s="297">
        <f>IF(ISNA(VLOOKUP($A512,SprintData,2,FALSE)),0,VLOOKUP($A512,SprintData,2,FALSE))</f>
        <v>0</v>
      </c>
      <c r="N512" s="297">
        <f>IF(ISNA(VLOOKUP($A512,JumpData,2,FALSE)),0,VLOOKUP($A512,JumpData,2,FALSE))</f>
        <v>0</v>
      </c>
      <c r="O512" s="297">
        <f>IF(ISNA(VLOOKUP($A512,RunData,2,FALSE)),0,VLOOKUP($A512,RunData,2,FALSE))</f>
        <v>0</v>
      </c>
      <c r="P512" s="297">
        <f>IF(ISNA(VLOOKUP($A512,ThrowData,2,FALSE)),0,VLOOKUP($A512,ThrowData,2,FALSE))</f>
        <v>0</v>
      </c>
      <c r="Q512" s="298">
        <f>IF(ISNA(VLOOKUP($A512,SprintData,4,FALSE)),0,VLOOKUP($A512,SprintData,4,FALSE))+V512</f>
        <v>0</v>
      </c>
      <c r="R512" s="298">
        <f>IF(ISNA(VLOOKUP($A512,JumpData,4,FALSE)),0,VLOOKUP($A512,JumpData,4,FALSE))+W512</f>
        <v>0</v>
      </c>
      <c r="S512" s="298">
        <f>IF(ISNA(VLOOKUP($A512,RunData,4,FALSE)),0,VLOOKUP($A512,RunData,4,FALSE))+X512</f>
        <v>0</v>
      </c>
      <c r="T512" s="298">
        <f>IF(ISNA(VLOOKUP($A512,ThrowData,4,FALSE)),0,VLOOKUP($A512,ThrowData,4,FALSE))+Y512</f>
        <v>0</v>
      </c>
      <c r="U512" s="299">
        <f t="shared" si="2"/>
        <v>0</v>
      </c>
      <c r="V512">
        <f>IF(AND($F512&gt;0,NOT(M512),Flexing),FlexPC,0)</f>
        <v>0</v>
      </c>
      <c r="W512">
        <f>IF(AND($F512&gt;0,NOT(N512),Flexing),FlexPC,0)</f>
        <v>0</v>
      </c>
      <c r="X512">
        <f>IF(AND($F512&gt;0,NOT(O512),Flexing),FlexPC,0)</f>
        <v>0</v>
      </c>
      <c r="Y512">
        <f>IF(AND($F512&gt;0,NOT(P512),Flexing),FlexPC,0)</f>
        <v>0</v>
      </c>
      <c r="AA512" s="209">
        <f t="shared" si="3"/>
        <v>511</v>
      </c>
    </row>
    <row r="513" ht="15.75" customHeight="1">
      <c r="A513" s="206" t="str">
        <f>+Declarations!A513&amp;""</f>
        <v/>
      </c>
      <c r="B513" t="str">
        <f>IF(LEN($A513),IF(LEN(Declarations!$B513)&gt;0,Declarations!$B513,"#"&amp;$A513),"")</f>
        <v/>
      </c>
      <c r="C513" s="209" t="str">
        <f t="array" ref="C513">IF(LEN(INDEX(DECLARATIONS,$AA513,3))&gt;0,INDEX(DECLARATIONS,$AA513,3),"...")</f>
        <v>...</v>
      </c>
      <c r="D513" s="209" t="str">
        <f t="shared" si="1"/>
        <v/>
      </c>
      <c r="E513" s="296" t="str">
        <f t="array" ref="E513">IF(ISNA($AA513),0,INDEX(DECLARATIONS,$AA513,5))</f>
        <v/>
      </c>
      <c r="F513" s="209" t="str">
        <f t="array" ref="F513">IF(ISNA($AA513),0,INDEX(DECLARATIONS,$AA513,7))</f>
        <v/>
      </c>
      <c r="G513" s="209" t="str">
        <f t="array" ref="G513">UPPER(IF(ISNA($AA513),"",INDEX(DECLARATIONS,$AA513,4)))</f>
        <v/>
      </c>
      <c r="H513" t="str">
        <f>IF(AND(A513&gt;0,ISTEXT(B513)),IF(SECNAME="YES",LEFT(B513&amp;" ",FIND(" ",B513&amp;" ")+2)&amp;IF(F513&gt;0," ("&amp;F513&amp;")",""),B513&amp;IF(F513&gt;0," ("&amp;F513&amp;")","")),"#"&amp;$A513)</f>
        <v/>
      </c>
      <c r="I513" s="209">
        <f>IF(LEN($A513)&gt;0,IF(LEN($J513)&gt;0,MATCH(J513,MatchNames,0),EventIndex),0)</f>
        <v>0</v>
      </c>
      <c r="J513" s="209" t="str">
        <f>IF(LEN($A513)&gt;0,IF(LEN(Declarations!$F513)&gt;0,Declarations!$F513,conftype),"")</f>
        <v/>
      </c>
      <c r="M513" s="297">
        <f>IF(ISNA(VLOOKUP($A513,SprintData,2,FALSE)),0,VLOOKUP($A513,SprintData,2,FALSE))</f>
        <v>0</v>
      </c>
      <c r="N513" s="297">
        <f>IF(ISNA(VLOOKUP($A513,JumpData,2,FALSE)),0,VLOOKUP($A513,JumpData,2,FALSE))</f>
        <v>0</v>
      </c>
      <c r="O513" s="297">
        <f>IF(ISNA(VLOOKUP($A513,RunData,2,FALSE)),0,VLOOKUP($A513,RunData,2,FALSE))</f>
        <v>0</v>
      </c>
      <c r="P513" s="297">
        <f>IF(ISNA(VLOOKUP($A513,ThrowData,2,FALSE)),0,VLOOKUP($A513,ThrowData,2,FALSE))</f>
        <v>0</v>
      </c>
      <c r="Q513" s="298">
        <f>IF(ISNA(VLOOKUP($A513,SprintData,4,FALSE)),0,VLOOKUP($A513,SprintData,4,FALSE))+V513</f>
        <v>0</v>
      </c>
      <c r="R513" s="298">
        <f>IF(ISNA(VLOOKUP($A513,JumpData,4,FALSE)),0,VLOOKUP($A513,JumpData,4,FALSE))+W513</f>
        <v>0</v>
      </c>
      <c r="S513" s="298">
        <f>IF(ISNA(VLOOKUP($A513,RunData,4,FALSE)),0,VLOOKUP($A513,RunData,4,FALSE))+X513</f>
        <v>0</v>
      </c>
      <c r="T513" s="298">
        <f>IF(ISNA(VLOOKUP($A513,ThrowData,4,FALSE)),0,VLOOKUP($A513,ThrowData,4,FALSE))+Y513</f>
        <v>0</v>
      </c>
      <c r="U513" s="299">
        <f t="shared" si="2"/>
        <v>0</v>
      </c>
      <c r="V513">
        <f>IF(AND($F513&gt;0,NOT(M513),Flexing),FlexPC,0)</f>
        <v>0</v>
      </c>
      <c r="W513">
        <f>IF(AND($F513&gt;0,NOT(N513),Flexing),FlexPC,0)</f>
        <v>0</v>
      </c>
      <c r="X513">
        <f>IF(AND($F513&gt;0,NOT(O513),Flexing),FlexPC,0)</f>
        <v>0</v>
      </c>
      <c r="Y513">
        <f>IF(AND($F513&gt;0,NOT(P513),Flexing),FlexPC,0)</f>
        <v>0</v>
      </c>
      <c r="AA513" s="209">
        <f t="shared" si="3"/>
        <v>512</v>
      </c>
    </row>
    <row r="514" ht="15.75" customHeight="1">
      <c r="A514" s="206" t="str">
        <f>+Declarations!A514&amp;""</f>
        <v/>
      </c>
      <c r="B514" t="str">
        <f>IF(LEN($A514),IF(LEN(Declarations!$B514)&gt;0,Declarations!$B514,"#"&amp;$A514),"")</f>
        <v/>
      </c>
      <c r="C514" s="209" t="str">
        <f t="array" ref="C514">IF(LEN(INDEX(DECLARATIONS,$AA514,3))&gt;0,INDEX(DECLARATIONS,$AA514,3),"...")</f>
        <v>...</v>
      </c>
      <c r="D514" s="209" t="str">
        <f t="shared" si="1"/>
        <v/>
      </c>
      <c r="E514" s="296" t="str">
        <f t="array" ref="E514">IF(ISNA($AA514),0,INDEX(DECLARATIONS,$AA514,5))</f>
        <v/>
      </c>
      <c r="F514" s="209" t="str">
        <f t="array" ref="F514">IF(ISNA($AA514),0,INDEX(DECLARATIONS,$AA514,7))</f>
        <v/>
      </c>
      <c r="G514" s="209" t="str">
        <f t="array" ref="G514">UPPER(IF(ISNA($AA514),"",INDEX(DECLARATIONS,$AA514,4)))</f>
        <v/>
      </c>
      <c r="H514" t="str">
        <f>IF(AND(A514&gt;0,ISTEXT(B514)),IF(SECNAME="YES",LEFT(B514&amp;" ",FIND(" ",B514&amp;" ")+2)&amp;IF(F514&gt;0," ("&amp;F514&amp;")",""),B514&amp;IF(F514&gt;0," ("&amp;F514&amp;")","")),"#"&amp;$A514)</f>
        <v/>
      </c>
      <c r="I514" s="209">
        <f>IF(LEN($A514)&gt;0,IF(LEN($J514)&gt;0,MATCH(J514,MatchNames,0),EventIndex),0)</f>
        <v>0</v>
      </c>
      <c r="J514" s="209" t="str">
        <f>IF(LEN($A514)&gt;0,IF(LEN(Declarations!$F514)&gt;0,Declarations!$F514,conftype),"")</f>
        <v/>
      </c>
      <c r="M514" s="297">
        <f>IF(ISNA(VLOOKUP($A514,SprintData,2,FALSE)),0,VLOOKUP($A514,SprintData,2,FALSE))</f>
        <v>0</v>
      </c>
      <c r="N514" s="297">
        <f>IF(ISNA(VLOOKUP($A514,JumpData,2,FALSE)),0,VLOOKUP($A514,JumpData,2,FALSE))</f>
        <v>0</v>
      </c>
      <c r="O514" s="297">
        <f>IF(ISNA(VLOOKUP($A514,RunData,2,FALSE)),0,VLOOKUP($A514,RunData,2,FALSE))</f>
        <v>0</v>
      </c>
      <c r="P514" s="297">
        <f>IF(ISNA(VLOOKUP($A514,ThrowData,2,FALSE)),0,VLOOKUP($A514,ThrowData,2,FALSE))</f>
        <v>0</v>
      </c>
      <c r="Q514" s="298">
        <f>IF(ISNA(VLOOKUP($A514,SprintData,4,FALSE)),0,VLOOKUP($A514,SprintData,4,FALSE))+V514</f>
        <v>0</v>
      </c>
      <c r="R514" s="298">
        <f>IF(ISNA(VLOOKUP($A514,JumpData,4,FALSE)),0,VLOOKUP($A514,JumpData,4,FALSE))+W514</f>
        <v>0</v>
      </c>
      <c r="S514" s="298">
        <f>IF(ISNA(VLOOKUP($A514,RunData,4,FALSE)),0,VLOOKUP($A514,RunData,4,FALSE))+X514</f>
        <v>0</v>
      </c>
      <c r="T514" s="298">
        <f>IF(ISNA(VLOOKUP($A514,ThrowData,4,FALSE)),0,VLOOKUP($A514,ThrowData,4,FALSE))+Y514</f>
        <v>0</v>
      </c>
      <c r="U514" s="299">
        <f t="shared" si="2"/>
        <v>0</v>
      </c>
      <c r="V514">
        <f>IF(AND($F514&gt;0,NOT(M514),Flexing),FlexPC,0)</f>
        <v>0</v>
      </c>
      <c r="W514">
        <f>IF(AND($F514&gt;0,NOT(N514),Flexing),FlexPC,0)</f>
        <v>0</v>
      </c>
      <c r="X514">
        <f>IF(AND($F514&gt;0,NOT(O514),Flexing),FlexPC,0)</f>
        <v>0</v>
      </c>
      <c r="Y514">
        <f>IF(AND($F514&gt;0,NOT(P514),Flexing),FlexPC,0)</f>
        <v>0</v>
      </c>
      <c r="AA514" s="209">
        <f t="shared" si="3"/>
        <v>513</v>
      </c>
    </row>
    <row r="515" ht="15.75" customHeight="1">
      <c r="A515" s="206" t="str">
        <f>+Declarations!A515&amp;""</f>
        <v/>
      </c>
      <c r="B515" t="str">
        <f>IF(LEN($A515),IF(LEN(Declarations!$B515)&gt;0,Declarations!$B515,"#"&amp;$A515),"")</f>
        <v/>
      </c>
      <c r="C515" s="209" t="str">
        <f t="array" ref="C515">IF(LEN(INDEX(DECLARATIONS,$AA515,3))&gt;0,INDEX(DECLARATIONS,$AA515,3),"...")</f>
        <v>...</v>
      </c>
      <c r="D515" s="209" t="str">
        <f t="shared" si="1"/>
        <v/>
      </c>
      <c r="E515" s="296" t="str">
        <f t="array" ref="E515">IF(ISNA($AA515),0,INDEX(DECLARATIONS,$AA515,5))</f>
        <v/>
      </c>
      <c r="F515" s="209" t="str">
        <f t="array" ref="F515">IF(ISNA($AA515),0,INDEX(DECLARATIONS,$AA515,7))</f>
        <v/>
      </c>
      <c r="G515" s="209" t="str">
        <f t="array" ref="G515">UPPER(IF(ISNA($AA515),"",INDEX(DECLARATIONS,$AA515,4)))</f>
        <v/>
      </c>
      <c r="H515" t="str">
        <f>IF(AND(A515&gt;0,ISTEXT(B515)),IF(SECNAME="YES",LEFT(B515&amp;" ",FIND(" ",B515&amp;" ")+2)&amp;IF(F515&gt;0," ("&amp;F515&amp;")",""),B515&amp;IF(F515&gt;0," ("&amp;F515&amp;")","")),"#"&amp;$A515)</f>
        <v/>
      </c>
      <c r="I515" s="209">
        <f>IF(LEN($A515)&gt;0,IF(LEN($J515)&gt;0,MATCH(J515,MatchNames,0),EventIndex),0)</f>
        <v>0</v>
      </c>
      <c r="J515" s="209" t="str">
        <f>IF(LEN($A515)&gt;0,IF(LEN(Declarations!$F515)&gt;0,Declarations!$F515,conftype),"")</f>
        <v/>
      </c>
      <c r="M515" s="297">
        <f>IF(ISNA(VLOOKUP($A515,SprintData,2,FALSE)),0,VLOOKUP($A515,SprintData,2,FALSE))</f>
        <v>0</v>
      </c>
      <c r="N515" s="297">
        <f>IF(ISNA(VLOOKUP($A515,JumpData,2,FALSE)),0,VLOOKUP($A515,JumpData,2,FALSE))</f>
        <v>0</v>
      </c>
      <c r="O515" s="297">
        <f>IF(ISNA(VLOOKUP($A515,RunData,2,FALSE)),0,VLOOKUP($A515,RunData,2,FALSE))</f>
        <v>0</v>
      </c>
      <c r="P515" s="297">
        <f>IF(ISNA(VLOOKUP($A515,ThrowData,2,FALSE)),0,VLOOKUP($A515,ThrowData,2,FALSE))</f>
        <v>0</v>
      </c>
      <c r="Q515" s="298">
        <f>IF(ISNA(VLOOKUP($A515,SprintData,4,FALSE)),0,VLOOKUP($A515,SprintData,4,FALSE))+V515</f>
        <v>0</v>
      </c>
      <c r="R515" s="298">
        <f>IF(ISNA(VLOOKUP($A515,JumpData,4,FALSE)),0,VLOOKUP($A515,JumpData,4,FALSE))+W515</f>
        <v>0</v>
      </c>
      <c r="S515" s="298">
        <f>IF(ISNA(VLOOKUP($A515,RunData,4,FALSE)),0,VLOOKUP($A515,RunData,4,FALSE))+X515</f>
        <v>0</v>
      </c>
      <c r="T515" s="298">
        <f>IF(ISNA(VLOOKUP($A515,ThrowData,4,FALSE)),0,VLOOKUP($A515,ThrowData,4,FALSE))+Y515</f>
        <v>0</v>
      </c>
      <c r="U515" s="299">
        <f t="shared" si="2"/>
        <v>0</v>
      </c>
      <c r="V515">
        <f>IF(AND($F515&gt;0,NOT(M515),Flexing),FlexPC,0)</f>
        <v>0</v>
      </c>
      <c r="W515">
        <f>IF(AND($F515&gt;0,NOT(N515),Flexing),FlexPC,0)</f>
        <v>0</v>
      </c>
      <c r="X515">
        <f>IF(AND($F515&gt;0,NOT(O515),Flexing),FlexPC,0)</f>
        <v>0</v>
      </c>
      <c r="Y515">
        <f>IF(AND($F515&gt;0,NOT(P515),Flexing),FlexPC,0)</f>
        <v>0</v>
      </c>
      <c r="AA515" s="209">
        <f t="shared" si="3"/>
        <v>514</v>
      </c>
    </row>
    <row r="516" ht="15.75" customHeight="1">
      <c r="A516" s="206" t="str">
        <f>+Declarations!A516&amp;""</f>
        <v/>
      </c>
      <c r="B516" t="str">
        <f>IF(LEN($A516),IF(LEN(Declarations!$B516)&gt;0,Declarations!$B516,"#"&amp;$A516),"")</f>
        <v/>
      </c>
      <c r="C516" s="209" t="str">
        <f t="array" ref="C516">IF(LEN(INDEX(DECLARATIONS,$AA516,3))&gt;0,INDEX(DECLARATIONS,$AA516,3),"...")</f>
        <v>...</v>
      </c>
      <c r="D516" s="209" t="str">
        <f t="shared" si="1"/>
        <v/>
      </c>
      <c r="E516" s="296" t="str">
        <f t="array" ref="E516">IF(ISNA($AA516),0,INDEX(DECLARATIONS,$AA516,5))</f>
        <v/>
      </c>
      <c r="F516" s="209" t="str">
        <f t="array" ref="F516">IF(ISNA($AA516),0,INDEX(DECLARATIONS,$AA516,7))</f>
        <v/>
      </c>
      <c r="G516" s="209" t="str">
        <f t="array" ref="G516">UPPER(IF(ISNA($AA516),"",INDEX(DECLARATIONS,$AA516,4)))</f>
        <v/>
      </c>
      <c r="H516" t="str">
        <f>IF(AND(A516&gt;0,ISTEXT(B516)),IF(SECNAME="YES",LEFT(B516&amp;" ",FIND(" ",B516&amp;" ")+2)&amp;IF(F516&gt;0," ("&amp;F516&amp;")",""),B516&amp;IF(F516&gt;0," ("&amp;F516&amp;")","")),"#"&amp;$A516)</f>
        <v/>
      </c>
      <c r="I516" s="209">
        <f>IF(LEN($A516)&gt;0,IF(LEN($J516)&gt;0,MATCH(J516,MatchNames,0),EventIndex),0)</f>
        <v>0</v>
      </c>
      <c r="J516" s="209" t="str">
        <f>IF(LEN($A516)&gt;0,IF(LEN(Declarations!$F516)&gt;0,Declarations!$F516,conftype),"")</f>
        <v/>
      </c>
      <c r="M516" s="297">
        <f>IF(ISNA(VLOOKUP($A516,SprintData,2,FALSE)),0,VLOOKUP($A516,SprintData,2,FALSE))</f>
        <v>0</v>
      </c>
      <c r="N516" s="297">
        <f>IF(ISNA(VLOOKUP($A516,JumpData,2,FALSE)),0,VLOOKUP($A516,JumpData,2,FALSE))</f>
        <v>0</v>
      </c>
      <c r="O516" s="297">
        <f>IF(ISNA(VLOOKUP($A516,RunData,2,FALSE)),0,VLOOKUP($A516,RunData,2,FALSE))</f>
        <v>0</v>
      </c>
      <c r="P516" s="297">
        <f>IF(ISNA(VLOOKUP($A516,ThrowData,2,FALSE)),0,VLOOKUP($A516,ThrowData,2,FALSE))</f>
        <v>0</v>
      </c>
      <c r="Q516" s="298">
        <f>IF(ISNA(VLOOKUP($A516,SprintData,4,FALSE)),0,VLOOKUP($A516,SprintData,4,FALSE))+V516</f>
        <v>0</v>
      </c>
      <c r="R516" s="298">
        <f>IF(ISNA(VLOOKUP($A516,JumpData,4,FALSE)),0,VLOOKUP($A516,JumpData,4,FALSE))+W516</f>
        <v>0</v>
      </c>
      <c r="S516" s="298">
        <f>IF(ISNA(VLOOKUP($A516,RunData,4,FALSE)),0,VLOOKUP($A516,RunData,4,FALSE))+X516</f>
        <v>0</v>
      </c>
      <c r="T516" s="298">
        <f>IF(ISNA(VLOOKUP($A516,ThrowData,4,FALSE)),0,VLOOKUP($A516,ThrowData,4,FALSE))+Y516</f>
        <v>0</v>
      </c>
      <c r="U516" s="299">
        <f t="shared" si="2"/>
        <v>0</v>
      </c>
      <c r="V516">
        <f>IF(AND($F516&gt;0,NOT(M516),Flexing),FlexPC,0)</f>
        <v>0</v>
      </c>
      <c r="W516">
        <f>IF(AND($F516&gt;0,NOT(N516),Flexing),FlexPC,0)</f>
        <v>0</v>
      </c>
      <c r="X516">
        <f>IF(AND($F516&gt;0,NOT(O516),Flexing),FlexPC,0)</f>
        <v>0</v>
      </c>
      <c r="Y516">
        <f>IF(AND($F516&gt;0,NOT(P516),Flexing),FlexPC,0)</f>
        <v>0</v>
      </c>
      <c r="AA516" s="209">
        <f t="shared" si="3"/>
        <v>515</v>
      </c>
    </row>
    <row r="517" ht="15.75" customHeight="1">
      <c r="A517" s="206" t="str">
        <f>+Declarations!A517&amp;""</f>
        <v/>
      </c>
      <c r="B517" t="str">
        <f>IF(LEN($A517),IF(LEN(Declarations!$B517)&gt;0,Declarations!$B517,"#"&amp;$A517),"")</f>
        <v/>
      </c>
      <c r="C517" s="209" t="str">
        <f t="array" ref="C517">IF(LEN(INDEX(DECLARATIONS,$AA517,3))&gt;0,INDEX(DECLARATIONS,$AA517,3),"...")</f>
        <v>...</v>
      </c>
      <c r="D517" s="209" t="str">
        <f t="shared" si="1"/>
        <v/>
      </c>
      <c r="E517" s="296" t="str">
        <f t="array" ref="E517">IF(ISNA($AA517),0,INDEX(DECLARATIONS,$AA517,5))</f>
        <v/>
      </c>
      <c r="F517" s="209" t="str">
        <f t="array" ref="F517">IF(ISNA($AA517),0,INDEX(DECLARATIONS,$AA517,7))</f>
        <v/>
      </c>
      <c r="G517" s="209" t="str">
        <f t="array" ref="G517">UPPER(IF(ISNA($AA517),"",INDEX(DECLARATIONS,$AA517,4)))</f>
        <v/>
      </c>
      <c r="H517" t="str">
        <f>IF(AND(A517&gt;0,ISTEXT(B517)),IF(SECNAME="YES",LEFT(B517&amp;" ",FIND(" ",B517&amp;" ")+2)&amp;IF(F517&gt;0," ("&amp;F517&amp;")",""),B517&amp;IF(F517&gt;0," ("&amp;F517&amp;")","")),"#"&amp;$A517)</f>
        <v/>
      </c>
      <c r="I517" s="209">
        <f>IF(LEN($A517)&gt;0,IF(LEN($J517)&gt;0,MATCH(J517,MatchNames,0),EventIndex),0)</f>
        <v>0</v>
      </c>
      <c r="J517" s="209" t="str">
        <f>IF(LEN($A517)&gt;0,IF(LEN(Declarations!$F517)&gt;0,Declarations!$F517,conftype),"")</f>
        <v/>
      </c>
      <c r="M517" s="297">
        <f>IF(ISNA(VLOOKUP($A517,SprintData,2,FALSE)),0,VLOOKUP($A517,SprintData,2,FALSE))</f>
        <v>0</v>
      </c>
      <c r="N517" s="297">
        <f>IF(ISNA(VLOOKUP($A517,JumpData,2,FALSE)),0,VLOOKUP($A517,JumpData,2,FALSE))</f>
        <v>0</v>
      </c>
      <c r="O517" s="297">
        <f>IF(ISNA(VLOOKUP($A517,RunData,2,FALSE)),0,VLOOKUP($A517,RunData,2,FALSE))</f>
        <v>0</v>
      </c>
      <c r="P517" s="297">
        <f>IF(ISNA(VLOOKUP($A517,ThrowData,2,FALSE)),0,VLOOKUP($A517,ThrowData,2,FALSE))</f>
        <v>0</v>
      </c>
      <c r="Q517" s="298">
        <f>IF(ISNA(VLOOKUP($A517,SprintData,4,FALSE)),0,VLOOKUP($A517,SprintData,4,FALSE))+V517</f>
        <v>0</v>
      </c>
      <c r="R517" s="298">
        <f>IF(ISNA(VLOOKUP($A517,JumpData,4,FALSE)),0,VLOOKUP($A517,JumpData,4,FALSE))+W517</f>
        <v>0</v>
      </c>
      <c r="S517" s="298">
        <f>IF(ISNA(VLOOKUP($A517,RunData,4,FALSE)),0,VLOOKUP($A517,RunData,4,FALSE))+X517</f>
        <v>0</v>
      </c>
      <c r="T517" s="298">
        <f>IF(ISNA(VLOOKUP($A517,ThrowData,4,FALSE)),0,VLOOKUP($A517,ThrowData,4,FALSE))+Y517</f>
        <v>0</v>
      </c>
      <c r="U517" s="299">
        <f t="shared" si="2"/>
        <v>0</v>
      </c>
      <c r="V517">
        <f>IF(AND($F517&gt;0,NOT(M517),Flexing),FlexPC,0)</f>
        <v>0</v>
      </c>
      <c r="W517">
        <f>IF(AND($F517&gt;0,NOT(N517),Flexing),FlexPC,0)</f>
        <v>0</v>
      </c>
      <c r="X517">
        <f>IF(AND($F517&gt;0,NOT(O517),Flexing),FlexPC,0)</f>
        <v>0</v>
      </c>
      <c r="Y517">
        <f>IF(AND($F517&gt;0,NOT(P517),Flexing),FlexPC,0)</f>
        <v>0</v>
      </c>
      <c r="AA517" s="209">
        <f t="shared" si="3"/>
        <v>516</v>
      </c>
    </row>
    <row r="518" ht="15.75" customHeight="1">
      <c r="A518" s="206" t="str">
        <f>+Declarations!A518&amp;""</f>
        <v/>
      </c>
      <c r="B518" t="str">
        <f>IF(LEN($A518),IF(LEN(Declarations!$B518)&gt;0,Declarations!$B518,"#"&amp;$A518),"")</f>
        <v/>
      </c>
      <c r="C518" s="209" t="str">
        <f t="array" ref="C518">IF(LEN(INDEX(DECLARATIONS,$AA518,3))&gt;0,INDEX(DECLARATIONS,$AA518,3),"...")</f>
        <v>...</v>
      </c>
      <c r="D518" s="209" t="str">
        <f t="shared" si="1"/>
        <v/>
      </c>
      <c r="E518" s="296" t="str">
        <f t="array" ref="E518">IF(ISNA($AA518),0,INDEX(DECLARATIONS,$AA518,5))</f>
        <v/>
      </c>
      <c r="F518" s="209" t="str">
        <f t="array" ref="F518">IF(ISNA($AA518),0,INDEX(DECLARATIONS,$AA518,7))</f>
        <v/>
      </c>
      <c r="G518" s="209" t="str">
        <f t="array" ref="G518">UPPER(IF(ISNA($AA518),"",INDEX(DECLARATIONS,$AA518,4)))</f>
        <v/>
      </c>
      <c r="H518" t="str">
        <f>IF(AND(A518&gt;0,ISTEXT(B518)),IF(SECNAME="YES",LEFT(B518&amp;" ",FIND(" ",B518&amp;" ")+2)&amp;IF(F518&gt;0," ("&amp;F518&amp;")",""),B518&amp;IF(F518&gt;0," ("&amp;F518&amp;")","")),"#"&amp;$A518)</f>
        <v/>
      </c>
      <c r="I518" s="209">
        <f>IF(LEN($A518)&gt;0,IF(LEN($J518)&gt;0,MATCH(J518,MatchNames,0),EventIndex),0)</f>
        <v>0</v>
      </c>
      <c r="J518" s="209" t="str">
        <f>IF(LEN($A518)&gt;0,IF(LEN(Declarations!$F518)&gt;0,Declarations!$F518,conftype),"")</f>
        <v/>
      </c>
      <c r="M518" s="297">
        <f>IF(ISNA(VLOOKUP($A518,SprintData,2,FALSE)),0,VLOOKUP($A518,SprintData,2,FALSE))</f>
        <v>0</v>
      </c>
      <c r="N518" s="297">
        <f>IF(ISNA(VLOOKUP($A518,JumpData,2,FALSE)),0,VLOOKUP($A518,JumpData,2,FALSE))</f>
        <v>0</v>
      </c>
      <c r="O518" s="297">
        <f>IF(ISNA(VLOOKUP($A518,RunData,2,FALSE)),0,VLOOKUP($A518,RunData,2,FALSE))</f>
        <v>0</v>
      </c>
      <c r="P518" s="297">
        <f>IF(ISNA(VLOOKUP($A518,ThrowData,2,FALSE)),0,VLOOKUP($A518,ThrowData,2,FALSE))</f>
        <v>0</v>
      </c>
      <c r="Q518" s="298">
        <f>IF(ISNA(VLOOKUP($A518,SprintData,4,FALSE)),0,VLOOKUP($A518,SprintData,4,FALSE))+V518</f>
        <v>0</v>
      </c>
      <c r="R518" s="298">
        <f>IF(ISNA(VLOOKUP($A518,JumpData,4,FALSE)),0,VLOOKUP($A518,JumpData,4,FALSE))+W518</f>
        <v>0</v>
      </c>
      <c r="S518" s="298">
        <f>IF(ISNA(VLOOKUP($A518,RunData,4,FALSE)),0,VLOOKUP($A518,RunData,4,FALSE))+X518</f>
        <v>0</v>
      </c>
      <c r="T518" s="298">
        <f>IF(ISNA(VLOOKUP($A518,ThrowData,4,FALSE)),0,VLOOKUP($A518,ThrowData,4,FALSE))+Y518</f>
        <v>0</v>
      </c>
      <c r="U518" s="299">
        <f t="shared" si="2"/>
        <v>0</v>
      </c>
      <c r="V518">
        <f>IF(AND($F518&gt;0,NOT(M518),Flexing),FlexPC,0)</f>
        <v>0</v>
      </c>
      <c r="W518">
        <f>IF(AND($F518&gt;0,NOT(N518),Flexing),FlexPC,0)</f>
        <v>0</v>
      </c>
      <c r="X518">
        <f>IF(AND($F518&gt;0,NOT(O518),Flexing),FlexPC,0)</f>
        <v>0</v>
      </c>
      <c r="Y518">
        <f>IF(AND($F518&gt;0,NOT(P518),Flexing),FlexPC,0)</f>
        <v>0</v>
      </c>
      <c r="AA518" s="209">
        <f t="shared" si="3"/>
        <v>517</v>
      </c>
    </row>
    <row r="519" ht="15.75" customHeight="1">
      <c r="A519" s="206" t="str">
        <f>+Declarations!A519&amp;""</f>
        <v/>
      </c>
      <c r="B519" t="str">
        <f>IF(LEN($A519),IF(LEN(Declarations!$B519)&gt;0,Declarations!$B519,"#"&amp;$A519),"")</f>
        <v/>
      </c>
      <c r="C519" s="209" t="str">
        <f t="array" ref="C519">IF(LEN(INDEX(DECLARATIONS,$AA519,3))&gt;0,INDEX(DECLARATIONS,$AA519,3),"...")</f>
        <v>...</v>
      </c>
      <c r="D519" s="209" t="str">
        <f t="shared" si="1"/>
        <v/>
      </c>
      <c r="E519" s="296" t="str">
        <f t="array" ref="E519">IF(ISNA($AA519),0,INDEX(DECLARATIONS,$AA519,5))</f>
        <v/>
      </c>
      <c r="F519" s="209" t="str">
        <f t="array" ref="F519">IF(ISNA($AA519),0,INDEX(DECLARATIONS,$AA519,7))</f>
        <v/>
      </c>
      <c r="G519" s="209" t="str">
        <f t="array" ref="G519">UPPER(IF(ISNA($AA519),"",INDEX(DECLARATIONS,$AA519,4)))</f>
        <v/>
      </c>
      <c r="H519" t="str">
        <f>IF(AND(A519&gt;0,ISTEXT(B519)),IF(SECNAME="YES",LEFT(B519&amp;" ",FIND(" ",B519&amp;" ")+2)&amp;IF(F519&gt;0," ("&amp;F519&amp;")",""),B519&amp;IF(F519&gt;0," ("&amp;F519&amp;")","")),"#"&amp;$A519)</f>
        <v/>
      </c>
      <c r="I519" s="209">
        <f>IF(LEN($A519)&gt;0,IF(LEN($J519)&gt;0,MATCH(J519,MatchNames,0),EventIndex),0)</f>
        <v>0</v>
      </c>
      <c r="J519" s="209" t="str">
        <f>IF(LEN($A519)&gt;0,IF(LEN(Declarations!$F519)&gt;0,Declarations!$F519,conftype),"")</f>
        <v/>
      </c>
      <c r="M519" s="297">
        <f>IF(ISNA(VLOOKUP($A519,SprintData,2,FALSE)),0,VLOOKUP($A519,SprintData,2,FALSE))</f>
        <v>0</v>
      </c>
      <c r="N519" s="297">
        <f>IF(ISNA(VLOOKUP($A519,JumpData,2,FALSE)),0,VLOOKUP($A519,JumpData,2,FALSE))</f>
        <v>0</v>
      </c>
      <c r="O519" s="297">
        <f>IF(ISNA(VLOOKUP($A519,RunData,2,FALSE)),0,VLOOKUP($A519,RunData,2,FALSE))</f>
        <v>0</v>
      </c>
      <c r="P519" s="297">
        <f>IF(ISNA(VLOOKUP($A519,ThrowData,2,FALSE)),0,VLOOKUP($A519,ThrowData,2,FALSE))</f>
        <v>0</v>
      </c>
      <c r="Q519" s="298">
        <f>IF(ISNA(VLOOKUP($A519,SprintData,4,FALSE)),0,VLOOKUP($A519,SprintData,4,FALSE))+V519</f>
        <v>0</v>
      </c>
      <c r="R519" s="298">
        <f>IF(ISNA(VLOOKUP($A519,JumpData,4,FALSE)),0,VLOOKUP($A519,JumpData,4,FALSE))+W519</f>
        <v>0</v>
      </c>
      <c r="S519" s="298">
        <f>IF(ISNA(VLOOKUP($A519,RunData,4,FALSE)),0,VLOOKUP($A519,RunData,4,FALSE))+X519</f>
        <v>0</v>
      </c>
      <c r="T519" s="298">
        <f>IF(ISNA(VLOOKUP($A519,ThrowData,4,FALSE)),0,VLOOKUP($A519,ThrowData,4,FALSE))+Y519</f>
        <v>0</v>
      </c>
      <c r="U519" s="299">
        <f t="shared" si="2"/>
        <v>0</v>
      </c>
      <c r="V519">
        <f>IF(AND($F519&gt;0,NOT(M519),Flexing),FlexPC,0)</f>
        <v>0</v>
      </c>
      <c r="W519">
        <f>IF(AND($F519&gt;0,NOT(N519),Flexing),FlexPC,0)</f>
        <v>0</v>
      </c>
      <c r="X519">
        <f>IF(AND($F519&gt;0,NOT(O519),Flexing),FlexPC,0)</f>
        <v>0</v>
      </c>
      <c r="Y519">
        <f>IF(AND($F519&gt;0,NOT(P519),Flexing),FlexPC,0)</f>
        <v>0</v>
      </c>
      <c r="AA519" s="209">
        <f t="shared" si="3"/>
        <v>518</v>
      </c>
    </row>
    <row r="520" ht="15.75" customHeight="1">
      <c r="A520" s="206" t="str">
        <f>+Declarations!A520&amp;""</f>
        <v/>
      </c>
      <c r="B520" t="str">
        <f>IF(LEN($A520),IF(LEN(Declarations!$B520)&gt;0,Declarations!$B520,"#"&amp;$A520),"")</f>
        <v/>
      </c>
      <c r="C520" s="209" t="str">
        <f t="array" ref="C520">IF(LEN(INDEX(DECLARATIONS,$AA520,3))&gt;0,INDEX(DECLARATIONS,$AA520,3),"...")</f>
        <v>...</v>
      </c>
      <c r="D520" s="209" t="str">
        <f t="shared" si="1"/>
        <v/>
      </c>
      <c r="E520" s="296" t="str">
        <f t="array" ref="E520">IF(ISNA($AA520),0,INDEX(DECLARATIONS,$AA520,5))</f>
        <v/>
      </c>
      <c r="F520" s="209" t="str">
        <f t="array" ref="F520">IF(ISNA($AA520),0,INDEX(DECLARATIONS,$AA520,7))</f>
        <v/>
      </c>
      <c r="G520" s="209" t="str">
        <f t="array" ref="G520">UPPER(IF(ISNA($AA520),"",INDEX(DECLARATIONS,$AA520,4)))</f>
        <v/>
      </c>
      <c r="H520" t="str">
        <f>IF(AND(A520&gt;0,ISTEXT(B520)),IF(SECNAME="YES",LEFT(B520&amp;" ",FIND(" ",B520&amp;" ")+2)&amp;IF(F520&gt;0," ("&amp;F520&amp;")",""),B520&amp;IF(F520&gt;0," ("&amp;F520&amp;")","")),"#"&amp;$A520)</f>
        <v/>
      </c>
      <c r="I520" s="209">
        <f>IF(LEN($A520)&gt;0,IF(LEN($J520)&gt;0,MATCH(J520,MatchNames,0),EventIndex),0)</f>
        <v>0</v>
      </c>
      <c r="J520" s="209" t="str">
        <f>IF(LEN($A520)&gt;0,IF(LEN(Declarations!$F520)&gt;0,Declarations!$F520,conftype),"")</f>
        <v/>
      </c>
      <c r="M520" s="297">
        <f>IF(ISNA(VLOOKUP($A520,SprintData,2,FALSE)),0,VLOOKUP($A520,SprintData,2,FALSE))</f>
        <v>0</v>
      </c>
      <c r="N520" s="297">
        <f>IF(ISNA(VLOOKUP($A520,JumpData,2,FALSE)),0,VLOOKUP($A520,JumpData,2,FALSE))</f>
        <v>0</v>
      </c>
      <c r="O520" s="297">
        <f>IF(ISNA(VLOOKUP($A520,RunData,2,FALSE)),0,VLOOKUP($A520,RunData,2,FALSE))</f>
        <v>0</v>
      </c>
      <c r="P520" s="297">
        <f>IF(ISNA(VLOOKUP($A520,ThrowData,2,FALSE)),0,VLOOKUP($A520,ThrowData,2,FALSE))</f>
        <v>0</v>
      </c>
      <c r="Q520" s="298">
        <f>IF(ISNA(VLOOKUP($A520,SprintData,4,FALSE)),0,VLOOKUP($A520,SprintData,4,FALSE))+V520</f>
        <v>0</v>
      </c>
      <c r="R520" s="298">
        <f>IF(ISNA(VLOOKUP($A520,JumpData,4,FALSE)),0,VLOOKUP($A520,JumpData,4,FALSE))+W520</f>
        <v>0</v>
      </c>
      <c r="S520" s="298">
        <f>IF(ISNA(VLOOKUP($A520,RunData,4,FALSE)),0,VLOOKUP($A520,RunData,4,FALSE))+X520</f>
        <v>0</v>
      </c>
      <c r="T520" s="298">
        <f>IF(ISNA(VLOOKUP($A520,ThrowData,4,FALSE)),0,VLOOKUP($A520,ThrowData,4,FALSE))+Y520</f>
        <v>0</v>
      </c>
      <c r="U520" s="299">
        <f t="shared" si="2"/>
        <v>0</v>
      </c>
      <c r="V520">
        <f>IF(AND($F520&gt;0,NOT(M520),Flexing),FlexPC,0)</f>
        <v>0</v>
      </c>
      <c r="W520">
        <f>IF(AND($F520&gt;0,NOT(N520),Flexing),FlexPC,0)</f>
        <v>0</v>
      </c>
      <c r="X520">
        <f>IF(AND($F520&gt;0,NOT(O520),Flexing),FlexPC,0)</f>
        <v>0</v>
      </c>
      <c r="Y520">
        <f>IF(AND($F520&gt;0,NOT(P520),Flexing),FlexPC,0)</f>
        <v>0</v>
      </c>
      <c r="AA520" s="209">
        <f t="shared" si="3"/>
        <v>519</v>
      </c>
    </row>
    <row r="521" ht="15.75" customHeight="1">
      <c r="A521" s="206" t="str">
        <f>+Declarations!A521&amp;""</f>
        <v/>
      </c>
      <c r="B521" t="str">
        <f>IF(LEN($A521),IF(LEN(Declarations!$B521)&gt;0,Declarations!$B521,"#"&amp;$A521),"")</f>
        <v/>
      </c>
      <c r="C521" s="209" t="str">
        <f t="array" ref="C521">IF(LEN(INDEX(DECLARATIONS,$AA521,3))&gt;0,INDEX(DECLARATIONS,$AA521,3),"...")</f>
        <v>...</v>
      </c>
      <c r="D521" s="209" t="str">
        <f t="shared" si="1"/>
        <v/>
      </c>
      <c r="E521" s="296" t="str">
        <f t="array" ref="E521">IF(ISNA($AA521),0,INDEX(DECLARATIONS,$AA521,5))</f>
        <v/>
      </c>
      <c r="F521" s="209" t="str">
        <f t="array" ref="F521">IF(ISNA($AA521),0,INDEX(DECLARATIONS,$AA521,7))</f>
        <v/>
      </c>
      <c r="G521" s="209" t="str">
        <f t="array" ref="G521">UPPER(IF(ISNA($AA521),"",INDEX(DECLARATIONS,$AA521,4)))</f>
        <v/>
      </c>
      <c r="H521" t="str">
        <f>IF(AND(A521&gt;0,ISTEXT(B521)),IF(SECNAME="YES",LEFT(B521&amp;" ",FIND(" ",B521&amp;" ")+2)&amp;IF(F521&gt;0," ("&amp;F521&amp;")",""),B521&amp;IF(F521&gt;0," ("&amp;F521&amp;")","")),"#"&amp;$A521)</f>
        <v/>
      </c>
      <c r="I521" s="209">
        <f>IF(LEN($A521)&gt;0,IF(LEN($J521)&gt;0,MATCH(J521,MatchNames,0),EventIndex),0)</f>
        <v>0</v>
      </c>
      <c r="J521" s="209" t="str">
        <f>IF(LEN($A521)&gt;0,IF(LEN(Declarations!$F521)&gt;0,Declarations!$F521,conftype),"")</f>
        <v/>
      </c>
      <c r="M521" s="297">
        <f>IF(ISNA(VLOOKUP($A521,SprintData,2,FALSE)),0,VLOOKUP($A521,SprintData,2,FALSE))</f>
        <v>0</v>
      </c>
      <c r="N521" s="297">
        <f>IF(ISNA(VLOOKUP($A521,JumpData,2,FALSE)),0,VLOOKUP($A521,JumpData,2,FALSE))</f>
        <v>0</v>
      </c>
      <c r="O521" s="297">
        <f>IF(ISNA(VLOOKUP($A521,RunData,2,FALSE)),0,VLOOKUP($A521,RunData,2,FALSE))</f>
        <v>0</v>
      </c>
      <c r="P521" s="297">
        <f>IF(ISNA(VLOOKUP($A521,ThrowData,2,FALSE)),0,VLOOKUP($A521,ThrowData,2,FALSE))</f>
        <v>0</v>
      </c>
      <c r="Q521" s="298">
        <f>IF(ISNA(VLOOKUP($A521,SprintData,4,FALSE)),0,VLOOKUP($A521,SprintData,4,FALSE))+V521</f>
        <v>0</v>
      </c>
      <c r="R521" s="298">
        <f>IF(ISNA(VLOOKUP($A521,JumpData,4,FALSE)),0,VLOOKUP($A521,JumpData,4,FALSE))+W521</f>
        <v>0</v>
      </c>
      <c r="S521" s="298">
        <f>IF(ISNA(VLOOKUP($A521,RunData,4,FALSE)),0,VLOOKUP($A521,RunData,4,FALSE))+X521</f>
        <v>0</v>
      </c>
      <c r="T521" s="298">
        <f>IF(ISNA(VLOOKUP($A521,ThrowData,4,FALSE)),0,VLOOKUP($A521,ThrowData,4,FALSE))+Y521</f>
        <v>0</v>
      </c>
      <c r="U521" s="299">
        <f t="shared" si="2"/>
        <v>0</v>
      </c>
      <c r="V521">
        <f>IF(AND($F521&gt;0,NOT(M521),Flexing),FlexPC,0)</f>
        <v>0</v>
      </c>
      <c r="W521">
        <f>IF(AND($F521&gt;0,NOT(N521),Flexing),FlexPC,0)</f>
        <v>0</v>
      </c>
      <c r="X521">
        <f>IF(AND($F521&gt;0,NOT(O521),Flexing),FlexPC,0)</f>
        <v>0</v>
      </c>
      <c r="Y521">
        <f>IF(AND($F521&gt;0,NOT(P521),Flexing),FlexPC,0)</f>
        <v>0</v>
      </c>
      <c r="AA521" s="209">
        <f t="shared" si="3"/>
        <v>520</v>
      </c>
    </row>
    <row r="522" ht="15.75" customHeight="1">
      <c r="A522" s="206" t="str">
        <f>+Declarations!A522&amp;""</f>
        <v/>
      </c>
      <c r="B522" t="str">
        <f>IF(LEN($A522),IF(LEN(Declarations!$B522)&gt;0,Declarations!$B522,"#"&amp;$A522),"")</f>
        <v/>
      </c>
      <c r="C522" s="209" t="str">
        <f t="array" ref="C522">IF(LEN(INDEX(DECLARATIONS,$AA522,3))&gt;0,INDEX(DECLARATIONS,$AA522,3),"...")</f>
        <v>...</v>
      </c>
      <c r="D522" s="209" t="str">
        <f t="shared" si="1"/>
        <v/>
      </c>
      <c r="E522" s="296" t="str">
        <f t="array" ref="E522">IF(ISNA($AA522),0,INDEX(DECLARATIONS,$AA522,5))</f>
        <v/>
      </c>
      <c r="F522" s="209" t="str">
        <f t="array" ref="F522">IF(ISNA($AA522),0,INDEX(DECLARATIONS,$AA522,7))</f>
        <v/>
      </c>
      <c r="G522" s="209" t="str">
        <f t="array" ref="G522">UPPER(IF(ISNA($AA522),"",INDEX(DECLARATIONS,$AA522,4)))</f>
        <v/>
      </c>
      <c r="H522" t="str">
        <f>IF(AND(A522&gt;0,ISTEXT(B522)),IF(SECNAME="YES",LEFT(B522&amp;" ",FIND(" ",B522&amp;" ")+2)&amp;IF(F522&gt;0," ("&amp;F522&amp;")",""),B522&amp;IF(F522&gt;0," ("&amp;F522&amp;")","")),"#"&amp;$A522)</f>
        <v/>
      </c>
      <c r="I522" s="209">
        <f>IF(LEN($A522)&gt;0,IF(LEN($J522)&gt;0,MATCH(J522,MatchNames,0),EventIndex),0)</f>
        <v>0</v>
      </c>
      <c r="J522" s="209" t="str">
        <f>IF(LEN($A522)&gt;0,IF(LEN(Declarations!$F522)&gt;0,Declarations!$F522,conftype),"")</f>
        <v/>
      </c>
      <c r="M522" s="297">
        <f>IF(ISNA(VLOOKUP($A522,SprintData,2,FALSE)),0,VLOOKUP($A522,SprintData,2,FALSE))</f>
        <v>0</v>
      </c>
      <c r="N522" s="297">
        <f>IF(ISNA(VLOOKUP($A522,JumpData,2,FALSE)),0,VLOOKUP($A522,JumpData,2,FALSE))</f>
        <v>0</v>
      </c>
      <c r="O522" s="297">
        <f>IF(ISNA(VLOOKUP($A522,RunData,2,FALSE)),0,VLOOKUP($A522,RunData,2,FALSE))</f>
        <v>0</v>
      </c>
      <c r="P522" s="297">
        <f>IF(ISNA(VLOOKUP($A522,ThrowData,2,FALSE)),0,VLOOKUP($A522,ThrowData,2,FALSE))</f>
        <v>0</v>
      </c>
      <c r="Q522" s="298">
        <f>IF(ISNA(VLOOKUP($A522,SprintData,4,FALSE)),0,VLOOKUP($A522,SprintData,4,FALSE))+V522</f>
        <v>0</v>
      </c>
      <c r="R522" s="298">
        <f>IF(ISNA(VLOOKUP($A522,JumpData,4,FALSE)),0,VLOOKUP($A522,JumpData,4,FALSE))+W522</f>
        <v>0</v>
      </c>
      <c r="S522" s="298">
        <f>IF(ISNA(VLOOKUP($A522,RunData,4,FALSE)),0,VLOOKUP($A522,RunData,4,FALSE))+X522</f>
        <v>0</v>
      </c>
      <c r="T522" s="298">
        <f>IF(ISNA(VLOOKUP($A522,ThrowData,4,FALSE)),0,VLOOKUP($A522,ThrowData,4,FALSE))+Y522</f>
        <v>0</v>
      </c>
      <c r="U522" s="299">
        <f t="shared" si="2"/>
        <v>0</v>
      </c>
      <c r="V522">
        <f>IF(AND($F522&gt;0,NOT(M522),Flexing),FlexPC,0)</f>
        <v>0</v>
      </c>
      <c r="W522">
        <f>IF(AND($F522&gt;0,NOT(N522),Flexing),FlexPC,0)</f>
        <v>0</v>
      </c>
      <c r="X522">
        <f>IF(AND($F522&gt;0,NOT(O522),Flexing),FlexPC,0)</f>
        <v>0</v>
      </c>
      <c r="Y522">
        <f>IF(AND($F522&gt;0,NOT(P522),Flexing),FlexPC,0)</f>
        <v>0</v>
      </c>
      <c r="AA522" s="209">
        <f t="shared" si="3"/>
        <v>521</v>
      </c>
    </row>
    <row r="523" ht="15.75" customHeight="1">
      <c r="A523" s="206" t="str">
        <f>+Declarations!A523&amp;""</f>
        <v/>
      </c>
      <c r="B523" t="str">
        <f>IF(LEN($A523),IF(LEN(Declarations!$B523)&gt;0,Declarations!$B523,"#"&amp;$A523),"")</f>
        <v/>
      </c>
      <c r="C523" s="209" t="str">
        <f t="array" ref="C523">IF(LEN(INDEX(DECLARATIONS,$AA523,3))&gt;0,INDEX(DECLARATIONS,$AA523,3),"...")</f>
        <v>...</v>
      </c>
      <c r="D523" s="209" t="str">
        <f t="shared" si="1"/>
        <v/>
      </c>
      <c r="E523" s="296" t="str">
        <f t="array" ref="E523">IF(ISNA($AA523),0,INDEX(DECLARATIONS,$AA523,5))</f>
        <v/>
      </c>
      <c r="F523" s="209" t="str">
        <f t="array" ref="F523">IF(ISNA($AA523),0,INDEX(DECLARATIONS,$AA523,7))</f>
        <v/>
      </c>
      <c r="G523" s="209" t="str">
        <f t="array" ref="G523">UPPER(IF(ISNA($AA523),"",INDEX(DECLARATIONS,$AA523,4)))</f>
        <v/>
      </c>
      <c r="H523" t="str">
        <f>IF(AND(A523&gt;0,ISTEXT(B523)),IF(SECNAME="YES",LEFT(B523&amp;" ",FIND(" ",B523&amp;" ")+2)&amp;IF(F523&gt;0," ("&amp;F523&amp;")",""),B523&amp;IF(F523&gt;0," ("&amp;F523&amp;")","")),"#"&amp;$A523)</f>
        <v/>
      </c>
      <c r="I523" s="209">
        <f>IF(LEN($A523)&gt;0,IF(LEN($J523)&gt;0,MATCH(J523,MatchNames,0),EventIndex),0)</f>
        <v>0</v>
      </c>
      <c r="J523" s="209" t="str">
        <f>IF(LEN($A523)&gt;0,IF(LEN(Declarations!$F523)&gt;0,Declarations!$F523,conftype),"")</f>
        <v/>
      </c>
      <c r="M523" s="297">
        <f>IF(ISNA(VLOOKUP($A523,SprintData,2,FALSE)),0,VLOOKUP($A523,SprintData,2,FALSE))</f>
        <v>0</v>
      </c>
      <c r="N523" s="297">
        <f>IF(ISNA(VLOOKUP($A523,JumpData,2,FALSE)),0,VLOOKUP($A523,JumpData,2,FALSE))</f>
        <v>0</v>
      </c>
      <c r="O523" s="297">
        <f>IF(ISNA(VLOOKUP($A523,RunData,2,FALSE)),0,VLOOKUP($A523,RunData,2,FALSE))</f>
        <v>0</v>
      </c>
      <c r="P523" s="297">
        <f>IF(ISNA(VLOOKUP($A523,ThrowData,2,FALSE)),0,VLOOKUP($A523,ThrowData,2,FALSE))</f>
        <v>0</v>
      </c>
      <c r="Q523" s="298">
        <f>IF(ISNA(VLOOKUP($A523,SprintData,4,FALSE)),0,VLOOKUP($A523,SprintData,4,FALSE))+V523</f>
        <v>0</v>
      </c>
      <c r="R523" s="298">
        <f>IF(ISNA(VLOOKUP($A523,JumpData,4,FALSE)),0,VLOOKUP($A523,JumpData,4,FALSE))+W523</f>
        <v>0</v>
      </c>
      <c r="S523" s="298">
        <f>IF(ISNA(VLOOKUP($A523,RunData,4,FALSE)),0,VLOOKUP($A523,RunData,4,FALSE))+X523</f>
        <v>0</v>
      </c>
      <c r="T523" s="298">
        <f>IF(ISNA(VLOOKUP($A523,ThrowData,4,FALSE)),0,VLOOKUP($A523,ThrowData,4,FALSE))+Y523</f>
        <v>0</v>
      </c>
      <c r="U523" s="299">
        <f t="shared" si="2"/>
        <v>0</v>
      </c>
      <c r="V523">
        <f>IF(AND($F523&gt;0,NOT(M523),Flexing),FlexPC,0)</f>
        <v>0</v>
      </c>
      <c r="W523">
        <f>IF(AND($F523&gt;0,NOT(N523),Flexing),FlexPC,0)</f>
        <v>0</v>
      </c>
      <c r="X523">
        <f>IF(AND($F523&gt;0,NOT(O523),Flexing),FlexPC,0)</f>
        <v>0</v>
      </c>
      <c r="Y523">
        <f>IF(AND($F523&gt;0,NOT(P523),Flexing),FlexPC,0)</f>
        <v>0</v>
      </c>
      <c r="AA523" s="209">
        <f t="shared" si="3"/>
        <v>522</v>
      </c>
    </row>
    <row r="524" ht="15.75" customHeight="1">
      <c r="A524" s="206" t="str">
        <f>+Declarations!A524&amp;""</f>
        <v/>
      </c>
      <c r="B524" t="str">
        <f>IF(LEN($A524),IF(LEN(Declarations!$B524)&gt;0,Declarations!$B524,"#"&amp;$A524),"")</f>
        <v/>
      </c>
      <c r="C524" s="209" t="str">
        <f t="array" ref="C524">IF(LEN(INDEX(DECLARATIONS,$AA524,3))&gt;0,INDEX(DECLARATIONS,$AA524,3),"...")</f>
        <v>...</v>
      </c>
      <c r="D524" s="209" t="str">
        <f t="shared" si="1"/>
        <v/>
      </c>
      <c r="E524" s="296" t="str">
        <f t="array" ref="E524">IF(ISNA($AA524),0,INDEX(DECLARATIONS,$AA524,5))</f>
        <v/>
      </c>
      <c r="F524" s="209" t="str">
        <f t="array" ref="F524">IF(ISNA($AA524),0,INDEX(DECLARATIONS,$AA524,7))</f>
        <v/>
      </c>
      <c r="G524" s="209" t="str">
        <f t="array" ref="G524">UPPER(IF(ISNA($AA524),"",INDEX(DECLARATIONS,$AA524,4)))</f>
        <v/>
      </c>
      <c r="H524" t="str">
        <f>IF(AND(A524&gt;0,ISTEXT(B524)),IF(SECNAME="YES",LEFT(B524&amp;" ",FIND(" ",B524&amp;" ")+2)&amp;IF(F524&gt;0," ("&amp;F524&amp;")",""),B524&amp;IF(F524&gt;0," ("&amp;F524&amp;")","")),"#"&amp;$A524)</f>
        <v/>
      </c>
      <c r="I524" s="209">
        <f>IF(LEN($A524)&gt;0,IF(LEN($J524)&gt;0,MATCH(J524,MatchNames,0),EventIndex),0)</f>
        <v>0</v>
      </c>
      <c r="J524" s="209" t="str">
        <f>IF(LEN($A524)&gt;0,IF(LEN(Declarations!$F524)&gt;0,Declarations!$F524,conftype),"")</f>
        <v/>
      </c>
      <c r="M524" s="297">
        <f>IF(ISNA(VLOOKUP($A524,SprintData,2,FALSE)),0,VLOOKUP($A524,SprintData,2,FALSE))</f>
        <v>0</v>
      </c>
      <c r="N524" s="297">
        <f>IF(ISNA(VLOOKUP($A524,JumpData,2,FALSE)),0,VLOOKUP($A524,JumpData,2,FALSE))</f>
        <v>0</v>
      </c>
      <c r="O524" s="297">
        <f>IF(ISNA(VLOOKUP($A524,RunData,2,FALSE)),0,VLOOKUP($A524,RunData,2,FALSE))</f>
        <v>0</v>
      </c>
      <c r="P524" s="297">
        <f>IF(ISNA(VLOOKUP($A524,ThrowData,2,FALSE)),0,VLOOKUP($A524,ThrowData,2,FALSE))</f>
        <v>0</v>
      </c>
      <c r="Q524" s="298">
        <f>IF(ISNA(VLOOKUP($A524,SprintData,4,FALSE)),0,VLOOKUP($A524,SprintData,4,FALSE))+V524</f>
        <v>0</v>
      </c>
      <c r="R524" s="298">
        <f>IF(ISNA(VLOOKUP($A524,JumpData,4,FALSE)),0,VLOOKUP($A524,JumpData,4,FALSE))+W524</f>
        <v>0</v>
      </c>
      <c r="S524" s="298">
        <f>IF(ISNA(VLOOKUP($A524,RunData,4,FALSE)),0,VLOOKUP($A524,RunData,4,FALSE))+X524</f>
        <v>0</v>
      </c>
      <c r="T524" s="298">
        <f>IF(ISNA(VLOOKUP($A524,ThrowData,4,FALSE)),0,VLOOKUP($A524,ThrowData,4,FALSE))+Y524</f>
        <v>0</v>
      </c>
      <c r="U524" s="299">
        <f t="shared" si="2"/>
        <v>0</v>
      </c>
      <c r="V524">
        <f>IF(AND($F524&gt;0,NOT(M524),Flexing),FlexPC,0)</f>
        <v>0</v>
      </c>
      <c r="W524">
        <f>IF(AND($F524&gt;0,NOT(N524),Flexing),FlexPC,0)</f>
        <v>0</v>
      </c>
      <c r="X524">
        <f>IF(AND($F524&gt;0,NOT(O524),Flexing),FlexPC,0)</f>
        <v>0</v>
      </c>
      <c r="Y524">
        <f>IF(AND($F524&gt;0,NOT(P524),Flexing),FlexPC,0)</f>
        <v>0</v>
      </c>
      <c r="AA524" s="209">
        <f t="shared" si="3"/>
        <v>523</v>
      </c>
    </row>
    <row r="525" ht="15.75" customHeight="1">
      <c r="A525" s="206" t="str">
        <f>+Declarations!A525&amp;""</f>
        <v/>
      </c>
      <c r="B525" t="str">
        <f>IF(LEN($A525),IF(LEN(Declarations!$B525)&gt;0,Declarations!$B525,"#"&amp;$A525),"")</f>
        <v/>
      </c>
      <c r="C525" s="209" t="str">
        <f t="array" ref="C525">IF(LEN(INDEX(DECLARATIONS,$AA525,3))&gt;0,INDEX(DECLARATIONS,$AA525,3),"...")</f>
        <v>...</v>
      </c>
      <c r="D525" s="209" t="str">
        <f t="shared" si="1"/>
        <v/>
      </c>
      <c r="E525" s="296" t="str">
        <f t="array" ref="E525">IF(ISNA($AA525),0,INDEX(DECLARATIONS,$AA525,5))</f>
        <v/>
      </c>
      <c r="F525" s="209" t="str">
        <f t="array" ref="F525">IF(ISNA($AA525),0,INDEX(DECLARATIONS,$AA525,7))</f>
        <v/>
      </c>
      <c r="G525" s="209" t="str">
        <f t="array" ref="G525">UPPER(IF(ISNA($AA525),"",INDEX(DECLARATIONS,$AA525,4)))</f>
        <v/>
      </c>
      <c r="H525" t="str">
        <f>IF(AND(A525&gt;0,ISTEXT(B525)),IF(SECNAME="YES",LEFT(B525&amp;" ",FIND(" ",B525&amp;" ")+2)&amp;IF(F525&gt;0," ("&amp;F525&amp;")",""),B525&amp;IF(F525&gt;0," ("&amp;F525&amp;")","")),"#"&amp;$A525)</f>
        <v/>
      </c>
      <c r="I525" s="209">
        <f>IF(LEN($A525)&gt;0,IF(LEN($J525)&gt;0,MATCH(J525,MatchNames,0),EventIndex),0)</f>
        <v>0</v>
      </c>
      <c r="J525" s="209" t="str">
        <f>IF(LEN($A525)&gt;0,IF(LEN(Declarations!$F525)&gt;0,Declarations!$F525,conftype),"")</f>
        <v/>
      </c>
      <c r="M525" s="297">
        <f>IF(ISNA(VLOOKUP($A525,SprintData,2,FALSE)),0,VLOOKUP($A525,SprintData,2,FALSE))</f>
        <v>0</v>
      </c>
      <c r="N525" s="297">
        <f>IF(ISNA(VLOOKUP($A525,JumpData,2,FALSE)),0,VLOOKUP($A525,JumpData,2,FALSE))</f>
        <v>0</v>
      </c>
      <c r="O525" s="297">
        <f>IF(ISNA(VLOOKUP($A525,RunData,2,FALSE)),0,VLOOKUP($A525,RunData,2,FALSE))</f>
        <v>0</v>
      </c>
      <c r="P525" s="297">
        <f>IF(ISNA(VLOOKUP($A525,ThrowData,2,FALSE)),0,VLOOKUP($A525,ThrowData,2,FALSE))</f>
        <v>0</v>
      </c>
      <c r="Q525" s="298">
        <f>IF(ISNA(VLOOKUP($A525,SprintData,4,FALSE)),0,VLOOKUP($A525,SprintData,4,FALSE))+V525</f>
        <v>0</v>
      </c>
      <c r="R525" s="298">
        <f>IF(ISNA(VLOOKUP($A525,JumpData,4,FALSE)),0,VLOOKUP($A525,JumpData,4,FALSE))+W525</f>
        <v>0</v>
      </c>
      <c r="S525" s="298">
        <f>IF(ISNA(VLOOKUP($A525,RunData,4,FALSE)),0,VLOOKUP($A525,RunData,4,FALSE))+X525</f>
        <v>0</v>
      </c>
      <c r="T525" s="298">
        <f>IF(ISNA(VLOOKUP($A525,ThrowData,4,FALSE)),0,VLOOKUP($A525,ThrowData,4,FALSE))+Y525</f>
        <v>0</v>
      </c>
      <c r="U525" s="299">
        <f t="shared" si="2"/>
        <v>0</v>
      </c>
      <c r="V525">
        <f>IF(AND($F525&gt;0,NOT(M525),Flexing),FlexPC,0)</f>
        <v>0</v>
      </c>
      <c r="W525">
        <f>IF(AND($F525&gt;0,NOT(N525),Flexing),FlexPC,0)</f>
        <v>0</v>
      </c>
      <c r="X525">
        <f>IF(AND($F525&gt;0,NOT(O525),Flexing),FlexPC,0)</f>
        <v>0</v>
      </c>
      <c r="Y525">
        <f>IF(AND($F525&gt;0,NOT(P525),Flexing),FlexPC,0)</f>
        <v>0</v>
      </c>
      <c r="AA525" s="209">
        <f t="shared" si="3"/>
        <v>524</v>
      </c>
    </row>
    <row r="526" ht="15.75" customHeight="1">
      <c r="A526" s="206" t="str">
        <f>+Declarations!A526&amp;""</f>
        <v/>
      </c>
      <c r="B526" t="str">
        <f>IF(LEN($A526),IF(LEN(Declarations!$B526)&gt;0,Declarations!$B526,"#"&amp;$A526),"")</f>
        <v/>
      </c>
      <c r="C526" s="209" t="str">
        <f t="array" ref="C526">IF(LEN(INDEX(DECLARATIONS,$AA526,3))&gt;0,INDEX(DECLARATIONS,$AA526,3),"...")</f>
        <v>...</v>
      </c>
      <c r="D526" s="209" t="str">
        <f t="shared" si="1"/>
        <v/>
      </c>
      <c r="E526" s="296" t="str">
        <f t="array" ref="E526">IF(ISNA($AA526),0,INDEX(DECLARATIONS,$AA526,5))</f>
        <v/>
      </c>
      <c r="F526" s="209" t="str">
        <f t="array" ref="F526">IF(ISNA($AA526),0,INDEX(DECLARATIONS,$AA526,7))</f>
        <v/>
      </c>
      <c r="G526" s="209" t="str">
        <f t="array" ref="G526">UPPER(IF(ISNA($AA526),"",INDEX(DECLARATIONS,$AA526,4)))</f>
        <v/>
      </c>
      <c r="H526" t="str">
        <f>IF(AND(A526&gt;0,ISTEXT(B526)),IF(SECNAME="YES",LEFT(B526&amp;" ",FIND(" ",B526&amp;" ")+2)&amp;IF(F526&gt;0," ("&amp;F526&amp;")",""),B526&amp;IF(F526&gt;0," ("&amp;F526&amp;")","")),"#"&amp;$A526)</f>
        <v/>
      </c>
      <c r="I526" s="209">
        <f>IF(LEN($A526)&gt;0,IF(LEN($J526)&gt;0,MATCH(J526,MatchNames,0),EventIndex),0)</f>
        <v>0</v>
      </c>
      <c r="J526" s="209" t="str">
        <f>IF(LEN($A526)&gt;0,IF(LEN(Declarations!$F526)&gt;0,Declarations!$F526,conftype),"")</f>
        <v/>
      </c>
      <c r="M526" s="297">
        <f>IF(ISNA(VLOOKUP($A526,SprintData,2,FALSE)),0,VLOOKUP($A526,SprintData,2,FALSE))</f>
        <v>0</v>
      </c>
      <c r="N526" s="297">
        <f>IF(ISNA(VLOOKUP($A526,JumpData,2,FALSE)),0,VLOOKUP($A526,JumpData,2,FALSE))</f>
        <v>0</v>
      </c>
      <c r="O526" s="297">
        <f>IF(ISNA(VLOOKUP($A526,RunData,2,FALSE)),0,VLOOKUP($A526,RunData,2,FALSE))</f>
        <v>0</v>
      </c>
      <c r="P526" s="297">
        <f>IF(ISNA(VLOOKUP($A526,ThrowData,2,FALSE)),0,VLOOKUP($A526,ThrowData,2,FALSE))</f>
        <v>0</v>
      </c>
      <c r="Q526" s="298">
        <f>IF(ISNA(VLOOKUP($A526,SprintData,4,FALSE)),0,VLOOKUP($A526,SprintData,4,FALSE))+V526</f>
        <v>0</v>
      </c>
      <c r="R526" s="298">
        <f>IF(ISNA(VLOOKUP($A526,JumpData,4,FALSE)),0,VLOOKUP($A526,JumpData,4,FALSE))+W526</f>
        <v>0</v>
      </c>
      <c r="S526" s="298">
        <f>IF(ISNA(VLOOKUP($A526,RunData,4,FALSE)),0,VLOOKUP($A526,RunData,4,FALSE))+X526</f>
        <v>0</v>
      </c>
      <c r="T526" s="298">
        <f>IF(ISNA(VLOOKUP($A526,ThrowData,4,FALSE)),0,VLOOKUP($A526,ThrowData,4,FALSE))+Y526</f>
        <v>0</v>
      </c>
      <c r="U526" s="299">
        <f t="shared" si="2"/>
        <v>0</v>
      </c>
      <c r="V526">
        <f>IF(AND($F526&gt;0,NOT(M526),Flexing),FlexPC,0)</f>
        <v>0</v>
      </c>
      <c r="W526">
        <f>IF(AND($F526&gt;0,NOT(N526),Flexing),FlexPC,0)</f>
        <v>0</v>
      </c>
      <c r="X526">
        <f>IF(AND($F526&gt;0,NOT(O526),Flexing),FlexPC,0)</f>
        <v>0</v>
      </c>
      <c r="Y526">
        <f>IF(AND($F526&gt;0,NOT(P526),Flexing),FlexPC,0)</f>
        <v>0</v>
      </c>
      <c r="AA526" s="209">
        <f t="shared" si="3"/>
        <v>525</v>
      </c>
    </row>
    <row r="527" ht="15.75" customHeight="1">
      <c r="A527" s="206" t="str">
        <f>+Declarations!A527&amp;""</f>
        <v/>
      </c>
      <c r="B527" t="str">
        <f>IF(LEN($A527),IF(LEN(Declarations!$B527)&gt;0,Declarations!$B527,"#"&amp;$A527),"")</f>
        <v/>
      </c>
      <c r="C527" s="209" t="str">
        <f t="array" ref="C527">IF(LEN(INDEX(DECLARATIONS,$AA527,3))&gt;0,INDEX(DECLARATIONS,$AA527,3),"...")</f>
        <v>...</v>
      </c>
      <c r="D527" s="209" t="str">
        <f t="shared" si="1"/>
        <v/>
      </c>
      <c r="E527" s="296" t="str">
        <f t="array" ref="E527">IF(ISNA($AA527),0,INDEX(DECLARATIONS,$AA527,5))</f>
        <v/>
      </c>
      <c r="F527" s="209" t="str">
        <f t="array" ref="F527">IF(ISNA($AA527),0,INDEX(DECLARATIONS,$AA527,7))</f>
        <v/>
      </c>
      <c r="G527" s="209" t="str">
        <f t="array" ref="G527">UPPER(IF(ISNA($AA527),"",INDEX(DECLARATIONS,$AA527,4)))</f>
        <v/>
      </c>
      <c r="H527" t="str">
        <f>IF(AND(A527&gt;0,ISTEXT(B527)),IF(SECNAME="YES",LEFT(B527&amp;" ",FIND(" ",B527&amp;" ")+2)&amp;IF(F527&gt;0," ("&amp;F527&amp;")",""),B527&amp;IF(F527&gt;0," ("&amp;F527&amp;")","")),"#"&amp;$A527)</f>
        <v/>
      </c>
      <c r="I527" s="209">
        <f>IF(LEN($A527)&gt;0,IF(LEN($J527)&gt;0,MATCH(J527,MatchNames,0),EventIndex),0)</f>
        <v>0</v>
      </c>
      <c r="J527" s="209" t="str">
        <f>IF(LEN($A527)&gt;0,IF(LEN(Declarations!$F527)&gt;0,Declarations!$F527,conftype),"")</f>
        <v/>
      </c>
      <c r="M527" s="297">
        <f>IF(ISNA(VLOOKUP($A527,SprintData,2,FALSE)),0,VLOOKUP($A527,SprintData,2,FALSE))</f>
        <v>0</v>
      </c>
      <c r="N527" s="297">
        <f>IF(ISNA(VLOOKUP($A527,JumpData,2,FALSE)),0,VLOOKUP($A527,JumpData,2,FALSE))</f>
        <v>0</v>
      </c>
      <c r="O527" s="297">
        <f>IF(ISNA(VLOOKUP($A527,RunData,2,FALSE)),0,VLOOKUP($A527,RunData,2,FALSE))</f>
        <v>0</v>
      </c>
      <c r="P527" s="297">
        <f>IF(ISNA(VLOOKUP($A527,ThrowData,2,FALSE)),0,VLOOKUP($A527,ThrowData,2,FALSE))</f>
        <v>0</v>
      </c>
      <c r="Q527" s="298">
        <f>IF(ISNA(VLOOKUP($A527,SprintData,4,FALSE)),0,VLOOKUP($A527,SprintData,4,FALSE))+V527</f>
        <v>0</v>
      </c>
      <c r="R527" s="298">
        <f>IF(ISNA(VLOOKUP($A527,JumpData,4,FALSE)),0,VLOOKUP($A527,JumpData,4,FALSE))+W527</f>
        <v>0</v>
      </c>
      <c r="S527" s="298">
        <f>IF(ISNA(VLOOKUP($A527,RunData,4,FALSE)),0,VLOOKUP($A527,RunData,4,FALSE))+X527</f>
        <v>0</v>
      </c>
      <c r="T527" s="298">
        <f>IF(ISNA(VLOOKUP($A527,ThrowData,4,FALSE)),0,VLOOKUP($A527,ThrowData,4,FALSE))+Y527</f>
        <v>0</v>
      </c>
      <c r="U527" s="299">
        <f t="shared" si="2"/>
        <v>0</v>
      </c>
      <c r="V527">
        <f>IF(AND($F527&gt;0,NOT(M527),Flexing),FlexPC,0)</f>
        <v>0</v>
      </c>
      <c r="W527">
        <f>IF(AND($F527&gt;0,NOT(N527),Flexing),FlexPC,0)</f>
        <v>0</v>
      </c>
      <c r="X527">
        <f>IF(AND($F527&gt;0,NOT(O527),Flexing),FlexPC,0)</f>
        <v>0</v>
      </c>
      <c r="Y527">
        <f>IF(AND($F527&gt;0,NOT(P527),Flexing),FlexPC,0)</f>
        <v>0</v>
      </c>
      <c r="AA527" s="209">
        <f t="shared" si="3"/>
        <v>526</v>
      </c>
    </row>
    <row r="528" ht="15.75" customHeight="1">
      <c r="A528" s="206" t="str">
        <f>+Declarations!A528&amp;""</f>
        <v/>
      </c>
      <c r="B528" t="str">
        <f>IF(LEN($A528),IF(LEN(Declarations!$B528)&gt;0,Declarations!$B528,"#"&amp;$A528),"")</f>
        <v/>
      </c>
      <c r="C528" s="209" t="str">
        <f t="array" ref="C528">IF(LEN(INDEX(DECLARATIONS,$AA528,3))&gt;0,INDEX(DECLARATIONS,$AA528,3),"...")</f>
        <v>...</v>
      </c>
      <c r="D528" s="209" t="str">
        <f t="shared" si="1"/>
        <v/>
      </c>
      <c r="E528" s="296" t="str">
        <f t="array" ref="E528">IF(ISNA($AA528),0,INDEX(DECLARATIONS,$AA528,5))</f>
        <v/>
      </c>
      <c r="F528" s="209" t="str">
        <f t="array" ref="F528">IF(ISNA($AA528),0,INDEX(DECLARATIONS,$AA528,7))</f>
        <v/>
      </c>
      <c r="G528" s="209" t="str">
        <f t="array" ref="G528">UPPER(IF(ISNA($AA528),"",INDEX(DECLARATIONS,$AA528,4)))</f>
        <v/>
      </c>
      <c r="H528" t="str">
        <f>IF(AND(A528&gt;0,ISTEXT(B528)),IF(SECNAME="YES",LEFT(B528&amp;" ",FIND(" ",B528&amp;" ")+2)&amp;IF(F528&gt;0," ("&amp;F528&amp;")",""),B528&amp;IF(F528&gt;0," ("&amp;F528&amp;")","")),"#"&amp;$A528)</f>
        <v/>
      </c>
      <c r="I528" s="209">
        <f>IF(LEN($A528)&gt;0,IF(LEN($J528)&gt;0,MATCH(J528,MatchNames,0),EventIndex),0)</f>
        <v>0</v>
      </c>
      <c r="J528" s="209" t="str">
        <f>IF(LEN($A528)&gt;0,IF(LEN(Declarations!$F528)&gt;0,Declarations!$F528,conftype),"")</f>
        <v/>
      </c>
      <c r="M528" s="297">
        <f>IF(ISNA(VLOOKUP($A528,SprintData,2,FALSE)),0,VLOOKUP($A528,SprintData,2,FALSE))</f>
        <v>0</v>
      </c>
      <c r="N528" s="297">
        <f>IF(ISNA(VLOOKUP($A528,JumpData,2,FALSE)),0,VLOOKUP($A528,JumpData,2,FALSE))</f>
        <v>0</v>
      </c>
      <c r="O528" s="297">
        <f>IF(ISNA(VLOOKUP($A528,RunData,2,FALSE)),0,VLOOKUP($A528,RunData,2,FALSE))</f>
        <v>0</v>
      </c>
      <c r="P528" s="297">
        <f>IF(ISNA(VLOOKUP($A528,ThrowData,2,FALSE)),0,VLOOKUP($A528,ThrowData,2,FALSE))</f>
        <v>0</v>
      </c>
      <c r="Q528" s="298">
        <f>IF(ISNA(VLOOKUP($A528,SprintData,4,FALSE)),0,VLOOKUP($A528,SprintData,4,FALSE))+V528</f>
        <v>0</v>
      </c>
      <c r="R528" s="298">
        <f>IF(ISNA(VLOOKUP($A528,JumpData,4,FALSE)),0,VLOOKUP($A528,JumpData,4,FALSE))+W528</f>
        <v>0</v>
      </c>
      <c r="S528" s="298">
        <f>IF(ISNA(VLOOKUP($A528,RunData,4,FALSE)),0,VLOOKUP($A528,RunData,4,FALSE))+X528</f>
        <v>0</v>
      </c>
      <c r="T528" s="298">
        <f>IF(ISNA(VLOOKUP($A528,ThrowData,4,FALSE)),0,VLOOKUP($A528,ThrowData,4,FALSE))+Y528</f>
        <v>0</v>
      </c>
      <c r="U528" s="299">
        <f t="shared" si="2"/>
        <v>0</v>
      </c>
      <c r="V528">
        <f>IF(AND($F528&gt;0,NOT(M528),Flexing),FlexPC,0)</f>
        <v>0</v>
      </c>
      <c r="W528">
        <f>IF(AND($F528&gt;0,NOT(N528),Flexing),FlexPC,0)</f>
        <v>0</v>
      </c>
      <c r="X528">
        <f>IF(AND($F528&gt;0,NOT(O528),Flexing),FlexPC,0)</f>
        <v>0</v>
      </c>
      <c r="Y528">
        <f>IF(AND($F528&gt;0,NOT(P528),Flexing),FlexPC,0)</f>
        <v>0</v>
      </c>
      <c r="AA528" s="209">
        <f t="shared" si="3"/>
        <v>527</v>
      </c>
    </row>
    <row r="529" ht="15.75" customHeight="1">
      <c r="A529" s="206" t="str">
        <f>+Declarations!A529&amp;""</f>
        <v/>
      </c>
      <c r="B529" t="str">
        <f>IF(LEN($A529),IF(LEN(Declarations!$B529)&gt;0,Declarations!$B529,"#"&amp;$A529),"")</f>
        <v/>
      </c>
      <c r="C529" s="209" t="str">
        <f t="array" ref="C529">IF(LEN(INDEX(DECLARATIONS,$AA529,3))&gt;0,INDEX(DECLARATIONS,$AA529,3),"...")</f>
        <v>...</v>
      </c>
      <c r="D529" s="209" t="str">
        <f t="shared" si="1"/>
        <v/>
      </c>
      <c r="E529" s="296" t="str">
        <f t="array" ref="E529">IF(ISNA($AA529),0,INDEX(DECLARATIONS,$AA529,5))</f>
        <v/>
      </c>
      <c r="F529" s="209" t="str">
        <f t="array" ref="F529">IF(ISNA($AA529),0,INDEX(DECLARATIONS,$AA529,7))</f>
        <v/>
      </c>
      <c r="G529" s="209" t="str">
        <f t="array" ref="G529">UPPER(IF(ISNA($AA529),"",INDEX(DECLARATIONS,$AA529,4)))</f>
        <v/>
      </c>
      <c r="H529" t="str">
        <f>IF(AND(A529&gt;0,ISTEXT(B529)),IF(SECNAME="YES",LEFT(B529&amp;" ",FIND(" ",B529&amp;" ")+2)&amp;IF(F529&gt;0," ("&amp;F529&amp;")",""),B529&amp;IF(F529&gt;0," ("&amp;F529&amp;")","")),"#"&amp;$A529)</f>
        <v/>
      </c>
      <c r="I529" s="209">
        <f>IF(LEN($A529)&gt;0,IF(LEN($J529)&gt;0,MATCH(J529,MatchNames,0),EventIndex),0)</f>
        <v>0</v>
      </c>
      <c r="J529" s="209" t="str">
        <f>IF(LEN($A529)&gt;0,IF(LEN(Declarations!$F529)&gt;0,Declarations!$F529,conftype),"")</f>
        <v/>
      </c>
      <c r="M529" s="297">
        <f>IF(ISNA(VLOOKUP($A529,SprintData,2,FALSE)),0,VLOOKUP($A529,SprintData,2,FALSE))</f>
        <v>0</v>
      </c>
      <c r="N529" s="297">
        <f>IF(ISNA(VLOOKUP($A529,JumpData,2,FALSE)),0,VLOOKUP($A529,JumpData,2,FALSE))</f>
        <v>0</v>
      </c>
      <c r="O529" s="297">
        <f>IF(ISNA(VLOOKUP($A529,RunData,2,FALSE)),0,VLOOKUP($A529,RunData,2,FALSE))</f>
        <v>0</v>
      </c>
      <c r="P529" s="297">
        <f>IF(ISNA(VLOOKUP($A529,ThrowData,2,FALSE)),0,VLOOKUP($A529,ThrowData,2,FALSE))</f>
        <v>0</v>
      </c>
      <c r="Q529" s="298">
        <f>IF(ISNA(VLOOKUP($A529,SprintData,4,FALSE)),0,VLOOKUP($A529,SprintData,4,FALSE))+V529</f>
        <v>0</v>
      </c>
      <c r="R529" s="298">
        <f>IF(ISNA(VLOOKUP($A529,JumpData,4,FALSE)),0,VLOOKUP($A529,JumpData,4,FALSE))+W529</f>
        <v>0</v>
      </c>
      <c r="S529" s="298">
        <f>IF(ISNA(VLOOKUP($A529,RunData,4,FALSE)),0,VLOOKUP($A529,RunData,4,FALSE))+X529</f>
        <v>0</v>
      </c>
      <c r="T529" s="298">
        <f>IF(ISNA(VLOOKUP($A529,ThrowData,4,FALSE)),0,VLOOKUP($A529,ThrowData,4,FALSE))+Y529</f>
        <v>0</v>
      </c>
      <c r="U529" s="299">
        <f t="shared" si="2"/>
        <v>0</v>
      </c>
      <c r="V529">
        <f>IF(AND($F529&gt;0,NOT(M529),Flexing),FlexPC,0)</f>
        <v>0</v>
      </c>
      <c r="W529">
        <f>IF(AND($F529&gt;0,NOT(N529),Flexing),FlexPC,0)</f>
        <v>0</v>
      </c>
      <c r="X529">
        <f>IF(AND($F529&gt;0,NOT(O529),Flexing),FlexPC,0)</f>
        <v>0</v>
      </c>
      <c r="Y529">
        <f>IF(AND($F529&gt;0,NOT(P529),Flexing),FlexPC,0)</f>
        <v>0</v>
      </c>
      <c r="AA529" s="209">
        <f t="shared" si="3"/>
        <v>528</v>
      </c>
    </row>
    <row r="530" ht="15.75" customHeight="1">
      <c r="A530" s="206" t="str">
        <f>+Declarations!A530&amp;""</f>
        <v/>
      </c>
      <c r="B530" t="str">
        <f>IF(LEN($A530),IF(LEN(Declarations!$B530)&gt;0,Declarations!$B530,"#"&amp;$A530),"")</f>
        <v/>
      </c>
      <c r="C530" s="209" t="str">
        <f t="array" ref="C530">IF(LEN(INDEX(DECLARATIONS,$AA530,3))&gt;0,INDEX(DECLARATIONS,$AA530,3),"...")</f>
        <v>...</v>
      </c>
      <c r="D530" s="209" t="str">
        <f t="shared" si="1"/>
        <v/>
      </c>
      <c r="E530" s="296" t="str">
        <f t="array" ref="E530">IF(ISNA($AA530),0,INDEX(DECLARATIONS,$AA530,5))</f>
        <v/>
      </c>
      <c r="F530" s="209" t="str">
        <f t="array" ref="F530">IF(ISNA($AA530),0,INDEX(DECLARATIONS,$AA530,7))</f>
        <v/>
      </c>
      <c r="G530" s="209" t="str">
        <f t="array" ref="G530">UPPER(IF(ISNA($AA530),"",INDEX(DECLARATIONS,$AA530,4)))</f>
        <v/>
      </c>
      <c r="H530" t="str">
        <f>IF(AND(A530&gt;0,ISTEXT(B530)),IF(SECNAME="YES",LEFT(B530&amp;" ",FIND(" ",B530&amp;" ")+2)&amp;IF(F530&gt;0," ("&amp;F530&amp;")",""),B530&amp;IF(F530&gt;0," ("&amp;F530&amp;")","")),"#"&amp;$A530)</f>
        <v/>
      </c>
      <c r="I530" s="209">
        <f>IF(LEN($A530)&gt;0,IF(LEN($J530)&gt;0,MATCH(J530,MatchNames,0),EventIndex),0)</f>
        <v>0</v>
      </c>
      <c r="J530" s="209" t="str">
        <f>IF(LEN($A530)&gt;0,IF(LEN(Declarations!$F530)&gt;0,Declarations!$F530,conftype),"")</f>
        <v/>
      </c>
      <c r="M530" s="297">
        <f>IF(ISNA(VLOOKUP($A530,SprintData,2,FALSE)),0,VLOOKUP($A530,SprintData,2,FALSE))</f>
        <v>0</v>
      </c>
      <c r="N530" s="297">
        <f>IF(ISNA(VLOOKUP($A530,JumpData,2,FALSE)),0,VLOOKUP($A530,JumpData,2,FALSE))</f>
        <v>0</v>
      </c>
      <c r="O530" s="297">
        <f>IF(ISNA(VLOOKUP($A530,RunData,2,FALSE)),0,VLOOKUP($A530,RunData,2,FALSE))</f>
        <v>0</v>
      </c>
      <c r="P530" s="297">
        <f>IF(ISNA(VLOOKUP($A530,ThrowData,2,FALSE)),0,VLOOKUP($A530,ThrowData,2,FALSE))</f>
        <v>0</v>
      </c>
      <c r="Q530" s="298">
        <f>IF(ISNA(VLOOKUP($A530,SprintData,4,FALSE)),0,VLOOKUP($A530,SprintData,4,FALSE))+V530</f>
        <v>0</v>
      </c>
      <c r="R530" s="298">
        <f>IF(ISNA(VLOOKUP($A530,JumpData,4,FALSE)),0,VLOOKUP($A530,JumpData,4,FALSE))+W530</f>
        <v>0</v>
      </c>
      <c r="S530" s="298">
        <f>IF(ISNA(VLOOKUP($A530,RunData,4,FALSE)),0,VLOOKUP($A530,RunData,4,FALSE))+X530</f>
        <v>0</v>
      </c>
      <c r="T530" s="298">
        <f>IF(ISNA(VLOOKUP($A530,ThrowData,4,FALSE)),0,VLOOKUP($A530,ThrowData,4,FALSE))+Y530</f>
        <v>0</v>
      </c>
      <c r="U530" s="299">
        <f t="shared" si="2"/>
        <v>0</v>
      </c>
      <c r="V530">
        <f>IF(AND($F530&gt;0,NOT(M530),Flexing),FlexPC,0)</f>
        <v>0</v>
      </c>
      <c r="W530">
        <f>IF(AND($F530&gt;0,NOT(N530),Flexing),FlexPC,0)</f>
        <v>0</v>
      </c>
      <c r="X530">
        <f>IF(AND($F530&gt;0,NOT(O530),Flexing),FlexPC,0)</f>
        <v>0</v>
      </c>
      <c r="Y530">
        <f>IF(AND($F530&gt;0,NOT(P530),Flexing),FlexPC,0)</f>
        <v>0</v>
      </c>
      <c r="AA530" s="209">
        <f t="shared" si="3"/>
        <v>529</v>
      </c>
    </row>
    <row r="531" ht="15.75" customHeight="1">
      <c r="A531" s="206" t="str">
        <f>+Declarations!A531&amp;""</f>
        <v/>
      </c>
      <c r="B531" t="str">
        <f>IF(LEN($A531),IF(LEN(Declarations!$B531)&gt;0,Declarations!$B531,"#"&amp;$A531),"")</f>
        <v/>
      </c>
      <c r="C531" s="209" t="str">
        <f t="array" ref="C531">IF(LEN(INDEX(DECLARATIONS,$AA531,3))&gt;0,INDEX(DECLARATIONS,$AA531,3),"...")</f>
        <v>...</v>
      </c>
      <c r="D531" s="209" t="str">
        <f t="shared" si="1"/>
        <v/>
      </c>
      <c r="E531" s="296" t="str">
        <f t="array" ref="E531">IF(ISNA($AA531),0,INDEX(DECLARATIONS,$AA531,5))</f>
        <v/>
      </c>
      <c r="F531" s="209" t="str">
        <f t="array" ref="F531">IF(ISNA($AA531),0,INDEX(DECLARATIONS,$AA531,7))</f>
        <v/>
      </c>
      <c r="G531" s="209" t="str">
        <f t="array" ref="G531">UPPER(IF(ISNA($AA531),"",INDEX(DECLARATIONS,$AA531,4)))</f>
        <v/>
      </c>
      <c r="H531" t="str">
        <f>IF(AND(A531&gt;0,ISTEXT(B531)),IF(SECNAME="YES",LEFT(B531&amp;" ",FIND(" ",B531&amp;" ")+2)&amp;IF(F531&gt;0," ("&amp;F531&amp;")",""),B531&amp;IF(F531&gt;0," ("&amp;F531&amp;")","")),"#"&amp;$A531)</f>
        <v/>
      </c>
      <c r="I531" s="209">
        <f>IF(LEN($A531)&gt;0,IF(LEN($J531)&gt;0,MATCH(J531,MatchNames,0),EventIndex),0)</f>
        <v>0</v>
      </c>
      <c r="J531" s="209" t="str">
        <f>IF(LEN($A531)&gt;0,IF(LEN(Declarations!$F531)&gt;0,Declarations!$F531,conftype),"")</f>
        <v/>
      </c>
      <c r="M531" s="297">
        <f>IF(ISNA(VLOOKUP($A531,SprintData,2,FALSE)),0,VLOOKUP($A531,SprintData,2,FALSE))</f>
        <v>0</v>
      </c>
      <c r="N531" s="297">
        <f>IF(ISNA(VLOOKUP($A531,JumpData,2,FALSE)),0,VLOOKUP($A531,JumpData,2,FALSE))</f>
        <v>0</v>
      </c>
      <c r="O531" s="297">
        <f>IF(ISNA(VLOOKUP($A531,RunData,2,FALSE)),0,VLOOKUP($A531,RunData,2,FALSE))</f>
        <v>0</v>
      </c>
      <c r="P531" s="297">
        <f>IF(ISNA(VLOOKUP($A531,ThrowData,2,FALSE)),0,VLOOKUP($A531,ThrowData,2,FALSE))</f>
        <v>0</v>
      </c>
      <c r="Q531" s="298">
        <f>IF(ISNA(VLOOKUP($A531,SprintData,4,FALSE)),0,VLOOKUP($A531,SprintData,4,FALSE))+V531</f>
        <v>0</v>
      </c>
      <c r="R531" s="298">
        <f>IF(ISNA(VLOOKUP($A531,JumpData,4,FALSE)),0,VLOOKUP($A531,JumpData,4,FALSE))+W531</f>
        <v>0</v>
      </c>
      <c r="S531" s="298">
        <f>IF(ISNA(VLOOKUP($A531,RunData,4,FALSE)),0,VLOOKUP($A531,RunData,4,FALSE))+X531</f>
        <v>0</v>
      </c>
      <c r="T531" s="298">
        <f>IF(ISNA(VLOOKUP($A531,ThrowData,4,FALSE)),0,VLOOKUP($A531,ThrowData,4,FALSE))+Y531</f>
        <v>0</v>
      </c>
      <c r="U531" s="299">
        <f t="shared" si="2"/>
        <v>0</v>
      </c>
      <c r="V531">
        <f>IF(AND($F531&gt;0,NOT(M531),Flexing),FlexPC,0)</f>
        <v>0</v>
      </c>
      <c r="W531">
        <f>IF(AND($F531&gt;0,NOT(N531),Flexing),FlexPC,0)</f>
        <v>0</v>
      </c>
      <c r="X531">
        <f>IF(AND($F531&gt;0,NOT(O531),Flexing),FlexPC,0)</f>
        <v>0</v>
      </c>
      <c r="Y531">
        <f>IF(AND($F531&gt;0,NOT(P531),Flexing),FlexPC,0)</f>
        <v>0</v>
      </c>
      <c r="AA531" s="209">
        <f t="shared" si="3"/>
        <v>530</v>
      </c>
    </row>
    <row r="532" ht="15.75" customHeight="1">
      <c r="A532" s="206" t="str">
        <f>+Declarations!A532&amp;""</f>
        <v/>
      </c>
      <c r="B532" t="str">
        <f>IF(LEN($A532),IF(LEN(Declarations!$B532)&gt;0,Declarations!$B532,"#"&amp;$A532),"")</f>
        <v/>
      </c>
      <c r="C532" s="209" t="str">
        <f t="array" ref="C532">IF(LEN(INDEX(DECLARATIONS,$AA532,3))&gt;0,INDEX(DECLARATIONS,$AA532,3),"...")</f>
        <v>...</v>
      </c>
      <c r="D532" s="209" t="str">
        <f t="shared" si="1"/>
        <v/>
      </c>
      <c r="E532" s="296" t="str">
        <f t="array" ref="E532">IF(ISNA($AA532),0,INDEX(DECLARATIONS,$AA532,5))</f>
        <v/>
      </c>
      <c r="F532" s="209" t="str">
        <f t="array" ref="F532">IF(ISNA($AA532),0,INDEX(DECLARATIONS,$AA532,7))</f>
        <v/>
      </c>
      <c r="G532" s="209" t="str">
        <f t="array" ref="G532">UPPER(IF(ISNA($AA532),"",INDEX(DECLARATIONS,$AA532,4)))</f>
        <v/>
      </c>
      <c r="H532" t="str">
        <f>IF(AND(A532&gt;0,ISTEXT(B532)),IF(SECNAME="YES",LEFT(B532&amp;" ",FIND(" ",B532&amp;" ")+2)&amp;IF(F532&gt;0," ("&amp;F532&amp;")",""),B532&amp;IF(F532&gt;0," ("&amp;F532&amp;")","")),"#"&amp;$A532)</f>
        <v/>
      </c>
      <c r="I532" s="209">
        <f>IF(LEN($A532)&gt;0,IF(LEN($J532)&gt;0,MATCH(J532,MatchNames,0),EventIndex),0)</f>
        <v>0</v>
      </c>
      <c r="J532" s="209" t="str">
        <f>IF(LEN($A532)&gt;0,IF(LEN(Declarations!$F532)&gt;0,Declarations!$F532,conftype),"")</f>
        <v/>
      </c>
      <c r="M532" s="297">
        <f>IF(ISNA(VLOOKUP($A532,SprintData,2,FALSE)),0,VLOOKUP($A532,SprintData,2,FALSE))</f>
        <v>0</v>
      </c>
      <c r="N532" s="297">
        <f>IF(ISNA(VLOOKUP($A532,JumpData,2,FALSE)),0,VLOOKUP($A532,JumpData,2,FALSE))</f>
        <v>0</v>
      </c>
      <c r="O532" s="297">
        <f>IF(ISNA(VLOOKUP($A532,RunData,2,FALSE)),0,VLOOKUP($A532,RunData,2,FALSE))</f>
        <v>0</v>
      </c>
      <c r="P532" s="297">
        <f>IF(ISNA(VLOOKUP($A532,ThrowData,2,FALSE)),0,VLOOKUP($A532,ThrowData,2,FALSE))</f>
        <v>0</v>
      </c>
      <c r="Q532" s="298">
        <f>IF(ISNA(VLOOKUP($A532,SprintData,4,FALSE)),0,VLOOKUP($A532,SprintData,4,FALSE))+V532</f>
        <v>0</v>
      </c>
      <c r="R532" s="298">
        <f>IF(ISNA(VLOOKUP($A532,JumpData,4,FALSE)),0,VLOOKUP($A532,JumpData,4,FALSE))+W532</f>
        <v>0</v>
      </c>
      <c r="S532" s="298">
        <f>IF(ISNA(VLOOKUP($A532,RunData,4,FALSE)),0,VLOOKUP($A532,RunData,4,FALSE))+X532</f>
        <v>0</v>
      </c>
      <c r="T532" s="298">
        <f>IF(ISNA(VLOOKUP($A532,ThrowData,4,FALSE)),0,VLOOKUP($A532,ThrowData,4,FALSE))+Y532</f>
        <v>0</v>
      </c>
      <c r="U532" s="299">
        <f t="shared" si="2"/>
        <v>0</v>
      </c>
      <c r="V532">
        <f>IF(AND($F532&gt;0,NOT(M532),Flexing),FlexPC,0)</f>
        <v>0</v>
      </c>
      <c r="W532">
        <f>IF(AND($F532&gt;0,NOT(N532),Flexing),FlexPC,0)</f>
        <v>0</v>
      </c>
      <c r="X532">
        <f>IF(AND($F532&gt;0,NOT(O532),Flexing),FlexPC,0)</f>
        <v>0</v>
      </c>
      <c r="Y532">
        <f>IF(AND($F532&gt;0,NOT(P532),Flexing),FlexPC,0)</f>
        <v>0</v>
      </c>
      <c r="AA532" s="209">
        <f t="shared" si="3"/>
        <v>531</v>
      </c>
    </row>
    <row r="533" ht="15.75" customHeight="1">
      <c r="A533" s="206" t="str">
        <f>+Declarations!A533&amp;""</f>
        <v/>
      </c>
      <c r="B533" t="str">
        <f>IF(LEN($A533),IF(LEN(Declarations!$B533)&gt;0,Declarations!$B533,"#"&amp;$A533),"")</f>
        <v/>
      </c>
      <c r="C533" s="209" t="str">
        <f t="array" ref="C533">IF(LEN(INDEX(DECLARATIONS,$AA533,3))&gt;0,INDEX(DECLARATIONS,$AA533,3),"...")</f>
        <v>...</v>
      </c>
      <c r="D533" s="209" t="str">
        <f t="shared" si="1"/>
        <v/>
      </c>
      <c r="E533" s="296" t="str">
        <f t="array" ref="E533">IF(ISNA($AA533),0,INDEX(DECLARATIONS,$AA533,5))</f>
        <v/>
      </c>
      <c r="F533" s="209" t="str">
        <f t="array" ref="F533">IF(ISNA($AA533),0,INDEX(DECLARATIONS,$AA533,7))</f>
        <v/>
      </c>
      <c r="G533" s="209" t="str">
        <f t="array" ref="G533">UPPER(IF(ISNA($AA533),"",INDEX(DECLARATIONS,$AA533,4)))</f>
        <v/>
      </c>
      <c r="H533" t="str">
        <f>IF(AND(A533&gt;0,ISTEXT(B533)),IF(SECNAME="YES",LEFT(B533&amp;" ",FIND(" ",B533&amp;" ")+2)&amp;IF(F533&gt;0," ("&amp;F533&amp;")",""),B533&amp;IF(F533&gt;0," ("&amp;F533&amp;")","")),"#"&amp;$A533)</f>
        <v/>
      </c>
      <c r="I533" s="209">
        <f>IF(LEN($A533)&gt;0,IF(LEN($J533)&gt;0,MATCH(J533,MatchNames,0),EventIndex),0)</f>
        <v>0</v>
      </c>
      <c r="J533" s="209" t="str">
        <f>IF(LEN($A533)&gt;0,IF(LEN(Declarations!$F533)&gt;0,Declarations!$F533,conftype),"")</f>
        <v/>
      </c>
      <c r="M533" s="297">
        <f>IF(ISNA(VLOOKUP($A533,SprintData,2,FALSE)),0,VLOOKUP($A533,SprintData,2,FALSE))</f>
        <v>0</v>
      </c>
      <c r="N533" s="297">
        <f>IF(ISNA(VLOOKUP($A533,JumpData,2,FALSE)),0,VLOOKUP($A533,JumpData,2,FALSE))</f>
        <v>0</v>
      </c>
      <c r="O533" s="297">
        <f>IF(ISNA(VLOOKUP($A533,RunData,2,FALSE)),0,VLOOKUP($A533,RunData,2,FALSE))</f>
        <v>0</v>
      </c>
      <c r="P533" s="297">
        <f>IF(ISNA(VLOOKUP($A533,ThrowData,2,FALSE)),0,VLOOKUP($A533,ThrowData,2,FALSE))</f>
        <v>0</v>
      </c>
      <c r="Q533" s="298">
        <f>IF(ISNA(VLOOKUP($A533,SprintData,4,FALSE)),0,VLOOKUP($A533,SprintData,4,FALSE))+V533</f>
        <v>0</v>
      </c>
      <c r="R533" s="298">
        <f>IF(ISNA(VLOOKUP($A533,JumpData,4,FALSE)),0,VLOOKUP($A533,JumpData,4,FALSE))+W533</f>
        <v>0</v>
      </c>
      <c r="S533" s="298">
        <f>IF(ISNA(VLOOKUP($A533,RunData,4,FALSE)),0,VLOOKUP($A533,RunData,4,FALSE))+X533</f>
        <v>0</v>
      </c>
      <c r="T533" s="298">
        <f>IF(ISNA(VLOOKUP($A533,ThrowData,4,FALSE)),0,VLOOKUP($A533,ThrowData,4,FALSE))+Y533</f>
        <v>0</v>
      </c>
      <c r="U533" s="299">
        <f t="shared" si="2"/>
        <v>0</v>
      </c>
      <c r="V533">
        <f>IF(AND($F533&gt;0,NOT(M533),Flexing),FlexPC,0)</f>
        <v>0</v>
      </c>
      <c r="W533">
        <f>IF(AND($F533&gt;0,NOT(N533),Flexing),FlexPC,0)</f>
        <v>0</v>
      </c>
      <c r="X533">
        <f>IF(AND($F533&gt;0,NOT(O533),Flexing),FlexPC,0)</f>
        <v>0</v>
      </c>
      <c r="Y533">
        <f>IF(AND($F533&gt;0,NOT(P533),Flexing),FlexPC,0)</f>
        <v>0</v>
      </c>
      <c r="AA533" s="209">
        <f t="shared" si="3"/>
        <v>532</v>
      </c>
    </row>
    <row r="534" ht="15.75" customHeight="1">
      <c r="A534" s="206" t="str">
        <f>+Declarations!A534&amp;""</f>
        <v/>
      </c>
      <c r="B534" t="str">
        <f>IF(LEN($A534),IF(LEN(Declarations!$B534)&gt;0,Declarations!$B534,"#"&amp;$A534),"")</f>
        <v/>
      </c>
      <c r="C534" s="209" t="str">
        <f t="array" ref="C534">IF(LEN(INDEX(DECLARATIONS,$AA534,3))&gt;0,INDEX(DECLARATIONS,$AA534,3),"...")</f>
        <v>...</v>
      </c>
      <c r="D534" s="209" t="str">
        <f t="shared" si="1"/>
        <v/>
      </c>
      <c r="E534" s="296" t="str">
        <f t="array" ref="E534">IF(ISNA($AA534),0,INDEX(DECLARATIONS,$AA534,5))</f>
        <v/>
      </c>
      <c r="F534" s="209" t="str">
        <f t="array" ref="F534">IF(ISNA($AA534),0,INDEX(DECLARATIONS,$AA534,7))</f>
        <v/>
      </c>
      <c r="G534" s="209" t="str">
        <f t="array" ref="G534">UPPER(IF(ISNA($AA534),"",INDEX(DECLARATIONS,$AA534,4)))</f>
        <v/>
      </c>
      <c r="H534" t="str">
        <f>IF(AND(A534&gt;0,ISTEXT(B534)),IF(SECNAME="YES",LEFT(B534&amp;" ",FIND(" ",B534&amp;" ")+2)&amp;IF(F534&gt;0," ("&amp;F534&amp;")",""),B534&amp;IF(F534&gt;0," ("&amp;F534&amp;")","")),"#"&amp;$A534)</f>
        <v/>
      </c>
      <c r="I534" s="209">
        <f>IF(LEN($A534)&gt;0,IF(LEN($J534)&gt;0,MATCH(J534,MatchNames,0),EventIndex),0)</f>
        <v>0</v>
      </c>
      <c r="J534" s="209" t="str">
        <f>IF(LEN($A534)&gt;0,IF(LEN(Declarations!$F534)&gt;0,Declarations!$F534,conftype),"")</f>
        <v/>
      </c>
      <c r="M534" s="297">
        <f>IF(ISNA(VLOOKUP($A534,SprintData,2,FALSE)),0,VLOOKUP($A534,SprintData,2,FALSE))</f>
        <v>0</v>
      </c>
      <c r="N534" s="297">
        <f>IF(ISNA(VLOOKUP($A534,JumpData,2,FALSE)),0,VLOOKUP($A534,JumpData,2,FALSE))</f>
        <v>0</v>
      </c>
      <c r="O534" s="297">
        <f>IF(ISNA(VLOOKUP($A534,RunData,2,FALSE)),0,VLOOKUP($A534,RunData,2,FALSE))</f>
        <v>0</v>
      </c>
      <c r="P534" s="297">
        <f>IF(ISNA(VLOOKUP($A534,ThrowData,2,FALSE)),0,VLOOKUP($A534,ThrowData,2,FALSE))</f>
        <v>0</v>
      </c>
      <c r="Q534" s="298">
        <f>IF(ISNA(VLOOKUP($A534,SprintData,4,FALSE)),0,VLOOKUP($A534,SprintData,4,FALSE))+V534</f>
        <v>0</v>
      </c>
      <c r="R534" s="298">
        <f>IF(ISNA(VLOOKUP($A534,JumpData,4,FALSE)),0,VLOOKUP($A534,JumpData,4,FALSE))+W534</f>
        <v>0</v>
      </c>
      <c r="S534" s="298">
        <f>IF(ISNA(VLOOKUP($A534,RunData,4,FALSE)),0,VLOOKUP($A534,RunData,4,FALSE))+X534</f>
        <v>0</v>
      </c>
      <c r="T534" s="298">
        <f>IF(ISNA(VLOOKUP($A534,ThrowData,4,FALSE)),0,VLOOKUP($A534,ThrowData,4,FALSE))+Y534</f>
        <v>0</v>
      </c>
      <c r="U534" s="299">
        <f t="shared" si="2"/>
        <v>0</v>
      </c>
      <c r="V534">
        <f>IF(AND($F534&gt;0,NOT(M534),Flexing),FlexPC,0)</f>
        <v>0</v>
      </c>
      <c r="W534">
        <f>IF(AND($F534&gt;0,NOT(N534),Flexing),FlexPC,0)</f>
        <v>0</v>
      </c>
      <c r="X534">
        <f>IF(AND($F534&gt;0,NOT(O534),Flexing),FlexPC,0)</f>
        <v>0</v>
      </c>
      <c r="Y534">
        <f>IF(AND($F534&gt;0,NOT(P534),Flexing),FlexPC,0)</f>
        <v>0</v>
      </c>
      <c r="AA534" s="209">
        <f t="shared" si="3"/>
        <v>533</v>
      </c>
    </row>
    <row r="535" ht="15.75" customHeight="1">
      <c r="A535" s="206" t="str">
        <f>+Declarations!A535&amp;""</f>
        <v/>
      </c>
      <c r="B535" t="str">
        <f>IF(LEN($A535),IF(LEN(Declarations!$B535)&gt;0,Declarations!$B535,"#"&amp;$A535),"")</f>
        <v/>
      </c>
      <c r="C535" s="209" t="str">
        <f t="array" ref="C535">IF(LEN(INDEX(DECLARATIONS,$AA535,3))&gt;0,INDEX(DECLARATIONS,$AA535,3),"...")</f>
        <v>...</v>
      </c>
      <c r="D535" s="209" t="str">
        <f t="shared" si="1"/>
        <v/>
      </c>
      <c r="E535" s="296" t="str">
        <f t="array" ref="E535">IF(ISNA($AA535),0,INDEX(DECLARATIONS,$AA535,5))</f>
        <v/>
      </c>
      <c r="F535" s="209" t="str">
        <f t="array" ref="F535">IF(ISNA($AA535),0,INDEX(DECLARATIONS,$AA535,7))</f>
        <v/>
      </c>
      <c r="G535" s="209" t="str">
        <f t="array" ref="G535">UPPER(IF(ISNA($AA535),"",INDEX(DECLARATIONS,$AA535,4)))</f>
        <v/>
      </c>
      <c r="H535" t="str">
        <f>IF(AND(A535&gt;0,ISTEXT(B535)),IF(SECNAME="YES",LEFT(B535&amp;" ",FIND(" ",B535&amp;" ")+2)&amp;IF(F535&gt;0," ("&amp;F535&amp;")",""),B535&amp;IF(F535&gt;0," ("&amp;F535&amp;")","")),"#"&amp;$A535)</f>
        <v/>
      </c>
      <c r="I535" s="209">
        <f>IF(LEN($A535)&gt;0,IF(LEN($J535)&gt;0,MATCH(J535,MatchNames,0),EventIndex),0)</f>
        <v>0</v>
      </c>
      <c r="J535" s="209" t="str">
        <f>IF(LEN($A535)&gt;0,IF(LEN(Declarations!$F535)&gt;0,Declarations!$F535,conftype),"")</f>
        <v/>
      </c>
      <c r="M535" s="297">
        <f>IF(ISNA(VLOOKUP($A535,SprintData,2,FALSE)),0,VLOOKUP($A535,SprintData,2,FALSE))</f>
        <v>0</v>
      </c>
      <c r="N535" s="297">
        <f>IF(ISNA(VLOOKUP($A535,JumpData,2,FALSE)),0,VLOOKUP($A535,JumpData,2,FALSE))</f>
        <v>0</v>
      </c>
      <c r="O535" s="297">
        <f>IF(ISNA(VLOOKUP($A535,RunData,2,FALSE)),0,VLOOKUP($A535,RunData,2,FALSE))</f>
        <v>0</v>
      </c>
      <c r="P535" s="297">
        <f>IF(ISNA(VLOOKUP($A535,ThrowData,2,FALSE)),0,VLOOKUP($A535,ThrowData,2,FALSE))</f>
        <v>0</v>
      </c>
      <c r="Q535" s="298">
        <f>IF(ISNA(VLOOKUP($A535,SprintData,4,FALSE)),0,VLOOKUP($A535,SprintData,4,FALSE))+V535</f>
        <v>0</v>
      </c>
      <c r="R535" s="298">
        <f>IF(ISNA(VLOOKUP($A535,JumpData,4,FALSE)),0,VLOOKUP($A535,JumpData,4,FALSE))+W535</f>
        <v>0</v>
      </c>
      <c r="S535" s="298">
        <f>IF(ISNA(VLOOKUP($A535,RunData,4,FALSE)),0,VLOOKUP($A535,RunData,4,FALSE))+X535</f>
        <v>0</v>
      </c>
      <c r="T535" s="298">
        <f>IF(ISNA(VLOOKUP($A535,ThrowData,4,FALSE)),0,VLOOKUP($A535,ThrowData,4,FALSE))+Y535</f>
        <v>0</v>
      </c>
      <c r="U535" s="299">
        <f t="shared" si="2"/>
        <v>0</v>
      </c>
      <c r="V535">
        <f>IF(AND($F535&gt;0,NOT(M535),Flexing),FlexPC,0)</f>
        <v>0</v>
      </c>
      <c r="W535">
        <f>IF(AND($F535&gt;0,NOT(N535),Flexing),FlexPC,0)</f>
        <v>0</v>
      </c>
      <c r="X535">
        <f>IF(AND($F535&gt;0,NOT(O535),Flexing),FlexPC,0)</f>
        <v>0</v>
      </c>
      <c r="Y535">
        <f>IF(AND($F535&gt;0,NOT(P535),Flexing),FlexPC,0)</f>
        <v>0</v>
      </c>
      <c r="AA535" s="209">
        <f t="shared" si="3"/>
        <v>534</v>
      </c>
    </row>
    <row r="536" ht="15.75" customHeight="1">
      <c r="A536" s="206" t="str">
        <f>+Declarations!A536&amp;""</f>
        <v/>
      </c>
      <c r="B536" t="str">
        <f>IF(LEN($A536),IF(LEN(Declarations!$B536)&gt;0,Declarations!$B536,"#"&amp;$A536),"")</f>
        <v/>
      </c>
      <c r="C536" s="209" t="str">
        <f t="array" ref="C536">IF(LEN(INDEX(DECLARATIONS,$AA536,3))&gt;0,INDEX(DECLARATIONS,$AA536,3),"...")</f>
        <v>...</v>
      </c>
      <c r="D536" s="209" t="str">
        <f t="shared" si="1"/>
        <v/>
      </c>
      <c r="E536" s="296" t="str">
        <f t="array" ref="E536">IF(ISNA($AA536),0,INDEX(DECLARATIONS,$AA536,5))</f>
        <v/>
      </c>
      <c r="F536" s="209" t="str">
        <f t="array" ref="F536">IF(ISNA($AA536),0,INDEX(DECLARATIONS,$AA536,7))</f>
        <v/>
      </c>
      <c r="G536" s="209" t="str">
        <f t="array" ref="G536">UPPER(IF(ISNA($AA536),"",INDEX(DECLARATIONS,$AA536,4)))</f>
        <v/>
      </c>
      <c r="H536" t="str">
        <f>IF(AND(A536&gt;0,ISTEXT(B536)),IF(SECNAME="YES",LEFT(B536&amp;" ",FIND(" ",B536&amp;" ")+2)&amp;IF(F536&gt;0," ("&amp;F536&amp;")",""),B536&amp;IF(F536&gt;0," ("&amp;F536&amp;")","")),"#"&amp;$A536)</f>
        <v/>
      </c>
      <c r="I536" s="209">
        <f>IF(LEN($A536)&gt;0,IF(LEN($J536)&gt;0,MATCH(J536,MatchNames,0),EventIndex),0)</f>
        <v>0</v>
      </c>
      <c r="J536" s="209" t="str">
        <f>IF(LEN($A536)&gt;0,IF(LEN(Declarations!$F536)&gt;0,Declarations!$F536,conftype),"")</f>
        <v/>
      </c>
      <c r="M536" s="297">
        <f>IF(ISNA(VLOOKUP($A536,SprintData,2,FALSE)),0,VLOOKUP($A536,SprintData,2,FALSE))</f>
        <v>0</v>
      </c>
      <c r="N536" s="297">
        <f>IF(ISNA(VLOOKUP($A536,JumpData,2,FALSE)),0,VLOOKUP($A536,JumpData,2,FALSE))</f>
        <v>0</v>
      </c>
      <c r="O536" s="297">
        <f>IF(ISNA(VLOOKUP($A536,RunData,2,FALSE)),0,VLOOKUP($A536,RunData,2,FALSE))</f>
        <v>0</v>
      </c>
      <c r="P536" s="297">
        <f>IF(ISNA(VLOOKUP($A536,ThrowData,2,FALSE)),0,VLOOKUP($A536,ThrowData,2,FALSE))</f>
        <v>0</v>
      </c>
      <c r="Q536" s="298">
        <f>IF(ISNA(VLOOKUP($A536,SprintData,4,FALSE)),0,VLOOKUP($A536,SprintData,4,FALSE))+V536</f>
        <v>0</v>
      </c>
      <c r="R536" s="298">
        <f>IF(ISNA(VLOOKUP($A536,JumpData,4,FALSE)),0,VLOOKUP($A536,JumpData,4,FALSE))+W536</f>
        <v>0</v>
      </c>
      <c r="S536" s="298">
        <f>IF(ISNA(VLOOKUP($A536,RunData,4,FALSE)),0,VLOOKUP($A536,RunData,4,FALSE))+X536</f>
        <v>0</v>
      </c>
      <c r="T536" s="298">
        <f>IF(ISNA(VLOOKUP($A536,ThrowData,4,FALSE)),0,VLOOKUP($A536,ThrowData,4,FALSE))+Y536</f>
        <v>0</v>
      </c>
      <c r="U536" s="299">
        <f t="shared" si="2"/>
        <v>0</v>
      </c>
      <c r="V536">
        <f>IF(AND($F536&gt;0,NOT(M536),Flexing),FlexPC,0)</f>
        <v>0</v>
      </c>
      <c r="W536">
        <f>IF(AND($F536&gt;0,NOT(N536),Flexing),FlexPC,0)</f>
        <v>0</v>
      </c>
      <c r="X536">
        <f>IF(AND($F536&gt;0,NOT(O536),Flexing),FlexPC,0)</f>
        <v>0</v>
      </c>
      <c r="Y536">
        <f>IF(AND($F536&gt;0,NOT(P536),Flexing),FlexPC,0)</f>
        <v>0</v>
      </c>
      <c r="AA536" s="209">
        <f t="shared" si="3"/>
        <v>535</v>
      </c>
    </row>
    <row r="537" ht="15.75" customHeight="1">
      <c r="A537" s="206" t="str">
        <f>+Declarations!A537&amp;""</f>
        <v/>
      </c>
      <c r="B537" t="str">
        <f>IF(LEN($A537),IF(LEN(Declarations!$B537)&gt;0,Declarations!$B537,"#"&amp;$A537),"")</f>
        <v/>
      </c>
      <c r="C537" s="209" t="str">
        <f t="array" ref="C537">IF(LEN(INDEX(DECLARATIONS,$AA537,3))&gt;0,INDEX(DECLARATIONS,$AA537,3),"...")</f>
        <v>...</v>
      </c>
      <c r="D537" s="209" t="str">
        <f t="shared" si="1"/>
        <v/>
      </c>
      <c r="E537" s="296" t="str">
        <f t="array" ref="E537">IF(ISNA($AA537),0,INDEX(DECLARATIONS,$AA537,5))</f>
        <v/>
      </c>
      <c r="F537" s="209" t="str">
        <f t="array" ref="F537">IF(ISNA($AA537),0,INDEX(DECLARATIONS,$AA537,7))</f>
        <v/>
      </c>
      <c r="G537" s="209" t="str">
        <f t="array" ref="G537">UPPER(IF(ISNA($AA537),"",INDEX(DECLARATIONS,$AA537,4)))</f>
        <v/>
      </c>
      <c r="H537" t="str">
        <f>IF(AND(A537&gt;0,ISTEXT(B537)),IF(SECNAME="YES",LEFT(B537&amp;" ",FIND(" ",B537&amp;" ")+2)&amp;IF(F537&gt;0," ("&amp;F537&amp;")",""),B537&amp;IF(F537&gt;0," ("&amp;F537&amp;")","")),"#"&amp;$A537)</f>
        <v/>
      </c>
      <c r="I537" s="209">
        <f>IF(LEN($A537)&gt;0,IF(LEN($J537)&gt;0,MATCH(J537,MatchNames,0),EventIndex),0)</f>
        <v>0</v>
      </c>
      <c r="J537" s="209" t="str">
        <f>IF(LEN($A537)&gt;0,IF(LEN(Declarations!$F537)&gt;0,Declarations!$F537,conftype),"")</f>
        <v/>
      </c>
      <c r="M537" s="297">
        <f>IF(ISNA(VLOOKUP($A537,SprintData,2,FALSE)),0,VLOOKUP($A537,SprintData,2,FALSE))</f>
        <v>0</v>
      </c>
      <c r="N537" s="297">
        <f>IF(ISNA(VLOOKUP($A537,JumpData,2,FALSE)),0,VLOOKUP($A537,JumpData,2,FALSE))</f>
        <v>0</v>
      </c>
      <c r="O537" s="297">
        <f>IF(ISNA(VLOOKUP($A537,RunData,2,FALSE)),0,VLOOKUP($A537,RunData,2,FALSE))</f>
        <v>0</v>
      </c>
      <c r="P537" s="297">
        <f>IF(ISNA(VLOOKUP($A537,ThrowData,2,FALSE)),0,VLOOKUP($A537,ThrowData,2,FALSE))</f>
        <v>0</v>
      </c>
      <c r="Q537" s="298">
        <f>IF(ISNA(VLOOKUP($A537,SprintData,4,FALSE)),0,VLOOKUP($A537,SprintData,4,FALSE))+V537</f>
        <v>0</v>
      </c>
      <c r="R537" s="298">
        <f>IF(ISNA(VLOOKUP($A537,JumpData,4,FALSE)),0,VLOOKUP($A537,JumpData,4,FALSE))+W537</f>
        <v>0</v>
      </c>
      <c r="S537" s="298">
        <f>IF(ISNA(VLOOKUP($A537,RunData,4,FALSE)),0,VLOOKUP($A537,RunData,4,FALSE))+X537</f>
        <v>0</v>
      </c>
      <c r="T537" s="298">
        <f>IF(ISNA(VLOOKUP($A537,ThrowData,4,FALSE)),0,VLOOKUP($A537,ThrowData,4,FALSE))+Y537</f>
        <v>0</v>
      </c>
      <c r="U537" s="299">
        <f t="shared" si="2"/>
        <v>0</v>
      </c>
      <c r="V537">
        <f>IF(AND($F537&gt;0,NOT(M537),Flexing),FlexPC,0)</f>
        <v>0</v>
      </c>
      <c r="W537">
        <f>IF(AND($F537&gt;0,NOT(N537),Flexing),FlexPC,0)</f>
        <v>0</v>
      </c>
      <c r="X537">
        <f>IF(AND($F537&gt;0,NOT(O537),Flexing),FlexPC,0)</f>
        <v>0</v>
      </c>
      <c r="Y537">
        <f>IF(AND($F537&gt;0,NOT(P537),Flexing),FlexPC,0)</f>
        <v>0</v>
      </c>
      <c r="AA537" s="209">
        <f t="shared" si="3"/>
        <v>536</v>
      </c>
    </row>
    <row r="538" ht="15.75" customHeight="1">
      <c r="A538" s="206" t="str">
        <f>+Declarations!A538&amp;""</f>
        <v/>
      </c>
      <c r="B538" t="str">
        <f>IF(LEN($A538),IF(LEN(Declarations!$B538)&gt;0,Declarations!$B538,"#"&amp;$A538),"")</f>
        <v/>
      </c>
      <c r="C538" s="209" t="str">
        <f t="array" ref="C538">IF(LEN(INDEX(DECLARATIONS,$AA538,3))&gt;0,INDEX(DECLARATIONS,$AA538,3),"...")</f>
        <v>...</v>
      </c>
      <c r="D538" s="209" t="str">
        <f t="shared" si="1"/>
        <v/>
      </c>
      <c r="E538" s="296" t="str">
        <f t="array" ref="E538">IF(ISNA($AA538),0,INDEX(DECLARATIONS,$AA538,5))</f>
        <v/>
      </c>
      <c r="F538" s="209" t="str">
        <f t="array" ref="F538">IF(ISNA($AA538),0,INDEX(DECLARATIONS,$AA538,7))</f>
        <v/>
      </c>
      <c r="G538" s="209" t="str">
        <f t="array" ref="G538">UPPER(IF(ISNA($AA538),"",INDEX(DECLARATIONS,$AA538,4)))</f>
        <v/>
      </c>
      <c r="H538" t="str">
        <f>IF(AND(A538&gt;0,ISTEXT(B538)),IF(SECNAME="YES",LEFT(B538&amp;" ",FIND(" ",B538&amp;" ")+2)&amp;IF(F538&gt;0," ("&amp;F538&amp;")",""),B538&amp;IF(F538&gt;0," ("&amp;F538&amp;")","")),"#"&amp;$A538)</f>
        <v/>
      </c>
      <c r="I538" s="209">
        <f>IF(LEN($A538)&gt;0,IF(LEN($J538)&gt;0,MATCH(J538,MatchNames,0),EventIndex),0)</f>
        <v>0</v>
      </c>
      <c r="J538" s="209" t="str">
        <f>IF(LEN($A538)&gt;0,IF(LEN(Declarations!$F538)&gt;0,Declarations!$F538,conftype),"")</f>
        <v/>
      </c>
      <c r="M538" s="297">
        <f>IF(ISNA(VLOOKUP($A538,SprintData,2,FALSE)),0,VLOOKUP($A538,SprintData,2,FALSE))</f>
        <v>0</v>
      </c>
      <c r="N538" s="297">
        <f>IF(ISNA(VLOOKUP($A538,JumpData,2,FALSE)),0,VLOOKUP($A538,JumpData,2,FALSE))</f>
        <v>0</v>
      </c>
      <c r="O538" s="297">
        <f>IF(ISNA(VLOOKUP($A538,RunData,2,FALSE)),0,VLOOKUP($A538,RunData,2,FALSE))</f>
        <v>0</v>
      </c>
      <c r="P538" s="297">
        <f>IF(ISNA(VLOOKUP($A538,ThrowData,2,FALSE)),0,VLOOKUP($A538,ThrowData,2,FALSE))</f>
        <v>0</v>
      </c>
      <c r="Q538" s="298">
        <f>IF(ISNA(VLOOKUP($A538,SprintData,4,FALSE)),0,VLOOKUP($A538,SprintData,4,FALSE))+V538</f>
        <v>0</v>
      </c>
      <c r="R538" s="298">
        <f>IF(ISNA(VLOOKUP($A538,JumpData,4,FALSE)),0,VLOOKUP($A538,JumpData,4,FALSE))+W538</f>
        <v>0</v>
      </c>
      <c r="S538" s="298">
        <f>IF(ISNA(VLOOKUP($A538,RunData,4,FALSE)),0,VLOOKUP($A538,RunData,4,FALSE))+X538</f>
        <v>0</v>
      </c>
      <c r="T538" s="298">
        <f>IF(ISNA(VLOOKUP($A538,ThrowData,4,FALSE)),0,VLOOKUP($A538,ThrowData,4,FALSE))+Y538</f>
        <v>0</v>
      </c>
      <c r="U538" s="299">
        <f t="shared" si="2"/>
        <v>0</v>
      </c>
      <c r="V538">
        <f>IF(AND($F538&gt;0,NOT(M538),Flexing),FlexPC,0)</f>
        <v>0</v>
      </c>
      <c r="W538">
        <f>IF(AND($F538&gt;0,NOT(N538),Flexing),FlexPC,0)</f>
        <v>0</v>
      </c>
      <c r="X538">
        <f>IF(AND($F538&gt;0,NOT(O538),Flexing),FlexPC,0)</f>
        <v>0</v>
      </c>
      <c r="Y538">
        <f>IF(AND($F538&gt;0,NOT(P538),Flexing),FlexPC,0)</f>
        <v>0</v>
      </c>
      <c r="AA538" s="209">
        <f t="shared" si="3"/>
        <v>537</v>
      </c>
    </row>
    <row r="539" ht="15.75" customHeight="1">
      <c r="A539" s="206" t="str">
        <f>+Declarations!A539&amp;""</f>
        <v/>
      </c>
      <c r="B539" t="str">
        <f>IF(LEN($A539),IF(LEN(Declarations!$B539)&gt;0,Declarations!$B539,"#"&amp;$A539),"")</f>
        <v/>
      </c>
      <c r="C539" s="209" t="str">
        <f t="array" ref="C539">IF(LEN(INDEX(DECLARATIONS,$AA539,3))&gt;0,INDEX(DECLARATIONS,$AA539,3),"...")</f>
        <v>...</v>
      </c>
      <c r="D539" s="209" t="str">
        <f t="shared" si="1"/>
        <v/>
      </c>
      <c r="E539" s="296" t="str">
        <f t="array" ref="E539">IF(ISNA($AA539),0,INDEX(DECLARATIONS,$AA539,5))</f>
        <v/>
      </c>
      <c r="F539" s="209" t="str">
        <f t="array" ref="F539">IF(ISNA($AA539),0,INDEX(DECLARATIONS,$AA539,7))</f>
        <v/>
      </c>
      <c r="G539" s="209" t="str">
        <f t="array" ref="G539">UPPER(IF(ISNA($AA539),"",INDEX(DECLARATIONS,$AA539,4)))</f>
        <v/>
      </c>
      <c r="H539" t="str">
        <f>IF(AND(A539&gt;0,ISTEXT(B539)),IF(SECNAME="YES",LEFT(B539&amp;" ",FIND(" ",B539&amp;" ")+2)&amp;IF(F539&gt;0," ("&amp;F539&amp;")",""),B539&amp;IF(F539&gt;0," ("&amp;F539&amp;")","")),"#"&amp;$A539)</f>
        <v/>
      </c>
      <c r="I539" s="209">
        <f>IF(LEN($A539)&gt;0,IF(LEN($J539)&gt;0,MATCH(J539,MatchNames,0),EventIndex),0)</f>
        <v>0</v>
      </c>
      <c r="J539" s="209" t="str">
        <f>IF(LEN($A539)&gt;0,IF(LEN(Declarations!$F539)&gt;0,Declarations!$F539,conftype),"")</f>
        <v/>
      </c>
      <c r="M539" s="297">
        <f>IF(ISNA(VLOOKUP($A539,SprintData,2,FALSE)),0,VLOOKUP($A539,SprintData,2,FALSE))</f>
        <v>0</v>
      </c>
      <c r="N539" s="297">
        <f>IF(ISNA(VLOOKUP($A539,JumpData,2,FALSE)),0,VLOOKUP($A539,JumpData,2,FALSE))</f>
        <v>0</v>
      </c>
      <c r="O539" s="297">
        <f>IF(ISNA(VLOOKUP($A539,RunData,2,FALSE)),0,VLOOKUP($A539,RunData,2,FALSE))</f>
        <v>0</v>
      </c>
      <c r="P539" s="297">
        <f>IF(ISNA(VLOOKUP($A539,ThrowData,2,FALSE)),0,VLOOKUP($A539,ThrowData,2,FALSE))</f>
        <v>0</v>
      </c>
      <c r="Q539" s="298">
        <f>IF(ISNA(VLOOKUP($A539,SprintData,4,FALSE)),0,VLOOKUP($A539,SprintData,4,FALSE))+V539</f>
        <v>0</v>
      </c>
      <c r="R539" s="298">
        <f>IF(ISNA(VLOOKUP($A539,JumpData,4,FALSE)),0,VLOOKUP($A539,JumpData,4,FALSE))+W539</f>
        <v>0</v>
      </c>
      <c r="S539" s="298">
        <f>IF(ISNA(VLOOKUP($A539,RunData,4,FALSE)),0,VLOOKUP($A539,RunData,4,FALSE))+X539</f>
        <v>0</v>
      </c>
      <c r="T539" s="298">
        <f>IF(ISNA(VLOOKUP($A539,ThrowData,4,FALSE)),0,VLOOKUP($A539,ThrowData,4,FALSE))+Y539</f>
        <v>0</v>
      </c>
      <c r="U539" s="299">
        <f t="shared" si="2"/>
        <v>0</v>
      </c>
      <c r="V539">
        <f>IF(AND($F539&gt;0,NOT(M539),Flexing),FlexPC,0)</f>
        <v>0</v>
      </c>
      <c r="W539">
        <f>IF(AND($F539&gt;0,NOT(N539),Flexing),FlexPC,0)</f>
        <v>0</v>
      </c>
      <c r="X539">
        <f>IF(AND($F539&gt;0,NOT(O539),Flexing),FlexPC,0)</f>
        <v>0</v>
      </c>
      <c r="Y539">
        <f>IF(AND($F539&gt;0,NOT(P539),Flexing),FlexPC,0)</f>
        <v>0</v>
      </c>
      <c r="AA539" s="209">
        <f t="shared" si="3"/>
        <v>538</v>
      </c>
    </row>
    <row r="540" ht="15.75" customHeight="1">
      <c r="A540" s="206" t="str">
        <f>+Declarations!A540&amp;""</f>
        <v/>
      </c>
      <c r="B540" t="str">
        <f>IF(LEN($A540),IF(LEN(Declarations!$B540)&gt;0,Declarations!$B540,"#"&amp;$A540),"")</f>
        <v/>
      </c>
      <c r="C540" s="209" t="str">
        <f t="array" ref="C540">IF(LEN(INDEX(DECLARATIONS,$AA540,3))&gt;0,INDEX(DECLARATIONS,$AA540,3),"...")</f>
        <v>...</v>
      </c>
      <c r="D540" s="209" t="str">
        <f t="shared" si="1"/>
        <v/>
      </c>
      <c r="E540" s="296" t="str">
        <f t="array" ref="E540">IF(ISNA($AA540),0,INDEX(DECLARATIONS,$AA540,5))</f>
        <v/>
      </c>
      <c r="F540" s="209" t="str">
        <f t="array" ref="F540">IF(ISNA($AA540),0,INDEX(DECLARATIONS,$AA540,7))</f>
        <v/>
      </c>
      <c r="G540" s="209" t="str">
        <f t="array" ref="G540">UPPER(IF(ISNA($AA540),"",INDEX(DECLARATIONS,$AA540,4)))</f>
        <v/>
      </c>
      <c r="H540" t="str">
        <f>IF(AND(A540&gt;0,ISTEXT(B540)),IF(SECNAME="YES",LEFT(B540&amp;" ",FIND(" ",B540&amp;" ")+2)&amp;IF(F540&gt;0," ("&amp;F540&amp;")",""),B540&amp;IF(F540&gt;0," ("&amp;F540&amp;")","")),"#"&amp;$A540)</f>
        <v/>
      </c>
      <c r="I540" s="209">
        <f>IF(LEN($A540)&gt;0,IF(LEN($J540)&gt;0,MATCH(J540,MatchNames,0),EventIndex),0)</f>
        <v>0</v>
      </c>
      <c r="J540" s="209" t="str">
        <f>IF(LEN($A540)&gt;0,IF(LEN(Declarations!$F540)&gt;0,Declarations!$F540,conftype),"")</f>
        <v/>
      </c>
      <c r="M540" s="297">
        <f>IF(ISNA(VLOOKUP($A540,SprintData,2,FALSE)),0,VLOOKUP($A540,SprintData,2,FALSE))</f>
        <v>0</v>
      </c>
      <c r="N540" s="297">
        <f>IF(ISNA(VLOOKUP($A540,JumpData,2,FALSE)),0,VLOOKUP($A540,JumpData,2,FALSE))</f>
        <v>0</v>
      </c>
      <c r="O540" s="297">
        <f>IF(ISNA(VLOOKUP($A540,RunData,2,FALSE)),0,VLOOKUP($A540,RunData,2,FALSE))</f>
        <v>0</v>
      </c>
      <c r="P540" s="297">
        <f>IF(ISNA(VLOOKUP($A540,ThrowData,2,FALSE)),0,VLOOKUP($A540,ThrowData,2,FALSE))</f>
        <v>0</v>
      </c>
      <c r="Q540" s="298">
        <f>IF(ISNA(VLOOKUP($A540,SprintData,4,FALSE)),0,VLOOKUP($A540,SprintData,4,FALSE))+V540</f>
        <v>0</v>
      </c>
      <c r="R540" s="298">
        <f>IF(ISNA(VLOOKUP($A540,JumpData,4,FALSE)),0,VLOOKUP($A540,JumpData,4,FALSE))+W540</f>
        <v>0</v>
      </c>
      <c r="S540" s="298">
        <f>IF(ISNA(VLOOKUP($A540,RunData,4,FALSE)),0,VLOOKUP($A540,RunData,4,FALSE))+X540</f>
        <v>0</v>
      </c>
      <c r="T540" s="298">
        <f>IF(ISNA(VLOOKUP($A540,ThrowData,4,FALSE)),0,VLOOKUP($A540,ThrowData,4,FALSE))+Y540</f>
        <v>0</v>
      </c>
      <c r="U540" s="299">
        <f t="shared" si="2"/>
        <v>0</v>
      </c>
      <c r="V540">
        <f>IF(AND($F540&gt;0,NOT(M540),Flexing),FlexPC,0)</f>
        <v>0</v>
      </c>
      <c r="W540">
        <f>IF(AND($F540&gt;0,NOT(N540),Flexing),FlexPC,0)</f>
        <v>0</v>
      </c>
      <c r="X540">
        <f>IF(AND($F540&gt;0,NOT(O540),Flexing),FlexPC,0)</f>
        <v>0</v>
      </c>
      <c r="Y540">
        <f>IF(AND($F540&gt;0,NOT(P540),Flexing),FlexPC,0)</f>
        <v>0</v>
      </c>
      <c r="AA540" s="209">
        <f t="shared" si="3"/>
        <v>539</v>
      </c>
    </row>
    <row r="541" ht="15.75" customHeight="1">
      <c r="A541" s="206" t="str">
        <f>+Declarations!A541&amp;""</f>
        <v/>
      </c>
      <c r="B541" t="str">
        <f>IF(LEN($A541),IF(LEN(Declarations!$B541)&gt;0,Declarations!$B541,"#"&amp;$A541),"")</f>
        <v/>
      </c>
      <c r="C541" s="209" t="str">
        <f t="array" ref="C541">IF(LEN(INDEX(DECLARATIONS,$AA541,3))&gt;0,INDEX(DECLARATIONS,$AA541,3),"...")</f>
        <v>...</v>
      </c>
      <c r="D541" s="209" t="str">
        <f t="shared" si="1"/>
        <v/>
      </c>
      <c r="E541" s="296" t="str">
        <f t="array" ref="E541">IF(ISNA($AA541),0,INDEX(DECLARATIONS,$AA541,5))</f>
        <v/>
      </c>
      <c r="F541" s="209" t="str">
        <f t="array" ref="F541">IF(ISNA($AA541),0,INDEX(DECLARATIONS,$AA541,7))</f>
        <v/>
      </c>
      <c r="G541" s="209" t="str">
        <f t="array" ref="G541">UPPER(IF(ISNA($AA541),"",INDEX(DECLARATIONS,$AA541,4)))</f>
        <v/>
      </c>
      <c r="H541" t="str">
        <f>IF(AND(A541&gt;0,ISTEXT(B541)),IF(SECNAME="YES",LEFT(B541&amp;" ",FIND(" ",B541&amp;" ")+2)&amp;IF(F541&gt;0," ("&amp;F541&amp;")",""),B541&amp;IF(F541&gt;0," ("&amp;F541&amp;")","")),"#"&amp;$A541)</f>
        <v/>
      </c>
      <c r="I541" s="209">
        <f>IF(LEN($A541)&gt;0,IF(LEN($J541)&gt;0,MATCH(J541,MatchNames,0),EventIndex),0)</f>
        <v>0</v>
      </c>
      <c r="J541" s="209" t="str">
        <f>IF(LEN($A541)&gt;0,IF(LEN(Declarations!$F541)&gt;0,Declarations!$F541,conftype),"")</f>
        <v/>
      </c>
      <c r="M541" s="297">
        <f>IF(ISNA(VLOOKUP($A541,SprintData,2,FALSE)),0,VLOOKUP($A541,SprintData,2,FALSE))</f>
        <v>0</v>
      </c>
      <c r="N541" s="297">
        <f>IF(ISNA(VLOOKUP($A541,JumpData,2,FALSE)),0,VLOOKUP($A541,JumpData,2,FALSE))</f>
        <v>0</v>
      </c>
      <c r="O541" s="297">
        <f>IF(ISNA(VLOOKUP($A541,RunData,2,FALSE)),0,VLOOKUP($A541,RunData,2,FALSE))</f>
        <v>0</v>
      </c>
      <c r="P541" s="297">
        <f>IF(ISNA(VLOOKUP($A541,ThrowData,2,FALSE)),0,VLOOKUP($A541,ThrowData,2,FALSE))</f>
        <v>0</v>
      </c>
      <c r="Q541" s="298">
        <f>IF(ISNA(VLOOKUP($A541,SprintData,4,FALSE)),0,VLOOKUP($A541,SprintData,4,FALSE))+V541</f>
        <v>0</v>
      </c>
      <c r="R541" s="298">
        <f>IF(ISNA(VLOOKUP($A541,JumpData,4,FALSE)),0,VLOOKUP($A541,JumpData,4,FALSE))+W541</f>
        <v>0</v>
      </c>
      <c r="S541" s="298">
        <f>IF(ISNA(VLOOKUP($A541,RunData,4,FALSE)),0,VLOOKUP($A541,RunData,4,FALSE))+X541</f>
        <v>0</v>
      </c>
      <c r="T541" s="298">
        <f>IF(ISNA(VLOOKUP($A541,ThrowData,4,FALSE)),0,VLOOKUP($A541,ThrowData,4,FALSE))+Y541</f>
        <v>0</v>
      </c>
      <c r="U541" s="299">
        <f t="shared" si="2"/>
        <v>0</v>
      </c>
      <c r="V541">
        <f>IF(AND($F541&gt;0,NOT(M541),Flexing),FlexPC,0)</f>
        <v>0</v>
      </c>
      <c r="W541">
        <f>IF(AND($F541&gt;0,NOT(N541),Flexing),FlexPC,0)</f>
        <v>0</v>
      </c>
      <c r="X541">
        <f>IF(AND($F541&gt;0,NOT(O541),Flexing),FlexPC,0)</f>
        <v>0</v>
      </c>
      <c r="Y541">
        <f>IF(AND($F541&gt;0,NOT(P541),Flexing),FlexPC,0)</f>
        <v>0</v>
      </c>
      <c r="AA541" s="209">
        <f t="shared" si="3"/>
        <v>540</v>
      </c>
    </row>
    <row r="542" ht="15.75" customHeight="1">
      <c r="A542" s="206" t="str">
        <f>+Declarations!A542&amp;""</f>
        <v/>
      </c>
      <c r="B542" t="str">
        <f>IF(LEN($A542),IF(LEN(Declarations!$B542)&gt;0,Declarations!$B542,"#"&amp;$A542),"")</f>
        <v/>
      </c>
      <c r="C542" s="209" t="str">
        <f t="array" ref="C542">IF(LEN(INDEX(DECLARATIONS,$AA542,3))&gt;0,INDEX(DECLARATIONS,$AA542,3),"...")</f>
        <v>...</v>
      </c>
      <c r="D542" s="209" t="str">
        <f t="shared" si="1"/>
        <v/>
      </c>
      <c r="E542" s="296" t="str">
        <f t="array" ref="E542">IF(ISNA($AA542),0,INDEX(DECLARATIONS,$AA542,5))</f>
        <v/>
      </c>
      <c r="F542" s="209" t="str">
        <f t="array" ref="F542">IF(ISNA($AA542),0,INDEX(DECLARATIONS,$AA542,7))</f>
        <v/>
      </c>
      <c r="G542" s="209" t="str">
        <f t="array" ref="G542">UPPER(IF(ISNA($AA542),"",INDEX(DECLARATIONS,$AA542,4)))</f>
        <v/>
      </c>
      <c r="H542" t="str">
        <f>IF(AND(A542&gt;0,ISTEXT(B542)),IF(SECNAME="YES",LEFT(B542&amp;" ",FIND(" ",B542&amp;" ")+2)&amp;IF(F542&gt;0," ("&amp;F542&amp;")",""),B542&amp;IF(F542&gt;0," ("&amp;F542&amp;")","")),"#"&amp;$A542)</f>
        <v/>
      </c>
      <c r="I542" s="209">
        <f>IF(LEN($A542)&gt;0,IF(LEN($J542)&gt;0,MATCH(J542,MatchNames,0),EventIndex),0)</f>
        <v>0</v>
      </c>
      <c r="J542" s="209" t="str">
        <f>IF(LEN($A542)&gt;0,IF(LEN(Declarations!$F542)&gt;0,Declarations!$F542,conftype),"")</f>
        <v/>
      </c>
      <c r="M542" s="297">
        <f>IF(ISNA(VLOOKUP($A542,SprintData,2,FALSE)),0,VLOOKUP($A542,SprintData,2,FALSE))</f>
        <v>0</v>
      </c>
      <c r="N542" s="297">
        <f>IF(ISNA(VLOOKUP($A542,JumpData,2,FALSE)),0,VLOOKUP($A542,JumpData,2,FALSE))</f>
        <v>0</v>
      </c>
      <c r="O542" s="297">
        <f>IF(ISNA(VLOOKUP($A542,RunData,2,FALSE)),0,VLOOKUP($A542,RunData,2,FALSE))</f>
        <v>0</v>
      </c>
      <c r="P542" s="297">
        <f>IF(ISNA(VLOOKUP($A542,ThrowData,2,FALSE)),0,VLOOKUP($A542,ThrowData,2,FALSE))</f>
        <v>0</v>
      </c>
      <c r="Q542" s="298">
        <f>IF(ISNA(VLOOKUP($A542,SprintData,4,FALSE)),0,VLOOKUP($A542,SprintData,4,FALSE))+V542</f>
        <v>0</v>
      </c>
      <c r="R542" s="298">
        <f>IF(ISNA(VLOOKUP($A542,JumpData,4,FALSE)),0,VLOOKUP($A542,JumpData,4,FALSE))+W542</f>
        <v>0</v>
      </c>
      <c r="S542" s="298">
        <f>IF(ISNA(VLOOKUP($A542,RunData,4,FALSE)),0,VLOOKUP($A542,RunData,4,FALSE))+X542</f>
        <v>0</v>
      </c>
      <c r="T542" s="298">
        <f>IF(ISNA(VLOOKUP($A542,ThrowData,4,FALSE)),0,VLOOKUP($A542,ThrowData,4,FALSE))+Y542</f>
        <v>0</v>
      </c>
      <c r="U542" s="299">
        <f t="shared" si="2"/>
        <v>0</v>
      </c>
      <c r="V542">
        <f>IF(AND($F542&gt;0,NOT(M542),Flexing),FlexPC,0)</f>
        <v>0</v>
      </c>
      <c r="W542">
        <f>IF(AND($F542&gt;0,NOT(N542),Flexing),FlexPC,0)</f>
        <v>0</v>
      </c>
      <c r="X542">
        <f>IF(AND($F542&gt;0,NOT(O542),Flexing),FlexPC,0)</f>
        <v>0</v>
      </c>
      <c r="Y542">
        <f>IF(AND($F542&gt;0,NOT(P542),Flexing),FlexPC,0)</f>
        <v>0</v>
      </c>
      <c r="AA542" s="209">
        <f t="shared" si="3"/>
        <v>541</v>
      </c>
    </row>
    <row r="543" ht="15.75" customHeight="1">
      <c r="A543" s="206" t="str">
        <f>+Declarations!A543&amp;""</f>
        <v/>
      </c>
      <c r="B543" t="str">
        <f>IF(LEN($A543),IF(LEN(Declarations!$B543)&gt;0,Declarations!$B543,"#"&amp;$A543),"")</f>
        <v/>
      </c>
      <c r="C543" s="209" t="str">
        <f t="array" ref="C543">IF(LEN(INDEX(DECLARATIONS,$AA543,3))&gt;0,INDEX(DECLARATIONS,$AA543,3),"...")</f>
        <v>...</v>
      </c>
      <c r="D543" s="209" t="str">
        <f t="shared" si="1"/>
        <v/>
      </c>
      <c r="E543" s="296" t="str">
        <f t="array" ref="E543">IF(ISNA($AA543),0,INDEX(DECLARATIONS,$AA543,5))</f>
        <v/>
      </c>
      <c r="F543" s="209" t="str">
        <f t="array" ref="F543">IF(ISNA($AA543),0,INDEX(DECLARATIONS,$AA543,7))</f>
        <v/>
      </c>
      <c r="G543" s="209" t="str">
        <f t="array" ref="G543">UPPER(IF(ISNA($AA543),"",INDEX(DECLARATIONS,$AA543,4)))</f>
        <v/>
      </c>
      <c r="H543" t="str">
        <f>IF(AND(A543&gt;0,ISTEXT(B543)),IF(SECNAME="YES",LEFT(B543&amp;" ",FIND(" ",B543&amp;" ")+2)&amp;IF(F543&gt;0," ("&amp;F543&amp;")",""),B543&amp;IF(F543&gt;0," ("&amp;F543&amp;")","")),"#"&amp;$A543)</f>
        <v/>
      </c>
      <c r="I543" s="209">
        <f>IF(LEN($A543)&gt;0,IF(LEN($J543)&gt;0,MATCH(J543,MatchNames,0),EventIndex),0)</f>
        <v>0</v>
      </c>
      <c r="J543" s="209" t="str">
        <f>IF(LEN($A543)&gt;0,IF(LEN(Declarations!$F543)&gt;0,Declarations!$F543,conftype),"")</f>
        <v/>
      </c>
      <c r="M543" s="297">
        <f>IF(ISNA(VLOOKUP($A543,SprintData,2,FALSE)),0,VLOOKUP($A543,SprintData,2,FALSE))</f>
        <v>0</v>
      </c>
      <c r="N543" s="297">
        <f>IF(ISNA(VLOOKUP($A543,JumpData,2,FALSE)),0,VLOOKUP($A543,JumpData,2,FALSE))</f>
        <v>0</v>
      </c>
      <c r="O543" s="297">
        <f>IF(ISNA(VLOOKUP($A543,RunData,2,FALSE)),0,VLOOKUP($A543,RunData,2,FALSE))</f>
        <v>0</v>
      </c>
      <c r="P543" s="297">
        <f>IF(ISNA(VLOOKUP($A543,ThrowData,2,FALSE)),0,VLOOKUP($A543,ThrowData,2,FALSE))</f>
        <v>0</v>
      </c>
      <c r="Q543" s="298">
        <f>IF(ISNA(VLOOKUP($A543,SprintData,4,FALSE)),0,VLOOKUP($A543,SprintData,4,FALSE))+V543</f>
        <v>0</v>
      </c>
      <c r="R543" s="298">
        <f>IF(ISNA(VLOOKUP($A543,JumpData,4,FALSE)),0,VLOOKUP($A543,JumpData,4,FALSE))+W543</f>
        <v>0</v>
      </c>
      <c r="S543" s="298">
        <f>IF(ISNA(VLOOKUP($A543,RunData,4,FALSE)),0,VLOOKUP($A543,RunData,4,FALSE))+X543</f>
        <v>0</v>
      </c>
      <c r="T543" s="298">
        <f>IF(ISNA(VLOOKUP($A543,ThrowData,4,FALSE)),0,VLOOKUP($A543,ThrowData,4,FALSE))+Y543</f>
        <v>0</v>
      </c>
      <c r="U543" s="299">
        <f t="shared" si="2"/>
        <v>0</v>
      </c>
      <c r="V543">
        <f>IF(AND($F543&gt;0,NOT(M543),Flexing),FlexPC,0)</f>
        <v>0</v>
      </c>
      <c r="W543">
        <f>IF(AND($F543&gt;0,NOT(N543),Flexing),FlexPC,0)</f>
        <v>0</v>
      </c>
      <c r="X543">
        <f>IF(AND($F543&gt;0,NOT(O543),Flexing),FlexPC,0)</f>
        <v>0</v>
      </c>
      <c r="Y543">
        <f>IF(AND($F543&gt;0,NOT(P543),Flexing),FlexPC,0)</f>
        <v>0</v>
      </c>
      <c r="AA543" s="209">
        <f t="shared" si="3"/>
        <v>542</v>
      </c>
    </row>
    <row r="544" ht="15.75" customHeight="1">
      <c r="A544" s="206" t="str">
        <f>+Declarations!A544&amp;""</f>
        <v/>
      </c>
      <c r="B544" t="str">
        <f>IF(LEN($A544),IF(LEN(Declarations!$B544)&gt;0,Declarations!$B544,"#"&amp;$A544),"")</f>
        <v/>
      </c>
      <c r="C544" s="209" t="str">
        <f t="array" ref="C544">IF(LEN(INDEX(DECLARATIONS,$AA544,3))&gt;0,INDEX(DECLARATIONS,$AA544,3),"...")</f>
        <v>...</v>
      </c>
      <c r="D544" s="209" t="str">
        <f t="shared" si="1"/>
        <v/>
      </c>
      <c r="E544" s="296" t="str">
        <f t="array" ref="E544">IF(ISNA($AA544),0,INDEX(DECLARATIONS,$AA544,5))</f>
        <v/>
      </c>
      <c r="F544" s="209" t="str">
        <f t="array" ref="F544">IF(ISNA($AA544),0,INDEX(DECLARATIONS,$AA544,7))</f>
        <v/>
      </c>
      <c r="G544" s="209" t="str">
        <f t="array" ref="G544">UPPER(IF(ISNA($AA544),"",INDEX(DECLARATIONS,$AA544,4)))</f>
        <v/>
      </c>
      <c r="H544" t="str">
        <f>IF(AND(A544&gt;0,ISTEXT(B544)),IF(SECNAME="YES",LEFT(B544&amp;" ",FIND(" ",B544&amp;" ")+2)&amp;IF(F544&gt;0," ("&amp;F544&amp;")",""),B544&amp;IF(F544&gt;0," ("&amp;F544&amp;")","")),"#"&amp;$A544)</f>
        <v/>
      </c>
      <c r="I544" s="209">
        <f>IF(LEN($A544)&gt;0,IF(LEN($J544)&gt;0,MATCH(J544,MatchNames,0),EventIndex),0)</f>
        <v>0</v>
      </c>
      <c r="J544" s="209" t="str">
        <f>IF(LEN($A544)&gt;0,IF(LEN(Declarations!$F544)&gt;0,Declarations!$F544,conftype),"")</f>
        <v/>
      </c>
      <c r="M544" s="297">
        <f>IF(ISNA(VLOOKUP($A544,SprintData,2,FALSE)),0,VLOOKUP($A544,SprintData,2,FALSE))</f>
        <v>0</v>
      </c>
      <c r="N544" s="297">
        <f>IF(ISNA(VLOOKUP($A544,JumpData,2,FALSE)),0,VLOOKUP($A544,JumpData,2,FALSE))</f>
        <v>0</v>
      </c>
      <c r="O544" s="297">
        <f>IF(ISNA(VLOOKUP($A544,RunData,2,FALSE)),0,VLOOKUP($A544,RunData,2,FALSE))</f>
        <v>0</v>
      </c>
      <c r="P544" s="297">
        <f>IF(ISNA(VLOOKUP($A544,ThrowData,2,FALSE)),0,VLOOKUP($A544,ThrowData,2,FALSE))</f>
        <v>0</v>
      </c>
      <c r="Q544" s="298">
        <f>IF(ISNA(VLOOKUP($A544,SprintData,4,FALSE)),0,VLOOKUP($A544,SprintData,4,FALSE))+V544</f>
        <v>0</v>
      </c>
      <c r="R544" s="298">
        <f>IF(ISNA(VLOOKUP($A544,JumpData,4,FALSE)),0,VLOOKUP($A544,JumpData,4,FALSE))+W544</f>
        <v>0</v>
      </c>
      <c r="S544" s="298">
        <f>IF(ISNA(VLOOKUP($A544,RunData,4,FALSE)),0,VLOOKUP($A544,RunData,4,FALSE))+X544</f>
        <v>0</v>
      </c>
      <c r="T544" s="298">
        <f>IF(ISNA(VLOOKUP($A544,ThrowData,4,FALSE)),0,VLOOKUP($A544,ThrowData,4,FALSE))+Y544</f>
        <v>0</v>
      </c>
      <c r="U544" s="299">
        <f t="shared" si="2"/>
        <v>0</v>
      </c>
      <c r="V544">
        <f>IF(AND($F544&gt;0,NOT(M544),Flexing),FlexPC,0)</f>
        <v>0</v>
      </c>
      <c r="W544">
        <f>IF(AND($F544&gt;0,NOT(N544),Flexing),FlexPC,0)</f>
        <v>0</v>
      </c>
      <c r="X544">
        <f>IF(AND($F544&gt;0,NOT(O544),Flexing),FlexPC,0)</f>
        <v>0</v>
      </c>
      <c r="Y544">
        <f>IF(AND($F544&gt;0,NOT(P544),Flexing),FlexPC,0)</f>
        <v>0</v>
      </c>
      <c r="AA544" s="209">
        <f t="shared" si="3"/>
        <v>543</v>
      </c>
    </row>
    <row r="545" ht="15.75" customHeight="1">
      <c r="A545" s="206" t="str">
        <f>+Declarations!A545&amp;""</f>
        <v/>
      </c>
      <c r="B545" t="str">
        <f>IF(LEN($A545),IF(LEN(Declarations!$B545)&gt;0,Declarations!$B545,"#"&amp;$A545),"")</f>
        <v/>
      </c>
      <c r="C545" s="209" t="str">
        <f t="array" ref="C545">IF(LEN(INDEX(DECLARATIONS,$AA545,3))&gt;0,INDEX(DECLARATIONS,$AA545,3),"...")</f>
        <v>...</v>
      </c>
      <c r="D545" s="209" t="str">
        <f t="shared" si="1"/>
        <v/>
      </c>
      <c r="E545" s="296" t="str">
        <f t="array" ref="E545">IF(ISNA($AA545),0,INDEX(DECLARATIONS,$AA545,5))</f>
        <v/>
      </c>
      <c r="F545" s="209" t="str">
        <f t="array" ref="F545">IF(ISNA($AA545),0,INDEX(DECLARATIONS,$AA545,7))</f>
        <v/>
      </c>
      <c r="G545" s="209" t="str">
        <f t="array" ref="G545">UPPER(IF(ISNA($AA545),"",INDEX(DECLARATIONS,$AA545,4)))</f>
        <v/>
      </c>
      <c r="H545" t="str">
        <f>IF(AND(A545&gt;0,ISTEXT(B545)),IF(SECNAME="YES",LEFT(B545&amp;" ",FIND(" ",B545&amp;" ")+2)&amp;IF(F545&gt;0," ("&amp;F545&amp;")",""),B545&amp;IF(F545&gt;0," ("&amp;F545&amp;")","")),"#"&amp;$A545)</f>
        <v/>
      </c>
      <c r="I545" s="209">
        <f>IF(LEN($A545)&gt;0,IF(LEN($J545)&gt;0,MATCH(J545,MatchNames,0),EventIndex),0)</f>
        <v>0</v>
      </c>
      <c r="J545" s="209" t="str">
        <f>IF(LEN($A545)&gt;0,IF(LEN(Declarations!$F545)&gt;0,Declarations!$F545,conftype),"")</f>
        <v/>
      </c>
      <c r="M545" s="297">
        <f>IF(ISNA(VLOOKUP($A545,SprintData,2,FALSE)),0,VLOOKUP($A545,SprintData,2,FALSE))</f>
        <v>0</v>
      </c>
      <c r="N545" s="297">
        <f>IF(ISNA(VLOOKUP($A545,JumpData,2,FALSE)),0,VLOOKUP($A545,JumpData,2,FALSE))</f>
        <v>0</v>
      </c>
      <c r="O545" s="297">
        <f>IF(ISNA(VLOOKUP($A545,RunData,2,FALSE)),0,VLOOKUP($A545,RunData,2,FALSE))</f>
        <v>0</v>
      </c>
      <c r="P545" s="297">
        <f>IF(ISNA(VLOOKUP($A545,ThrowData,2,FALSE)),0,VLOOKUP($A545,ThrowData,2,FALSE))</f>
        <v>0</v>
      </c>
      <c r="Q545" s="298">
        <f>IF(ISNA(VLOOKUP($A545,SprintData,4,FALSE)),0,VLOOKUP($A545,SprintData,4,FALSE))+V545</f>
        <v>0</v>
      </c>
      <c r="R545" s="298">
        <f>IF(ISNA(VLOOKUP($A545,JumpData,4,FALSE)),0,VLOOKUP($A545,JumpData,4,FALSE))+W545</f>
        <v>0</v>
      </c>
      <c r="S545" s="298">
        <f>IF(ISNA(VLOOKUP($A545,RunData,4,FALSE)),0,VLOOKUP($A545,RunData,4,FALSE))+X545</f>
        <v>0</v>
      </c>
      <c r="T545" s="298">
        <f>IF(ISNA(VLOOKUP($A545,ThrowData,4,FALSE)),0,VLOOKUP($A545,ThrowData,4,FALSE))+Y545</f>
        <v>0</v>
      </c>
      <c r="U545" s="299">
        <f t="shared" si="2"/>
        <v>0</v>
      </c>
      <c r="V545">
        <f>IF(AND($F545&gt;0,NOT(M545),Flexing),FlexPC,0)</f>
        <v>0</v>
      </c>
      <c r="W545">
        <f>IF(AND($F545&gt;0,NOT(N545),Flexing),FlexPC,0)</f>
        <v>0</v>
      </c>
      <c r="X545">
        <f>IF(AND($F545&gt;0,NOT(O545),Flexing),FlexPC,0)</f>
        <v>0</v>
      </c>
      <c r="Y545">
        <f>IF(AND($F545&gt;0,NOT(P545),Flexing),FlexPC,0)</f>
        <v>0</v>
      </c>
      <c r="AA545" s="209">
        <f t="shared" si="3"/>
        <v>544</v>
      </c>
    </row>
    <row r="546" ht="15.75" customHeight="1">
      <c r="A546" s="206" t="str">
        <f>+Declarations!A546&amp;""</f>
        <v/>
      </c>
      <c r="B546" t="str">
        <f>IF(LEN($A546),IF(LEN(Declarations!$B546)&gt;0,Declarations!$B546,"#"&amp;$A546),"")</f>
        <v/>
      </c>
      <c r="C546" s="209" t="str">
        <f t="array" ref="C546">IF(LEN(INDEX(DECLARATIONS,$AA546,3))&gt;0,INDEX(DECLARATIONS,$AA546,3),"...")</f>
        <v>...</v>
      </c>
      <c r="D546" s="209" t="str">
        <f t="shared" si="1"/>
        <v/>
      </c>
      <c r="E546" s="296" t="str">
        <f t="array" ref="E546">IF(ISNA($AA546),0,INDEX(DECLARATIONS,$AA546,5))</f>
        <v/>
      </c>
      <c r="F546" s="209" t="str">
        <f t="array" ref="F546">IF(ISNA($AA546),0,INDEX(DECLARATIONS,$AA546,7))</f>
        <v/>
      </c>
      <c r="G546" s="209" t="str">
        <f t="array" ref="G546">UPPER(IF(ISNA($AA546),"",INDEX(DECLARATIONS,$AA546,4)))</f>
        <v/>
      </c>
      <c r="H546" t="str">
        <f>IF(AND(A546&gt;0,ISTEXT(B546)),IF(SECNAME="YES",LEFT(B546&amp;" ",FIND(" ",B546&amp;" ")+2)&amp;IF(F546&gt;0," ("&amp;F546&amp;")",""),B546&amp;IF(F546&gt;0," ("&amp;F546&amp;")","")),"#"&amp;$A546)</f>
        <v/>
      </c>
      <c r="I546" s="209">
        <f>IF(LEN($A546)&gt;0,IF(LEN($J546)&gt;0,MATCH(J546,MatchNames,0),EventIndex),0)</f>
        <v>0</v>
      </c>
      <c r="J546" s="209" t="str">
        <f>IF(LEN($A546)&gt;0,IF(LEN(Declarations!$F546)&gt;0,Declarations!$F546,conftype),"")</f>
        <v/>
      </c>
      <c r="M546" s="297">
        <f>IF(ISNA(VLOOKUP($A546,SprintData,2,FALSE)),0,VLOOKUP($A546,SprintData,2,FALSE))</f>
        <v>0</v>
      </c>
      <c r="N546" s="297">
        <f>IF(ISNA(VLOOKUP($A546,JumpData,2,FALSE)),0,VLOOKUP($A546,JumpData,2,FALSE))</f>
        <v>0</v>
      </c>
      <c r="O546" s="297">
        <f>IF(ISNA(VLOOKUP($A546,RunData,2,FALSE)),0,VLOOKUP($A546,RunData,2,FALSE))</f>
        <v>0</v>
      </c>
      <c r="P546" s="297">
        <f>IF(ISNA(VLOOKUP($A546,ThrowData,2,FALSE)),0,VLOOKUP($A546,ThrowData,2,FALSE))</f>
        <v>0</v>
      </c>
      <c r="Q546" s="298">
        <f>IF(ISNA(VLOOKUP($A546,SprintData,4,FALSE)),0,VLOOKUP($A546,SprintData,4,FALSE))+V546</f>
        <v>0</v>
      </c>
      <c r="R546" s="298">
        <f>IF(ISNA(VLOOKUP($A546,JumpData,4,FALSE)),0,VLOOKUP($A546,JumpData,4,FALSE))+W546</f>
        <v>0</v>
      </c>
      <c r="S546" s="298">
        <f>IF(ISNA(VLOOKUP($A546,RunData,4,FALSE)),0,VLOOKUP($A546,RunData,4,FALSE))+X546</f>
        <v>0</v>
      </c>
      <c r="T546" s="298">
        <f>IF(ISNA(VLOOKUP($A546,ThrowData,4,FALSE)),0,VLOOKUP($A546,ThrowData,4,FALSE))+Y546</f>
        <v>0</v>
      </c>
      <c r="U546" s="299">
        <f t="shared" si="2"/>
        <v>0</v>
      </c>
      <c r="V546">
        <f>IF(AND($F546&gt;0,NOT(M546),Flexing),FlexPC,0)</f>
        <v>0</v>
      </c>
      <c r="W546">
        <f>IF(AND($F546&gt;0,NOT(N546),Flexing),FlexPC,0)</f>
        <v>0</v>
      </c>
      <c r="X546">
        <f>IF(AND($F546&gt;0,NOT(O546),Flexing),FlexPC,0)</f>
        <v>0</v>
      </c>
      <c r="Y546">
        <f>IF(AND($F546&gt;0,NOT(P546),Flexing),FlexPC,0)</f>
        <v>0</v>
      </c>
      <c r="AA546" s="209">
        <f t="shared" si="3"/>
        <v>545</v>
      </c>
    </row>
    <row r="547" ht="15.75" customHeight="1">
      <c r="A547" s="206" t="str">
        <f>+Declarations!A547&amp;""</f>
        <v/>
      </c>
      <c r="B547" t="str">
        <f>IF(LEN($A547),IF(LEN(Declarations!$B547)&gt;0,Declarations!$B547,"#"&amp;$A547),"")</f>
        <v/>
      </c>
      <c r="C547" s="209" t="str">
        <f t="array" ref="C547">IF(LEN(INDEX(DECLARATIONS,$AA547,3))&gt;0,INDEX(DECLARATIONS,$AA547,3),"...")</f>
        <v>...</v>
      </c>
      <c r="D547" s="209" t="str">
        <f t="shared" si="1"/>
        <v/>
      </c>
      <c r="E547" s="296" t="str">
        <f t="array" ref="E547">IF(ISNA($AA547),0,INDEX(DECLARATIONS,$AA547,5))</f>
        <v/>
      </c>
      <c r="F547" s="209" t="str">
        <f t="array" ref="F547">IF(ISNA($AA547),0,INDEX(DECLARATIONS,$AA547,7))</f>
        <v/>
      </c>
      <c r="G547" s="209" t="str">
        <f t="array" ref="G547">UPPER(IF(ISNA($AA547),"",INDEX(DECLARATIONS,$AA547,4)))</f>
        <v/>
      </c>
      <c r="H547" t="str">
        <f>IF(AND(A547&gt;0,ISTEXT(B547)),IF(SECNAME="YES",LEFT(B547&amp;" ",FIND(" ",B547&amp;" ")+2)&amp;IF(F547&gt;0," ("&amp;F547&amp;")",""),B547&amp;IF(F547&gt;0," ("&amp;F547&amp;")","")),"#"&amp;$A547)</f>
        <v/>
      </c>
      <c r="I547" s="209">
        <f>IF(LEN($A547)&gt;0,IF(LEN($J547)&gt;0,MATCH(J547,MatchNames,0),EventIndex),0)</f>
        <v>0</v>
      </c>
      <c r="J547" s="209" t="str">
        <f>IF(LEN($A547)&gt;0,IF(LEN(Declarations!$F547)&gt;0,Declarations!$F547,conftype),"")</f>
        <v/>
      </c>
      <c r="M547" s="297">
        <f>IF(ISNA(VLOOKUP($A547,SprintData,2,FALSE)),0,VLOOKUP($A547,SprintData,2,FALSE))</f>
        <v>0</v>
      </c>
      <c r="N547" s="297">
        <f>IF(ISNA(VLOOKUP($A547,JumpData,2,FALSE)),0,VLOOKUP($A547,JumpData,2,FALSE))</f>
        <v>0</v>
      </c>
      <c r="O547" s="297">
        <f>IF(ISNA(VLOOKUP($A547,RunData,2,FALSE)),0,VLOOKUP($A547,RunData,2,FALSE))</f>
        <v>0</v>
      </c>
      <c r="P547" s="297">
        <f>IF(ISNA(VLOOKUP($A547,ThrowData,2,FALSE)),0,VLOOKUP($A547,ThrowData,2,FALSE))</f>
        <v>0</v>
      </c>
      <c r="Q547" s="298">
        <f>IF(ISNA(VLOOKUP($A547,SprintData,4,FALSE)),0,VLOOKUP($A547,SprintData,4,FALSE))+V547</f>
        <v>0</v>
      </c>
      <c r="R547" s="298">
        <f>IF(ISNA(VLOOKUP($A547,JumpData,4,FALSE)),0,VLOOKUP($A547,JumpData,4,FALSE))+W547</f>
        <v>0</v>
      </c>
      <c r="S547" s="298">
        <f>IF(ISNA(VLOOKUP($A547,RunData,4,FALSE)),0,VLOOKUP($A547,RunData,4,FALSE))+X547</f>
        <v>0</v>
      </c>
      <c r="T547" s="298">
        <f>IF(ISNA(VLOOKUP($A547,ThrowData,4,FALSE)),0,VLOOKUP($A547,ThrowData,4,FALSE))+Y547</f>
        <v>0</v>
      </c>
      <c r="U547" s="299">
        <f t="shared" si="2"/>
        <v>0</v>
      </c>
      <c r="V547">
        <f>IF(AND($F547&gt;0,NOT(M547),Flexing),FlexPC,0)</f>
        <v>0</v>
      </c>
      <c r="W547">
        <f>IF(AND($F547&gt;0,NOT(N547),Flexing),FlexPC,0)</f>
        <v>0</v>
      </c>
      <c r="X547">
        <f>IF(AND($F547&gt;0,NOT(O547),Flexing),FlexPC,0)</f>
        <v>0</v>
      </c>
      <c r="Y547">
        <f>IF(AND($F547&gt;0,NOT(P547),Flexing),FlexPC,0)</f>
        <v>0</v>
      </c>
      <c r="AA547" s="209">
        <f t="shared" si="3"/>
        <v>546</v>
      </c>
    </row>
    <row r="548" ht="15.75" customHeight="1">
      <c r="A548" s="206" t="str">
        <f>+Declarations!A548&amp;""</f>
        <v/>
      </c>
      <c r="B548" t="str">
        <f>IF(LEN($A548),IF(LEN(Declarations!$B548)&gt;0,Declarations!$B548,"#"&amp;$A548),"")</f>
        <v/>
      </c>
      <c r="C548" s="209" t="str">
        <f t="array" ref="C548">IF(LEN(INDEX(DECLARATIONS,$AA548,3))&gt;0,INDEX(DECLARATIONS,$AA548,3),"...")</f>
        <v>...</v>
      </c>
      <c r="D548" s="209" t="str">
        <f t="shared" si="1"/>
        <v/>
      </c>
      <c r="E548" s="296" t="str">
        <f t="array" ref="E548">IF(ISNA($AA548),0,INDEX(DECLARATIONS,$AA548,5))</f>
        <v/>
      </c>
      <c r="F548" s="209" t="str">
        <f t="array" ref="F548">IF(ISNA($AA548),0,INDEX(DECLARATIONS,$AA548,7))</f>
        <v/>
      </c>
      <c r="G548" s="209" t="str">
        <f t="array" ref="G548">UPPER(IF(ISNA($AA548),"",INDEX(DECLARATIONS,$AA548,4)))</f>
        <v/>
      </c>
      <c r="H548" t="str">
        <f>IF(AND(A548&gt;0,ISTEXT(B548)),IF(SECNAME="YES",LEFT(B548&amp;" ",FIND(" ",B548&amp;" ")+2)&amp;IF(F548&gt;0," ("&amp;F548&amp;")",""),B548&amp;IF(F548&gt;0," ("&amp;F548&amp;")","")),"#"&amp;$A548)</f>
        <v/>
      </c>
      <c r="I548" s="209">
        <f>IF(LEN($A548)&gt;0,IF(LEN($J548)&gt;0,MATCH(J548,MatchNames,0),EventIndex),0)</f>
        <v>0</v>
      </c>
      <c r="J548" s="209" t="str">
        <f>IF(LEN($A548)&gt;0,IF(LEN(Declarations!$F548)&gt;0,Declarations!$F548,conftype),"")</f>
        <v/>
      </c>
      <c r="M548" s="297">
        <f>IF(ISNA(VLOOKUP($A548,SprintData,2,FALSE)),0,VLOOKUP($A548,SprintData,2,FALSE))</f>
        <v>0</v>
      </c>
      <c r="N548" s="297">
        <f>IF(ISNA(VLOOKUP($A548,JumpData,2,FALSE)),0,VLOOKUP($A548,JumpData,2,FALSE))</f>
        <v>0</v>
      </c>
      <c r="O548" s="297">
        <f>IF(ISNA(VLOOKUP($A548,RunData,2,FALSE)),0,VLOOKUP($A548,RunData,2,FALSE))</f>
        <v>0</v>
      </c>
      <c r="P548" s="297">
        <f>IF(ISNA(VLOOKUP($A548,ThrowData,2,FALSE)),0,VLOOKUP($A548,ThrowData,2,FALSE))</f>
        <v>0</v>
      </c>
      <c r="Q548" s="298">
        <f>IF(ISNA(VLOOKUP($A548,SprintData,4,FALSE)),0,VLOOKUP($A548,SprintData,4,FALSE))+V548</f>
        <v>0</v>
      </c>
      <c r="R548" s="298">
        <f>IF(ISNA(VLOOKUP($A548,JumpData,4,FALSE)),0,VLOOKUP($A548,JumpData,4,FALSE))+W548</f>
        <v>0</v>
      </c>
      <c r="S548" s="298">
        <f>IF(ISNA(VLOOKUP($A548,RunData,4,FALSE)),0,VLOOKUP($A548,RunData,4,FALSE))+X548</f>
        <v>0</v>
      </c>
      <c r="T548" s="298">
        <f>IF(ISNA(VLOOKUP($A548,ThrowData,4,FALSE)),0,VLOOKUP($A548,ThrowData,4,FALSE))+Y548</f>
        <v>0</v>
      </c>
      <c r="U548" s="299">
        <f t="shared" si="2"/>
        <v>0</v>
      </c>
      <c r="V548">
        <f>IF(AND($F548&gt;0,NOT(M548),Flexing),FlexPC,0)</f>
        <v>0</v>
      </c>
      <c r="W548">
        <f>IF(AND($F548&gt;0,NOT(N548),Flexing),FlexPC,0)</f>
        <v>0</v>
      </c>
      <c r="X548">
        <f>IF(AND($F548&gt;0,NOT(O548),Flexing),FlexPC,0)</f>
        <v>0</v>
      </c>
      <c r="Y548">
        <f>IF(AND($F548&gt;0,NOT(P548),Flexing),FlexPC,0)</f>
        <v>0</v>
      </c>
      <c r="AA548" s="209">
        <f t="shared" si="3"/>
        <v>547</v>
      </c>
    </row>
    <row r="549" ht="15.75" customHeight="1">
      <c r="A549" s="206" t="str">
        <f>+Declarations!A549&amp;""</f>
        <v/>
      </c>
      <c r="B549" t="str">
        <f>IF(LEN($A549),IF(LEN(Declarations!$B549)&gt;0,Declarations!$B549,"#"&amp;$A549),"")</f>
        <v/>
      </c>
      <c r="C549" s="209" t="str">
        <f t="array" ref="C549">IF(LEN(INDEX(DECLARATIONS,$AA549,3))&gt;0,INDEX(DECLARATIONS,$AA549,3),"...")</f>
        <v>...</v>
      </c>
      <c r="D549" s="209" t="str">
        <f t="shared" si="1"/>
        <v/>
      </c>
      <c r="E549" s="296" t="str">
        <f t="array" ref="E549">IF(ISNA($AA549),0,INDEX(DECLARATIONS,$AA549,5))</f>
        <v/>
      </c>
      <c r="F549" s="209" t="str">
        <f t="array" ref="F549">IF(ISNA($AA549),0,INDEX(DECLARATIONS,$AA549,7))</f>
        <v/>
      </c>
      <c r="G549" s="209" t="str">
        <f t="array" ref="G549">UPPER(IF(ISNA($AA549),"",INDEX(DECLARATIONS,$AA549,4)))</f>
        <v/>
      </c>
      <c r="H549" t="str">
        <f>IF(AND(A549&gt;0,ISTEXT(B549)),IF(SECNAME="YES",LEFT(B549&amp;" ",FIND(" ",B549&amp;" ")+2)&amp;IF(F549&gt;0," ("&amp;F549&amp;")",""),B549&amp;IF(F549&gt;0," ("&amp;F549&amp;")","")),"#"&amp;$A549)</f>
        <v/>
      </c>
      <c r="I549" s="209">
        <f>IF(LEN($A549)&gt;0,IF(LEN($J549)&gt;0,MATCH(J549,MatchNames,0),EventIndex),0)</f>
        <v>0</v>
      </c>
      <c r="J549" s="209" t="str">
        <f>IF(LEN($A549)&gt;0,IF(LEN(Declarations!$F549)&gt;0,Declarations!$F549,conftype),"")</f>
        <v/>
      </c>
      <c r="M549" s="297">
        <f>IF(ISNA(VLOOKUP($A549,SprintData,2,FALSE)),0,VLOOKUP($A549,SprintData,2,FALSE))</f>
        <v>0</v>
      </c>
      <c r="N549" s="297">
        <f>IF(ISNA(VLOOKUP($A549,JumpData,2,FALSE)),0,VLOOKUP($A549,JumpData,2,FALSE))</f>
        <v>0</v>
      </c>
      <c r="O549" s="297">
        <f>IF(ISNA(VLOOKUP($A549,RunData,2,FALSE)),0,VLOOKUP($A549,RunData,2,FALSE))</f>
        <v>0</v>
      </c>
      <c r="P549" s="297">
        <f>IF(ISNA(VLOOKUP($A549,ThrowData,2,FALSE)),0,VLOOKUP($A549,ThrowData,2,FALSE))</f>
        <v>0</v>
      </c>
      <c r="Q549" s="298">
        <f>IF(ISNA(VLOOKUP($A549,SprintData,4,FALSE)),0,VLOOKUP($A549,SprintData,4,FALSE))+V549</f>
        <v>0</v>
      </c>
      <c r="R549" s="298">
        <f>IF(ISNA(VLOOKUP($A549,JumpData,4,FALSE)),0,VLOOKUP($A549,JumpData,4,FALSE))+W549</f>
        <v>0</v>
      </c>
      <c r="S549" s="298">
        <f>IF(ISNA(VLOOKUP($A549,RunData,4,FALSE)),0,VLOOKUP($A549,RunData,4,FALSE))+X549</f>
        <v>0</v>
      </c>
      <c r="T549" s="298">
        <f>IF(ISNA(VLOOKUP($A549,ThrowData,4,FALSE)),0,VLOOKUP($A549,ThrowData,4,FALSE))+Y549</f>
        <v>0</v>
      </c>
      <c r="U549" s="299">
        <f t="shared" si="2"/>
        <v>0</v>
      </c>
      <c r="V549">
        <f>IF(AND($F549&gt;0,NOT(M549),Flexing),FlexPC,0)</f>
        <v>0</v>
      </c>
      <c r="W549">
        <f>IF(AND($F549&gt;0,NOT(N549),Flexing),FlexPC,0)</f>
        <v>0</v>
      </c>
      <c r="X549">
        <f>IF(AND($F549&gt;0,NOT(O549),Flexing),FlexPC,0)</f>
        <v>0</v>
      </c>
      <c r="Y549">
        <f>IF(AND($F549&gt;0,NOT(P549),Flexing),FlexPC,0)</f>
        <v>0</v>
      </c>
      <c r="AA549" s="209">
        <f t="shared" si="3"/>
        <v>548</v>
      </c>
    </row>
    <row r="550" ht="15.75" customHeight="1">
      <c r="A550" s="206" t="str">
        <f>+Declarations!A550&amp;""</f>
        <v/>
      </c>
      <c r="B550" t="str">
        <f>IF(LEN($A550),IF(LEN(Declarations!$B550)&gt;0,Declarations!$B550,"#"&amp;$A550),"")</f>
        <v/>
      </c>
      <c r="C550" s="209" t="str">
        <f t="array" ref="C550">IF(LEN(INDEX(DECLARATIONS,$AA550,3))&gt;0,INDEX(DECLARATIONS,$AA550,3),"...")</f>
        <v>...</v>
      </c>
      <c r="D550" s="209" t="str">
        <f t="shared" si="1"/>
        <v/>
      </c>
      <c r="E550" s="296" t="str">
        <f t="array" ref="E550">IF(ISNA($AA550),0,INDEX(DECLARATIONS,$AA550,5))</f>
        <v/>
      </c>
      <c r="F550" s="209" t="str">
        <f t="array" ref="F550">IF(ISNA($AA550),0,INDEX(DECLARATIONS,$AA550,7))</f>
        <v/>
      </c>
      <c r="G550" s="209" t="str">
        <f t="array" ref="G550">UPPER(IF(ISNA($AA550),"",INDEX(DECLARATIONS,$AA550,4)))</f>
        <v/>
      </c>
      <c r="H550" t="str">
        <f>IF(AND(A550&gt;0,ISTEXT(B550)),IF(SECNAME="YES",LEFT(B550&amp;" ",FIND(" ",B550&amp;" ")+2)&amp;IF(F550&gt;0," ("&amp;F550&amp;")",""),B550&amp;IF(F550&gt;0," ("&amp;F550&amp;")","")),"#"&amp;$A550)</f>
        <v/>
      </c>
      <c r="I550" s="209">
        <f>IF(LEN($A550)&gt;0,IF(LEN($J550)&gt;0,MATCH(J550,MatchNames,0),EventIndex),0)</f>
        <v>0</v>
      </c>
      <c r="J550" s="209" t="str">
        <f>IF(LEN($A550)&gt;0,IF(LEN(Declarations!$F550)&gt;0,Declarations!$F550,conftype),"")</f>
        <v/>
      </c>
      <c r="M550" s="297">
        <f>IF(ISNA(VLOOKUP($A550,SprintData,2,FALSE)),0,VLOOKUP($A550,SprintData,2,FALSE))</f>
        <v>0</v>
      </c>
      <c r="N550" s="297">
        <f>IF(ISNA(VLOOKUP($A550,JumpData,2,FALSE)),0,VLOOKUP($A550,JumpData,2,FALSE))</f>
        <v>0</v>
      </c>
      <c r="O550" s="297">
        <f>IF(ISNA(VLOOKUP($A550,RunData,2,FALSE)),0,VLOOKUP($A550,RunData,2,FALSE))</f>
        <v>0</v>
      </c>
      <c r="P550" s="297">
        <f>IF(ISNA(VLOOKUP($A550,ThrowData,2,FALSE)),0,VLOOKUP($A550,ThrowData,2,FALSE))</f>
        <v>0</v>
      </c>
      <c r="Q550" s="298">
        <f>IF(ISNA(VLOOKUP($A550,SprintData,4,FALSE)),0,VLOOKUP($A550,SprintData,4,FALSE))+V550</f>
        <v>0</v>
      </c>
      <c r="R550" s="298">
        <f>IF(ISNA(VLOOKUP($A550,JumpData,4,FALSE)),0,VLOOKUP($A550,JumpData,4,FALSE))+W550</f>
        <v>0</v>
      </c>
      <c r="S550" s="298">
        <f>IF(ISNA(VLOOKUP($A550,RunData,4,FALSE)),0,VLOOKUP($A550,RunData,4,FALSE))+X550</f>
        <v>0</v>
      </c>
      <c r="T550" s="298">
        <f>IF(ISNA(VLOOKUP($A550,ThrowData,4,FALSE)),0,VLOOKUP($A550,ThrowData,4,FALSE))+Y550</f>
        <v>0</v>
      </c>
      <c r="U550" s="299">
        <f t="shared" si="2"/>
        <v>0</v>
      </c>
      <c r="V550">
        <f>IF(AND($F550&gt;0,NOT(M550),Flexing),FlexPC,0)</f>
        <v>0</v>
      </c>
      <c r="W550">
        <f>IF(AND($F550&gt;0,NOT(N550),Flexing),FlexPC,0)</f>
        <v>0</v>
      </c>
      <c r="X550">
        <f>IF(AND($F550&gt;0,NOT(O550),Flexing),FlexPC,0)</f>
        <v>0</v>
      </c>
      <c r="Y550">
        <f>IF(AND($F550&gt;0,NOT(P550),Flexing),FlexPC,0)</f>
        <v>0</v>
      </c>
      <c r="AA550" s="209">
        <f t="shared" si="3"/>
        <v>549</v>
      </c>
    </row>
    <row r="551" ht="15.75" customHeight="1">
      <c r="A551" s="206" t="str">
        <f>+Declarations!A551&amp;""</f>
        <v/>
      </c>
      <c r="B551" t="str">
        <f>IF(LEN($A551),IF(LEN(Declarations!$B551)&gt;0,Declarations!$B551,"#"&amp;$A551),"")</f>
        <v/>
      </c>
      <c r="C551" s="209" t="str">
        <f t="array" ref="C551">IF(LEN(INDEX(DECLARATIONS,$AA551,3))&gt;0,INDEX(DECLARATIONS,$AA551,3),"...")</f>
        <v>...</v>
      </c>
      <c r="D551" s="209" t="str">
        <f t="shared" si="1"/>
        <v/>
      </c>
      <c r="E551" s="296" t="str">
        <f t="array" ref="E551">IF(ISNA($AA551),0,INDEX(DECLARATIONS,$AA551,5))</f>
        <v/>
      </c>
      <c r="F551" s="209" t="str">
        <f t="array" ref="F551">IF(ISNA($AA551),0,INDEX(DECLARATIONS,$AA551,7))</f>
        <v/>
      </c>
      <c r="G551" s="209" t="str">
        <f t="array" ref="G551">UPPER(IF(ISNA($AA551),"",INDEX(DECLARATIONS,$AA551,4)))</f>
        <v/>
      </c>
      <c r="H551" t="str">
        <f>IF(AND(A551&gt;0,ISTEXT(B551)),IF(SECNAME="YES",LEFT(B551&amp;" ",FIND(" ",B551&amp;" ")+2)&amp;IF(F551&gt;0," ("&amp;F551&amp;")",""),B551&amp;IF(F551&gt;0," ("&amp;F551&amp;")","")),"#"&amp;$A551)</f>
        <v/>
      </c>
      <c r="I551" s="209">
        <f>IF(LEN($A551)&gt;0,IF(LEN($J551)&gt;0,MATCH(J551,MatchNames,0),EventIndex),0)</f>
        <v>0</v>
      </c>
      <c r="J551" s="209" t="str">
        <f>IF(LEN($A551)&gt;0,IF(LEN(Declarations!$F551)&gt;0,Declarations!$F551,conftype),"")</f>
        <v/>
      </c>
      <c r="M551" s="297">
        <f>IF(ISNA(VLOOKUP($A551,SprintData,2,FALSE)),0,VLOOKUP($A551,SprintData,2,FALSE))</f>
        <v>0</v>
      </c>
      <c r="N551" s="297">
        <f>IF(ISNA(VLOOKUP($A551,JumpData,2,FALSE)),0,VLOOKUP($A551,JumpData,2,FALSE))</f>
        <v>0</v>
      </c>
      <c r="O551" s="297">
        <f>IF(ISNA(VLOOKUP($A551,RunData,2,FALSE)),0,VLOOKUP($A551,RunData,2,FALSE))</f>
        <v>0</v>
      </c>
      <c r="P551" s="297">
        <f>IF(ISNA(VLOOKUP($A551,ThrowData,2,FALSE)),0,VLOOKUP($A551,ThrowData,2,FALSE))</f>
        <v>0</v>
      </c>
      <c r="Q551" s="298">
        <f>IF(ISNA(VLOOKUP($A551,SprintData,4,FALSE)),0,VLOOKUP($A551,SprintData,4,FALSE))+V551</f>
        <v>0</v>
      </c>
      <c r="R551" s="298">
        <f>IF(ISNA(VLOOKUP($A551,JumpData,4,FALSE)),0,VLOOKUP($A551,JumpData,4,FALSE))+W551</f>
        <v>0</v>
      </c>
      <c r="S551" s="298">
        <f>IF(ISNA(VLOOKUP($A551,RunData,4,FALSE)),0,VLOOKUP($A551,RunData,4,FALSE))+X551</f>
        <v>0</v>
      </c>
      <c r="T551" s="298">
        <f>IF(ISNA(VLOOKUP($A551,ThrowData,4,FALSE)),0,VLOOKUP($A551,ThrowData,4,FALSE))+Y551</f>
        <v>0</v>
      </c>
      <c r="U551" s="299">
        <f t="shared" si="2"/>
        <v>0</v>
      </c>
      <c r="V551">
        <f>IF(AND($F551&gt;0,NOT(M551),Flexing),FlexPC,0)</f>
        <v>0</v>
      </c>
      <c r="W551">
        <f>IF(AND($F551&gt;0,NOT(N551),Flexing),FlexPC,0)</f>
        <v>0</v>
      </c>
      <c r="X551">
        <f>IF(AND($F551&gt;0,NOT(O551),Flexing),FlexPC,0)</f>
        <v>0</v>
      </c>
      <c r="Y551">
        <f>IF(AND($F551&gt;0,NOT(P551),Flexing),FlexPC,0)</f>
        <v>0</v>
      </c>
      <c r="AA551" s="209">
        <f t="shared" si="3"/>
        <v>550</v>
      </c>
    </row>
    <row r="552" ht="15.75" customHeight="1">
      <c r="A552" s="206" t="str">
        <f>+Declarations!A552&amp;""</f>
        <v/>
      </c>
      <c r="B552" t="str">
        <f>IF(LEN($A552),IF(LEN(Declarations!$B552)&gt;0,Declarations!$B552,"#"&amp;$A552),"")</f>
        <v/>
      </c>
      <c r="C552" s="209" t="str">
        <f t="array" ref="C552">IF(LEN(INDEX(DECLARATIONS,$AA552,3))&gt;0,INDEX(DECLARATIONS,$AA552,3),"...")</f>
        <v>...</v>
      </c>
      <c r="D552" s="209" t="str">
        <f t="shared" si="1"/>
        <v/>
      </c>
      <c r="E552" s="296" t="str">
        <f t="array" ref="E552">IF(ISNA($AA552),0,INDEX(DECLARATIONS,$AA552,5))</f>
        <v/>
      </c>
      <c r="F552" s="209" t="str">
        <f t="array" ref="F552">IF(ISNA($AA552),0,INDEX(DECLARATIONS,$AA552,7))</f>
        <v/>
      </c>
      <c r="G552" s="209" t="str">
        <f t="array" ref="G552">UPPER(IF(ISNA($AA552),"",INDEX(DECLARATIONS,$AA552,4)))</f>
        <v/>
      </c>
      <c r="H552" t="str">
        <f>IF(AND(A552&gt;0,ISTEXT(B552)),IF(SECNAME="YES",LEFT(B552&amp;" ",FIND(" ",B552&amp;" ")+2)&amp;IF(F552&gt;0," ("&amp;F552&amp;")",""),B552&amp;IF(F552&gt;0," ("&amp;F552&amp;")","")),"#"&amp;$A552)</f>
        <v/>
      </c>
      <c r="I552" s="209">
        <f>IF(LEN($A552)&gt;0,IF(LEN($J552)&gt;0,MATCH(J552,MatchNames,0),EventIndex),0)</f>
        <v>0</v>
      </c>
      <c r="J552" s="209" t="str">
        <f>IF(LEN($A552)&gt;0,IF(LEN(Declarations!$F552)&gt;0,Declarations!$F552,conftype),"")</f>
        <v/>
      </c>
      <c r="M552" s="297">
        <f>IF(ISNA(VLOOKUP($A552,SprintData,2,FALSE)),0,VLOOKUP($A552,SprintData,2,FALSE))</f>
        <v>0</v>
      </c>
      <c r="N552" s="297">
        <f>IF(ISNA(VLOOKUP($A552,JumpData,2,FALSE)),0,VLOOKUP($A552,JumpData,2,FALSE))</f>
        <v>0</v>
      </c>
      <c r="O552" s="297">
        <f>IF(ISNA(VLOOKUP($A552,RunData,2,FALSE)),0,VLOOKUP($A552,RunData,2,FALSE))</f>
        <v>0</v>
      </c>
      <c r="P552" s="297">
        <f>IF(ISNA(VLOOKUP($A552,ThrowData,2,FALSE)),0,VLOOKUP($A552,ThrowData,2,FALSE))</f>
        <v>0</v>
      </c>
      <c r="Q552" s="298">
        <f>IF(ISNA(VLOOKUP($A552,SprintData,4,FALSE)),0,VLOOKUP($A552,SprintData,4,FALSE))+V552</f>
        <v>0</v>
      </c>
      <c r="R552" s="298">
        <f>IF(ISNA(VLOOKUP($A552,JumpData,4,FALSE)),0,VLOOKUP($A552,JumpData,4,FALSE))+W552</f>
        <v>0</v>
      </c>
      <c r="S552" s="298">
        <f>IF(ISNA(VLOOKUP($A552,RunData,4,FALSE)),0,VLOOKUP($A552,RunData,4,FALSE))+X552</f>
        <v>0</v>
      </c>
      <c r="T552" s="298">
        <f>IF(ISNA(VLOOKUP($A552,ThrowData,4,FALSE)),0,VLOOKUP($A552,ThrowData,4,FALSE))+Y552</f>
        <v>0</v>
      </c>
      <c r="U552" s="299">
        <f t="shared" si="2"/>
        <v>0</v>
      </c>
      <c r="V552">
        <f>IF(AND($F552&gt;0,NOT(M552),Flexing),FlexPC,0)</f>
        <v>0</v>
      </c>
      <c r="W552">
        <f>IF(AND($F552&gt;0,NOT(N552),Flexing),FlexPC,0)</f>
        <v>0</v>
      </c>
      <c r="X552">
        <f>IF(AND($F552&gt;0,NOT(O552),Flexing),FlexPC,0)</f>
        <v>0</v>
      </c>
      <c r="Y552">
        <f>IF(AND($F552&gt;0,NOT(P552),Flexing),FlexPC,0)</f>
        <v>0</v>
      </c>
      <c r="AA552" s="209">
        <f t="shared" si="3"/>
        <v>551</v>
      </c>
    </row>
    <row r="553" ht="15.75" customHeight="1">
      <c r="A553" s="206" t="str">
        <f>+Declarations!A553&amp;""</f>
        <v/>
      </c>
      <c r="B553" t="str">
        <f>IF(LEN($A553),IF(LEN(Declarations!$B553)&gt;0,Declarations!$B553,"#"&amp;$A553),"")</f>
        <v/>
      </c>
      <c r="C553" s="209" t="str">
        <f t="array" ref="C553">IF(LEN(INDEX(DECLARATIONS,$AA553,3))&gt;0,INDEX(DECLARATIONS,$AA553,3),"...")</f>
        <v>...</v>
      </c>
      <c r="D553" s="209" t="str">
        <f t="shared" si="1"/>
        <v/>
      </c>
      <c r="E553" s="296" t="str">
        <f t="array" ref="E553">IF(ISNA($AA553),0,INDEX(DECLARATIONS,$AA553,5))</f>
        <v/>
      </c>
      <c r="F553" s="209" t="str">
        <f t="array" ref="F553">IF(ISNA($AA553),0,INDEX(DECLARATIONS,$AA553,7))</f>
        <v/>
      </c>
      <c r="G553" s="209" t="str">
        <f t="array" ref="G553">UPPER(IF(ISNA($AA553),"",INDEX(DECLARATIONS,$AA553,4)))</f>
        <v/>
      </c>
      <c r="H553" t="str">
        <f>IF(AND(A553&gt;0,ISTEXT(B553)),IF(SECNAME="YES",LEFT(B553&amp;" ",FIND(" ",B553&amp;" ")+2)&amp;IF(F553&gt;0," ("&amp;F553&amp;")",""),B553&amp;IF(F553&gt;0," ("&amp;F553&amp;")","")),"#"&amp;$A553)</f>
        <v/>
      </c>
      <c r="I553" s="209">
        <f>IF(LEN($A553)&gt;0,IF(LEN($J553)&gt;0,MATCH(J553,MatchNames,0),EventIndex),0)</f>
        <v>0</v>
      </c>
      <c r="J553" s="209" t="str">
        <f>IF(LEN($A553)&gt;0,IF(LEN(Declarations!$F553)&gt;0,Declarations!$F553,conftype),"")</f>
        <v/>
      </c>
      <c r="M553" s="297">
        <f>IF(ISNA(VLOOKUP($A553,SprintData,2,FALSE)),0,VLOOKUP($A553,SprintData,2,FALSE))</f>
        <v>0</v>
      </c>
      <c r="N553" s="297">
        <f>IF(ISNA(VLOOKUP($A553,JumpData,2,FALSE)),0,VLOOKUP($A553,JumpData,2,FALSE))</f>
        <v>0</v>
      </c>
      <c r="O553" s="297">
        <f>IF(ISNA(VLOOKUP($A553,RunData,2,FALSE)),0,VLOOKUP($A553,RunData,2,FALSE))</f>
        <v>0</v>
      </c>
      <c r="P553" s="297">
        <f>IF(ISNA(VLOOKUP($A553,ThrowData,2,FALSE)),0,VLOOKUP($A553,ThrowData,2,FALSE))</f>
        <v>0</v>
      </c>
      <c r="Q553" s="298">
        <f>IF(ISNA(VLOOKUP($A553,SprintData,4,FALSE)),0,VLOOKUP($A553,SprintData,4,FALSE))+V553</f>
        <v>0</v>
      </c>
      <c r="R553" s="298">
        <f>IF(ISNA(VLOOKUP($A553,JumpData,4,FALSE)),0,VLOOKUP($A553,JumpData,4,FALSE))+W553</f>
        <v>0</v>
      </c>
      <c r="S553" s="298">
        <f>IF(ISNA(VLOOKUP($A553,RunData,4,FALSE)),0,VLOOKUP($A553,RunData,4,FALSE))+X553</f>
        <v>0</v>
      </c>
      <c r="T553" s="298">
        <f>IF(ISNA(VLOOKUP($A553,ThrowData,4,FALSE)),0,VLOOKUP($A553,ThrowData,4,FALSE))+Y553</f>
        <v>0</v>
      </c>
      <c r="U553" s="299">
        <f t="shared" si="2"/>
        <v>0</v>
      </c>
      <c r="V553">
        <f>IF(AND($F553&gt;0,NOT(M553),Flexing),FlexPC,0)</f>
        <v>0</v>
      </c>
      <c r="W553">
        <f>IF(AND($F553&gt;0,NOT(N553),Flexing),FlexPC,0)</f>
        <v>0</v>
      </c>
      <c r="X553">
        <f>IF(AND($F553&gt;0,NOT(O553),Flexing),FlexPC,0)</f>
        <v>0</v>
      </c>
      <c r="Y553">
        <f>IF(AND($F553&gt;0,NOT(P553),Flexing),FlexPC,0)</f>
        <v>0</v>
      </c>
      <c r="AA553" s="209">
        <f t="shared" si="3"/>
        <v>552</v>
      </c>
    </row>
    <row r="554" ht="15.75" customHeight="1">
      <c r="A554" s="206" t="str">
        <f>+Declarations!A554&amp;""</f>
        <v/>
      </c>
      <c r="B554" t="str">
        <f>IF(LEN($A554),IF(LEN(Declarations!$B554)&gt;0,Declarations!$B554,"#"&amp;$A554),"")</f>
        <v/>
      </c>
      <c r="C554" s="209" t="str">
        <f t="array" ref="C554">IF(LEN(INDEX(DECLARATIONS,$AA554,3))&gt;0,INDEX(DECLARATIONS,$AA554,3),"...")</f>
        <v>...</v>
      </c>
      <c r="D554" s="209" t="str">
        <f t="shared" si="1"/>
        <v/>
      </c>
      <c r="E554" s="296" t="str">
        <f t="array" ref="E554">IF(ISNA($AA554),0,INDEX(DECLARATIONS,$AA554,5))</f>
        <v/>
      </c>
      <c r="F554" s="209" t="str">
        <f t="array" ref="F554">IF(ISNA($AA554),0,INDEX(DECLARATIONS,$AA554,7))</f>
        <v/>
      </c>
      <c r="G554" s="209" t="str">
        <f t="array" ref="G554">UPPER(IF(ISNA($AA554),"",INDEX(DECLARATIONS,$AA554,4)))</f>
        <v/>
      </c>
      <c r="H554" t="str">
        <f>IF(AND(A554&gt;0,ISTEXT(B554)),IF(SECNAME="YES",LEFT(B554&amp;" ",FIND(" ",B554&amp;" ")+2)&amp;IF(F554&gt;0," ("&amp;F554&amp;")",""),B554&amp;IF(F554&gt;0," ("&amp;F554&amp;")","")),"#"&amp;$A554)</f>
        <v/>
      </c>
      <c r="I554" s="209">
        <f>IF(LEN($A554)&gt;0,IF(LEN($J554)&gt;0,MATCH(J554,MatchNames,0),EventIndex),0)</f>
        <v>0</v>
      </c>
      <c r="J554" s="209" t="str">
        <f>IF(LEN($A554)&gt;0,IF(LEN(Declarations!$F554)&gt;0,Declarations!$F554,conftype),"")</f>
        <v/>
      </c>
      <c r="M554" s="297">
        <f>IF(ISNA(VLOOKUP($A554,SprintData,2,FALSE)),0,VLOOKUP($A554,SprintData,2,FALSE))</f>
        <v>0</v>
      </c>
      <c r="N554" s="297">
        <f>IF(ISNA(VLOOKUP($A554,JumpData,2,FALSE)),0,VLOOKUP($A554,JumpData,2,FALSE))</f>
        <v>0</v>
      </c>
      <c r="O554" s="297">
        <f>IF(ISNA(VLOOKUP($A554,RunData,2,FALSE)),0,VLOOKUP($A554,RunData,2,FALSE))</f>
        <v>0</v>
      </c>
      <c r="P554" s="297">
        <f>IF(ISNA(VLOOKUP($A554,ThrowData,2,FALSE)),0,VLOOKUP($A554,ThrowData,2,FALSE))</f>
        <v>0</v>
      </c>
      <c r="Q554" s="298">
        <f>IF(ISNA(VLOOKUP($A554,SprintData,4,FALSE)),0,VLOOKUP($A554,SprintData,4,FALSE))+V554</f>
        <v>0</v>
      </c>
      <c r="R554" s="298">
        <f>IF(ISNA(VLOOKUP($A554,JumpData,4,FALSE)),0,VLOOKUP($A554,JumpData,4,FALSE))+W554</f>
        <v>0</v>
      </c>
      <c r="S554" s="298">
        <f>IF(ISNA(VLOOKUP($A554,RunData,4,FALSE)),0,VLOOKUP($A554,RunData,4,FALSE))+X554</f>
        <v>0</v>
      </c>
      <c r="T554" s="298">
        <f>IF(ISNA(VLOOKUP($A554,ThrowData,4,FALSE)),0,VLOOKUP($A554,ThrowData,4,FALSE))+Y554</f>
        <v>0</v>
      </c>
      <c r="U554" s="299">
        <f t="shared" si="2"/>
        <v>0</v>
      </c>
      <c r="V554">
        <f>IF(AND($F554&gt;0,NOT(M554),Flexing),FlexPC,0)</f>
        <v>0</v>
      </c>
      <c r="W554">
        <f>IF(AND($F554&gt;0,NOT(N554),Flexing),FlexPC,0)</f>
        <v>0</v>
      </c>
      <c r="X554">
        <f>IF(AND($F554&gt;0,NOT(O554),Flexing),FlexPC,0)</f>
        <v>0</v>
      </c>
      <c r="Y554">
        <f>IF(AND($F554&gt;0,NOT(P554),Flexing),FlexPC,0)</f>
        <v>0</v>
      </c>
      <c r="AA554" s="209">
        <f t="shared" si="3"/>
        <v>553</v>
      </c>
    </row>
    <row r="555" ht="15.75" customHeight="1">
      <c r="A555" s="206" t="str">
        <f>+Declarations!A555&amp;""</f>
        <v/>
      </c>
      <c r="B555" t="str">
        <f>IF(LEN($A555),IF(LEN(Declarations!$B555)&gt;0,Declarations!$B555,"#"&amp;$A555),"")</f>
        <v/>
      </c>
      <c r="C555" s="209" t="str">
        <f t="array" ref="C555">IF(LEN(INDEX(DECLARATIONS,$AA555,3))&gt;0,INDEX(DECLARATIONS,$AA555,3),"...")</f>
        <v>...</v>
      </c>
      <c r="D555" s="209" t="str">
        <f t="shared" si="1"/>
        <v/>
      </c>
      <c r="E555" s="296" t="str">
        <f t="array" ref="E555">IF(ISNA($AA555),0,INDEX(DECLARATIONS,$AA555,5))</f>
        <v/>
      </c>
      <c r="F555" s="209" t="str">
        <f t="array" ref="F555">IF(ISNA($AA555),0,INDEX(DECLARATIONS,$AA555,7))</f>
        <v/>
      </c>
      <c r="G555" s="209" t="str">
        <f t="array" ref="G555">UPPER(IF(ISNA($AA555),"",INDEX(DECLARATIONS,$AA555,4)))</f>
        <v/>
      </c>
      <c r="H555" t="str">
        <f>IF(AND(A555&gt;0,ISTEXT(B555)),IF(SECNAME="YES",LEFT(B555&amp;" ",FIND(" ",B555&amp;" ")+2)&amp;IF(F555&gt;0," ("&amp;F555&amp;")",""),B555&amp;IF(F555&gt;0," ("&amp;F555&amp;")","")),"#"&amp;$A555)</f>
        <v/>
      </c>
      <c r="I555" s="209">
        <f>IF(LEN($A555)&gt;0,IF(LEN($J555)&gt;0,MATCH(J555,MatchNames,0),EventIndex),0)</f>
        <v>0</v>
      </c>
      <c r="J555" s="209" t="str">
        <f>IF(LEN($A555)&gt;0,IF(LEN(Declarations!$F555)&gt;0,Declarations!$F555,conftype),"")</f>
        <v/>
      </c>
      <c r="M555" s="297">
        <f>IF(ISNA(VLOOKUP($A555,SprintData,2,FALSE)),0,VLOOKUP($A555,SprintData,2,FALSE))</f>
        <v>0</v>
      </c>
      <c r="N555" s="297">
        <f>IF(ISNA(VLOOKUP($A555,JumpData,2,FALSE)),0,VLOOKUP($A555,JumpData,2,FALSE))</f>
        <v>0</v>
      </c>
      <c r="O555" s="297">
        <f>IF(ISNA(VLOOKUP($A555,RunData,2,FALSE)),0,VLOOKUP($A555,RunData,2,FALSE))</f>
        <v>0</v>
      </c>
      <c r="P555" s="297">
        <f>IF(ISNA(VLOOKUP($A555,ThrowData,2,FALSE)),0,VLOOKUP($A555,ThrowData,2,FALSE))</f>
        <v>0</v>
      </c>
      <c r="Q555" s="298">
        <f>IF(ISNA(VLOOKUP($A555,SprintData,4,FALSE)),0,VLOOKUP($A555,SprintData,4,FALSE))+V555</f>
        <v>0</v>
      </c>
      <c r="R555" s="298">
        <f>IF(ISNA(VLOOKUP($A555,JumpData,4,FALSE)),0,VLOOKUP($A555,JumpData,4,FALSE))+W555</f>
        <v>0</v>
      </c>
      <c r="S555" s="298">
        <f>IF(ISNA(VLOOKUP($A555,RunData,4,FALSE)),0,VLOOKUP($A555,RunData,4,FALSE))+X555</f>
        <v>0</v>
      </c>
      <c r="T555" s="298">
        <f>IF(ISNA(VLOOKUP($A555,ThrowData,4,FALSE)),0,VLOOKUP($A555,ThrowData,4,FALSE))+Y555</f>
        <v>0</v>
      </c>
      <c r="U555" s="299">
        <f t="shared" si="2"/>
        <v>0</v>
      </c>
      <c r="V555">
        <f>IF(AND($F555&gt;0,NOT(M555),Flexing),FlexPC,0)</f>
        <v>0</v>
      </c>
      <c r="W555">
        <f>IF(AND($F555&gt;0,NOT(N555),Flexing),FlexPC,0)</f>
        <v>0</v>
      </c>
      <c r="X555">
        <f>IF(AND($F555&gt;0,NOT(O555),Flexing),FlexPC,0)</f>
        <v>0</v>
      </c>
      <c r="Y555">
        <f>IF(AND($F555&gt;0,NOT(P555),Flexing),FlexPC,0)</f>
        <v>0</v>
      </c>
      <c r="AA555" s="209">
        <f t="shared" si="3"/>
        <v>554</v>
      </c>
    </row>
    <row r="556" ht="15.75" customHeight="1">
      <c r="A556" s="206" t="str">
        <f>+Declarations!A556&amp;""</f>
        <v/>
      </c>
      <c r="B556" t="str">
        <f>IF(LEN($A556),IF(LEN(Declarations!$B556)&gt;0,Declarations!$B556,"#"&amp;$A556),"")</f>
        <v/>
      </c>
      <c r="C556" s="209" t="str">
        <f t="array" ref="C556">IF(LEN(INDEX(DECLARATIONS,$AA556,3))&gt;0,INDEX(DECLARATIONS,$AA556,3),"...")</f>
        <v>...</v>
      </c>
      <c r="D556" s="209" t="str">
        <f t="shared" si="1"/>
        <v/>
      </c>
      <c r="E556" s="296" t="str">
        <f t="array" ref="E556">IF(ISNA($AA556),0,INDEX(DECLARATIONS,$AA556,5))</f>
        <v/>
      </c>
      <c r="F556" s="209" t="str">
        <f t="array" ref="F556">IF(ISNA($AA556),0,INDEX(DECLARATIONS,$AA556,7))</f>
        <v/>
      </c>
      <c r="G556" s="209" t="str">
        <f t="array" ref="G556">UPPER(IF(ISNA($AA556),"",INDEX(DECLARATIONS,$AA556,4)))</f>
        <v/>
      </c>
      <c r="H556" t="str">
        <f>IF(AND(A556&gt;0,ISTEXT(B556)),IF(SECNAME="YES",LEFT(B556&amp;" ",FIND(" ",B556&amp;" ")+2)&amp;IF(F556&gt;0," ("&amp;F556&amp;")",""),B556&amp;IF(F556&gt;0," ("&amp;F556&amp;")","")),"#"&amp;$A556)</f>
        <v/>
      </c>
      <c r="I556" s="209">
        <f>IF(LEN($A556)&gt;0,IF(LEN($J556)&gt;0,MATCH(J556,MatchNames,0),EventIndex),0)</f>
        <v>0</v>
      </c>
      <c r="J556" s="209" t="str">
        <f>IF(LEN($A556)&gt;0,IF(LEN(Declarations!$F556)&gt;0,Declarations!$F556,conftype),"")</f>
        <v/>
      </c>
      <c r="M556" s="297">
        <f>IF(ISNA(VLOOKUP($A556,SprintData,2,FALSE)),0,VLOOKUP($A556,SprintData,2,FALSE))</f>
        <v>0</v>
      </c>
      <c r="N556" s="297">
        <f>IF(ISNA(VLOOKUP($A556,JumpData,2,FALSE)),0,VLOOKUP($A556,JumpData,2,FALSE))</f>
        <v>0</v>
      </c>
      <c r="O556" s="297">
        <f>IF(ISNA(VLOOKUP($A556,RunData,2,FALSE)),0,VLOOKUP($A556,RunData,2,FALSE))</f>
        <v>0</v>
      </c>
      <c r="P556" s="297">
        <f>IF(ISNA(VLOOKUP($A556,ThrowData,2,FALSE)),0,VLOOKUP($A556,ThrowData,2,FALSE))</f>
        <v>0</v>
      </c>
      <c r="Q556" s="298">
        <f>IF(ISNA(VLOOKUP($A556,SprintData,4,FALSE)),0,VLOOKUP($A556,SprintData,4,FALSE))+V556</f>
        <v>0</v>
      </c>
      <c r="R556" s="298">
        <f>IF(ISNA(VLOOKUP($A556,JumpData,4,FALSE)),0,VLOOKUP($A556,JumpData,4,FALSE))+W556</f>
        <v>0</v>
      </c>
      <c r="S556" s="298">
        <f>IF(ISNA(VLOOKUP($A556,RunData,4,FALSE)),0,VLOOKUP($A556,RunData,4,FALSE))+X556</f>
        <v>0</v>
      </c>
      <c r="T556" s="298">
        <f>IF(ISNA(VLOOKUP($A556,ThrowData,4,FALSE)),0,VLOOKUP($A556,ThrowData,4,FALSE))+Y556</f>
        <v>0</v>
      </c>
      <c r="U556" s="299">
        <f t="shared" si="2"/>
        <v>0</v>
      </c>
      <c r="V556">
        <f>IF(AND($F556&gt;0,NOT(M556),Flexing),FlexPC,0)</f>
        <v>0</v>
      </c>
      <c r="W556">
        <f>IF(AND($F556&gt;0,NOT(N556),Flexing),FlexPC,0)</f>
        <v>0</v>
      </c>
      <c r="X556">
        <f>IF(AND($F556&gt;0,NOT(O556),Flexing),FlexPC,0)</f>
        <v>0</v>
      </c>
      <c r="Y556">
        <f>IF(AND($F556&gt;0,NOT(P556),Flexing),FlexPC,0)</f>
        <v>0</v>
      </c>
      <c r="AA556" s="209">
        <f t="shared" si="3"/>
        <v>555</v>
      </c>
    </row>
    <row r="557" ht="15.75" customHeight="1">
      <c r="A557" s="206" t="str">
        <f>+Declarations!A557&amp;""</f>
        <v/>
      </c>
      <c r="B557" t="str">
        <f>IF(LEN($A557),IF(LEN(Declarations!$B557)&gt;0,Declarations!$B557,"#"&amp;$A557),"")</f>
        <v/>
      </c>
      <c r="C557" s="209" t="str">
        <f t="array" ref="C557">IF(LEN(INDEX(DECLARATIONS,$AA557,3))&gt;0,INDEX(DECLARATIONS,$AA557,3),"...")</f>
        <v>...</v>
      </c>
      <c r="D557" s="209" t="str">
        <f t="shared" si="1"/>
        <v/>
      </c>
      <c r="E557" s="296" t="str">
        <f t="array" ref="E557">IF(ISNA($AA557),0,INDEX(DECLARATIONS,$AA557,5))</f>
        <v/>
      </c>
      <c r="F557" s="209" t="str">
        <f t="array" ref="F557">IF(ISNA($AA557),0,INDEX(DECLARATIONS,$AA557,7))</f>
        <v/>
      </c>
      <c r="G557" s="209" t="str">
        <f t="array" ref="G557">UPPER(IF(ISNA($AA557),"",INDEX(DECLARATIONS,$AA557,4)))</f>
        <v/>
      </c>
      <c r="H557" t="str">
        <f>IF(AND(A557&gt;0,ISTEXT(B557)),IF(SECNAME="YES",LEFT(B557&amp;" ",FIND(" ",B557&amp;" ")+2)&amp;IF(F557&gt;0," ("&amp;F557&amp;")",""),B557&amp;IF(F557&gt;0," ("&amp;F557&amp;")","")),"#"&amp;$A557)</f>
        <v/>
      </c>
      <c r="I557" s="209">
        <f>IF(LEN($A557)&gt;0,IF(LEN($J557)&gt;0,MATCH(J557,MatchNames,0),EventIndex),0)</f>
        <v>0</v>
      </c>
      <c r="J557" s="209" t="str">
        <f>IF(LEN($A557)&gt;0,IF(LEN(Declarations!$F557)&gt;0,Declarations!$F557,conftype),"")</f>
        <v/>
      </c>
      <c r="M557" s="297">
        <f>IF(ISNA(VLOOKUP($A557,SprintData,2,FALSE)),0,VLOOKUP($A557,SprintData,2,FALSE))</f>
        <v>0</v>
      </c>
      <c r="N557" s="297">
        <f>IF(ISNA(VLOOKUP($A557,JumpData,2,FALSE)),0,VLOOKUP($A557,JumpData,2,FALSE))</f>
        <v>0</v>
      </c>
      <c r="O557" s="297">
        <f>IF(ISNA(VLOOKUP($A557,RunData,2,FALSE)),0,VLOOKUP($A557,RunData,2,FALSE))</f>
        <v>0</v>
      </c>
      <c r="P557" s="297">
        <f>IF(ISNA(VLOOKUP($A557,ThrowData,2,FALSE)),0,VLOOKUP($A557,ThrowData,2,FALSE))</f>
        <v>0</v>
      </c>
      <c r="Q557" s="298">
        <f>IF(ISNA(VLOOKUP($A557,SprintData,4,FALSE)),0,VLOOKUP($A557,SprintData,4,FALSE))+V557</f>
        <v>0</v>
      </c>
      <c r="R557" s="298">
        <f>IF(ISNA(VLOOKUP($A557,JumpData,4,FALSE)),0,VLOOKUP($A557,JumpData,4,FALSE))+W557</f>
        <v>0</v>
      </c>
      <c r="S557" s="298">
        <f>IF(ISNA(VLOOKUP($A557,RunData,4,FALSE)),0,VLOOKUP($A557,RunData,4,FALSE))+X557</f>
        <v>0</v>
      </c>
      <c r="T557" s="298">
        <f>IF(ISNA(VLOOKUP($A557,ThrowData,4,FALSE)),0,VLOOKUP($A557,ThrowData,4,FALSE))+Y557</f>
        <v>0</v>
      </c>
      <c r="U557" s="299">
        <f t="shared" si="2"/>
        <v>0</v>
      </c>
      <c r="V557">
        <f>IF(AND($F557&gt;0,NOT(M557),Flexing),FlexPC,0)</f>
        <v>0</v>
      </c>
      <c r="W557">
        <f>IF(AND($F557&gt;0,NOT(N557),Flexing),FlexPC,0)</f>
        <v>0</v>
      </c>
      <c r="X557">
        <f>IF(AND($F557&gt;0,NOT(O557),Flexing),FlexPC,0)</f>
        <v>0</v>
      </c>
      <c r="Y557">
        <f>IF(AND($F557&gt;0,NOT(P557),Flexing),FlexPC,0)</f>
        <v>0</v>
      </c>
      <c r="AA557" s="209">
        <f t="shared" si="3"/>
        <v>556</v>
      </c>
    </row>
    <row r="558" ht="15.75" customHeight="1">
      <c r="A558" s="206" t="str">
        <f>+Declarations!A558&amp;""</f>
        <v/>
      </c>
      <c r="B558" t="str">
        <f>IF(LEN($A558),IF(LEN(Declarations!$B558)&gt;0,Declarations!$B558,"#"&amp;$A558),"")</f>
        <v/>
      </c>
      <c r="C558" s="209" t="str">
        <f t="array" ref="C558">IF(LEN(INDEX(DECLARATIONS,$AA558,3))&gt;0,INDEX(DECLARATIONS,$AA558,3),"...")</f>
        <v>...</v>
      </c>
      <c r="D558" s="209" t="str">
        <f t="shared" si="1"/>
        <v/>
      </c>
      <c r="E558" s="296" t="str">
        <f t="array" ref="E558">IF(ISNA($AA558),0,INDEX(DECLARATIONS,$AA558,5))</f>
        <v/>
      </c>
      <c r="F558" s="209" t="str">
        <f t="array" ref="F558">IF(ISNA($AA558),0,INDEX(DECLARATIONS,$AA558,7))</f>
        <v/>
      </c>
      <c r="G558" s="209" t="str">
        <f t="array" ref="G558">UPPER(IF(ISNA($AA558),"",INDEX(DECLARATIONS,$AA558,4)))</f>
        <v/>
      </c>
      <c r="H558" t="str">
        <f>IF(AND(A558&gt;0,ISTEXT(B558)),IF(SECNAME="YES",LEFT(B558&amp;" ",FIND(" ",B558&amp;" ")+2)&amp;IF(F558&gt;0," ("&amp;F558&amp;")",""),B558&amp;IF(F558&gt;0," ("&amp;F558&amp;")","")),"#"&amp;$A558)</f>
        <v/>
      </c>
      <c r="I558" s="209">
        <f>IF(LEN($A558)&gt;0,IF(LEN($J558)&gt;0,MATCH(J558,MatchNames,0),EventIndex),0)</f>
        <v>0</v>
      </c>
      <c r="J558" s="209" t="str">
        <f>IF(LEN($A558)&gt;0,IF(LEN(Declarations!$F558)&gt;0,Declarations!$F558,conftype),"")</f>
        <v/>
      </c>
      <c r="M558" s="297">
        <f>IF(ISNA(VLOOKUP($A558,SprintData,2,FALSE)),0,VLOOKUP($A558,SprintData,2,FALSE))</f>
        <v>0</v>
      </c>
      <c r="N558" s="297">
        <f>IF(ISNA(VLOOKUP($A558,JumpData,2,FALSE)),0,VLOOKUP($A558,JumpData,2,FALSE))</f>
        <v>0</v>
      </c>
      <c r="O558" s="297">
        <f>IF(ISNA(VLOOKUP($A558,RunData,2,FALSE)),0,VLOOKUP($A558,RunData,2,FALSE))</f>
        <v>0</v>
      </c>
      <c r="P558" s="297">
        <f>IF(ISNA(VLOOKUP($A558,ThrowData,2,FALSE)),0,VLOOKUP($A558,ThrowData,2,FALSE))</f>
        <v>0</v>
      </c>
      <c r="Q558" s="298">
        <f>IF(ISNA(VLOOKUP($A558,SprintData,4,FALSE)),0,VLOOKUP($A558,SprintData,4,FALSE))+V558</f>
        <v>0</v>
      </c>
      <c r="R558" s="298">
        <f>IF(ISNA(VLOOKUP($A558,JumpData,4,FALSE)),0,VLOOKUP($A558,JumpData,4,FALSE))+W558</f>
        <v>0</v>
      </c>
      <c r="S558" s="298">
        <f>IF(ISNA(VLOOKUP($A558,RunData,4,FALSE)),0,VLOOKUP($A558,RunData,4,FALSE))+X558</f>
        <v>0</v>
      </c>
      <c r="T558" s="298">
        <f>IF(ISNA(VLOOKUP($A558,ThrowData,4,FALSE)),0,VLOOKUP($A558,ThrowData,4,FALSE))+Y558</f>
        <v>0</v>
      </c>
      <c r="U558" s="299">
        <f t="shared" si="2"/>
        <v>0</v>
      </c>
      <c r="V558">
        <f>IF(AND($F558&gt;0,NOT(M558),Flexing),FlexPC,0)</f>
        <v>0</v>
      </c>
      <c r="W558">
        <f>IF(AND($F558&gt;0,NOT(N558),Flexing),FlexPC,0)</f>
        <v>0</v>
      </c>
      <c r="X558">
        <f>IF(AND($F558&gt;0,NOT(O558),Flexing),FlexPC,0)</f>
        <v>0</v>
      </c>
      <c r="Y558">
        <f>IF(AND($F558&gt;0,NOT(P558),Flexing),FlexPC,0)</f>
        <v>0</v>
      </c>
      <c r="AA558" s="209">
        <f t="shared" si="3"/>
        <v>557</v>
      </c>
    </row>
    <row r="559" ht="15.75" customHeight="1">
      <c r="A559" s="206" t="str">
        <f>+Declarations!A559&amp;""</f>
        <v/>
      </c>
      <c r="B559" t="str">
        <f>IF(LEN($A559),IF(LEN(Declarations!$B559)&gt;0,Declarations!$B559,"#"&amp;$A559),"")</f>
        <v/>
      </c>
      <c r="C559" s="209" t="str">
        <f t="array" ref="C559">IF(LEN(INDEX(DECLARATIONS,$AA559,3))&gt;0,INDEX(DECLARATIONS,$AA559,3),"...")</f>
        <v>...</v>
      </c>
      <c r="D559" s="209" t="str">
        <f t="shared" si="1"/>
        <v/>
      </c>
      <c r="E559" s="296" t="str">
        <f t="array" ref="E559">IF(ISNA($AA559),0,INDEX(DECLARATIONS,$AA559,5))</f>
        <v/>
      </c>
      <c r="F559" s="209" t="str">
        <f t="array" ref="F559">IF(ISNA($AA559),0,INDEX(DECLARATIONS,$AA559,7))</f>
        <v/>
      </c>
      <c r="G559" s="209" t="str">
        <f t="array" ref="G559">UPPER(IF(ISNA($AA559),"",INDEX(DECLARATIONS,$AA559,4)))</f>
        <v/>
      </c>
      <c r="H559" t="str">
        <f>IF(AND(A559&gt;0,ISTEXT(B559)),IF(SECNAME="YES",LEFT(B559&amp;" ",FIND(" ",B559&amp;" ")+2)&amp;IF(F559&gt;0," ("&amp;F559&amp;")",""),B559&amp;IF(F559&gt;0," ("&amp;F559&amp;")","")),"#"&amp;$A559)</f>
        <v/>
      </c>
      <c r="I559" s="209">
        <f>IF(LEN($A559)&gt;0,IF(LEN($J559)&gt;0,MATCH(J559,MatchNames,0),EventIndex),0)</f>
        <v>0</v>
      </c>
      <c r="J559" s="209" t="str">
        <f>IF(LEN($A559)&gt;0,IF(LEN(Declarations!$F559)&gt;0,Declarations!$F559,conftype),"")</f>
        <v/>
      </c>
      <c r="M559" s="297">
        <f>IF(ISNA(VLOOKUP($A559,SprintData,2,FALSE)),0,VLOOKUP($A559,SprintData,2,FALSE))</f>
        <v>0</v>
      </c>
      <c r="N559" s="297">
        <f>IF(ISNA(VLOOKUP($A559,JumpData,2,FALSE)),0,VLOOKUP($A559,JumpData,2,FALSE))</f>
        <v>0</v>
      </c>
      <c r="O559" s="297">
        <f>IF(ISNA(VLOOKUP($A559,RunData,2,FALSE)),0,VLOOKUP($A559,RunData,2,FALSE))</f>
        <v>0</v>
      </c>
      <c r="P559" s="297">
        <f>IF(ISNA(VLOOKUP($A559,ThrowData,2,FALSE)),0,VLOOKUP($A559,ThrowData,2,FALSE))</f>
        <v>0</v>
      </c>
      <c r="Q559" s="298">
        <f>IF(ISNA(VLOOKUP($A559,SprintData,4,FALSE)),0,VLOOKUP($A559,SprintData,4,FALSE))+V559</f>
        <v>0</v>
      </c>
      <c r="R559" s="298">
        <f>IF(ISNA(VLOOKUP($A559,JumpData,4,FALSE)),0,VLOOKUP($A559,JumpData,4,FALSE))+W559</f>
        <v>0</v>
      </c>
      <c r="S559" s="298">
        <f>IF(ISNA(VLOOKUP($A559,RunData,4,FALSE)),0,VLOOKUP($A559,RunData,4,FALSE))+X559</f>
        <v>0</v>
      </c>
      <c r="T559" s="298">
        <f>IF(ISNA(VLOOKUP($A559,ThrowData,4,FALSE)),0,VLOOKUP($A559,ThrowData,4,FALSE))+Y559</f>
        <v>0</v>
      </c>
      <c r="U559" s="299">
        <f t="shared" si="2"/>
        <v>0</v>
      </c>
      <c r="V559">
        <f>IF(AND($F559&gt;0,NOT(M559),Flexing),FlexPC,0)</f>
        <v>0</v>
      </c>
      <c r="W559">
        <f>IF(AND($F559&gt;0,NOT(N559),Flexing),FlexPC,0)</f>
        <v>0</v>
      </c>
      <c r="X559">
        <f>IF(AND($F559&gt;0,NOT(O559),Flexing),FlexPC,0)</f>
        <v>0</v>
      </c>
      <c r="Y559">
        <f>IF(AND($F559&gt;0,NOT(P559),Flexing),FlexPC,0)</f>
        <v>0</v>
      </c>
      <c r="AA559" s="209">
        <f t="shared" si="3"/>
        <v>558</v>
      </c>
    </row>
    <row r="560" ht="15.75" customHeight="1">
      <c r="A560" s="206" t="str">
        <f>+Declarations!A560&amp;""</f>
        <v/>
      </c>
      <c r="B560" t="str">
        <f>IF(LEN($A560),IF(LEN(Declarations!$B560)&gt;0,Declarations!$B560,"#"&amp;$A560),"")</f>
        <v/>
      </c>
      <c r="C560" s="209" t="str">
        <f t="array" ref="C560">IF(LEN(INDEX(DECLARATIONS,$AA560,3))&gt;0,INDEX(DECLARATIONS,$AA560,3),"...")</f>
        <v>...</v>
      </c>
      <c r="D560" s="209" t="str">
        <f t="shared" si="1"/>
        <v/>
      </c>
      <c r="E560" s="296" t="str">
        <f t="array" ref="E560">IF(ISNA($AA560),0,INDEX(DECLARATIONS,$AA560,5))</f>
        <v/>
      </c>
      <c r="F560" s="209" t="str">
        <f t="array" ref="F560">IF(ISNA($AA560),0,INDEX(DECLARATIONS,$AA560,7))</f>
        <v/>
      </c>
      <c r="G560" s="209" t="str">
        <f t="array" ref="G560">UPPER(IF(ISNA($AA560),"",INDEX(DECLARATIONS,$AA560,4)))</f>
        <v/>
      </c>
      <c r="H560" t="str">
        <f>IF(AND(A560&gt;0,ISTEXT(B560)),IF(SECNAME="YES",LEFT(B560&amp;" ",FIND(" ",B560&amp;" ")+2)&amp;IF(F560&gt;0," ("&amp;F560&amp;")",""),B560&amp;IF(F560&gt;0," ("&amp;F560&amp;")","")),"#"&amp;$A560)</f>
        <v/>
      </c>
      <c r="I560" s="209">
        <f>IF(LEN($A560)&gt;0,IF(LEN($J560)&gt;0,MATCH(J560,MatchNames,0),EventIndex),0)</f>
        <v>0</v>
      </c>
      <c r="J560" s="209" t="str">
        <f>IF(LEN($A560)&gt;0,IF(LEN(Declarations!$F560)&gt;0,Declarations!$F560,conftype),"")</f>
        <v/>
      </c>
      <c r="M560" s="297">
        <f>IF(ISNA(VLOOKUP($A560,SprintData,2,FALSE)),0,VLOOKUP($A560,SprintData,2,FALSE))</f>
        <v>0</v>
      </c>
      <c r="N560" s="297">
        <f>IF(ISNA(VLOOKUP($A560,JumpData,2,FALSE)),0,VLOOKUP($A560,JumpData,2,FALSE))</f>
        <v>0</v>
      </c>
      <c r="O560" s="297">
        <f>IF(ISNA(VLOOKUP($A560,RunData,2,FALSE)),0,VLOOKUP($A560,RunData,2,FALSE))</f>
        <v>0</v>
      </c>
      <c r="P560" s="297">
        <f>IF(ISNA(VLOOKUP($A560,ThrowData,2,FALSE)),0,VLOOKUP($A560,ThrowData,2,FALSE))</f>
        <v>0</v>
      </c>
      <c r="Q560" s="298">
        <f>IF(ISNA(VLOOKUP($A560,SprintData,4,FALSE)),0,VLOOKUP($A560,SprintData,4,FALSE))+V560</f>
        <v>0</v>
      </c>
      <c r="R560" s="298">
        <f>IF(ISNA(VLOOKUP($A560,JumpData,4,FALSE)),0,VLOOKUP($A560,JumpData,4,FALSE))+W560</f>
        <v>0</v>
      </c>
      <c r="S560" s="298">
        <f>IF(ISNA(VLOOKUP($A560,RunData,4,FALSE)),0,VLOOKUP($A560,RunData,4,FALSE))+X560</f>
        <v>0</v>
      </c>
      <c r="T560" s="298">
        <f>IF(ISNA(VLOOKUP($A560,ThrowData,4,FALSE)),0,VLOOKUP($A560,ThrowData,4,FALSE))+Y560</f>
        <v>0</v>
      </c>
      <c r="U560" s="299">
        <f t="shared" si="2"/>
        <v>0</v>
      </c>
      <c r="V560">
        <f>IF(AND($F560&gt;0,NOT(M560),Flexing),FlexPC,0)</f>
        <v>0</v>
      </c>
      <c r="W560">
        <f>IF(AND($F560&gt;0,NOT(N560),Flexing),FlexPC,0)</f>
        <v>0</v>
      </c>
      <c r="X560">
        <f>IF(AND($F560&gt;0,NOT(O560),Flexing),FlexPC,0)</f>
        <v>0</v>
      </c>
      <c r="Y560">
        <f>IF(AND($F560&gt;0,NOT(P560),Flexing),FlexPC,0)</f>
        <v>0</v>
      </c>
      <c r="AA560" s="209">
        <f t="shared" si="3"/>
        <v>559</v>
      </c>
    </row>
    <row r="561" ht="15.75" customHeight="1">
      <c r="A561" s="206" t="str">
        <f>+Declarations!A561&amp;""</f>
        <v/>
      </c>
      <c r="B561" t="str">
        <f>IF(LEN($A561),IF(LEN(Declarations!$B561)&gt;0,Declarations!$B561,"#"&amp;$A561),"")</f>
        <v/>
      </c>
      <c r="C561" s="209" t="str">
        <f t="array" ref="C561">IF(LEN(INDEX(DECLARATIONS,$AA561,3))&gt;0,INDEX(DECLARATIONS,$AA561,3),"...")</f>
        <v>...</v>
      </c>
      <c r="D561" s="209" t="str">
        <f t="shared" si="1"/>
        <v/>
      </c>
      <c r="E561" s="296" t="str">
        <f t="array" ref="E561">IF(ISNA($AA561),0,INDEX(DECLARATIONS,$AA561,5))</f>
        <v/>
      </c>
      <c r="F561" s="209" t="str">
        <f t="array" ref="F561">IF(ISNA($AA561),0,INDEX(DECLARATIONS,$AA561,7))</f>
        <v/>
      </c>
      <c r="G561" s="209" t="str">
        <f t="array" ref="G561">UPPER(IF(ISNA($AA561),"",INDEX(DECLARATIONS,$AA561,4)))</f>
        <v/>
      </c>
      <c r="H561" t="str">
        <f>IF(AND(A561&gt;0,ISTEXT(B561)),IF(SECNAME="YES",LEFT(B561&amp;" ",FIND(" ",B561&amp;" ")+2)&amp;IF(F561&gt;0," ("&amp;F561&amp;")",""),B561&amp;IF(F561&gt;0," ("&amp;F561&amp;")","")),"#"&amp;$A561)</f>
        <v/>
      </c>
      <c r="I561" s="209">
        <f>IF(LEN($A561)&gt;0,IF(LEN($J561)&gt;0,MATCH(J561,MatchNames,0),EventIndex),0)</f>
        <v>0</v>
      </c>
      <c r="J561" s="209" t="str">
        <f>IF(LEN($A561)&gt;0,IF(LEN(Declarations!$F561)&gt;0,Declarations!$F561,conftype),"")</f>
        <v/>
      </c>
      <c r="M561" s="297">
        <f>IF(ISNA(VLOOKUP($A561,SprintData,2,FALSE)),0,VLOOKUP($A561,SprintData,2,FALSE))</f>
        <v>0</v>
      </c>
      <c r="N561" s="297">
        <f>IF(ISNA(VLOOKUP($A561,JumpData,2,FALSE)),0,VLOOKUP($A561,JumpData,2,FALSE))</f>
        <v>0</v>
      </c>
      <c r="O561" s="297">
        <f>IF(ISNA(VLOOKUP($A561,RunData,2,FALSE)),0,VLOOKUP($A561,RunData,2,FALSE))</f>
        <v>0</v>
      </c>
      <c r="P561" s="297">
        <f>IF(ISNA(VLOOKUP($A561,ThrowData,2,FALSE)),0,VLOOKUP($A561,ThrowData,2,FALSE))</f>
        <v>0</v>
      </c>
      <c r="Q561" s="298">
        <f>IF(ISNA(VLOOKUP($A561,SprintData,4,FALSE)),0,VLOOKUP($A561,SprintData,4,FALSE))+V561</f>
        <v>0</v>
      </c>
      <c r="R561" s="298">
        <f>IF(ISNA(VLOOKUP($A561,JumpData,4,FALSE)),0,VLOOKUP($A561,JumpData,4,FALSE))+W561</f>
        <v>0</v>
      </c>
      <c r="S561" s="298">
        <f>IF(ISNA(VLOOKUP($A561,RunData,4,FALSE)),0,VLOOKUP($A561,RunData,4,FALSE))+X561</f>
        <v>0</v>
      </c>
      <c r="T561" s="298">
        <f>IF(ISNA(VLOOKUP($A561,ThrowData,4,FALSE)),0,VLOOKUP($A561,ThrowData,4,FALSE))+Y561</f>
        <v>0</v>
      </c>
      <c r="U561" s="299">
        <f t="shared" si="2"/>
        <v>0</v>
      </c>
      <c r="V561">
        <f>IF(AND($F561&gt;0,NOT(M561),Flexing),FlexPC,0)</f>
        <v>0</v>
      </c>
      <c r="W561">
        <f>IF(AND($F561&gt;0,NOT(N561),Flexing),FlexPC,0)</f>
        <v>0</v>
      </c>
      <c r="X561">
        <f>IF(AND($F561&gt;0,NOT(O561),Flexing),FlexPC,0)</f>
        <v>0</v>
      </c>
      <c r="Y561">
        <f>IF(AND($F561&gt;0,NOT(P561),Flexing),FlexPC,0)</f>
        <v>0</v>
      </c>
      <c r="AA561" s="209">
        <f t="shared" si="3"/>
        <v>560</v>
      </c>
    </row>
    <row r="562" ht="15.75" customHeight="1">
      <c r="A562" s="206" t="str">
        <f>+Declarations!A562&amp;""</f>
        <v/>
      </c>
      <c r="B562" t="str">
        <f>IF(LEN($A562),IF(LEN(Declarations!$B562)&gt;0,Declarations!$B562,"#"&amp;$A562),"")</f>
        <v/>
      </c>
      <c r="C562" s="209" t="str">
        <f t="array" ref="C562">IF(LEN(INDEX(DECLARATIONS,$AA562,3))&gt;0,INDEX(DECLARATIONS,$AA562,3),"...")</f>
        <v>...</v>
      </c>
      <c r="D562" s="209" t="str">
        <f t="shared" si="1"/>
        <v/>
      </c>
      <c r="E562" s="296" t="str">
        <f t="array" ref="E562">IF(ISNA($AA562),0,INDEX(DECLARATIONS,$AA562,5))</f>
        <v/>
      </c>
      <c r="F562" s="209" t="str">
        <f t="array" ref="F562">IF(ISNA($AA562),0,INDEX(DECLARATIONS,$AA562,7))</f>
        <v/>
      </c>
      <c r="G562" s="209" t="str">
        <f t="array" ref="G562">UPPER(IF(ISNA($AA562),"",INDEX(DECLARATIONS,$AA562,4)))</f>
        <v/>
      </c>
      <c r="H562" t="str">
        <f>IF(AND(A562&gt;0,ISTEXT(B562)),IF(SECNAME="YES",LEFT(B562&amp;" ",FIND(" ",B562&amp;" ")+2)&amp;IF(F562&gt;0," ("&amp;F562&amp;")",""),B562&amp;IF(F562&gt;0," ("&amp;F562&amp;")","")),"#"&amp;$A562)</f>
        <v/>
      </c>
      <c r="I562" s="209">
        <f>IF(LEN($A562)&gt;0,IF(LEN($J562)&gt;0,MATCH(J562,MatchNames,0),EventIndex),0)</f>
        <v>0</v>
      </c>
      <c r="J562" s="209" t="str">
        <f>IF(LEN($A562)&gt;0,IF(LEN(Declarations!$F562)&gt;0,Declarations!$F562,conftype),"")</f>
        <v/>
      </c>
      <c r="M562" s="297">
        <f>IF(ISNA(VLOOKUP($A562,SprintData,2,FALSE)),0,VLOOKUP($A562,SprintData,2,FALSE))</f>
        <v>0</v>
      </c>
      <c r="N562" s="297">
        <f>IF(ISNA(VLOOKUP($A562,JumpData,2,FALSE)),0,VLOOKUP($A562,JumpData,2,FALSE))</f>
        <v>0</v>
      </c>
      <c r="O562" s="297">
        <f>IF(ISNA(VLOOKUP($A562,RunData,2,FALSE)),0,VLOOKUP($A562,RunData,2,FALSE))</f>
        <v>0</v>
      </c>
      <c r="P562" s="297">
        <f>IF(ISNA(VLOOKUP($A562,ThrowData,2,FALSE)),0,VLOOKUP($A562,ThrowData,2,FALSE))</f>
        <v>0</v>
      </c>
      <c r="Q562" s="298">
        <f>IF(ISNA(VLOOKUP($A562,SprintData,4,FALSE)),0,VLOOKUP($A562,SprintData,4,FALSE))+V562</f>
        <v>0</v>
      </c>
      <c r="R562" s="298">
        <f>IF(ISNA(VLOOKUP($A562,JumpData,4,FALSE)),0,VLOOKUP($A562,JumpData,4,FALSE))+W562</f>
        <v>0</v>
      </c>
      <c r="S562" s="298">
        <f>IF(ISNA(VLOOKUP($A562,RunData,4,FALSE)),0,VLOOKUP($A562,RunData,4,FALSE))+X562</f>
        <v>0</v>
      </c>
      <c r="T562" s="298">
        <f>IF(ISNA(VLOOKUP($A562,ThrowData,4,FALSE)),0,VLOOKUP($A562,ThrowData,4,FALSE))+Y562</f>
        <v>0</v>
      </c>
      <c r="U562" s="299">
        <f t="shared" si="2"/>
        <v>0</v>
      </c>
      <c r="V562">
        <f>IF(AND($F562&gt;0,NOT(M562),Flexing),FlexPC,0)</f>
        <v>0</v>
      </c>
      <c r="W562">
        <f>IF(AND($F562&gt;0,NOT(N562),Flexing),FlexPC,0)</f>
        <v>0</v>
      </c>
      <c r="X562">
        <f>IF(AND($F562&gt;0,NOT(O562),Flexing),FlexPC,0)</f>
        <v>0</v>
      </c>
      <c r="Y562">
        <f>IF(AND($F562&gt;0,NOT(P562),Flexing),FlexPC,0)</f>
        <v>0</v>
      </c>
      <c r="AA562" s="209">
        <f t="shared" si="3"/>
        <v>561</v>
      </c>
    </row>
    <row r="563" ht="15.75" customHeight="1">
      <c r="A563" s="206" t="str">
        <f>+Declarations!A563&amp;""</f>
        <v/>
      </c>
      <c r="B563" t="str">
        <f>IF(LEN($A563),IF(LEN(Declarations!$B563)&gt;0,Declarations!$B563,"#"&amp;$A563),"")</f>
        <v/>
      </c>
      <c r="C563" s="209" t="str">
        <f t="array" ref="C563">IF(LEN(INDEX(DECLARATIONS,$AA563,3))&gt;0,INDEX(DECLARATIONS,$AA563,3),"...")</f>
        <v>...</v>
      </c>
      <c r="D563" s="209" t="str">
        <f t="shared" si="1"/>
        <v/>
      </c>
      <c r="E563" s="296" t="str">
        <f t="array" ref="E563">IF(ISNA($AA563),0,INDEX(DECLARATIONS,$AA563,5))</f>
        <v/>
      </c>
      <c r="F563" s="209" t="str">
        <f t="array" ref="F563">IF(ISNA($AA563),0,INDEX(DECLARATIONS,$AA563,7))</f>
        <v/>
      </c>
      <c r="G563" s="209" t="str">
        <f t="array" ref="G563">UPPER(IF(ISNA($AA563),"",INDEX(DECLARATIONS,$AA563,4)))</f>
        <v/>
      </c>
      <c r="H563" t="str">
        <f>IF(AND(A563&gt;0,ISTEXT(B563)),IF(SECNAME="YES",LEFT(B563&amp;" ",FIND(" ",B563&amp;" ")+2)&amp;IF(F563&gt;0," ("&amp;F563&amp;")",""),B563&amp;IF(F563&gt;0," ("&amp;F563&amp;")","")),"#"&amp;$A563)</f>
        <v/>
      </c>
      <c r="I563" s="209">
        <f>IF(LEN($A563)&gt;0,IF(LEN($J563)&gt;0,MATCH(J563,MatchNames,0),EventIndex),0)</f>
        <v>0</v>
      </c>
      <c r="J563" s="209" t="str">
        <f>IF(LEN($A563)&gt;0,IF(LEN(Declarations!$F563)&gt;0,Declarations!$F563,conftype),"")</f>
        <v/>
      </c>
      <c r="M563" s="297">
        <f>IF(ISNA(VLOOKUP($A563,SprintData,2,FALSE)),0,VLOOKUP($A563,SprintData,2,FALSE))</f>
        <v>0</v>
      </c>
      <c r="N563" s="297">
        <f>IF(ISNA(VLOOKUP($A563,JumpData,2,FALSE)),0,VLOOKUP($A563,JumpData,2,FALSE))</f>
        <v>0</v>
      </c>
      <c r="O563" s="297">
        <f>IF(ISNA(VLOOKUP($A563,RunData,2,FALSE)),0,VLOOKUP($A563,RunData,2,FALSE))</f>
        <v>0</v>
      </c>
      <c r="P563" s="297">
        <f>IF(ISNA(VLOOKUP($A563,ThrowData,2,FALSE)),0,VLOOKUP($A563,ThrowData,2,FALSE))</f>
        <v>0</v>
      </c>
      <c r="Q563" s="298">
        <f>IF(ISNA(VLOOKUP($A563,SprintData,4,FALSE)),0,VLOOKUP($A563,SprintData,4,FALSE))+V563</f>
        <v>0</v>
      </c>
      <c r="R563" s="298">
        <f>IF(ISNA(VLOOKUP($A563,JumpData,4,FALSE)),0,VLOOKUP($A563,JumpData,4,FALSE))+W563</f>
        <v>0</v>
      </c>
      <c r="S563" s="298">
        <f>IF(ISNA(VLOOKUP($A563,RunData,4,FALSE)),0,VLOOKUP($A563,RunData,4,FALSE))+X563</f>
        <v>0</v>
      </c>
      <c r="T563" s="298">
        <f>IF(ISNA(VLOOKUP($A563,ThrowData,4,FALSE)),0,VLOOKUP($A563,ThrowData,4,FALSE))+Y563</f>
        <v>0</v>
      </c>
      <c r="U563" s="299">
        <f t="shared" si="2"/>
        <v>0</v>
      </c>
      <c r="V563">
        <f>IF(AND($F563&gt;0,NOT(M563),Flexing),FlexPC,0)</f>
        <v>0</v>
      </c>
      <c r="W563">
        <f>IF(AND($F563&gt;0,NOT(N563),Flexing),FlexPC,0)</f>
        <v>0</v>
      </c>
      <c r="X563">
        <f>IF(AND($F563&gt;0,NOT(O563),Flexing),FlexPC,0)</f>
        <v>0</v>
      </c>
      <c r="Y563">
        <f>IF(AND($F563&gt;0,NOT(P563),Flexing),FlexPC,0)</f>
        <v>0</v>
      </c>
      <c r="AA563" s="209">
        <f t="shared" si="3"/>
        <v>562</v>
      </c>
    </row>
    <row r="564" ht="15.75" customHeight="1">
      <c r="A564" s="206" t="str">
        <f>+Declarations!A564&amp;""</f>
        <v/>
      </c>
      <c r="B564" t="str">
        <f>IF(LEN($A564),IF(LEN(Declarations!$B564)&gt;0,Declarations!$B564,"#"&amp;$A564),"")</f>
        <v/>
      </c>
      <c r="C564" s="209" t="str">
        <f t="array" ref="C564">IF(LEN(INDEX(DECLARATIONS,$AA564,3))&gt;0,INDEX(DECLARATIONS,$AA564,3),"...")</f>
        <v>...</v>
      </c>
      <c r="D564" s="209" t="str">
        <f t="shared" si="1"/>
        <v/>
      </c>
      <c r="E564" s="296" t="str">
        <f t="array" ref="E564">IF(ISNA($AA564),0,INDEX(DECLARATIONS,$AA564,5))</f>
        <v/>
      </c>
      <c r="F564" s="209" t="str">
        <f t="array" ref="F564">IF(ISNA($AA564),0,INDEX(DECLARATIONS,$AA564,7))</f>
        <v/>
      </c>
      <c r="G564" s="209" t="str">
        <f t="array" ref="G564">UPPER(IF(ISNA($AA564),"",INDEX(DECLARATIONS,$AA564,4)))</f>
        <v/>
      </c>
      <c r="H564" t="str">
        <f>IF(AND(A564&gt;0,ISTEXT(B564)),IF(SECNAME="YES",LEFT(B564&amp;" ",FIND(" ",B564&amp;" ")+2)&amp;IF(F564&gt;0," ("&amp;F564&amp;")",""),B564&amp;IF(F564&gt;0," ("&amp;F564&amp;")","")),"#"&amp;$A564)</f>
        <v/>
      </c>
      <c r="I564" s="209">
        <f>IF(LEN($A564)&gt;0,IF(LEN($J564)&gt;0,MATCH(J564,MatchNames,0),EventIndex),0)</f>
        <v>0</v>
      </c>
      <c r="J564" s="209" t="str">
        <f>IF(LEN($A564)&gt;0,IF(LEN(Declarations!$F564)&gt;0,Declarations!$F564,conftype),"")</f>
        <v/>
      </c>
      <c r="M564" s="297">
        <f>IF(ISNA(VLOOKUP($A564,SprintData,2,FALSE)),0,VLOOKUP($A564,SprintData,2,FALSE))</f>
        <v>0</v>
      </c>
      <c r="N564" s="297">
        <f>IF(ISNA(VLOOKUP($A564,JumpData,2,FALSE)),0,VLOOKUP($A564,JumpData,2,FALSE))</f>
        <v>0</v>
      </c>
      <c r="O564" s="297">
        <f>IF(ISNA(VLOOKUP($A564,RunData,2,FALSE)),0,VLOOKUP($A564,RunData,2,FALSE))</f>
        <v>0</v>
      </c>
      <c r="P564" s="297">
        <f>IF(ISNA(VLOOKUP($A564,ThrowData,2,FALSE)),0,VLOOKUP($A564,ThrowData,2,FALSE))</f>
        <v>0</v>
      </c>
      <c r="Q564" s="298">
        <f>IF(ISNA(VLOOKUP($A564,SprintData,4,FALSE)),0,VLOOKUP($A564,SprintData,4,FALSE))+V564</f>
        <v>0</v>
      </c>
      <c r="R564" s="298">
        <f>IF(ISNA(VLOOKUP($A564,JumpData,4,FALSE)),0,VLOOKUP($A564,JumpData,4,FALSE))+W564</f>
        <v>0</v>
      </c>
      <c r="S564" s="298">
        <f>IF(ISNA(VLOOKUP($A564,RunData,4,FALSE)),0,VLOOKUP($A564,RunData,4,FALSE))+X564</f>
        <v>0</v>
      </c>
      <c r="T564" s="298">
        <f>IF(ISNA(VLOOKUP($A564,ThrowData,4,FALSE)),0,VLOOKUP($A564,ThrowData,4,FALSE))+Y564</f>
        <v>0</v>
      </c>
      <c r="U564" s="299">
        <f t="shared" si="2"/>
        <v>0</v>
      </c>
      <c r="V564">
        <f>IF(AND($F564&gt;0,NOT(M564),Flexing),FlexPC,0)</f>
        <v>0</v>
      </c>
      <c r="W564">
        <f>IF(AND($F564&gt;0,NOT(N564),Flexing),FlexPC,0)</f>
        <v>0</v>
      </c>
      <c r="X564">
        <f>IF(AND($F564&gt;0,NOT(O564),Flexing),FlexPC,0)</f>
        <v>0</v>
      </c>
      <c r="Y564">
        <f>IF(AND($F564&gt;0,NOT(P564),Flexing),FlexPC,0)</f>
        <v>0</v>
      </c>
      <c r="AA564" s="209">
        <f t="shared" si="3"/>
        <v>563</v>
      </c>
    </row>
    <row r="565" ht="15.75" customHeight="1">
      <c r="A565" s="206" t="str">
        <f>+Declarations!A565&amp;""</f>
        <v/>
      </c>
      <c r="B565" t="str">
        <f>IF(LEN($A565),IF(LEN(Declarations!$B565)&gt;0,Declarations!$B565,"#"&amp;$A565),"")</f>
        <v/>
      </c>
      <c r="C565" s="209" t="str">
        <f t="array" ref="C565">IF(LEN(INDEX(DECLARATIONS,$AA565,3))&gt;0,INDEX(DECLARATIONS,$AA565,3),"...")</f>
        <v>...</v>
      </c>
      <c r="D565" s="209" t="str">
        <f t="shared" si="1"/>
        <v/>
      </c>
      <c r="E565" s="296" t="str">
        <f t="array" ref="E565">IF(ISNA($AA565),0,INDEX(DECLARATIONS,$AA565,5))</f>
        <v/>
      </c>
      <c r="F565" s="209" t="str">
        <f t="array" ref="F565">IF(ISNA($AA565),0,INDEX(DECLARATIONS,$AA565,7))</f>
        <v/>
      </c>
      <c r="G565" s="209" t="str">
        <f t="array" ref="G565">UPPER(IF(ISNA($AA565),"",INDEX(DECLARATIONS,$AA565,4)))</f>
        <v/>
      </c>
      <c r="H565" t="str">
        <f>IF(AND(A565&gt;0,ISTEXT(B565)),IF(SECNAME="YES",LEFT(B565&amp;" ",FIND(" ",B565&amp;" ")+2)&amp;IF(F565&gt;0," ("&amp;F565&amp;")",""),B565&amp;IF(F565&gt;0," ("&amp;F565&amp;")","")),"#"&amp;$A565)</f>
        <v/>
      </c>
      <c r="I565" s="209">
        <f>IF(LEN($A565)&gt;0,IF(LEN($J565)&gt;0,MATCH(J565,MatchNames,0),EventIndex),0)</f>
        <v>0</v>
      </c>
      <c r="J565" s="209" t="str">
        <f>IF(LEN($A565)&gt;0,IF(LEN(Declarations!$F565)&gt;0,Declarations!$F565,conftype),"")</f>
        <v/>
      </c>
      <c r="M565" s="297">
        <f>IF(ISNA(VLOOKUP($A565,SprintData,2,FALSE)),0,VLOOKUP($A565,SprintData,2,FALSE))</f>
        <v>0</v>
      </c>
      <c r="N565" s="297">
        <f>IF(ISNA(VLOOKUP($A565,JumpData,2,FALSE)),0,VLOOKUP($A565,JumpData,2,FALSE))</f>
        <v>0</v>
      </c>
      <c r="O565" s="297">
        <f>IF(ISNA(VLOOKUP($A565,RunData,2,FALSE)),0,VLOOKUP($A565,RunData,2,FALSE))</f>
        <v>0</v>
      </c>
      <c r="P565" s="297">
        <f>IF(ISNA(VLOOKUP($A565,ThrowData,2,FALSE)),0,VLOOKUP($A565,ThrowData,2,FALSE))</f>
        <v>0</v>
      </c>
      <c r="Q565" s="298">
        <f>IF(ISNA(VLOOKUP($A565,SprintData,4,FALSE)),0,VLOOKUP($A565,SprintData,4,FALSE))+V565</f>
        <v>0</v>
      </c>
      <c r="R565" s="298">
        <f>IF(ISNA(VLOOKUP($A565,JumpData,4,FALSE)),0,VLOOKUP($A565,JumpData,4,FALSE))+W565</f>
        <v>0</v>
      </c>
      <c r="S565" s="298">
        <f>IF(ISNA(VLOOKUP($A565,RunData,4,FALSE)),0,VLOOKUP($A565,RunData,4,FALSE))+X565</f>
        <v>0</v>
      </c>
      <c r="T565" s="298">
        <f>IF(ISNA(VLOOKUP($A565,ThrowData,4,FALSE)),0,VLOOKUP($A565,ThrowData,4,FALSE))+Y565</f>
        <v>0</v>
      </c>
      <c r="U565" s="299">
        <f t="shared" si="2"/>
        <v>0</v>
      </c>
      <c r="V565">
        <f>IF(AND($F565&gt;0,NOT(M565),Flexing),FlexPC,0)</f>
        <v>0</v>
      </c>
      <c r="W565">
        <f>IF(AND($F565&gt;0,NOT(N565),Flexing),FlexPC,0)</f>
        <v>0</v>
      </c>
      <c r="X565">
        <f>IF(AND($F565&gt;0,NOT(O565),Flexing),FlexPC,0)</f>
        <v>0</v>
      </c>
      <c r="Y565">
        <f>IF(AND($F565&gt;0,NOT(P565),Flexing),FlexPC,0)</f>
        <v>0</v>
      </c>
      <c r="AA565" s="209">
        <f t="shared" si="3"/>
        <v>564</v>
      </c>
    </row>
    <row r="566" ht="15.75" customHeight="1">
      <c r="A566" s="206" t="str">
        <f>+Declarations!A566&amp;""</f>
        <v/>
      </c>
      <c r="B566" t="str">
        <f>IF(LEN($A566),IF(LEN(Declarations!$B566)&gt;0,Declarations!$B566,"#"&amp;$A566),"")</f>
        <v/>
      </c>
      <c r="C566" s="209" t="str">
        <f t="array" ref="C566">IF(LEN(INDEX(DECLARATIONS,$AA566,3))&gt;0,INDEX(DECLARATIONS,$AA566,3),"...")</f>
        <v>...</v>
      </c>
      <c r="D566" s="209" t="str">
        <f t="shared" si="1"/>
        <v/>
      </c>
      <c r="E566" s="296" t="str">
        <f t="array" ref="E566">IF(ISNA($AA566),0,INDEX(DECLARATIONS,$AA566,5))</f>
        <v/>
      </c>
      <c r="F566" s="209" t="str">
        <f t="array" ref="F566">IF(ISNA($AA566),0,INDEX(DECLARATIONS,$AA566,7))</f>
        <v/>
      </c>
      <c r="G566" s="209" t="str">
        <f t="array" ref="G566">UPPER(IF(ISNA($AA566),"",INDEX(DECLARATIONS,$AA566,4)))</f>
        <v/>
      </c>
      <c r="H566" t="str">
        <f>IF(AND(A566&gt;0,ISTEXT(B566)),IF(SECNAME="YES",LEFT(B566&amp;" ",FIND(" ",B566&amp;" ")+2)&amp;IF(F566&gt;0," ("&amp;F566&amp;")",""),B566&amp;IF(F566&gt;0," ("&amp;F566&amp;")","")),"#"&amp;$A566)</f>
        <v/>
      </c>
      <c r="I566" s="209">
        <f>IF(LEN($A566)&gt;0,IF(LEN($J566)&gt;0,MATCH(J566,MatchNames,0),EventIndex),0)</f>
        <v>0</v>
      </c>
      <c r="J566" s="209" t="str">
        <f>IF(LEN($A566)&gt;0,IF(LEN(Declarations!$F566)&gt;0,Declarations!$F566,conftype),"")</f>
        <v/>
      </c>
      <c r="M566" s="297">
        <f>IF(ISNA(VLOOKUP($A566,SprintData,2,FALSE)),0,VLOOKUP($A566,SprintData,2,FALSE))</f>
        <v>0</v>
      </c>
      <c r="N566" s="297">
        <f>IF(ISNA(VLOOKUP($A566,JumpData,2,FALSE)),0,VLOOKUP($A566,JumpData,2,FALSE))</f>
        <v>0</v>
      </c>
      <c r="O566" s="297">
        <f>IF(ISNA(VLOOKUP($A566,RunData,2,FALSE)),0,VLOOKUP($A566,RunData,2,FALSE))</f>
        <v>0</v>
      </c>
      <c r="P566" s="297">
        <f>IF(ISNA(VLOOKUP($A566,ThrowData,2,FALSE)),0,VLOOKUP($A566,ThrowData,2,FALSE))</f>
        <v>0</v>
      </c>
      <c r="Q566" s="298">
        <f>IF(ISNA(VLOOKUP($A566,SprintData,4,FALSE)),0,VLOOKUP($A566,SprintData,4,FALSE))+V566</f>
        <v>0</v>
      </c>
      <c r="R566" s="298">
        <f>IF(ISNA(VLOOKUP($A566,JumpData,4,FALSE)),0,VLOOKUP($A566,JumpData,4,FALSE))+W566</f>
        <v>0</v>
      </c>
      <c r="S566" s="298">
        <f>IF(ISNA(VLOOKUP($A566,RunData,4,FALSE)),0,VLOOKUP($A566,RunData,4,FALSE))+X566</f>
        <v>0</v>
      </c>
      <c r="T566" s="298">
        <f>IF(ISNA(VLOOKUP($A566,ThrowData,4,FALSE)),0,VLOOKUP($A566,ThrowData,4,FALSE))+Y566</f>
        <v>0</v>
      </c>
      <c r="U566" s="299">
        <f t="shared" si="2"/>
        <v>0</v>
      </c>
      <c r="V566">
        <f>IF(AND($F566&gt;0,NOT(M566),Flexing),FlexPC,0)</f>
        <v>0</v>
      </c>
      <c r="W566">
        <f>IF(AND($F566&gt;0,NOT(N566),Flexing),FlexPC,0)</f>
        <v>0</v>
      </c>
      <c r="X566">
        <f>IF(AND($F566&gt;0,NOT(O566),Flexing),FlexPC,0)</f>
        <v>0</v>
      </c>
      <c r="Y566">
        <f>IF(AND($F566&gt;0,NOT(P566),Flexing),FlexPC,0)</f>
        <v>0</v>
      </c>
      <c r="AA566" s="209">
        <f t="shared" si="3"/>
        <v>565</v>
      </c>
    </row>
    <row r="567" ht="15.75" customHeight="1">
      <c r="A567" s="206" t="str">
        <f>+Declarations!A567&amp;""</f>
        <v/>
      </c>
      <c r="B567" t="str">
        <f>IF(LEN($A567),IF(LEN(Declarations!$B567)&gt;0,Declarations!$B567,"#"&amp;$A567),"")</f>
        <v/>
      </c>
      <c r="C567" s="209" t="str">
        <f t="array" ref="C567">IF(LEN(INDEX(DECLARATIONS,$AA567,3))&gt;0,INDEX(DECLARATIONS,$AA567,3),"...")</f>
        <v>...</v>
      </c>
      <c r="D567" s="209" t="str">
        <f t="shared" si="1"/>
        <v/>
      </c>
      <c r="E567" s="296" t="str">
        <f t="array" ref="E567">IF(ISNA($AA567),0,INDEX(DECLARATIONS,$AA567,5))</f>
        <v/>
      </c>
      <c r="F567" s="209" t="str">
        <f t="array" ref="F567">IF(ISNA($AA567),0,INDEX(DECLARATIONS,$AA567,7))</f>
        <v/>
      </c>
      <c r="G567" s="209" t="str">
        <f t="array" ref="G567">UPPER(IF(ISNA($AA567),"",INDEX(DECLARATIONS,$AA567,4)))</f>
        <v/>
      </c>
      <c r="H567" t="str">
        <f>IF(AND(A567&gt;0,ISTEXT(B567)),IF(SECNAME="YES",LEFT(B567&amp;" ",FIND(" ",B567&amp;" ")+2)&amp;IF(F567&gt;0," ("&amp;F567&amp;")",""),B567&amp;IF(F567&gt;0," ("&amp;F567&amp;")","")),"#"&amp;$A567)</f>
        <v/>
      </c>
      <c r="I567" s="209">
        <f>IF(LEN($A567)&gt;0,IF(LEN($J567)&gt;0,MATCH(J567,MatchNames,0),EventIndex),0)</f>
        <v>0</v>
      </c>
      <c r="J567" s="209" t="str">
        <f>IF(LEN($A567)&gt;0,IF(LEN(Declarations!$F567)&gt;0,Declarations!$F567,conftype),"")</f>
        <v/>
      </c>
      <c r="M567" s="297">
        <f>IF(ISNA(VLOOKUP($A567,SprintData,2,FALSE)),0,VLOOKUP($A567,SprintData,2,FALSE))</f>
        <v>0</v>
      </c>
      <c r="N567" s="297">
        <f>IF(ISNA(VLOOKUP($A567,JumpData,2,FALSE)),0,VLOOKUP($A567,JumpData,2,FALSE))</f>
        <v>0</v>
      </c>
      <c r="O567" s="297">
        <f>IF(ISNA(VLOOKUP($A567,RunData,2,FALSE)),0,VLOOKUP($A567,RunData,2,FALSE))</f>
        <v>0</v>
      </c>
      <c r="P567" s="297">
        <f>IF(ISNA(VLOOKUP($A567,ThrowData,2,FALSE)),0,VLOOKUP($A567,ThrowData,2,FALSE))</f>
        <v>0</v>
      </c>
      <c r="Q567" s="298">
        <f>IF(ISNA(VLOOKUP($A567,SprintData,4,FALSE)),0,VLOOKUP($A567,SprintData,4,FALSE))+V567</f>
        <v>0</v>
      </c>
      <c r="R567" s="298">
        <f>IF(ISNA(VLOOKUP($A567,JumpData,4,FALSE)),0,VLOOKUP($A567,JumpData,4,FALSE))+W567</f>
        <v>0</v>
      </c>
      <c r="S567" s="298">
        <f>IF(ISNA(VLOOKUP($A567,RunData,4,FALSE)),0,VLOOKUP($A567,RunData,4,FALSE))+X567</f>
        <v>0</v>
      </c>
      <c r="T567" s="298">
        <f>IF(ISNA(VLOOKUP($A567,ThrowData,4,FALSE)),0,VLOOKUP($A567,ThrowData,4,FALSE))+Y567</f>
        <v>0</v>
      </c>
      <c r="U567" s="299">
        <f t="shared" si="2"/>
        <v>0</v>
      </c>
      <c r="V567">
        <f>IF(AND($F567&gt;0,NOT(M567),Flexing),FlexPC,0)</f>
        <v>0</v>
      </c>
      <c r="W567">
        <f>IF(AND($F567&gt;0,NOT(N567),Flexing),FlexPC,0)</f>
        <v>0</v>
      </c>
      <c r="X567">
        <f>IF(AND($F567&gt;0,NOT(O567),Flexing),FlexPC,0)</f>
        <v>0</v>
      </c>
      <c r="Y567">
        <f>IF(AND($F567&gt;0,NOT(P567),Flexing),FlexPC,0)</f>
        <v>0</v>
      </c>
      <c r="AA567" s="209">
        <f t="shared" si="3"/>
        <v>566</v>
      </c>
    </row>
    <row r="568" ht="15.75" customHeight="1">
      <c r="A568" s="206" t="str">
        <f>+Declarations!A568&amp;""</f>
        <v/>
      </c>
      <c r="B568" t="str">
        <f>IF(LEN($A568),IF(LEN(Declarations!$B568)&gt;0,Declarations!$B568,"#"&amp;$A568),"")</f>
        <v/>
      </c>
      <c r="C568" s="209" t="str">
        <f t="array" ref="C568">IF(LEN(INDEX(DECLARATIONS,$AA568,3))&gt;0,INDEX(DECLARATIONS,$AA568,3),"...")</f>
        <v>...</v>
      </c>
      <c r="D568" s="209" t="str">
        <f t="shared" si="1"/>
        <v/>
      </c>
      <c r="E568" s="296" t="str">
        <f t="array" ref="E568">IF(ISNA($AA568),0,INDEX(DECLARATIONS,$AA568,5))</f>
        <v/>
      </c>
      <c r="F568" s="209" t="str">
        <f t="array" ref="F568">IF(ISNA($AA568),0,INDEX(DECLARATIONS,$AA568,7))</f>
        <v/>
      </c>
      <c r="G568" s="209" t="str">
        <f t="array" ref="G568">UPPER(IF(ISNA($AA568),"",INDEX(DECLARATIONS,$AA568,4)))</f>
        <v/>
      </c>
      <c r="H568" t="str">
        <f>IF(AND(A568&gt;0,ISTEXT(B568)),IF(SECNAME="YES",LEFT(B568&amp;" ",FIND(" ",B568&amp;" ")+2)&amp;IF(F568&gt;0," ("&amp;F568&amp;")",""),B568&amp;IF(F568&gt;0," ("&amp;F568&amp;")","")),"#"&amp;$A568)</f>
        <v/>
      </c>
      <c r="I568" s="209">
        <f>IF(LEN($A568)&gt;0,IF(LEN($J568)&gt;0,MATCH(J568,MatchNames,0),EventIndex),0)</f>
        <v>0</v>
      </c>
      <c r="J568" s="209" t="str">
        <f>IF(LEN($A568)&gt;0,IF(LEN(Declarations!$F568)&gt;0,Declarations!$F568,conftype),"")</f>
        <v/>
      </c>
      <c r="M568" s="297">
        <f>IF(ISNA(VLOOKUP($A568,SprintData,2,FALSE)),0,VLOOKUP($A568,SprintData,2,FALSE))</f>
        <v>0</v>
      </c>
      <c r="N568" s="297">
        <f>IF(ISNA(VLOOKUP($A568,JumpData,2,FALSE)),0,VLOOKUP($A568,JumpData,2,FALSE))</f>
        <v>0</v>
      </c>
      <c r="O568" s="297">
        <f>IF(ISNA(VLOOKUP($A568,RunData,2,FALSE)),0,VLOOKUP($A568,RunData,2,FALSE))</f>
        <v>0</v>
      </c>
      <c r="P568" s="297">
        <f>IF(ISNA(VLOOKUP($A568,ThrowData,2,FALSE)),0,VLOOKUP($A568,ThrowData,2,FALSE))</f>
        <v>0</v>
      </c>
      <c r="Q568" s="298">
        <f>IF(ISNA(VLOOKUP($A568,SprintData,4,FALSE)),0,VLOOKUP($A568,SprintData,4,FALSE))+V568</f>
        <v>0</v>
      </c>
      <c r="R568" s="298">
        <f>IF(ISNA(VLOOKUP($A568,JumpData,4,FALSE)),0,VLOOKUP($A568,JumpData,4,FALSE))+W568</f>
        <v>0</v>
      </c>
      <c r="S568" s="298">
        <f>IF(ISNA(VLOOKUP($A568,RunData,4,FALSE)),0,VLOOKUP($A568,RunData,4,FALSE))+X568</f>
        <v>0</v>
      </c>
      <c r="T568" s="298">
        <f>IF(ISNA(VLOOKUP($A568,ThrowData,4,FALSE)),0,VLOOKUP($A568,ThrowData,4,FALSE))+Y568</f>
        <v>0</v>
      </c>
      <c r="U568" s="299">
        <f t="shared" si="2"/>
        <v>0</v>
      </c>
      <c r="V568">
        <f>IF(AND($F568&gt;0,NOT(M568),Flexing),FlexPC,0)</f>
        <v>0</v>
      </c>
      <c r="W568">
        <f>IF(AND($F568&gt;0,NOT(N568),Flexing),FlexPC,0)</f>
        <v>0</v>
      </c>
      <c r="X568">
        <f>IF(AND($F568&gt;0,NOT(O568),Flexing),FlexPC,0)</f>
        <v>0</v>
      </c>
      <c r="Y568">
        <f>IF(AND($F568&gt;0,NOT(P568),Flexing),FlexPC,0)</f>
        <v>0</v>
      </c>
      <c r="AA568" s="209">
        <f t="shared" si="3"/>
        <v>567</v>
      </c>
    </row>
    <row r="569" ht="15.75" customHeight="1">
      <c r="A569" s="206" t="str">
        <f>+Declarations!A569&amp;""</f>
        <v/>
      </c>
      <c r="B569" t="str">
        <f>IF(LEN($A569),IF(LEN(Declarations!$B569)&gt;0,Declarations!$B569,"#"&amp;$A569),"")</f>
        <v/>
      </c>
      <c r="C569" s="209" t="str">
        <f t="array" ref="C569">IF(LEN(INDEX(DECLARATIONS,$AA569,3))&gt;0,INDEX(DECLARATIONS,$AA569,3),"...")</f>
        <v>...</v>
      </c>
      <c r="D569" s="209" t="str">
        <f t="shared" si="1"/>
        <v/>
      </c>
      <c r="E569" s="296" t="str">
        <f t="array" ref="E569">IF(ISNA($AA569),0,INDEX(DECLARATIONS,$AA569,5))</f>
        <v/>
      </c>
      <c r="F569" s="209" t="str">
        <f t="array" ref="F569">IF(ISNA($AA569),0,INDEX(DECLARATIONS,$AA569,7))</f>
        <v/>
      </c>
      <c r="G569" s="209" t="str">
        <f t="array" ref="G569">UPPER(IF(ISNA($AA569),"",INDEX(DECLARATIONS,$AA569,4)))</f>
        <v/>
      </c>
      <c r="H569" t="str">
        <f>IF(AND(A569&gt;0,ISTEXT(B569)),IF(SECNAME="YES",LEFT(B569&amp;" ",FIND(" ",B569&amp;" ")+2)&amp;IF(F569&gt;0," ("&amp;F569&amp;")",""),B569&amp;IF(F569&gt;0," ("&amp;F569&amp;")","")),"#"&amp;$A569)</f>
        <v/>
      </c>
      <c r="I569" s="209">
        <f>IF(LEN($A569)&gt;0,IF(LEN($J569)&gt;0,MATCH(J569,MatchNames,0),EventIndex),0)</f>
        <v>0</v>
      </c>
      <c r="J569" s="209" t="str">
        <f>IF(LEN($A569)&gt;0,IF(LEN(Declarations!$F569)&gt;0,Declarations!$F569,conftype),"")</f>
        <v/>
      </c>
      <c r="M569" s="297">
        <f>IF(ISNA(VLOOKUP($A569,SprintData,2,FALSE)),0,VLOOKUP($A569,SprintData,2,FALSE))</f>
        <v>0</v>
      </c>
      <c r="N569" s="297">
        <f>IF(ISNA(VLOOKUP($A569,JumpData,2,FALSE)),0,VLOOKUP($A569,JumpData,2,FALSE))</f>
        <v>0</v>
      </c>
      <c r="O569" s="297">
        <f>IF(ISNA(VLOOKUP($A569,RunData,2,FALSE)),0,VLOOKUP($A569,RunData,2,FALSE))</f>
        <v>0</v>
      </c>
      <c r="P569" s="297">
        <f>IF(ISNA(VLOOKUP($A569,ThrowData,2,FALSE)),0,VLOOKUP($A569,ThrowData,2,FALSE))</f>
        <v>0</v>
      </c>
      <c r="Q569" s="298">
        <f>IF(ISNA(VLOOKUP($A569,SprintData,4,FALSE)),0,VLOOKUP($A569,SprintData,4,FALSE))+V569</f>
        <v>0</v>
      </c>
      <c r="R569" s="298">
        <f>IF(ISNA(VLOOKUP($A569,JumpData,4,FALSE)),0,VLOOKUP($A569,JumpData,4,FALSE))+W569</f>
        <v>0</v>
      </c>
      <c r="S569" s="298">
        <f>IF(ISNA(VLOOKUP($A569,RunData,4,FALSE)),0,VLOOKUP($A569,RunData,4,FALSE))+X569</f>
        <v>0</v>
      </c>
      <c r="T569" s="298">
        <f>IF(ISNA(VLOOKUP($A569,ThrowData,4,FALSE)),0,VLOOKUP($A569,ThrowData,4,FALSE))+Y569</f>
        <v>0</v>
      </c>
      <c r="U569" s="299">
        <f t="shared" si="2"/>
        <v>0</v>
      </c>
      <c r="V569">
        <f>IF(AND($F569&gt;0,NOT(M569),Flexing),FlexPC,0)</f>
        <v>0</v>
      </c>
      <c r="W569">
        <f>IF(AND($F569&gt;0,NOT(N569),Flexing),FlexPC,0)</f>
        <v>0</v>
      </c>
      <c r="X569">
        <f>IF(AND($F569&gt;0,NOT(O569),Flexing),FlexPC,0)</f>
        <v>0</v>
      </c>
      <c r="Y569">
        <f>IF(AND($F569&gt;0,NOT(P569),Flexing),FlexPC,0)</f>
        <v>0</v>
      </c>
      <c r="AA569" s="209">
        <f t="shared" si="3"/>
        <v>568</v>
      </c>
    </row>
    <row r="570" ht="15.75" customHeight="1">
      <c r="A570" s="206" t="str">
        <f>+Declarations!A570&amp;""</f>
        <v/>
      </c>
      <c r="B570" t="str">
        <f>IF(LEN($A570),IF(LEN(Declarations!$B570)&gt;0,Declarations!$B570,"#"&amp;$A570),"")</f>
        <v/>
      </c>
      <c r="C570" s="209" t="str">
        <f t="array" ref="C570">IF(LEN(INDEX(DECLARATIONS,$AA570,3))&gt;0,INDEX(DECLARATIONS,$AA570,3),"...")</f>
        <v>...</v>
      </c>
      <c r="D570" s="209" t="str">
        <f t="shared" si="1"/>
        <v/>
      </c>
      <c r="E570" s="296" t="str">
        <f t="array" ref="E570">IF(ISNA($AA570),0,INDEX(DECLARATIONS,$AA570,5))</f>
        <v/>
      </c>
      <c r="F570" s="209" t="str">
        <f t="array" ref="F570">IF(ISNA($AA570),0,INDEX(DECLARATIONS,$AA570,7))</f>
        <v/>
      </c>
      <c r="G570" s="209" t="str">
        <f t="array" ref="G570">UPPER(IF(ISNA($AA570),"",INDEX(DECLARATIONS,$AA570,4)))</f>
        <v/>
      </c>
      <c r="H570" t="str">
        <f>IF(AND(A570&gt;0,ISTEXT(B570)),IF(SECNAME="YES",LEFT(B570&amp;" ",FIND(" ",B570&amp;" ")+2)&amp;IF(F570&gt;0," ("&amp;F570&amp;")",""),B570&amp;IF(F570&gt;0," ("&amp;F570&amp;")","")),"#"&amp;$A570)</f>
        <v/>
      </c>
      <c r="I570" s="209">
        <f>IF(LEN($A570)&gt;0,IF(LEN($J570)&gt;0,MATCH(J570,MatchNames,0),EventIndex),0)</f>
        <v>0</v>
      </c>
      <c r="J570" s="209" t="str">
        <f>IF(LEN($A570)&gt;0,IF(LEN(Declarations!$F570)&gt;0,Declarations!$F570,conftype),"")</f>
        <v/>
      </c>
      <c r="M570" s="297">
        <f>IF(ISNA(VLOOKUP($A570,SprintData,2,FALSE)),0,VLOOKUP($A570,SprintData,2,FALSE))</f>
        <v>0</v>
      </c>
      <c r="N570" s="297">
        <f>IF(ISNA(VLOOKUP($A570,JumpData,2,FALSE)),0,VLOOKUP($A570,JumpData,2,FALSE))</f>
        <v>0</v>
      </c>
      <c r="O570" s="297">
        <f>IF(ISNA(VLOOKUP($A570,RunData,2,FALSE)),0,VLOOKUP($A570,RunData,2,FALSE))</f>
        <v>0</v>
      </c>
      <c r="P570" s="297">
        <f>IF(ISNA(VLOOKUP($A570,ThrowData,2,FALSE)),0,VLOOKUP($A570,ThrowData,2,FALSE))</f>
        <v>0</v>
      </c>
      <c r="Q570" s="298">
        <f>IF(ISNA(VLOOKUP($A570,SprintData,4,FALSE)),0,VLOOKUP($A570,SprintData,4,FALSE))+V570</f>
        <v>0</v>
      </c>
      <c r="R570" s="298">
        <f>IF(ISNA(VLOOKUP($A570,JumpData,4,FALSE)),0,VLOOKUP($A570,JumpData,4,FALSE))+W570</f>
        <v>0</v>
      </c>
      <c r="S570" s="298">
        <f>IF(ISNA(VLOOKUP($A570,RunData,4,FALSE)),0,VLOOKUP($A570,RunData,4,FALSE))+X570</f>
        <v>0</v>
      </c>
      <c r="T570" s="298">
        <f>IF(ISNA(VLOOKUP($A570,ThrowData,4,FALSE)),0,VLOOKUP($A570,ThrowData,4,FALSE))+Y570</f>
        <v>0</v>
      </c>
      <c r="U570" s="299">
        <f t="shared" si="2"/>
        <v>0</v>
      </c>
      <c r="V570">
        <f>IF(AND($F570&gt;0,NOT(M570),Flexing),FlexPC,0)</f>
        <v>0</v>
      </c>
      <c r="W570">
        <f>IF(AND($F570&gt;0,NOT(N570),Flexing),FlexPC,0)</f>
        <v>0</v>
      </c>
      <c r="X570">
        <f>IF(AND($F570&gt;0,NOT(O570),Flexing),FlexPC,0)</f>
        <v>0</v>
      </c>
      <c r="Y570">
        <f>IF(AND($F570&gt;0,NOT(P570),Flexing),FlexPC,0)</f>
        <v>0</v>
      </c>
      <c r="AA570" s="209">
        <f t="shared" si="3"/>
        <v>569</v>
      </c>
    </row>
    <row r="571" ht="15.75" customHeight="1">
      <c r="A571" s="206" t="str">
        <f>+Declarations!A571&amp;""</f>
        <v/>
      </c>
      <c r="B571" t="str">
        <f>IF(LEN($A571),IF(LEN(Declarations!$B571)&gt;0,Declarations!$B571,"#"&amp;$A571),"")</f>
        <v/>
      </c>
      <c r="C571" s="209" t="str">
        <f t="array" ref="C571">IF(LEN(INDEX(DECLARATIONS,$AA571,3))&gt;0,INDEX(DECLARATIONS,$AA571,3),"...")</f>
        <v>...</v>
      </c>
      <c r="D571" s="209" t="str">
        <f t="shared" si="1"/>
        <v/>
      </c>
      <c r="E571" s="296" t="str">
        <f t="array" ref="E571">IF(ISNA($AA571),0,INDEX(DECLARATIONS,$AA571,5))</f>
        <v/>
      </c>
      <c r="F571" s="209" t="str">
        <f t="array" ref="F571">IF(ISNA($AA571),0,INDEX(DECLARATIONS,$AA571,7))</f>
        <v/>
      </c>
      <c r="G571" s="209" t="str">
        <f t="array" ref="G571">UPPER(IF(ISNA($AA571),"",INDEX(DECLARATIONS,$AA571,4)))</f>
        <v/>
      </c>
      <c r="H571" t="str">
        <f>IF(AND(A571&gt;0,ISTEXT(B571)),IF(SECNAME="YES",LEFT(B571&amp;" ",FIND(" ",B571&amp;" ")+2)&amp;IF(F571&gt;0," ("&amp;F571&amp;")",""),B571&amp;IF(F571&gt;0," ("&amp;F571&amp;")","")),"#"&amp;$A571)</f>
        <v/>
      </c>
      <c r="I571" s="209">
        <f>IF(LEN($A571)&gt;0,IF(LEN($J571)&gt;0,MATCH(J571,MatchNames,0),EventIndex),0)</f>
        <v>0</v>
      </c>
      <c r="J571" s="209" t="str">
        <f>IF(LEN($A571)&gt;0,IF(LEN(Declarations!$F571)&gt;0,Declarations!$F571,conftype),"")</f>
        <v/>
      </c>
      <c r="M571" s="297">
        <f>IF(ISNA(VLOOKUP($A571,SprintData,2,FALSE)),0,VLOOKUP($A571,SprintData,2,FALSE))</f>
        <v>0</v>
      </c>
      <c r="N571" s="297">
        <f>IF(ISNA(VLOOKUP($A571,JumpData,2,FALSE)),0,VLOOKUP($A571,JumpData,2,FALSE))</f>
        <v>0</v>
      </c>
      <c r="O571" s="297">
        <f>IF(ISNA(VLOOKUP($A571,RunData,2,FALSE)),0,VLOOKUP($A571,RunData,2,FALSE))</f>
        <v>0</v>
      </c>
      <c r="P571" s="297">
        <f>IF(ISNA(VLOOKUP($A571,ThrowData,2,FALSE)),0,VLOOKUP($A571,ThrowData,2,FALSE))</f>
        <v>0</v>
      </c>
      <c r="Q571" s="298">
        <f>IF(ISNA(VLOOKUP($A571,SprintData,4,FALSE)),0,VLOOKUP($A571,SprintData,4,FALSE))+V571</f>
        <v>0</v>
      </c>
      <c r="R571" s="298">
        <f>IF(ISNA(VLOOKUP($A571,JumpData,4,FALSE)),0,VLOOKUP($A571,JumpData,4,FALSE))+W571</f>
        <v>0</v>
      </c>
      <c r="S571" s="298">
        <f>IF(ISNA(VLOOKUP($A571,RunData,4,FALSE)),0,VLOOKUP($A571,RunData,4,FALSE))+X571</f>
        <v>0</v>
      </c>
      <c r="T571" s="298">
        <f>IF(ISNA(VLOOKUP($A571,ThrowData,4,FALSE)),0,VLOOKUP($A571,ThrowData,4,FALSE))+Y571</f>
        <v>0</v>
      </c>
      <c r="U571" s="299">
        <f t="shared" si="2"/>
        <v>0</v>
      </c>
      <c r="V571">
        <f>IF(AND($F571&gt;0,NOT(M571),Flexing),FlexPC,0)</f>
        <v>0</v>
      </c>
      <c r="W571">
        <f>IF(AND($F571&gt;0,NOT(N571),Flexing),FlexPC,0)</f>
        <v>0</v>
      </c>
      <c r="X571">
        <f>IF(AND($F571&gt;0,NOT(O571),Flexing),FlexPC,0)</f>
        <v>0</v>
      </c>
      <c r="Y571">
        <f>IF(AND($F571&gt;0,NOT(P571),Flexing),FlexPC,0)</f>
        <v>0</v>
      </c>
      <c r="AA571" s="209">
        <f t="shared" si="3"/>
        <v>570</v>
      </c>
    </row>
    <row r="572" ht="15.75" customHeight="1">
      <c r="A572" s="206" t="str">
        <f>+Declarations!A572&amp;""</f>
        <v/>
      </c>
      <c r="B572" t="str">
        <f>IF(LEN($A572),IF(LEN(Declarations!$B572)&gt;0,Declarations!$B572,"#"&amp;$A572),"")</f>
        <v/>
      </c>
      <c r="C572" s="209" t="str">
        <f t="array" ref="C572">IF(LEN(INDEX(DECLARATIONS,$AA572,3))&gt;0,INDEX(DECLARATIONS,$AA572,3),"...")</f>
        <v>...</v>
      </c>
      <c r="D572" s="209" t="str">
        <f t="shared" si="1"/>
        <v/>
      </c>
      <c r="E572" s="296" t="str">
        <f t="array" ref="E572">IF(ISNA($AA572),0,INDEX(DECLARATIONS,$AA572,5))</f>
        <v/>
      </c>
      <c r="F572" s="209" t="str">
        <f t="array" ref="F572">IF(ISNA($AA572),0,INDEX(DECLARATIONS,$AA572,7))</f>
        <v/>
      </c>
      <c r="G572" s="209" t="str">
        <f t="array" ref="G572">UPPER(IF(ISNA($AA572),"",INDEX(DECLARATIONS,$AA572,4)))</f>
        <v/>
      </c>
      <c r="H572" t="str">
        <f>IF(AND(A572&gt;0,ISTEXT(B572)),IF(SECNAME="YES",LEFT(B572&amp;" ",FIND(" ",B572&amp;" ")+2)&amp;IF(F572&gt;0," ("&amp;F572&amp;")",""),B572&amp;IF(F572&gt;0," ("&amp;F572&amp;")","")),"#"&amp;$A572)</f>
        <v/>
      </c>
      <c r="I572" s="209">
        <f>IF(LEN($A572)&gt;0,IF(LEN($J572)&gt;0,MATCH(J572,MatchNames,0),EventIndex),0)</f>
        <v>0</v>
      </c>
      <c r="J572" s="209" t="str">
        <f>IF(LEN($A572)&gt;0,IF(LEN(Declarations!$F572)&gt;0,Declarations!$F572,conftype),"")</f>
        <v/>
      </c>
      <c r="M572" s="297">
        <f>IF(ISNA(VLOOKUP($A572,SprintData,2,FALSE)),0,VLOOKUP($A572,SprintData,2,FALSE))</f>
        <v>0</v>
      </c>
      <c r="N572" s="297">
        <f>IF(ISNA(VLOOKUP($A572,JumpData,2,FALSE)),0,VLOOKUP($A572,JumpData,2,FALSE))</f>
        <v>0</v>
      </c>
      <c r="O572" s="297">
        <f>IF(ISNA(VLOOKUP($A572,RunData,2,FALSE)),0,VLOOKUP($A572,RunData,2,FALSE))</f>
        <v>0</v>
      </c>
      <c r="P572" s="297">
        <f>IF(ISNA(VLOOKUP($A572,ThrowData,2,FALSE)),0,VLOOKUP($A572,ThrowData,2,FALSE))</f>
        <v>0</v>
      </c>
      <c r="Q572" s="298">
        <f>IF(ISNA(VLOOKUP($A572,SprintData,4,FALSE)),0,VLOOKUP($A572,SprintData,4,FALSE))+V572</f>
        <v>0</v>
      </c>
      <c r="R572" s="298">
        <f>IF(ISNA(VLOOKUP($A572,JumpData,4,FALSE)),0,VLOOKUP($A572,JumpData,4,FALSE))+W572</f>
        <v>0</v>
      </c>
      <c r="S572" s="298">
        <f>IF(ISNA(VLOOKUP($A572,RunData,4,FALSE)),0,VLOOKUP($A572,RunData,4,FALSE))+X572</f>
        <v>0</v>
      </c>
      <c r="T572" s="298">
        <f>IF(ISNA(VLOOKUP($A572,ThrowData,4,FALSE)),0,VLOOKUP($A572,ThrowData,4,FALSE))+Y572</f>
        <v>0</v>
      </c>
      <c r="U572" s="299">
        <f t="shared" si="2"/>
        <v>0</v>
      </c>
      <c r="V572">
        <f>IF(AND($F572&gt;0,NOT(M572),Flexing),FlexPC,0)</f>
        <v>0</v>
      </c>
      <c r="W572">
        <f>IF(AND($F572&gt;0,NOT(N572),Flexing),FlexPC,0)</f>
        <v>0</v>
      </c>
      <c r="X572">
        <f>IF(AND($F572&gt;0,NOT(O572),Flexing),FlexPC,0)</f>
        <v>0</v>
      </c>
      <c r="Y572">
        <f>IF(AND($F572&gt;0,NOT(P572),Flexing),FlexPC,0)</f>
        <v>0</v>
      </c>
      <c r="AA572" s="209">
        <f t="shared" si="3"/>
        <v>571</v>
      </c>
    </row>
    <row r="573" ht="15.75" customHeight="1">
      <c r="A573" s="206" t="str">
        <f>+Declarations!A573&amp;""</f>
        <v/>
      </c>
      <c r="B573" t="str">
        <f>IF(LEN($A573),IF(LEN(Declarations!$B573)&gt;0,Declarations!$B573,"#"&amp;$A573),"")</f>
        <v/>
      </c>
      <c r="C573" s="209" t="str">
        <f t="array" ref="C573">IF(LEN(INDEX(DECLARATIONS,$AA573,3))&gt;0,INDEX(DECLARATIONS,$AA573,3),"...")</f>
        <v>...</v>
      </c>
      <c r="D573" s="209" t="str">
        <f t="shared" si="1"/>
        <v/>
      </c>
      <c r="E573" s="296" t="str">
        <f t="array" ref="E573">IF(ISNA($AA573),0,INDEX(DECLARATIONS,$AA573,5))</f>
        <v/>
      </c>
      <c r="F573" s="209" t="str">
        <f t="array" ref="F573">IF(ISNA($AA573),0,INDEX(DECLARATIONS,$AA573,7))</f>
        <v/>
      </c>
      <c r="G573" s="209" t="str">
        <f t="array" ref="G573">UPPER(IF(ISNA($AA573),"",INDEX(DECLARATIONS,$AA573,4)))</f>
        <v/>
      </c>
      <c r="H573" t="str">
        <f>IF(AND(A573&gt;0,ISTEXT(B573)),IF(SECNAME="YES",LEFT(B573&amp;" ",FIND(" ",B573&amp;" ")+2)&amp;IF(F573&gt;0," ("&amp;F573&amp;")",""),B573&amp;IF(F573&gt;0," ("&amp;F573&amp;")","")),"#"&amp;$A573)</f>
        <v/>
      </c>
      <c r="I573" s="209">
        <f>IF(LEN($A573)&gt;0,IF(LEN($J573)&gt;0,MATCH(J573,MatchNames,0),EventIndex),0)</f>
        <v>0</v>
      </c>
      <c r="J573" s="209" t="str">
        <f>IF(LEN($A573)&gt;0,IF(LEN(Declarations!$F573)&gt;0,Declarations!$F573,conftype),"")</f>
        <v/>
      </c>
      <c r="M573" s="297">
        <f>IF(ISNA(VLOOKUP($A573,SprintData,2,FALSE)),0,VLOOKUP($A573,SprintData,2,FALSE))</f>
        <v>0</v>
      </c>
      <c r="N573" s="297">
        <f>IF(ISNA(VLOOKUP($A573,JumpData,2,FALSE)),0,VLOOKUP($A573,JumpData,2,FALSE))</f>
        <v>0</v>
      </c>
      <c r="O573" s="297">
        <f>IF(ISNA(VLOOKUP($A573,RunData,2,FALSE)),0,VLOOKUP($A573,RunData,2,FALSE))</f>
        <v>0</v>
      </c>
      <c r="P573" s="297">
        <f>IF(ISNA(VLOOKUP($A573,ThrowData,2,FALSE)),0,VLOOKUP($A573,ThrowData,2,FALSE))</f>
        <v>0</v>
      </c>
      <c r="Q573" s="298">
        <f>IF(ISNA(VLOOKUP($A573,SprintData,4,FALSE)),0,VLOOKUP($A573,SprintData,4,FALSE))+V573</f>
        <v>0</v>
      </c>
      <c r="R573" s="298">
        <f>IF(ISNA(VLOOKUP($A573,JumpData,4,FALSE)),0,VLOOKUP($A573,JumpData,4,FALSE))+W573</f>
        <v>0</v>
      </c>
      <c r="S573" s="298">
        <f>IF(ISNA(VLOOKUP($A573,RunData,4,FALSE)),0,VLOOKUP($A573,RunData,4,FALSE))+X573</f>
        <v>0</v>
      </c>
      <c r="T573" s="298">
        <f>IF(ISNA(VLOOKUP($A573,ThrowData,4,FALSE)),0,VLOOKUP($A573,ThrowData,4,FALSE))+Y573</f>
        <v>0</v>
      </c>
      <c r="U573" s="299">
        <f t="shared" si="2"/>
        <v>0</v>
      </c>
      <c r="V573">
        <f>IF(AND($F573&gt;0,NOT(M573),Flexing),FlexPC,0)</f>
        <v>0</v>
      </c>
      <c r="W573">
        <f>IF(AND($F573&gt;0,NOT(N573),Flexing),FlexPC,0)</f>
        <v>0</v>
      </c>
      <c r="X573">
        <f>IF(AND($F573&gt;0,NOT(O573),Flexing),FlexPC,0)</f>
        <v>0</v>
      </c>
      <c r="Y573">
        <f>IF(AND($F573&gt;0,NOT(P573),Flexing),FlexPC,0)</f>
        <v>0</v>
      </c>
      <c r="AA573" s="209">
        <f t="shared" si="3"/>
        <v>572</v>
      </c>
    </row>
    <row r="574" ht="15.75" customHeight="1">
      <c r="A574" s="206" t="str">
        <f>+Declarations!A574&amp;""</f>
        <v/>
      </c>
      <c r="B574" t="str">
        <f>IF(LEN($A574),IF(LEN(Declarations!$B574)&gt;0,Declarations!$B574,"#"&amp;$A574),"")</f>
        <v/>
      </c>
      <c r="C574" s="209" t="str">
        <f t="array" ref="C574">IF(LEN(INDEX(DECLARATIONS,$AA574,3))&gt;0,INDEX(DECLARATIONS,$AA574,3),"...")</f>
        <v>...</v>
      </c>
      <c r="D574" s="209" t="str">
        <f t="shared" si="1"/>
        <v/>
      </c>
      <c r="E574" s="296" t="str">
        <f t="array" ref="E574">IF(ISNA($AA574),0,INDEX(DECLARATIONS,$AA574,5))</f>
        <v/>
      </c>
      <c r="F574" s="209" t="str">
        <f t="array" ref="F574">IF(ISNA($AA574),0,INDEX(DECLARATIONS,$AA574,7))</f>
        <v/>
      </c>
      <c r="G574" s="209" t="str">
        <f t="array" ref="G574">UPPER(IF(ISNA($AA574),"",INDEX(DECLARATIONS,$AA574,4)))</f>
        <v/>
      </c>
      <c r="H574" t="str">
        <f>IF(AND(A574&gt;0,ISTEXT(B574)),IF(SECNAME="YES",LEFT(B574&amp;" ",FIND(" ",B574&amp;" ")+2)&amp;IF(F574&gt;0," ("&amp;F574&amp;")",""),B574&amp;IF(F574&gt;0," ("&amp;F574&amp;")","")),"#"&amp;$A574)</f>
        <v/>
      </c>
      <c r="I574" s="209">
        <f>IF(LEN($A574)&gt;0,IF(LEN($J574)&gt;0,MATCH(J574,MatchNames,0),EventIndex),0)</f>
        <v>0</v>
      </c>
      <c r="J574" s="209" t="str">
        <f>IF(LEN($A574)&gt;0,IF(LEN(Declarations!$F574)&gt;0,Declarations!$F574,conftype),"")</f>
        <v/>
      </c>
      <c r="M574" s="297">
        <f>IF(ISNA(VLOOKUP($A574,SprintData,2,FALSE)),0,VLOOKUP($A574,SprintData,2,FALSE))</f>
        <v>0</v>
      </c>
      <c r="N574" s="297">
        <f>IF(ISNA(VLOOKUP($A574,JumpData,2,FALSE)),0,VLOOKUP($A574,JumpData,2,FALSE))</f>
        <v>0</v>
      </c>
      <c r="O574" s="297">
        <f>IF(ISNA(VLOOKUP($A574,RunData,2,FALSE)),0,VLOOKUP($A574,RunData,2,FALSE))</f>
        <v>0</v>
      </c>
      <c r="P574" s="297">
        <f>IF(ISNA(VLOOKUP($A574,ThrowData,2,FALSE)),0,VLOOKUP($A574,ThrowData,2,FALSE))</f>
        <v>0</v>
      </c>
      <c r="Q574" s="298">
        <f>IF(ISNA(VLOOKUP($A574,SprintData,4,FALSE)),0,VLOOKUP($A574,SprintData,4,FALSE))+V574</f>
        <v>0</v>
      </c>
      <c r="R574" s="298">
        <f>IF(ISNA(VLOOKUP($A574,JumpData,4,FALSE)),0,VLOOKUP($A574,JumpData,4,FALSE))+W574</f>
        <v>0</v>
      </c>
      <c r="S574" s="298">
        <f>IF(ISNA(VLOOKUP($A574,RunData,4,FALSE)),0,VLOOKUP($A574,RunData,4,FALSE))+X574</f>
        <v>0</v>
      </c>
      <c r="T574" s="298">
        <f>IF(ISNA(VLOOKUP($A574,ThrowData,4,FALSE)),0,VLOOKUP($A574,ThrowData,4,FALSE))+Y574</f>
        <v>0</v>
      </c>
      <c r="U574" s="299">
        <f t="shared" si="2"/>
        <v>0</v>
      </c>
      <c r="V574">
        <f>IF(AND($F574&gt;0,NOT(M574),Flexing),FlexPC,0)</f>
        <v>0</v>
      </c>
      <c r="W574">
        <f>IF(AND($F574&gt;0,NOT(N574),Flexing),FlexPC,0)</f>
        <v>0</v>
      </c>
      <c r="X574">
        <f>IF(AND($F574&gt;0,NOT(O574),Flexing),FlexPC,0)</f>
        <v>0</v>
      </c>
      <c r="Y574">
        <f>IF(AND($F574&gt;0,NOT(P574),Flexing),FlexPC,0)</f>
        <v>0</v>
      </c>
      <c r="AA574" s="209">
        <f t="shared" si="3"/>
        <v>573</v>
      </c>
    </row>
    <row r="575" ht="15.75" customHeight="1">
      <c r="A575" s="206" t="str">
        <f>+Declarations!A575&amp;""</f>
        <v/>
      </c>
      <c r="B575" t="str">
        <f>IF(LEN($A575),IF(LEN(Declarations!$B575)&gt;0,Declarations!$B575,"#"&amp;$A575),"")</f>
        <v/>
      </c>
      <c r="C575" s="209" t="str">
        <f t="array" ref="C575">IF(LEN(INDEX(DECLARATIONS,$AA575,3))&gt;0,INDEX(DECLARATIONS,$AA575,3),"...")</f>
        <v>...</v>
      </c>
      <c r="D575" s="209" t="str">
        <f t="shared" si="1"/>
        <v/>
      </c>
      <c r="E575" s="296" t="str">
        <f t="array" ref="E575">IF(ISNA($AA575),0,INDEX(DECLARATIONS,$AA575,5))</f>
        <v/>
      </c>
      <c r="F575" s="209" t="str">
        <f t="array" ref="F575">IF(ISNA($AA575),0,INDEX(DECLARATIONS,$AA575,7))</f>
        <v/>
      </c>
      <c r="G575" s="209" t="str">
        <f t="array" ref="G575">UPPER(IF(ISNA($AA575),"",INDEX(DECLARATIONS,$AA575,4)))</f>
        <v/>
      </c>
      <c r="H575" t="str">
        <f>IF(AND(A575&gt;0,ISTEXT(B575)),IF(SECNAME="YES",LEFT(B575&amp;" ",FIND(" ",B575&amp;" ")+2)&amp;IF(F575&gt;0," ("&amp;F575&amp;")",""),B575&amp;IF(F575&gt;0," ("&amp;F575&amp;")","")),"#"&amp;$A575)</f>
        <v/>
      </c>
      <c r="I575" s="209">
        <f>IF(LEN($A575)&gt;0,IF(LEN($J575)&gt;0,MATCH(J575,MatchNames,0),EventIndex),0)</f>
        <v>0</v>
      </c>
      <c r="J575" s="209" t="str">
        <f>IF(LEN($A575)&gt;0,IF(LEN(Declarations!$F575)&gt;0,Declarations!$F575,conftype),"")</f>
        <v/>
      </c>
      <c r="M575" s="297">
        <f>IF(ISNA(VLOOKUP($A575,SprintData,2,FALSE)),0,VLOOKUP($A575,SprintData,2,FALSE))</f>
        <v>0</v>
      </c>
      <c r="N575" s="297">
        <f>IF(ISNA(VLOOKUP($A575,JumpData,2,FALSE)),0,VLOOKUP($A575,JumpData,2,FALSE))</f>
        <v>0</v>
      </c>
      <c r="O575" s="297">
        <f>IF(ISNA(VLOOKUP($A575,RunData,2,FALSE)),0,VLOOKUP($A575,RunData,2,FALSE))</f>
        <v>0</v>
      </c>
      <c r="P575" s="297">
        <f>IF(ISNA(VLOOKUP($A575,ThrowData,2,FALSE)),0,VLOOKUP($A575,ThrowData,2,FALSE))</f>
        <v>0</v>
      </c>
      <c r="Q575" s="298">
        <f>IF(ISNA(VLOOKUP($A575,SprintData,4,FALSE)),0,VLOOKUP($A575,SprintData,4,FALSE))+V575</f>
        <v>0</v>
      </c>
      <c r="R575" s="298">
        <f>IF(ISNA(VLOOKUP($A575,JumpData,4,FALSE)),0,VLOOKUP($A575,JumpData,4,FALSE))+W575</f>
        <v>0</v>
      </c>
      <c r="S575" s="298">
        <f>IF(ISNA(VLOOKUP($A575,RunData,4,FALSE)),0,VLOOKUP($A575,RunData,4,FALSE))+X575</f>
        <v>0</v>
      </c>
      <c r="T575" s="298">
        <f>IF(ISNA(VLOOKUP($A575,ThrowData,4,FALSE)),0,VLOOKUP($A575,ThrowData,4,FALSE))+Y575</f>
        <v>0</v>
      </c>
      <c r="U575" s="299">
        <f t="shared" si="2"/>
        <v>0</v>
      </c>
      <c r="V575">
        <f>IF(AND($F575&gt;0,NOT(M575),Flexing),FlexPC,0)</f>
        <v>0</v>
      </c>
      <c r="W575">
        <f>IF(AND($F575&gt;0,NOT(N575),Flexing),FlexPC,0)</f>
        <v>0</v>
      </c>
      <c r="X575">
        <f>IF(AND($F575&gt;0,NOT(O575),Flexing),FlexPC,0)</f>
        <v>0</v>
      </c>
      <c r="Y575">
        <f>IF(AND($F575&gt;0,NOT(P575),Flexing),FlexPC,0)</f>
        <v>0</v>
      </c>
      <c r="AA575" s="209">
        <f t="shared" si="3"/>
        <v>574</v>
      </c>
    </row>
    <row r="576" ht="15.75" customHeight="1">
      <c r="A576" s="206" t="str">
        <f>+Declarations!A576&amp;""</f>
        <v/>
      </c>
      <c r="B576" t="str">
        <f>IF(LEN($A576),IF(LEN(Declarations!$B576)&gt;0,Declarations!$B576,"#"&amp;$A576),"")</f>
        <v/>
      </c>
      <c r="C576" s="209" t="str">
        <f t="array" ref="C576">IF(LEN(INDEX(DECLARATIONS,$AA576,3))&gt;0,INDEX(DECLARATIONS,$AA576,3),"...")</f>
        <v>...</v>
      </c>
      <c r="D576" s="209" t="str">
        <f t="shared" si="1"/>
        <v/>
      </c>
      <c r="E576" s="296" t="str">
        <f t="array" ref="E576">IF(ISNA($AA576),0,INDEX(DECLARATIONS,$AA576,5))</f>
        <v/>
      </c>
      <c r="F576" s="209" t="str">
        <f t="array" ref="F576">IF(ISNA($AA576),0,INDEX(DECLARATIONS,$AA576,7))</f>
        <v/>
      </c>
      <c r="G576" s="209" t="str">
        <f t="array" ref="G576">UPPER(IF(ISNA($AA576),"",INDEX(DECLARATIONS,$AA576,4)))</f>
        <v/>
      </c>
      <c r="H576" t="str">
        <f>IF(AND(A576&gt;0,ISTEXT(B576)),IF(SECNAME="YES",LEFT(B576&amp;" ",FIND(" ",B576&amp;" ")+2)&amp;IF(F576&gt;0," ("&amp;F576&amp;")",""),B576&amp;IF(F576&gt;0," ("&amp;F576&amp;")","")),"#"&amp;$A576)</f>
        <v/>
      </c>
      <c r="I576" s="209">
        <f>IF(LEN($A576)&gt;0,IF(LEN($J576)&gt;0,MATCH(J576,MatchNames,0),EventIndex),0)</f>
        <v>0</v>
      </c>
      <c r="J576" s="209" t="str">
        <f>IF(LEN($A576)&gt;0,IF(LEN(Declarations!$F576)&gt;0,Declarations!$F576,conftype),"")</f>
        <v/>
      </c>
      <c r="M576" s="297">
        <f>IF(ISNA(VLOOKUP($A576,SprintData,2,FALSE)),0,VLOOKUP($A576,SprintData,2,FALSE))</f>
        <v>0</v>
      </c>
      <c r="N576" s="297">
        <f>IF(ISNA(VLOOKUP($A576,JumpData,2,FALSE)),0,VLOOKUP($A576,JumpData,2,FALSE))</f>
        <v>0</v>
      </c>
      <c r="O576" s="297">
        <f>IF(ISNA(VLOOKUP($A576,RunData,2,FALSE)),0,VLOOKUP($A576,RunData,2,FALSE))</f>
        <v>0</v>
      </c>
      <c r="P576" s="297">
        <f>IF(ISNA(VLOOKUP($A576,ThrowData,2,FALSE)),0,VLOOKUP($A576,ThrowData,2,FALSE))</f>
        <v>0</v>
      </c>
      <c r="Q576" s="298">
        <f>IF(ISNA(VLOOKUP($A576,SprintData,4,FALSE)),0,VLOOKUP($A576,SprintData,4,FALSE))+V576</f>
        <v>0</v>
      </c>
      <c r="R576" s="298">
        <f>IF(ISNA(VLOOKUP($A576,JumpData,4,FALSE)),0,VLOOKUP($A576,JumpData,4,FALSE))+W576</f>
        <v>0</v>
      </c>
      <c r="S576" s="298">
        <f>IF(ISNA(VLOOKUP($A576,RunData,4,FALSE)),0,VLOOKUP($A576,RunData,4,FALSE))+X576</f>
        <v>0</v>
      </c>
      <c r="T576" s="298">
        <f>IF(ISNA(VLOOKUP($A576,ThrowData,4,FALSE)),0,VLOOKUP($A576,ThrowData,4,FALSE))+Y576</f>
        <v>0</v>
      </c>
      <c r="U576" s="299">
        <f t="shared" si="2"/>
        <v>0</v>
      </c>
      <c r="V576">
        <f>IF(AND($F576&gt;0,NOT(M576),Flexing),FlexPC,0)</f>
        <v>0</v>
      </c>
      <c r="W576">
        <f>IF(AND($F576&gt;0,NOT(N576),Flexing),FlexPC,0)</f>
        <v>0</v>
      </c>
      <c r="X576">
        <f>IF(AND($F576&gt;0,NOT(O576),Flexing),FlexPC,0)</f>
        <v>0</v>
      </c>
      <c r="Y576">
        <f>IF(AND($F576&gt;0,NOT(P576),Flexing),FlexPC,0)</f>
        <v>0</v>
      </c>
      <c r="AA576" s="209">
        <f t="shared" si="3"/>
        <v>575</v>
      </c>
    </row>
    <row r="577" ht="15.75" customHeight="1">
      <c r="A577" s="206" t="str">
        <f>+Declarations!A577&amp;""</f>
        <v/>
      </c>
      <c r="B577" t="str">
        <f>IF(LEN($A577),IF(LEN(Declarations!$B577)&gt;0,Declarations!$B577,"#"&amp;$A577),"")</f>
        <v/>
      </c>
      <c r="C577" s="209" t="str">
        <f t="array" ref="C577">IF(LEN(INDEX(DECLARATIONS,$AA577,3))&gt;0,INDEX(DECLARATIONS,$AA577,3),"...")</f>
        <v>...</v>
      </c>
      <c r="D577" s="209" t="str">
        <f t="shared" si="1"/>
        <v/>
      </c>
      <c r="E577" s="296" t="str">
        <f t="array" ref="E577">IF(ISNA($AA577),0,INDEX(DECLARATIONS,$AA577,5))</f>
        <v/>
      </c>
      <c r="F577" s="209" t="str">
        <f t="array" ref="F577">IF(ISNA($AA577),0,INDEX(DECLARATIONS,$AA577,7))</f>
        <v/>
      </c>
      <c r="G577" s="209" t="str">
        <f t="array" ref="G577">UPPER(IF(ISNA($AA577),"",INDEX(DECLARATIONS,$AA577,4)))</f>
        <v/>
      </c>
      <c r="H577" t="str">
        <f>IF(AND(A577&gt;0,ISTEXT(B577)),IF(SECNAME="YES",LEFT(B577&amp;" ",FIND(" ",B577&amp;" ")+2)&amp;IF(F577&gt;0," ("&amp;F577&amp;")",""),B577&amp;IF(F577&gt;0," ("&amp;F577&amp;")","")),"#"&amp;$A577)</f>
        <v/>
      </c>
      <c r="I577" s="209">
        <f>IF(LEN($A577)&gt;0,IF(LEN($J577)&gt;0,MATCH(J577,MatchNames,0),EventIndex),0)</f>
        <v>0</v>
      </c>
      <c r="J577" s="209" t="str">
        <f>IF(LEN($A577)&gt;0,IF(LEN(Declarations!$F577)&gt;0,Declarations!$F577,conftype),"")</f>
        <v/>
      </c>
      <c r="M577" s="297">
        <f>IF(ISNA(VLOOKUP($A577,SprintData,2,FALSE)),0,VLOOKUP($A577,SprintData,2,FALSE))</f>
        <v>0</v>
      </c>
      <c r="N577" s="297">
        <f>IF(ISNA(VLOOKUP($A577,JumpData,2,FALSE)),0,VLOOKUP($A577,JumpData,2,FALSE))</f>
        <v>0</v>
      </c>
      <c r="O577" s="297">
        <f>IF(ISNA(VLOOKUP($A577,RunData,2,FALSE)),0,VLOOKUP($A577,RunData,2,FALSE))</f>
        <v>0</v>
      </c>
      <c r="P577" s="297">
        <f>IF(ISNA(VLOOKUP($A577,ThrowData,2,FALSE)),0,VLOOKUP($A577,ThrowData,2,FALSE))</f>
        <v>0</v>
      </c>
      <c r="Q577" s="298">
        <f>IF(ISNA(VLOOKUP($A577,SprintData,4,FALSE)),0,VLOOKUP($A577,SprintData,4,FALSE))+V577</f>
        <v>0</v>
      </c>
      <c r="R577" s="298">
        <f>IF(ISNA(VLOOKUP($A577,JumpData,4,FALSE)),0,VLOOKUP($A577,JumpData,4,FALSE))+W577</f>
        <v>0</v>
      </c>
      <c r="S577" s="298">
        <f>IF(ISNA(VLOOKUP($A577,RunData,4,FALSE)),0,VLOOKUP($A577,RunData,4,FALSE))+X577</f>
        <v>0</v>
      </c>
      <c r="T577" s="298">
        <f>IF(ISNA(VLOOKUP($A577,ThrowData,4,FALSE)),0,VLOOKUP($A577,ThrowData,4,FALSE))+Y577</f>
        <v>0</v>
      </c>
      <c r="U577" s="299">
        <f t="shared" si="2"/>
        <v>0</v>
      </c>
      <c r="V577">
        <f>IF(AND($F577&gt;0,NOT(M577),Flexing),FlexPC,0)</f>
        <v>0</v>
      </c>
      <c r="W577">
        <f>IF(AND($F577&gt;0,NOT(N577),Flexing),FlexPC,0)</f>
        <v>0</v>
      </c>
      <c r="X577">
        <f>IF(AND($F577&gt;0,NOT(O577),Flexing),FlexPC,0)</f>
        <v>0</v>
      </c>
      <c r="Y577">
        <f>IF(AND($F577&gt;0,NOT(P577),Flexing),FlexPC,0)</f>
        <v>0</v>
      </c>
      <c r="AA577" s="209">
        <f t="shared" si="3"/>
        <v>576</v>
      </c>
    </row>
    <row r="578" ht="15.75" customHeight="1">
      <c r="A578" s="206" t="str">
        <f>+Declarations!A578&amp;""</f>
        <v/>
      </c>
      <c r="B578" t="str">
        <f>IF(LEN($A578),IF(LEN(Declarations!$B578)&gt;0,Declarations!$B578,"#"&amp;$A578),"")</f>
        <v/>
      </c>
      <c r="C578" s="209" t="str">
        <f t="array" ref="C578">IF(LEN(INDEX(DECLARATIONS,$AA578,3))&gt;0,INDEX(DECLARATIONS,$AA578,3),"...")</f>
        <v>...</v>
      </c>
      <c r="D578" s="209" t="str">
        <f t="shared" si="1"/>
        <v/>
      </c>
      <c r="E578" s="296" t="str">
        <f t="array" ref="E578">IF(ISNA($AA578),0,INDEX(DECLARATIONS,$AA578,5))</f>
        <v/>
      </c>
      <c r="F578" s="209" t="str">
        <f t="array" ref="F578">IF(ISNA($AA578),0,INDEX(DECLARATIONS,$AA578,7))</f>
        <v/>
      </c>
      <c r="G578" s="209" t="str">
        <f t="array" ref="G578">UPPER(IF(ISNA($AA578),"",INDEX(DECLARATIONS,$AA578,4)))</f>
        <v/>
      </c>
      <c r="H578" t="str">
        <f>IF(AND(A578&gt;0,ISTEXT(B578)),IF(SECNAME="YES",LEFT(B578&amp;" ",FIND(" ",B578&amp;" ")+2)&amp;IF(F578&gt;0," ("&amp;F578&amp;")",""),B578&amp;IF(F578&gt;0," ("&amp;F578&amp;")","")),"#"&amp;$A578)</f>
        <v/>
      </c>
      <c r="I578" s="209">
        <f>IF(LEN($A578)&gt;0,IF(LEN($J578)&gt;0,MATCH(J578,MatchNames,0),EventIndex),0)</f>
        <v>0</v>
      </c>
      <c r="J578" s="209" t="str">
        <f>IF(LEN($A578)&gt;0,IF(LEN(Declarations!$F578)&gt;0,Declarations!$F578,conftype),"")</f>
        <v/>
      </c>
      <c r="M578" s="297">
        <f>IF(ISNA(VLOOKUP($A578,SprintData,2,FALSE)),0,VLOOKUP($A578,SprintData,2,FALSE))</f>
        <v>0</v>
      </c>
      <c r="N578" s="297">
        <f>IF(ISNA(VLOOKUP($A578,JumpData,2,FALSE)),0,VLOOKUP($A578,JumpData,2,FALSE))</f>
        <v>0</v>
      </c>
      <c r="O578" s="297">
        <f>IF(ISNA(VLOOKUP($A578,RunData,2,FALSE)),0,VLOOKUP($A578,RunData,2,FALSE))</f>
        <v>0</v>
      </c>
      <c r="P578" s="297">
        <f>IF(ISNA(VLOOKUP($A578,ThrowData,2,FALSE)),0,VLOOKUP($A578,ThrowData,2,FALSE))</f>
        <v>0</v>
      </c>
      <c r="Q578" s="298">
        <f>IF(ISNA(VLOOKUP($A578,SprintData,4,FALSE)),0,VLOOKUP($A578,SprintData,4,FALSE))+V578</f>
        <v>0</v>
      </c>
      <c r="R578" s="298">
        <f>IF(ISNA(VLOOKUP($A578,JumpData,4,FALSE)),0,VLOOKUP($A578,JumpData,4,FALSE))+W578</f>
        <v>0</v>
      </c>
      <c r="S578" s="298">
        <f>IF(ISNA(VLOOKUP($A578,RunData,4,FALSE)),0,VLOOKUP($A578,RunData,4,FALSE))+X578</f>
        <v>0</v>
      </c>
      <c r="T578" s="298">
        <f>IF(ISNA(VLOOKUP($A578,ThrowData,4,FALSE)),0,VLOOKUP($A578,ThrowData,4,FALSE))+Y578</f>
        <v>0</v>
      </c>
      <c r="U578" s="299">
        <f t="shared" si="2"/>
        <v>0</v>
      </c>
      <c r="V578">
        <f>IF(AND($F578&gt;0,NOT(M578),Flexing),FlexPC,0)</f>
        <v>0</v>
      </c>
      <c r="W578">
        <f>IF(AND($F578&gt;0,NOT(N578),Flexing),FlexPC,0)</f>
        <v>0</v>
      </c>
      <c r="X578">
        <f>IF(AND($F578&gt;0,NOT(O578),Flexing),FlexPC,0)</f>
        <v>0</v>
      </c>
      <c r="Y578">
        <f>IF(AND($F578&gt;0,NOT(P578),Flexing),FlexPC,0)</f>
        <v>0</v>
      </c>
      <c r="AA578" s="209">
        <f t="shared" si="3"/>
        <v>577</v>
      </c>
    </row>
    <row r="579" ht="15.75" customHeight="1">
      <c r="A579" s="206" t="str">
        <f>+Declarations!A579&amp;""</f>
        <v/>
      </c>
      <c r="B579" t="str">
        <f>IF(LEN($A579),IF(LEN(Declarations!$B579)&gt;0,Declarations!$B579,"#"&amp;$A579),"")</f>
        <v/>
      </c>
      <c r="C579" s="209" t="str">
        <f t="array" ref="C579">IF(LEN(INDEX(DECLARATIONS,$AA579,3))&gt;0,INDEX(DECLARATIONS,$AA579,3),"...")</f>
        <v>...</v>
      </c>
      <c r="D579" s="209" t="str">
        <f t="shared" si="1"/>
        <v/>
      </c>
      <c r="E579" s="296" t="str">
        <f t="array" ref="E579">IF(ISNA($AA579),0,INDEX(DECLARATIONS,$AA579,5))</f>
        <v/>
      </c>
      <c r="F579" s="209" t="str">
        <f t="array" ref="F579">IF(ISNA($AA579),0,INDEX(DECLARATIONS,$AA579,7))</f>
        <v/>
      </c>
      <c r="G579" s="209" t="str">
        <f t="array" ref="G579">UPPER(IF(ISNA($AA579),"",INDEX(DECLARATIONS,$AA579,4)))</f>
        <v/>
      </c>
      <c r="H579" t="str">
        <f>IF(AND(A579&gt;0,ISTEXT(B579)),IF(SECNAME="YES",LEFT(B579&amp;" ",FIND(" ",B579&amp;" ")+2)&amp;IF(F579&gt;0," ("&amp;F579&amp;")",""),B579&amp;IF(F579&gt;0," ("&amp;F579&amp;")","")),"#"&amp;$A579)</f>
        <v/>
      </c>
      <c r="I579" s="209">
        <f>IF(LEN($A579)&gt;0,IF(LEN($J579)&gt;0,MATCH(J579,MatchNames,0),EventIndex),0)</f>
        <v>0</v>
      </c>
      <c r="J579" s="209" t="str">
        <f>IF(LEN($A579)&gt;0,IF(LEN(Declarations!$F579)&gt;0,Declarations!$F579,conftype),"")</f>
        <v/>
      </c>
      <c r="M579" s="297">
        <f>IF(ISNA(VLOOKUP($A579,SprintData,2,FALSE)),0,VLOOKUP($A579,SprintData,2,FALSE))</f>
        <v>0</v>
      </c>
      <c r="N579" s="297">
        <f>IF(ISNA(VLOOKUP($A579,JumpData,2,FALSE)),0,VLOOKUP($A579,JumpData,2,FALSE))</f>
        <v>0</v>
      </c>
      <c r="O579" s="297">
        <f>IF(ISNA(VLOOKUP($A579,RunData,2,FALSE)),0,VLOOKUP($A579,RunData,2,FALSE))</f>
        <v>0</v>
      </c>
      <c r="P579" s="297">
        <f>IF(ISNA(VLOOKUP($A579,ThrowData,2,FALSE)),0,VLOOKUP($A579,ThrowData,2,FALSE))</f>
        <v>0</v>
      </c>
      <c r="Q579" s="298">
        <f>IF(ISNA(VLOOKUP($A579,SprintData,4,FALSE)),0,VLOOKUP($A579,SprintData,4,FALSE))+V579</f>
        <v>0</v>
      </c>
      <c r="R579" s="298">
        <f>IF(ISNA(VLOOKUP($A579,JumpData,4,FALSE)),0,VLOOKUP($A579,JumpData,4,FALSE))+W579</f>
        <v>0</v>
      </c>
      <c r="S579" s="298">
        <f>IF(ISNA(VLOOKUP($A579,RunData,4,FALSE)),0,VLOOKUP($A579,RunData,4,FALSE))+X579</f>
        <v>0</v>
      </c>
      <c r="T579" s="298">
        <f>IF(ISNA(VLOOKUP($A579,ThrowData,4,FALSE)),0,VLOOKUP($A579,ThrowData,4,FALSE))+Y579</f>
        <v>0</v>
      </c>
      <c r="U579" s="299">
        <f t="shared" si="2"/>
        <v>0</v>
      </c>
      <c r="V579">
        <f>IF(AND($F579&gt;0,NOT(M579),Flexing),FlexPC,0)</f>
        <v>0</v>
      </c>
      <c r="W579">
        <f>IF(AND($F579&gt;0,NOT(N579),Flexing),FlexPC,0)</f>
        <v>0</v>
      </c>
      <c r="X579">
        <f>IF(AND($F579&gt;0,NOT(O579),Flexing),FlexPC,0)</f>
        <v>0</v>
      </c>
      <c r="Y579">
        <f>IF(AND($F579&gt;0,NOT(P579),Flexing),FlexPC,0)</f>
        <v>0</v>
      </c>
      <c r="AA579" s="209">
        <f t="shared" si="3"/>
        <v>578</v>
      </c>
    </row>
    <row r="580" ht="15.75" customHeight="1">
      <c r="A580" s="206" t="str">
        <f>+Declarations!A580&amp;""</f>
        <v/>
      </c>
      <c r="B580" t="str">
        <f>IF(LEN($A580),IF(LEN(Declarations!$B580)&gt;0,Declarations!$B580,"#"&amp;$A580),"")</f>
        <v/>
      </c>
      <c r="C580" s="209" t="str">
        <f t="array" ref="C580">IF(LEN(INDEX(DECLARATIONS,$AA580,3))&gt;0,INDEX(DECLARATIONS,$AA580,3),"...")</f>
        <v>...</v>
      </c>
      <c r="D580" s="209" t="str">
        <f t="shared" si="1"/>
        <v/>
      </c>
      <c r="E580" s="296" t="str">
        <f t="array" ref="E580">IF(ISNA($AA580),0,INDEX(DECLARATIONS,$AA580,5))</f>
        <v/>
      </c>
      <c r="F580" s="209" t="str">
        <f t="array" ref="F580">IF(ISNA($AA580),0,INDEX(DECLARATIONS,$AA580,7))</f>
        <v/>
      </c>
      <c r="G580" s="209" t="str">
        <f t="array" ref="G580">UPPER(IF(ISNA($AA580),"",INDEX(DECLARATIONS,$AA580,4)))</f>
        <v/>
      </c>
      <c r="H580" t="str">
        <f>IF(AND(A580&gt;0,ISTEXT(B580)),IF(SECNAME="YES",LEFT(B580&amp;" ",FIND(" ",B580&amp;" ")+2)&amp;IF(F580&gt;0," ("&amp;F580&amp;")",""),B580&amp;IF(F580&gt;0," ("&amp;F580&amp;")","")),"#"&amp;$A580)</f>
        <v/>
      </c>
      <c r="I580" s="209">
        <f>IF(LEN($A580)&gt;0,IF(LEN($J580)&gt;0,MATCH(J580,MatchNames,0),EventIndex),0)</f>
        <v>0</v>
      </c>
      <c r="J580" s="209" t="str">
        <f>IF(LEN($A580)&gt;0,IF(LEN(Declarations!$F580)&gt;0,Declarations!$F580,conftype),"")</f>
        <v/>
      </c>
      <c r="M580" s="297">
        <f>IF(ISNA(VLOOKUP($A580,SprintData,2,FALSE)),0,VLOOKUP($A580,SprintData,2,FALSE))</f>
        <v>0</v>
      </c>
      <c r="N580" s="297">
        <f>IF(ISNA(VLOOKUP($A580,JumpData,2,FALSE)),0,VLOOKUP($A580,JumpData,2,FALSE))</f>
        <v>0</v>
      </c>
      <c r="O580" s="297">
        <f>IF(ISNA(VLOOKUP($A580,RunData,2,FALSE)),0,VLOOKUP($A580,RunData,2,FALSE))</f>
        <v>0</v>
      </c>
      <c r="P580" s="297">
        <f>IF(ISNA(VLOOKUP($A580,ThrowData,2,FALSE)),0,VLOOKUP($A580,ThrowData,2,FALSE))</f>
        <v>0</v>
      </c>
      <c r="Q580" s="298">
        <f>IF(ISNA(VLOOKUP($A580,SprintData,4,FALSE)),0,VLOOKUP($A580,SprintData,4,FALSE))+V580</f>
        <v>0</v>
      </c>
      <c r="R580" s="298">
        <f>IF(ISNA(VLOOKUP($A580,JumpData,4,FALSE)),0,VLOOKUP($A580,JumpData,4,FALSE))+W580</f>
        <v>0</v>
      </c>
      <c r="S580" s="298">
        <f>IF(ISNA(VLOOKUP($A580,RunData,4,FALSE)),0,VLOOKUP($A580,RunData,4,FALSE))+X580</f>
        <v>0</v>
      </c>
      <c r="T580" s="298">
        <f>IF(ISNA(VLOOKUP($A580,ThrowData,4,FALSE)),0,VLOOKUP($A580,ThrowData,4,FALSE))+Y580</f>
        <v>0</v>
      </c>
      <c r="U580" s="299">
        <f t="shared" si="2"/>
        <v>0</v>
      </c>
      <c r="V580">
        <f>IF(AND($F580&gt;0,NOT(M580),Flexing),FlexPC,0)</f>
        <v>0</v>
      </c>
      <c r="W580">
        <f>IF(AND($F580&gt;0,NOT(N580),Flexing),FlexPC,0)</f>
        <v>0</v>
      </c>
      <c r="X580">
        <f>IF(AND($F580&gt;0,NOT(O580),Flexing),FlexPC,0)</f>
        <v>0</v>
      </c>
      <c r="Y580">
        <f>IF(AND($F580&gt;0,NOT(P580),Flexing),FlexPC,0)</f>
        <v>0</v>
      </c>
      <c r="AA580" s="209">
        <f t="shared" si="3"/>
        <v>579</v>
      </c>
    </row>
    <row r="581" ht="15.75" customHeight="1">
      <c r="A581" s="206" t="str">
        <f>+Declarations!A581&amp;""</f>
        <v/>
      </c>
      <c r="B581" t="str">
        <f>IF(LEN($A581),IF(LEN(Declarations!$B581)&gt;0,Declarations!$B581,"#"&amp;$A581),"")</f>
        <v/>
      </c>
      <c r="C581" s="209" t="str">
        <f t="array" ref="C581">IF(LEN(INDEX(DECLARATIONS,$AA581,3))&gt;0,INDEX(DECLARATIONS,$AA581,3),"...")</f>
        <v>...</v>
      </c>
      <c r="D581" s="209" t="str">
        <f t="shared" si="1"/>
        <v/>
      </c>
      <c r="E581" s="296" t="str">
        <f t="array" ref="E581">IF(ISNA($AA581),0,INDEX(DECLARATIONS,$AA581,5))</f>
        <v/>
      </c>
      <c r="F581" s="209" t="str">
        <f t="array" ref="F581">IF(ISNA($AA581),0,INDEX(DECLARATIONS,$AA581,7))</f>
        <v/>
      </c>
      <c r="G581" s="209" t="str">
        <f t="array" ref="G581">UPPER(IF(ISNA($AA581),"",INDEX(DECLARATIONS,$AA581,4)))</f>
        <v/>
      </c>
      <c r="H581" t="str">
        <f>IF(AND(A581&gt;0,ISTEXT(B581)),IF(SECNAME="YES",LEFT(B581&amp;" ",FIND(" ",B581&amp;" ")+2)&amp;IF(F581&gt;0," ("&amp;F581&amp;")",""),B581&amp;IF(F581&gt;0," ("&amp;F581&amp;")","")),"#"&amp;$A581)</f>
        <v/>
      </c>
      <c r="I581" s="209">
        <f>IF(LEN($A581)&gt;0,IF(LEN($J581)&gt;0,MATCH(J581,MatchNames,0),EventIndex),0)</f>
        <v>0</v>
      </c>
      <c r="J581" s="209" t="str">
        <f>IF(LEN($A581)&gt;0,IF(LEN(Declarations!$F581)&gt;0,Declarations!$F581,conftype),"")</f>
        <v/>
      </c>
      <c r="M581" s="297">
        <f>IF(ISNA(VLOOKUP($A581,SprintData,2,FALSE)),0,VLOOKUP($A581,SprintData,2,FALSE))</f>
        <v>0</v>
      </c>
      <c r="N581" s="297">
        <f>IF(ISNA(VLOOKUP($A581,JumpData,2,FALSE)),0,VLOOKUP($A581,JumpData,2,FALSE))</f>
        <v>0</v>
      </c>
      <c r="O581" s="297">
        <f>IF(ISNA(VLOOKUP($A581,RunData,2,FALSE)),0,VLOOKUP($A581,RunData,2,FALSE))</f>
        <v>0</v>
      </c>
      <c r="P581" s="297">
        <f>IF(ISNA(VLOOKUP($A581,ThrowData,2,FALSE)),0,VLOOKUP($A581,ThrowData,2,FALSE))</f>
        <v>0</v>
      </c>
      <c r="Q581" s="298">
        <f>IF(ISNA(VLOOKUP($A581,SprintData,4,FALSE)),0,VLOOKUP($A581,SprintData,4,FALSE))+V581</f>
        <v>0</v>
      </c>
      <c r="R581" s="298">
        <f>IF(ISNA(VLOOKUP($A581,JumpData,4,FALSE)),0,VLOOKUP($A581,JumpData,4,FALSE))+W581</f>
        <v>0</v>
      </c>
      <c r="S581" s="298">
        <f>IF(ISNA(VLOOKUP($A581,RunData,4,FALSE)),0,VLOOKUP($A581,RunData,4,FALSE))+X581</f>
        <v>0</v>
      </c>
      <c r="T581" s="298">
        <f>IF(ISNA(VLOOKUP($A581,ThrowData,4,FALSE)),0,VLOOKUP($A581,ThrowData,4,FALSE))+Y581</f>
        <v>0</v>
      </c>
      <c r="U581" s="299">
        <f t="shared" si="2"/>
        <v>0</v>
      </c>
      <c r="V581">
        <f>IF(AND($F581&gt;0,NOT(M581),Flexing),FlexPC,0)</f>
        <v>0</v>
      </c>
      <c r="W581">
        <f>IF(AND($F581&gt;0,NOT(N581),Flexing),FlexPC,0)</f>
        <v>0</v>
      </c>
      <c r="X581">
        <f>IF(AND($F581&gt;0,NOT(O581),Flexing),FlexPC,0)</f>
        <v>0</v>
      </c>
      <c r="Y581">
        <f>IF(AND($F581&gt;0,NOT(P581),Flexing),FlexPC,0)</f>
        <v>0</v>
      </c>
      <c r="AA581" s="209">
        <f t="shared" si="3"/>
        <v>580</v>
      </c>
    </row>
    <row r="582" ht="15.75" customHeight="1">
      <c r="A582" s="206" t="str">
        <f>+Declarations!A582&amp;""</f>
        <v/>
      </c>
      <c r="B582" t="str">
        <f>IF(LEN($A582),IF(LEN(Declarations!$B582)&gt;0,Declarations!$B582,"#"&amp;$A582),"")</f>
        <v/>
      </c>
      <c r="C582" s="209" t="str">
        <f t="array" ref="C582">IF(LEN(INDEX(DECLARATIONS,$AA582,3))&gt;0,INDEX(DECLARATIONS,$AA582,3),"...")</f>
        <v>...</v>
      </c>
      <c r="D582" s="209" t="str">
        <f t="shared" si="1"/>
        <v/>
      </c>
      <c r="E582" s="296" t="str">
        <f t="array" ref="E582">IF(ISNA($AA582),0,INDEX(DECLARATIONS,$AA582,5))</f>
        <v/>
      </c>
      <c r="F582" s="209" t="str">
        <f t="array" ref="F582">IF(ISNA($AA582),0,INDEX(DECLARATIONS,$AA582,7))</f>
        <v/>
      </c>
      <c r="G582" s="209" t="str">
        <f t="array" ref="G582">UPPER(IF(ISNA($AA582),"",INDEX(DECLARATIONS,$AA582,4)))</f>
        <v/>
      </c>
      <c r="H582" t="str">
        <f>IF(AND(A582&gt;0,ISTEXT(B582)),IF(SECNAME="YES",LEFT(B582&amp;" ",FIND(" ",B582&amp;" ")+2)&amp;IF(F582&gt;0," ("&amp;F582&amp;")",""),B582&amp;IF(F582&gt;0," ("&amp;F582&amp;")","")),"#"&amp;$A582)</f>
        <v/>
      </c>
      <c r="I582" s="209">
        <f>IF(LEN($A582)&gt;0,IF(LEN($J582)&gt;0,MATCH(J582,MatchNames,0),EventIndex),0)</f>
        <v>0</v>
      </c>
      <c r="J582" s="209" t="str">
        <f>IF(LEN($A582)&gt;0,IF(LEN(Declarations!$F582)&gt;0,Declarations!$F582,conftype),"")</f>
        <v/>
      </c>
      <c r="M582" s="297">
        <f>IF(ISNA(VLOOKUP($A582,SprintData,2,FALSE)),0,VLOOKUP($A582,SprintData,2,FALSE))</f>
        <v>0</v>
      </c>
      <c r="N582" s="297">
        <f>IF(ISNA(VLOOKUP($A582,JumpData,2,FALSE)),0,VLOOKUP($A582,JumpData,2,FALSE))</f>
        <v>0</v>
      </c>
      <c r="O582" s="297">
        <f>IF(ISNA(VLOOKUP($A582,RunData,2,FALSE)),0,VLOOKUP($A582,RunData,2,FALSE))</f>
        <v>0</v>
      </c>
      <c r="P582" s="297">
        <f>IF(ISNA(VLOOKUP($A582,ThrowData,2,FALSE)),0,VLOOKUP($A582,ThrowData,2,FALSE))</f>
        <v>0</v>
      </c>
      <c r="Q582" s="298">
        <f>IF(ISNA(VLOOKUP($A582,SprintData,4,FALSE)),0,VLOOKUP($A582,SprintData,4,FALSE))+V582</f>
        <v>0</v>
      </c>
      <c r="R582" s="298">
        <f>IF(ISNA(VLOOKUP($A582,JumpData,4,FALSE)),0,VLOOKUP($A582,JumpData,4,FALSE))+W582</f>
        <v>0</v>
      </c>
      <c r="S582" s="298">
        <f>IF(ISNA(VLOOKUP($A582,RunData,4,FALSE)),0,VLOOKUP($A582,RunData,4,FALSE))+X582</f>
        <v>0</v>
      </c>
      <c r="T582" s="298">
        <f>IF(ISNA(VLOOKUP($A582,ThrowData,4,FALSE)),0,VLOOKUP($A582,ThrowData,4,FALSE))+Y582</f>
        <v>0</v>
      </c>
      <c r="U582" s="299">
        <f t="shared" si="2"/>
        <v>0</v>
      </c>
      <c r="V582">
        <f>IF(AND($F582&gt;0,NOT(M582),Flexing),FlexPC,0)</f>
        <v>0</v>
      </c>
      <c r="W582">
        <f>IF(AND($F582&gt;0,NOT(N582),Flexing),FlexPC,0)</f>
        <v>0</v>
      </c>
      <c r="X582">
        <f>IF(AND($F582&gt;0,NOT(O582),Flexing),FlexPC,0)</f>
        <v>0</v>
      </c>
      <c r="Y582">
        <f>IF(AND($F582&gt;0,NOT(P582),Flexing),FlexPC,0)</f>
        <v>0</v>
      </c>
      <c r="AA582" s="209">
        <f t="shared" si="3"/>
        <v>581</v>
      </c>
    </row>
    <row r="583" ht="15.75" customHeight="1">
      <c r="A583" s="206" t="str">
        <f>+Declarations!A583&amp;""</f>
        <v/>
      </c>
      <c r="B583" t="str">
        <f>IF(LEN($A583),IF(LEN(Declarations!$B583)&gt;0,Declarations!$B583,"#"&amp;$A583),"")</f>
        <v/>
      </c>
      <c r="C583" s="209" t="str">
        <f t="array" ref="C583">IF(LEN(INDEX(DECLARATIONS,$AA583,3))&gt;0,INDEX(DECLARATIONS,$AA583,3),"...")</f>
        <v>...</v>
      </c>
      <c r="D583" s="209" t="str">
        <f t="shared" si="1"/>
        <v/>
      </c>
      <c r="E583" s="296" t="str">
        <f t="array" ref="E583">IF(ISNA($AA583),0,INDEX(DECLARATIONS,$AA583,5))</f>
        <v/>
      </c>
      <c r="F583" s="209" t="str">
        <f t="array" ref="F583">IF(ISNA($AA583),0,INDEX(DECLARATIONS,$AA583,7))</f>
        <v/>
      </c>
      <c r="G583" s="209" t="str">
        <f t="array" ref="G583">UPPER(IF(ISNA($AA583),"",INDEX(DECLARATIONS,$AA583,4)))</f>
        <v/>
      </c>
      <c r="H583" t="str">
        <f>IF(AND(A583&gt;0,ISTEXT(B583)),IF(SECNAME="YES",LEFT(B583&amp;" ",FIND(" ",B583&amp;" ")+2)&amp;IF(F583&gt;0," ("&amp;F583&amp;")",""),B583&amp;IF(F583&gt;0," ("&amp;F583&amp;")","")),"#"&amp;$A583)</f>
        <v/>
      </c>
      <c r="I583" s="209">
        <f>IF(LEN($A583)&gt;0,IF(LEN($J583)&gt;0,MATCH(J583,MatchNames,0),EventIndex),0)</f>
        <v>0</v>
      </c>
      <c r="J583" s="209" t="str">
        <f>IF(LEN($A583)&gt;0,IF(LEN(Declarations!$F583)&gt;0,Declarations!$F583,conftype),"")</f>
        <v/>
      </c>
      <c r="M583" s="297">
        <f>IF(ISNA(VLOOKUP($A583,SprintData,2,FALSE)),0,VLOOKUP($A583,SprintData,2,FALSE))</f>
        <v>0</v>
      </c>
      <c r="N583" s="297">
        <f>IF(ISNA(VLOOKUP($A583,JumpData,2,FALSE)),0,VLOOKUP($A583,JumpData,2,FALSE))</f>
        <v>0</v>
      </c>
      <c r="O583" s="297">
        <f>IF(ISNA(VLOOKUP($A583,RunData,2,FALSE)),0,VLOOKUP($A583,RunData,2,FALSE))</f>
        <v>0</v>
      </c>
      <c r="P583" s="297">
        <f>IF(ISNA(VLOOKUP($A583,ThrowData,2,FALSE)),0,VLOOKUP($A583,ThrowData,2,FALSE))</f>
        <v>0</v>
      </c>
      <c r="Q583" s="298">
        <f>IF(ISNA(VLOOKUP($A583,SprintData,4,FALSE)),0,VLOOKUP($A583,SprintData,4,FALSE))+V583</f>
        <v>0</v>
      </c>
      <c r="R583" s="298">
        <f>IF(ISNA(VLOOKUP($A583,JumpData,4,FALSE)),0,VLOOKUP($A583,JumpData,4,FALSE))+W583</f>
        <v>0</v>
      </c>
      <c r="S583" s="298">
        <f>IF(ISNA(VLOOKUP($A583,RunData,4,FALSE)),0,VLOOKUP($A583,RunData,4,FALSE))+X583</f>
        <v>0</v>
      </c>
      <c r="T583" s="298">
        <f>IF(ISNA(VLOOKUP($A583,ThrowData,4,FALSE)),0,VLOOKUP($A583,ThrowData,4,FALSE))+Y583</f>
        <v>0</v>
      </c>
      <c r="U583" s="299">
        <f t="shared" si="2"/>
        <v>0</v>
      </c>
      <c r="V583">
        <f>IF(AND($F583&gt;0,NOT(M583),Flexing),FlexPC,0)</f>
        <v>0</v>
      </c>
      <c r="W583">
        <f>IF(AND($F583&gt;0,NOT(N583),Flexing),FlexPC,0)</f>
        <v>0</v>
      </c>
      <c r="X583">
        <f>IF(AND($F583&gt;0,NOT(O583),Flexing),FlexPC,0)</f>
        <v>0</v>
      </c>
      <c r="Y583">
        <f>IF(AND($F583&gt;0,NOT(P583),Flexing),FlexPC,0)</f>
        <v>0</v>
      </c>
      <c r="AA583" s="209">
        <f t="shared" si="3"/>
        <v>582</v>
      </c>
    </row>
    <row r="584" ht="15.75" customHeight="1">
      <c r="A584" s="206" t="str">
        <f>+Declarations!A584&amp;""</f>
        <v/>
      </c>
      <c r="B584" t="str">
        <f>IF(LEN($A584),IF(LEN(Declarations!$B584)&gt;0,Declarations!$B584,"#"&amp;$A584),"")</f>
        <v/>
      </c>
      <c r="C584" s="209" t="str">
        <f t="array" ref="C584">IF(LEN(INDEX(DECLARATIONS,$AA584,3))&gt;0,INDEX(DECLARATIONS,$AA584,3),"...")</f>
        <v>...</v>
      </c>
      <c r="D584" s="209" t="str">
        <f t="shared" si="1"/>
        <v/>
      </c>
      <c r="E584" s="296" t="str">
        <f t="array" ref="E584">IF(ISNA($AA584),0,INDEX(DECLARATIONS,$AA584,5))</f>
        <v/>
      </c>
      <c r="F584" s="209" t="str">
        <f t="array" ref="F584">IF(ISNA($AA584),0,INDEX(DECLARATIONS,$AA584,7))</f>
        <v/>
      </c>
      <c r="G584" s="209" t="str">
        <f t="array" ref="G584">UPPER(IF(ISNA($AA584),"",INDEX(DECLARATIONS,$AA584,4)))</f>
        <v/>
      </c>
      <c r="H584" t="str">
        <f>IF(AND(A584&gt;0,ISTEXT(B584)),IF(SECNAME="YES",LEFT(B584&amp;" ",FIND(" ",B584&amp;" ")+2)&amp;IF(F584&gt;0," ("&amp;F584&amp;")",""),B584&amp;IF(F584&gt;0," ("&amp;F584&amp;")","")),"#"&amp;$A584)</f>
        <v/>
      </c>
      <c r="I584" s="209">
        <f>IF(LEN($A584)&gt;0,IF(LEN($J584)&gt;0,MATCH(J584,MatchNames,0),EventIndex),0)</f>
        <v>0</v>
      </c>
      <c r="J584" s="209" t="str">
        <f>IF(LEN($A584)&gt;0,IF(LEN(Declarations!$F584)&gt;0,Declarations!$F584,conftype),"")</f>
        <v/>
      </c>
      <c r="M584" s="297">
        <f>IF(ISNA(VLOOKUP($A584,SprintData,2,FALSE)),0,VLOOKUP($A584,SprintData,2,FALSE))</f>
        <v>0</v>
      </c>
      <c r="N584" s="297">
        <f>IF(ISNA(VLOOKUP($A584,JumpData,2,FALSE)),0,VLOOKUP($A584,JumpData,2,FALSE))</f>
        <v>0</v>
      </c>
      <c r="O584" s="297">
        <f>IF(ISNA(VLOOKUP($A584,RunData,2,FALSE)),0,VLOOKUP($A584,RunData,2,FALSE))</f>
        <v>0</v>
      </c>
      <c r="P584" s="297">
        <f>IF(ISNA(VLOOKUP($A584,ThrowData,2,FALSE)),0,VLOOKUP($A584,ThrowData,2,FALSE))</f>
        <v>0</v>
      </c>
      <c r="Q584" s="298">
        <f>IF(ISNA(VLOOKUP($A584,SprintData,4,FALSE)),0,VLOOKUP($A584,SprintData,4,FALSE))+V584</f>
        <v>0</v>
      </c>
      <c r="R584" s="298">
        <f>IF(ISNA(VLOOKUP($A584,JumpData,4,FALSE)),0,VLOOKUP($A584,JumpData,4,FALSE))+W584</f>
        <v>0</v>
      </c>
      <c r="S584" s="298">
        <f>IF(ISNA(VLOOKUP($A584,RunData,4,FALSE)),0,VLOOKUP($A584,RunData,4,FALSE))+X584</f>
        <v>0</v>
      </c>
      <c r="T584" s="298">
        <f>IF(ISNA(VLOOKUP($A584,ThrowData,4,FALSE)),0,VLOOKUP($A584,ThrowData,4,FALSE))+Y584</f>
        <v>0</v>
      </c>
      <c r="U584" s="299">
        <f t="shared" si="2"/>
        <v>0</v>
      </c>
      <c r="V584">
        <f>IF(AND($F584&gt;0,NOT(M584),Flexing),FlexPC,0)</f>
        <v>0</v>
      </c>
      <c r="W584">
        <f>IF(AND($F584&gt;0,NOT(N584),Flexing),FlexPC,0)</f>
        <v>0</v>
      </c>
      <c r="X584">
        <f>IF(AND($F584&gt;0,NOT(O584),Flexing),FlexPC,0)</f>
        <v>0</v>
      </c>
      <c r="Y584">
        <f>IF(AND($F584&gt;0,NOT(P584),Flexing),FlexPC,0)</f>
        <v>0</v>
      </c>
      <c r="AA584" s="209">
        <f t="shared" si="3"/>
        <v>583</v>
      </c>
    </row>
    <row r="585" ht="15.75" customHeight="1">
      <c r="A585" s="206" t="str">
        <f>+Declarations!A585&amp;""</f>
        <v/>
      </c>
      <c r="B585" t="str">
        <f>IF(LEN($A585),IF(LEN(Declarations!$B585)&gt;0,Declarations!$B585,"#"&amp;$A585),"")</f>
        <v/>
      </c>
      <c r="C585" s="209" t="str">
        <f t="array" ref="C585">IF(LEN(INDEX(DECLARATIONS,$AA585,3))&gt;0,INDEX(DECLARATIONS,$AA585,3),"...")</f>
        <v>...</v>
      </c>
      <c r="D585" s="209" t="str">
        <f t="shared" si="1"/>
        <v/>
      </c>
      <c r="E585" s="296" t="str">
        <f t="array" ref="E585">IF(ISNA($AA585),0,INDEX(DECLARATIONS,$AA585,5))</f>
        <v/>
      </c>
      <c r="F585" s="209" t="str">
        <f t="array" ref="F585">IF(ISNA($AA585),0,INDEX(DECLARATIONS,$AA585,7))</f>
        <v/>
      </c>
      <c r="G585" s="209" t="str">
        <f t="array" ref="G585">UPPER(IF(ISNA($AA585),"",INDEX(DECLARATIONS,$AA585,4)))</f>
        <v/>
      </c>
      <c r="H585" t="str">
        <f>IF(AND(A585&gt;0,ISTEXT(B585)),IF(SECNAME="YES",LEFT(B585&amp;" ",FIND(" ",B585&amp;" ")+2)&amp;IF(F585&gt;0," ("&amp;F585&amp;")",""),B585&amp;IF(F585&gt;0," ("&amp;F585&amp;")","")),"#"&amp;$A585)</f>
        <v/>
      </c>
      <c r="I585" s="209">
        <f>IF(LEN($A585)&gt;0,IF(LEN($J585)&gt;0,MATCH(J585,MatchNames,0),EventIndex),0)</f>
        <v>0</v>
      </c>
      <c r="J585" s="209" t="str">
        <f>IF(LEN($A585)&gt;0,IF(LEN(Declarations!$F585)&gt;0,Declarations!$F585,conftype),"")</f>
        <v/>
      </c>
      <c r="M585" s="297">
        <f>IF(ISNA(VLOOKUP($A585,SprintData,2,FALSE)),0,VLOOKUP($A585,SprintData,2,FALSE))</f>
        <v>0</v>
      </c>
      <c r="N585" s="297">
        <f>IF(ISNA(VLOOKUP($A585,JumpData,2,FALSE)),0,VLOOKUP($A585,JumpData,2,FALSE))</f>
        <v>0</v>
      </c>
      <c r="O585" s="297">
        <f>IF(ISNA(VLOOKUP($A585,RunData,2,FALSE)),0,VLOOKUP($A585,RunData,2,FALSE))</f>
        <v>0</v>
      </c>
      <c r="P585" s="297">
        <f>IF(ISNA(VLOOKUP($A585,ThrowData,2,FALSE)),0,VLOOKUP($A585,ThrowData,2,FALSE))</f>
        <v>0</v>
      </c>
      <c r="Q585" s="298">
        <f>IF(ISNA(VLOOKUP($A585,SprintData,4,FALSE)),0,VLOOKUP($A585,SprintData,4,FALSE))+V585</f>
        <v>0</v>
      </c>
      <c r="R585" s="298">
        <f>IF(ISNA(VLOOKUP($A585,JumpData,4,FALSE)),0,VLOOKUP($A585,JumpData,4,FALSE))+W585</f>
        <v>0</v>
      </c>
      <c r="S585" s="298">
        <f>IF(ISNA(VLOOKUP($A585,RunData,4,FALSE)),0,VLOOKUP($A585,RunData,4,FALSE))+X585</f>
        <v>0</v>
      </c>
      <c r="T585" s="298">
        <f>IF(ISNA(VLOOKUP($A585,ThrowData,4,FALSE)),0,VLOOKUP($A585,ThrowData,4,FALSE))+Y585</f>
        <v>0</v>
      </c>
      <c r="U585" s="299">
        <f t="shared" si="2"/>
        <v>0</v>
      </c>
      <c r="V585">
        <f>IF(AND($F585&gt;0,NOT(M585),Flexing),FlexPC,0)</f>
        <v>0</v>
      </c>
      <c r="W585">
        <f>IF(AND($F585&gt;0,NOT(N585),Flexing),FlexPC,0)</f>
        <v>0</v>
      </c>
      <c r="X585">
        <f>IF(AND($F585&gt;0,NOT(O585),Flexing),FlexPC,0)</f>
        <v>0</v>
      </c>
      <c r="Y585">
        <f>IF(AND($F585&gt;0,NOT(P585),Flexing),FlexPC,0)</f>
        <v>0</v>
      </c>
      <c r="AA585" s="209">
        <f t="shared" si="3"/>
        <v>584</v>
      </c>
    </row>
    <row r="586" ht="15.75" customHeight="1">
      <c r="A586" s="206" t="str">
        <f>+Declarations!A586&amp;""</f>
        <v/>
      </c>
      <c r="B586" t="str">
        <f>IF(LEN($A586),IF(LEN(Declarations!$B586)&gt;0,Declarations!$B586,"#"&amp;$A586),"")</f>
        <v/>
      </c>
      <c r="C586" s="209" t="str">
        <f t="array" ref="C586">IF(LEN(INDEX(DECLARATIONS,$AA586,3))&gt;0,INDEX(DECLARATIONS,$AA586,3),"...")</f>
        <v>...</v>
      </c>
      <c r="D586" s="209" t="str">
        <f t="shared" si="1"/>
        <v/>
      </c>
      <c r="E586" s="296" t="str">
        <f t="array" ref="E586">IF(ISNA($AA586),0,INDEX(DECLARATIONS,$AA586,5))</f>
        <v/>
      </c>
      <c r="F586" s="209" t="str">
        <f t="array" ref="F586">IF(ISNA($AA586),0,INDEX(DECLARATIONS,$AA586,7))</f>
        <v/>
      </c>
      <c r="G586" s="209" t="str">
        <f t="array" ref="G586">UPPER(IF(ISNA($AA586),"",INDEX(DECLARATIONS,$AA586,4)))</f>
        <v/>
      </c>
      <c r="H586" t="str">
        <f>IF(AND(A586&gt;0,ISTEXT(B586)),IF(SECNAME="YES",LEFT(B586&amp;" ",FIND(" ",B586&amp;" ")+2)&amp;IF(F586&gt;0," ("&amp;F586&amp;")",""),B586&amp;IF(F586&gt;0," ("&amp;F586&amp;")","")),"#"&amp;$A586)</f>
        <v/>
      </c>
      <c r="I586" s="209">
        <f>IF(LEN($A586)&gt;0,IF(LEN($J586)&gt;0,MATCH(J586,MatchNames,0),EventIndex),0)</f>
        <v>0</v>
      </c>
      <c r="J586" s="209" t="str">
        <f>IF(LEN($A586)&gt;0,IF(LEN(Declarations!$F586)&gt;0,Declarations!$F586,conftype),"")</f>
        <v/>
      </c>
      <c r="M586" s="297">
        <f>IF(ISNA(VLOOKUP($A586,SprintData,2,FALSE)),0,VLOOKUP($A586,SprintData,2,FALSE))</f>
        <v>0</v>
      </c>
      <c r="N586" s="297">
        <f>IF(ISNA(VLOOKUP($A586,JumpData,2,FALSE)),0,VLOOKUP($A586,JumpData,2,FALSE))</f>
        <v>0</v>
      </c>
      <c r="O586" s="297">
        <f>IF(ISNA(VLOOKUP($A586,RunData,2,FALSE)),0,VLOOKUP($A586,RunData,2,FALSE))</f>
        <v>0</v>
      </c>
      <c r="P586" s="297">
        <f>IF(ISNA(VLOOKUP($A586,ThrowData,2,FALSE)),0,VLOOKUP($A586,ThrowData,2,FALSE))</f>
        <v>0</v>
      </c>
      <c r="Q586" s="298">
        <f>IF(ISNA(VLOOKUP($A586,SprintData,4,FALSE)),0,VLOOKUP($A586,SprintData,4,FALSE))+V586</f>
        <v>0</v>
      </c>
      <c r="R586" s="298">
        <f>IF(ISNA(VLOOKUP($A586,JumpData,4,FALSE)),0,VLOOKUP($A586,JumpData,4,FALSE))+W586</f>
        <v>0</v>
      </c>
      <c r="S586" s="298">
        <f>IF(ISNA(VLOOKUP($A586,RunData,4,FALSE)),0,VLOOKUP($A586,RunData,4,FALSE))+X586</f>
        <v>0</v>
      </c>
      <c r="T586" s="298">
        <f>IF(ISNA(VLOOKUP($A586,ThrowData,4,FALSE)),0,VLOOKUP($A586,ThrowData,4,FALSE))+Y586</f>
        <v>0</v>
      </c>
      <c r="U586" s="299">
        <f t="shared" si="2"/>
        <v>0</v>
      </c>
      <c r="V586">
        <f>IF(AND($F586&gt;0,NOT(M586),Flexing),FlexPC,0)</f>
        <v>0</v>
      </c>
      <c r="W586">
        <f>IF(AND($F586&gt;0,NOT(N586),Flexing),FlexPC,0)</f>
        <v>0</v>
      </c>
      <c r="X586">
        <f>IF(AND($F586&gt;0,NOT(O586),Flexing),FlexPC,0)</f>
        <v>0</v>
      </c>
      <c r="Y586">
        <f>IF(AND($F586&gt;0,NOT(P586),Flexing),FlexPC,0)</f>
        <v>0</v>
      </c>
      <c r="AA586" s="209">
        <f t="shared" si="3"/>
        <v>585</v>
      </c>
    </row>
    <row r="587" ht="15.75" customHeight="1">
      <c r="A587" s="206" t="str">
        <f>+Declarations!A587&amp;""</f>
        <v/>
      </c>
      <c r="B587" t="str">
        <f>IF(LEN($A587),IF(LEN(Declarations!$B587)&gt;0,Declarations!$B587,"#"&amp;$A587),"")</f>
        <v/>
      </c>
      <c r="C587" s="209" t="str">
        <f t="array" ref="C587">IF(LEN(INDEX(DECLARATIONS,$AA587,3))&gt;0,INDEX(DECLARATIONS,$AA587,3),"...")</f>
        <v>...</v>
      </c>
      <c r="D587" s="209" t="str">
        <f t="shared" si="1"/>
        <v/>
      </c>
      <c r="E587" s="296" t="str">
        <f t="array" ref="E587">IF(ISNA($AA587),0,INDEX(DECLARATIONS,$AA587,5))</f>
        <v/>
      </c>
      <c r="F587" s="209" t="str">
        <f t="array" ref="F587">IF(ISNA($AA587),0,INDEX(DECLARATIONS,$AA587,7))</f>
        <v/>
      </c>
      <c r="G587" s="209" t="str">
        <f t="array" ref="G587">UPPER(IF(ISNA($AA587),"",INDEX(DECLARATIONS,$AA587,4)))</f>
        <v/>
      </c>
      <c r="H587" t="str">
        <f>IF(AND(A587&gt;0,ISTEXT(B587)),IF(SECNAME="YES",LEFT(B587&amp;" ",FIND(" ",B587&amp;" ")+2)&amp;IF(F587&gt;0," ("&amp;F587&amp;")",""),B587&amp;IF(F587&gt;0," ("&amp;F587&amp;")","")),"#"&amp;$A587)</f>
        <v/>
      </c>
      <c r="I587" s="209">
        <f>IF(LEN($A587)&gt;0,IF(LEN($J587)&gt;0,MATCH(J587,MatchNames,0),EventIndex),0)</f>
        <v>0</v>
      </c>
      <c r="J587" s="209" t="str">
        <f>IF(LEN($A587)&gt;0,IF(LEN(Declarations!$F587)&gt;0,Declarations!$F587,conftype),"")</f>
        <v/>
      </c>
      <c r="M587" s="297">
        <f>IF(ISNA(VLOOKUP($A587,SprintData,2,FALSE)),0,VLOOKUP($A587,SprintData,2,FALSE))</f>
        <v>0</v>
      </c>
      <c r="N587" s="297">
        <f>IF(ISNA(VLOOKUP($A587,JumpData,2,FALSE)),0,VLOOKUP($A587,JumpData,2,FALSE))</f>
        <v>0</v>
      </c>
      <c r="O587" s="297">
        <f>IF(ISNA(VLOOKUP($A587,RunData,2,FALSE)),0,VLOOKUP($A587,RunData,2,FALSE))</f>
        <v>0</v>
      </c>
      <c r="P587" s="297">
        <f>IF(ISNA(VLOOKUP($A587,ThrowData,2,FALSE)),0,VLOOKUP($A587,ThrowData,2,FALSE))</f>
        <v>0</v>
      </c>
      <c r="Q587" s="298">
        <f>IF(ISNA(VLOOKUP($A587,SprintData,4,FALSE)),0,VLOOKUP($A587,SprintData,4,FALSE))+V587</f>
        <v>0</v>
      </c>
      <c r="R587" s="298">
        <f>IF(ISNA(VLOOKUP($A587,JumpData,4,FALSE)),0,VLOOKUP($A587,JumpData,4,FALSE))+W587</f>
        <v>0</v>
      </c>
      <c r="S587" s="298">
        <f>IF(ISNA(VLOOKUP($A587,RunData,4,FALSE)),0,VLOOKUP($A587,RunData,4,FALSE))+X587</f>
        <v>0</v>
      </c>
      <c r="T587" s="298">
        <f>IF(ISNA(VLOOKUP($A587,ThrowData,4,FALSE)),0,VLOOKUP($A587,ThrowData,4,FALSE))+Y587</f>
        <v>0</v>
      </c>
      <c r="U587" s="299">
        <f t="shared" si="2"/>
        <v>0</v>
      </c>
      <c r="V587">
        <f>IF(AND($F587&gt;0,NOT(M587),Flexing),FlexPC,0)</f>
        <v>0</v>
      </c>
      <c r="W587">
        <f>IF(AND($F587&gt;0,NOT(N587),Flexing),FlexPC,0)</f>
        <v>0</v>
      </c>
      <c r="X587">
        <f>IF(AND($F587&gt;0,NOT(O587),Flexing),FlexPC,0)</f>
        <v>0</v>
      </c>
      <c r="Y587">
        <f>IF(AND($F587&gt;0,NOT(P587),Flexing),FlexPC,0)</f>
        <v>0</v>
      </c>
      <c r="AA587" s="209">
        <f t="shared" si="3"/>
        <v>586</v>
      </c>
    </row>
    <row r="588" ht="15.75" customHeight="1">
      <c r="A588" s="206" t="str">
        <f>+Declarations!A588&amp;""</f>
        <v/>
      </c>
      <c r="B588" t="str">
        <f>IF(LEN($A588),IF(LEN(Declarations!$B588)&gt;0,Declarations!$B588,"#"&amp;$A588),"")</f>
        <v/>
      </c>
      <c r="C588" s="209" t="str">
        <f t="array" ref="C588">IF(LEN(INDEX(DECLARATIONS,$AA588,3))&gt;0,INDEX(DECLARATIONS,$AA588,3),"...")</f>
        <v>...</v>
      </c>
      <c r="D588" s="209" t="str">
        <f t="shared" si="1"/>
        <v/>
      </c>
      <c r="E588" s="296" t="str">
        <f t="array" ref="E588">IF(ISNA($AA588),0,INDEX(DECLARATIONS,$AA588,5))</f>
        <v/>
      </c>
      <c r="F588" s="209" t="str">
        <f t="array" ref="F588">IF(ISNA($AA588),0,INDEX(DECLARATIONS,$AA588,7))</f>
        <v/>
      </c>
      <c r="G588" s="209" t="str">
        <f t="array" ref="G588">UPPER(IF(ISNA($AA588),"",INDEX(DECLARATIONS,$AA588,4)))</f>
        <v/>
      </c>
      <c r="H588" t="str">
        <f>IF(AND(A588&gt;0,ISTEXT(B588)),IF(SECNAME="YES",LEFT(B588&amp;" ",FIND(" ",B588&amp;" ")+2)&amp;IF(F588&gt;0," ("&amp;F588&amp;")",""),B588&amp;IF(F588&gt;0," ("&amp;F588&amp;")","")),"#"&amp;$A588)</f>
        <v/>
      </c>
      <c r="I588" s="209">
        <f>IF(LEN($A588)&gt;0,IF(LEN($J588)&gt;0,MATCH(J588,MatchNames,0),EventIndex),0)</f>
        <v>0</v>
      </c>
      <c r="J588" s="209" t="str">
        <f>IF(LEN($A588)&gt;0,IF(LEN(Declarations!$F588)&gt;0,Declarations!$F588,conftype),"")</f>
        <v/>
      </c>
      <c r="M588" s="297">
        <f>IF(ISNA(VLOOKUP($A588,SprintData,2,FALSE)),0,VLOOKUP($A588,SprintData,2,FALSE))</f>
        <v>0</v>
      </c>
      <c r="N588" s="297">
        <f>IF(ISNA(VLOOKUP($A588,JumpData,2,FALSE)),0,VLOOKUP($A588,JumpData,2,FALSE))</f>
        <v>0</v>
      </c>
      <c r="O588" s="297">
        <f>IF(ISNA(VLOOKUP($A588,RunData,2,FALSE)),0,VLOOKUP($A588,RunData,2,FALSE))</f>
        <v>0</v>
      </c>
      <c r="P588" s="297">
        <f>IF(ISNA(VLOOKUP($A588,ThrowData,2,FALSE)),0,VLOOKUP($A588,ThrowData,2,FALSE))</f>
        <v>0</v>
      </c>
      <c r="Q588" s="298">
        <f>IF(ISNA(VLOOKUP($A588,SprintData,4,FALSE)),0,VLOOKUP($A588,SprintData,4,FALSE))+V588</f>
        <v>0</v>
      </c>
      <c r="R588" s="298">
        <f>IF(ISNA(VLOOKUP($A588,JumpData,4,FALSE)),0,VLOOKUP($A588,JumpData,4,FALSE))+W588</f>
        <v>0</v>
      </c>
      <c r="S588" s="298">
        <f>IF(ISNA(VLOOKUP($A588,RunData,4,FALSE)),0,VLOOKUP($A588,RunData,4,FALSE))+X588</f>
        <v>0</v>
      </c>
      <c r="T588" s="298">
        <f>IF(ISNA(VLOOKUP($A588,ThrowData,4,FALSE)),0,VLOOKUP($A588,ThrowData,4,FALSE))+Y588</f>
        <v>0</v>
      </c>
      <c r="U588" s="299">
        <f t="shared" si="2"/>
        <v>0</v>
      </c>
      <c r="V588">
        <f>IF(AND($F588&gt;0,NOT(M588),Flexing),FlexPC,0)</f>
        <v>0</v>
      </c>
      <c r="W588">
        <f>IF(AND($F588&gt;0,NOT(N588),Flexing),FlexPC,0)</f>
        <v>0</v>
      </c>
      <c r="X588">
        <f>IF(AND($F588&gt;0,NOT(O588),Flexing),FlexPC,0)</f>
        <v>0</v>
      </c>
      <c r="Y588">
        <f>IF(AND($F588&gt;0,NOT(P588),Flexing),FlexPC,0)</f>
        <v>0</v>
      </c>
      <c r="AA588" s="209">
        <f t="shared" si="3"/>
        <v>587</v>
      </c>
    </row>
    <row r="589" ht="15.75" customHeight="1">
      <c r="A589" s="206" t="str">
        <f>+Declarations!A589&amp;""</f>
        <v/>
      </c>
      <c r="B589" t="str">
        <f>IF(LEN($A589),IF(LEN(Declarations!$B589)&gt;0,Declarations!$B589,"#"&amp;$A589),"")</f>
        <v/>
      </c>
      <c r="C589" s="209" t="str">
        <f t="array" ref="C589">IF(LEN(INDEX(DECLARATIONS,$AA589,3))&gt;0,INDEX(DECLARATIONS,$AA589,3),"...")</f>
        <v>...</v>
      </c>
      <c r="D589" s="209" t="str">
        <f t="shared" si="1"/>
        <v/>
      </c>
      <c r="E589" s="296" t="str">
        <f t="array" ref="E589">IF(ISNA($AA589),0,INDEX(DECLARATIONS,$AA589,5))</f>
        <v/>
      </c>
      <c r="F589" s="209" t="str">
        <f t="array" ref="F589">IF(ISNA($AA589),0,INDEX(DECLARATIONS,$AA589,7))</f>
        <v/>
      </c>
      <c r="G589" s="209" t="str">
        <f t="array" ref="G589">UPPER(IF(ISNA($AA589),"",INDEX(DECLARATIONS,$AA589,4)))</f>
        <v/>
      </c>
      <c r="H589" t="str">
        <f>IF(AND(A589&gt;0,ISTEXT(B589)),IF(SECNAME="YES",LEFT(B589&amp;" ",FIND(" ",B589&amp;" ")+2)&amp;IF(F589&gt;0," ("&amp;F589&amp;")",""),B589&amp;IF(F589&gt;0," ("&amp;F589&amp;")","")),"#"&amp;$A589)</f>
        <v/>
      </c>
      <c r="I589" s="209">
        <f>IF(LEN($A589)&gt;0,IF(LEN($J589)&gt;0,MATCH(J589,MatchNames,0),EventIndex),0)</f>
        <v>0</v>
      </c>
      <c r="J589" s="209" t="str">
        <f>IF(LEN($A589)&gt;0,IF(LEN(Declarations!$F589)&gt;0,Declarations!$F589,conftype),"")</f>
        <v/>
      </c>
      <c r="M589" s="297">
        <f>IF(ISNA(VLOOKUP($A589,SprintData,2,FALSE)),0,VLOOKUP($A589,SprintData,2,FALSE))</f>
        <v>0</v>
      </c>
      <c r="N589" s="297">
        <f>IF(ISNA(VLOOKUP($A589,JumpData,2,FALSE)),0,VLOOKUP($A589,JumpData,2,FALSE))</f>
        <v>0</v>
      </c>
      <c r="O589" s="297">
        <f>IF(ISNA(VLOOKUP($A589,RunData,2,FALSE)),0,VLOOKUP($A589,RunData,2,FALSE))</f>
        <v>0</v>
      </c>
      <c r="P589" s="297">
        <f>IF(ISNA(VLOOKUP($A589,ThrowData,2,FALSE)),0,VLOOKUP($A589,ThrowData,2,FALSE))</f>
        <v>0</v>
      </c>
      <c r="Q589" s="298">
        <f>IF(ISNA(VLOOKUP($A589,SprintData,4,FALSE)),0,VLOOKUP($A589,SprintData,4,FALSE))+V589</f>
        <v>0</v>
      </c>
      <c r="R589" s="298">
        <f>IF(ISNA(VLOOKUP($A589,JumpData,4,FALSE)),0,VLOOKUP($A589,JumpData,4,FALSE))+W589</f>
        <v>0</v>
      </c>
      <c r="S589" s="298">
        <f>IF(ISNA(VLOOKUP($A589,RunData,4,FALSE)),0,VLOOKUP($A589,RunData,4,FALSE))+X589</f>
        <v>0</v>
      </c>
      <c r="T589" s="298">
        <f>IF(ISNA(VLOOKUP($A589,ThrowData,4,FALSE)),0,VLOOKUP($A589,ThrowData,4,FALSE))+Y589</f>
        <v>0</v>
      </c>
      <c r="U589" s="299">
        <f t="shared" si="2"/>
        <v>0</v>
      </c>
      <c r="V589">
        <f>IF(AND($F589&gt;0,NOT(M589),Flexing),FlexPC,0)</f>
        <v>0</v>
      </c>
      <c r="W589">
        <f>IF(AND($F589&gt;0,NOT(N589),Flexing),FlexPC,0)</f>
        <v>0</v>
      </c>
      <c r="X589">
        <f>IF(AND($F589&gt;0,NOT(O589),Flexing),FlexPC,0)</f>
        <v>0</v>
      </c>
      <c r="Y589">
        <f>IF(AND($F589&gt;0,NOT(P589),Flexing),FlexPC,0)</f>
        <v>0</v>
      </c>
      <c r="AA589" s="209">
        <f t="shared" si="3"/>
        <v>588</v>
      </c>
    </row>
    <row r="590" ht="15.75" customHeight="1">
      <c r="A590" s="206" t="str">
        <f>+Declarations!A590&amp;""</f>
        <v/>
      </c>
      <c r="B590" t="str">
        <f>IF(LEN($A590),IF(LEN(Declarations!$B590)&gt;0,Declarations!$B590,"#"&amp;$A590),"")</f>
        <v/>
      </c>
      <c r="C590" s="209" t="str">
        <f t="array" ref="C590">IF(LEN(INDEX(DECLARATIONS,$AA590,3))&gt;0,INDEX(DECLARATIONS,$AA590,3),"...")</f>
        <v>...</v>
      </c>
      <c r="D590" s="209" t="str">
        <f t="shared" si="1"/>
        <v/>
      </c>
      <c r="E590" s="296" t="str">
        <f t="array" ref="E590">IF(ISNA($AA590),0,INDEX(DECLARATIONS,$AA590,5))</f>
        <v/>
      </c>
      <c r="F590" s="209" t="str">
        <f t="array" ref="F590">IF(ISNA($AA590),0,INDEX(DECLARATIONS,$AA590,7))</f>
        <v/>
      </c>
      <c r="G590" s="209" t="str">
        <f t="array" ref="G590">UPPER(IF(ISNA($AA590),"",INDEX(DECLARATIONS,$AA590,4)))</f>
        <v/>
      </c>
      <c r="H590" t="str">
        <f>IF(AND(A590&gt;0,ISTEXT(B590)),IF(SECNAME="YES",LEFT(B590&amp;" ",FIND(" ",B590&amp;" ")+2)&amp;IF(F590&gt;0," ("&amp;F590&amp;")",""),B590&amp;IF(F590&gt;0," ("&amp;F590&amp;")","")),"#"&amp;$A590)</f>
        <v/>
      </c>
      <c r="I590" s="209">
        <f>IF(LEN($A590)&gt;0,IF(LEN($J590)&gt;0,MATCH(J590,MatchNames,0),EventIndex),0)</f>
        <v>0</v>
      </c>
      <c r="J590" s="209" t="str">
        <f>IF(LEN($A590)&gt;0,IF(LEN(Declarations!$F590)&gt;0,Declarations!$F590,conftype),"")</f>
        <v/>
      </c>
      <c r="M590" s="297">
        <f>IF(ISNA(VLOOKUP($A590,SprintData,2,FALSE)),0,VLOOKUP($A590,SprintData,2,FALSE))</f>
        <v>0</v>
      </c>
      <c r="N590" s="297">
        <f>IF(ISNA(VLOOKUP($A590,JumpData,2,FALSE)),0,VLOOKUP($A590,JumpData,2,FALSE))</f>
        <v>0</v>
      </c>
      <c r="O590" s="297">
        <f>IF(ISNA(VLOOKUP($A590,RunData,2,FALSE)),0,VLOOKUP($A590,RunData,2,FALSE))</f>
        <v>0</v>
      </c>
      <c r="P590" s="297">
        <f>IF(ISNA(VLOOKUP($A590,ThrowData,2,FALSE)),0,VLOOKUP($A590,ThrowData,2,FALSE))</f>
        <v>0</v>
      </c>
      <c r="Q590" s="298">
        <f>IF(ISNA(VLOOKUP($A590,SprintData,4,FALSE)),0,VLOOKUP($A590,SprintData,4,FALSE))+V590</f>
        <v>0</v>
      </c>
      <c r="R590" s="298">
        <f>IF(ISNA(VLOOKUP($A590,JumpData,4,FALSE)),0,VLOOKUP($A590,JumpData,4,FALSE))+W590</f>
        <v>0</v>
      </c>
      <c r="S590" s="298">
        <f>IF(ISNA(VLOOKUP($A590,RunData,4,FALSE)),0,VLOOKUP($A590,RunData,4,FALSE))+X590</f>
        <v>0</v>
      </c>
      <c r="T590" s="298">
        <f>IF(ISNA(VLOOKUP($A590,ThrowData,4,FALSE)),0,VLOOKUP($A590,ThrowData,4,FALSE))+Y590</f>
        <v>0</v>
      </c>
      <c r="U590" s="299">
        <f t="shared" si="2"/>
        <v>0</v>
      </c>
      <c r="V590">
        <f>IF(AND($F590&gt;0,NOT(M590),Flexing),FlexPC,0)</f>
        <v>0</v>
      </c>
      <c r="W590">
        <f>IF(AND($F590&gt;0,NOT(N590),Flexing),FlexPC,0)</f>
        <v>0</v>
      </c>
      <c r="X590">
        <f>IF(AND($F590&gt;0,NOT(O590),Flexing),FlexPC,0)</f>
        <v>0</v>
      </c>
      <c r="Y590">
        <f>IF(AND($F590&gt;0,NOT(P590),Flexing),FlexPC,0)</f>
        <v>0</v>
      </c>
      <c r="AA590" s="209">
        <f t="shared" si="3"/>
        <v>589</v>
      </c>
    </row>
    <row r="591" ht="15.75" customHeight="1">
      <c r="A591" s="206" t="str">
        <f>+Declarations!A591&amp;""</f>
        <v/>
      </c>
      <c r="B591" t="str">
        <f>IF(LEN($A591),IF(LEN(Declarations!$B591)&gt;0,Declarations!$B591,"#"&amp;$A591),"")</f>
        <v/>
      </c>
      <c r="C591" s="209" t="str">
        <f t="array" ref="C591">IF(LEN(INDEX(DECLARATIONS,$AA591,3))&gt;0,INDEX(DECLARATIONS,$AA591,3),"...")</f>
        <v>...</v>
      </c>
      <c r="D591" s="209" t="str">
        <f t="shared" si="1"/>
        <v/>
      </c>
      <c r="E591" s="296" t="str">
        <f t="array" ref="E591">IF(ISNA($AA591),0,INDEX(DECLARATIONS,$AA591,5))</f>
        <v/>
      </c>
      <c r="F591" s="209" t="str">
        <f t="array" ref="F591">IF(ISNA($AA591),0,INDEX(DECLARATIONS,$AA591,7))</f>
        <v/>
      </c>
      <c r="G591" s="209" t="str">
        <f t="array" ref="G591">UPPER(IF(ISNA($AA591),"",INDEX(DECLARATIONS,$AA591,4)))</f>
        <v/>
      </c>
      <c r="H591" t="str">
        <f>IF(AND(A591&gt;0,ISTEXT(B591)),IF(SECNAME="YES",LEFT(B591&amp;" ",FIND(" ",B591&amp;" ")+2)&amp;IF(F591&gt;0," ("&amp;F591&amp;")",""),B591&amp;IF(F591&gt;0," ("&amp;F591&amp;")","")),"#"&amp;$A591)</f>
        <v/>
      </c>
      <c r="I591" s="209">
        <f>IF(LEN($A591)&gt;0,IF(LEN($J591)&gt;0,MATCH(J591,MatchNames,0),EventIndex),0)</f>
        <v>0</v>
      </c>
      <c r="J591" s="209" t="str">
        <f>IF(LEN($A591)&gt;0,IF(LEN(Declarations!$F591)&gt;0,Declarations!$F591,conftype),"")</f>
        <v/>
      </c>
      <c r="M591" s="297">
        <f>IF(ISNA(VLOOKUP($A591,SprintData,2,FALSE)),0,VLOOKUP($A591,SprintData,2,FALSE))</f>
        <v>0</v>
      </c>
      <c r="N591" s="297">
        <f>IF(ISNA(VLOOKUP($A591,JumpData,2,FALSE)),0,VLOOKUP($A591,JumpData,2,FALSE))</f>
        <v>0</v>
      </c>
      <c r="O591" s="297">
        <f>IF(ISNA(VLOOKUP($A591,RunData,2,FALSE)),0,VLOOKUP($A591,RunData,2,FALSE))</f>
        <v>0</v>
      </c>
      <c r="P591" s="297">
        <f>IF(ISNA(VLOOKUP($A591,ThrowData,2,FALSE)),0,VLOOKUP($A591,ThrowData,2,FALSE))</f>
        <v>0</v>
      </c>
      <c r="Q591" s="298">
        <f>IF(ISNA(VLOOKUP($A591,SprintData,4,FALSE)),0,VLOOKUP($A591,SprintData,4,FALSE))+V591</f>
        <v>0</v>
      </c>
      <c r="R591" s="298">
        <f>IF(ISNA(VLOOKUP($A591,JumpData,4,FALSE)),0,VLOOKUP($A591,JumpData,4,FALSE))+W591</f>
        <v>0</v>
      </c>
      <c r="S591" s="298">
        <f>IF(ISNA(VLOOKUP($A591,RunData,4,FALSE)),0,VLOOKUP($A591,RunData,4,FALSE))+X591</f>
        <v>0</v>
      </c>
      <c r="T591" s="298">
        <f>IF(ISNA(VLOOKUP($A591,ThrowData,4,FALSE)),0,VLOOKUP($A591,ThrowData,4,FALSE))+Y591</f>
        <v>0</v>
      </c>
      <c r="U591" s="299">
        <f t="shared" si="2"/>
        <v>0</v>
      </c>
      <c r="V591">
        <f>IF(AND($F591&gt;0,NOT(M591),Flexing),FlexPC,0)</f>
        <v>0</v>
      </c>
      <c r="W591">
        <f>IF(AND($F591&gt;0,NOT(N591),Flexing),FlexPC,0)</f>
        <v>0</v>
      </c>
      <c r="X591">
        <f>IF(AND($F591&gt;0,NOT(O591),Flexing),FlexPC,0)</f>
        <v>0</v>
      </c>
      <c r="Y591">
        <f>IF(AND($F591&gt;0,NOT(P591),Flexing),FlexPC,0)</f>
        <v>0</v>
      </c>
      <c r="AA591" s="209">
        <f t="shared" si="3"/>
        <v>590</v>
      </c>
    </row>
    <row r="592" ht="15.75" customHeight="1">
      <c r="A592" s="206" t="str">
        <f>+Declarations!A592&amp;""</f>
        <v/>
      </c>
      <c r="B592" t="str">
        <f>IF(LEN($A592),IF(LEN(Declarations!$B592)&gt;0,Declarations!$B592,"#"&amp;$A592),"")</f>
        <v/>
      </c>
      <c r="C592" s="209" t="str">
        <f t="array" ref="C592">IF(LEN(INDEX(DECLARATIONS,$AA592,3))&gt;0,INDEX(DECLARATIONS,$AA592,3),"...")</f>
        <v>...</v>
      </c>
      <c r="D592" s="209" t="str">
        <f t="shared" si="1"/>
        <v/>
      </c>
      <c r="E592" s="296" t="str">
        <f t="array" ref="E592">IF(ISNA($AA592),0,INDEX(DECLARATIONS,$AA592,5))</f>
        <v/>
      </c>
      <c r="F592" s="209" t="str">
        <f t="array" ref="F592">IF(ISNA($AA592),0,INDEX(DECLARATIONS,$AA592,7))</f>
        <v/>
      </c>
      <c r="G592" s="209" t="str">
        <f t="array" ref="G592">UPPER(IF(ISNA($AA592),"",INDEX(DECLARATIONS,$AA592,4)))</f>
        <v/>
      </c>
      <c r="H592" t="str">
        <f>IF(AND(A592&gt;0,ISTEXT(B592)),IF(SECNAME="YES",LEFT(B592&amp;" ",FIND(" ",B592&amp;" ")+2)&amp;IF(F592&gt;0," ("&amp;F592&amp;")",""),B592&amp;IF(F592&gt;0," ("&amp;F592&amp;")","")),"#"&amp;$A592)</f>
        <v/>
      </c>
      <c r="I592" s="209">
        <f>IF(LEN($A592)&gt;0,IF(LEN($J592)&gt;0,MATCH(J592,MatchNames,0),EventIndex),0)</f>
        <v>0</v>
      </c>
      <c r="J592" s="209" t="str">
        <f>IF(LEN($A592)&gt;0,IF(LEN(Declarations!$F592)&gt;0,Declarations!$F592,conftype),"")</f>
        <v/>
      </c>
      <c r="M592" s="297">
        <f>IF(ISNA(VLOOKUP($A592,SprintData,2,FALSE)),0,VLOOKUP($A592,SprintData,2,FALSE))</f>
        <v>0</v>
      </c>
      <c r="N592" s="297">
        <f>IF(ISNA(VLOOKUP($A592,JumpData,2,FALSE)),0,VLOOKUP($A592,JumpData,2,FALSE))</f>
        <v>0</v>
      </c>
      <c r="O592" s="297">
        <f>IF(ISNA(VLOOKUP($A592,RunData,2,FALSE)),0,VLOOKUP($A592,RunData,2,FALSE))</f>
        <v>0</v>
      </c>
      <c r="P592" s="297">
        <f>IF(ISNA(VLOOKUP($A592,ThrowData,2,FALSE)),0,VLOOKUP($A592,ThrowData,2,FALSE))</f>
        <v>0</v>
      </c>
      <c r="Q592" s="298">
        <f>IF(ISNA(VLOOKUP($A592,SprintData,4,FALSE)),0,VLOOKUP($A592,SprintData,4,FALSE))+V592</f>
        <v>0</v>
      </c>
      <c r="R592" s="298">
        <f>IF(ISNA(VLOOKUP($A592,JumpData,4,FALSE)),0,VLOOKUP($A592,JumpData,4,FALSE))+W592</f>
        <v>0</v>
      </c>
      <c r="S592" s="298">
        <f>IF(ISNA(VLOOKUP($A592,RunData,4,FALSE)),0,VLOOKUP($A592,RunData,4,FALSE))+X592</f>
        <v>0</v>
      </c>
      <c r="T592" s="298">
        <f>IF(ISNA(VLOOKUP($A592,ThrowData,4,FALSE)),0,VLOOKUP($A592,ThrowData,4,FALSE))+Y592</f>
        <v>0</v>
      </c>
      <c r="U592" s="299">
        <f t="shared" si="2"/>
        <v>0</v>
      </c>
      <c r="V592">
        <f>IF(AND($F592&gt;0,NOT(M592),Flexing),FlexPC,0)</f>
        <v>0</v>
      </c>
      <c r="W592">
        <f>IF(AND($F592&gt;0,NOT(N592),Flexing),FlexPC,0)</f>
        <v>0</v>
      </c>
      <c r="X592">
        <f>IF(AND($F592&gt;0,NOT(O592),Flexing),FlexPC,0)</f>
        <v>0</v>
      </c>
      <c r="Y592">
        <f>IF(AND($F592&gt;0,NOT(P592),Flexing),FlexPC,0)</f>
        <v>0</v>
      </c>
      <c r="AA592" s="209">
        <f t="shared" si="3"/>
        <v>591</v>
      </c>
    </row>
    <row r="593" ht="15.75" customHeight="1">
      <c r="A593" s="206" t="str">
        <f>+Declarations!A593&amp;""</f>
        <v/>
      </c>
      <c r="B593" t="str">
        <f>IF(LEN($A593),IF(LEN(Declarations!$B593)&gt;0,Declarations!$B593,"#"&amp;$A593),"")</f>
        <v/>
      </c>
      <c r="C593" s="209" t="str">
        <f t="array" ref="C593">IF(LEN(INDEX(DECLARATIONS,$AA593,3))&gt;0,INDEX(DECLARATIONS,$AA593,3),"...")</f>
        <v>...</v>
      </c>
      <c r="D593" s="209" t="str">
        <f t="shared" si="1"/>
        <v/>
      </c>
      <c r="E593" s="296" t="str">
        <f t="array" ref="E593">IF(ISNA($AA593),0,INDEX(DECLARATIONS,$AA593,5))</f>
        <v/>
      </c>
      <c r="F593" s="209" t="str">
        <f t="array" ref="F593">IF(ISNA($AA593),0,INDEX(DECLARATIONS,$AA593,7))</f>
        <v/>
      </c>
      <c r="G593" s="209" t="str">
        <f t="array" ref="G593">UPPER(IF(ISNA($AA593),"",INDEX(DECLARATIONS,$AA593,4)))</f>
        <v/>
      </c>
      <c r="H593" t="str">
        <f>IF(AND(A593&gt;0,ISTEXT(B593)),IF(SECNAME="YES",LEFT(B593&amp;" ",FIND(" ",B593&amp;" ")+2)&amp;IF(F593&gt;0," ("&amp;F593&amp;")",""),B593&amp;IF(F593&gt;0," ("&amp;F593&amp;")","")),"#"&amp;$A593)</f>
        <v/>
      </c>
      <c r="I593" s="209">
        <f>IF(LEN($A593)&gt;0,IF(LEN($J593)&gt;0,MATCH(J593,MatchNames,0),EventIndex),0)</f>
        <v>0</v>
      </c>
      <c r="J593" s="209" t="str">
        <f>IF(LEN($A593)&gt;0,IF(LEN(Declarations!$F593)&gt;0,Declarations!$F593,conftype),"")</f>
        <v/>
      </c>
      <c r="M593" s="297">
        <f>IF(ISNA(VLOOKUP($A593,SprintData,2,FALSE)),0,VLOOKUP($A593,SprintData,2,FALSE))</f>
        <v>0</v>
      </c>
      <c r="N593" s="297">
        <f>IF(ISNA(VLOOKUP($A593,JumpData,2,FALSE)),0,VLOOKUP($A593,JumpData,2,FALSE))</f>
        <v>0</v>
      </c>
      <c r="O593" s="297">
        <f>IF(ISNA(VLOOKUP($A593,RunData,2,FALSE)),0,VLOOKUP($A593,RunData,2,FALSE))</f>
        <v>0</v>
      </c>
      <c r="P593" s="297">
        <f>IF(ISNA(VLOOKUP($A593,ThrowData,2,FALSE)),0,VLOOKUP($A593,ThrowData,2,FALSE))</f>
        <v>0</v>
      </c>
      <c r="Q593" s="298">
        <f>IF(ISNA(VLOOKUP($A593,SprintData,4,FALSE)),0,VLOOKUP($A593,SprintData,4,FALSE))+V593</f>
        <v>0</v>
      </c>
      <c r="R593" s="298">
        <f>IF(ISNA(VLOOKUP($A593,JumpData,4,FALSE)),0,VLOOKUP($A593,JumpData,4,FALSE))+W593</f>
        <v>0</v>
      </c>
      <c r="S593" s="298">
        <f>IF(ISNA(VLOOKUP($A593,RunData,4,FALSE)),0,VLOOKUP($A593,RunData,4,FALSE))+X593</f>
        <v>0</v>
      </c>
      <c r="T593" s="298">
        <f>IF(ISNA(VLOOKUP($A593,ThrowData,4,FALSE)),0,VLOOKUP($A593,ThrowData,4,FALSE))+Y593</f>
        <v>0</v>
      </c>
      <c r="U593" s="299">
        <f t="shared" si="2"/>
        <v>0</v>
      </c>
      <c r="V593">
        <f>IF(AND($F593&gt;0,NOT(M593),Flexing),FlexPC,0)</f>
        <v>0</v>
      </c>
      <c r="W593">
        <f>IF(AND($F593&gt;0,NOT(N593),Flexing),FlexPC,0)</f>
        <v>0</v>
      </c>
      <c r="X593">
        <f>IF(AND($F593&gt;0,NOT(O593),Flexing),FlexPC,0)</f>
        <v>0</v>
      </c>
      <c r="Y593">
        <f>IF(AND($F593&gt;0,NOT(P593),Flexing),FlexPC,0)</f>
        <v>0</v>
      </c>
      <c r="AA593" s="209">
        <f t="shared" si="3"/>
        <v>592</v>
      </c>
    </row>
    <row r="594" ht="15.75" customHeight="1">
      <c r="A594" s="206" t="str">
        <f>+Declarations!A594&amp;""</f>
        <v/>
      </c>
      <c r="B594" t="str">
        <f>IF(LEN($A594),IF(LEN(Declarations!$B594)&gt;0,Declarations!$B594,"#"&amp;$A594),"")</f>
        <v/>
      </c>
      <c r="C594" s="209" t="str">
        <f t="array" ref="C594">IF(LEN(INDEX(DECLARATIONS,$AA594,3))&gt;0,INDEX(DECLARATIONS,$AA594,3),"...")</f>
        <v>...</v>
      </c>
      <c r="D594" s="209" t="str">
        <f t="shared" si="1"/>
        <v/>
      </c>
      <c r="E594" s="296" t="str">
        <f t="array" ref="E594">IF(ISNA($AA594),0,INDEX(DECLARATIONS,$AA594,5))</f>
        <v/>
      </c>
      <c r="F594" s="209" t="str">
        <f t="array" ref="F594">IF(ISNA($AA594),0,INDEX(DECLARATIONS,$AA594,7))</f>
        <v/>
      </c>
      <c r="G594" s="209" t="str">
        <f t="array" ref="G594">UPPER(IF(ISNA($AA594),"",INDEX(DECLARATIONS,$AA594,4)))</f>
        <v/>
      </c>
      <c r="H594" t="str">
        <f>IF(AND(A594&gt;0,ISTEXT(B594)),IF(SECNAME="YES",LEFT(B594&amp;" ",FIND(" ",B594&amp;" ")+2)&amp;IF(F594&gt;0," ("&amp;F594&amp;")",""),B594&amp;IF(F594&gt;0," ("&amp;F594&amp;")","")),"#"&amp;$A594)</f>
        <v/>
      </c>
      <c r="I594" s="209">
        <f>IF(LEN($A594)&gt;0,IF(LEN($J594)&gt;0,MATCH(J594,MatchNames,0),EventIndex),0)</f>
        <v>0</v>
      </c>
      <c r="J594" s="209" t="str">
        <f>IF(LEN($A594)&gt;0,IF(LEN(Declarations!$F594)&gt;0,Declarations!$F594,conftype),"")</f>
        <v/>
      </c>
      <c r="M594" s="297">
        <f>IF(ISNA(VLOOKUP($A594,SprintData,2,FALSE)),0,VLOOKUP($A594,SprintData,2,FALSE))</f>
        <v>0</v>
      </c>
      <c r="N594" s="297">
        <f>IF(ISNA(VLOOKUP($A594,JumpData,2,FALSE)),0,VLOOKUP($A594,JumpData,2,FALSE))</f>
        <v>0</v>
      </c>
      <c r="O594" s="297">
        <f>IF(ISNA(VLOOKUP($A594,RunData,2,FALSE)),0,VLOOKUP($A594,RunData,2,FALSE))</f>
        <v>0</v>
      </c>
      <c r="P594" s="297">
        <f>IF(ISNA(VLOOKUP($A594,ThrowData,2,FALSE)),0,VLOOKUP($A594,ThrowData,2,FALSE))</f>
        <v>0</v>
      </c>
      <c r="Q594" s="298">
        <f>IF(ISNA(VLOOKUP($A594,SprintData,4,FALSE)),0,VLOOKUP($A594,SprintData,4,FALSE))+V594</f>
        <v>0</v>
      </c>
      <c r="R594" s="298">
        <f>IF(ISNA(VLOOKUP($A594,JumpData,4,FALSE)),0,VLOOKUP($A594,JumpData,4,FALSE))+W594</f>
        <v>0</v>
      </c>
      <c r="S594" s="298">
        <f>IF(ISNA(VLOOKUP($A594,RunData,4,FALSE)),0,VLOOKUP($A594,RunData,4,FALSE))+X594</f>
        <v>0</v>
      </c>
      <c r="T594" s="298">
        <f>IF(ISNA(VLOOKUP($A594,ThrowData,4,FALSE)),0,VLOOKUP($A594,ThrowData,4,FALSE))+Y594</f>
        <v>0</v>
      </c>
      <c r="U594" s="299">
        <f t="shared" si="2"/>
        <v>0</v>
      </c>
      <c r="V594">
        <f>IF(AND($F594&gt;0,NOT(M594),Flexing),FlexPC,0)</f>
        <v>0</v>
      </c>
      <c r="W594">
        <f>IF(AND($F594&gt;0,NOT(N594),Flexing),FlexPC,0)</f>
        <v>0</v>
      </c>
      <c r="X594">
        <f>IF(AND($F594&gt;0,NOT(O594),Flexing),FlexPC,0)</f>
        <v>0</v>
      </c>
      <c r="Y594">
        <f>IF(AND($F594&gt;0,NOT(P594),Flexing),FlexPC,0)</f>
        <v>0</v>
      </c>
      <c r="AA594" s="209">
        <f t="shared" si="3"/>
        <v>593</v>
      </c>
    </row>
    <row r="595" ht="15.75" customHeight="1">
      <c r="A595" s="206" t="str">
        <f>+Declarations!A595&amp;""</f>
        <v/>
      </c>
      <c r="B595" t="str">
        <f>IF(LEN($A595),IF(LEN(Declarations!$B595)&gt;0,Declarations!$B595,"#"&amp;$A595),"")</f>
        <v/>
      </c>
      <c r="C595" s="209" t="str">
        <f t="array" ref="C595">IF(LEN(INDEX(DECLARATIONS,$AA595,3))&gt;0,INDEX(DECLARATIONS,$AA595,3),"...")</f>
        <v>...</v>
      </c>
      <c r="D595" s="209" t="str">
        <f t="shared" si="1"/>
        <v/>
      </c>
      <c r="E595" s="296" t="str">
        <f t="array" ref="E595">IF(ISNA($AA595),0,INDEX(DECLARATIONS,$AA595,5))</f>
        <v/>
      </c>
      <c r="F595" s="209" t="str">
        <f t="array" ref="F595">IF(ISNA($AA595),0,INDEX(DECLARATIONS,$AA595,7))</f>
        <v/>
      </c>
      <c r="G595" s="209" t="str">
        <f t="array" ref="G595">UPPER(IF(ISNA($AA595),"",INDEX(DECLARATIONS,$AA595,4)))</f>
        <v/>
      </c>
      <c r="H595" t="str">
        <f>IF(AND(A595&gt;0,ISTEXT(B595)),IF(SECNAME="YES",LEFT(B595&amp;" ",FIND(" ",B595&amp;" ")+2)&amp;IF(F595&gt;0," ("&amp;F595&amp;")",""),B595&amp;IF(F595&gt;0," ("&amp;F595&amp;")","")),"#"&amp;$A595)</f>
        <v/>
      </c>
      <c r="I595" s="209">
        <f>IF(LEN($A595)&gt;0,IF(LEN($J595)&gt;0,MATCH(J595,MatchNames,0),EventIndex),0)</f>
        <v>0</v>
      </c>
      <c r="J595" s="209" t="str">
        <f>IF(LEN($A595)&gt;0,IF(LEN(Declarations!$F595)&gt;0,Declarations!$F595,conftype),"")</f>
        <v/>
      </c>
      <c r="M595" s="297">
        <f>IF(ISNA(VLOOKUP($A595,SprintData,2,FALSE)),0,VLOOKUP($A595,SprintData,2,FALSE))</f>
        <v>0</v>
      </c>
      <c r="N595" s="297">
        <f>IF(ISNA(VLOOKUP($A595,JumpData,2,FALSE)),0,VLOOKUP($A595,JumpData,2,FALSE))</f>
        <v>0</v>
      </c>
      <c r="O595" s="297">
        <f>IF(ISNA(VLOOKUP($A595,RunData,2,FALSE)),0,VLOOKUP($A595,RunData,2,FALSE))</f>
        <v>0</v>
      </c>
      <c r="P595" s="297">
        <f>IF(ISNA(VLOOKUP($A595,ThrowData,2,FALSE)),0,VLOOKUP($A595,ThrowData,2,FALSE))</f>
        <v>0</v>
      </c>
      <c r="Q595" s="298">
        <f>IF(ISNA(VLOOKUP($A595,SprintData,4,FALSE)),0,VLOOKUP($A595,SprintData,4,FALSE))+V595</f>
        <v>0</v>
      </c>
      <c r="R595" s="298">
        <f>IF(ISNA(VLOOKUP($A595,JumpData,4,FALSE)),0,VLOOKUP($A595,JumpData,4,FALSE))+W595</f>
        <v>0</v>
      </c>
      <c r="S595" s="298">
        <f>IF(ISNA(VLOOKUP($A595,RunData,4,FALSE)),0,VLOOKUP($A595,RunData,4,FALSE))+X595</f>
        <v>0</v>
      </c>
      <c r="T595" s="298">
        <f>IF(ISNA(VLOOKUP($A595,ThrowData,4,FALSE)),0,VLOOKUP($A595,ThrowData,4,FALSE))+Y595</f>
        <v>0</v>
      </c>
      <c r="U595" s="299">
        <f t="shared" si="2"/>
        <v>0</v>
      </c>
      <c r="V595">
        <f>IF(AND($F595&gt;0,NOT(M595),Flexing),FlexPC,0)</f>
        <v>0</v>
      </c>
      <c r="W595">
        <f>IF(AND($F595&gt;0,NOT(N595),Flexing),FlexPC,0)</f>
        <v>0</v>
      </c>
      <c r="X595">
        <f>IF(AND($F595&gt;0,NOT(O595),Flexing),FlexPC,0)</f>
        <v>0</v>
      </c>
      <c r="Y595">
        <f>IF(AND($F595&gt;0,NOT(P595),Flexing),FlexPC,0)</f>
        <v>0</v>
      </c>
      <c r="AA595" s="209">
        <f t="shared" si="3"/>
        <v>594</v>
      </c>
    </row>
    <row r="596" ht="15.75" customHeight="1">
      <c r="A596" s="206" t="str">
        <f>+Declarations!A596&amp;""</f>
        <v/>
      </c>
      <c r="B596" t="str">
        <f>IF(LEN($A596),IF(LEN(Declarations!$B596)&gt;0,Declarations!$B596,"#"&amp;$A596),"")</f>
        <v/>
      </c>
      <c r="C596" s="209" t="str">
        <f t="array" ref="C596">IF(LEN(INDEX(DECLARATIONS,$AA596,3))&gt;0,INDEX(DECLARATIONS,$AA596,3),"...")</f>
        <v>...</v>
      </c>
      <c r="D596" s="209" t="str">
        <f t="shared" si="1"/>
        <v/>
      </c>
      <c r="E596" s="296" t="str">
        <f t="array" ref="E596">IF(ISNA($AA596),0,INDEX(DECLARATIONS,$AA596,5))</f>
        <v/>
      </c>
      <c r="F596" s="209" t="str">
        <f t="array" ref="F596">IF(ISNA($AA596),0,INDEX(DECLARATIONS,$AA596,7))</f>
        <v/>
      </c>
      <c r="G596" s="209" t="str">
        <f t="array" ref="G596">UPPER(IF(ISNA($AA596),"",INDEX(DECLARATIONS,$AA596,4)))</f>
        <v/>
      </c>
      <c r="H596" t="str">
        <f>IF(AND(A596&gt;0,ISTEXT(B596)),IF(SECNAME="YES",LEFT(B596&amp;" ",FIND(" ",B596&amp;" ")+2)&amp;IF(F596&gt;0," ("&amp;F596&amp;")",""),B596&amp;IF(F596&gt;0," ("&amp;F596&amp;")","")),"#"&amp;$A596)</f>
        <v/>
      </c>
      <c r="I596" s="209">
        <f>IF(LEN($A596)&gt;0,IF(LEN($J596)&gt;0,MATCH(J596,MatchNames,0),EventIndex),0)</f>
        <v>0</v>
      </c>
      <c r="J596" s="209" t="str">
        <f>IF(LEN($A596)&gt;0,IF(LEN(Declarations!$F596)&gt;0,Declarations!$F596,conftype),"")</f>
        <v/>
      </c>
      <c r="M596" s="297">
        <f>IF(ISNA(VLOOKUP($A596,SprintData,2,FALSE)),0,VLOOKUP($A596,SprintData,2,FALSE))</f>
        <v>0</v>
      </c>
      <c r="N596" s="297">
        <f>IF(ISNA(VLOOKUP($A596,JumpData,2,FALSE)),0,VLOOKUP($A596,JumpData,2,FALSE))</f>
        <v>0</v>
      </c>
      <c r="O596" s="297">
        <f>IF(ISNA(VLOOKUP($A596,RunData,2,FALSE)),0,VLOOKUP($A596,RunData,2,FALSE))</f>
        <v>0</v>
      </c>
      <c r="P596" s="297">
        <f>IF(ISNA(VLOOKUP($A596,ThrowData,2,FALSE)),0,VLOOKUP($A596,ThrowData,2,FALSE))</f>
        <v>0</v>
      </c>
      <c r="Q596" s="298">
        <f>IF(ISNA(VLOOKUP($A596,SprintData,4,FALSE)),0,VLOOKUP($A596,SprintData,4,FALSE))+V596</f>
        <v>0</v>
      </c>
      <c r="R596" s="298">
        <f>IF(ISNA(VLOOKUP($A596,JumpData,4,FALSE)),0,VLOOKUP($A596,JumpData,4,FALSE))+W596</f>
        <v>0</v>
      </c>
      <c r="S596" s="298">
        <f>IF(ISNA(VLOOKUP($A596,RunData,4,FALSE)),0,VLOOKUP($A596,RunData,4,FALSE))+X596</f>
        <v>0</v>
      </c>
      <c r="T596" s="298">
        <f>IF(ISNA(VLOOKUP($A596,ThrowData,4,FALSE)),0,VLOOKUP($A596,ThrowData,4,FALSE))+Y596</f>
        <v>0</v>
      </c>
      <c r="U596" s="299">
        <f t="shared" si="2"/>
        <v>0</v>
      </c>
      <c r="V596">
        <f>IF(AND($F596&gt;0,NOT(M596),Flexing),FlexPC,0)</f>
        <v>0</v>
      </c>
      <c r="W596">
        <f>IF(AND($F596&gt;0,NOT(N596),Flexing),FlexPC,0)</f>
        <v>0</v>
      </c>
      <c r="X596">
        <f>IF(AND($F596&gt;0,NOT(O596),Flexing),FlexPC,0)</f>
        <v>0</v>
      </c>
      <c r="Y596">
        <f>IF(AND($F596&gt;0,NOT(P596),Flexing),FlexPC,0)</f>
        <v>0</v>
      </c>
      <c r="AA596" s="209">
        <f t="shared" si="3"/>
        <v>595</v>
      </c>
    </row>
    <row r="597" ht="15.75" customHeight="1">
      <c r="A597" s="206" t="str">
        <f>+Declarations!A597&amp;""</f>
        <v/>
      </c>
      <c r="B597" t="str">
        <f>IF(LEN($A597),IF(LEN(Declarations!$B597)&gt;0,Declarations!$B597,"#"&amp;$A597),"")</f>
        <v/>
      </c>
      <c r="C597" s="209" t="str">
        <f t="array" ref="C597">IF(LEN(INDEX(DECLARATIONS,$AA597,3))&gt;0,INDEX(DECLARATIONS,$AA597,3),"...")</f>
        <v>...</v>
      </c>
      <c r="D597" s="209" t="str">
        <f t="shared" si="1"/>
        <v/>
      </c>
      <c r="E597" s="296" t="str">
        <f t="array" ref="E597">IF(ISNA($AA597),0,INDEX(DECLARATIONS,$AA597,5))</f>
        <v/>
      </c>
      <c r="F597" s="209" t="str">
        <f t="array" ref="F597">IF(ISNA($AA597),0,INDEX(DECLARATIONS,$AA597,7))</f>
        <v/>
      </c>
      <c r="G597" s="209" t="str">
        <f t="array" ref="G597">UPPER(IF(ISNA($AA597),"",INDEX(DECLARATIONS,$AA597,4)))</f>
        <v/>
      </c>
      <c r="H597" t="str">
        <f>IF(AND(A597&gt;0,ISTEXT(B597)),IF(SECNAME="YES",LEFT(B597&amp;" ",FIND(" ",B597&amp;" ")+2)&amp;IF(F597&gt;0," ("&amp;F597&amp;")",""),B597&amp;IF(F597&gt;0," ("&amp;F597&amp;")","")),"#"&amp;$A597)</f>
        <v/>
      </c>
      <c r="I597" s="209">
        <f>IF(LEN($A597)&gt;0,IF(LEN($J597)&gt;0,MATCH(J597,MatchNames,0),EventIndex),0)</f>
        <v>0</v>
      </c>
      <c r="J597" s="209" t="str">
        <f>IF(LEN($A597)&gt;0,IF(LEN(Declarations!$F597)&gt;0,Declarations!$F597,conftype),"")</f>
        <v/>
      </c>
      <c r="M597" s="297">
        <f>IF(ISNA(VLOOKUP($A597,SprintData,2,FALSE)),0,VLOOKUP($A597,SprintData,2,FALSE))</f>
        <v>0</v>
      </c>
      <c r="N597" s="297">
        <f>IF(ISNA(VLOOKUP($A597,JumpData,2,FALSE)),0,VLOOKUP($A597,JumpData,2,FALSE))</f>
        <v>0</v>
      </c>
      <c r="O597" s="297">
        <f>IF(ISNA(VLOOKUP($A597,RunData,2,FALSE)),0,VLOOKUP($A597,RunData,2,FALSE))</f>
        <v>0</v>
      </c>
      <c r="P597" s="297">
        <f>IF(ISNA(VLOOKUP($A597,ThrowData,2,FALSE)),0,VLOOKUP($A597,ThrowData,2,FALSE))</f>
        <v>0</v>
      </c>
      <c r="Q597" s="298">
        <f>IF(ISNA(VLOOKUP($A597,SprintData,4,FALSE)),0,VLOOKUP($A597,SprintData,4,FALSE))+V597</f>
        <v>0</v>
      </c>
      <c r="R597" s="298">
        <f>IF(ISNA(VLOOKUP($A597,JumpData,4,FALSE)),0,VLOOKUP($A597,JumpData,4,FALSE))+W597</f>
        <v>0</v>
      </c>
      <c r="S597" s="298">
        <f>IF(ISNA(VLOOKUP($A597,RunData,4,FALSE)),0,VLOOKUP($A597,RunData,4,FALSE))+X597</f>
        <v>0</v>
      </c>
      <c r="T597" s="298">
        <f>IF(ISNA(VLOOKUP($A597,ThrowData,4,FALSE)),0,VLOOKUP($A597,ThrowData,4,FALSE))+Y597</f>
        <v>0</v>
      </c>
      <c r="U597" s="299">
        <f t="shared" si="2"/>
        <v>0</v>
      </c>
      <c r="V597">
        <f>IF(AND($F597&gt;0,NOT(M597),Flexing),FlexPC,0)</f>
        <v>0</v>
      </c>
      <c r="W597">
        <f>IF(AND($F597&gt;0,NOT(N597),Flexing),FlexPC,0)</f>
        <v>0</v>
      </c>
      <c r="X597">
        <f>IF(AND($F597&gt;0,NOT(O597),Flexing),FlexPC,0)</f>
        <v>0</v>
      </c>
      <c r="Y597">
        <f>IF(AND($F597&gt;0,NOT(P597),Flexing),FlexPC,0)</f>
        <v>0</v>
      </c>
      <c r="AA597" s="209">
        <f t="shared" si="3"/>
        <v>596</v>
      </c>
    </row>
    <row r="598" ht="15.75" customHeight="1">
      <c r="A598" s="206" t="str">
        <f>+Declarations!A598&amp;""</f>
        <v/>
      </c>
      <c r="B598" t="str">
        <f>IF(LEN($A598),IF(LEN(Declarations!$B598)&gt;0,Declarations!$B598,"#"&amp;$A598),"")</f>
        <v/>
      </c>
      <c r="C598" s="209" t="str">
        <f t="array" ref="C598">IF(LEN(INDEX(DECLARATIONS,$AA598,3))&gt;0,INDEX(DECLARATIONS,$AA598,3),"...")</f>
        <v>...</v>
      </c>
      <c r="D598" s="209" t="str">
        <f t="shared" si="1"/>
        <v/>
      </c>
      <c r="E598" s="296" t="str">
        <f t="array" ref="E598">IF(ISNA($AA598),0,INDEX(DECLARATIONS,$AA598,5))</f>
        <v/>
      </c>
      <c r="F598" s="209" t="str">
        <f t="array" ref="F598">IF(ISNA($AA598),0,INDEX(DECLARATIONS,$AA598,7))</f>
        <v/>
      </c>
      <c r="G598" s="209" t="str">
        <f t="array" ref="G598">UPPER(IF(ISNA($AA598),"",INDEX(DECLARATIONS,$AA598,4)))</f>
        <v/>
      </c>
      <c r="H598" t="str">
        <f>IF(AND(A598&gt;0,ISTEXT(B598)),IF(SECNAME="YES",LEFT(B598&amp;" ",FIND(" ",B598&amp;" ")+2)&amp;IF(F598&gt;0," ("&amp;F598&amp;")",""),B598&amp;IF(F598&gt;0," ("&amp;F598&amp;")","")),"#"&amp;$A598)</f>
        <v/>
      </c>
      <c r="I598" s="209">
        <f>IF(LEN($A598)&gt;0,IF(LEN($J598)&gt;0,MATCH(J598,MatchNames,0),EventIndex),0)</f>
        <v>0</v>
      </c>
      <c r="J598" s="209" t="str">
        <f>IF(LEN($A598)&gt;0,IF(LEN(Declarations!$F598)&gt;0,Declarations!$F598,conftype),"")</f>
        <v/>
      </c>
      <c r="M598" s="297">
        <f>IF(ISNA(VLOOKUP($A598,SprintData,2,FALSE)),0,VLOOKUP($A598,SprintData,2,FALSE))</f>
        <v>0</v>
      </c>
      <c r="N598" s="297">
        <f>IF(ISNA(VLOOKUP($A598,JumpData,2,FALSE)),0,VLOOKUP($A598,JumpData,2,FALSE))</f>
        <v>0</v>
      </c>
      <c r="O598" s="297">
        <f>IF(ISNA(VLOOKUP($A598,RunData,2,FALSE)),0,VLOOKUP($A598,RunData,2,FALSE))</f>
        <v>0</v>
      </c>
      <c r="P598" s="297">
        <f>IF(ISNA(VLOOKUP($A598,ThrowData,2,FALSE)),0,VLOOKUP($A598,ThrowData,2,FALSE))</f>
        <v>0</v>
      </c>
      <c r="Q598" s="298">
        <f>IF(ISNA(VLOOKUP($A598,SprintData,4,FALSE)),0,VLOOKUP($A598,SprintData,4,FALSE))+V598</f>
        <v>0</v>
      </c>
      <c r="R598" s="298">
        <f>IF(ISNA(VLOOKUP($A598,JumpData,4,FALSE)),0,VLOOKUP($A598,JumpData,4,FALSE))+W598</f>
        <v>0</v>
      </c>
      <c r="S598" s="298">
        <f>IF(ISNA(VLOOKUP($A598,RunData,4,FALSE)),0,VLOOKUP($A598,RunData,4,FALSE))+X598</f>
        <v>0</v>
      </c>
      <c r="T598" s="298">
        <f>IF(ISNA(VLOOKUP($A598,ThrowData,4,FALSE)),0,VLOOKUP($A598,ThrowData,4,FALSE))+Y598</f>
        <v>0</v>
      </c>
      <c r="U598" s="299">
        <f t="shared" si="2"/>
        <v>0</v>
      </c>
      <c r="V598">
        <f>IF(AND($F598&gt;0,NOT(M598),Flexing),FlexPC,0)</f>
        <v>0</v>
      </c>
      <c r="W598">
        <f>IF(AND($F598&gt;0,NOT(N598),Flexing),FlexPC,0)</f>
        <v>0</v>
      </c>
      <c r="X598">
        <f>IF(AND($F598&gt;0,NOT(O598),Flexing),FlexPC,0)</f>
        <v>0</v>
      </c>
      <c r="Y598">
        <f>IF(AND($F598&gt;0,NOT(P598),Flexing),FlexPC,0)</f>
        <v>0</v>
      </c>
      <c r="AA598" s="209">
        <f t="shared" si="3"/>
        <v>597</v>
      </c>
    </row>
    <row r="599" ht="15.75" customHeight="1">
      <c r="A599" s="206" t="str">
        <f>+Declarations!A599&amp;""</f>
        <v/>
      </c>
      <c r="B599" t="str">
        <f>IF(LEN($A599),IF(LEN(Declarations!$B599)&gt;0,Declarations!$B599,"#"&amp;$A599),"")</f>
        <v/>
      </c>
      <c r="C599" s="209" t="str">
        <f t="array" ref="C599">IF(LEN(INDEX(DECLARATIONS,$AA599,3))&gt;0,INDEX(DECLARATIONS,$AA599,3),"...")</f>
        <v>...</v>
      </c>
      <c r="D599" s="209" t="str">
        <f t="shared" si="1"/>
        <v/>
      </c>
      <c r="E599" s="296" t="str">
        <f t="array" ref="E599">IF(ISNA($AA599),0,INDEX(DECLARATIONS,$AA599,5))</f>
        <v/>
      </c>
      <c r="F599" s="209" t="str">
        <f t="array" ref="F599">IF(ISNA($AA599),0,INDEX(DECLARATIONS,$AA599,7))</f>
        <v/>
      </c>
      <c r="G599" s="209" t="str">
        <f t="array" ref="G599">UPPER(IF(ISNA($AA599),"",INDEX(DECLARATIONS,$AA599,4)))</f>
        <v/>
      </c>
      <c r="H599" t="str">
        <f>IF(AND(A599&gt;0,ISTEXT(B599)),IF(SECNAME="YES",LEFT(B599&amp;" ",FIND(" ",B599&amp;" ")+2)&amp;IF(F599&gt;0," ("&amp;F599&amp;")",""),B599&amp;IF(F599&gt;0," ("&amp;F599&amp;")","")),"#"&amp;$A599)</f>
        <v/>
      </c>
      <c r="I599" s="209">
        <f>IF(LEN($A599)&gt;0,IF(LEN($J599)&gt;0,MATCH(J599,MatchNames,0),EventIndex),0)</f>
        <v>0</v>
      </c>
      <c r="J599" s="209" t="str">
        <f>IF(LEN($A599)&gt;0,IF(LEN(Declarations!$F599)&gt;0,Declarations!$F599,conftype),"")</f>
        <v/>
      </c>
      <c r="M599" s="297">
        <f>IF(ISNA(VLOOKUP($A599,SprintData,2,FALSE)),0,VLOOKUP($A599,SprintData,2,FALSE))</f>
        <v>0</v>
      </c>
      <c r="N599" s="297">
        <f>IF(ISNA(VLOOKUP($A599,JumpData,2,FALSE)),0,VLOOKUP($A599,JumpData,2,FALSE))</f>
        <v>0</v>
      </c>
      <c r="O599" s="297">
        <f>IF(ISNA(VLOOKUP($A599,RunData,2,FALSE)),0,VLOOKUP($A599,RunData,2,FALSE))</f>
        <v>0</v>
      </c>
      <c r="P599" s="297">
        <f>IF(ISNA(VLOOKUP($A599,ThrowData,2,FALSE)),0,VLOOKUP($A599,ThrowData,2,FALSE))</f>
        <v>0</v>
      </c>
      <c r="Q599" s="298">
        <f>IF(ISNA(VLOOKUP($A599,SprintData,4,FALSE)),0,VLOOKUP($A599,SprintData,4,FALSE))+V599</f>
        <v>0</v>
      </c>
      <c r="R599" s="298">
        <f>IF(ISNA(VLOOKUP($A599,JumpData,4,FALSE)),0,VLOOKUP($A599,JumpData,4,FALSE))+W599</f>
        <v>0</v>
      </c>
      <c r="S599" s="298">
        <f>IF(ISNA(VLOOKUP($A599,RunData,4,FALSE)),0,VLOOKUP($A599,RunData,4,FALSE))+X599</f>
        <v>0</v>
      </c>
      <c r="T599" s="298">
        <f>IF(ISNA(VLOOKUP($A599,ThrowData,4,FALSE)),0,VLOOKUP($A599,ThrowData,4,FALSE))+Y599</f>
        <v>0</v>
      </c>
      <c r="U599" s="299">
        <f t="shared" si="2"/>
        <v>0</v>
      </c>
      <c r="V599">
        <f>IF(AND($F599&gt;0,NOT(M599),Flexing),FlexPC,0)</f>
        <v>0</v>
      </c>
      <c r="W599">
        <f>IF(AND($F599&gt;0,NOT(N599),Flexing),FlexPC,0)</f>
        <v>0</v>
      </c>
      <c r="X599">
        <f>IF(AND($F599&gt;0,NOT(O599),Flexing),FlexPC,0)</f>
        <v>0</v>
      </c>
      <c r="Y599">
        <f>IF(AND($F599&gt;0,NOT(P599),Flexing),FlexPC,0)</f>
        <v>0</v>
      </c>
      <c r="AA599" s="209">
        <f t="shared" si="3"/>
        <v>598</v>
      </c>
    </row>
    <row r="600" ht="15.75" customHeight="1">
      <c r="A600" s="206" t="str">
        <f>+Declarations!A600&amp;""</f>
        <v/>
      </c>
      <c r="B600" t="str">
        <f>IF(LEN($A600),IF(LEN(Declarations!$B600)&gt;0,Declarations!$B600,"#"&amp;$A600),"")</f>
        <v/>
      </c>
      <c r="C600" s="209" t="str">
        <f t="array" ref="C600">IF(LEN(INDEX(DECLARATIONS,$AA600,3))&gt;0,INDEX(DECLARATIONS,$AA600,3),"...")</f>
        <v>...</v>
      </c>
      <c r="D600" s="209" t="str">
        <f t="shared" si="1"/>
        <v/>
      </c>
      <c r="E600" s="296" t="str">
        <f t="array" ref="E600">IF(ISNA($AA600),0,INDEX(DECLARATIONS,$AA600,5))</f>
        <v/>
      </c>
      <c r="F600" s="209" t="str">
        <f t="array" ref="F600">IF(ISNA($AA600),0,INDEX(DECLARATIONS,$AA600,7))</f>
        <v/>
      </c>
      <c r="G600" s="209" t="str">
        <f t="array" ref="G600">UPPER(IF(ISNA($AA600),"",INDEX(DECLARATIONS,$AA600,4)))</f>
        <v/>
      </c>
      <c r="H600" t="str">
        <f>IF(AND(A600&gt;0,ISTEXT(B600)),IF(SECNAME="YES",LEFT(B600&amp;" ",FIND(" ",B600&amp;" ")+2)&amp;IF(F600&gt;0," ("&amp;F600&amp;")",""),B600&amp;IF(F600&gt;0," ("&amp;F600&amp;")","")),"#"&amp;$A600)</f>
        <v/>
      </c>
      <c r="I600" s="209">
        <f>IF(LEN($A600)&gt;0,IF(LEN($J600)&gt;0,MATCH(J600,MatchNames,0),EventIndex),0)</f>
        <v>0</v>
      </c>
      <c r="J600" s="209" t="str">
        <f>IF(LEN($A600)&gt;0,IF(LEN(Declarations!$F600)&gt;0,Declarations!$F600,conftype),"")</f>
        <v/>
      </c>
      <c r="M600" s="297">
        <f>IF(ISNA(VLOOKUP($A600,SprintData,2,FALSE)),0,VLOOKUP($A600,SprintData,2,FALSE))</f>
        <v>0</v>
      </c>
      <c r="N600" s="297">
        <f>IF(ISNA(VLOOKUP($A600,JumpData,2,FALSE)),0,VLOOKUP($A600,JumpData,2,FALSE))</f>
        <v>0</v>
      </c>
      <c r="O600" s="297">
        <f>IF(ISNA(VLOOKUP($A600,RunData,2,FALSE)),0,VLOOKUP($A600,RunData,2,FALSE))</f>
        <v>0</v>
      </c>
      <c r="P600" s="297">
        <f>IF(ISNA(VLOOKUP($A600,ThrowData,2,FALSE)),0,VLOOKUP($A600,ThrowData,2,FALSE))</f>
        <v>0</v>
      </c>
      <c r="Q600" s="298">
        <f>IF(ISNA(VLOOKUP($A600,SprintData,4,FALSE)),0,VLOOKUP($A600,SprintData,4,FALSE))+V600</f>
        <v>0</v>
      </c>
      <c r="R600" s="298">
        <f>IF(ISNA(VLOOKUP($A600,JumpData,4,FALSE)),0,VLOOKUP($A600,JumpData,4,FALSE))+W600</f>
        <v>0</v>
      </c>
      <c r="S600" s="298">
        <f>IF(ISNA(VLOOKUP($A600,RunData,4,FALSE)),0,VLOOKUP($A600,RunData,4,FALSE))+X600</f>
        <v>0</v>
      </c>
      <c r="T600" s="298">
        <f>IF(ISNA(VLOOKUP($A600,ThrowData,4,FALSE)),0,VLOOKUP($A600,ThrowData,4,FALSE))+Y600</f>
        <v>0</v>
      </c>
      <c r="U600" s="299">
        <f t="shared" si="2"/>
        <v>0</v>
      </c>
      <c r="V600">
        <f>IF(AND($F600&gt;0,NOT(M600),Flexing),FlexPC,0)</f>
        <v>0</v>
      </c>
      <c r="W600">
        <f>IF(AND($F600&gt;0,NOT(N600),Flexing),FlexPC,0)</f>
        <v>0</v>
      </c>
      <c r="X600">
        <f>IF(AND($F600&gt;0,NOT(O600),Flexing),FlexPC,0)</f>
        <v>0</v>
      </c>
      <c r="Y600">
        <f>IF(AND($F600&gt;0,NOT(P600),Flexing),FlexPC,0)</f>
        <v>0</v>
      </c>
      <c r="AA600" s="209">
        <f t="shared" si="3"/>
        <v>599</v>
      </c>
    </row>
    <row r="601" ht="15.75" customHeight="1">
      <c r="A601" s="206" t="str">
        <f>+Declarations!A601&amp;""</f>
        <v/>
      </c>
      <c r="B601" t="str">
        <f>IF(LEN($A601),IF(LEN(Declarations!$B601)&gt;0,Declarations!$B601,"#"&amp;$A601),"")</f>
        <v/>
      </c>
      <c r="C601" s="209" t="str">
        <f t="array" ref="C601">IF(LEN(INDEX(DECLARATIONS,$AA601,3))&gt;0,INDEX(DECLARATIONS,$AA601,3),"...")</f>
        <v>...</v>
      </c>
      <c r="D601" s="209" t="str">
        <f t="shared" si="1"/>
        <v/>
      </c>
      <c r="E601" s="296" t="str">
        <f t="array" ref="E601">IF(ISNA($AA601),0,INDEX(DECLARATIONS,$AA601,5))</f>
        <v/>
      </c>
      <c r="F601" s="209" t="str">
        <f t="array" ref="F601">IF(ISNA($AA601),0,INDEX(DECLARATIONS,$AA601,7))</f>
        <v/>
      </c>
      <c r="G601" s="209" t="str">
        <f t="array" ref="G601">UPPER(IF(ISNA($AA601),"",INDEX(DECLARATIONS,$AA601,4)))</f>
        <v/>
      </c>
      <c r="H601" t="str">
        <f>IF(AND(A601&gt;0,ISTEXT(B601)),IF(SECNAME="YES",LEFT(B601&amp;" ",FIND(" ",B601&amp;" ")+2)&amp;IF(F601&gt;0," ("&amp;F601&amp;")",""),B601&amp;IF(F601&gt;0," ("&amp;F601&amp;")","")),"#"&amp;$A601)</f>
        <v/>
      </c>
      <c r="I601" s="209">
        <f>IF(LEN($A601)&gt;0,IF(LEN($J601)&gt;0,MATCH(J601,MatchNames,0),EventIndex),0)</f>
        <v>0</v>
      </c>
      <c r="J601" s="209" t="str">
        <f>IF(LEN($A601)&gt;0,IF(LEN(Declarations!$F601)&gt;0,Declarations!$F601,conftype),"")</f>
        <v/>
      </c>
      <c r="M601" s="297">
        <f>IF(ISNA(VLOOKUP($A601,SprintData,2,FALSE)),0,VLOOKUP($A601,SprintData,2,FALSE))</f>
        <v>0</v>
      </c>
      <c r="N601" s="297">
        <f>IF(ISNA(VLOOKUP($A601,JumpData,2,FALSE)),0,VLOOKUP($A601,JumpData,2,FALSE))</f>
        <v>0</v>
      </c>
      <c r="O601" s="297">
        <f>IF(ISNA(VLOOKUP($A601,RunData,2,FALSE)),0,VLOOKUP($A601,RunData,2,FALSE))</f>
        <v>0</v>
      </c>
      <c r="P601" s="297">
        <f>IF(ISNA(VLOOKUP($A601,ThrowData,2,FALSE)),0,VLOOKUP($A601,ThrowData,2,FALSE))</f>
        <v>0</v>
      </c>
      <c r="Q601" s="298">
        <f>IF(ISNA(VLOOKUP($A601,SprintData,4,FALSE)),0,VLOOKUP($A601,SprintData,4,FALSE))+V601</f>
        <v>0</v>
      </c>
      <c r="R601" s="298">
        <f>IF(ISNA(VLOOKUP($A601,JumpData,4,FALSE)),0,VLOOKUP($A601,JumpData,4,FALSE))+W601</f>
        <v>0</v>
      </c>
      <c r="S601" s="298">
        <f>IF(ISNA(VLOOKUP($A601,RunData,4,FALSE)),0,VLOOKUP($A601,RunData,4,FALSE))+X601</f>
        <v>0</v>
      </c>
      <c r="T601" s="298">
        <f>IF(ISNA(VLOOKUP($A601,ThrowData,4,FALSE)),0,VLOOKUP($A601,ThrowData,4,FALSE))+Y601</f>
        <v>0</v>
      </c>
      <c r="U601" s="299">
        <f t="shared" si="2"/>
        <v>0</v>
      </c>
      <c r="V601">
        <f>IF(AND($F601&gt;0,NOT(M601),Flexing),FlexPC,0)</f>
        <v>0</v>
      </c>
      <c r="W601">
        <f>IF(AND($F601&gt;0,NOT(N601),Flexing),FlexPC,0)</f>
        <v>0</v>
      </c>
      <c r="X601">
        <f>IF(AND($F601&gt;0,NOT(O601),Flexing),FlexPC,0)</f>
        <v>0</v>
      </c>
      <c r="Y601">
        <f>IF(AND($F601&gt;0,NOT(P601),Flexing),FlexPC,0)</f>
        <v>0</v>
      </c>
      <c r="AA601" s="209">
        <f t="shared" si="3"/>
        <v>600</v>
      </c>
    </row>
    <row r="602" ht="15.75" customHeight="1">
      <c r="A602" s="206" t="str">
        <f>+Declarations!A602&amp;""</f>
        <v/>
      </c>
      <c r="B602" t="str">
        <f>IF(LEN($A602),IF(LEN(Declarations!$B602)&gt;0,Declarations!$B602,"#"&amp;$A602),"")</f>
        <v/>
      </c>
      <c r="C602" s="209" t="str">
        <f t="array" ref="C602">IF(LEN(INDEX(DECLARATIONS,$AA602,3))&gt;0,INDEX(DECLARATIONS,$AA602,3),"...")</f>
        <v>...</v>
      </c>
      <c r="D602" s="209" t="str">
        <f t="shared" si="1"/>
        <v/>
      </c>
      <c r="E602" s="296" t="str">
        <f t="array" ref="E602">IF(ISNA($AA602),0,INDEX(DECLARATIONS,$AA602,5))</f>
        <v/>
      </c>
      <c r="F602" s="209" t="str">
        <f t="array" ref="F602">IF(ISNA($AA602),0,INDEX(DECLARATIONS,$AA602,7))</f>
        <v/>
      </c>
      <c r="G602" s="209" t="str">
        <f t="array" ref="G602">UPPER(IF(ISNA($AA602),"",INDEX(DECLARATIONS,$AA602,4)))</f>
        <v/>
      </c>
      <c r="H602" t="str">
        <f>IF(AND(A602&gt;0,ISTEXT(B602)),IF(SECNAME="YES",LEFT(B602&amp;" ",FIND(" ",B602&amp;" ")+2)&amp;IF(F602&gt;0," ("&amp;F602&amp;")",""),B602&amp;IF(F602&gt;0," ("&amp;F602&amp;")","")),"#"&amp;$A602)</f>
        <v/>
      </c>
      <c r="I602" s="209">
        <f>IF(LEN($A602)&gt;0,IF(LEN($J602)&gt;0,MATCH(J602,MatchNames,0),EventIndex),0)</f>
        <v>0</v>
      </c>
      <c r="J602" s="209" t="str">
        <f>IF(LEN($A602)&gt;0,IF(LEN(Declarations!$F602)&gt;0,Declarations!$F602,conftype),"")</f>
        <v/>
      </c>
      <c r="M602" s="297">
        <f>IF(ISNA(VLOOKUP($A602,SprintData,2,FALSE)),0,VLOOKUP($A602,SprintData,2,FALSE))</f>
        <v>0</v>
      </c>
      <c r="N602" s="297">
        <f>IF(ISNA(VLOOKUP($A602,JumpData,2,FALSE)),0,VLOOKUP($A602,JumpData,2,FALSE))</f>
        <v>0</v>
      </c>
      <c r="O602" s="297">
        <f>IF(ISNA(VLOOKUP($A602,RunData,2,FALSE)),0,VLOOKUP($A602,RunData,2,FALSE))</f>
        <v>0</v>
      </c>
      <c r="P602" s="297">
        <f>IF(ISNA(VLOOKUP($A602,ThrowData,2,FALSE)),0,VLOOKUP($A602,ThrowData,2,FALSE))</f>
        <v>0</v>
      </c>
      <c r="Q602" s="298">
        <f>IF(ISNA(VLOOKUP($A602,SprintData,4,FALSE)),0,VLOOKUP($A602,SprintData,4,FALSE))+V602</f>
        <v>0</v>
      </c>
      <c r="R602" s="298">
        <f>IF(ISNA(VLOOKUP($A602,JumpData,4,FALSE)),0,VLOOKUP($A602,JumpData,4,FALSE))+W602</f>
        <v>0</v>
      </c>
      <c r="S602" s="298">
        <f>IF(ISNA(VLOOKUP($A602,RunData,4,FALSE)),0,VLOOKUP($A602,RunData,4,FALSE))+X602</f>
        <v>0</v>
      </c>
      <c r="T602" s="298">
        <f>IF(ISNA(VLOOKUP($A602,ThrowData,4,FALSE)),0,VLOOKUP($A602,ThrowData,4,FALSE))+Y602</f>
        <v>0</v>
      </c>
      <c r="U602" s="299">
        <f t="shared" si="2"/>
        <v>0</v>
      </c>
      <c r="V602">
        <f>IF(AND($F602&gt;0,NOT(M602),Flexing),FlexPC,0)</f>
        <v>0</v>
      </c>
      <c r="W602">
        <f>IF(AND($F602&gt;0,NOT(N602),Flexing),FlexPC,0)</f>
        <v>0</v>
      </c>
      <c r="X602">
        <f>IF(AND($F602&gt;0,NOT(O602),Flexing),FlexPC,0)</f>
        <v>0</v>
      </c>
      <c r="Y602">
        <f>IF(AND($F602&gt;0,NOT(P602),Flexing),FlexPC,0)</f>
        <v>0</v>
      </c>
      <c r="AA602" s="209">
        <f t="shared" si="3"/>
        <v>601</v>
      </c>
    </row>
    <row r="603" ht="15.75" customHeight="1">
      <c r="A603" s="206" t="str">
        <f>+Declarations!A603&amp;""</f>
        <v/>
      </c>
      <c r="B603" t="str">
        <f>IF(LEN($A603),IF(LEN(Declarations!$B603)&gt;0,Declarations!$B603,"#"&amp;$A603),"")</f>
        <v/>
      </c>
      <c r="C603" s="209" t="str">
        <f t="array" ref="C603">IF(LEN(INDEX(DECLARATIONS,$AA603,3))&gt;0,INDEX(DECLARATIONS,$AA603,3),"...")</f>
        <v>...</v>
      </c>
      <c r="D603" s="209" t="str">
        <f t="shared" si="1"/>
        <v/>
      </c>
      <c r="E603" s="296" t="str">
        <f t="array" ref="E603">IF(ISNA($AA603),0,INDEX(DECLARATIONS,$AA603,5))</f>
        <v/>
      </c>
      <c r="F603" s="209" t="str">
        <f t="array" ref="F603">IF(ISNA($AA603),0,INDEX(DECLARATIONS,$AA603,7))</f>
        <v/>
      </c>
      <c r="G603" s="209" t="str">
        <f t="array" ref="G603">UPPER(IF(ISNA($AA603),"",INDEX(DECLARATIONS,$AA603,4)))</f>
        <v/>
      </c>
      <c r="H603" t="str">
        <f>IF(AND(A603&gt;0,ISTEXT(B603)),IF(SECNAME="YES",LEFT(B603&amp;" ",FIND(" ",B603&amp;" ")+2)&amp;IF(F603&gt;0," ("&amp;F603&amp;")",""),B603&amp;IF(F603&gt;0," ("&amp;F603&amp;")","")),"#"&amp;$A603)</f>
        <v/>
      </c>
      <c r="I603" s="209">
        <f>IF(LEN($A603)&gt;0,IF(LEN($J603)&gt;0,MATCH(J603,MatchNames,0),EventIndex),0)</f>
        <v>0</v>
      </c>
      <c r="J603" s="209" t="str">
        <f>IF(LEN($A603)&gt;0,IF(LEN(Declarations!$F603)&gt;0,Declarations!$F603,conftype),"")</f>
        <v/>
      </c>
      <c r="M603" s="297">
        <f>IF(ISNA(VLOOKUP($A603,SprintData,2,FALSE)),0,VLOOKUP($A603,SprintData,2,FALSE))</f>
        <v>0</v>
      </c>
      <c r="N603" s="297">
        <f>IF(ISNA(VLOOKUP($A603,JumpData,2,FALSE)),0,VLOOKUP($A603,JumpData,2,FALSE))</f>
        <v>0</v>
      </c>
      <c r="O603" s="297">
        <f>IF(ISNA(VLOOKUP($A603,RunData,2,FALSE)),0,VLOOKUP($A603,RunData,2,FALSE))</f>
        <v>0</v>
      </c>
      <c r="P603" s="297">
        <f>IF(ISNA(VLOOKUP($A603,ThrowData,2,FALSE)),0,VLOOKUP($A603,ThrowData,2,FALSE))</f>
        <v>0</v>
      </c>
      <c r="Q603" s="298">
        <f>IF(ISNA(VLOOKUP($A603,SprintData,4,FALSE)),0,VLOOKUP($A603,SprintData,4,FALSE))+V603</f>
        <v>0</v>
      </c>
      <c r="R603" s="298">
        <f>IF(ISNA(VLOOKUP($A603,JumpData,4,FALSE)),0,VLOOKUP($A603,JumpData,4,FALSE))+W603</f>
        <v>0</v>
      </c>
      <c r="S603" s="298">
        <f>IF(ISNA(VLOOKUP($A603,RunData,4,FALSE)),0,VLOOKUP($A603,RunData,4,FALSE))+X603</f>
        <v>0</v>
      </c>
      <c r="T603" s="298">
        <f>IF(ISNA(VLOOKUP($A603,ThrowData,4,FALSE)),0,VLOOKUP($A603,ThrowData,4,FALSE))+Y603</f>
        <v>0</v>
      </c>
      <c r="U603" s="299">
        <f t="shared" si="2"/>
        <v>0</v>
      </c>
      <c r="V603">
        <f>IF(AND($F603&gt;0,NOT(M603),Flexing),FlexPC,0)</f>
        <v>0</v>
      </c>
      <c r="W603">
        <f>IF(AND($F603&gt;0,NOT(N603),Flexing),FlexPC,0)</f>
        <v>0</v>
      </c>
      <c r="X603">
        <f>IF(AND($F603&gt;0,NOT(O603),Flexing),FlexPC,0)</f>
        <v>0</v>
      </c>
      <c r="Y603">
        <f>IF(AND($F603&gt;0,NOT(P603),Flexing),FlexPC,0)</f>
        <v>0</v>
      </c>
      <c r="AA603" s="209">
        <f t="shared" si="3"/>
        <v>602</v>
      </c>
    </row>
    <row r="604" ht="15.75" customHeight="1">
      <c r="A604" s="206" t="str">
        <f>+Declarations!A604&amp;""</f>
        <v/>
      </c>
      <c r="B604" t="str">
        <f>IF(LEN($A604),IF(LEN(Declarations!$B604)&gt;0,Declarations!$B604,"#"&amp;$A604),"")</f>
        <v/>
      </c>
      <c r="C604" s="209" t="str">
        <f t="array" ref="C604">IF(LEN(INDEX(DECLARATIONS,$AA604,3))&gt;0,INDEX(DECLARATIONS,$AA604,3),"...")</f>
        <v>...</v>
      </c>
      <c r="D604" s="209" t="str">
        <f t="shared" si="1"/>
        <v/>
      </c>
      <c r="E604" s="296" t="str">
        <f t="array" ref="E604">IF(ISNA($AA604),0,INDEX(DECLARATIONS,$AA604,5))</f>
        <v/>
      </c>
      <c r="F604" s="209" t="str">
        <f t="array" ref="F604">IF(ISNA($AA604),0,INDEX(DECLARATIONS,$AA604,7))</f>
        <v/>
      </c>
      <c r="G604" s="209" t="str">
        <f t="array" ref="G604">UPPER(IF(ISNA($AA604),"",INDEX(DECLARATIONS,$AA604,4)))</f>
        <v/>
      </c>
      <c r="H604" t="str">
        <f>IF(AND(A604&gt;0,ISTEXT(B604)),IF(SECNAME="YES",LEFT(B604&amp;" ",FIND(" ",B604&amp;" ")+2)&amp;IF(F604&gt;0," ("&amp;F604&amp;")",""),B604&amp;IF(F604&gt;0," ("&amp;F604&amp;")","")),"#"&amp;$A604)</f>
        <v/>
      </c>
      <c r="I604" s="209">
        <f>IF(LEN($A604)&gt;0,IF(LEN($J604)&gt;0,MATCH(J604,MatchNames,0),EventIndex),0)</f>
        <v>0</v>
      </c>
      <c r="J604" s="209" t="str">
        <f>IF(LEN($A604)&gt;0,IF(LEN(Declarations!$F604)&gt;0,Declarations!$F604,conftype),"")</f>
        <v/>
      </c>
      <c r="M604" s="297">
        <f>IF(ISNA(VLOOKUP($A604,SprintData,2,FALSE)),0,VLOOKUP($A604,SprintData,2,FALSE))</f>
        <v>0</v>
      </c>
      <c r="N604" s="297">
        <f>IF(ISNA(VLOOKUP($A604,JumpData,2,FALSE)),0,VLOOKUP($A604,JumpData,2,FALSE))</f>
        <v>0</v>
      </c>
      <c r="O604" s="297">
        <f>IF(ISNA(VLOOKUP($A604,RunData,2,FALSE)),0,VLOOKUP($A604,RunData,2,FALSE))</f>
        <v>0</v>
      </c>
      <c r="P604" s="297">
        <f>IF(ISNA(VLOOKUP($A604,ThrowData,2,FALSE)),0,VLOOKUP($A604,ThrowData,2,FALSE))</f>
        <v>0</v>
      </c>
      <c r="Q604" s="298">
        <f>IF(ISNA(VLOOKUP($A604,SprintData,4,FALSE)),0,VLOOKUP($A604,SprintData,4,FALSE))+V604</f>
        <v>0</v>
      </c>
      <c r="R604" s="298">
        <f>IF(ISNA(VLOOKUP($A604,JumpData,4,FALSE)),0,VLOOKUP($A604,JumpData,4,FALSE))+W604</f>
        <v>0</v>
      </c>
      <c r="S604" s="298">
        <f>IF(ISNA(VLOOKUP($A604,RunData,4,FALSE)),0,VLOOKUP($A604,RunData,4,FALSE))+X604</f>
        <v>0</v>
      </c>
      <c r="T604" s="298">
        <f>IF(ISNA(VLOOKUP($A604,ThrowData,4,FALSE)),0,VLOOKUP($A604,ThrowData,4,FALSE))+Y604</f>
        <v>0</v>
      </c>
      <c r="U604" s="299">
        <f t="shared" si="2"/>
        <v>0</v>
      </c>
      <c r="V604">
        <f>IF(AND($F604&gt;0,NOT(M604),Flexing),FlexPC,0)</f>
        <v>0</v>
      </c>
      <c r="W604">
        <f>IF(AND($F604&gt;0,NOT(N604),Flexing),FlexPC,0)</f>
        <v>0</v>
      </c>
      <c r="X604">
        <f>IF(AND($F604&gt;0,NOT(O604),Flexing),FlexPC,0)</f>
        <v>0</v>
      </c>
      <c r="Y604">
        <f>IF(AND($F604&gt;0,NOT(P604),Flexing),FlexPC,0)</f>
        <v>0</v>
      </c>
      <c r="AA604" s="209">
        <f t="shared" si="3"/>
        <v>603</v>
      </c>
    </row>
    <row r="605" ht="15.75" customHeight="1">
      <c r="A605" s="206" t="str">
        <f>+Declarations!A605&amp;""</f>
        <v/>
      </c>
      <c r="B605" t="str">
        <f>IF(LEN($A605),IF(LEN(Declarations!$B605)&gt;0,Declarations!$B605,"#"&amp;$A605),"")</f>
        <v/>
      </c>
      <c r="C605" s="209" t="str">
        <f t="array" ref="C605">IF(LEN(INDEX(DECLARATIONS,$AA605,3))&gt;0,INDEX(DECLARATIONS,$AA605,3),"...")</f>
        <v>...</v>
      </c>
      <c r="D605" s="209" t="str">
        <f t="shared" si="1"/>
        <v/>
      </c>
      <c r="E605" s="296" t="str">
        <f t="array" ref="E605">IF(ISNA($AA605),0,INDEX(DECLARATIONS,$AA605,5))</f>
        <v/>
      </c>
      <c r="F605" s="209" t="str">
        <f t="array" ref="F605">IF(ISNA($AA605),0,INDEX(DECLARATIONS,$AA605,7))</f>
        <v/>
      </c>
      <c r="G605" s="209" t="str">
        <f t="array" ref="G605">UPPER(IF(ISNA($AA605),"",INDEX(DECLARATIONS,$AA605,4)))</f>
        <v/>
      </c>
      <c r="H605" t="str">
        <f>IF(AND(A605&gt;0,ISTEXT(B605)),IF(SECNAME="YES",LEFT(B605&amp;" ",FIND(" ",B605&amp;" ")+2)&amp;IF(F605&gt;0," ("&amp;F605&amp;")",""),B605&amp;IF(F605&gt;0," ("&amp;F605&amp;")","")),"#"&amp;$A605)</f>
        <v/>
      </c>
      <c r="I605" s="209">
        <f>IF(LEN($A605)&gt;0,IF(LEN($J605)&gt;0,MATCH(J605,MatchNames,0),EventIndex),0)</f>
        <v>0</v>
      </c>
      <c r="J605" s="209" t="str">
        <f>IF(LEN($A605)&gt;0,IF(LEN(Declarations!$F605)&gt;0,Declarations!$F605,conftype),"")</f>
        <v/>
      </c>
      <c r="M605" s="297">
        <f>IF(ISNA(VLOOKUP($A605,SprintData,2,FALSE)),0,VLOOKUP($A605,SprintData,2,FALSE))</f>
        <v>0</v>
      </c>
      <c r="N605" s="297">
        <f>IF(ISNA(VLOOKUP($A605,JumpData,2,FALSE)),0,VLOOKUP($A605,JumpData,2,FALSE))</f>
        <v>0</v>
      </c>
      <c r="O605" s="297">
        <f>IF(ISNA(VLOOKUP($A605,RunData,2,FALSE)),0,VLOOKUP($A605,RunData,2,FALSE))</f>
        <v>0</v>
      </c>
      <c r="P605" s="297">
        <f>IF(ISNA(VLOOKUP($A605,ThrowData,2,FALSE)),0,VLOOKUP($A605,ThrowData,2,FALSE))</f>
        <v>0</v>
      </c>
      <c r="Q605" s="298">
        <f>IF(ISNA(VLOOKUP($A605,SprintData,4,FALSE)),0,VLOOKUP($A605,SprintData,4,FALSE))+V605</f>
        <v>0</v>
      </c>
      <c r="R605" s="298">
        <f>IF(ISNA(VLOOKUP($A605,JumpData,4,FALSE)),0,VLOOKUP($A605,JumpData,4,FALSE))+W605</f>
        <v>0</v>
      </c>
      <c r="S605" s="298">
        <f>IF(ISNA(VLOOKUP($A605,RunData,4,FALSE)),0,VLOOKUP($A605,RunData,4,FALSE))+X605</f>
        <v>0</v>
      </c>
      <c r="T605" s="298">
        <f>IF(ISNA(VLOOKUP($A605,ThrowData,4,FALSE)),0,VLOOKUP($A605,ThrowData,4,FALSE))+Y605</f>
        <v>0</v>
      </c>
      <c r="U605" s="299">
        <f t="shared" si="2"/>
        <v>0</v>
      </c>
      <c r="V605">
        <f>IF(AND($F605&gt;0,NOT(M605),Flexing),FlexPC,0)</f>
        <v>0</v>
      </c>
      <c r="W605">
        <f>IF(AND($F605&gt;0,NOT(N605),Flexing),FlexPC,0)</f>
        <v>0</v>
      </c>
      <c r="X605">
        <f>IF(AND($F605&gt;0,NOT(O605),Flexing),FlexPC,0)</f>
        <v>0</v>
      </c>
      <c r="Y605">
        <f>IF(AND($F605&gt;0,NOT(P605),Flexing),FlexPC,0)</f>
        <v>0</v>
      </c>
      <c r="AA605" s="209">
        <f t="shared" si="3"/>
        <v>604</v>
      </c>
    </row>
    <row r="606" ht="15.75" customHeight="1">
      <c r="A606" s="206" t="str">
        <f>+Declarations!A606&amp;""</f>
        <v/>
      </c>
      <c r="B606" t="str">
        <f>IF(LEN($A606),IF(LEN(Declarations!$B606)&gt;0,Declarations!$B606,"#"&amp;$A606),"")</f>
        <v/>
      </c>
      <c r="C606" s="209" t="str">
        <f t="array" ref="C606">IF(LEN(INDEX(DECLARATIONS,$AA606,3))&gt;0,INDEX(DECLARATIONS,$AA606,3),"...")</f>
        <v>...</v>
      </c>
      <c r="D606" s="209" t="str">
        <f t="shared" si="1"/>
        <v/>
      </c>
      <c r="E606" s="296" t="str">
        <f t="array" ref="E606">IF(ISNA($AA606),0,INDEX(DECLARATIONS,$AA606,5))</f>
        <v/>
      </c>
      <c r="F606" s="209" t="str">
        <f t="array" ref="F606">IF(ISNA($AA606),0,INDEX(DECLARATIONS,$AA606,7))</f>
        <v/>
      </c>
      <c r="G606" s="209" t="str">
        <f t="array" ref="G606">UPPER(IF(ISNA($AA606),"",INDEX(DECLARATIONS,$AA606,4)))</f>
        <v/>
      </c>
      <c r="H606" t="str">
        <f>IF(AND(A606&gt;0,ISTEXT(B606)),IF(SECNAME="YES",LEFT(B606&amp;" ",FIND(" ",B606&amp;" ")+2)&amp;IF(F606&gt;0," ("&amp;F606&amp;")",""),B606&amp;IF(F606&gt;0," ("&amp;F606&amp;")","")),"#"&amp;$A606)</f>
        <v/>
      </c>
      <c r="I606" s="209">
        <f>IF(LEN($A606)&gt;0,IF(LEN($J606)&gt;0,MATCH(J606,MatchNames,0),EventIndex),0)</f>
        <v>0</v>
      </c>
      <c r="J606" s="209" t="str">
        <f>IF(LEN($A606)&gt;0,IF(LEN(Declarations!$F606)&gt;0,Declarations!$F606,conftype),"")</f>
        <v/>
      </c>
      <c r="M606" s="297">
        <f>IF(ISNA(VLOOKUP($A606,SprintData,2,FALSE)),0,VLOOKUP($A606,SprintData,2,FALSE))</f>
        <v>0</v>
      </c>
      <c r="N606" s="297">
        <f>IF(ISNA(VLOOKUP($A606,JumpData,2,FALSE)),0,VLOOKUP($A606,JumpData,2,FALSE))</f>
        <v>0</v>
      </c>
      <c r="O606" s="297">
        <f>IF(ISNA(VLOOKUP($A606,RunData,2,FALSE)),0,VLOOKUP($A606,RunData,2,FALSE))</f>
        <v>0</v>
      </c>
      <c r="P606" s="297">
        <f>IF(ISNA(VLOOKUP($A606,ThrowData,2,FALSE)),0,VLOOKUP($A606,ThrowData,2,FALSE))</f>
        <v>0</v>
      </c>
      <c r="Q606" s="298">
        <f>IF(ISNA(VLOOKUP($A606,SprintData,4,FALSE)),0,VLOOKUP($A606,SprintData,4,FALSE))+V606</f>
        <v>0</v>
      </c>
      <c r="R606" s="298">
        <f>IF(ISNA(VLOOKUP($A606,JumpData,4,FALSE)),0,VLOOKUP($A606,JumpData,4,FALSE))+W606</f>
        <v>0</v>
      </c>
      <c r="S606" s="298">
        <f>IF(ISNA(VLOOKUP($A606,RunData,4,FALSE)),0,VLOOKUP($A606,RunData,4,FALSE))+X606</f>
        <v>0</v>
      </c>
      <c r="T606" s="298">
        <f>IF(ISNA(VLOOKUP($A606,ThrowData,4,FALSE)),0,VLOOKUP($A606,ThrowData,4,FALSE))+Y606</f>
        <v>0</v>
      </c>
      <c r="U606" s="299">
        <f t="shared" si="2"/>
        <v>0</v>
      </c>
      <c r="V606">
        <f>IF(AND($F606&gt;0,NOT(M606),Flexing),FlexPC,0)</f>
        <v>0</v>
      </c>
      <c r="W606">
        <f>IF(AND($F606&gt;0,NOT(N606),Flexing),FlexPC,0)</f>
        <v>0</v>
      </c>
      <c r="X606">
        <f>IF(AND($F606&gt;0,NOT(O606),Flexing),FlexPC,0)</f>
        <v>0</v>
      </c>
      <c r="Y606">
        <f>IF(AND($F606&gt;0,NOT(P606),Flexing),FlexPC,0)</f>
        <v>0</v>
      </c>
      <c r="AA606" s="209">
        <f t="shared" si="3"/>
        <v>605</v>
      </c>
    </row>
    <row r="607" ht="15.75" customHeight="1">
      <c r="A607" s="206" t="str">
        <f>+Declarations!A607&amp;""</f>
        <v/>
      </c>
      <c r="B607" t="str">
        <f>IF(LEN($A607),IF(LEN(Declarations!$B607)&gt;0,Declarations!$B607,"#"&amp;$A607),"")</f>
        <v/>
      </c>
      <c r="C607" s="209" t="str">
        <f t="array" ref="C607">IF(LEN(INDEX(DECLARATIONS,$AA607,3))&gt;0,INDEX(DECLARATIONS,$AA607,3),"...")</f>
        <v>...</v>
      </c>
      <c r="D607" s="209" t="str">
        <f t="shared" si="1"/>
        <v/>
      </c>
      <c r="E607" s="296" t="str">
        <f t="array" ref="E607">IF(ISNA($AA607),0,INDEX(DECLARATIONS,$AA607,5))</f>
        <v/>
      </c>
      <c r="F607" s="209" t="str">
        <f t="array" ref="F607">IF(ISNA($AA607),0,INDEX(DECLARATIONS,$AA607,7))</f>
        <v/>
      </c>
      <c r="G607" s="209" t="str">
        <f t="array" ref="G607">UPPER(IF(ISNA($AA607),"",INDEX(DECLARATIONS,$AA607,4)))</f>
        <v/>
      </c>
      <c r="H607" t="str">
        <f>IF(AND(A607&gt;0,ISTEXT(B607)),IF(SECNAME="YES",LEFT(B607&amp;" ",FIND(" ",B607&amp;" ")+2)&amp;IF(F607&gt;0," ("&amp;F607&amp;")",""),B607&amp;IF(F607&gt;0," ("&amp;F607&amp;")","")),"#"&amp;$A607)</f>
        <v/>
      </c>
      <c r="I607" s="209">
        <f>IF(LEN($A607)&gt;0,IF(LEN($J607)&gt;0,MATCH(J607,MatchNames,0),EventIndex),0)</f>
        <v>0</v>
      </c>
      <c r="J607" s="209" t="str">
        <f>IF(LEN($A607)&gt;0,IF(LEN(Declarations!$F607)&gt;0,Declarations!$F607,conftype),"")</f>
        <v/>
      </c>
      <c r="M607" s="297">
        <f>IF(ISNA(VLOOKUP($A607,SprintData,2,FALSE)),0,VLOOKUP($A607,SprintData,2,FALSE))</f>
        <v>0</v>
      </c>
      <c r="N607" s="297">
        <f>IF(ISNA(VLOOKUP($A607,JumpData,2,FALSE)),0,VLOOKUP($A607,JumpData,2,FALSE))</f>
        <v>0</v>
      </c>
      <c r="O607" s="297">
        <f>IF(ISNA(VLOOKUP($A607,RunData,2,FALSE)),0,VLOOKUP($A607,RunData,2,FALSE))</f>
        <v>0</v>
      </c>
      <c r="P607" s="297">
        <f>IF(ISNA(VLOOKUP($A607,ThrowData,2,FALSE)),0,VLOOKUP($A607,ThrowData,2,FALSE))</f>
        <v>0</v>
      </c>
      <c r="Q607" s="298">
        <f>IF(ISNA(VLOOKUP($A607,SprintData,4,FALSE)),0,VLOOKUP($A607,SprintData,4,FALSE))+V607</f>
        <v>0</v>
      </c>
      <c r="R607" s="298">
        <f>IF(ISNA(VLOOKUP($A607,JumpData,4,FALSE)),0,VLOOKUP($A607,JumpData,4,FALSE))+W607</f>
        <v>0</v>
      </c>
      <c r="S607" s="298">
        <f>IF(ISNA(VLOOKUP($A607,RunData,4,FALSE)),0,VLOOKUP($A607,RunData,4,FALSE))+X607</f>
        <v>0</v>
      </c>
      <c r="T607" s="298">
        <f>IF(ISNA(VLOOKUP($A607,ThrowData,4,FALSE)),0,VLOOKUP($A607,ThrowData,4,FALSE))+Y607</f>
        <v>0</v>
      </c>
      <c r="U607" s="299">
        <f t="shared" si="2"/>
        <v>0</v>
      </c>
      <c r="V607">
        <f>IF(AND($F607&gt;0,NOT(M607),Flexing),FlexPC,0)</f>
        <v>0</v>
      </c>
      <c r="W607">
        <f>IF(AND($F607&gt;0,NOT(N607),Flexing),FlexPC,0)</f>
        <v>0</v>
      </c>
      <c r="X607">
        <f>IF(AND($F607&gt;0,NOT(O607),Flexing),FlexPC,0)</f>
        <v>0</v>
      </c>
      <c r="Y607">
        <f>IF(AND($F607&gt;0,NOT(P607),Flexing),FlexPC,0)</f>
        <v>0</v>
      </c>
      <c r="AA607" s="209">
        <f t="shared" si="3"/>
        <v>606</v>
      </c>
    </row>
    <row r="608" ht="15.75" customHeight="1">
      <c r="A608" s="206" t="str">
        <f>+Declarations!A608&amp;""</f>
        <v/>
      </c>
      <c r="B608" t="str">
        <f>IF(LEN($A608),IF(LEN(Declarations!$B608)&gt;0,Declarations!$B608,"#"&amp;$A608),"")</f>
        <v/>
      </c>
      <c r="C608" s="209" t="str">
        <f t="array" ref="C608">IF(LEN(INDEX(DECLARATIONS,$AA608,3))&gt;0,INDEX(DECLARATIONS,$AA608,3),"...")</f>
        <v>...</v>
      </c>
      <c r="D608" s="209" t="str">
        <f t="shared" si="1"/>
        <v/>
      </c>
      <c r="E608" s="296" t="str">
        <f t="array" ref="E608">IF(ISNA($AA608),0,INDEX(DECLARATIONS,$AA608,5))</f>
        <v/>
      </c>
      <c r="F608" s="209" t="str">
        <f t="array" ref="F608">IF(ISNA($AA608),0,INDEX(DECLARATIONS,$AA608,7))</f>
        <v/>
      </c>
      <c r="G608" s="209" t="str">
        <f t="array" ref="G608">UPPER(IF(ISNA($AA608),"",INDEX(DECLARATIONS,$AA608,4)))</f>
        <v/>
      </c>
      <c r="H608" t="str">
        <f>IF(AND(A608&gt;0,ISTEXT(B608)),IF(SECNAME="YES",LEFT(B608&amp;" ",FIND(" ",B608&amp;" ")+2)&amp;IF(F608&gt;0," ("&amp;F608&amp;")",""),B608&amp;IF(F608&gt;0," ("&amp;F608&amp;")","")),"#"&amp;$A608)</f>
        <v/>
      </c>
      <c r="I608" s="209">
        <f>IF(LEN($A608)&gt;0,IF(LEN($J608)&gt;0,MATCH(J608,MatchNames,0),EventIndex),0)</f>
        <v>0</v>
      </c>
      <c r="J608" s="209" t="str">
        <f>IF(LEN($A608)&gt;0,IF(LEN(Declarations!$F608)&gt;0,Declarations!$F608,conftype),"")</f>
        <v/>
      </c>
      <c r="M608" s="297">
        <f>IF(ISNA(VLOOKUP($A608,SprintData,2,FALSE)),0,VLOOKUP($A608,SprintData,2,FALSE))</f>
        <v>0</v>
      </c>
      <c r="N608" s="297">
        <f>IF(ISNA(VLOOKUP($A608,JumpData,2,FALSE)),0,VLOOKUP($A608,JumpData,2,FALSE))</f>
        <v>0</v>
      </c>
      <c r="O608" s="297">
        <f>IF(ISNA(VLOOKUP($A608,RunData,2,FALSE)),0,VLOOKUP($A608,RunData,2,FALSE))</f>
        <v>0</v>
      </c>
      <c r="P608" s="297">
        <f>IF(ISNA(VLOOKUP($A608,ThrowData,2,FALSE)),0,VLOOKUP($A608,ThrowData,2,FALSE))</f>
        <v>0</v>
      </c>
      <c r="Q608" s="298">
        <f>IF(ISNA(VLOOKUP($A608,SprintData,4,FALSE)),0,VLOOKUP($A608,SprintData,4,FALSE))+V608</f>
        <v>0</v>
      </c>
      <c r="R608" s="298">
        <f>IF(ISNA(VLOOKUP($A608,JumpData,4,FALSE)),0,VLOOKUP($A608,JumpData,4,FALSE))+W608</f>
        <v>0</v>
      </c>
      <c r="S608" s="298">
        <f>IF(ISNA(VLOOKUP($A608,RunData,4,FALSE)),0,VLOOKUP($A608,RunData,4,FALSE))+X608</f>
        <v>0</v>
      </c>
      <c r="T608" s="298">
        <f>IF(ISNA(VLOOKUP($A608,ThrowData,4,FALSE)),0,VLOOKUP($A608,ThrowData,4,FALSE))+Y608</f>
        <v>0</v>
      </c>
      <c r="U608" s="299">
        <f t="shared" si="2"/>
        <v>0</v>
      </c>
      <c r="V608">
        <f>IF(AND($F608&gt;0,NOT(M608),Flexing),FlexPC,0)</f>
        <v>0</v>
      </c>
      <c r="W608">
        <f>IF(AND($F608&gt;0,NOT(N608),Flexing),FlexPC,0)</f>
        <v>0</v>
      </c>
      <c r="X608">
        <f>IF(AND($F608&gt;0,NOT(O608),Flexing),FlexPC,0)</f>
        <v>0</v>
      </c>
      <c r="Y608">
        <f>IF(AND($F608&gt;0,NOT(P608),Flexing),FlexPC,0)</f>
        <v>0</v>
      </c>
      <c r="AA608" s="209">
        <f t="shared" si="3"/>
        <v>607</v>
      </c>
    </row>
    <row r="609" ht="15.75" customHeight="1">
      <c r="A609" s="206" t="str">
        <f>+Declarations!A609&amp;""</f>
        <v/>
      </c>
      <c r="B609" t="str">
        <f>IF(LEN($A609),IF(LEN(Declarations!$B609)&gt;0,Declarations!$B609,"#"&amp;$A609),"")</f>
        <v/>
      </c>
      <c r="C609" s="209" t="str">
        <f t="array" ref="C609">IF(LEN(INDEX(DECLARATIONS,$AA609,3))&gt;0,INDEX(DECLARATIONS,$AA609,3),"...")</f>
        <v>...</v>
      </c>
      <c r="D609" s="209" t="str">
        <f t="shared" si="1"/>
        <v/>
      </c>
      <c r="E609" s="296" t="str">
        <f t="array" ref="E609">IF(ISNA($AA609),0,INDEX(DECLARATIONS,$AA609,5))</f>
        <v/>
      </c>
      <c r="F609" s="209" t="str">
        <f t="array" ref="F609">IF(ISNA($AA609),0,INDEX(DECLARATIONS,$AA609,7))</f>
        <v/>
      </c>
      <c r="G609" s="209" t="str">
        <f t="array" ref="G609">UPPER(IF(ISNA($AA609),"",INDEX(DECLARATIONS,$AA609,4)))</f>
        <v/>
      </c>
      <c r="H609" t="str">
        <f>IF(AND(A609&gt;0,ISTEXT(B609)),IF(SECNAME="YES",LEFT(B609&amp;" ",FIND(" ",B609&amp;" ")+2)&amp;IF(F609&gt;0," ("&amp;F609&amp;")",""),B609&amp;IF(F609&gt;0," ("&amp;F609&amp;")","")),"#"&amp;$A609)</f>
        <v/>
      </c>
      <c r="I609" s="209">
        <f>IF(LEN($A609)&gt;0,IF(LEN($J609)&gt;0,MATCH(J609,MatchNames,0),EventIndex),0)</f>
        <v>0</v>
      </c>
      <c r="J609" s="209" t="str">
        <f>IF(LEN($A609)&gt;0,IF(LEN(Declarations!$F609)&gt;0,Declarations!$F609,conftype),"")</f>
        <v/>
      </c>
      <c r="M609" s="297">
        <f>IF(ISNA(VLOOKUP($A609,SprintData,2,FALSE)),0,VLOOKUP($A609,SprintData,2,FALSE))</f>
        <v>0</v>
      </c>
      <c r="N609" s="297">
        <f>IF(ISNA(VLOOKUP($A609,JumpData,2,FALSE)),0,VLOOKUP($A609,JumpData,2,FALSE))</f>
        <v>0</v>
      </c>
      <c r="O609" s="297">
        <f>IF(ISNA(VLOOKUP($A609,RunData,2,FALSE)),0,VLOOKUP($A609,RunData,2,FALSE))</f>
        <v>0</v>
      </c>
      <c r="P609" s="297">
        <f>IF(ISNA(VLOOKUP($A609,ThrowData,2,FALSE)),0,VLOOKUP($A609,ThrowData,2,FALSE))</f>
        <v>0</v>
      </c>
      <c r="Q609" s="298">
        <f>IF(ISNA(VLOOKUP($A609,SprintData,4,FALSE)),0,VLOOKUP($A609,SprintData,4,FALSE))+V609</f>
        <v>0</v>
      </c>
      <c r="R609" s="298">
        <f>IF(ISNA(VLOOKUP($A609,JumpData,4,FALSE)),0,VLOOKUP($A609,JumpData,4,FALSE))+W609</f>
        <v>0</v>
      </c>
      <c r="S609" s="298">
        <f>IF(ISNA(VLOOKUP($A609,RunData,4,FALSE)),0,VLOOKUP($A609,RunData,4,FALSE))+X609</f>
        <v>0</v>
      </c>
      <c r="T609" s="298">
        <f>IF(ISNA(VLOOKUP($A609,ThrowData,4,FALSE)),0,VLOOKUP($A609,ThrowData,4,FALSE))+Y609</f>
        <v>0</v>
      </c>
      <c r="U609" s="299">
        <f t="shared" si="2"/>
        <v>0</v>
      </c>
      <c r="V609">
        <f>IF(AND($F609&gt;0,NOT(M609),Flexing),FlexPC,0)</f>
        <v>0</v>
      </c>
      <c r="W609">
        <f>IF(AND($F609&gt;0,NOT(N609),Flexing),FlexPC,0)</f>
        <v>0</v>
      </c>
      <c r="X609">
        <f>IF(AND($F609&gt;0,NOT(O609),Flexing),FlexPC,0)</f>
        <v>0</v>
      </c>
      <c r="Y609">
        <f>IF(AND($F609&gt;0,NOT(P609),Flexing),FlexPC,0)</f>
        <v>0</v>
      </c>
      <c r="AA609" s="209">
        <f t="shared" si="3"/>
        <v>608</v>
      </c>
    </row>
    <row r="610" ht="15.75" customHeight="1">
      <c r="A610" s="206" t="str">
        <f>+Declarations!A610&amp;""</f>
        <v/>
      </c>
      <c r="B610" t="str">
        <f>IF(LEN($A610),IF(LEN(Declarations!$B610)&gt;0,Declarations!$B610,"#"&amp;$A610),"")</f>
        <v/>
      </c>
      <c r="C610" s="209" t="str">
        <f t="array" ref="C610">IF(LEN(INDEX(DECLARATIONS,$AA610,3))&gt;0,INDEX(DECLARATIONS,$AA610,3),"...")</f>
        <v>...</v>
      </c>
      <c r="D610" s="209" t="str">
        <f t="shared" si="1"/>
        <v/>
      </c>
      <c r="E610" s="296" t="str">
        <f t="array" ref="E610">IF(ISNA($AA610),0,INDEX(DECLARATIONS,$AA610,5))</f>
        <v/>
      </c>
      <c r="F610" s="209" t="str">
        <f t="array" ref="F610">IF(ISNA($AA610),0,INDEX(DECLARATIONS,$AA610,7))</f>
        <v/>
      </c>
      <c r="G610" s="209" t="str">
        <f t="array" ref="G610">UPPER(IF(ISNA($AA610),"",INDEX(DECLARATIONS,$AA610,4)))</f>
        <v/>
      </c>
      <c r="H610" t="str">
        <f>IF(AND(A610&gt;0,ISTEXT(B610)),IF(SECNAME="YES",LEFT(B610&amp;" ",FIND(" ",B610&amp;" ")+2)&amp;IF(F610&gt;0," ("&amp;F610&amp;")",""),B610&amp;IF(F610&gt;0," ("&amp;F610&amp;")","")),"#"&amp;$A610)</f>
        <v/>
      </c>
      <c r="I610" s="209">
        <f>IF(LEN($A610)&gt;0,IF(LEN($J610)&gt;0,MATCH(J610,MatchNames,0),EventIndex),0)</f>
        <v>0</v>
      </c>
      <c r="J610" s="209" t="str">
        <f>IF(LEN($A610)&gt;0,IF(LEN(Declarations!$F610)&gt;0,Declarations!$F610,conftype),"")</f>
        <v/>
      </c>
      <c r="M610" s="297">
        <f>IF(ISNA(VLOOKUP($A610,SprintData,2,FALSE)),0,VLOOKUP($A610,SprintData,2,FALSE))</f>
        <v>0</v>
      </c>
      <c r="N610" s="297">
        <f>IF(ISNA(VLOOKUP($A610,JumpData,2,FALSE)),0,VLOOKUP($A610,JumpData,2,FALSE))</f>
        <v>0</v>
      </c>
      <c r="O610" s="297">
        <f>IF(ISNA(VLOOKUP($A610,RunData,2,FALSE)),0,VLOOKUP($A610,RunData,2,FALSE))</f>
        <v>0</v>
      </c>
      <c r="P610" s="297">
        <f>IF(ISNA(VLOOKUP($A610,ThrowData,2,FALSE)),0,VLOOKUP($A610,ThrowData,2,FALSE))</f>
        <v>0</v>
      </c>
      <c r="Q610" s="298">
        <f>IF(ISNA(VLOOKUP($A610,SprintData,4,FALSE)),0,VLOOKUP($A610,SprintData,4,FALSE))+V610</f>
        <v>0</v>
      </c>
      <c r="R610" s="298">
        <f>IF(ISNA(VLOOKUP($A610,JumpData,4,FALSE)),0,VLOOKUP($A610,JumpData,4,FALSE))+W610</f>
        <v>0</v>
      </c>
      <c r="S610" s="298">
        <f>IF(ISNA(VLOOKUP($A610,RunData,4,FALSE)),0,VLOOKUP($A610,RunData,4,FALSE))+X610</f>
        <v>0</v>
      </c>
      <c r="T610" s="298">
        <f>IF(ISNA(VLOOKUP($A610,ThrowData,4,FALSE)),0,VLOOKUP($A610,ThrowData,4,FALSE))+Y610</f>
        <v>0</v>
      </c>
      <c r="U610" s="299">
        <f t="shared" si="2"/>
        <v>0</v>
      </c>
      <c r="V610">
        <f>IF(AND($F610&gt;0,NOT(M610),Flexing),FlexPC,0)</f>
        <v>0</v>
      </c>
      <c r="W610">
        <f>IF(AND($F610&gt;0,NOT(N610),Flexing),FlexPC,0)</f>
        <v>0</v>
      </c>
      <c r="X610">
        <f>IF(AND($F610&gt;0,NOT(O610),Flexing),FlexPC,0)</f>
        <v>0</v>
      </c>
      <c r="Y610">
        <f>IF(AND($F610&gt;0,NOT(P610),Flexing),FlexPC,0)</f>
        <v>0</v>
      </c>
      <c r="AA610" s="209">
        <f t="shared" si="3"/>
        <v>609</v>
      </c>
    </row>
    <row r="611" ht="15.75" customHeight="1">
      <c r="A611" s="206" t="str">
        <f>+Declarations!A611&amp;""</f>
        <v/>
      </c>
      <c r="B611" t="str">
        <f>IF(LEN($A611),IF(LEN(Declarations!$B611)&gt;0,Declarations!$B611,"#"&amp;$A611),"")</f>
        <v/>
      </c>
      <c r="C611" s="209" t="str">
        <f t="array" ref="C611">IF(LEN(INDEX(DECLARATIONS,$AA611,3))&gt;0,INDEX(DECLARATIONS,$AA611,3),"...")</f>
        <v>...</v>
      </c>
      <c r="D611" s="209" t="str">
        <f t="shared" si="1"/>
        <v/>
      </c>
      <c r="E611" s="296" t="str">
        <f t="array" ref="E611">IF(ISNA($AA611),0,INDEX(DECLARATIONS,$AA611,5))</f>
        <v/>
      </c>
      <c r="F611" s="209" t="str">
        <f t="array" ref="F611">IF(ISNA($AA611),0,INDEX(DECLARATIONS,$AA611,7))</f>
        <v/>
      </c>
      <c r="G611" s="209" t="str">
        <f t="array" ref="G611">UPPER(IF(ISNA($AA611),"",INDEX(DECLARATIONS,$AA611,4)))</f>
        <v/>
      </c>
      <c r="H611" t="str">
        <f>IF(AND(A611&gt;0,ISTEXT(B611)),IF(SECNAME="YES",LEFT(B611&amp;" ",FIND(" ",B611&amp;" ")+2)&amp;IF(F611&gt;0," ("&amp;F611&amp;")",""),B611&amp;IF(F611&gt;0," ("&amp;F611&amp;")","")),"#"&amp;$A611)</f>
        <v/>
      </c>
      <c r="I611" s="209">
        <f>IF(LEN($A611)&gt;0,IF(LEN($J611)&gt;0,MATCH(J611,MatchNames,0),EventIndex),0)</f>
        <v>0</v>
      </c>
      <c r="J611" s="209" t="str">
        <f>IF(LEN($A611)&gt;0,IF(LEN(Declarations!$F611)&gt;0,Declarations!$F611,conftype),"")</f>
        <v/>
      </c>
      <c r="M611" s="297">
        <f>IF(ISNA(VLOOKUP($A611,SprintData,2,FALSE)),0,VLOOKUP($A611,SprintData,2,FALSE))</f>
        <v>0</v>
      </c>
      <c r="N611" s="297">
        <f>IF(ISNA(VLOOKUP($A611,JumpData,2,FALSE)),0,VLOOKUP($A611,JumpData,2,FALSE))</f>
        <v>0</v>
      </c>
      <c r="O611" s="297">
        <f>IF(ISNA(VLOOKUP($A611,RunData,2,FALSE)),0,VLOOKUP($A611,RunData,2,FALSE))</f>
        <v>0</v>
      </c>
      <c r="P611" s="297">
        <f>IF(ISNA(VLOOKUP($A611,ThrowData,2,FALSE)),0,VLOOKUP($A611,ThrowData,2,FALSE))</f>
        <v>0</v>
      </c>
      <c r="Q611" s="298">
        <f>IF(ISNA(VLOOKUP($A611,SprintData,4,FALSE)),0,VLOOKUP($A611,SprintData,4,FALSE))+V611</f>
        <v>0</v>
      </c>
      <c r="R611" s="298">
        <f>IF(ISNA(VLOOKUP($A611,JumpData,4,FALSE)),0,VLOOKUP($A611,JumpData,4,FALSE))+W611</f>
        <v>0</v>
      </c>
      <c r="S611" s="298">
        <f>IF(ISNA(VLOOKUP($A611,RunData,4,FALSE)),0,VLOOKUP($A611,RunData,4,FALSE))+X611</f>
        <v>0</v>
      </c>
      <c r="T611" s="298">
        <f>IF(ISNA(VLOOKUP($A611,ThrowData,4,FALSE)),0,VLOOKUP($A611,ThrowData,4,FALSE))+Y611</f>
        <v>0</v>
      </c>
      <c r="U611" s="299">
        <f t="shared" si="2"/>
        <v>0</v>
      </c>
      <c r="V611">
        <f>IF(AND($F611&gt;0,NOT(M611),Flexing),FlexPC,0)</f>
        <v>0</v>
      </c>
      <c r="W611">
        <f>IF(AND($F611&gt;0,NOT(N611),Flexing),FlexPC,0)</f>
        <v>0</v>
      </c>
      <c r="X611">
        <f>IF(AND($F611&gt;0,NOT(O611),Flexing),FlexPC,0)</f>
        <v>0</v>
      </c>
      <c r="Y611">
        <f>IF(AND($F611&gt;0,NOT(P611),Flexing),FlexPC,0)</f>
        <v>0</v>
      </c>
      <c r="AA611" s="209">
        <f t="shared" si="3"/>
        <v>610</v>
      </c>
    </row>
    <row r="612" ht="15.75" customHeight="1">
      <c r="A612" s="206" t="str">
        <f>+Declarations!A612&amp;""</f>
        <v/>
      </c>
      <c r="B612" t="str">
        <f>IF(LEN($A612),IF(LEN(Declarations!$B612)&gt;0,Declarations!$B612,"#"&amp;$A612),"")</f>
        <v/>
      </c>
      <c r="C612" s="209" t="str">
        <f t="array" ref="C612">IF(LEN(INDEX(DECLARATIONS,$AA612,3))&gt;0,INDEX(DECLARATIONS,$AA612,3),"...")</f>
        <v>...</v>
      </c>
      <c r="D612" s="209" t="str">
        <f t="shared" si="1"/>
        <v/>
      </c>
      <c r="E612" s="296" t="str">
        <f t="array" ref="E612">IF(ISNA($AA612),0,INDEX(DECLARATIONS,$AA612,5))</f>
        <v/>
      </c>
      <c r="F612" s="209" t="str">
        <f t="array" ref="F612">IF(ISNA($AA612),0,INDEX(DECLARATIONS,$AA612,7))</f>
        <v/>
      </c>
      <c r="G612" s="209" t="str">
        <f t="array" ref="G612">UPPER(IF(ISNA($AA612),"",INDEX(DECLARATIONS,$AA612,4)))</f>
        <v/>
      </c>
      <c r="H612" t="str">
        <f>IF(AND(A612&gt;0,ISTEXT(B612)),IF(SECNAME="YES",LEFT(B612&amp;" ",FIND(" ",B612&amp;" ")+2)&amp;IF(F612&gt;0," ("&amp;F612&amp;")",""),B612&amp;IF(F612&gt;0," ("&amp;F612&amp;")","")),"#"&amp;$A612)</f>
        <v/>
      </c>
      <c r="I612" s="209">
        <f>IF(LEN($A612)&gt;0,IF(LEN($J612)&gt;0,MATCH(J612,MatchNames,0),EventIndex),0)</f>
        <v>0</v>
      </c>
      <c r="J612" s="209" t="str">
        <f>IF(LEN($A612)&gt;0,IF(LEN(Declarations!$F612)&gt;0,Declarations!$F612,conftype),"")</f>
        <v/>
      </c>
      <c r="M612" s="297">
        <f>IF(ISNA(VLOOKUP($A612,SprintData,2,FALSE)),0,VLOOKUP($A612,SprintData,2,FALSE))</f>
        <v>0</v>
      </c>
      <c r="N612" s="297">
        <f>IF(ISNA(VLOOKUP($A612,JumpData,2,FALSE)),0,VLOOKUP($A612,JumpData,2,FALSE))</f>
        <v>0</v>
      </c>
      <c r="O612" s="297">
        <f>IF(ISNA(VLOOKUP($A612,RunData,2,FALSE)),0,VLOOKUP($A612,RunData,2,FALSE))</f>
        <v>0</v>
      </c>
      <c r="P612" s="297">
        <f>IF(ISNA(VLOOKUP($A612,ThrowData,2,FALSE)),0,VLOOKUP($A612,ThrowData,2,FALSE))</f>
        <v>0</v>
      </c>
      <c r="Q612" s="298">
        <f>IF(ISNA(VLOOKUP($A612,SprintData,4,FALSE)),0,VLOOKUP($A612,SprintData,4,FALSE))+V612</f>
        <v>0</v>
      </c>
      <c r="R612" s="298">
        <f>IF(ISNA(VLOOKUP($A612,JumpData,4,FALSE)),0,VLOOKUP($A612,JumpData,4,FALSE))+W612</f>
        <v>0</v>
      </c>
      <c r="S612" s="298">
        <f>IF(ISNA(VLOOKUP($A612,RunData,4,FALSE)),0,VLOOKUP($A612,RunData,4,FALSE))+X612</f>
        <v>0</v>
      </c>
      <c r="T612" s="298">
        <f>IF(ISNA(VLOOKUP($A612,ThrowData,4,FALSE)),0,VLOOKUP($A612,ThrowData,4,FALSE))+Y612</f>
        <v>0</v>
      </c>
      <c r="U612" s="299">
        <f t="shared" si="2"/>
        <v>0</v>
      </c>
      <c r="V612">
        <f>IF(AND($F612&gt;0,NOT(M612),Flexing),FlexPC,0)</f>
        <v>0</v>
      </c>
      <c r="W612">
        <f>IF(AND($F612&gt;0,NOT(N612),Flexing),FlexPC,0)</f>
        <v>0</v>
      </c>
      <c r="X612">
        <f>IF(AND($F612&gt;0,NOT(O612),Flexing),FlexPC,0)</f>
        <v>0</v>
      </c>
      <c r="Y612">
        <f>IF(AND($F612&gt;0,NOT(P612),Flexing),FlexPC,0)</f>
        <v>0</v>
      </c>
      <c r="AA612" s="209">
        <f t="shared" si="3"/>
        <v>611</v>
      </c>
    </row>
    <row r="613" ht="15.75" customHeight="1">
      <c r="A613" s="206" t="str">
        <f>+Declarations!A613&amp;""</f>
        <v/>
      </c>
      <c r="B613" t="str">
        <f>IF(LEN($A613),IF(LEN(Declarations!$B613)&gt;0,Declarations!$B613,"#"&amp;$A613),"")</f>
        <v/>
      </c>
      <c r="C613" s="209" t="str">
        <f t="array" ref="C613">IF(LEN(INDEX(DECLARATIONS,$AA613,3))&gt;0,INDEX(DECLARATIONS,$AA613,3),"...")</f>
        <v>...</v>
      </c>
      <c r="D613" s="209" t="str">
        <f t="shared" si="1"/>
        <v/>
      </c>
      <c r="E613" s="296" t="str">
        <f t="array" ref="E613">IF(ISNA($AA613),0,INDEX(DECLARATIONS,$AA613,5))</f>
        <v/>
      </c>
      <c r="F613" s="209" t="str">
        <f t="array" ref="F613">IF(ISNA($AA613),0,INDEX(DECLARATIONS,$AA613,7))</f>
        <v/>
      </c>
      <c r="G613" s="209" t="str">
        <f t="array" ref="G613">UPPER(IF(ISNA($AA613),"",INDEX(DECLARATIONS,$AA613,4)))</f>
        <v/>
      </c>
      <c r="H613" t="str">
        <f>IF(AND(A613&gt;0,ISTEXT(B613)),IF(SECNAME="YES",LEFT(B613&amp;" ",FIND(" ",B613&amp;" ")+2)&amp;IF(F613&gt;0," ("&amp;F613&amp;")",""),B613&amp;IF(F613&gt;0," ("&amp;F613&amp;")","")),"#"&amp;$A613)</f>
        <v/>
      </c>
      <c r="I613" s="209">
        <f>IF(LEN($A613)&gt;0,IF(LEN($J613)&gt;0,MATCH(J613,MatchNames,0),EventIndex),0)</f>
        <v>0</v>
      </c>
      <c r="J613" s="209" t="str">
        <f>IF(LEN($A613)&gt;0,IF(LEN(Declarations!$F613)&gt;0,Declarations!$F613,conftype),"")</f>
        <v/>
      </c>
      <c r="M613" s="297">
        <f>IF(ISNA(VLOOKUP($A613,SprintData,2,FALSE)),0,VLOOKUP($A613,SprintData,2,FALSE))</f>
        <v>0</v>
      </c>
      <c r="N613" s="297">
        <f>IF(ISNA(VLOOKUP($A613,JumpData,2,FALSE)),0,VLOOKUP($A613,JumpData,2,FALSE))</f>
        <v>0</v>
      </c>
      <c r="O613" s="297">
        <f>IF(ISNA(VLOOKUP($A613,RunData,2,FALSE)),0,VLOOKUP($A613,RunData,2,FALSE))</f>
        <v>0</v>
      </c>
      <c r="P613" s="297">
        <f>IF(ISNA(VLOOKUP($A613,ThrowData,2,FALSE)),0,VLOOKUP($A613,ThrowData,2,FALSE))</f>
        <v>0</v>
      </c>
      <c r="Q613" s="298">
        <f>IF(ISNA(VLOOKUP($A613,SprintData,4,FALSE)),0,VLOOKUP($A613,SprintData,4,FALSE))+V613</f>
        <v>0</v>
      </c>
      <c r="R613" s="298">
        <f>IF(ISNA(VLOOKUP($A613,JumpData,4,FALSE)),0,VLOOKUP($A613,JumpData,4,FALSE))+W613</f>
        <v>0</v>
      </c>
      <c r="S613" s="298">
        <f>IF(ISNA(VLOOKUP($A613,RunData,4,FALSE)),0,VLOOKUP($A613,RunData,4,FALSE))+X613</f>
        <v>0</v>
      </c>
      <c r="T613" s="298">
        <f>IF(ISNA(VLOOKUP($A613,ThrowData,4,FALSE)),0,VLOOKUP($A613,ThrowData,4,FALSE))+Y613</f>
        <v>0</v>
      </c>
      <c r="U613" s="299">
        <f t="shared" si="2"/>
        <v>0</v>
      </c>
      <c r="V613">
        <f>IF(AND($F613&gt;0,NOT(M613),Flexing),FlexPC,0)</f>
        <v>0</v>
      </c>
      <c r="W613">
        <f>IF(AND($F613&gt;0,NOT(N613),Flexing),FlexPC,0)</f>
        <v>0</v>
      </c>
      <c r="X613">
        <f>IF(AND($F613&gt;0,NOT(O613),Flexing),FlexPC,0)</f>
        <v>0</v>
      </c>
      <c r="Y613">
        <f>IF(AND($F613&gt;0,NOT(P613),Flexing),FlexPC,0)</f>
        <v>0</v>
      </c>
      <c r="AA613" s="209">
        <f t="shared" si="3"/>
        <v>612</v>
      </c>
    </row>
    <row r="614" ht="15.75" customHeight="1">
      <c r="A614" s="206" t="str">
        <f>+Declarations!A614&amp;""</f>
        <v/>
      </c>
      <c r="B614" t="str">
        <f>IF(LEN($A614),IF(LEN(Declarations!$B614)&gt;0,Declarations!$B614,"#"&amp;$A614),"")</f>
        <v/>
      </c>
      <c r="C614" s="209" t="str">
        <f t="array" ref="C614">IF(LEN(INDEX(DECLARATIONS,$AA614,3))&gt;0,INDEX(DECLARATIONS,$AA614,3),"...")</f>
        <v>...</v>
      </c>
      <c r="D614" s="209" t="str">
        <f t="shared" si="1"/>
        <v/>
      </c>
      <c r="E614" s="296" t="str">
        <f t="array" ref="E614">IF(ISNA($AA614),0,INDEX(DECLARATIONS,$AA614,5))</f>
        <v/>
      </c>
      <c r="F614" s="209" t="str">
        <f t="array" ref="F614">IF(ISNA($AA614),0,INDEX(DECLARATIONS,$AA614,7))</f>
        <v/>
      </c>
      <c r="G614" s="209" t="str">
        <f t="array" ref="G614">UPPER(IF(ISNA($AA614),"",INDEX(DECLARATIONS,$AA614,4)))</f>
        <v/>
      </c>
      <c r="H614" t="str">
        <f>IF(AND(A614&gt;0,ISTEXT(B614)),IF(SECNAME="YES",LEFT(B614&amp;" ",FIND(" ",B614&amp;" ")+2)&amp;IF(F614&gt;0," ("&amp;F614&amp;")",""),B614&amp;IF(F614&gt;0," ("&amp;F614&amp;")","")),"#"&amp;$A614)</f>
        <v/>
      </c>
      <c r="I614" s="209">
        <f>IF(LEN($A614)&gt;0,IF(LEN($J614)&gt;0,MATCH(J614,MatchNames,0),EventIndex),0)</f>
        <v>0</v>
      </c>
      <c r="J614" s="209" t="str">
        <f>IF(LEN($A614)&gt;0,IF(LEN(Declarations!$F614)&gt;0,Declarations!$F614,conftype),"")</f>
        <v/>
      </c>
      <c r="M614" s="297">
        <f>IF(ISNA(VLOOKUP($A614,SprintData,2,FALSE)),0,VLOOKUP($A614,SprintData,2,FALSE))</f>
        <v>0</v>
      </c>
      <c r="N614" s="297">
        <f>IF(ISNA(VLOOKUP($A614,JumpData,2,FALSE)),0,VLOOKUP($A614,JumpData,2,FALSE))</f>
        <v>0</v>
      </c>
      <c r="O614" s="297">
        <f>IF(ISNA(VLOOKUP($A614,RunData,2,FALSE)),0,VLOOKUP($A614,RunData,2,FALSE))</f>
        <v>0</v>
      </c>
      <c r="P614" s="297">
        <f>IF(ISNA(VLOOKUP($A614,ThrowData,2,FALSE)),0,VLOOKUP($A614,ThrowData,2,FALSE))</f>
        <v>0</v>
      </c>
      <c r="Q614" s="298">
        <f>IF(ISNA(VLOOKUP($A614,SprintData,4,FALSE)),0,VLOOKUP($A614,SprintData,4,FALSE))+V614</f>
        <v>0</v>
      </c>
      <c r="R614" s="298">
        <f>IF(ISNA(VLOOKUP($A614,JumpData,4,FALSE)),0,VLOOKUP($A614,JumpData,4,FALSE))+W614</f>
        <v>0</v>
      </c>
      <c r="S614" s="298">
        <f>IF(ISNA(VLOOKUP($A614,RunData,4,FALSE)),0,VLOOKUP($A614,RunData,4,FALSE))+X614</f>
        <v>0</v>
      </c>
      <c r="T614" s="298">
        <f>IF(ISNA(VLOOKUP($A614,ThrowData,4,FALSE)),0,VLOOKUP($A614,ThrowData,4,FALSE))+Y614</f>
        <v>0</v>
      </c>
      <c r="U614" s="299">
        <f t="shared" si="2"/>
        <v>0</v>
      </c>
      <c r="V614">
        <f>IF(AND($F614&gt;0,NOT(M614),Flexing),FlexPC,0)</f>
        <v>0</v>
      </c>
      <c r="W614">
        <f>IF(AND($F614&gt;0,NOT(N614),Flexing),FlexPC,0)</f>
        <v>0</v>
      </c>
      <c r="X614">
        <f>IF(AND($F614&gt;0,NOT(O614),Flexing),FlexPC,0)</f>
        <v>0</v>
      </c>
      <c r="Y614">
        <f>IF(AND($F614&gt;0,NOT(P614),Flexing),FlexPC,0)</f>
        <v>0</v>
      </c>
      <c r="AA614" s="209">
        <f t="shared" si="3"/>
        <v>613</v>
      </c>
    </row>
    <row r="615" ht="15.75" customHeight="1">
      <c r="A615" s="206" t="str">
        <f>+Declarations!A615&amp;""</f>
        <v/>
      </c>
      <c r="B615" t="str">
        <f>IF(LEN($A615),IF(LEN(Declarations!$B615)&gt;0,Declarations!$B615,"#"&amp;$A615),"")</f>
        <v/>
      </c>
      <c r="C615" s="209" t="str">
        <f t="array" ref="C615">IF(LEN(INDEX(DECLARATIONS,$AA615,3))&gt;0,INDEX(DECLARATIONS,$AA615,3),"...")</f>
        <v>...</v>
      </c>
      <c r="D615" s="209" t="str">
        <f t="shared" si="1"/>
        <v/>
      </c>
      <c r="E615" s="296" t="str">
        <f t="array" ref="E615">IF(ISNA($AA615),0,INDEX(DECLARATIONS,$AA615,5))</f>
        <v/>
      </c>
      <c r="F615" s="209" t="str">
        <f t="array" ref="F615">IF(ISNA($AA615),0,INDEX(DECLARATIONS,$AA615,7))</f>
        <v/>
      </c>
      <c r="G615" s="209" t="str">
        <f t="array" ref="G615">UPPER(IF(ISNA($AA615),"",INDEX(DECLARATIONS,$AA615,4)))</f>
        <v/>
      </c>
      <c r="H615" t="str">
        <f>IF(AND(A615&gt;0,ISTEXT(B615)),IF(SECNAME="YES",LEFT(B615&amp;" ",FIND(" ",B615&amp;" ")+2)&amp;IF(F615&gt;0," ("&amp;F615&amp;")",""),B615&amp;IF(F615&gt;0," ("&amp;F615&amp;")","")),"#"&amp;$A615)</f>
        <v/>
      </c>
      <c r="I615" s="209">
        <f>IF(LEN($A615)&gt;0,IF(LEN($J615)&gt;0,MATCH(J615,MatchNames,0),EventIndex),0)</f>
        <v>0</v>
      </c>
      <c r="J615" s="209" t="str">
        <f>IF(LEN($A615)&gt;0,IF(LEN(Declarations!$F615)&gt;0,Declarations!$F615,conftype),"")</f>
        <v/>
      </c>
      <c r="M615" s="297">
        <f>IF(ISNA(VLOOKUP($A615,SprintData,2,FALSE)),0,VLOOKUP($A615,SprintData,2,FALSE))</f>
        <v>0</v>
      </c>
      <c r="N615" s="297">
        <f>IF(ISNA(VLOOKUP($A615,JumpData,2,FALSE)),0,VLOOKUP($A615,JumpData,2,FALSE))</f>
        <v>0</v>
      </c>
      <c r="O615" s="297">
        <f>IF(ISNA(VLOOKUP($A615,RunData,2,FALSE)),0,VLOOKUP($A615,RunData,2,FALSE))</f>
        <v>0</v>
      </c>
      <c r="P615" s="297">
        <f>IF(ISNA(VLOOKUP($A615,ThrowData,2,FALSE)),0,VLOOKUP($A615,ThrowData,2,FALSE))</f>
        <v>0</v>
      </c>
      <c r="Q615" s="298">
        <f>IF(ISNA(VLOOKUP($A615,SprintData,4,FALSE)),0,VLOOKUP($A615,SprintData,4,FALSE))+V615</f>
        <v>0</v>
      </c>
      <c r="R615" s="298">
        <f>IF(ISNA(VLOOKUP($A615,JumpData,4,FALSE)),0,VLOOKUP($A615,JumpData,4,FALSE))+W615</f>
        <v>0</v>
      </c>
      <c r="S615" s="298">
        <f>IF(ISNA(VLOOKUP($A615,RunData,4,FALSE)),0,VLOOKUP($A615,RunData,4,FALSE))+X615</f>
        <v>0</v>
      </c>
      <c r="T615" s="298">
        <f>IF(ISNA(VLOOKUP($A615,ThrowData,4,FALSE)),0,VLOOKUP($A615,ThrowData,4,FALSE))+Y615</f>
        <v>0</v>
      </c>
      <c r="U615" s="299">
        <f t="shared" si="2"/>
        <v>0</v>
      </c>
      <c r="V615">
        <f>IF(AND($F615&gt;0,NOT(M615),Flexing),FlexPC,0)</f>
        <v>0</v>
      </c>
      <c r="W615">
        <f>IF(AND($F615&gt;0,NOT(N615),Flexing),FlexPC,0)</f>
        <v>0</v>
      </c>
      <c r="X615">
        <f>IF(AND($F615&gt;0,NOT(O615),Flexing),FlexPC,0)</f>
        <v>0</v>
      </c>
      <c r="Y615">
        <f>IF(AND($F615&gt;0,NOT(P615),Flexing),FlexPC,0)</f>
        <v>0</v>
      </c>
      <c r="AA615" s="209">
        <f t="shared" si="3"/>
        <v>614</v>
      </c>
    </row>
    <row r="616" ht="15.75" customHeight="1">
      <c r="A616" s="206" t="str">
        <f>+Declarations!A616&amp;""</f>
        <v/>
      </c>
      <c r="B616" t="str">
        <f>IF(LEN($A616),IF(LEN(Declarations!$B616)&gt;0,Declarations!$B616,"#"&amp;$A616),"")</f>
        <v/>
      </c>
      <c r="C616" s="209" t="str">
        <f t="array" ref="C616">IF(LEN(INDEX(DECLARATIONS,$AA616,3))&gt;0,INDEX(DECLARATIONS,$AA616,3),"...")</f>
        <v>...</v>
      </c>
      <c r="D616" s="209" t="str">
        <f t="shared" si="1"/>
        <v/>
      </c>
      <c r="E616" s="296" t="str">
        <f t="array" ref="E616">IF(ISNA($AA616),0,INDEX(DECLARATIONS,$AA616,5))</f>
        <v/>
      </c>
      <c r="F616" s="209" t="str">
        <f t="array" ref="F616">IF(ISNA($AA616),0,INDEX(DECLARATIONS,$AA616,7))</f>
        <v/>
      </c>
      <c r="G616" s="209" t="str">
        <f t="array" ref="G616">UPPER(IF(ISNA($AA616),"",INDEX(DECLARATIONS,$AA616,4)))</f>
        <v/>
      </c>
      <c r="H616" t="str">
        <f>IF(AND(A616&gt;0,ISTEXT(B616)),IF(SECNAME="YES",LEFT(B616&amp;" ",FIND(" ",B616&amp;" ")+2)&amp;IF(F616&gt;0," ("&amp;F616&amp;")",""),B616&amp;IF(F616&gt;0," ("&amp;F616&amp;")","")),"#"&amp;$A616)</f>
        <v/>
      </c>
      <c r="I616" s="209">
        <f>IF(LEN($A616)&gt;0,IF(LEN($J616)&gt;0,MATCH(J616,MatchNames,0),EventIndex),0)</f>
        <v>0</v>
      </c>
      <c r="J616" s="209" t="str">
        <f>IF(LEN($A616)&gt;0,IF(LEN(Declarations!$F616)&gt;0,Declarations!$F616,conftype),"")</f>
        <v/>
      </c>
      <c r="M616" s="297">
        <f>IF(ISNA(VLOOKUP($A616,SprintData,2,FALSE)),0,VLOOKUP($A616,SprintData,2,FALSE))</f>
        <v>0</v>
      </c>
      <c r="N616" s="297">
        <f>IF(ISNA(VLOOKUP($A616,JumpData,2,FALSE)),0,VLOOKUP($A616,JumpData,2,FALSE))</f>
        <v>0</v>
      </c>
      <c r="O616" s="297">
        <f>IF(ISNA(VLOOKUP($A616,RunData,2,FALSE)),0,VLOOKUP($A616,RunData,2,FALSE))</f>
        <v>0</v>
      </c>
      <c r="P616" s="297">
        <f>IF(ISNA(VLOOKUP($A616,ThrowData,2,FALSE)),0,VLOOKUP($A616,ThrowData,2,FALSE))</f>
        <v>0</v>
      </c>
      <c r="Q616" s="298">
        <f>IF(ISNA(VLOOKUP($A616,SprintData,4,FALSE)),0,VLOOKUP($A616,SprintData,4,FALSE))+V616</f>
        <v>0</v>
      </c>
      <c r="R616" s="298">
        <f>IF(ISNA(VLOOKUP($A616,JumpData,4,FALSE)),0,VLOOKUP($A616,JumpData,4,FALSE))+W616</f>
        <v>0</v>
      </c>
      <c r="S616" s="298">
        <f>IF(ISNA(VLOOKUP($A616,RunData,4,FALSE)),0,VLOOKUP($A616,RunData,4,FALSE))+X616</f>
        <v>0</v>
      </c>
      <c r="T616" s="298">
        <f>IF(ISNA(VLOOKUP($A616,ThrowData,4,FALSE)),0,VLOOKUP($A616,ThrowData,4,FALSE))+Y616</f>
        <v>0</v>
      </c>
      <c r="U616" s="299">
        <f t="shared" si="2"/>
        <v>0</v>
      </c>
      <c r="V616">
        <f>IF(AND($F616&gt;0,NOT(M616),Flexing),FlexPC,0)</f>
        <v>0</v>
      </c>
      <c r="W616">
        <f>IF(AND($F616&gt;0,NOT(N616),Flexing),FlexPC,0)</f>
        <v>0</v>
      </c>
      <c r="X616">
        <f>IF(AND($F616&gt;0,NOT(O616),Flexing),FlexPC,0)</f>
        <v>0</v>
      </c>
      <c r="Y616">
        <f>IF(AND($F616&gt;0,NOT(P616),Flexing),FlexPC,0)</f>
        <v>0</v>
      </c>
      <c r="AA616" s="209">
        <f t="shared" si="3"/>
        <v>615</v>
      </c>
    </row>
    <row r="617" ht="15.75" customHeight="1">
      <c r="A617" s="206" t="str">
        <f>+Declarations!A617&amp;""</f>
        <v/>
      </c>
      <c r="B617" t="str">
        <f>IF(LEN($A617),IF(LEN(Declarations!$B617)&gt;0,Declarations!$B617,"#"&amp;$A617),"")</f>
        <v/>
      </c>
      <c r="C617" s="209" t="str">
        <f t="array" ref="C617">IF(LEN(INDEX(DECLARATIONS,$AA617,3))&gt;0,INDEX(DECLARATIONS,$AA617,3),"...")</f>
        <v>...</v>
      </c>
      <c r="D617" s="209" t="str">
        <f t="shared" si="1"/>
        <v/>
      </c>
      <c r="E617" s="296" t="str">
        <f t="array" ref="E617">IF(ISNA($AA617),0,INDEX(DECLARATIONS,$AA617,5))</f>
        <v/>
      </c>
      <c r="F617" s="209" t="str">
        <f t="array" ref="F617">IF(ISNA($AA617),0,INDEX(DECLARATIONS,$AA617,7))</f>
        <v/>
      </c>
      <c r="G617" s="209" t="str">
        <f t="array" ref="G617">UPPER(IF(ISNA($AA617),"",INDEX(DECLARATIONS,$AA617,4)))</f>
        <v/>
      </c>
      <c r="H617" t="str">
        <f>IF(AND(A617&gt;0,ISTEXT(B617)),IF(SECNAME="YES",LEFT(B617&amp;" ",FIND(" ",B617&amp;" ")+2)&amp;IF(F617&gt;0," ("&amp;F617&amp;")",""),B617&amp;IF(F617&gt;0," ("&amp;F617&amp;")","")),"#"&amp;$A617)</f>
        <v/>
      </c>
      <c r="I617" s="209">
        <f>IF(LEN($A617)&gt;0,IF(LEN($J617)&gt;0,MATCH(J617,MatchNames,0),EventIndex),0)</f>
        <v>0</v>
      </c>
      <c r="J617" s="209" t="str">
        <f>IF(LEN($A617)&gt;0,IF(LEN(Declarations!$F617)&gt;0,Declarations!$F617,conftype),"")</f>
        <v/>
      </c>
      <c r="M617" s="297">
        <f>IF(ISNA(VLOOKUP($A617,SprintData,2,FALSE)),0,VLOOKUP($A617,SprintData,2,FALSE))</f>
        <v>0</v>
      </c>
      <c r="N617" s="297">
        <f>IF(ISNA(VLOOKUP($A617,JumpData,2,FALSE)),0,VLOOKUP($A617,JumpData,2,FALSE))</f>
        <v>0</v>
      </c>
      <c r="O617" s="297">
        <f>IF(ISNA(VLOOKUP($A617,RunData,2,FALSE)),0,VLOOKUP($A617,RunData,2,FALSE))</f>
        <v>0</v>
      </c>
      <c r="P617" s="297">
        <f>IF(ISNA(VLOOKUP($A617,ThrowData,2,FALSE)),0,VLOOKUP($A617,ThrowData,2,FALSE))</f>
        <v>0</v>
      </c>
      <c r="Q617" s="298">
        <f>IF(ISNA(VLOOKUP($A617,SprintData,4,FALSE)),0,VLOOKUP($A617,SprintData,4,FALSE))+V617</f>
        <v>0</v>
      </c>
      <c r="R617" s="298">
        <f>IF(ISNA(VLOOKUP($A617,JumpData,4,FALSE)),0,VLOOKUP($A617,JumpData,4,FALSE))+W617</f>
        <v>0</v>
      </c>
      <c r="S617" s="298">
        <f>IF(ISNA(VLOOKUP($A617,RunData,4,FALSE)),0,VLOOKUP($A617,RunData,4,FALSE))+X617</f>
        <v>0</v>
      </c>
      <c r="T617" s="298">
        <f>IF(ISNA(VLOOKUP($A617,ThrowData,4,FALSE)),0,VLOOKUP($A617,ThrowData,4,FALSE))+Y617</f>
        <v>0</v>
      </c>
      <c r="U617" s="299">
        <f t="shared" si="2"/>
        <v>0</v>
      </c>
      <c r="V617">
        <f>IF(AND($F617&gt;0,NOT(M617),Flexing),FlexPC,0)</f>
        <v>0</v>
      </c>
      <c r="W617">
        <f>IF(AND($F617&gt;0,NOT(N617),Flexing),FlexPC,0)</f>
        <v>0</v>
      </c>
      <c r="X617">
        <f>IF(AND($F617&gt;0,NOT(O617),Flexing),FlexPC,0)</f>
        <v>0</v>
      </c>
      <c r="Y617">
        <f>IF(AND($F617&gt;0,NOT(P617),Flexing),FlexPC,0)</f>
        <v>0</v>
      </c>
      <c r="AA617" s="209">
        <f t="shared" si="3"/>
        <v>616</v>
      </c>
    </row>
    <row r="618" ht="15.75" customHeight="1">
      <c r="A618" s="206" t="str">
        <f>+Declarations!A618&amp;""</f>
        <v/>
      </c>
      <c r="B618" t="str">
        <f>IF(LEN($A618),IF(LEN(Declarations!$B618)&gt;0,Declarations!$B618,"#"&amp;$A618),"")</f>
        <v/>
      </c>
      <c r="C618" s="209" t="str">
        <f t="array" ref="C618">IF(LEN(INDEX(DECLARATIONS,$AA618,3))&gt;0,INDEX(DECLARATIONS,$AA618,3),"...")</f>
        <v>...</v>
      </c>
      <c r="D618" s="209" t="str">
        <f t="shared" si="1"/>
        <v/>
      </c>
      <c r="E618" s="296" t="str">
        <f t="array" ref="E618">IF(ISNA($AA618),0,INDEX(DECLARATIONS,$AA618,5))</f>
        <v/>
      </c>
      <c r="F618" s="209" t="str">
        <f t="array" ref="F618">IF(ISNA($AA618),0,INDEX(DECLARATIONS,$AA618,7))</f>
        <v/>
      </c>
      <c r="G618" s="209" t="str">
        <f t="array" ref="G618">UPPER(IF(ISNA($AA618),"",INDEX(DECLARATIONS,$AA618,4)))</f>
        <v/>
      </c>
      <c r="H618" t="str">
        <f>IF(AND(A618&gt;0,ISTEXT(B618)),IF(SECNAME="YES",LEFT(B618&amp;" ",FIND(" ",B618&amp;" ")+2)&amp;IF(F618&gt;0," ("&amp;F618&amp;")",""),B618&amp;IF(F618&gt;0," ("&amp;F618&amp;")","")),"#"&amp;$A618)</f>
        <v/>
      </c>
      <c r="I618" s="209">
        <f>IF(LEN($A618)&gt;0,IF(LEN($J618)&gt;0,MATCH(J618,MatchNames,0),EventIndex),0)</f>
        <v>0</v>
      </c>
      <c r="J618" s="209" t="str">
        <f>IF(LEN($A618)&gt;0,IF(LEN(Declarations!$F618)&gt;0,Declarations!$F618,conftype),"")</f>
        <v/>
      </c>
      <c r="M618" s="297">
        <f>IF(ISNA(VLOOKUP($A618,SprintData,2,FALSE)),0,VLOOKUP($A618,SprintData,2,FALSE))</f>
        <v>0</v>
      </c>
      <c r="N618" s="297">
        <f>IF(ISNA(VLOOKUP($A618,JumpData,2,FALSE)),0,VLOOKUP($A618,JumpData,2,FALSE))</f>
        <v>0</v>
      </c>
      <c r="O618" s="297">
        <f>IF(ISNA(VLOOKUP($A618,RunData,2,FALSE)),0,VLOOKUP($A618,RunData,2,FALSE))</f>
        <v>0</v>
      </c>
      <c r="P618" s="297">
        <f>IF(ISNA(VLOOKUP($A618,ThrowData,2,FALSE)),0,VLOOKUP($A618,ThrowData,2,FALSE))</f>
        <v>0</v>
      </c>
      <c r="Q618" s="298">
        <f>IF(ISNA(VLOOKUP($A618,SprintData,4,FALSE)),0,VLOOKUP($A618,SprintData,4,FALSE))+V618</f>
        <v>0</v>
      </c>
      <c r="R618" s="298">
        <f>IF(ISNA(VLOOKUP($A618,JumpData,4,FALSE)),0,VLOOKUP($A618,JumpData,4,FALSE))+W618</f>
        <v>0</v>
      </c>
      <c r="S618" s="298">
        <f>IF(ISNA(VLOOKUP($A618,RunData,4,FALSE)),0,VLOOKUP($A618,RunData,4,FALSE))+X618</f>
        <v>0</v>
      </c>
      <c r="T618" s="298">
        <f>IF(ISNA(VLOOKUP($A618,ThrowData,4,FALSE)),0,VLOOKUP($A618,ThrowData,4,FALSE))+Y618</f>
        <v>0</v>
      </c>
      <c r="U618" s="299">
        <f t="shared" si="2"/>
        <v>0</v>
      </c>
      <c r="V618">
        <f>IF(AND($F618&gt;0,NOT(M618),Flexing),FlexPC,0)</f>
        <v>0</v>
      </c>
      <c r="W618">
        <f>IF(AND($F618&gt;0,NOT(N618),Flexing),FlexPC,0)</f>
        <v>0</v>
      </c>
      <c r="X618">
        <f>IF(AND($F618&gt;0,NOT(O618),Flexing),FlexPC,0)</f>
        <v>0</v>
      </c>
      <c r="Y618">
        <f>IF(AND($F618&gt;0,NOT(P618),Flexing),FlexPC,0)</f>
        <v>0</v>
      </c>
      <c r="AA618" s="209">
        <f t="shared" si="3"/>
        <v>617</v>
      </c>
    </row>
    <row r="619" ht="15.75" customHeight="1">
      <c r="A619" s="206" t="str">
        <f>+Declarations!A619&amp;""</f>
        <v/>
      </c>
      <c r="B619" t="str">
        <f>IF(LEN($A619),IF(LEN(Declarations!$B619)&gt;0,Declarations!$B619,"#"&amp;$A619),"")</f>
        <v/>
      </c>
      <c r="C619" s="209" t="str">
        <f t="array" ref="C619">IF(LEN(INDEX(DECLARATIONS,$AA619,3))&gt;0,INDEX(DECLARATIONS,$AA619,3),"...")</f>
        <v>...</v>
      </c>
      <c r="D619" s="209" t="str">
        <f t="shared" si="1"/>
        <v/>
      </c>
      <c r="E619" s="296" t="str">
        <f t="array" ref="E619">IF(ISNA($AA619),0,INDEX(DECLARATIONS,$AA619,5))</f>
        <v/>
      </c>
      <c r="F619" s="209" t="str">
        <f t="array" ref="F619">IF(ISNA($AA619),0,INDEX(DECLARATIONS,$AA619,7))</f>
        <v/>
      </c>
      <c r="G619" s="209" t="str">
        <f t="array" ref="G619">UPPER(IF(ISNA($AA619),"",INDEX(DECLARATIONS,$AA619,4)))</f>
        <v/>
      </c>
      <c r="H619" t="str">
        <f>IF(AND(A619&gt;0,ISTEXT(B619)),IF(SECNAME="YES",LEFT(B619&amp;" ",FIND(" ",B619&amp;" ")+2)&amp;IF(F619&gt;0," ("&amp;F619&amp;")",""),B619&amp;IF(F619&gt;0," ("&amp;F619&amp;")","")),"#"&amp;$A619)</f>
        <v/>
      </c>
      <c r="I619" s="209">
        <f>IF(LEN($A619)&gt;0,IF(LEN($J619)&gt;0,MATCH(J619,MatchNames,0),EventIndex),0)</f>
        <v>0</v>
      </c>
      <c r="J619" s="209" t="str">
        <f>IF(LEN($A619)&gt;0,IF(LEN(Declarations!$F619)&gt;0,Declarations!$F619,conftype),"")</f>
        <v/>
      </c>
      <c r="M619" s="297">
        <f>IF(ISNA(VLOOKUP($A619,SprintData,2,FALSE)),0,VLOOKUP($A619,SprintData,2,FALSE))</f>
        <v>0</v>
      </c>
      <c r="N619" s="297">
        <f>IF(ISNA(VLOOKUP($A619,JumpData,2,FALSE)),0,VLOOKUP($A619,JumpData,2,FALSE))</f>
        <v>0</v>
      </c>
      <c r="O619" s="297">
        <f>IF(ISNA(VLOOKUP($A619,RunData,2,FALSE)),0,VLOOKUP($A619,RunData,2,FALSE))</f>
        <v>0</v>
      </c>
      <c r="P619" s="297">
        <f>IF(ISNA(VLOOKUP($A619,ThrowData,2,FALSE)),0,VLOOKUP($A619,ThrowData,2,FALSE))</f>
        <v>0</v>
      </c>
      <c r="Q619" s="298">
        <f>IF(ISNA(VLOOKUP($A619,SprintData,4,FALSE)),0,VLOOKUP($A619,SprintData,4,FALSE))+V619</f>
        <v>0</v>
      </c>
      <c r="R619" s="298">
        <f>IF(ISNA(VLOOKUP($A619,JumpData,4,FALSE)),0,VLOOKUP($A619,JumpData,4,FALSE))+W619</f>
        <v>0</v>
      </c>
      <c r="S619" s="298">
        <f>IF(ISNA(VLOOKUP($A619,RunData,4,FALSE)),0,VLOOKUP($A619,RunData,4,FALSE))+X619</f>
        <v>0</v>
      </c>
      <c r="T619" s="298">
        <f>IF(ISNA(VLOOKUP($A619,ThrowData,4,FALSE)),0,VLOOKUP($A619,ThrowData,4,FALSE))+Y619</f>
        <v>0</v>
      </c>
      <c r="U619" s="299">
        <f t="shared" si="2"/>
        <v>0</v>
      </c>
      <c r="V619">
        <f>IF(AND($F619&gt;0,NOT(M619),Flexing),FlexPC,0)</f>
        <v>0</v>
      </c>
      <c r="W619">
        <f>IF(AND($F619&gt;0,NOT(N619),Flexing),FlexPC,0)</f>
        <v>0</v>
      </c>
      <c r="X619">
        <f>IF(AND($F619&gt;0,NOT(O619),Flexing),FlexPC,0)</f>
        <v>0</v>
      </c>
      <c r="Y619">
        <f>IF(AND($F619&gt;0,NOT(P619),Flexing),FlexPC,0)</f>
        <v>0</v>
      </c>
      <c r="AA619" s="209">
        <f t="shared" si="3"/>
        <v>618</v>
      </c>
    </row>
    <row r="620" ht="15.75" customHeight="1">
      <c r="A620" s="206" t="str">
        <f>+Declarations!A620&amp;""</f>
        <v/>
      </c>
      <c r="B620" t="str">
        <f>IF(LEN($A620),IF(LEN(Declarations!$B620)&gt;0,Declarations!$B620,"#"&amp;$A620),"")</f>
        <v/>
      </c>
      <c r="C620" s="209" t="str">
        <f t="array" ref="C620">IF(LEN(INDEX(DECLARATIONS,$AA620,3))&gt;0,INDEX(DECLARATIONS,$AA620,3),"...")</f>
        <v>...</v>
      </c>
      <c r="D620" s="209" t="str">
        <f t="shared" si="1"/>
        <v/>
      </c>
      <c r="E620" s="296" t="str">
        <f t="array" ref="E620">IF(ISNA($AA620),0,INDEX(DECLARATIONS,$AA620,5))</f>
        <v/>
      </c>
      <c r="F620" s="209" t="str">
        <f t="array" ref="F620">IF(ISNA($AA620),0,INDEX(DECLARATIONS,$AA620,7))</f>
        <v/>
      </c>
      <c r="G620" s="209" t="str">
        <f t="array" ref="G620">UPPER(IF(ISNA($AA620),"",INDEX(DECLARATIONS,$AA620,4)))</f>
        <v/>
      </c>
      <c r="H620" t="str">
        <f>IF(AND(A620&gt;0,ISTEXT(B620)),IF(SECNAME="YES",LEFT(B620&amp;" ",FIND(" ",B620&amp;" ")+2)&amp;IF(F620&gt;0," ("&amp;F620&amp;")",""),B620&amp;IF(F620&gt;0," ("&amp;F620&amp;")","")),"#"&amp;$A620)</f>
        <v/>
      </c>
      <c r="I620" s="209">
        <f>IF(LEN($A620)&gt;0,IF(LEN($J620)&gt;0,MATCH(J620,MatchNames,0),EventIndex),0)</f>
        <v>0</v>
      </c>
      <c r="J620" s="209" t="str">
        <f>IF(LEN($A620)&gt;0,IF(LEN(Declarations!$F620)&gt;0,Declarations!$F620,conftype),"")</f>
        <v/>
      </c>
      <c r="M620" s="297">
        <f>IF(ISNA(VLOOKUP($A620,SprintData,2,FALSE)),0,VLOOKUP($A620,SprintData,2,FALSE))</f>
        <v>0</v>
      </c>
      <c r="N620" s="297">
        <f>IF(ISNA(VLOOKUP($A620,JumpData,2,FALSE)),0,VLOOKUP($A620,JumpData,2,FALSE))</f>
        <v>0</v>
      </c>
      <c r="O620" s="297">
        <f>IF(ISNA(VLOOKUP($A620,RunData,2,FALSE)),0,VLOOKUP($A620,RunData,2,FALSE))</f>
        <v>0</v>
      </c>
      <c r="P620" s="297">
        <f>IF(ISNA(VLOOKUP($A620,ThrowData,2,FALSE)),0,VLOOKUP($A620,ThrowData,2,FALSE))</f>
        <v>0</v>
      </c>
      <c r="Q620" s="298">
        <f>IF(ISNA(VLOOKUP($A620,SprintData,4,FALSE)),0,VLOOKUP($A620,SprintData,4,FALSE))+V620</f>
        <v>0</v>
      </c>
      <c r="R620" s="298">
        <f>IF(ISNA(VLOOKUP($A620,JumpData,4,FALSE)),0,VLOOKUP($A620,JumpData,4,FALSE))+W620</f>
        <v>0</v>
      </c>
      <c r="S620" s="298">
        <f>IF(ISNA(VLOOKUP($A620,RunData,4,FALSE)),0,VLOOKUP($A620,RunData,4,FALSE))+X620</f>
        <v>0</v>
      </c>
      <c r="T620" s="298">
        <f>IF(ISNA(VLOOKUP($A620,ThrowData,4,FALSE)),0,VLOOKUP($A620,ThrowData,4,FALSE))+Y620</f>
        <v>0</v>
      </c>
      <c r="U620" s="299">
        <f t="shared" si="2"/>
        <v>0</v>
      </c>
      <c r="V620">
        <f>IF(AND($F620&gt;0,NOT(M620),Flexing),FlexPC,0)</f>
        <v>0</v>
      </c>
      <c r="W620">
        <f>IF(AND($F620&gt;0,NOT(N620),Flexing),FlexPC,0)</f>
        <v>0</v>
      </c>
      <c r="X620">
        <f>IF(AND($F620&gt;0,NOT(O620),Flexing),FlexPC,0)</f>
        <v>0</v>
      </c>
      <c r="Y620">
        <f>IF(AND($F620&gt;0,NOT(P620),Flexing),FlexPC,0)</f>
        <v>0</v>
      </c>
      <c r="AA620" s="209">
        <f t="shared" si="3"/>
        <v>619</v>
      </c>
    </row>
    <row r="621" ht="15.75" customHeight="1">
      <c r="A621" s="206" t="str">
        <f>+Declarations!A621&amp;""</f>
        <v/>
      </c>
      <c r="B621" t="str">
        <f>IF(LEN($A621),IF(LEN(Declarations!$B621)&gt;0,Declarations!$B621,"#"&amp;$A621),"")</f>
        <v/>
      </c>
      <c r="C621" s="209" t="str">
        <f t="array" ref="C621">IF(LEN(INDEX(DECLARATIONS,$AA621,3))&gt;0,INDEX(DECLARATIONS,$AA621,3),"...")</f>
        <v>...</v>
      </c>
      <c r="D621" s="209" t="str">
        <f t="shared" si="1"/>
        <v/>
      </c>
      <c r="E621" s="296" t="str">
        <f t="array" ref="E621">IF(ISNA($AA621),0,INDEX(DECLARATIONS,$AA621,5))</f>
        <v/>
      </c>
      <c r="F621" s="209" t="str">
        <f t="array" ref="F621">IF(ISNA($AA621),0,INDEX(DECLARATIONS,$AA621,7))</f>
        <v/>
      </c>
      <c r="G621" s="209" t="str">
        <f t="array" ref="G621">UPPER(IF(ISNA($AA621),"",INDEX(DECLARATIONS,$AA621,4)))</f>
        <v/>
      </c>
      <c r="H621" t="str">
        <f>IF(AND(A621&gt;0,ISTEXT(B621)),IF(SECNAME="YES",LEFT(B621&amp;" ",FIND(" ",B621&amp;" ")+2)&amp;IF(F621&gt;0," ("&amp;F621&amp;")",""),B621&amp;IF(F621&gt;0," ("&amp;F621&amp;")","")),"#"&amp;$A621)</f>
        <v/>
      </c>
      <c r="I621" s="209">
        <f>IF(LEN($A621)&gt;0,IF(LEN($J621)&gt;0,MATCH(J621,MatchNames,0),EventIndex),0)</f>
        <v>0</v>
      </c>
      <c r="J621" s="209" t="str">
        <f>IF(LEN($A621)&gt;0,IF(LEN(Declarations!$F621)&gt;0,Declarations!$F621,conftype),"")</f>
        <v/>
      </c>
      <c r="M621" s="297">
        <f>IF(ISNA(VLOOKUP($A621,SprintData,2,FALSE)),0,VLOOKUP($A621,SprintData,2,FALSE))</f>
        <v>0</v>
      </c>
      <c r="N621" s="297">
        <f>IF(ISNA(VLOOKUP($A621,JumpData,2,FALSE)),0,VLOOKUP($A621,JumpData,2,FALSE))</f>
        <v>0</v>
      </c>
      <c r="O621" s="297">
        <f>IF(ISNA(VLOOKUP($A621,RunData,2,FALSE)),0,VLOOKUP($A621,RunData,2,FALSE))</f>
        <v>0</v>
      </c>
      <c r="P621" s="297">
        <f>IF(ISNA(VLOOKUP($A621,ThrowData,2,FALSE)),0,VLOOKUP($A621,ThrowData,2,FALSE))</f>
        <v>0</v>
      </c>
      <c r="Q621" s="298">
        <f>IF(ISNA(VLOOKUP($A621,SprintData,4,FALSE)),0,VLOOKUP($A621,SprintData,4,FALSE))+V621</f>
        <v>0</v>
      </c>
      <c r="R621" s="298">
        <f>IF(ISNA(VLOOKUP($A621,JumpData,4,FALSE)),0,VLOOKUP($A621,JumpData,4,FALSE))+W621</f>
        <v>0</v>
      </c>
      <c r="S621" s="298">
        <f>IF(ISNA(VLOOKUP($A621,RunData,4,FALSE)),0,VLOOKUP($A621,RunData,4,FALSE))+X621</f>
        <v>0</v>
      </c>
      <c r="T621" s="298">
        <f>IF(ISNA(VLOOKUP($A621,ThrowData,4,FALSE)),0,VLOOKUP($A621,ThrowData,4,FALSE))+Y621</f>
        <v>0</v>
      </c>
      <c r="U621" s="299">
        <f t="shared" si="2"/>
        <v>0</v>
      </c>
      <c r="V621">
        <f>IF(AND($F621&gt;0,NOT(M621),Flexing),FlexPC,0)</f>
        <v>0</v>
      </c>
      <c r="W621">
        <f>IF(AND($F621&gt;0,NOT(N621),Flexing),FlexPC,0)</f>
        <v>0</v>
      </c>
      <c r="X621">
        <f>IF(AND($F621&gt;0,NOT(O621),Flexing),FlexPC,0)</f>
        <v>0</v>
      </c>
      <c r="Y621">
        <f>IF(AND($F621&gt;0,NOT(P621),Flexing),FlexPC,0)</f>
        <v>0</v>
      </c>
      <c r="AA621" s="209">
        <f t="shared" si="3"/>
        <v>620</v>
      </c>
    </row>
    <row r="622" ht="15.75" customHeight="1">
      <c r="A622" s="206" t="str">
        <f>+Declarations!A622&amp;""</f>
        <v/>
      </c>
      <c r="B622" t="str">
        <f>IF(LEN($A622),IF(LEN(Declarations!$B622)&gt;0,Declarations!$B622,"#"&amp;$A622),"")</f>
        <v/>
      </c>
      <c r="C622" s="209" t="str">
        <f t="array" ref="C622">IF(LEN(INDEX(DECLARATIONS,$AA622,3))&gt;0,INDEX(DECLARATIONS,$AA622,3),"...")</f>
        <v>...</v>
      </c>
      <c r="D622" s="209" t="str">
        <f t="shared" si="1"/>
        <v/>
      </c>
      <c r="E622" s="296" t="str">
        <f t="array" ref="E622">IF(ISNA($AA622),0,INDEX(DECLARATIONS,$AA622,5))</f>
        <v/>
      </c>
      <c r="F622" s="209" t="str">
        <f t="array" ref="F622">IF(ISNA($AA622),0,INDEX(DECLARATIONS,$AA622,7))</f>
        <v/>
      </c>
      <c r="G622" s="209" t="str">
        <f t="array" ref="G622">UPPER(IF(ISNA($AA622),"",INDEX(DECLARATIONS,$AA622,4)))</f>
        <v/>
      </c>
      <c r="H622" t="str">
        <f>IF(AND(A622&gt;0,ISTEXT(B622)),IF(SECNAME="YES",LEFT(B622&amp;" ",FIND(" ",B622&amp;" ")+2)&amp;IF(F622&gt;0," ("&amp;F622&amp;")",""),B622&amp;IF(F622&gt;0," ("&amp;F622&amp;")","")),"#"&amp;$A622)</f>
        <v/>
      </c>
      <c r="I622" s="209">
        <f>IF(LEN($A622)&gt;0,IF(LEN($J622)&gt;0,MATCH(J622,MatchNames,0),EventIndex),0)</f>
        <v>0</v>
      </c>
      <c r="J622" s="209" t="str">
        <f>IF(LEN($A622)&gt;0,IF(LEN(Declarations!$F622)&gt;0,Declarations!$F622,conftype),"")</f>
        <v/>
      </c>
      <c r="M622" s="297">
        <f>IF(ISNA(VLOOKUP($A622,SprintData,2,FALSE)),0,VLOOKUP($A622,SprintData,2,FALSE))</f>
        <v>0</v>
      </c>
      <c r="N622" s="297">
        <f>IF(ISNA(VLOOKUP($A622,JumpData,2,FALSE)),0,VLOOKUP($A622,JumpData,2,FALSE))</f>
        <v>0</v>
      </c>
      <c r="O622" s="297">
        <f>IF(ISNA(VLOOKUP($A622,RunData,2,FALSE)),0,VLOOKUP($A622,RunData,2,FALSE))</f>
        <v>0</v>
      </c>
      <c r="P622" s="297">
        <f>IF(ISNA(VLOOKUP($A622,ThrowData,2,FALSE)),0,VLOOKUP($A622,ThrowData,2,FALSE))</f>
        <v>0</v>
      </c>
      <c r="Q622" s="298">
        <f>IF(ISNA(VLOOKUP($A622,SprintData,4,FALSE)),0,VLOOKUP($A622,SprintData,4,FALSE))+V622</f>
        <v>0</v>
      </c>
      <c r="R622" s="298">
        <f>IF(ISNA(VLOOKUP($A622,JumpData,4,FALSE)),0,VLOOKUP($A622,JumpData,4,FALSE))+W622</f>
        <v>0</v>
      </c>
      <c r="S622" s="298">
        <f>IF(ISNA(VLOOKUP($A622,RunData,4,FALSE)),0,VLOOKUP($A622,RunData,4,FALSE))+X622</f>
        <v>0</v>
      </c>
      <c r="T622" s="298">
        <f>IF(ISNA(VLOOKUP($A622,ThrowData,4,FALSE)),0,VLOOKUP($A622,ThrowData,4,FALSE))+Y622</f>
        <v>0</v>
      </c>
      <c r="U622" s="299">
        <f t="shared" si="2"/>
        <v>0</v>
      </c>
      <c r="V622">
        <f>IF(AND($F622&gt;0,NOT(M622),Flexing),FlexPC,0)</f>
        <v>0</v>
      </c>
      <c r="W622">
        <f>IF(AND($F622&gt;0,NOT(N622),Flexing),FlexPC,0)</f>
        <v>0</v>
      </c>
      <c r="X622">
        <f>IF(AND($F622&gt;0,NOT(O622),Flexing),FlexPC,0)</f>
        <v>0</v>
      </c>
      <c r="Y622">
        <f>IF(AND($F622&gt;0,NOT(P622),Flexing),FlexPC,0)</f>
        <v>0</v>
      </c>
      <c r="AA622" s="209">
        <f t="shared" si="3"/>
        <v>621</v>
      </c>
    </row>
    <row r="623" ht="15.75" customHeight="1">
      <c r="A623" s="206" t="str">
        <f>+Declarations!A623&amp;""</f>
        <v/>
      </c>
      <c r="B623" t="str">
        <f>IF(LEN($A623),IF(LEN(Declarations!$B623)&gt;0,Declarations!$B623,"#"&amp;$A623),"")</f>
        <v/>
      </c>
      <c r="C623" s="209" t="str">
        <f t="array" ref="C623">IF(LEN(INDEX(DECLARATIONS,$AA623,3))&gt;0,INDEX(DECLARATIONS,$AA623,3),"...")</f>
        <v>...</v>
      </c>
      <c r="D623" s="209" t="str">
        <f t="shared" si="1"/>
        <v/>
      </c>
      <c r="E623" s="296" t="str">
        <f t="array" ref="E623">IF(ISNA($AA623),0,INDEX(DECLARATIONS,$AA623,5))</f>
        <v/>
      </c>
      <c r="F623" s="209" t="str">
        <f t="array" ref="F623">IF(ISNA($AA623),0,INDEX(DECLARATIONS,$AA623,7))</f>
        <v/>
      </c>
      <c r="G623" s="209" t="str">
        <f t="array" ref="G623">UPPER(IF(ISNA($AA623),"",INDEX(DECLARATIONS,$AA623,4)))</f>
        <v/>
      </c>
      <c r="H623" t="str">
        <f>IF(AND(A623&gt;0,ISTEXT(B623)),IF(SECNAME="YES",LEFT(B623&amp;" ",FIND(" ",B623&amp;" ")+2)&amp;IF(F623&gt;0," ("&amp;F623&amp;")",""),B623&amp;IF(F623&gt;0," ("&amp;F623&amp;")","")),"#"&amp;$A623)</f>
        <v/>
      </c>
      <c r="I623" s="209">
        <f>IF(LEN($A623)&gt;0,IF(LEN($J623)&gt;0,MATCH(J623,MatchNames,0),EventIndex),0)</f>
        <v>0</v>
      </c>
      <c r="J623" s="209" t="str">
        <f>IF(LEN($A623)&gt;0,IF(LEN(Declarations!$F623)&gt;0,Declarations!$F623,conftype),"")</f>
        <v/>
      </c>
      <c r="M623" s="297">
        <f>IF(ISNA(VLOOKUP($A623,SprintData,2,FALSE)),0,VLOOKUP($A623,SprintData,2,FALSE))</f>
        <v>0</v>
      </c>
      <c r="N623" s="297">
        <f>IF(ISNA(VLOOKUP($A623,JumpData,2,FALSE)),0,VLOOKUP($A623,JumpData,2,FALSE))</f>
        <v>0</v>
      </c>
      <c r="O623" s="297">
        <f>IF(ISNA(VLOOKUP($A623,RunData,2,FALSE)),0,VLOOKUP($A623,RunData,2,FALSE))</f>
        <v>0</v>
      </c>
      <c r="P623" s="297">
        <f>IF(ISNA(VLOOKUP($A623,ThrowData,2,FALSE)),0,VLOOKUP($A623,ThrowData,2,FALSE))</f>
        <v>0</v>
      </c>
      <c r="Q623" s="298">
        <f>IF(ISNA(VLOOKUP($A623,SprintData,4,FALSE)),0,VLOOKUP($A623,SprintData,4,FALSE))+V623</f>
        <v>0</v>
      </c>
      <c r="R623" s="298">
        <f>IF(ISNA(VLOOKUP($A623,JumpData,4,FALSE)),0,VLOOKUP($A623,JumpData,4,FALSE))+W623</f>
        <v>0</v>
      </c>
      <c r="S623" s="298">
        <f>IF(ISNA(VLOOKUP($A623,RunData,4,FALSE)),0,VLOOKUP($A623,RunData,4,FALSE))+X623</f>
        <v>0</v>
      </c>
      <c r="T623" s="298">
        <f>IF(ISNA(VLOOKUP($A623,ThrowData,4,FALSE)),0,VLOOKUP($A623,ThrowData,4,FALSE))+Y623</f>
        <v>0</v>
      </c>
      <c r="U623" s="299">
        <f t="shared" si="2"/>
        <v>0</v>
      </c>
      <c r="V623">
        <f>IF(AND($F623&gt;0,NOT(M623),Flexing),FlexPC,0)</f>
        <v>0</v>
      </c>
      <c r="W623">
        <f>IF(AND($F623&gt;0,NOT(N623),Flexing),FlexPC,0)</f>
        <v>0</v>
      </c>
      <c r="X623">
        <f>IF(AND($F623&gt;0,NOT(O623),Flexing),FlexPC,0)</f>
        <v>0</v>
      </c>
      <c r="Y623">
        <f>IF(AND($F623&gt;0,NOT(P623),Flexing),FlexPC,0)</f>
        <v>0</v>
      </c>
      <c r="AA623" s="209">
        <f t="shared" si="3"/>
        <v>622</v>
      </c>
    </row>
    <row r="624" ht="15.75" customHeight="1">
      <c r="A624" s="206" t="str">
        <f>+Declarations!A624&amp;""</f>
        <v/>
      </c>
      <c r="B624" t="str">
        <f>IF(LEN($A624),IF(LEN(Declarations!$B624)&gt;0,Declarations!$B624,"#"&amp;$A624),"")</f>
        <v/>
      </c>
      <c r="C624" s="209" t="str">
        <f t="array" ref="C624">IF(LEN(INDEX(DECLARATIONS,$AA624,3))&gt;0,INDEX(DECLARATIONS,$AA624,3),"...")</f>
        <v>...</v>
      </c>
      <c r="D624" s="209" t="str">
        <f t="shared" si="1"/>
        <v/>
      </c>
      <c r="E624" s="296" t="str">
        <f t="array" ref="E624">IF(ISNA($AA624),0,INDEX(DECLARATIONS,$AA624,5))</f>
        <v/>
      </c>
      <c r="F624" s="209" t="str">
        <f t="array" ref="F624">IF(ISNA($AA624),0,INDEX(DECLARATIONS,$AA624,7))</f>
        <v/>
      </c>
      <c r="G624" s="209" t="str">
        <f t="array" ref="G624">UPPER(IF(ISNA($AA624),"",INDEX(DECLARATIONS,$AA624,4)))</f>
        <v/>
      </c>
      <c r="H624" t="str">
        <f>IF(AND(A624&gt;0,ISTEXT(B624)),IF(SECNAME="YES",LEFT(B624&amp;" ",FIND(" ",B624&amp;" ")+2)&amp;IF(F624&gt;0," ("&amp;F624&amp;")",""),B624&amp;IF(F624&gt;0," ("&amp;F624&amp;")","")),"#"&amp;$A624)</f>
        <v/>
      </c>
      <c r="I624" s="209">
        <f>IF(LEN($A624)&gt;0,IF(LEN($J624)&gt;0,MATCH(J624,MatchNames,0),EventIndex),0)</f>
        <v>0</v>
      </c>
      <c r="J624" s="209" t="str">
        <f>IF(LEN($A624)&gt;0,IF(LEN(Declarations!$F624)&gt;0,Declarations!$F624,conftype),"")</f>
        <v/>
      </c>
      <c r="M624" s="297">
        <f>IF(ISNA(VLOOKUP($A624,SprintData,2,FALSE)),0,VLOOKUP($A624,SprintData,2,FALSE))</f>
        <v>0</v>
      </c>
      <c r="N624" s="297">
        <f>IF(ISNA(VLOOKUP($A624,JumpData,2,FALSE)),0,VLOOKUP($A624,JumpData,2,FALSE))</f>
        <v>0</v>
      </c>
      <c r="O624" s="297">
        <f>IF(ISNA(VLOOKUP($A624,RunData,2,FALSE)),0,VLOOKUP($A624,RunData,2,FALSE))</f>
        <v>0</v>
      </c>
      <c r="P624" s="297">
        <f>IF(ISNA(VLOOKUP($A624,ThrowData,2,FALSE)),0,VLOOKUP($A624,ThrowData,2,FALSE))</f>
        <v>0</v>
      </c>
      <c r="Q624" s="298">
        <f>IF(ISNA(VLOOKUP($A624,SprintData,4,FALSE)),0,VLOOKUP($A624,SprintData,4,FALSE))+V624</f>
        <v>0</v>
      </c>
      <c r="R624" s="298">
        <f>IF(ISNA(VLOOKUP($A624,JumpData,4,FALSE)),0,VLOOKUP($A624,JumpData,4,FALSE))+W624</f>
        <v>0</v>
      </c>
      <c r="S624" s="298">
        <f>IF(ISNA(VLOOKUP($A624,RunData,4,FALSE)),0,VLOOKUP($A624,RunData,4,FALSE))+X624</f>
        <v>0</v>
      </c>
      <c r="T624" s="298">
        <f>IF(ISNA(VLOOKUP($A624,ThrowData,4,FALSE)),0,VLOOKUP($A624,ThrowData,4,FALSE))+Y624</f>
        <v>0</v>
      </c>
      <c r="U624" s="299">
        <f t="shared" si="2"/>
        <v>0</v>
      </c>
      <c r="V624">
        <f>IF(AND($F624&gt;0,NOT(M624),Flexing),FlexPC,0)</f>
        <v>0</v>
      </c>
      <c r="W624">
        <f>IF(AND($F624&gt;0,NOT(N624),Flexing),FlexPC,0)</f>
        <v>0</v>
      </c>
      <c r="X624">
        <f>IF(AND($F624&gt;0,NOT(O624),Flexing),FlexPC,0)</f>
        <v>0</v>
      </c>
      <c r="Y624">
        <f>IF(AND($F624&gt;0,NOT(P624),Flexing),FlexPC,0)</f>
        <v>0</v>
      </c>
      <c r="AA624" s="209">
        <f t="shared" si="3"/>
        <v>623</v>
      </c>
    </row>
    <row r="625" ht="15.75" customHeight="1">
      <c r="A625" s="206" t="str">
        <f>+Declarations!A625&amp;""</f>
        <v/>
      </c>
      <c r="B625" t="str">
        <f>IF(LEN($A625),IF(LEN(Declarations!$B625)&gt;0,Declarations!$B625,"#"&amp;$A625),"")</f>
        <v/>
      </c>
      <c r="C625" s="209" t="str">
        <f t="array" ref="C625">IF(LEN(INDEX(DECLARATIONS,$AA625,3))&gt;0,INDEX(DECLARATIONS,$AA625,3),"...")</f>
        <v>...</v>
      </c>
      <c r="D625" s="209" t="str">
        <f t="shared" si="1"/>
        <v/>
      </c>
      <c r="E625" s="296" t="str">
        <f t="array" ref="E625">IF(ISNA($AA625),0,INDEX(DECLARATIONS,$AA625,5))</f>
        <v/>
      </c>
      <c r="F625" s="209" t="str">
        <f t="array" ref="F625">IF(ISNA($AA625),0,INDEX(DECLARATIONS,$AA625,7))</f>
        <v/>
      </c>
      <c r="G625" s="209" t="str">
        <f t="array" ref="G625">UPPER(IF(ISNA($AA625),"",INDEX(DECLARATIONS,$AA625,4)))</f>
        <v/>
      </c>
      <c r="H625" t="str">
        <f>IF(AND(A625&gt;0,ISTEXT(B625)),IF(SECNAME="YES",LEFT(B625&amp;" ",FIND(" ",B625&amp;" ")+2)&amp;IF(F625&gt;0," ("&amp;F625&amp;")",""),B625&amp;IF(F625&gt;0," ("&amp;F625&amp;")","")),"#"&amp;$A625)</f>
        <v/>
      </c>
      <c r="I625" s="209">
        <f>IF(LEN($A625)&gt;0,IF(LEN($J625)&gt;0,MATCH(J625,MatchNames,0),EventIndex),0)</f>
        <v>0</v>
      </c>
      <c r="J625" s="209" t="str">
        <f>IF(LEN($A625)&gt;0,IF(LEN(Declarations!$F625)&gt;0,Declarations!$F625,conftype),"")</f>
        <v/>
      </c>
      <c r="M625" s="297">
        <f>IF(ISNA(VLOOKUP($A625,SprintData,2,FALSE)),0,VLOOKUP($A625,SprintData,2,FALSE))</f>
        <v>0</v>
      </c>
      <c r="N625" s="297">
        <f>IF(ISNA(VLOOKUP($A625,JumpData,2,FALSE)),0,VLOOKUP($A625,JumpData,2,FALSE))</f>
        <v>0</v>
      </c>
      <c r="O625" s="297">
        <f>IF(ISNA(VLOOKUP($A625,RunData,2,FALSE)),0,VLOOKUP($A625,RunData,2,FALSE))</f>
        <v>0</v>
      </c>
      <c r="P625" s="297">
        <f>IF(ISNA(VLOOKUP($A625,ThrowData,2,FALSE)),0,VLOOKUP($A625,ThrowData,2,FALSE))</f>
        <v>0</v>
      </c>
      <c r="Q625" s="298">
        <f>IF(ISNA(VLOOKUP($A625,SprintData,4,FALSE)),0,VLOOKUP($A625,SprintData,4,FALSE))+V625</f>
        <v>0</v>
      </c>
      <c r="R625" s="298">
        <f>IF(ISNA(VLOOKUP($A625,JumpData,4,FALSE)),0,VLOOKUP($A625,JumpData,4,FALSE))+W625</f>
        <v>0</v>
      </c>
      <c r="S625" s="298">
        <f>IF(ISNA(VLOOKUP($A625,RunData,4,FALSE)),0,VLOOKUP($A625,RunData,4,FALSE))+X625</f>
        <v>0</v>
      </c>
      <c r="T625" s="298">
        <f>IF(ISNA(VLOOKUP($A625,ThrowData,4,FALSE)),0,VLOOKUP($A625,ThrowData,4,FALSE))+Y625</f>
        <v>0</v>
      </c>
      <c r="U625" s="299">
        <f t="shared" si="2"/>
        <v>0</v>
      </c>
      <c r="V625">
        <f>IF(AND($F625&gt;0,NOT(M625),Flexing),FlexPC,0)</f>
        <v>0</v>
      </c>
      <c r="W625">
        <f>IF(AND($F625&gt;0,NOT(N625),Flexing),FlexPC,0)</f>
        <v>0</v>
      </c>
      <c r="X625">
        <f>IF(AND($F625&gt;0,NOT(O625),Flexing),FlexPC,0)</f>
        <v>0</v>
      </c>
      <c r="Y625">
        <f>IF(AND($F625&gt;0,NOT(P625),Flexing),FlexPC,0)</f>
        <v>0</v>
      </c>
      <c r="AA625" s="209">
        <f t="shared" si="3"/>
        <v>624</v>
      </c>
    </row>
    <row r="626" ht="15.75" customHeight="1">
      <c r="A626" s="206" t="str">
        <f>+Declarations!A626&amp;""</f>
        <v/>
      </c>
      <c r="B626" t="str">
        <f>IF(LEN($A626),IF(LEN(Declarations!$B626)&gt;0,Declarations!$B626,"#"&amp;$A626),"")</f>
        <v/>
      </c>
      <c r="C626" s="209" t="str">
        <f t="array" ref="C626">IF(LEN(INDEX(DECLARATIONS,$AA626,3))&gt;0,INDEX(DECLARATIONS,$AA626,3),"...")</f>
        <v>...</v>
      </c>
      <c r="D626" s="209" t="str">
        <f t="shared" si="1"/>
        <v/>
      </c>
      <c r="E626" s="296" t="str">
        <f t="array" ref="E626">IF(ISNA($AA626),0,INDEX(DECLARATIONS,$AA626,5))</f>
        <v/>
      </c>
      <c r="F626" s="209" t="str">
        <f t="array" ref="F626">IF(ISNA($AA626),0,INDEX(DECLARATIONS,$AA626,7))</f>
        <v/>
      </c>
      <c r="G626" s="209" t="str">
        <f t="array" ref="G626">UPPER(IF(ISNA($AA626),"",INDEX(DECLARATIONS,$AA626,4)))</f>
        <v/>
      </c>
      <c r="H626" t="str">
        <f>IF(AND(A626&gt;0,ISTEXT(B626)),IF(SECNAME="YES",LEFT(B626&amp;" ",FIND(" ",B626&amp;" ")+2)&amp;IF(F626&gt;0," ("&amp;F626&amp;")",""),B626&amp;IF(F626&gt;0," ("&amp;F626&amp;")","")),"#"&amp;$A626)</f>
        <v/>
      </c>
      <c r="I626" s="209">
        <f>IF(LEN($A626)&gt;0,IF(LEN($J626)&gt;0,MATCH(J626,MatchNames,0),EventIndex),0)</f>
        <v>0</v>
      </c>
      <c r="J626" s="209" t="str">
        <f>IF(LEN($A626)&gt;0,IF(LEN(Declarations!$F626)&gt;0,Declarations!$F626,conftype),"")</f>
        <v/>
      </c>
      <c r="M626" s="297">
        <f>IF(ISNA(VLOOKUP($A626,SprintData,2,FALSE)),0,VLOOKUP($A626,SprintData,2,FALSE))</f>
        <v>0</v>
      </c>
      <c r="N626" s="297">
        <f>IF(ISNA(VLOOKUP($A626,JumpData,2,FALSE)),0,VLOOKUP($A626,JumpData,2,FALSE))</f>
        <v>0</v>
      </c>
      <c r="O626" s="297">
        <f>IF(ISNA(VLOOKUP($A626,RunData,2,FALSE)),0,VLOOKUP($A626,RunData,2,FALSE))</f>
        <v>0</v>
      </c>
      <c r="P626" s="297">
        <f>IF(ISNA(VLOOKUP($A626,ThrowData,2,FALSE)),0,VLOOKUP($A626,ThrowData,2,FALSE))</f>
        <v>0</v>
      </c>
      <c r="Q626" s="298">
        <f>IF(ISNA(VLOOKUP($A626,SprintData,4,FALSE)),0,VLOOKUP($A626,SprintData,4,FALSE))+V626</f>
        <v>0</v>
      </c>
      <c r="R626" s="298">
        <f>IF(ISNA(VLOOKUP($A626,JumpData,4,FALSE)),0,VLOOKUP($A626,JumpData,4,FALSE))+W626</f>
        <v>0</v>
      </c>
      <c r="S626" s="298">
        <f>IF(ISNA(VLOOKUP($A626,RunData,4,FALSE)),0,VLOOKUP($A626,RunData,4,FALSE))+X626</f>
        <v>0</v>
      </c>
      <c r="T626" s="298">
        <f>IF(ISNA(VLOOKUP($A626,ThrowData,4,FALSE)),0,VLOOKUP($A626,ThrowData,4,FALSE))+Y626</f>
        <v>0</v>
      </c>
      <c r="U626" s="299">
        <f t="shared" si="2"/>
        <v>0</v>
      </c>
      <c r="V626">
        <f>IF(AND($F626&gt;0,NOT(M626),Flexing),FlexPC,0)</f>
        <v>0</v>
      </c>
      <c r="W626">
        <f>IF(AND($F626&gt;0,NOT(N626),Flexing),FlexPC,0)</f>
        <v>0</v>
      </c>
      <c r="X626">
        <f>IF(AND($F626&gt;0,NOT(O626),Flexing),FlexPC,0)</f>
        <v>0</v>
      </c>
      <c r="Y626">
        <f>IF(AND($F626&gt;0,NOT(P626),Flexing),FlexPC,0)</f>
        <v>0</v>
      </c>
      <c r="AA626" s="209">
        <f t="shared" si="3"/>
        <v>625</v>
      </c>
    </row>
    <row r="627" ht="15.75" customHeight="1">
      <c r="A627" s="206" t="str">
        <f>+Declarations!A627&amp;""</f>
        <v/>
      </c>
      <c r="B627" t="str">
        <f>IF(LEN($A627),IF(LEN(Declarations!$B627)&gt;0,Declarations!$B627,"#"&amp;$A627),"")</f>
        <v/>
      </c>
      <c r="C627" s="209" t="str">
        <f t="array" ref="C627">IF(LEN(INDEX(DECLARATIONS,$AA627,3))&gt;0,INDEX(DECLARATIONS,$AA627,3),"...")</f>
        <v>...</v>
      </c>
      <c r="D627" s="209" t="str">
        <f t="shared" si="1"/>
        <v/>
      </c>
      <c r="E627" s="296" t="str">
        <f t="array" ref="E627">IF(ISNA($AA627),0,INDEX(DECLARATIONS,$AA627,5))</f>
        <v/>
      </c>
      <c r="F627" s="209" t="str">
        <f t="array" ref="F627">IF(ISNA($AA627),0,INDEX(DECLARATIONS,$AA627,7))</f>
        <v/>
      </c>
      <c r="G627" s="209" t="str">
        <f t="array" ref="G627">UPPER(IF(ISNA($AA627),"",INDEX(DECLARATIONS,$AA627,4)))</f>
        <v/>
      </c>
      <c r="H627" t="str">
        <f>IF(AND(A627&gt;0,ISTEXT(B627)),IF(SECNAME="YES",LEFT(B627&amp;" ",FIND(" ",B627&amp;" ")+2)&amp;IF(F627&gt;0," ("&amp;F627&amp;")",""),B627&amp;IF(F627&gt;0," ("&amp;F627&amp;")","")),"#"&amp;$A627)</f>
        <v/>
      </c>
      <c r="I627" s="209">
        <f>IF(LEN($A627)&gt;0,IF(LEN($J627)&gt;0,MATCH(J627,MatchNames,0),EventIndex),0)</f>
        <v>0</v>
      </c>
      <c r="J627" s="209" t="str">
        <f>IF(LEN($A627)&gt;0,IF(LEN(Declarations!$F627)&gt;0,Declarations!$F627,conftype),"")</f>
        <v/>
      </c>
      <c r="M627" s="297">
        <f>IF(ISNA(VLOOKUP($A627,SprintData,2,FALSE)),0,VLOOKUP($A627,SprintData,2,FALSE))</f>
        <v>0</v>
      </c>
      <c r="N627" s="297">
        <f>IF(ISNA(VLOOKUP($A627,JumpData,2,FALSE)),0,VLOOKUP($A627,JumpData,2,FALSE))</f>
        <v>0</v>
      </c>
      <c r="O627" s="297">
        <f>IF(ISNA(VLOOKUP($A627,RunData,2,FALSE)),0,VLOOKUP($A627,RunData,2,FALSE))</f>
        <v>0</v>
      </c>
      <c r="P627" s="297">
        <f>IF(ISNA(VLOOKUP($A627,ThrowData,2,FALSE)),0,VLOOKUP($A627,ThrowData,2,FALSE))</f>
        <v>0</v>
      </c>
      <c r="Q627" s="298">
        <f>IF(ISNA(VLOOKUP($A627,SprintData,4,FALSE)),0,VLOOKUP($A627,SprintData,4,FALSE))+V627</f>
        <v>0</v>
      </c>
      <c r="R627" s="298">
        <f>IF(ISNA(VLOOKUP($A627,JumpData,4,FALSE)),0,VLOOKUP($A627,JumpData,4,FALSE))+W627</f>
        <v>0</v>
      </c>
      <c r="S627" s="298">
        <f>IF(ISNA(VLOOKUP($A627,RunData,4,FALSE)),0,VLOOKUP($A627,RunData,4,FALSE))+X627</f>
        <v>0</v>
      </c>
      <c r="T627" s="298">
        <f>IF(ISNA(VLOOKUP($A627,ThrowData,4,FALSE)),0,VLOOKUP($A627,ThrowData,4,FALSE))+Y627</f>
        <v>0</v>
      </c>
      <c r="U627" s="299">
        <f t="shared" si="2"/>
        <v>0</v>
      </c>
      <c r="V627">
        <f>IF(AND($F627&gt;0,NOT(M627),Flexing),FlexPC,0)</f>
        <v>0</v>
      </c>
      <c r="W627">
        <f>IF(AND($F627&gt;0,NOT(N627),Flexing),FlexPC,0)</f>
        <v>0</v>
      </c>
      <c r="X627">
        <f>IF(AND($F627&gt;0,NOT(O627),Flexing),FlexPC,0)</f>
        <v>0</v>
      </c>
      <c r="Y627">
        <f>IF(AND($F627&gt;0,NOT(P627),Flexing),FlexPC,0)</f>
        <v>0</v>
      </c>
      <c r="AA627" s="209">
        <f t="shared" si="3"/>
        <v>626</v>
      </c>
    </row>
    <row r="628" ht="15.75" customHeight="1">
      <c r="A628" s="206" t="str">
        <f>+Declarations!A628&amp;""</f>
        <v/>
      </c>
      <c r="B628" t="str">
        <f>IF(LEN($A628),IF(LEN(Declarations!$B628)&gt;0,Declarations!$B628,"#"&amp;$A628),"")</f>
        <v/>
      </c>
      <c r="C628" s="209" t="str">
        <f t="array" ref="C628">IF(LEN(INDEX(DECLARATIONS,$AA628,3))&gt;0,INDEX(DECLARATIONS,$AA628,3),"...")</f>
        <v>...</v>
      </c>
      <c r="D628" s="209" t="str">
        <f t="shared" si="1"/>
        <v/>
      </c>
      <c r="E628" s="296" t="str">
        <f t="array" ref="E628">IF(ISNA($AA628),0,INDEX(DECLARATIONS,$AA628,5))</f>
        <v/>
      </c>
      <c r="F628" s="209" t="str">
        <f t="array" ref="F628">IF(ISNA($AA628),0,INDEX(DECLARATIONS,$AA628,7))</f>
        <v/>
      </c>
      <c r="G628" s="209" t="str">
        <f t="array" ref="G628">UPPER(IF(ISNA($AA628),"",INDEX(DECLARATIONS,$AA628,4)))</f>
        <v/>
      </c>
      <c r="H628" t="str">
        <f>IF(AND(A628&gt;0,ISTEXT(B628)),IF(SECNAME="YES",LEFT(B628&amp;" ",FIND(" ",B628&amp;" ")+2)&amp;IF(F628&gt;0," ("&amp;F628&amp;")",""),B628&amp;IF(F628&gt;0," ("&amp;F628&amp;")","")),"#"&amp;$A628)</f>
        <v/>
      </c>
      <c r="I628" s="209">
        <f>IF(LEN($A628)&gt;0,IF(LEN($J628)&gt;0,MATCH(J628,MatchNames,0),EventIndex),0)</f>
        <v>0</v>
      </c>
      <c r="J628" s="209" t="str">
        <f>IF(LEN($A628)&gt;0,IF(LEN(Declarations!$F628)&gt;0,Declarations!$F628,conftype),"")</f>
        <v/>
      </c>
      <c r="M628" s="297">
        <f>IF(ISNA(VLOOKUP($A628,SprintData,2,FALSE)),0,VLOOKUP($A628,SprintData,2,FALSE))</f>
        <v>0</v>
      </c>
      <c r="N628" s="297">
        <f>IF(ISNA(VLOOKUP($A628,JumpData,2,FALSE)),0,VLOOKUP($A628,JumpData,2,FALSE))</f>
        <v>0</v>
      </c>
      <c r="O628" s="297">
        <f>IF(ISNA(VLOOKUP($A628,RunData,2,FALSE)),0,VLOOKUP($A628,RunData,2,FALSE))</f>
        <v>0</v>
      </c>
      <c r="P628" s="297">
        <f>IF(ISNA(VLOOKUP($A628,ThrowData,2,FALSE)),0,VLOOKUP($A628,ThrowData,2,FALSE))</f>
        <v>0</v>
      </c>
      <c r="Q628" s="298">
        <f>IF(ISNA(VLOOKUP($A628,SprintData,4,FALSE)),0,VLOOKUP($A628,SprintData,4,FALSE))+V628</f>
        <v>0</v>
      </c>
      <c r="R628" s="298">
        <f>IF(ISNA(VLOOKUP($A628,JumpData,4,FALSE)),0,VLOOKUP($A628,JumpData,4,FALSE))+W628</f>
        <v>0</v>
      </c>
      <c r="S628" s="298">
        <f>IF(ISNA(VLOOKUP($A628,RunData,4,FALSE)),0,VLOOKUP($A628,RunData,4,FALSE))+X628</f>
        <v>0</v>
      </c>
      <c r="T628" s="298">
        <f>IF(ISNA(VLOOKUP($A628,ThrowData,4,FALSE)),0,VLOOKUP($A628,ThrowData,4,FALSE))+Y628</f>
        <v>0</v>
      </c>
      <c r="U628" s="299">
        <f t="shared" si="2"/>
        <v>0</v>
      </c>
      <c r="V628">
        <f>IF(AND($F628&gt;0,NOT(M628),Flexing),FlexPC,0)</f>
        <v>0</v>
      </c>
      <c r="W628">
        <f>IF(AND($F628&gt;0,NOT(N628),Flexing),FlexPC,0)</f>
        <v>0</v>
      </c>
      <c r="X628">
        <f>IF(AND($F628&gt;0,NOT(O628),Flexing),FlexPC,0)</f>
        <v>0</v>
      </c>
      <c r="Y628">
        <f>IF(AND($F628&gt;0,NOT(P628),Flexing),FlexPC,0)</f>
        <v>0</v>
      </c>
      <c r="AA628" s="209">
        <f t="shared" si="3"/>
        <v>627</v>
      </c>
    </row>
    <row r="629" ht="15.75" customHeight="1">
      <c r="A629" s="206" t="str">
        <f>+Declarations!A629&amp;""</f>
        <v/>
      </c>
      <c r="B629" t="str">
        <f>IF(LEN($A629),IF(LEN(Declarations!$B629)&gt;0,Declarations!$B629,"#"&amp;$A629),"")</f>
        <v/>
      </c>
      <c r="C629" s="209" t="str">
        <f t="array" ref="C629">IF(LEN(INDEX(DECLARATIONS,$AA629,3))&gt;0,INDEX(DECLARATIONS,$AA629,3),"...")</f>
        <v>...</v>
      </c>
      <c r="D629" s="209" t="str">
        <f t="shared" si="1"/>
        <v/>
      </c>
      <c r="E629" s="296" t="str">
        <f t="array" ref="E629">IF(ISNA($AA629),0,INDEX(DECLARATIONS,$AA629,5))</f>
        <v/>
      </c>
      <c r="F629" s="209" t="str">
        <f t="array" ref="F629">IF(ISNA($AA629),0,INDEX(DECLARATIONS,$AA629,7))</f>
        <v/>
      </c>
      <c r="G629" s="209" t="str">
        <f t="array" ref="G629">UPPER(IF(ISNA($AA629),"",INDEX(DECLARATIONS,$AA629,4)))</f>
        <v/>
      </c>
      <c r="H629" t="str">
        <f>IF(AND(A629&gt;0,ISTEXT(B629)),IF(SECNAME="YES",LEFT(B629&amp;" ",FIND(" ",B629&amp;" ")+2)&amp;IF(F629&gt;0," ("&amp;F629&amp;")",""),B629&amp;IF(F629&gt;0," ("&amp;F629&amp;")","")),"#"&amp;$A629)</f>
        <v/>
      </c>
      <c r="I629" s="209">
        <f>IF(LEN($A629)&gt;0,IF(LEN($J629)&gt;0,MATCH(J629,MatchNames,0),EventIndex),0)</f>
        <v>0</v>
      </c>
      <c r="J629" s="209" t="str">
        <f>IF(LEN($A629)&gt;0,IF(LEN(Declarations!$F629)&gt;0,Declarations!$F629,conftype),"")</f>
        <v/>
      </c>
      <c r="M629" s="297">
        <f>IF(ISNA(VLOOKUP($A629,SprintData,2,FALSE)),0,VLOOKUP($A629,SprintData,2,FALSE))</f>
        <v>0</v>
      </c>
      <c r="N629" s="297">
        <f>IF(ISNA(VLOOKUP($A629,JumpData,2,FALSE)),0,VLOOKUP($A629,JumpData,2,FALSE))</f>
        <v>0</v>
      </c>
      <c r="O629" s="297">
        <f>IF(ISNA(VLOOKUP($A629,RunData,2,FALSE)),0,VLOOKUP($A629,RunData,2,FALSE))</f>
        <v>0</v>
      </c>
      <c r="P629" s="297">
        <f>IF(ISNA(VLOOKUP($A629,ThrowData,2,FALSE)),0,VLOOKUP($A629,ThrowData,2,FALSE))</f>
        <v>0</v>
      </c>
      <c r="Q629" s="298">
        <f>IF(ISNA(VLOOKUP($A629,SprintData,4,FALSE)),0,VLOOKUP($A629,SprintData,4,FALSE))+V629</f>
        <v>0</v>
      </c>
      <c r="R629" s="298">
        <f>IF(ISNA(VLOOKUP($A629,JumpData,4,FALSE)),0,VLOOKUP($A629,JumpData,4,FALSE))+W629</f>
        <v>0</v>
      </c>
      <c r="S629" s="298">
        <f>IF(ISNA(VLOOKUP($A629,RunData,4,FALSE)),0,VLOOKUP($A629,RunData,4,FALSE))+X629</f>
        <v>0</v>
      </c>
      <c r="T629" s="298">
        <f>IF(ISNA(VLOOKUP($A629,ThrowData,4,FALSE)),0,VLOOKUP($A629,ThrowData,4,FALSE))+Y629</f>
        <v>0</v>
      </c>
      <c r="U629" s="299">
        <f t="shared" si="2"/>
        <v>0</v>
      </c>
      <c r="V629">
        <f>IF(AND($F629&gt;0,NOT(M629),Flexing),FlexPC,0)</f>
        <v>0</v>
      </c>
      <c r="W629">
        <f>IF(AND($F629&gt;0,NOT(N629),Flexing),FlexPC,0)</f>
        <v>0</v>
      </c>
      <c r="X629">
        <f>IF(AND($F629&gt;0,NOT(O629),Flexing),FlexPC,0)</f>
        <v>0</v>
      </c>
      <c r="Y629">
        <f>IF(AND($F629&gt;0,NOT(P629),Flexing),FlexPC,0)</f>
        <v>0</v>
      </c>
      <c r="AA629" s="209">
        <f t="shared" si="3"/>
        <v>628</v>
      </c>
    </row>
    <row r="630" ht="15.75" customHeight="1">
      <c r="A630" s="206" t="str">
        <f>+Declarations!A630&amp;""</f>
        <v/>
      </c>
      <c r="B630" t="str">
        <f>IF(LEN($A630),IF(LEN(Declarations!$B630)&gt;0,Declarations!$B630,"#"&amp;$A630),"")</f>
        <v/>
      </c>
      <c r="C630" s="209" t="str">
        <f t="array" ref="C630">IF(LEN(INDEX(DECLARATIONS,$AA630,3))&gt;0,INDEX(DECLARATIONS,$AA630,3),"...")</f>
        <v>...</v>
      </c>
      <c r="D630" s="209" t="str">
        <f t="shared" si="1"/>
        <v/>
      </c>
      <c r="E630" s="296" t="str">
        <f t="array" ref="E630">IF(ISNA($AA630),0,INDEX(DECLARATIONS,$AA630,5))</f>
        <v/>
      </c>
      <c r="F630" s="209" t="str">
        <f t="array" ref="F630">IF(ISNA($AA630),0,INDEX(DECLARATIONS,$AA630,7))</f>
        <v/>
      </c>
      <c r="G630" s="209" t="str">
        <f t="array" ref="G630">UPPER(IF(ISNA($AA630),"",INDEX(DECLARATIONS,$AA630,4)))</f>
        <v/>
      </c>
      <c r="H630" t="str">
        <f>IF(AND(A630&gt;0,ISTEXT(B630)),IF(SECNAME="YES",LEFT(B630&amp;" ",FIND(" ",B630&amp;" ")+2)&amp;IF(F630&gt;0," ("&amp;F630&amp;")",""),B630&amp;IF(F630&gt;0," ("&amp;F630&amp;")","")),"#"&amp;$A630)</f>
        <v/>
      </c>
      <c r="I630" s="209">
        <f>IF(LEN($A630)&gt;0,IF(LEN($J630)&gt;0,MATCH(J630,MatchNames,0),EventIndex),0)</f>
        <v>0</v>
      </c>
      <c r="J630" s="209" t="str">
        <f>IF(LEN($A630)&gt;0,IF(LEN(Declarations!$F630)&gt;0,Declarations!$F630,conftype),"")</f>
        <v/>
      </c>
      <c r="M630" s="297">
        <f>IF(ISNA(VLOOKUP($A630,SprintData,2,FALSE)),0,VLOOKUP($A630,SprintData,2,FALSE))</f>
        <v>0</v>
      </c>
      <c r="N630" s="297">
        <f>IF(ISNA(VLOOKUP($A630,JumpData,2,FALSE)),0,VLOOKUP($A630,JumpData,2,FALSE))</f>
        <v>0</v>
      </c>
      <c r="O630" s="297">
        <f>IF(ISNA(VLOOKUP($A630,RunData,2,FALSE)),0,VLOOKUP($A630,RunData,2,FALSE))</f>
        <v>0</v>
      </c>
      <c r="P630" s="297">
        <f>IF(ISNA(VLOOKUP($A630,ThrowData,2,FALSE)),0,VLOOKUP($A630,ThrowData,2,FALSE))</f>
        <v>0</v>
      </c>
      <c r="Q630" s="298">
        <f>IF(ISNA(VLOOKUP($A630,SprintData,4,FALSE)),0,VLOOKUP($A630,SprintData,4,FALSE))+V630</f>
        <v>0</v>
      </c>
      <c r="R630" s="298">
        <f>IF(ISNA(VLOOKUP($A630,JumpData,4,FALSE)),0,VLOOKUP($A630,JumpData,4,FALSE))+W630</f>
        <v>0</v>
      </c>
      <c r="S630" s="298">
        <f>IF(ISNA(VLOOKUP($A630,RunData,4,FALSE)),0,VLOOKUP($A630,RunData,4,FALSE))+X630</f>
        <v>0</v>
      </c>
      <c r="T630" s="298">
        <f>IF(ISNA(VLOOKUP($A630,ThrowData,4,FALSE)),0,VLOOKUP($A630,ThrowData,4,FALSE))+Y630</f>
        <v>0</v>
      </c>
      <c r="U630" s="299">
        <f t="shared" si="2"/>
        <v>0</v>
      </c>
      <c r="V630">
        <f>IF(AND($F630&gt;0,NOT(M630),Flexing),FlexPC,0)</f>
        <v>0</v>
      </c>
      <c r="W630">
        <f>IF(AND($F630&gt;0,NOT(N630),Flexing),FlexPC,0)</f>
        <v>0</v>
      </c>
      <c r="X630">
        <f>IF(AND($F630&gt;0,NOT(O630),Flexing),FlexPC,0)</f>
        <v>0</v>
      </c>
      <c r="Y630">
        <f>IF(AND($F630&gt;0,NOT(P630),Flexing),FlexPC,0)</f>
        <v>0</v>
      </c>
      <c r="AA630" s="209">
        <f t="shared" si="3"/>
        <v>629</v>
      </c>
    </row>
    <row r="631" ht="15.75" customHeight="1">
      <c r="A631" s="206" t="str">
        <f>+Declarations!A631&amp;""</f>
        <v/>
      </c>
      <c r="B631" t="str">
        <f>IF(LEN($A631),IF(LEN(Declarations!$B631)&gt;0,Declarations!$B631,"#"&amp;$A631),"")</f>
        <v/>
      </c>
      <c r="C631" s="209" t="str">
        <f t="array" ref="C631">IF(LEN(INDEX(DECLARATIONS,$AA631,3))&gt;0,INDEX(DECLARATIONS,$AA631,3),"...")</f>
        <v>...</v>
      </c>
      <c r="D631" s="209" t="str">
        <f t="shared" si="1"/>
        <v/>
      </c>
      <c r="E631" s="296" t="str">
        <f t="array" ref="E631">IF(ISNA($AA631),0,INDEX(DECLARATIONS,$AA631,5))</f>
        <v/>
      </c>
      <c r="F631" s="209" t="str">
        <f t="array" ref="F631">IF(ISNA($AA631),0,INDEX(DECLARATIONS,$AA631,7))</f>
        <v/>
      </c>
      <c r="G631" s="209" t="str">
        <f t="array" ref="G631">UPPER(IF(ISNA($AA631),"",INDEX(DECLARATIONS,$AA631,4)))</f>
        <v/>
      </c>
      <c r="H631" t="str">
        <f>IF(AND(A631&gt;0,ISTEXT(B631)),IF(SECNAME="YES",LEFT(B631&amp;" ",FIND(" ",B631&amp;" ")+2)&amp;IF(F631&gt;0," ("&amp;F631&amp;")",""),B631&amp;IF(F631&gt;0," ("&amp;F631&amp;")","")),"#"&amp;$A631)</f>
        <v/>
      </c>
      <c r="I631" s="209">
        <f>IF(LEN($A631)&gt;0,IF(LEN($J631)&gt;0,MATCH(J631,MatchNames,0),EventIndex),0)</f>
        <v>0</v>
      </c>
      <c r="J631" s="209" t="str">
        <f>IF(LEN($A631)&gt;0,IF(LEN(Declarations!$F631)&gt;0,Declarations!$F631,conftype),"")</f>
        <v/>
      </c>
      <c r="M631" s="297">
        <f>IF(ISNA(VLOOKUP($A631,SprintData,2,FALSE)),0,VLOOKUP($A631,SprintData,2,FALSE))</f>
        <v>0</v>
      </c>
      <c r="N631" s="297">
        <f>IF(ISNA(VLOOKUP($A631,JumpData,2,FALSE)),0,VLOOKUP($A631,JumpData,2,FALSE))</f>
        <v>0</v>
      </c>
      <c r="O631" s="297">
        <f>IF(ISNA(VLOOKUP($A631,RunData,2,FALSE)),0,VLOOKUP($A631,RunData,2,FALSE))</f>
        <v>0</v>
      </c>
      <c r="P631" s="297">
        <f>IF(ISNA(VLOOKUP($A631,ThrowData,2,FALSE)),0,VLOOKUP($A631,ThrowData,2,FALSE))</f>
        <v>0</v>
      </c>
      <c r="Q631" s="298">
        <f>IF(ISNA(VLOOKUP($A631,SprintData,4,FALSE)),0,VLOOKUP($A631,SprintData,4,FALSE))+V631</f>
        <v>0</v>
      </c>
      <c r="R631" s="298">
        <f>IF(ISNA(VLOOKUP($A631,JumpData,4,FALSE)),0,VLOOKUP($A631,JumpData,4,FALSE))+W631</f>
        <v>0</v>
      </c>
      <c r="S631" s="298">
        <f>IF(ISNA(VLOOKUP($A631,RunData,4,FALSE)),0,VLOOKUP($A631,RunData,4,FALSE))+X631</f>
        <v>0</v>
      </c>
      <c r="T631" s="298">
        <f>IF(ISNA(VLOOKUP($A631,ThrowData,4,FALSE)),0,VLOOKUP($A631,ThrowData,4,FALSE))+Y631</f>
        <v>0</v>
      </c>
      <c r="U631" s="299">
        <f t="shared" si="2"/>
        <v>0</v>
      </c>
      <c r="V631">
        <f>IF(AND($F631&gt;0,NOT(M631),Flexing),FlexPC,0)</f>
        <v>0</v>
      </c>
      <c r="W631">
        <f>IF(AND($F631&gt;0,NOT(N631),Flexing),FlexPC,0)</f>
        <v>0</v>
      </c>
      <c r="X631">
        <f>IF(AND($F631&gt;0,NOT(O631),Flexing),FlexPC,0)</f>
        <v>0</v>
      </c>
      <c r="Y631">
        <f>IF(AND($F631&gt;0,NOT(P631),Flexing),FlexPC,0)</f>
        <v>0</v>
      </c>
      <c r="AA631" s="209">
        <f t="shared" si="3"/>
        <v>630</v>
      </c>
    </row>
    <row r="632" ht="15.75" customHeight="1">
      <c r="A632" s="206" t="str">
        <f>+Declarations!A632&amp;""</f>
        <v/>
      </c>
      <c r="B632" t="str">
        <f>IF(LEN($A632),IF(LEN(Declarations!$B632)&gt;0,Declarations!$B632,"#"&amp;$A632),"")</f>
        <v/>
      </c>
      <c r="C632" s="209" t="str">
        <f t="array" ref="C632">IF(LEN(INDEX(DECLARATIONS,$AA632,3))&gt;0,INDEX(DECLARATIONS,$AA632,3),"...")</f>
        <v>...</v>
      </c>
      <c r="D632" s="209" t="str">
        <f t="shared" si="1"/>
        <v/>
      </c>
      <c r="E632" s="296" t="str">
        <f t="array" ref="E632">IF(ISNA($AA632),0,INDEX(DECLARATIONS,$AA632,5))</f>
        <v/>
      </c>
      <c r="F632" s="209" t="str">
        <f t="array" ref="F632">IF(ISNA($AA632),0,INDEX(DECLARATIONS,$AA632,7))</f>
        <v/>
      </c>
      <c r="G632" s="209" t="str">
        <f t="array" ref="G632">UPPER(IF(ISNA($AA632),"",INDEX(DECLARATIONS,$AA632,4)))</f>
        <v/>
      </c>
      <c r="H632" t="str">
        <f>IF(AND(A632&gt;0,ISTEXT(B632)),IF(SECNAME="YES",LEFT(B632&amp;" ",FIND(" ",B632&amp;" ")+2)&amp;IF(F632&gt;0," ("&amp;F632&amp;")",""),B632&amp;IF(F632&gt;0," ("&amp;F632&amp;")","")),"#"&amp;$A632)</f>
        <v/>
      </c>
      <c r="I632" s="209">
        <f>IF(LEN($A632)&gt;0,IF(LEN($J632)&gt;0,MATCH(J632,MatchNames,0),EventIndex),0)</f>
        <v>0</v>
      </c>
      <c r="J632" s="209" t="str">
        <f>IF(LEN($A632)&gt;0,IF(LEN(Declarations!$F632)&gt;0,Declarations!$F632,conftype),"")</f>
        <v/>
      </c>
      <c r="M632" s="297">
        <f>IF(ISNA(VLOOKUP($A632,SprintData,2,FALSE)),0,VLOOKUP($A632,SprintData,2,FALSE))</f>
        <v>0</v>
      </c>
      <c r="N632" s="297">
        <f>IF(ISNA(VLOOKUP($A632,JumpData,2,FALSE)),0,VLOOKUP($A632,JumpData,2,FALSE))</f>
        <v>0</v>
      </c>
      <c r="O632" s="297">
        <f>IF(ISNA(VLOOKUP($A632,RunData,2,FALSE)),0,VLOOKUP($A632,RunData,2,FALSE))</f>
        <v>0</v>
      </c>
      <c r="P632" s="297">
        <f>IF(ISNA(VLOOKUP($A632,ThrowData,2,FALSE)),0,VLOOKUP($A632,ThrowData,2,FALSE))</f>
        <v>0</v>
      </c>
      <c r="Q632" s="298">
        <f>IF(ISNA(VLOOKUP($A632,SprintData,4,FALSE)),0,VLOOKUP($A632,SprintData,4,FALSE))+V632</f>
        <v>0</v>
      </c>
      <c r="R632" s="298">
        <f>IF(ISNA(VLOOKUP($A632,JumpData,4,FALSE)),0,VLOOKUP($A632,JumpData,4,FALSE))+W632</f>
        <v>0</v>
      </c>
      <c r="S632" s="298">
        <f>IF(ISNA(VLOOKUP($A632,RunData,4,FALSE)),0,VLOOKUP($A632,RunData,4,FALSE))+X632</f>
        <v>0</v>
      </c>
      <c r="T632" s="298">
        <f>IF(ISNA(VLOOKUP($A632,ThrowData,4,FALSE)),0,VLOOKUP($A632,ThrowData,4,FALSE))+Y632</f>
        <v>0</v>
      </c>
      <c r="U632" s="299">
        <f t="shared" si="2"/>
        <v>0</v>
      </c>
      <c r="V632">
        <f>IF(AND($F632&gt;0,NOT(M632),Flexing),FlexPC,0)</f>
        <v>0</v>
      </c>
      <c r="W632">
        <f>IF(AND($F632&gt;0,NOT(N632),Flexing),FlexPC,0)</f>
        <v>0</v>
      </c>
      <c r="X632">
        <f>IF(AND($F632&gt;0,NOT(O632),Flexing),FlexPC,0)</f>
        <v>0</v>
      </c>
      <c r="Y632">
        <f>IF(AND($F632&gt;0,NOT(P632),Flexing),FlexPC,0)</f>
        <v>0</v>
      </c>
      <c r="AA632" s="209">
        <f t="shared" si="3"/>
        <v>631</v>
      </c>
    </row>
    <row r="633" ht="15.75" customHeight="1">
      <c r="A633" s="206" t="str">
        <f>+Declarations!A633&amp;""</f>
        <v/>
      </c>
      <c r="B633" t="str">
        <f>IF(LEN($A633),IF(LEN(Declarations!$B633)&gt;0,Declarations!$B633,"#"&amp;$A633),"")</f>
        <v/>
      </c>
      <c r="C633" s="209" t="str">
        <f t="array" ref="C633">IF(LEN(INDEX(DECLARATIONS,$AA633,3))&gt;0,INDEX(DECLARATIONS,$AA633,3),"...")</f>
        <v>...</v>
      </c>
      <c r="D633" s="209" t="str">
        <f t="shared" si="1"/>
        <v/>
      </c>
      <c r="E633" s="296" t="str">
        <f t="array" ref="E633">IF(ISNA($AA633),0,INDEX(DECLARATIONS,$AA633,5))</f>
        <v/>
      </c>
      <c r="F633" s="209" t="str">
        <f t="array" ref="F633">IF(ISNA($AA633),0,INDEX(DECLARATIONS,$AA633,7))</f>
        <v/>
      </c>
      <c r="G633" s="209" t="str">
        <f t="array" ref="G633">UPPER(IF(ISNA($AA633),"",INDEX(DECLARATIONS,$AA633,4)))</f>
        <v/>
      </c>
      <c r="H633" t="str">
        <f>IF(AND(A633&gt;0,ISTEXT(B633)),IF(SECNAME="YES",LEFT(B633&amp;" ",FIND(" ",B633&amp;" ")+2)&amp;IF(F633&gt;0," ("&amp;F633&amp;")",""),B633&amp;IF(F633&gt;0," ("&amp;F633&amp;")","")),"#"&amp;$A633)</f>
        <v/>
      </c>
      <c r="I633" s="209">
        <f>IF(LEN($A633)&gt;0,IF(LEN($J633)&gt;0,MATCH(J633,MatchNames,0),EventIndex),0)</f>
        <v>0</v>
      </c>
      <c r="J633" s="209" t="str">
        <f>IF(LEN($A633)&gt;0,IF(LEN(Declarations!$F633)&gt;0,Declarations!$F633,conftype),"")</f>
        <v/>
      </c>
      <c r="M633" s="297">
        <f>IF(ISNA(VLOOKUP($A633,SprintData,2,FALSE)),0,VLOOKUP($A633,SprintData,2,FALSE))</f>
        <v>0</v>
      </c>
      <c r="N633" s="297">
        <f>IF(ISNA(VLOOKUP($A633,JumpData,2,FALSE)),0,VLOOKUP($A633,JumpData,2,FALSE))</f>
        <v>0</v>
      </c>
      <c r="O633" s="297">
        <f>IF(ISNA(VLOOKUP($A633,RunData,2,FALSE)),0,VLOOKUP($A633,RunData,2,FALSE))</f>
        <v>0</v>
      </c>
      <c r="P633" s="297">
        <f>IF(ISNA(VLOOKUP($A633,ThrowData,2,FALSE)),0,VLOOKUP($A633,ThrowData,2,FALSE))</f>
        <v>0</v>
      </c>
      <c r="Q633" s="298">
        <f>IF(ISNA(VLOOKUP($A633,SprintData,4,FALSE)),0,VLOOKUP($A633,SprintData,4,FALSE))+V633</f>
        <v>0</v>
      </c>
      <c r="R633" s="298">
        <f>IF(ISNA(VLOOKUP($A633,JumpData,4,FALSE)),0,VLOOKUP($A633,JumpData,4,FALSE))+W633</f>
        <v>0</v>
      </c>
      <c r="S633" s="298">
        <f>IF(ISNA(VLOOKUP($A633,RunData,4,FALSE)),0,VLOOKUP($A633,RunData,4,FALSE))+X633</f>
        <v>0</v>
      </c>
      <c r="T633" s="298">
        <f>IF(ISNA(VLOOKUP($A633,ThrowData,4,FALSE)),0,VLOOKUP($A633,ThrowData,4,FALSE))+Y633</f>
        <v>0</v>
      </c>
      <c r="U633" s="299">
        <f t="shared" si="2"/>
        <v>0</v>
      </c>
      <c r="V633">
        <f>IF(AND($F633&gt;0,NOT(M633),Flexing),FlexPC,0)</f>
        <v>0</v>
      </c>
      <c r="W633">
        <f>IF(AND($F633&gt;0,NOT(N633),Flexing),FlexPC,0)</f>
        <v>0</v>
      </c>
      <c r="X633">
        <f>IF(AND($F633&gt;0,NOT(O633),Flexing),FlexPC,0)</f>
        <v>0</v>
      </c>
      <c r="Y633">
        <f>IF(AND($F633&gt;0,NOT(P633),Flexing),FlexPC,0)</f>
        <v>0</v>
      </c>
      <c r="AA633" s="209">
        <f t="shared" si="3"/>
        <v>632</v>
      </c>
    </row>
    <row r="634" ht="15.75" customHeight="1">
      <c r="A634" s="206" t="str">
        <f>+Declarations!A634&amp;""</f>
        <v/>
      </c>
      <c r="B634" t="str">
        <f>IF(LEN($A634),IF(LEN(Declarations!$B634)&gt;0,Declarations!$B634,"#"&amp;$A634),"")</f>
        <v/>
      </c>
      <c r="C634" s="209" t="str">
        <f t="array" ref="C634">IF(LEN(INDEX(DECLARATIONS,$AA634,3))&gt;0,INDEX(DECLARATIONS,$AA634,3),"...")</f>
        <v>...</v>
      </c>
      <c r="D634" s="209" t="str">
        <f t="shared" si="1"/>
        <v/>
      </c>
      <c r="E634" s="296" t="str">
        <f t="array" ref="E634">IF(ISNA($AA634),0,INDEX(DECLARATIONS,$AA634,5))</f>
        <v/>
      </c>
      <c r="F634" s="209" t="str">
        <f t="array" ref="F634">IF(ISNA($AA634),0,INDEX(DECLARATIONS,$AA634,7))</f>
        <v/>
      </c>
      <c r="G634" s="209" t="str">
        <f t="array" ref="G634">UPPER(IF(ISNA($AA634),"",INDEX(DECLARATIONS,$AA634,4)))</f>
        <v/>
      </c>
      <c r="H634" t="str">
        <f>IF(AND(A634&gt;0,ISTEXT(B634)),IF(SECNAME="YES",LEFT(B634&amp;" ",FIND(" ",B634&amp;" ")+2)&amp;IF(F634&gt;0," ("&amp;F634&amp;")",""),B634&amp;IF(F634&gt;0," ("&amp;F634&amp;")","")),"#"&amp;$A634)</f>
        <v/>
      </c>
      <c r="I634" s="209">
        <f>IF(LEN($A634)&gt;0,IF(LEN($J634)&gt;0,MATCH(J634,MatchNames,0),EventIndex),0)</f>
        <v>0</v>
      </c>
      <c r="J634" s="209" t="str">
        <f>IF(LEN($A634)&gt;0,IF(LEN(Declarations!$F634)&gt;0,Declarations!$F634,conftype),"")</f>
        <v/>
      </c>
      <c r="M634" s="297">
        <f>IF(ISNA(VLOOKUP($A634,SprintData,2,FALSE)),0,VLOOKUP($A634,SprintData,2,FALSE))</f>
        <v>0</v>
      </c>
      <c r="N634" s="297">
        <f>IF(ISNA(VLOOKUP($A634,JumpData,2,FALSE)),0,VLOOKUP($A634,JumpData,2,FALSE))</f>
        <v>0</v>
      </c>
      <c r="O634" s="297">
        <f>IF(ISNA(VLOOKUP($A634,RunData,2,FALSE)),0,VLOOKUP($A634,RunData,2,FALSE))</f>
        <v>0</v>
      </c>
      <c r="P634" s="297">
        <f>IF(ISNA(VLOOKUP($A634,ThrowData,2,FALSE)),0,VLOOKUP($A634,ThrowData,2,FALSE))</f>
        <v>0</v>
      </c>
      <c r="Q634" s="298">
        <f>IF(ISNA(VLOOKUP($A634,SprintData,4,FALSE)),0,VLOOKUP($A634,SprintData,4,FALSE))+V634</f>
        <v>0</v>
      </c>
      <c r="R634" s="298">
        <f>IF(ISNA(VLOOKUP($A634,JumpData,4,FALSE)),0,VLOOKUP($A634,JumpData,4,FALSE))+W634</f>
        <v>0</v>
      </c>
      <c r="S634" s="298">
        <f>IF(ISNA(VLOOKUP($A634,RunData,4,FALSE)),0,VLOOKUP($A634,RunData,4,FALSE))+X634</f>
        <v>0</v>
      </c>
      <c r="T634" s="298">
        <f>IF(ISNA(VLOOKUP($A634,ThrowData,4,FALSE)),0,VLOOKUP($A634,ThrowData,4,FALSE))+Y634</f>
        <v>0</v>
      </c>
      <c r="U634" s="299">
        <f t="shared" si="2"/>
        <v>0</v>
      </c>
      <c r="V634">
        <f>IF(AND($F634&gt;0,NOT(M634),Flexing),FlexPC,0)</f>
        <v>0</v>
      </c>
      <c r="W634">
        <f>IF(AND($F634&gt;0,NOT(N634),Flexing),FlexPC,0)</f>
        <v>0</v>
      </c>
      <c r="X634">
        <f>IF(AND($F634&gt;0,NOT(O634),Flexing),FlexPC,0)</f>
        <v>0</v>
      </c>
      <c r="Y634">
        <f>IF(AND($F634&gt;0,NOT(P634),Flexing),FlexPC,0)</f>
        <v>0</v>
      </c>
      <c r="AA634" s="209">
        <f t="shared" si="3"/>
        <v>633</v>
      </c>
    </row>
    <row r="635" ht="15.75" customHeight="1">
      <c r="A635" s="206" t="str">
        <f>+Declarations!A635&amp;""</f>
        <v/>
      </c>
      <c r="B635" t="str">
        <f>IF(LEN($A635),IF(LEN(Declarations!$B635)&gt;0,Declarations!$B635,"#"&amp;$A635),"")</f>
        <v/>
      </c>
      <c r="C635" s="209" t="str">
        <f t="array" ref="C635">IF(LEN(INDEX(DECLARATIONS,$AA635,3))&gt;0,INDEX(DECLARATIONS,$AA635,3),"...")</f>
        <v>...</v>
      </c>
      <c r="D635" s="209" t="str">
        <f t="shared" si="1"/>
        <v/>
      </c>
      <c r="E635" s="296" t="str">
        <f t="array" ref="E635">IF(ISNA($AA635),0,INDEX(DECLARATIONS,$AA635,5))</f>
        <v/>
      </c>
      <c r="F635" s="209" t="str">
        <f t="array" ref="F635">IF(ISNA($AA635),0,INDEX(DECLARATIONS,$AA635,7))</f>
        <v/>
      </c>
      <c r="G635" s="209" t="str">
        <f t="array" ref="G635">UPPER(IF(ISNA($AA635),"",INDEX(DECLARATIONS,$AA635,4)))</f>
        <v/>
      </c>
      <c r="H635" t="str">
        <f>IF(AND(A635&gt;0,ISTEXT(B635)),IF(SECNAME="YES",LEFT(B635&amp;" ",FIND(" ",B635&amp;" ")+2)&amp;IF(F635&gt;0," ("&amp;F635&amp;")",""),B635&amp;IF(F635&gt;0," ("&amp;F635&amp;")","")),"#"&amp;$A635)</f>
        <v/>
      </c>
      <c r="I635" s="209">
        <f>IF(LEN($A635)&gt;0,IF(LEN($J635)&gt;0,MATCH(J635,MatchNames,0),EventIndex),0)</f>
        <v>0</v>
      </c>
      <c r="J635" s="209" t="str">
        <f>IF(LEN($A635)&gt;0,IF(LEN(Declarations!$F635)&gt;0,Declarations!$F635,conftype),"")</f>
        <v/>
      </c>
      <c r="M635" s="297">
        <f>IF(ISNA(VLOOKUP($A635,SprintData,2,FALSE)),0,VLOOKUP($A635,SprintData,2,FALSE))</f>
        <v>0</v>
      </c>
      <c r="N635" s="297">
        <f>IF(ISNA(VLOOKUP($A635,JumpData,2,FALSE)),0,VLOOKUP($A635,JumpData,2,FALSE))</f>
        <v>0</v>
      </c>
      <c r="O635" s="297">
        <f>IF(ISNA(VLOOKUP($A635,RunData,2,FALSE)),0,VLOOKUP($A635,RunData,2,FALSE))</f>
        <v>0</v>
      </c>
      <c r="P635" s="297">
        <f>IF(ISNA(VLOOKUP($A635,ThrowData,2,FALSE)),0,VLOOKUP($A635,ThrowData,2,FALSE))</f>
        <v>0</v>
      </c>
      <c r="Q635" s="298">
        <f>IF(ISNA(VLOOKUP($A635,SprintData,4,FALSE)),0,VLOOKUP($A635,SprintData,4,FALSE))+V635</f>
        <v>0</v>
      </c>
      <c r="R635" s="298">
        <f>IF(ISNA(VLOOKUP($A635,JumpData,4,FALSE)),0,VLOOKUP($A635,JumpData,4,FALSE))+W635</f>
        <v>0</v>
      </c>
      <c r="S635" s="298">
        <f>IF(ISNA(VLOOKUP($A635,RunData,4,FALSE)),0,VLOOKUP($A635,RunData,4,FALSE))+X635</f>
        <v>0</v>
      </c>
      <c r="T635" s="298">
        <f>IF(ISNA(VLOOKUP($A635,ThrowData,4,FALSE)),0,VLOOKUP($A635,ThrowData,4,FALSE))+Y635</f>
        <v>0</v>
      </c>
      <c r="U635" s="299">
        <f t="shared" si="2"/>
        <v>0</v>
      </c>
      <c r="V635">
        <f>IF(AND($F635&gt;0,NOT(M635),Flexing),FlexPC,0)</f>
        <v>0</v>
      </c>
      <c r="W635">
        <f>IF(AND($F635&gt;0,NOT(N635),Flexing),FlexPC,0)</f>
        <v>0</v>
      </c>
      <c r="X635">
        <f>IF(AND($F635&gt;0,NOT(O635),Flexing),FlexPC,0)</f>
        <v>0</v>
      </c>
      <c r="Y635">
        <f>IF(AND($F635&gt;0,NOT(P635),Flexing),FlexPC,0)</f>
        <v>0</v>
      </c>
      <c r="AA635" s="209">
        <f t="shared" si="3"/>
        <v>634</v>
      </c>
    </row>
    <row r="636" ht="15.75" customHeight="1">
      <c r="A636" s="206" t="str">
        <f>+Declarations!A636&amp;""</f>
        <v/>
      </c>
      <c r="B636" t="str">
        <f>IF(LEN($A636),IF(LEN(Declarations!$B636)&gt;0,Declarations!$B636,"#"&amp;$A636),"")</f>
        <v/>
      </c>
      <c r="C636" s="209" t="str">
        <f t="array" ref="C636">IF(LEN(INDEX(DECLARATIONS,$AA636,3))&gt;0,INDEX(DECLARATIONS,$AA636,3),"...")</f>
        <v>...</v>
      </c>
      <c r="D636" s="209" t="str">
        <f t="shared" si="1"/>
        <v/>
      </c>
      <c r="E636" s="296" t="str">
        <f t="array" ref="E636">IF(ISNA($AA636),0,INDEX(DECLARATIONS,$AA636,5))</f>
        <v/>
      </c>
      <c r="F636" s="209" t="str">
        <f t="array" ref="F636">IF(ISNA($AA636),0,INDEX(DECLARATIONS,$AA636,7))</f>
        <v/>
      </c>
      <c r="G636" s="209" t="str">
        <f t="array" ref="G636">UPPER(IF(ISNA($AA636),"",INDEX(DECLARATIONS,$AA636,4)))</f>
        <v/>
      </c>
      <c r="H636" t="str">
        <f>IF(AND(A636&gt;0,ISTEXT(B636)),IF(SECNAME="YES",LEFT(B636&amp;" ",FIND(" ",B636&amp;" ")+2)&amp;IF(F636&gt;0," ("&amp;F636&amp;")",""),B636&amp;IF(F636&gt;0," ("&amp;F636&amp;")","")),"#"&amp;$A636)</f>
        <v/>
      </c>
      <c r="I636" s="209">
        <f>IF(LEN($A636)&gt;0,IF(LEN($J636)&gt;0,MATCH(J636,MatchNames,0),EventIndex),0)</f>
        <v>0</v>
      </c>
      <c r="J636" s="209" t="str">
        <f>IF(LEN($A636)&gt;0,IF(LEN(Declarations!$F636)&gt;0,Declarations!$F636,conftype),"")</f>
        <v/>
      </c>
      <c r="M636" s="297">
        <f>IF(ISNA(VLOOKUP($A636,SprintData,2,FALSE)),0,VLOOKUP($A636,SprintData,2,FALSE))</f>
        <v>0</v>
      </c>
      <c r="N636" s="297">
        <f>IF(ISNA(VLOOKUP($A636,JumpData,2,FALSE)),0,VLOOKUP($A636,JumpData,2,FALSE))</f>
        <v>0</v>
      </c>
      <c r="O636" s="297">
        <f>IF(ISNA(VLOOKUP($A636,RunData,2,FALSE)),0,VLOOKUP($A636,RunData,2,FALSE))</f>
        <v>0</v>
      </c>
      <c r="P636" s="297">
        <f>IF(ISNA(VLOOKUP($A636,ThrowData,2,FALSE)),0,VLOOKUP($A636,ThrowData,2,FALSE))</f>
        <v>0</v>
      </c>
      <c r="Q636" s="298">
        <f>IF(ISNA(VLOOKUP($A636,SprintData,4,FALSE)),0,VLOOKUP($A636,SprintData,4,FALSE))+V636</f>
        <v>0</v>
      </c>
      <c r="R636" s="298">
        <f>IF(ISNA(VLOOKUP($A636,JumpData,4,FALSE)),0,VLOOKUP($A636,JumpData,4,FALSE))+W636</f>
        <v>0</v>
      </c>
      <c r="S636" s="298">
        <f>IF(ISNA(VLOOKUP($A636,RunData,4,FALSE)),0,VLOOKUP($A636,RunData,4,FALSE))+X636</f>
        <v>0</v>
      </c>
      <c r="T636" s="298">
        <f>IF(ISNA(VLOOKUP($A636,ThrowData,4,FALSE)),0,VLOOKUP($A636,ThrowData,4,FALSE))+Y636</f>
        <v>0</v>
      </c>
      <c r="U636" s="299">
        <f t="shared" si="2"/>
        <v>0</v>
      </c>
      <c r="V636">
        <f>IF(AND($F636&gt;0,NOT(M636),Flexing),FlexPC,0)</f>
        <v>0</v>
      </c>
      <c r="W636">
        <f>IF(AND($F636&gt;0,NOT(N636),Flexing),FlexPC,0)</f>
        <v>0</v>
      </c>
      <c r="X636">
        <f>IF(AND($F636&gt;0,NOT(O636),Flexing),FlexPC,0)</f>
        <v>0</v>
      </c>
      <c r="Y636">
        <f>IF(AND($F636&gt;0,NOT(P636),Flexing),FlexPC,0)</f>
        <v>0</v>
      </c>
      <c r="AA636" s="209">
        <f t="shared" si="3"/>
        <v>635</v>
      </c>
    </row>
    <row r="637" ht="15.75" customHeight="1">
      <c r="A637" s="206" t="str">
        <f>+Declarations!A637&amp;""</f>
        <v/>
      </c>
      <c r="B637" t="str">
        <f>IF(LEN($A637),IF(LEN(Declarations!$B637)&gt;0,Declarations!$B637,"#"&amp;$A637),"")</f>
        <v/>
      </c>
      <c r="C637" s="209" t="str">
        <f t="array" ref="C637">IF(LEN(INDEX(DECLARATIONS,$AA637,3))&gt;0,INDEX(DECLARATIONS,$AA637,3),"...")</f>
        <v>...</v>
      </c>
      <c r="D637" s="209" t="str">
        <f t="shared" si="1"/>
        <v/>
      </c>
      <c r="E637" s="296" t="str">
        <f t="array" ref="E637">IF(ISNA($AA637),0,INDEX(DECLARATIONS,$AA637,5))</f>
        <v/>
      </c>
      <c r="F637" s="209" t="str">
        <f t="array" ref="F637">IF(ISNA($AA637),0,INDEX(DECLARATIONS,$AA637,7))</f>
        <v/>
      </c>
      <c r="G637" s="209" t="str">
        <f t="array" ref="G637">UPPER(IF(ISNA($AA637),"",INDEX(DECLARATIONS,$AA637,4)))</f>
        <v/>
      </c>
      <c r="H637" t="str">
        <f>IF(AND(A637&gt;0,ISTEXT(B637)),IF(SECNAME="YES",LEFT(B637&amp;" ",FIND(" ",B637&amp;" ")+2)&amp;IF(F637&gt;0," ("&amp;F637&amp;")",""),B637&amp;IF(F637&gt;0," ("&amp;F637&amp;")","")),"#"&amp;$A637)</f>
        <v/>
      </c>
      <c r="I637" s="209">
        <f>IF(LEN($A637)&gt;0,IF(LEN($J637)&gt;0,MATCH(J637,MatchNames,0),EventIndex),0)</f>
        <v>0</v>
      </c>
      <c r="J637" s="209" t="str">
        <f>IF(LEN($A637)&gt;0,IF(LEN(Declarations!$F637)&gt;0,Declarations!$F637,conftype),"")</f>
        <v/>
      </c>
      <c r="M637" s="297">
        <f>IF(ISNA(VLOOKUP($A637,SprintData,2,FALSE)),0,VLOOKUP($A637,SprintData,2,FALSE))</f>
        <v>0</v>
      </c>
      <c r="N637" s="297">
        <f>IF(ISNA(VLOOKUP($A637,JumpData,2,FALSE)),0,VLOOKUP($A637,JumpData,2,FALSE))</f>
        <v>0</v>
      </c>
      <c r="O637" s="297">
        <f>IF(ISNA(VLOOKUP($A637,RunData,2,FALSE)),0,VLOOKUP($A637,RunData,2,FALSE))</f>
        <v>0</v>
      </c>
      <c r="P637" s="297">
        <f>IF(ISNA(VLOOKUP($A637,ThrowData,2,FALSE)),0,VLOOKUP($A637,ThrowData,2,FALSE))</f>
        <v>0</v>
      </c>
      <c r="Q637" s="298">
        <f>IF(ISNA(VLOOKUP($A637,SprintData,4,FALSE)),0,VLOOKUP($A637,SprintData,4,FALSE))+V637</f>
        <v>0</v>
      </c>
      <c r="R637" s="298">
        <f>IF(ISNA(VLOOKUP($A637,JumpData,4,FALSE)),0,VLOOKUP($A637,JumpData,4,FALSE))+W637</f>
        <v>0</v>
      </c>
      <c r="S637" s="298">
        <f>IF(ISNA(VLOOKUP($A637,RunData,4,FALSE)),0,VLOOKUP($A637,RunData,4,FALSE))+X637</f>
        <v>0</v>
      </c>
      <c r="T637" s="298">
        <f>IF(ISNA(VLOOKUP($A637,ThrowData,4,FALSE)),0,VLOOKUP($A637,ThrowData,4,FALSE))+Y637</f>
        <v>0</v>
      </c>
      <c r="U637" s="299">
        <f t="shared" si="2"/>
        <v>0</v>
      </c>
      <c r="V637">
        <f>IF(AND($F637&gt;0,NOT(M637),Flexing),FlexPC,0)</f>
        <v>0</v>
      </c>
      <c r="W637">
        <f>IF(AND($F637&gt;0,NOT(N637),Flexing),FlexPC,0)</f>
        <v>0</v>
      </c>
      <c r="X637">
        <f>IF(AND($F637&gt;0,NOT(O637),Flexing),FlexPC,0)</f>
        <v>0</v>
      </c>
      <c r="Y637">
        <f>IF(AND($F637&gt;0,NOT(P637),Flexing),FlexPC,0)</f>
        <v>0</v>
      </c>
      <c r="AA637" s="209">
        <f t="shared" si="3"/>
        <v>636</v>
      </c>
    </row>
    <row r="638" ht="15.75" customHeight="1">
      <c r="A638" s="206" t="str">
        <f>+Declarations!A638&amp;""</f>
        <v/>
      </c>
      <c r="B638" t="str">
        <f>IF(LEN($A638),IF(LEN(Declarations!$B638)&gt;0,Declarations!$B638,"#"&amp;$A638),"")</f>
        <v/>
      </c>
      <c r="C638" s="209" t="str">
        <f t="array" ref="C638">IF(LEN(INDEX(DECLARATIONS,$AA638,3))&gt;0,INDEX(DECLARATIONS,$AA638,3),"...")</f>
        <v>...</v>
      </c>
      <c r="D638" s="209" t="str">
        <f t="shared" si="1"/>
        <v/>
      </c>
      <c r="E638" s="296" t="str">
        <f t="array" ref="E638">IF(ISNA($AA638),0,INDEX(DECLARATIONS,$AA638,5))</f>
        <v/>
      </c>
      <c r="F638" s="209" t="str">
        <f t="array" ref="F638">IF(ISNA($AA638),0,INDEX(DECLARATIONS,$AA638,7))</f>
        <v/>
      </c>
      <c r="G638" s="209" t="str">
        <f t="array" ref="G638">UPPER(IF(ISNA($AA638),"",INDEX(DECLARATIONS,$AA638,4)))</f>
        <v/>
      </c>
      <c r="H638" t="str">
        <f>IF(AND(A638&gt;0,ISTEXT(B638)),IF(SECNAME="YES",LEFT(B638&amp;" ",FIND(" ",B638&amp;" ")+2)&amp;IF(F638&gt;0," ("&amp;F638&amp;")",""),B638&amp;IF(F638&gt;0," ("&amp;F638&amp;")","")),"#"&amp;$A638)</f>
        <v/>
      </c>
      <c r="I638" s="209">
        <f>IF(LEN($A638)&gt;0,IF(LEN($J638)&gt;0,MATCH(J638,MatchNames,0),EventIndex),0)</f>
        <v>0</v>
      </c>
      <c r="J638" s="209" t="str">
        <f>IF(LEN($A638)&gt;0,IF(LEN(Declarations!$F638)&gt;0,Declarations!$F638,conftype),"")</f>
        <v/>
      </c>
      <c r="M638" s="297">
        <f>IF(ISNA(VLOOKUP($A638,SprintData,2,FALSE)),0,VLOOKUP($A638,SprintData,2,FALSE))</f>
        <v>0</v>
      </c>
      <c r="N638" s="297">
        <f>IF(ISNA(VLOOKUP($A638,JumpData,2,FALSE)),0,VLOOKUP($A638,JumpData,2,FALSE))</f>
        <v>0</v>
      </c>
      <c r="O638" s="297">
        <f>IF(ISNA(VLOOKUP($A638,RunData,2,FALSE)),0,VLOOKUP($A638,RunData,2,FALSE))</f>
        <v>0</v>
      </c>
      <c r="P638" s="297">
        <f>IF(ISNA(VLOOKUP($A638,ThrowData,2,FALSE)),0,VLOOKUP($A638,ThrowData,2,FALSE))</f>
        <v>0</v>
      </c>
      <c r="Q638" s="298">
        <f>IF(ISNA(VLOOKUP($A638,SprintData,4,FALSE)),0,VLOOKUP($A638,SprintData,4,FALSE))+V638</f>
        <v>0</v>
      </c>
      <c r="R638" s="298">
        <f>IF(ISNA(VLOOKUP($A638,JumpData,4,FALSE)),0,VLOOKUP($A638,JumpData,4,FALSE))+W638</f>
        <v>0</v>
      </c>
      <c r="S638" s="298">
        <f>IF(ISNA(VLOOKUP($A638,RunData,4,FALSE)),0,VLOOKUP($A638,RunData,4,FALSE))+X638</f>
        <v>0</v>
      </c>
      <c r="T638" s="298">
        <f>IF(ISNA(VLOOKUP($A638,ThrowData,4,FALSE)),0,VLOOKUP($A638,ThrowData,4,FALSE))+Y638</f>
        <v>0</v>
      </c>
      <c r="U638" s="299">
        <f t="shared" si="2"/>
        <v>0</v>
      </c>
      <c r="V638">
        <f>IF(AND($F638&gt;0,NOT(M638),Flexing),FlexPC,0)</f>
        <v>0</v>
      </c>
      <c r="W638">
        <f>IF(AND($F638&gt;0,NOT(N638),Flexing),FlexPC,0)</f>
        <v>0</v>
      </c>
      <c r="X638">
        <f>IF(AND($F638&gt;0,NOT(O638),Flexing),FlexPC,0)</f>
        <v>0</v>
      </c>
      <c r="Y638">
        <f>IF(AND($F638&gt;0,NOT(P638),Flexing),FlexPC,0)</f>
        <v>0</v>
      </c>
      <c r="AA638" s="209">
        <f t="shared" si="3"/>
        <v>637</v>
      </c>
    </row>
    <row r="639" ht="15.75" customHeight="1">
      <c r="A639" s="206" t="str">
        <f>+Declarations!A639&amp;""</f>
        <v/>
      </c>
      <c r="B639" t="str">
        <f>IF(LEN($A639),IF(LEN(Declarations!$B639)&gt;0,Declarations!$B639,"#"&amp;$A639),"")</f>
        <v/>
      </c>
      <c r="C639" s="209" t="str">
        <f t="array" ref="C639">IF(LEN(INDEX(DECLARATIONS,$AA639,3))&gt;0,INDEX(DECLARATIONS,$AA639,3),"...")</f>
        <v>...</v>
      </c>
      <c r="D639" s="209" t="str">
        <f t="shared" si="1"/>
        <v/>
      </c>
      <c r="E639" s="296" t="str">
        <f t="array" ref="E639">IF(ISNA($AA639),0,INDEX(DECLARATIONS,$AA639,5))</f>
        <v/>
      </c>
      <c r="F639" s="209" t="str">
        <f t="array" ref="F639">IF(ISNA($AA639),0,INDEX(DECLARATIONS,$AA639,7))</f>
        <v/>
      </c>
      <c r="G639" s="209" t="str">
        <f t="array" ref="G639">UPPER(IF(ISNA($AA639),"",INDEX(DECLARATIONS,$AA639,4)))</f>
        <v/>
      </c>
      <c r="H639" t="str">
        <f>IF(AND(A639&gt;0,ISTEXT(B639)),IF(SECNAME="YES",LEFT(B639&amp;" ",FIND(" ",B639&amp;" ")+2)&amp;IF(F639&gt;0," ("&amp;F639&amp;")",""),B639&amp;IF(F639&gt;0," ("&amp;F639&amp;")","")),"#"&amp;$A639)</f>
        <v/>
      </c>
      <c r="I639" s="209">
        <f>IF(LEN($A639)&gt;0,IF(LEN($J639)&gt;0,MATCH(J639,MatchNames,0),EventIndex),0)</f>
        <v>0</v>
      </c>
      <c r="J639" s="209" t="str">
        <f>IF(LEN($A639)&gt;0,IF(LEN(Declarations!$F639)&gt;0,Declarations!$F639,conftype),"")</f>
        <v/>
      </c>
      <c r="M639" s="297">
        <f>IF(ISNA(VLOOKUP($A639,SprintData,2,FALSE)),0,VLOOKUP($A639,SprintData,2,FALSE))</f>
        <v>0</v>
      </c>
      <c r="N639" s="297">
        <f>IF(ISNA(VLOOKUP($A639,JumpData,2,FALSE)),0,VLOOKUP($A639,JumpData,2,FALSE))</f>
        <v>0</v>
      </c>
      <c r="O639" s="297">
        <f>IF(ISNA(VLOOKUP($A639,RunData,2,FALSE)),0,VLOOKUP($A639,RunData,2,FALSE))</f>
        <v>0</v>
      </c>
      <c r="P639" s="297">
        <f>IF(ISNA(VLOOKUP($A639,ThrowData,2,FALSE)),0,VLOOKUP($A639,ThrowData,2,FALSE))</f>
        <v>0</v>
      </c>
      <c r="Q639" s="298">
        <f>IF(ISNA(VLOOKUP($A639,SprintData,4,FALSE)),0,VLOOKUP($A639,SprintData,4,FALSE))+V639</f>
        <v>0</v>
      </c>
      <c r="R639" s="298">
        <f>IF(ISNA(VLOOKUP($A639,JumpData,4,FALSE)),0,VLOOKUP($A639,JumpData,4,FALSE))+W639</f>
        <v>0</v>
      </c>
      <c r="S639" s="298">
        <f>IF(ISNA(VLOOKUP($A639,RunData,4,FALSE)),0,VLOOKUP($A639,RunData,4,FALSE))+X639</f>
        <v>0</v>
      </c>
      <c r="T639" s="298">
        <f>IF(ISNA(VLOOKUP($A639,ThrowData,4,FALSE)),0,VLOOKUP($A639,ThrowData,4,FALSE))+Y639</f>
        <v>0</v>
      </c>
      <c r="U639" s="299">
        <f t="shared" si="2"/>
        <v>0</v>
      </c>
      <c r="V639">
        <f>IF(AND($F639&gt;0,NOT(M639),Flexing),FlexPC,0)</f>
        <v>0</v>
      </c>
      <c r="W639">
        <f>IF(AND($F639&gt;0,NOT(N639),Flexing),FlexPC,0)</f>
        <v>0</v>
      </c>
      <c r="X639">
        <f>IF(AND($F639&gt;0,NOT(O639),Flexing),FlexPC,0)</f>
        <v>0</v>
      </c>
      <c r="Y639">
        <f>IF(AND($F639&gt;0,NOT(P639),Flexing),FlexPC,0)</f>
        <v>0</v>
      </c>
      <c r="AA639" s="209">
        <f t="shared" si="3"/>
        <v>638</v>
      </c>
    </row>
    <row r="640" ht="15.75" customHeight="1">
      <c r="A640" s="206" t="str">
        <f>+Declarations!A640&amp;""</f>
        <v/>
      </c>
      <c r="B640" t="str">
        <f>IF(LEN($A640),IF(LEN(Declarations!$B640)&gt;0,Declarations!$B640,"#"&amp;$A640),"")</f>
        <v/>
      </c>
      <c r="C640" s="209" t="str">
        <f t="array" ref="C640">IF(LEN(INDEX(DECLARATIONS,$AA640,3))&gt;0,INDEX(DECLARATIONS,$AA640,3),"...")</f>
        <v>...</v>
      </c>
      <c r="D640" s="209" t="str">
        <f t="shared" si="1"/>
        <v/>
      </c>
      <c r="E640" s="296" t="str">
        <f t="array" ref="E640">IF(ISNA($AA640),0,INDEX(DECLARATIONS,$AA640,5))</f>
        <v/>
      </c>
      <c r="F640" s="209" t="str">
        <f t="array" ref="F640">IF(ISNA($AA640),0,INDEX(DECLARATIONS,$AA640,7))</f>
        <v/>
      </c>
      <c r="G640" s="209" t="str">
        <f t="array" ref="G640">UPPER(IF(ISNA($AA640),"",INDEX(DECLARATIONS,$AA640,4)))</f>
        <v/>
      </c>
      <c r="H640" t="str">
        <f>IF(AND(A640&gt;0,ISTEXT(B640)),IF(SECNAME="YES",LEFT(B640&amp;" ",FIND(" ",B640&amp;" ")+2)&amp;IF(F640&gt;0," ("&amp;F640&amp;")",""),B640&amp;IF(F640&gt;0," ("&amp;F640&amp;")","")),"#"&amp;$A640)</f>
        <v/>
      </c>
      <c r="I640" s="209">
        <f>IF(LEN($A640)&gt;0,IF(LEN($J640)&gt;0,MATCH(J640,MatchNames,0),EventIndex),0)</f>
        <v>0</v>
      </c>
      <c r="J640" s="209" t="str">
        <f>IF(LEN($A640)&gt;0,IF(LEN(Declarations!$F640)&gt;0,Declarations!$F640,conftype),"")</f>
        <v/>
      </c>
      <c r="M640" s="297">
        <f>IF(ISNA(VLOOKUP($A640,SprintData,2,FALSE)),0,VLOOKUP($A640,SprintData,2,FALSE))</f>
        <v>0</v>
      </c>
      <c r="N640" s="297">
        <f>IF(ISNA(VLOOKUP($A640,JumpData,2,FALSE)),0,VLOOKUP($A640,JumpData,2,FALSE))</f>
        <v>0</v>
      </c>
      <c r="O640" s="297">
        <f>IF(ISNA(VLOOKUP($A640,RunData,2,FALSE)),0,VLOOKUP($A640,RunData,2,FALSE))</f>
        <v>0</v>
      </c>
      <c r="P640" s="297">
        <f>IF(ISNA(VLOOKUP($A640,ThrowData,2,FALSE)),0,VLOOKUP($A640,ThrowData,2,FALSE))</f>
        <v>0</v>
      </c>
      <c r="Q640" s="298">
        <f>IF(ISNA(VLOOKUP($A640,SprintData,4,FALSE)),0,VLOOKUP($A640,SprintData,4,FALSE))+V640</f>
        <v>0</v>
      </c>
      <c r="R640" s="298">
        <f>IF(ISNA(VLOOKUP($A640,JumpData,4,FALSE)),0,VLOOKUP($A640,JumpData,4,FALSE))+W640</f>
        <v>0</v>
      </c>
      <c r="S640" s="298">
        <f>IF(ISNA(VLOOKUP($A640,RunData,4,FALSE)),0,VLOOKUP($A640,RunData,4,FALSE))+X640</f>
        <v>0</v>
      </c>
      <c r="T640" s="298">
        <f>IF(ISNA(VLOOKUP($A640,ThrowData,4,FALSE)),0,VLOOKUP($A640,ThrowData,4,FALSE))+Y640</f>
        <v>0</v>
      </c>
      <c r="U640" s="299">
        <f t="shared" si="2"/>
        <v>0</v>
      </c>
      <c r="V640">
        <f>IF(AND($F640&gt;0,NOT(M640),Flexing),FlexPC,0)</f>
        <v>0</v>
      </c>
      <c r="W640">
        <f>IF(AND($F640&gt;0,NOT(N640),Flexing),FlexPC,0)</f>
        <v>0</v>
      </c>
      <c r="X640">
        <f>IF(AND($F640&gt;0,NOT(O640),Flexing),FlexPC,0)</f>
        <v>0</v>
      </c>
      <c r="Y640">
        <f>IF(AND($F640&gt;0,NOT(P640),Flexing),FlexPC,0)</f>
        <v>0</v>
      </c>
      <c r="AA640" s="209">
        <f t="shared" si="3"/>
        <v>639</v>
      </c>
    </row>
    <row r="641" ht="15.75" customHeight="1">
      <c r="A641" s="206" t="str">
        <f>+Declarations!A641&amp;""</f>
        <v/>
      </c>
      <c r="B641" t="str">
        <f>IF(LEN($A641),IF(LEN(Declarations!$B641)&gt;0,Declarations!$B641,"#"&amp;$A641),"")</f>
        <v/>
      </c>
      <c r="C641" s="209" t="str">
        <f t="array" ref="C641">IF(LEN(INDEX(DECLARATIONS,$AA641,3))&gt;0,INDEX(DECLARATIONS,$AA641,3),"...")</f>
        <v>...</v>
      </c>
      <c r="D641" s="209" t="str">
        <f t="shared" si="1"/>
        <v/>
      </c>
      <c r="E641" s="296" t="str">
        <f t="array" ref="E641">IF(ISNA($AA641),0,INDEX(DECLARATIONS,$AA641,5))</f>
        <v/>
      </c>
      <c r="F641" s="209" t="str">
        <f t="array" ref="F641">IF(ISNA($AA641),0,INDEX(DECLARATIONS,$AA641,7))</f>
        <v/>
      </c>
      <c r="G641" s="209" t="str">
        <f t="array" ref="G641">UPPER(IF(ISNA($AA641),"",INDEX(DECLARATIONS,$AA641,4)))</f>
        <v/>
      </c>
      <c r="H641" t="str">
        <f>IF(AND(A641&gt;0,ISTEXT(B641)),IF(SECNAME="YES",LEFT(B641&amp;" ",FIND(" ",B641&amp;" ")+2)&amp;IF(F641&gt;0," ("&amp;F641&amp;")",""),B641&amp;IF(F641&gt;0," ("&amp;F641&amp;")","")),"#"&amp;$A641)</f>
        <v/>
      </c>
      <c r="I641" s="209">
        <f>IF(LEN($A641)&gt;0,IF(LEN($J641)&gt;0,MATCH(J641,MatchNames,0),EventIndex),0)</f>
        <v>0</v>
      </c>
      <c r="J641" s="209" t="str">
        <f>IF(LEN($A641)&gt;0,IF(LEN(Declarations!$F641)&gt;0,Declarations!$F641,conftype),"")</f>
        <v/>
      </c>
      <c r="M641" s="297">
        <f>IF(ISNA(VLOOKUP($A641,SprintData,2,FALSE)),0,VLOOKUP($A641,SprintData,2,FALSE))</f>
        <v>0</v>
      </c>
      <c r="N641" s="297">
        <f>IF(ISNA(VLOOKUP($A641,JumpData,2,FALSE)),0,VLOOKUP($A641,JumpData,2,FALSE))</f>
        <v>0</v>
      </c>
      <c r="O641" s="297">
        <f>IF(ISNA(VLOOKUP($A641,RunData,2,FALSE)),0,VLOOKUP($A641,RunData,2,FALSE))</f>
        <v>0</v>
      </c>
      <c r="P641" s="297">
        <f>IF(ISNA(VLOOKUP($A641,ThrowData,2,FALSE)),0,VLOOKUP($A641,ThrowData,2,FALSE))</f>
        <v>0</v>
      </c>
      <c r="Q641" s="298">
        <f>IF(ISNA(VLOOKUP($A641,SprintData,4,FALSE)),0,VLOOKUP($A641,SprintData,4,FALSE))+V641</f>
        <v>0</v>
      </c>
      <c r="R641" s="298">
        <f>IF(ISNA(VLOOKUP($A641,JumpData,4,FALSE)),0,VLOOKUP($A641,JumpData,4,FALSE))+W641</f>
        <v>0</v>
      </c>
      <c r="S641" s="298">
        <f>IF(ISNA(VLOOKUP($A641,RunData,4,FALSE)),0,VLOOKUP($A641,RunData,4,FALSE))+X641</f>
        <v>0</v>
      </c>
      <c r="T641" s="298">
        <f>IF(ISNA(VLOOKUP($A641,ThrowData,4,FALSE)),0,VLOOKUP($A641,ThrowData,4,FALSE))+Y641</f>
        <v>0</v>
      </c>
      <c r="U641" s="299">
        <f t="shared" si="2"/>
        <v>0</v>
      </c>
      <c r="V641">
        <f>IF(AND($F641&gt;0,NOT(M641),Flexing),FlexPC,0)</f>
        <v>0</v>
      </c>
      <c r="W641">
        <f>IF(AND($F641&gt;0,NOT(N641),Flexing),FlexPC,0)</f>
        <v>0</v>
      </c>
      <c r="X641">
        <f>IF(AND($F641&gt;0,NOT(O641),Flexing),FlexPC,0)</f>
        <v>0</v>
      </c>
      <c r="Y641">
        <f>IF(AND($F641&gt;0,NOT(P641),Flexing),FlexPC,0)</f>
        <v>0</v>
      </c>
      <c r="AA641" s="209">
        <f t="shared" si="3"/>
        <v>640</v>
      </c>
    </row>
    <row r="642" ht="15.75" customHeight="1">
      <c r="A642" s="206" t="str">
        <f>+Declarations!A642&amp;""</f>
        <v/>
      </c>
      <c r="B642" t="str">
        <f>IF(LEN($A642),IF(LEN(Declarations!$B642)&gt;0,Declarations!$B642,"#"&amp;$A642),"")</f>
        <v/>
      </c>
      <c r="C642" s="209" t="str">
        <f t="array" ref="C642">IF(LEN(INDEX(DECLARATIONS,$AA642,3))&gt;0,INDEX(DECLARATIONS,$AA642,3),"...")</f>
        <v>...</v>
      </c>
      <c r="D642" s="209" t="str">
        <f t="shared" si="1"/>
        <v/>
      </c>
      <c r="E642" s="296" t="str">
        <f t="array" ref="E642">IF(ISNA($AA642),0,INDEX(DECLARATIONS,$AA642,5))</f>
        <v/>
      </c>
      <c r="F642" s="209" t="str">
        <f t="array" ref="F642">IF(ISNA($AA642),0,INDEX(DECLARATIONS,$AA642,7))</f>
        <v/>
      </c>
      <c r="G642" s="209" t="str">
        <f t="array" ref="G642">UPPER(IF(ISNA($AA642),"",INDEX(DECLARATIONS,$AA642,4)))</f>
        <v/>
      </c>
      <c r="H642" t="str">
        <f>IF(AND(A642&gt;0,ISTEXT(B642)),IF(SECNAME="YES",LEFT(B642&amp;" ",FIND(" ",B642&amp;" ")+2)&amp;IF(F642&gt;0," ("&amp;F642&amp;")",""),B642&amp;IF(F642&gt;0," ("&amp;F642&amp;")","")),"#"&amp;$A642)</f>
        <v/>
      </c>
      <c r="I642" s="209">
        <f>IF(LEN($A642)&gt;0,IF(LEN($J642)&gt;0,MATCH(J642,MatchNames,0),EventIndex),0)</f>
        <v>0</v>
      </c>
      <c r="J642" s="209" t="str">
        <f>IF(LEN($A642)&gt;0,IF(LEN(Declarations!$F642)&gt;0,Declarations!$F642,conftype),"")</f>
        <v/>
      </c>
      <c r="M642" s="297">
        <f>IF(ISNA(VLOOKUP($A642,SprintData,2,FALSE)),0,VLOOKUP($A642,SprintData,2,FALSE))</f>
        <v>0</v>
      </c>
      <c r="N642" s="297">
        <f>IF(ISNA(VLOOKUP($A642,JumpData,2,FALSE)),0,VLOOKUP($A642,JumpData,2,FALSE))</f>
        <v>0</v>
      </c>
      <c r="O642" s="297">
        <f>IF(ISNA(VLOOKUP($A642,RunData,2,FALSE)),0,VLOOKUP($A642,RunData,2,FALSE))</f>
        <v>0</v>
      </c>
      <c r="P642" s="297">
        <f>IF(ISNA(VLOOKUP($A642,ThrowData,2,FALSE)),0,VLOOKUP($A642,ThrowData,2,FALSE))</f>
        <v>0</v>
      </c>
      <c r="Q642" s="298">
        <f>IF(ISNA(VLOOKUP($A642,SprintData,4,FALSE)),0,VLOOKUP($A642,SprintData,4,FALSE))+V642</f>
        <v>0</v>
      </c>
      <c r="R642" s="298">
        <f>IF(ISNA(VLOOKUP($A642,JumpData,4,FALSE)),0,VLOOKUP($A642,JumpData,4,FALSE))+W642</f>
        <v>0</v>
      </c>
      <c r="S642" s="298">
        <f>IF(ISNA(VLOOKUP($A642,RunData,4,FALSE)),0,VLOOKUP($A642,RunData,4,FALSE))+X642</f>
        <v>0</v>
      </c>
      <c r="T642" s="298">
        <f>IF(ISNA(VLOOKUP($A642,ThrowData,4,FALSE)),0,VLOOKUP($A642,ThrowData,4,FALSE))+Y642</f>
        <v>0</v>
      </c>
      <c r="U642" s="299">
        <f t="shared" si="2"/>
        <v>0</v>
      </c>
      <c r="V642">
        <f>IF(AND($F642&gt;0,NOT(M642),Flexing),FlexPC,0)</f>
        <v>0</v>
      </c>
      <c r="W642">
        <f>IF(AND($F642&gt;0,NOT(N642),Flexing),FlexPC,0)</f>
        <v>0</v>
      </c>
      <c r="X642">
        <f>IF(AND($F642&gt;0,NOT(O642),Flexing),FlexPC,0)</f>
        <v>0</v>
      </c>
      <c r="Y642">
        <f>IF(AND($F642&gt;0,NOT(P642),Flexing),FlexPC,0)</f>
        <v>0</v>
      </c>
      <c r="AA642" s="209">
        <f t="shared" si="3"/>
        <v>641</v>
      </c>
    </row>
    <row r="643" ht="15.75" customHeight="1">
      <c r="A643" s="206" t="str">
        <f>+Declarations!A643&amp;""</f>
        <v/>
      </c>
      <c r="B643" t="str">
        <f>IF(LEN($A643),IF(LEN(Declarations!$B643)&gt;0,Declarations!$B643,"#"&amp;$A643),"")</f>
        <v/>
      </c>
      <c r="C643" s="209" t="str">
        <f t="array" ref="C643">IF(LEN(INDEX(DECLARATIONS,$AA643,3))&gt;0,INDEX(DECLARATIONS,$AA643,3),"...")</f>
        <v>...</v>
      </c>
      <c r="D643" s="209" t="str">
        <f t="shared" si="1"/>
        <v/>
      </c>
      <c r="E643" s="296" t="str">
        <f t="array" ref="E643">IF(ISNA($AA643),0,INDEX(DECLARATIONS,$AA643,5))</f>
        <v/>
      </c>
      <c r="F643" s="209" t="str">
        <f t="array" ref="F643">IF(ISNA($AA643),0,INDEX(DECLARATIONS,$AA643,7))</f>
        <v/>
      </c>
      <c r="G643" s="209" t="str">
        <f t="array" ref="G643">UPPER(IF(ISNA($AA643),"",INDEX(DECLARATIONS,$AA643,4)))</f>
        <v/>
      </c>
      <c r="H643" t="str">
        <f>IF(AND(A643&gt;0,ISTEXT(B643)),IF(SECNAME="YES",LEFT(B643&amp;" ",FIND(" ",B643&amp;" ")+2)&amp;IF(F643&gt;0," ("&amp;F643&amp;")",""),B643&amp;IF(F643&gt;0," ("&amp;F643&amp;")","")),"#"&amp;$A643)</f>
        <v/>
      </c>
      <c r="I643" s="209">
        <f>IF(LEN($A643)&gt;0,IF(LEN($J643)&gt;0,MATCH(J643,MatchNames,0),EventIndex),0)</f>
        <v>0</v>
      </c>
      <c r="J643" s="209" t="str">
        <f>IF(LEN($A643)&gt;0,IF(LEN(Declarations!$F643)&gt;0,Declarations!$F643,conftype),"")</f>
        <v/>
      </c>
      <c r="M643" s="297">
        <f>IF(ISNA(VLOOKUP($A643,SprintData,2,FALSE)),0,VLOOKUP($A643,SprintData,2,FALSE))</f>
        <v>0</v>
      </c>
      <c r="N643" s="297">
        <f>IF(ISNA(VLOOKUP($A643,JumpData,2,FALSE)),0,VLOOKUP($A643,JumpData,2,FALSE))</f>
        <v>0</v>
      </c>
      <c r="O643" s="297">
        <f>IF(ISNA(VLOOKUP($A643,RunData,2,FALSE)),0,VLOOKUP($A643,RunData,2,FALSE))</f>
        <v>0</v>
      </c>
      <c r="P643" s="297">
        <f>IF(ISNA(VLOOKUP($A643,ThrowData,2,FALSE)),0,VLOOKUP($A643,ThrowData,2,FALSE))</f>
        <v>0</v>
      </c>
      <c r="Q643" s="298">
        <f>IF(ISNA(VLOOKUP($A643,SprintData,4,FALSE)),0,VLOOKUP($A643,SprintData,4,FALSE))+V643</f>
        <v>0</v>
      </c>
      <c r="R643" s="298">
        <f>IF(ISNA(VLOOKUP($A643,JumpData,4,FALSE)),0,VLOOKUP($A643,JumpData,4,FALSE))+W643</f>
        <v>0</v>
      </c>
      <c r="S643" s="298">
        <f>IF(ISNA(VLOOKUP($A643,RunData,4,FALSE)),0,VLOOKUP($A643,RunData,4,FALSE))+X643</f>
        <v>0</v>
      </c>
      <c r="T643" s="298">
        <f>IF(ISNA(VLOOKUP($A643,ThrowData,4,FALSE)),0,VLOOKUP($A643,ThrowData,4,FALSE))+Y643</f>
        <v>0</v>
      </c>
      <c r="U643" s="299">
        <f t="shared" si="2"/>
        <v>0</v>
      </c>
      <c r="V643">
        <f>IF(AND($F643&gt;0,NOT(M643),Flexing),FlexPC,0)</f>
        <v>0</v>
      </c>
      <c r="W643">
        <f>IF(AND($F643&gt;0,NOT(N643),Flexing),FlexPC,0)</f>
        <v>0</v>
      </c>
      <c r="X643">
        <f>IF(AND($F643&gt;0,NOT(O643),Flexing),FlexPC,0)</f>
        <v>0</v>
      </c>
      <c r="Y643">
        <f>IF(AND($F643&gt;0,NOT(P643),Flexing),FlexPC,0)</f>
        <v>0</v>
      </c>
      <c r="AA643" s="209">
        <f t="shared" si="3"/>
        <v>642</v>
      </c>
    </row>
    <row r="644" ht="15.75" customHeight="1">
      <c r="A644" s="206" t="str">
        <f>+Declarations!A644&amp;""</f>
        <v/>
      </c>
      <c r="B644" t="str">
        <f>IF(LEN($A644),IF(LEN(Declarations!$B644)&gt;0,Declarations!$B644,"#"&amp;$A644),"")</f>
        <v/>
      </c>
      <c r="C644" s="209" t="str">
        <f t="array" ref="C644">IF(LEN(INDEX(DECLARATIONS,$AA644,3))&gt;0,INDEX(DECLARATIONS,$AA644,3),"...")</f>
        <v>...</v>
      </c>
      <c r="D644" s="209" t="str">
        <f t="shared" si="1"/>
        <v/>
      </c>
      <c r="E644" s="296" t="str">
        <f t="array" ref="E644">IF(ISNA($AA644),0,INDEX(DECLARATIONS,$AA644,5))</f>
        <v/>
      </c>
      <c r="F644" s="209" t="str">
        <f t="array" ref="F644">IF(ISNA($AA644),0,INDEX(DECLARATIONS,$AA644,7))</f>
        <v/>
      </c>
      <c r="G644" s="209" t="str">
        <f t="array" ref="G644">UPPER(IF(ISNA($AA644),"",INDEX(DECLARATIONS,$AA644,4)))</f>
        <v/>
      </c>
      <c r="H644" t="str">
        <f>IF(AND(A644&gt;0,ISTEXT(B644)),IF(SECNAME="YES",LEFT(B644&amp;" ",FIND(" ",B644&amp;" ")+2)&amp;IF(F644&gt;0," ("&amp;F644&amp;")",""),B644&amp;IF(F644&gt;0," ("&amp;F644&amp;")","")),"#"&amp;$A644)</f>
        <v/>
      </c>
      <c r="I644" s="209">
        <f>IF(LEN($A644)&gt;0,IF(LEN($J644)&gt;0,MATCH(J644,MatchNames,0),EventIndex),0)</f>
        <v>0</v>
      </c>
      <c r="J644" s="209" t="str">
        <f>IF(LEN($A644)&gt;0,IF(LEN(Declarations!$F644)&gt;0,Declarations!$F644,conftype),"")</f>
        <v/>
      </c>
      <c r="M644" s="297">
        <f>IF(ISNA(VLOOKUP($A644,SprintData,2,FALSE)),0,VLOOKUP($A644,SprintData,2,FALSE))</f>
        <v>0</v>
      </c>
      <c r="N644" s="297">
        <f>IF(ISNA(VLOOKUP($A644,JumpData,2,FALSE)),0,VLOOKUP($A644,JumpData,2,FALSE))</f>
        <v>0</v>
      </c>
      <c r="O644" s="297">
        <f>IF(ISNA(VLOOKUP($A644,RunData,2,FALSE)),0,VLOOKUP($A644,RunData,2,FALSE))</f>
        <v>0</v>
      </c>
      <c r="P644" s="297">
        <f>IF(ISNA(VLOOKUP($A644,ThrowData,2,FALSE)),0,VLOOKUP($A644,ThrowData,2,FALSE))</f>
        <v>0</v>
      </c>
      <c r="Q644" s="298">
        <f>IF(ISNA(VLOOKUP($A644,SprintData,4,FALSE)),0,VLOOKUP($A644,SprintData,4,FALSE))+V644</f>
        <v>0</v>
      </c>
      <c r="R644" s="298">
        <f>IF(ISNA(VLOOKUP($A644,JumpData,4,FALSE)),0,VLOOKUP($A644,JumpData,4,FALSE))+W644</f>
        <v>0</v>
      </c>
      <c r="S644" s="298">
        <f>IF(ISNA(VLOOKUP($A644,RunData,4,FALSE)),0,VLOOKUP($A644,RunData,4,FALSE))+X644</f>
        <v>0</v>
      </c>
      <c r="T644" s="298">
        <f>IF(ISNA(VLOOKUP($A644,ThrowData,4,FALSE)),0,VLOOKUP($A644,ThrowData,4,FALSE))+Y644</f>
        <v>0</v>
      </c>
      <c r="U644" s="299">
        <f t="shared" si="2"/>
        <v>0</v>
      </c>
      <c r="V644">
        <f>IF(AND($F644&gt;0,NOT(M644),Flexing),FlexPC,0)</f>
        <v>0</v>
      </c>
      <c r="W644">
        <f>IF(AND($F644&gt;0,NOT(N644),Flexing),FlexPC,0)</f>
        <v>0</v>
      </c>
      <c r="X644">
        <f>IF(AND($F644&gt;0,NOT(O644),Flexing),FlexPC,0)</f>
        <v>0</v>
      </c>
      <c r="Y644">
        <f>IF(AND($F644&gt;0,NOT(P644),Flexing),FlexPC,0)</f>
        <v>0</v>
      </c>
      <c r="AA644" s="209">
        <f t="shared" si="3"/>
        <v>643</v>
      </c>
    </row>
    <row r="645" ht="15.75" customHeight="1">
      <c r="A645" s="206" t="str">
        <f>+Declarations!A645&amp;""</f>
        <v/>
      </c>
      <c r="B645" t="str">
        <f>IF(LEN($A645),IF(LEN(Declarations!$B645)&gt;0,Declarations!$B645,"#"&amp;$A645),"")</f>
        <v/>
      </c>
      <c r="C645" s="209" t="str">
        <f t="array" ref="C645">IF(LEN(INDEX(DECLARATIONS,$AA645,3))&gt;0,INDEX(DECLARATIONS,$AA645,3),"...")</f>
        <v>...</v>
      </c>
      <c r="D645" s="209" t="str">
        <f t="shared" si="1"/>
        <v/>
      </c>
      <c r="E645" s="296" t="str">
        <f t="array" ref="E645">IF(ISNA($AA645),0,INDEX(DECLARATIONS,$AA645,5))</f>
        <v/>
      </c>
      <c r="F645" s="209" t="str">
        <f t="array" ref="F645">IF(ISNA($AA645),0,INDEX(DECLARATIONS,$AA645,7))</f>
        <v/>
      </c>
      <c r="G645" s="209" t="str">
        <f t="array" ref="G645">UPPER(IF(ISNA($AA645),"",INDEX(DECLARATIONS,$AA645,4)))</f>
        <v/>
      </c>
      <c r="H645" t="str">
        <f>IF(AND(A645&gt;0,ISTEXT(B645)),IF(SECNAME="YES",LEFT(B645&amp;" ",FIND(" ",B645&amp;" ")+2)&amp;IF(F645&gt;0," ("&amp;F645&amp;")",""),B645&amp;IF(F645&gt;0," ("&amp;F645&amp;")","")),"#"&amp;$A645)</f>
        <v/>
      </c>
      <c r="I645" s="209">
        <f>IF(LEN($A645)&gt;0,IF(LEN($J645)&gt;0,MATCH(J645,MatchNames,0),EventIndex),0)</f>
        <v>0</v>
      </c>
      <c r="J645" s="209" t="str">
        <f>IF(LEN($A645)&gt;0,IF(LEN(Declarations!$F645)&gt;0,Declarations!$F645,conftype),"")</f>
        <v/>
      </c>
      <c r="M645" s="297">
        <f>IF(ISNA(VLOOKUP($A645,SprintData,2,FALSE)),0,VLOOKUP($A645,SprintData,2,FALSE))</f>
        <v>0</v>
      </c>
      <c r="N645" s="297">
        <f>IF(ISNA(VLOOKUP($A645,JumpData,2,FALSE)),0,VLOOKUP($A645,JumpData,2,FALSE))</f>
        <v>0</v>
      </c>
      <c r="O645" s="297">
        <f>IF(ISNA(VLOOKUP($A645,RunData,2,FALSE)),0,VLOOKUP($A645,RunData,2,FALSE))</f>
        <v>0</v>
      </c>
      <c r="P645" s="297">
        <f>IF(ISNA(VLOOKUP($A645,ThrowData,2,FALSE)),0,VLOOKUP($A645,ThrowData,2,FALSE))</f>
        <v>0</v>
      </c>
      <c r="Q645" s="298">
        <f>IF(ISNA(VLOOKUP($A645,SprintData,4,FALSE)),0,VLOOKUP($A645,SprintData,4,FALSE))+V645</f>
        <v>0</v>
      </c>
      <c r="R645" s="298">
        <f>IF(ISNA(VLOOKUP($A645,JumpData,4,FALSE)),0,VLOOKUP($A645,JumpData,4,FALSE))+W645</f>
        <v>0</v>
      </c>
      <c r="S645" s="298">
        <f>IF(ISNA(VLOOKUP($A645,RunData,4,FALSE)),0,VLOOKUP($A645,RunData,4,FALSE))+X645</f>
        <v>0</v>
      </c>
      <c r="T645" s="298">
        <f>IF(ISNA(VLOOKUP($A645,ThrowData,4,FALSE)),0,VLOOKUP($A645,ThrowData,4,FALSE))+Y645</f>
        <v>0</v>
      </c>
      <c r="U645" s="299">
        <f t="shared" si="2"/>
        <v>0</v>
      </c>
      <c r="V645">
        <f>IF(AND($F645&gt;0,NOT(M645),Flexing),FlexPC,0)</f>
        <v>0</v>
      </c>
      <c r="W645">
        <f>IF(AND($F645&gt;0,NOT(N645),Flexing),FlexPC,0)</f>
        <v>0</v>
      </c>
      <c r="X645">
        <f>IF(AND($F645&gt;0,NOT(O645),Flexing),FlexPC,0)</f>
        <v>0</v>
      </c>
      <c r="Y645">
        <f>IF(AND($F645&gt;0,NOT(P645),Flexing),FlexPC,0)</f>
        <v>0</v>
      </c>
      <c r="AA645" s="209">
        <f t="shared" si="3"/>
        <v>644</v>
      </c>
    </row>
    <row r="646" ht="15.75" customHeight="1">
      <c r="A646" s="206" t="str">
        <f>+Declarations!A646&amp;""</f>
        <v/>
      </c>
      <c r="B646" t="str">
        <f>IF(LEN($A646),IF(LEN(Declarations!$B646)&gt;0,Declarations!$B646,"#"&amp;$A646),"")</f>
        <v/>
      </c>
      <c r="C646" s="209" t="str">
        <f t="array" ref="C646">IF(LEN(INDEX(DECLARATIONS,$AA646,3))&gt;0,INDEX(DECLARATIONS,$AA646,3),"...")</f>
        <v>...</v>
      </c>
      <c r="D646" s="209" t="str">
        <f t="shared" si="1"/>
        <v/>
      </c>
      <c r="E646" s="296" t="str">
        <f t="array" ref="E646">IF(ISNA($AA646),0,INDEX(DECLARATIONS,$AA646,5))</f>
        <v/>
      </c>
      <c r="F646" s="209" t="str">
        <f t="array" ref="F646">IF(ISNA($AA646),0,INDEX(DECLARATIONS,$AA646,7))</f>
        <v/>
      </c>
      <c r="G646" s="209" t="str">
        <f t="array" ref="G646">UPPER(IF(ISNA($AA646),"",INDEX(DECLARATIONS,$AA646,4)))</f>
        <v/>
      </c>
      <c r="H646" t="str">
        <f>IF(AND(A646&gt;0,ISTEXT(B646)),IF(SECNAME="YES",LEFT(B646&amp;" ",FIND(" ",B646&amp;" ")+2)&amp;IF(F646&gt;0," ("&amp;F646&amp;")",""),B646&amp;IF(F646&gt;0," ("&amp;F646&amp;")","")),"#"&amp;$A646)</f>
        <v/>
      </c>
      <c r="I646" s="209">
        <f>IF(LEN($A646)&gt;0,IF(LEN($J646)&gt;0,MATCH(J646,MatchNames,0),EventIndex),0)</f>
        <v>0</v>
      </c>
      <c r="J646" s="209" t="str">
        <f>IF(LEN($A646)&gt;0,IF(LEN(Declarations!$F646)&gt;0,Declarations!$F646,conftype),"")</f>
        <v/>
      </c>
      <c r="M646" s="297">
        <f>IF(ISNA(VLOOKUP($A646,SprintData,2,FALSE)),0,VLOOKUP($A646,SprintData,2,FALSE))</f>
        <v>0</v>
      </c>
      <c r="N646" s="297">
        <f>IF(ISNA(VLOOKUP($A646,JumpData,2,FALSE)),0,VLOOKUP($A646,JumpData,2,FALSE))</f>
        <v>0</v>
      </c>
      <c r="O646" s="297">
        <f>IF(ISNA(VLOOKUP($A646,RunData,2,FALSE)),0,VLOOKUP($A646,RunData,2,FALSE))</f>
        <v>0</v>
      </c>
      <c r="P646" s="297">
        <f>IF(ISNA(VLOOKUP($A646,ThrowData,2,FALSE)),0,VLOOKUP($A646,ThrowData,2,FALSE))</f>
        <v>0</v>
      </c>
      <c r="Q646" s="298">
        <f>IF(ISNA(VLOOKUP($A646,SprintData,4,FALSE)),0,VLOOKUP($A646,SprintData,4,FALSE))+V646</f>
        <v>0</v>
      </c>
      <c r="R646" s="298">
        <f>IF(ISNA(VLOOKUP($A646,JumpData,4,FALSE)),0,VLOOKUP($A646,JumpData,4,FALSE))+W646</f>
        <v>0</v>
      </c>
      <c r="S646" s="298">
        <f>IF(ISNA(VLOOKUP($A646,RunData,4,FALSE)),0,VLOOKUP($A646,RunData,4,FALSE))+X646</f>
        <v>0</v>
      </c>
      <c r="T646" s="298">
        <f>IF(ISNA(VLOOKUP($A646,ThrowData,4,FALSE)),0,VLOOKUP($A646,ThrowData,4,FALSE))+Y646</f>
        <v>0</v>
      </c>
      <c r="U646" s="299">
        <f t="shared" si="2"/>
        <v>0</v>
      </c>
      <c r="V646">
        <f>IF(AND($F646&gt;0,NOT(M646),Flexing),FlexPC,0)</f>
        <v>0</v>
      </c>
      <c r="W646">
        <f>IF(AND($F646&gt;0,NOT(N646),Flexing),FlexPC,0)</f>
        <v>0</v>
      </c>
      <c r="X646">
        <f>IF(AND($F646&gt;0,NOT(O646),Flexing),FlexPC,0)</f>
        <v>0</v>
      </c>
      <c r="Y646">
        <f>IF(AND($F646&gt;0,NOT(P646),Flexing),FlexPC,0)</f>
        <v>0</v>
      </c>
      <c r="AA646" s="209">
        <f t="shared" si="3"/>
        <v>645</v>
      </c>
    </row>
    <row r="647" ht="15.75" customHeight="1">
      <c r="A647" s="206" t="str">
        <f>+Declarations!A647&amp;""</f>
        <v/>
      </c>
      <c r="B647" t="str">
        <f>IF(LEN($A647),IF(LEN(Declarations!$B647)&gt;0,Declarations!$B647,"#"&amp;$A647),"")</f>
        <v/>
      </c>
      <c r="C647" s="209" t="str">
        <f t="array" ref="C647">IF(LEN(INDEX(DECLARATIONS,$AA647,3))&gt;0,INDEX(DECLARATIONS,$AA647,3),"...")</f>
        <v>...</v>
      </c>
      <c r="D647" s="209" t="str">
        <f t="shared" si="1"/>
        <v/>
      </c>
      <c r="E647" s="296" t="str">
        <f t="array" ref="E647">IF(ISNA($AA647),0,INDEX(DECLARATIONS,$AA647,5))</f>
        <v/>
      </c>
      <c r="F647" s="209" t="str">
        <f t="array" ref="F647">IF(ISNA($AA647),0,INDEX(DECLARATIONS,$AA647,7))</f>
        <v/>
      </c>
      <c r="G647" s="209" t="str">
        <f t="array" ref="G647">UPPER(IF(ISNA($AA647),"",INDEX(DECLARATIONS,$AA647,4)))</f>
        <v/>
      </c>
      <c r="H647" t="str">
        <f>IF(AND(A647&gt;0,ISTEXT(B647)),IF(SECNAME="YES",LEFT(B647&amp;" ",FIND(" ",B647&amp;" ")+2)&amp;IF(F647&gt;0," ("&amp;F647&amp;")",""),B647&amp;IF(F647&gt;0," ("&amp;F647&amp;")","")),"#"&amp;$A647)</f>
        <v/>
      </c>
      <c r="I647" s="209">
        <f>IF(LEN($A647)&gt;0,IF(LEN($J647)&gt;0,MATCH(J647,MatchNames,0),EventIndex),0)</f>
        <v>0</v>
      </c>
      <c r="J647" s="209" t="str">
        <f>IF(LEN($A647)&gt;0,IF(LEN(Declarations!$F647)&gt;0,Declarations!$F647,conftype),"")</f>
        <v/>
      </c>
      <c r="M647" s="297">
        <f>IF(ISNA(VLOOKUP($A647,SprintData,2,FALSE)),0,VLOOKUP($A647,SprintData,2,FALSE))</f>
        <v>0</v>
      </c>
      <c r="N647" s="297">
        <f>IF(ISNA(VLOOKUP($A647,JumpData,2,FALSE)),0,VLOOKUP($A647,JumpData,2,FALSE))</f>
        <v>0</v>
      </c>
      <c r="O647" s="297">
        <f>IF(ISNA(VLOOKUP($A647,RunData,2,FALSE)),0,VLOOKUP($A647,RunData,2,FALSE))</f>
        <v>0</v>
      </c>
      <c r="P647" s="297">
        <f>IF(ISNA(VLOOKUP($A647,ThrowData,2,FALSE)),0,VLOOKUP($A647,ThrowData,2,FALSE))</f>
        <v>0</v>
      </c>
      <c r="Q647" s="298">
        <f>IF(ISNA(VLOOKUP($A647,SprintData,4,FALSE)),0,VLOOKUP($A647,SprintData,4,FALSE))+V647</f>
        <v>0</v>
      </c>
      <c r="R647" s="298">
        <f>IF(ISNA(VLOOKUP($A647,JumpData,4,FALSE)),0,VLOOKUP($A647,JumpData,4,FALSE))+W647</f>
        <v>0</v>
      </c>
      <c r="S647" s="298">
        <f>IF(ISNA(VLOOKUP($A647,RunData,4,FALSE)),0,VLOOKUP($A647,RunData,4,FALSE))+X647</f>
        <v>0</v>
      </c>
      <c r="T647" s="298">
        <f>IF(ISNA(VLOOKUP($A647,ThrowData,4,FALSE)),0,VLOOKUP($A647,ThrowData,4,FALSE))+Y647</f>
        <v>0</v>
      </c>
      <c r="U647" s="299">
        <f t="shared" si="2"/>
        <v>0</v>
      </c>
      <c r="V647">
        <f>IF(AND($F647&gt;0,NOT(M647),Flexing),FlexPC,0)</f>
        <v>0</v>
      </c>
      <c r="W647">
        <f>IF(AND($F647&gt;0,NOT(N647),Flexing),FlexPC,0)</f>
        <v>0</v>
      </c>
      <c r="X647">
        <f>IF(AND($F647&gt;0,NOT(O647),Flexing),FlexPC,0)</f>
        <v>0</v>
      </c>
      <c r="Y647">
        <f>IF(AND($F647&gt;0,NOT(P647),Flexing),FlexPC,0)</f>
        <v>0</v>
      </c>
      <c r="AA647" s="209">
        <f t="shared" si="3"/>
        <v>646</v>
      </c>
    </row>
    <row r="648" ht="15.75" customHeight="1">
      <c r="A648" s="206" t="str">
        <f>+Declarations!A648&amp;""</f>
        <v/>
      </c>
      <c r="B648" t="str">
        <f>IF(LEN($A648),IF(LEN(Declarations!$B648)&gt;0,Declarations!$B648,"#"&amp;$A648),"")</f>
        <v/>
      </c>
      <c r="C648" s="209" t="str">
        <f t="array" ref="C648">IF(LEN(INDEX(DECLARATIONS,$AA648,3))&gt;0,INDEX(DECLARATIONS,$AA648,3),"...")</f>
        <v>...</v>
      </c>
      <c r="D648" s="209" t="str">
        <f t="shared" si="1"/>
        <v/>
      </c>
      <c r="E648" s="296" t="str">
        <f t="array" ref="E648">IF(ISNA($AA648),0,INDEX(DECLARATIONS,$AA648,5))</f>
        <v/>
      </c>
      <c r="F648" s="209" t="str">
        <f t="array" ref="F648">IF(ISNA($AA648),0,INDEX(DECLARATIONS,$AA648,7))</f>
        <v/>
      </c>
      <c r="G648" s="209" t="str">
        <f t="array" ref="G648">UPPER(IF(ISNA($AA648),"",INDEX(DECLARATIONS,$AA648,4)))</f>
        <v/>
      </c>
      <c r="H648" t="str">
        <f>IF(AND(A648&gt;0,ISTEXT(B648)),IF(SECNAME="YES",LEFT(B648&amp;" ",FIND(" ",B648&amp;" ")+2)&amp;IF(F648&gt;0," ("&amp;F648&amp;")",""),B648&amp;IF(F648&gt;0," ("&amp;F648&amp;")","")),"#"&amp;$A648)</f>
        <v/>
      </c>
      <c r="I648" s="209">
        <f>IF(LEN($A648)&gt;0,IF(LEN($J648)&gt;0,MATCH(J648,MatchNames,0),EventIndex),0)</f>
        <v>0</v>
      </c>
      <c r="J648" s="209" t="str">
        <f>IF(LEN($A648)&gt;0,IF(LEN(Declarations!$F648)&gt;0,Declarations!$F648,conftype),"")</f>
        <v/>
      </c>
      <c r="M648" s="297">
        <f>IF(ISNA(VLOOKUP($A648,SprintData,2,FALSE)),0,VLOOKUP($A648,SprintData,2,FALSE))</f>
        <v>0</v>
      </c>
      <c r="N648" s="297">
        <f>IF(ISNA(VLOOKUP($A648,JumpData,2,FALSE)),0,VLOOKUP($A648,JumpData,2,FALSE))</f>
        <v>0</v>
      </c>
      <c r="O648" s="297">
        <f>IF(ISNA(VLOOKUP($A648,RunData,2,FALSE)),0,VLOOKUP($A648,RunData,2,FALSE))</f>
        <v>0</v>
      </c>
      <c r="P648" s="297">
        <f>IF(ISNA(VLOOKUP($A648,ThrowData,2,FALSE)),0,VLOOKUP($A648,ThrowData,2,FALSE))</f>
        <v>0</v>
      </c>
      <c r="Q648" s="298">
        <f>IF(ISNA(VLOOKUP($A648,SprintData,4,FALSE)),0,VLOOKUP($A648,SprintData,4,FALSE))+V648</f>
        <v>0</v>
      </c>
      <c r="R648" s="298">
        <f>IF(ISNA(VLOOKUP($A648,JumpData,4,FALSE)),0,VLOOKUP($A648,JumpData,4,FALSE))+W648</f>
        <v>0</v>
      </c>
      <c r="S648" s="298">
        <f>IF(ISNA(VLOOKUP($A648,RunData,4,FALSE)),0,VLOOKUP($A648,RunData,4,FALSE))+X648</f>
        <v>0</v>
      </c>
      <c r="T648" s="298">
        <f>IF(ISNA(VLOOKUP($A648,ThrowData,4,FALSE)),0,VLOOKUP($A648,ThrowData,4,FALSE))+Y648</f>
        <v>0</v>
      </c>
      <c r="U648" s="299">
        <f t="shared" si="2"/>
        <v>0</v>
      </c>
      <c r="V648">
        <f>IF(AND($F648&gt;0,NOT(M648),Flexing),FlexPC,0)</f>
        <v>0</v>
      </c>
      <c r="W648">
        <f>IF(AND($F648&gt;0,NOT(N648),Flexing),FlexPC,0)</f>
        <v>0</v>
      </c>
      <c r="X648">
        <f>IF(AND($F648&gt;0,NOT(O648),Flexing),FlexPC,0)</f>
        <v>0</v>
      </c>
      <c r="Y648">
        <f>IF(AND($F648&gt;0,NOT(P648),Flexing),FlexPC,0)</f>
        <v>0</v>
      </c>
      <c r="AA648" s="209">
        <f t="shared" si="3"/>
        <v>647</v>
      </c>
    </row>
    <row r="649" ht="15.75" customHeight="1">
      <c r="A649" s="206" t="str">
        <f>+Declarations!A649&amp;""</f>
        <v/>
      </c>
      <c r="B649" t="str">
        <f>IF(LEN($A649),IF(LEN(Declarations!$B649)&gt;0,Declarations!$B649,"#"&amp;$A649),"")</f>
        <v/>
      </c>
      <c r="C649" s="209" t="str">
        <f t="array" ref="C649">IF(LEN(INDEX(DECLARATIONS,$AA649,3))&gt;0,INDEX(DECLARATIONS,$AA649,3),"...")</f>
        <v>...</v>
      </c>
      <c r="D649" s="209" t="str">
        <f t="shared" si="1"/>
        <v/>
      </c>
      <c r="E649" s="296" t="str">
        <f t="array" ref="E649">IF(ISNA($AA649),0,INDEX(DECLARATIONS,$AA649,5))</f>
        <v/>
      </c>
      <c r="F649" s="209" t="str">
        <f t="array" ref="F649">IF(ISNA($AA649),0,INDEX(DECLARATIONS,$AA649,7))</f>
        <v/>
      </c>
      <c r="G649" s="209" t="str">
        <f t="array" ref="G649">UPPER(IF(ISNA($AA649),"",INDEX(DECLARATIONS,$AA649,4)))</f>
        <v/>
      </c>
      <c r="H649" t="str">
        <f>IF(AND(A649&gt;0,ISTEXT(B649)),IF(SECNAME="YES",LEFT(B649&amp;" ",FIND(" ",B649&amp;" ")+2)&amp;IF(F649&gt;0," ("&amp;F649&amp;")",""),B649&amp;IF(F649&gt;0," ("&amp;F649&amp;")","")),"#"&amp;$A649)</f>
        <v/>
      </c>
      <c r="I649" s="209">
        <f>IF(LEN($A649)&gt;0,IF(LEN($J649)&gt;0,MATCH(J649,MatchNames,0),EventIndex),0)</f>
        <v>0</v>
      </c>
      <c r="J649" s="209" t="str">
        <f>IF(LEN($A649)&gt;0,IF(LEN(Declarations!$F649)&gt;0,Declarations!$F649,conftype),"")</f>
        <v/>
      </c>
      <c r="M649" s="297">
        <f>IF(ISNA(VLOOKUP($A649,SprintData,2,FALSE)),0,VLOOKUP($A649,SprintData,2,FALSE))</f>
        <v>0</v>
      </c>
      <c r="N649" s="297">
        <f>IF(ISNA(VLOOKUP($A649,JumpData,2,FALSE)),0,VLOOKUP($A649,JumpData,2,FALSE))</f>
        <v>0</v>
      </c>
      <c r="O649" s="297">
        <f>IF(ISNA(VLOOKUP($A649,RunData,2,FALSE)),0,VLOOKUP($A649,RunData,2,FALSE))</f>
        <v>0</v>
      </c>
      <c r="P649" s="297">
        <f>IF(ISNA(VLOOKUP($A649,ThrowData,2,FALSE)),0,VLOOKUP($A649,ThrowData,2,FALSE))</f>
        <v>0</v>
      </c>
      <c r="Q649" s="298">
        <f>IF(ISNA(VLOOKUP($A649,SprintData,4,FALSE)),0,VLOOKUP($A649,SprintData,4,FALSE))+V649</f>
        <v>0</v>
      </c>
      <c r="R649" s="298">
        <f>IF(ISNA(VLOOKUP($A649,JumpData,4,FALSE)),0,VLOOKUP($A649,JumpData,4,FALSE))+W649</f>
        <v>0</v>
      </c>
      <c r="S649" s="298">
        <f>IF(ISNA(VLOOKUP($A649,RunData,4,FALSE)),0,VLOOKUP($A649,RunData,4,FALSE))+X649</f>
        <v>0</v>
      </c>
      <c r="T649" s="298">
        <f>IF(ISNA(VLOOKUP($A649,ThrowData,4,FALSE)),0,VLOOKUP($A649,ThrowData,4,FALSE))+Y649</f>
        <v>0</v>
      </c>
      <c r="U649" s="299">
        <f t="shared" si="2"/>
        <v>0</v>
      </c>
      <c r="V649">
        <f>IF(AND($F649&gt;0,NOT(M649),Flexing),FlexPC,0)</f>
        <v>0</v>
      </c>
      <c r="W649">
        <f>IF(AND($F649&gt;0,NOT(N649),Flexing),FlexPC,0)</f>
        <v>0</v>
      </c>
      <c r="X649">
        <f>IF(AND($F649&gt;0,NOT(O649),Flexing),FlexPC,0)</f>
        <v>0</v>
      </c>
      <c r="Y649">
        <f>IF(AND($F649&gt;0,NOT(P649),Flexing),FlexPC,0)</f>
        <v>0</v>
      </c>
      <c r="AA649" s="209">
        <f t="shared" si="3"/>
        <v>648</v>
      </c>
    </row>
    <row r="650" ht="15.75" customHeight="1">
      <c r="A650" s="206" t="str">
        <f>+Declarations!A650&amp;""</f>
        <v/>
      </c>
      <c r="B650" t="str">
        <f>IF(LEN($A650),IF(LEN(Declarations!$B650)&gt;0,Declarations!$B650,"#"&amp;$A650),"")</f>
        <v/>
      </c>
      <c r="C650" s="209" t="str">
        <f t="array" ref="C650">IF(LEN(INDEX(DECLARATIONS,$AA650,3))&gt;0,INDEX(DECLARATIONS,$AA650,3),"...")</f>
        <v>...</v>
      </c>
      <c r="D650" s="209" t="str">
        <f t="shared" si="1"/>
        <v/>
      </c>
      <c r="E650" s="296" t="str">
        <f t="array" ref="E650">IF(ISNA($AA650),0,INDEX(DECLARATIONS,$AA650,5))</f>
        <v/>
      </c>
      <c r="F650" s="209" t="str">
        <f t="array" ref="F650">IF(ISNA($AA650),0,INDEX(DECLARATIONS,$AA650,7))</f>
        <v/>
      </c>
      <c r="G650" s="209" t="str">
        <f t="array" ref="G650">UPPER(IF(ISNA($AA650),"",INDEX(DECLARATIONS,$AA650,4)))</f>
        <v/>
      </c>
      <c r="H650" t="str">
        <f>IF(AND(A650&gt;0,ISTEXT(B650)),IF(SECNAME="YES",LEFT(B650&amp;" ",FIND(" ",B650&amp;" ")+2)&amp;IF(F650&gt;0," ("&amp;F650&amp;")",""),B650&amp;IF(F650&gt;0," ("&amp;F650&amp;")","")),"#"&amp;$A650)</f>
        <v/>
      </c>
      <c r="I650" s="209">
        <f>IF(LEN($A650)&gt;0,IF(LEN($J650)&gt;0,MATCH(J650,MatchNames,0),EventIndex),0)</f>
        <v>0</v>
      </c>
      <c r="J650" s="209" t="str">
        <f>IF(LEN($A650)&gt;0,IF(LEN(Declarations!$F650)&gt;0,Declarations!$F650,conftype),"")</f>
        <v/>
      </c>
      <c r="M650" s="297">
        <f>IF(ISNA(VLOOKUP($A650,SprintData,2,FALSE)),0,VLOOKUP($A650,SprintData,2,FALSE))</f>
        <v>0</v>
      </c>
      <c r="N650" s="297">
        <f>IF(ISNA(VLOOKUP($A650,JumpData,2,FALSE)),0,VLOOKUP($A650,JumpData,2,FALSE))</f>
        <v>0</v>
      </c>
      <c r="O650" s="297">
        <f>IF(ISNA(VLOOKUP($A650,RunData,2,FALSE)),0,VLOOKUP($A650,RunData,2,FALSE))</f>
        <v>0</v>
      </c>
      <c r="P650" s="297">
        <f>IF(ISNA(VLOOKUP($A650,ThrowData,2,FALSE)),0,VLOOKUP($A650,ThrowData,2,FALSE))</f>
        <v>0</v>
      </c>
      <c r="Q650" s="298">
        <f>IF(ISNA(VLOOKUP($A650,SprintData,4,FALSE)),0,VLOOKUP($A650,SprintData,4,FALSE))+V650</f>
        <v>0</v>
      </c>
      <c r="R650" s="298">
        <f>IF(ISNA(VLOOKUP($A650,JumpData,4,FALSE)),0,VLOOKUP($A650,JumpData,4,FALSE))+W650</f>
        <v>0</v>
      </c>
      <c r="S650" s="298">
        <f>IF(ISNA(VLOOKUP($A650,RunData,4,FALSE)),0,VLOOKUP($A650,RunData,4,FALSE))+X650</f>
        <v>0</v>
      </c>
      <c r="T650" s="298">
        <f>IF(ISNA(VLOOKUP($A650,ThrowData,4,FALSE)),0,VLOOKUP($A650,ThrowData,4,FALSE))+Y650</f>
        <v>0</v>
      </c>
      <c r="U650" s="299">
        <f t="shared" si="2"/>
        <v>0</v>
      </c>
      <c r="V650">
        <f>IF(AND($F650&gt;0,NOT(M650),Flexing),FlexPC,0)</f>
        <v>0</v>
      </c>
      <c r="W650">
        <f>IF(AND($F650&gt;0,NOT(N650),Flexing),FlexPC,0)</f>
        <v>0</v>
      </c>
      <c r="X650">
        <f>IF(AND($F650&gt;0,NOT(O650),Flexing),FlexPC,0)</f>
        <v>0</v>
      </c>
      <c r="Y650">
        <f>IF(AND($F650&gt;0,NOT(P650),Flexing),FlexPC,0)</f>
        <v>0</v>
      </c>
      <c r="AA650" s="209">
        <f t="shared" si="3"/>
        <v>649</v>
      </c>
    </row>
    <row r="651" ht="15.75" customHeight="1">
      <c r="A651" s="206" t="str">
        <f>+Declarations!A651&amp;""</f>
        <v/>
      </c>
      <c r="B651" t="str">
        <f>IF(LEN($A651),IF(LEN(Declarations!$B651)&gt;0,Declarations!$B651,"#"&amp;$A651),"")</f>
        <v/>
      </c>
      <c r="C651" s="209" t="str">
        <f t="array" ref="C651">IF(LEN(INDEX(DECLARATIONS,$AA651,3))&gt;0,INDEX(DECLARATIONS,$AA651,3),"...")</f>
        <v>...</v>
      </c>
      <c r="D651" s="209" t="str">
        <f t="shared" si="1"/>
        <v/>
      </c>
      <c r="E651" s="296" t="str">
        <f t="array" ref="E651">IF(ISNA($AA651),0,INDEX(DECLARATIONS,$AA651,5))</f>
        <v/>
      </c>
      <c r="F651" s="209" t="str">
        <f t="array" ref="F651">IF(ISNA($AA651),0,INDEX(DECLARATIONS,$AA651,7))</f>
        <v/>
      </c>
      <c r="G651" s="209" t="str">
        <f t="array" ref="G651">UPPER(IF(ISNA($AA651),"",INDEX(DECLARATIONS,$AA651,4)))</f>
        <v/>
      </c>
      <c r="H651" t="str">
        <f>IF(AND(A651&gt;0,ISTEXT(B651)),IF(SECNAME="YES",LEFT(B651&amp;" ",FIND(" ",B651&amp;" ")+2)&amp;IF(F651&gt;0," ("&amp;F651&amp;")",""),B651&amp;IF(F651&gt;0," ("&amp;F651&amp;")","")),"#"&amp;$A651)</f>
        <v/>
      </c>
      <c r="I651" s="209">
        <f>IF(LEN($A651)&gt;0,IF(LEN($J651)&gt;0,MATCH(J651,MatchNames,0),EventIndex),0)</f>
        <v>0</v>
      </c>
      <c r="J651" s="209" t="str">
        <f>IF(LEN($A651)&gt;0,IF(LEN(Declarations!$F651)&gt;0,Declarations!$F651,conftype),"")</f>
        <v/>
      </c>
      <c r="M651" s="297">
        <f>IF(ISNA(VLOOKUP($A651,SprintData,2,FALSE)),0,VLOOKUP($A651,SprintData,2,FALSE))</f>
        <v>0</v>
      </c>
      <c r="N651" s="297">
        <f>IF(ISNA(VLOOKUP($A651,JumpData,2,FALSE)),0,VLOOKUP($A651,JumpData,2,FALSE))</f>
        <v>0</v>
      </c>
      <c r="O651" s="297">
        <f>IF(ISNA(VLOOKUP($A651,RunData,2,FALSE)),0,VLOOKUP($A651,RunData,2,FALSE))</f>
        <v>0</v>
      </c>
      <c r="P651" s="297">
        <f>IF(ISNA(VLOOKUP($A651,ThrowData,2,FALSE)),0,VLOOKUP($A651,ThrowData,2,FALSE))</f>
        <v>0</v>
      </c>
      <c r="Q651" s="298">
        <f>IF(ISNA(VLOOKUP($A651,SprintData,4,FALSE)),0,VLOOKUP($A651,SprintData,4,FALSE))+V651</f>
        <v>0</v>
      </c>
      <c r="R651" s="298">
        <f>IF(ISNA(VLOOKUP($A651,JumpData,4,FALSE)),0,VLOOKUP($A651,JumpData,4,FALSE))+W651</f>
        <v>0</v>
      </c>
      <c r="S651" s="298">
        <f>IF(ISNA(VLOOKUP($A651,RunData,4,FALSE)),0,VLOOKUP($A651,RunData,4,FALSE))+X651</f>
        <v>0</v>
      </c>
      <c r="T651" s="298">
        <f>IF(ISNA(VLOOKUP($A651,ThrowData,4,FALSE)),0,VLOOKUP($A651,ThrowData,4,FALSE))+Y651</f>
        <v>0</v>
      </c>
      <c r="U651" s="299">
        <f t="shared" si="2"/>
        <v>0</v>
      </c>
      <c r="V651">
        <f>IF(AND($F651&gt;0,NOT(M651),Flexing),FlexPC,0)</f>
        <v>0</v>
      </c>
      <c r="W651">
        <f>IF(AND($F651&gt;0,NOT(N651),Flexing),FlexPC,0)</f>
        <v>0</v>
      </c>
      <c r="X651">
        <f>IF(AND($F651&gt;0,NOT(O651),Flexing),FlexPC,0)</f>
        <v>0</v>
      </c>
      <c r="Y651">
        <f>IF(AND($F651&gt;0,NOT(P651),Flexing),FlexPC,0)</f>
        <v>0</v>
      </c>
      <c r="AA651" s="209">
        <f t="shared" si="3"/>
        <v>650</v>
      </c>
    </row>
    <row r="652" ht="15.75" customHeight="1">
      <c r="A652" s="206" t="str">
        <f>+Declarations!A652&amp;""</f>
        <v/>
      </c>
      <c r="B652" t="str">
        <f>IF(LEN($A652),IF(LEN(Declarations!$B652)&gt;0,Declarations!$B652,"#"&amp;$A652),"")</f>
        <v/>
      </c>
      <c r="C652" s="209" t="str">
        <f t="array" ref="C652">IF(LEN(INDEX(DECLARATIONS,$AA652,3))&gt;0,INDEX(DECLARATIONS,$AA652,3),"...")</f>
        <v>...</v>
      </c>
      <c r="D652" s="209" t="str">
        <f t="shared" si="1"/>
        <v/>
      </c>
      <c r="E652" s="296" t="str">
        <f t="array" ref="E652">IF(ISNA($AA652),0,INDEX(DECLARATIONS,$AA652,5))</f>
        <v/>
      </c>
      <c r="F652" s="209" t="str">
        <f t="array" ref="F652">IF(ISNA($AA652),0,INDEX(DECLARATIONS,$AA652,7))</f>
        <v/>
      </c>
      <c r="G652" s="209" t="str">
        <f t="array" ref="G652">UPPER(IF(ISNA($AA652),"",INDEX(DECLARATIONS,$AA652,4)))</f>
        <v/>
      </c>
      <c r="H652" t="str">
        <f>IF(AND(A652&gt;0,ISTEXT(B652)),IF(SECNAME="YES",LEFT(B652&amp;" ",FIND(" ",B652&amp;" ")+2)&amp;IF(F652&gt;0," ("&amp;F652&amp;")",""),B652&amp;IF(F652&gt;0," ("&amp;F652&amp;")","")),"#"&amp;$A652)</f>
        <v/>
      </c>
      <c r="I652" s="209">
        <f>IF(LEN($A652)&gt;0,IF(LEN($J652)&gt;0,MATCH(J652,MatchNames,0),EventIndex),0)</f>
        <v>0</v>
      </c>
      <c r="J652" s="209" t="str">
        <f>IF(LEN($A652)&gt;0,IF(LEN(Declarations!$F652)&gt;0,Declarations!$F652,conftype),"")</f>
        <v/>
      </c>
      <c r="M652" s="297">
        <f>IF(ISNA(VLOOKUP($A652,SprintData,2,FALSE)),0,VLOOKUP($A652,SprintData,2,FALSE))</f>
        <v>0</v>
      </c>
      <c r="N652" s="297">
        <f>IF(ISNA(VLOOKUP($A652,JumpData,2,FALSE)),0,VLOOKUP($A652,JumpData,2,FALSE))</f>
        <v>0</v>
      </c>
      <c r="O652" s="297">
        <f>IF(ISNA(VLOOKUP($A652,RunData,2,FALSE)),0,VLOOKUP($A652,RunData,2,FALSE))</f>
        <v>0</v>
      </c>
      <c r="P652" s="297">
        <f>IF(ISNA(VLOOKUP($A652,ThrowData,2,FALSE)),0,VLOOKUP($A652,ThrowData,2,FALSE))</f>
        <v>0</v>
      </c>
      <c r="Q652" s="298">
        <f>IF(ISNA(VLOOKUP($A652,SprintData,4,FALSE)),0,VLOOKUP($A652,SprintData,4,FALSE))+V652</f>
        <v>0</v>
      </c>
      <c r="R652" s="298">
        <f>IF(ISNA(VLOOKUP($A652,JumpData,4,FALSE)),0,VLOOKUP($A652,JumpData,4,FALSE))+W652</f>
        <v>0</v>
      </c>
      <c r="S652" s="298">
        <f>IF(ISNA(VLOOKUP($A652,RunData,4,FALSE)),0,VLOOKUP($A652,RunData,4,FALSE))+X652</f>
        <v>0</v>
      </c>
      <c r="T652" s="298">
        <f>IF(ISNA(VLOOKUP($A652,ThrowData,4,FALSE)),0,VLOOKUP($A652,ThrowData,4,FALSE))+Y652</f>
        <v>0</v>
      </c>
      <c r="U652" s="299">
        <f t="shared" si="2"/>
        <v>0</v>
      </c>
      <c r="V652">
        <f>IF(AND($F652&gt;0,NOT(M652),Flexing),FlexPC,0)</f>
        <v>0</v>
      </c>
      <c r="W652">
        <f>IF(AND($F652&gt;0,NOT(N652),Flexing),FlexPC,0)</f>
        <v>0</v>
      </c>
      <c r="X652">
        <f>IF(AND($F652&gt;0,NOT(O652),Flexing),FlexPC,0)</f>
        <v>0</v>
      </c>
      <c r="Y652">
        <f>IF(AND($F652&gt;0,NOT(P652),Flexing),FlexPC,0)</f>
        <v>0</v>
      </c>
      <c r="AA652" s="209">
        <f t="shared" si="3"/>
        <v>651</v>
      </c>
    </row>
    <row r="653" ht="15.75" customHeight="1">
      <c r="A653" s="206" t="str">
        <f>+Declarations!A653&amp;""</f>
        <v/>
      </c>
      <c r="B653" t="str">
        <f>IF(LEN($A653),IF(LEN(Declarations!$B653)&gt;0,Declarations!$B653,"#"&amp;$A653),"")</f>
        <v/>
      </c>
      <c r="C653" s="209" t="str">
        <f t="array" ref="C653">IF(LEN(INDEX(DECLARATIONS,$AA653,3))&gt;0,INDEX(DECLARATIONS,$AA653,3),"...")</f>
        <v>...</v>
      </c>
      <c r="D653" s="209" t="str">
        <f t="shared" si="1"/>
        <v/>
      </c>
      <c r="E653" s="296" t="str">
        <f t="array" ref="E653">IF(ISNA($AA653),0,INDEX(DECLARATIONS,$AA653,5))</f>
        <v/>
      </c>
      <c r="F653" s="209" t="str">
        <f t="array" ref="F653">IF(ISNA($AA653),0,INDEX(DECLARATIONS,$AA653,7))</f>
        <v/>
      </c>
      <c r="G653" s="209" t="str">
        <f t="array" ref="G653">UPPER(IF(ISNA($AA653),"",INDEX(DECLARATIONS,$AA653,4)))</f>
        <v/>
      </c>
      <c r="H653" t="str">
        <f>IF(AND(A653&gt;0,ISTEXT(B653)),IF(SECNAME="YES",LEFT(B653&amp;" ",FIND(" ",B653&amp;" ")+2)&amp;IF(F653&gt;0," ("&amp;F653&amp;")",""),B653&amp;IF(F653&gt;0," ("&amp;F653&amp;")","")),"#"&amp;$A653)</f>
        <v/>
      </c>
      <c r="I653" s="209">
        <f>IF(LEN($A653)&gt;0,IF(LEN($J653)&gt;0,MATCH(J653,MatchNames,0),EventIndex),0)</f>
        <v>0</v>
      </c>
      <c r="J653" s="209" t="str">
        <f>IF(LEN($A653)&gt;0,IF(LEN(Declarations!$F653)&gt;0,Declarations!$F653,conftype),"")</f>
        <v/>
      </c>
      <c r="M653" s="297">
        <f>IF(ISNA(VLOOKUP($A653,SprintData,2,FALSE)),0,VLOOKUP($A653,SprintData,2,FALSE))</f>
        <v>0</v>
      </c>
      <c r="N653" s="297">
        <f>IF(ISNA(VLOOKUP($A653,JumpData,2,FALSE)),0,VLOOKUP($A653,JumpData,2,FALSE))</f>
        <v>0</v>
      </c>
      <c r="O653" s="297">
        <f>IF(ISNA(VLOOKUP($A653,RunData,2,FALSE)),0,VLOOKUP($A653,RunData,2,FALSE))</f>
        <v>0</v>
      </c>
      <c r="P653" s="297">
        <f>IF(ISNA(VLOOKUP($A653,ThrowData,2,FALSE)),0,VLOOKUP($A653,ThrowData,2,FALSE))</f>
        <v>0</v>
      </c>
      <c r="Q653" s="298">
        <f>IF(ISNA(VLOOKUP($A653,SprintData,4,FALSE)),0,VLOOKUP($A653,SprintData,4,FALSE))+V653</f>
        <v>0</v>
      </c>
      <c r="R653" s="298">
        <f>IF(ISNA(VLOOKUP($A653,JumpData,4,FALSE)),0,VLOOKUP($A653,JumpData,4,FALSE))+W653</f>
        <v>0</v>
      </c>
      <c r="S653" s="298">
        <f>IF(ISNA(VLOOKUP($A653,RunData,4,FALSE)),0,VLOOKUP($A653,RunData,4,FALSE))+X653</f>
        <v>0</v>
      </c>
      <c r="T653" s="298">
        <f>IF(ISNA(VLOOKUP($A653,ThrowData,4,FALSE)),0,VLOOKUP($A653,ThrowData,4,FALSE))+Y653</f>
        <v>0</v>
      </c>
      <c r="U653" s="299">
        <f t="shared" si="2"/>
        <v>0</v>
      </c>
      <c r="V653">
        <f>IF(AND($F653&gt;0,NOT(M653),Flexing),FlexPC,0)</f>
        <v>0</v>
      </c>
      <c r="W653">
        <f>IF(AND($F653&gt;0,NOT(N653),Flexing),FlexPC,0)</f>
        <v>0</v>
      </c>
      <c r="X653">
        <f>IF(AND($F653&gt;0,NOT(O653),Flexing),FlexPC,0)</f>
        <v>0</v>
      </c>
      <c r="Y653">
        <f>IF(AND($F653&gt;0,NOT(P653),Flexing),FlexPC,0)</f>
        <v>0</v>
      </c>
      <c r="AA653" s="209">
        <f t="shared" si="3"/>
        <v>652</v>
      </c>
    </row>
    <row r="654" ht="15.75" customHeight="1">
      <c r="A654" s="206" t="str">
        <f>+Declarations!A654&amp;""</f>
        <v/>
      </c>
      <c r="B654" t="str">
        <f>IF(LEN($A654),IF(LEN(Declarations!$B654)&gt;0,Declarations!$B654,"#"&amp;$A654),"")</f>
        <v/>
      </c>
      <c r="C654" s="209" t="str">
        <f t="array" ref="C654">IF(LEN(INDEX(DECLARATIONS,$AA654,3))&gt;0,INDEX(DECLARATIONS,$AA654,3),"...")</f>
        <v>...</v>
      </c>
      <c r="D654" s="209" t="str">
        <f t="shared" si="1"/>
        <v/>
      </c>
      <c r="E654" s="296" t="str">
        <f t="array" ref="E654">IF(ISNA($AA654),0,INDEX(DECLARATIONS,$AA654,5))</f>
        <v/>
      </c>
      <c r="F654" s="209" t="str">
        <f t="array" ref="F654">IF(ISNA($AA654),0,INDEX(DECLARATIONS,$AA654,7))</f>
        <v/>
      </c>
      <c r="G654" s="209" t="str">
        <f t="array" ref="G654">UPPER(IF(ISNA($AA654),"",INDEX(DECLARATIONS,$AA654,4)))</f>
        <v/>
      </c>
      <c r="H654" t="str">
        <f>IF(AND(A654&gt;0,ISTEXT(B654)),IF(SECNAME="YES",LEFT(B654&amp;" ",FIND(" ",B654&amp;" ")+2)&amp;IF(F654&gt;0," ("&amp;F654&amp;")",""),B654&amp;IF(F654&gt;0," ("&amp;F654&amp;")","")),"#"&amp;$A654)</f>
        <v/>
      </c>
      <c r="I654" s="209">
        <f>IF(LEN($A654)&gt;0,IF(LEN($J654)&gt;0,MATCH(J654,MatchNames,0),EventIndex),0)</f>
        <v>0</v>
      </c>
      <c r="J654" s="209" t="str">
        <f>IF(LEN($A654)&gt;0,IF(LEN(Declarations!$F654)&gt;0,Declarations!$F654,conftype),"")</f>
        <v/>
      </c>
      <c r="M654" s="297">
        <f>IF(ISNA(VLOOKUP($A654,SprintData,2,FALSE)),0,VLOOKUP($A654,SprintData,2,FALSE))</f>
        <v>0</v>
      </c>
      <c r="N654" s="297">
        <f>IF(ISNA(VLOOKUP($A654,JumpData,2,FALSE)),0,VLOOKUP($A654,JumpData,2,FALSE))</f>
        <v>0</v>
      </c>
      <c r="O654" s="297">
        <f>IF(ISNA(VLOOKUP($A654,RunData,2,FALSE)),0,VLOOKUP($A654,RunData,2,FALSE))</f>
        <v>0</v>
      </c>
      <c r="P654" s="297">
        <f>IF(ISNA(VLOOKUP($A654,ThrowData,2,FALSE)),0,VLOOKUP($A654,ThrowData,2,FALSE))</f>
        <v>0</v>
      </c>
      <c r="Q654" s="298">
        <f>IF(ISNA(VLOOKUP($A654,SprintData,4,FALSE)),0,VLOOKUP($A654,SprintData,4,FALSE))+V654</f>
        <v>0</v>
      </c>
      <c r="R654" s="298">
        <f>IF(ISNA(VLOOKUP($A654,JumpData,4,FALSE)),0,VLOOKUP($A654,JumpData,4,FALSE))+W654</f>
        <v>0</v>
      </c>
      <c r="S654" s="298">
        <f>IF(ISNA(VLOOKUP($A654,RunData,4,FALSE)),0,VLOOKUP($A654,RunData,4,FALSE))+X654</f>
        <v>0</v>
      </c>
      <c r="T654" s="298">
        <f>IF(ISNA(VLOOKUP($A654,ThrowData,4,FALSE)),0,VLOOKUP($A654,ThrowData,4,FALSE))+Y654</f>
        <v>0</v>
      </c>
      <c r="U654" s="299">
        <f t="shared" si="2"/>
        <v>0</v>
      </c>
      <c r="V654">
        <f>IF(AND($F654&gt;0,NOT(M654),Flexing),FlexPC,0)</f>
        <v>0</v>
      </c>
      <c r="W654">
        <f>IF(AND($F654&gt;0,NOT(N654),Flexing),FlexPC,0)</f>
        <v>0</v>
      </c>
      <c r="X654">
        <f>IF(AND($F654&gt;0,NOT(O654),Flexing),FlexPC,0)</f>
        <v>0</v>
      </c>
      <c r="Y654">
        <f>IF(AND($F654&gt;0,NOT(P654),Flexing),FlexPC,0)</f>
        <v>0</v>
      </c>
      <c r="AA654" s="209">
        <f t="shared" si="3"/>
        <v>653</v>
      </c>
    </row>
    <row r="655" ht="15.75" customHeight="1">
      <c r="A655" s="206" t="str">
        <f>+Declarations!A655&amp;""</f>
        <v/>
      </c>
      <c r="B655" t="str">
        <f>IF(LEN($A655),IF(LEN(Declarations!$B655)&gt;0,Declarations!$B655,"#"&amp;$A655),"")</f>
        <v/>
      </c>
      <c r="C655" s="209" t="str">
        <f t="array" ref="C655">IF(LEN(INDEX(DECLARATIONS,$AA655,3))&gt;0,INDEX(DECLARATIONS,$AA655,3),"...")</f>
        <v>...</v>
      </c>
      <c r="D655" s="209" t="str">
        <f t="shared" si="1"/>
        <v/>
      </c>
      <c r="E655" s="296" t="str">
        <f t="array" ref="E655">IF(ISNA($AA655),0,INDEX(DECLARATIONS,$AA655,5))</f>
        <v/>
      </c>
      <c r="F655" s="209" t="str">
        <f t="array" ref="F655">IF(ISNA($AA655),0,INDEX(DECLARATIONS,$AA655,7))</f>
        <v/>
      </c>
      <c r="G655" s="209" t="str">
        <f t="array" ref="G655">UPPER(IF(ISNA($AA655),"",INDEX(DECLARATIONS,$AA655,4)))</f>
        <v/>
      </c>
      <c r="H655" t="str">
        <f>IF(AND(A655&gt;0,ISTEXT(B655)),IF(SECNAME="YES",LEFT(B655&amp;" ",FIND(" ",B655&amp;" ")+2)&amp;IF(F655&gt;0," ("&amp;F655&amp;")",""),B655&amp;IF(F655&gt;0," ("&amp;F655&amp;")","")),"#"&amp;$A655)</f>
        <v/>
      </c>
      <c r="I655" s="209">
        <f>IF(LEN($A655)&gt;0,IF(LEN($J655)&gt;0,MATCH(J655,MatchNames,0),EventIndex),0)</f>
        <v>0</v>
      </c>
      <c r="J655" s="209" t="str">
        <f>IF(LEN($A655)&gt;0,IF(LEN(Declarations!$F655)&gt;0,Declarations!$F655,conftype),"")</f>
        <v/>
      </c>
      <c r="M655" s="297">
        <f>IF(ISNA(VLOOKUP($A655,SprintData,2,FALSE)),0,VLOOKUP($A655,SprintData,2,FALSE))</f>
        <v>0</v>
      </c>
      <c r="N655" s="297">
        <f>IF(ISNA(VLOOKUP($A655,JumpData,2,FALSE)),0,VLOOKUP($A655,JumpData,2,FALSE))</f>
        <v>0</v>
      </c>
      <c r="O655" s="297">
        <f>IF(ISNA(VLOOKUP($A655,RunData,2,FALSE)),0,VLOOKUP($A655,RunData,2,FALSE))</f>
        <v>0</v>
      </c>
      <c r="P655" s="297">
        <f>IF(ISNA(VLOOKUP($A655,ThrowData,2,FALSE)),0,VLOOKUP($A655,ThrowData,2,FALSE))</f>
        <v>0</v>
      </c>
      <c r="Q655" s="298">
        <f>IF(ISNA(VLOOKUP($A655,SprintData,4,FALSE)),0,VLOOKUP($A655,SprintData,4,FALSE))+V655</f>
        <v>0</v>
      </c>
      <c r="R655" s="298">
        <f>IF(ISNA(VLOOKUP($A655,JumpData,4,FALSE)),0,VLOOKUP($A655,JumpData,4,FALSE))+W655</f>
        <v>0</v>
      </c>
      <c r="S655" s="298">
        <f>IF(ISNA(VLOOKUP($A655,RunData,4,FALSE)),0,VLOOKUP($A655,RunData,4,FALSE))+X655</f>
        <v>0</v>
      </c>
      <c r="T655" s="298">
        <f>IF(ISNA(VLOOKUP($A655,ThrowData,4,FALSE)),0,VLOOKUP($A655,ThrowData,4,FALSE))+Y655</f>
        <v>0</v>
      </c>
      <c r="U655" s="299">
        <f t="shared" si="2"/>
        <v>0</v>
      </c>
      <c r="V655">
        <f>IF(AND($F655&gt;0,NOT(M655),Flexing),FlexPC,0)</f>
        <v>0</v>
      </c>
      <c r="W655">
        <f>IF(AND($F655&gt;0,NOT(N655),Flexing),FlexPC,0)</f>
        <v>0</v>
      </c>
      <c r="X655">
        <f>IF(AND($F655&gt;0,NOT(O655),Flexing),FlexPC,0)</f>
        <v>0</v>
      </c>
      <c r="Y655">
        <f>IF(AND($F655&gt;0,NOT(P655),Flexing),FlexPC,0)</f>
        <v>0</v>
      </c>
      <c r="AA655" s="209">
        <f t="shared" si="3"/>
        <v>654</v>
      </c>
    </row>
    <row r="656" ht="15.75" customHeight="1">
      <c r="A656" s="206" t="str">
        <f>+Declarations!A656&amp;""</f>
        <v/>
      </c>
      <c r="B656" t="str">
        <f>IF(LEN($A656),IF(LEN(Declarations!$B656)&gt;0,Declarations!$B656,"#"&amp;$A656),"")</f>
        <v/>
      </c>
      <c r="C656" s="209" t="str">
        <f t="array" ref="C656">IF(LEN(INDEX(DECLARATIONS,$AA656,3))&gt;0,INDEX(DECLARATIONS,$AA656,3),"...")</f>
        <v>...</v>
      </c>
      <c r="D656" s="209" t="str">
        <f t="shared" si="1"/>
        <v/>
      </c>
      <c r="E656" s="296" t="str">
        <f t="array" ref="E656">IF(ISNA($AA656),0,INDEX(DECLARATIONS,$AA656,5))</f>
        <v/>
      </c>
      <c r="F656" s="209" t="str">
        <f t="array" ref="F656">IF(ISNA($AA656),0,INDEX(DECLARATIONS,$AA656,7))</f>
        <v/>
      </c>
      <c r="G656" s="209" t="str">
        <f t="array" ref="G656">UPPER(IF(ISNA($AA656),"",INDEX(DECLARATIONS,$AA656,4)))</f>
        <v/>
      </c>
      <c r="H656" t="str">
        <f>IF(AND(A656&gt;0,ISTEXT(B656)),IF(SECNAME="YES",LEFT(B656&amp;" ",FIND(" ",B656&amp;" ")+2)&amp;IF(F656&gt;0," ("&amp;F656&amp;")",""),B656&amp;IF(F656&gt;0," ("&amp;F656&amp;")","")),"#"&amp;$A656)</f>
        <v/>
      </c>
      <c r="I656" s="209">
        <f>IF(LEN($A656)&gt;0,IF(LEN($J656)&gt;0,MATCH(J656,MatchNames,0),EventIndex),0)</f>
        <v>0</v>
      </c>
      <c r="J656" s="209" t="str">
        <f>IF(LEN($A656)&gt;0,IF(LEN(Declarations!$F656)&gt;0,Declarations!$F656,conftype),"")</f>
        <v/>
      </c>
      <c r="M656" s="297">
        <f>IF(ISNA(VLOOKUP($A656,SprintData,2,FALSE)),0,VLOOKUP($A656,SprintData,2,FALSE))</f>
        <v>0</v>
      </c>
      <c r="N656" s="297">
        <f>IF(ISNA(VLOOKUP($A656,JumpData,2,FALSE)),0,VLOOKUP($A656,JumpData,2,FALSE))</f>
        <v>0</v>
      </c>
      <c r="O656" s="297">
        <f>IF(ISNA(VLOOKUP($A656,RunData,2,FALSE)),0,VLOOKUP($A656,RunData,2,FALSE))</f>
        <v>0</v>
      </c>
      <c r="P656" s="297">
        <f>IF(ISNA(VLOOKUP($A656,ThrowData,2,FALSE)),0,VLOOKUP($A656,ThrowData,2,FALSE))</f>
        <v>0</v>
      </c>
      <c r="Q656" s="298">
        <f>IF(ISNA(VLOOKUP($A656,SprintData,4,FALSE)),0,VLOOKUP($A656,SprintData,4,FALSE))+V656</f>
        <v>0</v>
      </c>
      <c r="R656" s="298">
        <f>IF(ISNA(VLOOKUP($A656,JumpData,4,FALSE)),0,VLOOKUP($A656,JumpData,4,FALSE))+W656</f>
        <v>0</v>
      </c>
      <c r="S656" s="298">
        <f>IF(ISNA(VLOOKUP($A656,RunData,4,FALSE)),0,VLOOKUP($A656,RunData,4,FALSE))+X656</f>
        <v>0</v>
      </c>
      <c r="T656" s="298">
        <f>IF(ISNA(VLOOKUP($A656,ThrowData,4,FALSE)),0,VLOOKUP($A656,ThrowData,4,FALSE))+Y656</f>
        <v>0</v>
      </c>
      <c r="U656" s="299">
        <f t="shared" si="2"/>
        <v>0</v>
      </c>
      <c r="V656">
        <f>IF(AND($F656&gt;0,NOT(M656),Flexing),FlexPC,0)</f>
        <v>0</v>
      </c>
      <c r="W656">
        <f>IF(AND($F656&gt;0,NOT(N656),Flexing),FlexPC,0)</f>
        <v>0</v>
      </c>
      <c r="X656">
        <f>IF(AND($F656&gt;0,NOT(O656),Flexing),FlexPC,0)</f>
        <v>0</v>
      </c>
      <c r="Y656">
        <f>IF(AND($F656&gt;0,NOT(P656),Flexing),FlexPC,0)</f>
        <v>0</v>
      </c>
      <c r="AA656" s="209">
        <f t="shared" si="3"/>
        <v>655</v>
      </c>
    </row>
    <row r="657" ht="15.75" customHeight="1">
      <c r="A657" s="206" t="str">
        <f>+Declarations!A657&amp;""</f>
        <v/>
      </c>
      <c r="B657" t="str">
        <f>IF(LEN($A657),IF(LEN(Declarations!$B657)&gt;0,Declarations!$B657,"#"&amp;$A657),"")</f>
        <v/>
      </c>
      <c r="C657" s="209" t="str">
        <f t="array" ref="C657">IF(LEN(INDEX(DECLARATIONS,$AA657,3))&gt;0,INDEX(DECLARATIONS,$AA657,3),"...")</f>
        <v>...</v>
      </c>
      <c r="D657" s="209" t="str">
        <f t="shared" si="1"/>
        <v/>
      </c>
      <c r="E657" s="296" t="str">
        <f t="array" ref="E657">IF(ISNA($AA657),0,INDEX(DECLARATIONS,$AA657,5))</f>
        <v/>
      </c>
      <c r="F657" s="209" t="str">
        <f t="array" ref="F657">IF(ISNA($AA657),0,INDEX(DECLARATIONS,$AA657,7))</f>
        <v/>
      </c>
      <c r="G657" s="209" t="str">
        <f t="array" ref="G657">UPPER(IF(ISNA($AA657),"",INDEX(DECLARATIONS,$AA657,4)))</f>
        <v/>
      </c>
      <c r="H657" t="str">
        <f>IF(AND(A657&gt;0,ISTEXT(B657)),IF(SECNAME="YES",LEFT(B657&amp;" ",FIND(" ",B657&amp;" ")+2)&amp;IF(F657&gt;0," ("&amp;F657&amp;")",""),B657&amp;IF(F657&gt;0," ("&amp;F657&amp;")","")),"#"&amp;$A657)</f>
        <v/>
      </c>
      <c r="I657" s="209">
        <f>IF(LEN($A657)&gt;0,IF(LEN($J657)&gt;0,MATCH(J657,MatchNames,0),EventIndex),0)</f>
        <v>0</v>
      </c>
      <c r="J657" s="209" t="str">
        <f>IF(LEN($A657)&gt;0,IF(LEN(Declarations!$F657)&gt;0,Declarations!$F657,conftype),"")</f>
        <v/>
      </c>
      <c r="M657" s="297">
        <f>IF(ISNA(VLOOKUP($A657,SprintData,2,FALSE)),0,VLOOKUP($A657,SprintData,2,FALSE))</f>
        <v>0</v>
      </c>
      <c r="N657" s="297">
        <f>IF(ISNA(VLOOKUP($A657,JumpData,2,FALSE)),0,VLOOKUP($A657,JumpData,2,FALSE))</f>
        <v>0</v>
      </c>
      <c r="O657" s="297">
        <f>IF(ISNA(VLOOKUP($A657,RunData,2,FALSE)),0,VLOOKUP($A657,RunData,2,FALSE))</f>
        <v>0</v>
      </c>
      <c r="P657" s="297">
        <f>IF(ISNA(VLOOKUP($A657,ThrowData,2,FALSE)),0,VLOOKUP($A657,ThrowData,2,FALSE))</f>
        <v>0</v>
      </c>
      <c r="Q657" s="298">
        <f>IF(ISNA(VLOOKUP($A657,SprintData,4,FALSE)),0,VLOOKUP($A657,SprintData,4,FALSE))+V657</f>
        <v>0</v>
      </c>
      <c r="R657" s="298">
        <f>IF(ISNA(VLOOKUP($A657,JumpData,4,FALSE)),0,VLOOKUP($A657,JumpData,4,FALSE))+W657</f>
        <v>0</v>
      </c>
      <c r="S657" s="298">
        <f>IF(ISNA(VLOOKUP($A657,RunData,4,FALSE)),0,VLOOKUP($A657,RunData,4,FALSE))+X657</f>
        <v>0</v>
      </c>
      <c r="T657" s="298">
        <f>IF(ISNA(VLOOKUP($A657,ThrowData,4,FALSE)),0,VLOOKUP($A657,ThrowData,4,FALSE))+Y657</f>
        <v>0</v>
      </c>
      <c r="U657" s="299">
        <f t="shared" si="2"/>
        <v>0</v>
      </c>
      <c r="V657">
        <f>IF(AND($F657&gt;0,NOT(M657),Flexing),FlexPC,0)</f>
        <v>0</v>
      </c>
      <c r="W657">
        <f>IF(AND($F657&gt;0,NOT(N657),Flexing),FlexPC,0)</f>
        <v>0</v>
      </c>
      <c r="X657">
        <f>IF(AND($F657&gt;0,NOT(O657),Flexing),FlexPC,0)</f>
        <v>0</v>
      </c>
      <c r="Y657">
        <f>IF(AND($F657&gt;0,NOT(P657),Flexing),FlexPC,0)</f>
        <v>0</v>
      </c>
      <c r="AA657" s="209">
        <f t="shared" si="3"/>
        <v>656</v>
      </c>
    </row>
    <row r="658" ht="15.75" customHeight="1">
      <c r="A658" s="206" t="str">
        <f>+Declarations!A658&amp;""</f>
        <v/>
      </c>
      <c r="B658" t="str">
        <f>IF(LEN($A658),IF(LEN(Declarations!$B658)&gt;0,Declarations!$B658,"#"&amp;$A658),"")</f>
        <v/>
      </c>
      <c r="C658" s="209" t="str">
        <f t="array" ref="C658">IF(LEN(INDEX(DECLARATIONS,$AA658,3))&gt;0,INDEX(DECLARATIONS,$AA658,3),"...")</f>
        <v>...</v>
      </c>
      <c r="D658" s="209" t="str">
        <f t="shared" si="1"/>
        <v/>
      </c>
      <c r="E658" s="296" t="str">
        <f t="array" ref="E658">IF(ISNA($AA658),0,INDEX(DECLARATIONS,$AA658,5))</f>
        <v/>
      </c>
      <c r="F658" s="209" t="str">
        <f t="array" ref="F658">IF(ISNA($AA658),0,INDEX(DECLARATIONS,$AA658,7))</f>
        <v/>
      </c>
      <c r="G658" s="209" t="str">
        <f t="array" ref="G658">UPPER(IF(ISNA($AA658),"",INDEX(DECLARATIONS,$AA658,4)))</f>
        <v/>
      </c>
      <c r="H658" t="str">
        <f>IF(AND(A658&gt;0,ISTEXT(B658)),IF(SECNAME="YES",LEFT(B658&amp;" ",FIND(" ",B658&amp;" ")+2)&amp;IF(F658&gt;0," ("&amp;F658&amp;")",""),B658&amp;IF(F658&gt;0," ("&amp;F658&amp;")","")),"#"&amp;$A658)</f>
        <v/>
      </c>
      <c r="I658" s="209">
        <f>IF(LEN($A658)&gt;0,IF(LEN($J658)&gt;0,MATCH(J658,MatchNames,0),EventIndex),0)</f>
        <v>0</v>
      </c>
      <c r="J658" s="209" t="str">
        <f>IF(LEN($A658)&gt;0,IF(LEN(Declarations!$F658)&gt;0,Declarations!$F658,conftype),"")</f>
        <v/>
      </c>
      <c r="M658" s="297">
        <f>IF(ISNA(VLOOKUP($A658,SprintData,2,FALSE)),0,VLOOKUP($A658,SprintData,2,FALSE))</f>
        <v>0</v>
      </c>
      <c r="N658" s="297">
        <f>IF(ISNA(VLOOKUP($A658,JumpData,2,FALSE)),0,VLOOKUP($A658,JumpData,2,FALSE))</f>
        <v>0</v>
      </c>
      <c r="O658" s="297">
        <f>IF(ISNA(VLOOKUP($A658,RunData,2,FALSE)),0,VLOOKUP($A658,RunData,2,FALSE))</f>
        <v>0</v>
      </c>
      <c r="P658" s="297">
        <f>IF(ISNA(VLOOKUP($A658,ThrowData,2,FALSE)),0,VLOOKUP($A658,ThrowData,2,FALSE))</f>
        <v>0</v>
      </c>
      <c r="Q658" s="298">
        <f>IF(ISNA(VLOOKUP($A658,SprintData,4,FALSE)),0,VLOOKUP($A658,SprintData,4,FALSE))+V658</f>
        <v>0</v>
      </c>
      <c r="R658" s="298">
        <f>IF(ISNA(VLOOKUP($A658,JumpData,4,FALSE)),0,VLOOKUP($A658,JumpData,4,FALSE))+W658</f>
        <v>0</v>
      </c>
      <c r="S658" s="298">
        <f>IF(ISNA(VLOOKUP($A658,RunData,4,FALSE)),0,VLOOKUP($A658,RunData,4,FALSE))+X658</f>
        <v>0</v>
      </c>
      <c r="T658" s="298">
        <f>IF(ISNA(VLOOKUP($A658,ThrowData,4,FALSE)),0,VLOOKUP($A658,ThrowData,4,FALSE))+Y658</f>
        <v>0</v>
      </c>
      <c r="U658" s="299">
        <f t="shared" si="2"/>
        <v>0</v>
      </c>
      <c r="V658">
        <f>IF(AND($F658&gt;0,NOT(M658),Flexing),FlexPC,0)</f>
        <v>0</v>
      </c>
      <c r="W658">
        <f>IF(AND($F658&gt;0,NOT(N658),Flexing),FlexPC,0)</f>
        <v>0</v>
      </c>
      <c r="X658">
        <f>IF(AND($F658&gt;0,NOT(O658),Flexing),FlexPC,0)</f>
        <v>0</v>
      </c>
      <c r="Y658">
        <f>IF(AND($F658&gt;0,NOT(P658),Flexing),FlexPC,0)</f>
        <v>0</v>
      </c>
      <c r="AA658" s="209">
        <f t="shared" si="3"/>
        <v>657</v>
      </c>
    </row>
    <row r="659" ht="15.75" customHeight="1">
      <c r="A659" s="206" t="str">
        <f>+Declarations!A659&amp;""</f>
        <v/>
      </c>
      <c r="B659" t="str">
        <f>IF(LEN($A659),IF(LEN(Declarations!$B659)&gt;0,Declarations!$B659,"#"&amp;$A659),"")</f>
        <v/>
      </c>
      <c r="C659" s="209" t="str">
        <f t="array" ref="C659">IF(LEN(INDEX(DECLARATIONS,$AA659,3))&gt;0,INDEX(DECLARATIONS,$AA659,3),"...")</f>
        <v>...</v>
      </c>
      <c r="D659" s="209" t="str">
        <f t="shared" si="1"/>
        <v/>
      </c>
      <c r="E659" s="296" t="str">
        <f t="array" ref="E659">IF(ISNA($AA659),0,INDEX(DECLARATIONS,$AA659,5))</f>
        <v/>
      </c>
      <c r="F659" s="209" t="str">
        <f t="array" ref="F659">IF(ISNA($AA659),0,INDEX(DECLARATIONS,$AA659,7))</f>
        <v/>
      </c>
      <c r="G659" s="209" t="str">
        <f t="array" ref="G659">UPPER(IF(ISNA($AA659),"",INDEX(DECLARATIONS,$AA659,4)))</f>
        <v/>
      </c>
      <c r="H659" t="str">
        <f>IF(AND(A659&gt;0,ISTEXT(B659)),IF(SECNAME="YES",LEFT(B659&amp;" ",FIND(" ",B659&amp;" ")+2)&amp;IF(F659&gt;0," ("&amp;F659&amp;")",""),B659&amp;IF(F659&gt;0," ("&amp;F659&amp;")","")),"#"&amp;$A659)</f>
        <v/>
      </c>
      <c r="I659" s="209">
        <f>IF(LEN($A659)&gt;0,IF(LEN($J659)&gt;0,MATCH(J659,MatchNames,0),EventIndex),0)</f>
        <v>0</v>
      </c>
      <c r="J659" s="209" t="str">
        <f>IF(LEN($A659)&gt;0,IF(LEN(Declarations!$F659)&gt;0,Declarations!$F659,conftype),"")</f>
        <v/>
      </c>
      <c r="M659" s="297">
        <f>IF(ISNA(VLOOKUP($A659,SprintData,2,FALSE)),0,VLOOKUP($A659,SprintData,2,FALSE))</f>
        <v>0</v>
      </c>
      <c r="N659" s="297">
        <f>IF(ISNA(VLOOKUP($A659,JumpData,2,FALSE)),0,VLOOKUP($A659,JumpData,2,FALSE))</f>
        <v>0</v>
      </c>
      <c r="O659" s="297">
        <f>IF(ISNA(VLOOKUP($A659,RunData,2,FALSE)),0,VLOOKUP($A659,RunData,2,FALSE))</f>
        <v>0</v>
      </c>
      <c r="P659" s="297">
        <f>IF(ISNA(VLOOKUP($A659,ThrowData,2,FALSE)),0,VLOOKUP($A659,ThrowData,2,FALSE))</f>
        <v>0</v>
      </c>
      <c r="Q659" s="298">
        <f>IF(ISNA(VLOOKUP($A659,SprintData,4,FALSE)),0,VLOOKUP($A659,SprintData,4,FALSE))+V659</f>
        <v>0</v>
      </c>
      <c r="R659" s="298">
        <f>IF(ISNA(VLOOKUP($A659,JumpData,4,FALSE)),0,VLOOKUP($A659,JumpData,4,FALSE))+W659</f>
        <v>0</v>
      </c>
      <c r="S659" s="298">
        <f>IF(ISNA(VLOOKUP($A659,RunData,4,FALSE)),0,VLOOKUP($A659,RunData,4,FALSE))+X659</f>
        <v>0</v>
      </c>
      <c r="T659" s="298">
        <f>IF(ISNA(VLOOKUP($A659,ThrowData,4,FALSE)),0,VLOOKUP($A659,ThrowData,4,FALSE))+Y659</f>
        <v>0</v>
      </c>
      <c r="U659" s="299">
        <f t="shared" si="2"/>
        <v>0</v>
      </c>
      <c r="V659">
        <f>IF(AND($F659&gt;0,NOT(M659),Flexing),FlexPC,0)</f>
        <v>0</v>
      </c>
      <c r="W659">
        <f>IF(AND($F659&gt;0,NOT(N659),Flexing),FlexPC,0)</f>
        <v>0</v>
      </c>
      <c r="X659">
        <f>IF(AND($F659&gt;0,NOT(O659),Flexing),FlexPC,0)</f>
        <v>0</v>
      </c>
      <c r="Y659">
        <f>IF(AND($F659&gt;0,NOT(P659),Flexing),FlexPC,0)</f>
        <v>0</v>
      </c>
      <c r="AA659" s="209">
        <f t="shared" si="3"/>
        <v>658</v>
      </c>
    </row>
    <row r="660" ht="15.75" customHeight="1">
      <c r="A660" s="206" t="str">
        <f>+Declarations!A660&amp;""</f>
        <v/>
      </c>
      <c r="B660" t="str">
        <f>IF(LEN($A660),IF(LEN(Declarations!$B660)&gt;0,Declarations!$B660,"#"&amp;$A660),"")</f>
        <v/>
      </c>
      <c r="C660" s="209" t="str">
        <f t="array" ref="C660">IF(LEN(INDEX(DECLARATIONS,$AA660,3))&gt;0,INDEX(DECLARATIONS,$AA660,3),"...")</f>
        <v>...</v>
      </c>
      <c r="D660" s="209" t="str">
        <f t="shared" si="1"/>
        <v/>
      </c>
      <c r="E660" s="296" t="str">
        <f t="array" ref="E660">IF(ISNA($AA660),0,INDEX(DECLARATIONS,$AA660,5))</f>
        <v/>
      </c>
      <c r="F660" s="209" t="str">
        <f t="array" ref="F660">IF(ISNA($AA660),0,INDEX(DECLARATIONS,$AA660,7))</f>
        <v/>
      </c>
      <c r="G660" s="209" t="str">
        <f t="array" ref="G660">UPPER(IF(ISNA($AA660),"",INDEX(DECLARATIONS,$AA660,4)))</f>
        <v/>
      </c>
      <c r="H660" t="str">
        <f>IF(AND(A660&gt;0,ISTEXT(B660)),IF(SECNAME="YES",LEFT(B660&amp;" ",FIND(" ",B660&amp;" ")+2)&amp;IF(F660&gt;0," ("&amp;F660&amp;")",""),B660&amp;IF(F660&gt;0," ("&amp;F660&amp;")","")),"#"&amp;$A660)</f>
        <v/>
      </c>
      <c r="I660" s="209">
        <f>IF(LEN($A660)&gt;0,IF(LEN($J660)&gt;0,MATCH(J660,MatchNames,0),EventIndex),0)</f>
        <v>0</v>
      </c>
      <c r="J660" s="209" t="str">
        <f>IF(LEN($A660)&gt;0,IF(LEN(Declarations!$F660)&gt;0,Declarations!$F660,conftype),"")</f>
        <v/>
      </c>
      <c r="M660" s="297">
        <f>IF(ISNA(VLOOKUP($A660,SprintData,2,FALSE)),0,VLOOKUP($A660,SprintData,2,FALSE))</f>
        <v>0</v>
      </c>
      <c r="N660" s="297">
        <f>IF(ISNA(VLOOKUP($A660,JumpData,2,FALSE)),0,VLOOKUP($A660,JumpData,2,FALSE))</f>
        <v>0</v>
      </c>
      <c r="O660" s="297">
        <f>IF(ISNA(VLOOKUP($A660,RunData,2,FALSE)),0,VLOOKUP($A660,RunData,2,FALSE))</f>
        <v>0</v>
      </c>
      <c r="P660" s="297">
        <f>IF(ISNA(VLOOKUP($A660,ThrowData,2,FALSE)),0,VLOOKUP($A660,ThrowData,2,FALSE))</f>
        <v>0</v>
      </c>
      <c r="Q660" s="298">
        <f>IF(ISNA(VLOOKUP($A660,SprintData,4,FALSE)),0,VLOOKUP($A660,SprintData,4,FALSE))+V660</f>
        <v>0</v>
      </c>
      <c r="R660" s="298">
        <f>IF(ISNA(VLOOKUP($A660,JumpData,4,FALSE)),0,VLOOKUP($A660,JumpData,4,FALSE))+W660</f>
        <v>0</v>
      </c>
      <c r="S660" s="298">
        <f>IF(ISNA(VLOOKUP($A660,RunData,4,FALSE)),0,VLOOKUP($A660,RunData,4,FALSE))+X660</f>
        <v>0</v>
      </c>
      <c r="T660" s="298">
        <f>IF(ISNA(VLOOKUP($A660,ThrowData,4,FALSE)),0,VLOOKUP($A660,ThrowData,4,FALSE))+Y660</f>
        <v>0</v>
      </c>
      <c r="U660" s="299">
        <f t="shared" si="2"/>
        <v>0</v>
      </c>
      <c r="V660">
        <f>IF(AND($F660&gt;0,NOT(M660),Flexing),FlexPC,0)</f>
        <v>0</v>
      </c>
      <c r="W660">
        <f>IF(AND($F660&gt;0,NOT(N660),Flexing),FlexPC,0)</f>
        <v>0</v>
      </c>
      <c r="X660">
        <f>IF(AND($F660&gt;0,NOT(O660),Flexing),FlexPC,0)</f>
        <v>0</v>
      </c>
      <c r="Y660">
        <f>IF(AND($F660&gt;0,NOT(P660),Flexing),FlexPC,0)</f>
        <v>0</v>
      </c>
      <c r="AA660" s="209">
        <f t="shared" si="3"/>
        <v>659</v>
      </c>
    </row>
    <row r="661" ht="15.75" customHeight="1">
      <c r="A661" s="206" t="str">
        <f>+Declarations!A661&amp;""</f>
        <v/>
      </c>
      <c r="B661" t="str">
        <f>IF(LEN($A661),IF(LEN(Declarations!$B661)&gt;0,Declarations!$B661,"#"&amp;$A661),"")</f>
        <v/>
      </c>
      <c r="C661" s="209" t="str">
        <f t="array" ref="C661">IF(LEN(INDEX(DECLARATIONS,$AA661,3))&gt;0,INDEX(DECLARATIONS,$AA661,3),"...")</f>
        <v>...</v>
      </c>
      <c r="D661" s="209" t="str">
        <f t="shared" si="1"/>
        <v/>
      </c>
      <c r="E661" s="296" t="str">
        <f t="array" ref="E661">IF(ISNA($AA661),0,INDEX(DECLARATIONS,$AA661,5))</f>
        <v/>
      </c>
      <c r="F661" s="209" t="str">
        <f t="array" ref="F661">IF(ISNA($AA661),0,INDEX(DECLARATIONS,$AA661,7))</f>
        <v/>
      </c>
      <c r="G661" s="209" t="str">
        <f t="array" ref="G661">UPPER(IF(ISNA($AA661),"",INDEX(DECLARATIONS,$AA661,4)))</f>
        <v/>
      </c>
      <c r="H661" t="str">
        <f>IF(AND(A661&gt;0,ISTEXT(B661)),IF(SECNAME="YES",LEFT(B661&amp;" ",FIND(" ",B661&amp;" ")+2)&amp;IF(F661&gt;0," ("&amp;F661&amp;")",""),B661&amp;IF(F661&gt;0," ("&amp;F661&amp;")","")),"#"&amp;$A661)</f>
        <v/>
      </c>
      <c r="I661" s="209">
        <f>IF(LEN($A661)&gt;0,IF(LEN($J661)&gt;0,MATCH(J661,MatchNames,0),EventIndex),0)</f>
        <v>0</v>
      </c>
      <c r="J661" s="209" t="str">
        <f>IF(LEN($A661)&gt;0,IF(LEN(Declarations!$F661)&gt;0,Declarations!$F661,conftype),"")</f>
        <v/>
      </c>
      <c r="M661" s="297">
        <f>IF(ISNA(VLOOKUP($A661,SprintData,2,FALSE)),0,VLOOKUP($A661,SprintData,2,FALSE))</f>
        <v>0</v>
      </c>
      <c r="N661" s="297">
        <f>IF(ISNA(VLOOKUP($A661,JumpData,2,FALSE)),0,VLOOKUP($A661,JumpData,2,FALSE))</f>
        <v>0</v>
      </c>
      <c r="O661" s="297">
        <f>IF(ISNA(VLOOKUP($A661,RunData,2,FALSE)),0,VLOOKUP($A661,RunData,2,FALSE))</f>
        <v>0</v>
      </c>
      <c r="P661" s="297">
        <f>IF(ISNA(VLOOKUP($A661,ThrowData,2,FALSE)),0,VLOOKUP($A661,ThrowData,2,FALSE))</f>
        <v>0</v>
      </c>
      <c r="Q661" s="298">
        <f>IF(ISNA(VLOOKUP($A661,SprintData,4,FALSE)),0,VLOOKUP($A661,SprintData,4,FALSE))+V661</f>
        <v>0</v>
      </c>
      <c r="R661" s="298">
        <f>IF(ISNA(VLOOKUP($A661,JumpData,4,FALSE)),0,VLOOKUP($A661,JumpData,4,FALSE))+W661</f>
        <v>0</v>
      </c>
      <c r="S661" s="298">
        <f>IF(ISNA(VLOOKUP($A661,RunData,4,FALSE)),0,VLOOKUP($A661,RunData,4,FALSE))+X661</f>
        <v>0</v>
      </c>
      <c r="T661" s="298">
        <f>IF(ISNA(VLOOKUP($A661,ThrowData,4,FALSE)),0,VLOOKUP($A661,ThrowData,4,FALSE))+Y661</f>
        <v>0</v>
      </c>
      <c r="U661" s="299">
        <f t="shared" si="2"/>
        <v>0</v>
      </c>
      <c r="V661">
        <f>IF(AND($F661&gt;0,NOT(M661),Flexing),FlexPC,0)</f>
        <v>0</v>
      </c>
      <c r="W661">
        <f>IF(AND($F661&gt;0,NOT(N661),Flexing),FlexPC,0)</f>
        <v>0</v>
      </c>
      <c r="X661">
        <f>IF(AND($F661&gt;0,NOT(O661),Flexing),FlexPC,0)</f>
        <v>0</v>
      </c>
      <c r="Y661">
        <f>IF(AND($F661&gt;0,NOT(P661),Flexing),FlexPC,0)</f>
        <v>0</v>
      </c>
      <c r="AA661" s="209">
        <f t="shared" si="3"/>
        <v>660</v>
      </c>
    </row>
    <row r="662" ht="15.75" customHeight="1">
      <c r="A662" s="206" t="str">
        <f>+Declarations!A662&amp;""</f>
        <v/>
      </c>
      <c r="B662" t="str">
        <f>IF(LEN($A662),IF(LEN(Declarations!$B662)&gt;0,Declarations!$B662,"#"&amp;$A662),"")</f>
        <v/>
      </c>
      <c r="C662" s="209" t="str">
        <f t="array" ref="C662">IF(LEN(INDEX(DECLARATIONS,$AA662,3))&gt;0,INDEX(DECLARATIONS,$AA662,3),"...")</f>
        <v>...</v>
      </c>
      <c r="D662" s="209" t="str">
        <f t="shared" si="1"/>
        <v/>
      </c>
      <c r="E662" s="296" t="str">
        <f t="array" ref="E662">IF(ISNA($AA662),0,INDEX(DECLARATIONS,$AA662,5))</f>
        <v/>
      </c>
      <c r="F662" s="209" t="str">
        <f t="array" ref="F662">IF(ISNA($AA662),0,INDEX(DECLARATIONS,$AA662,7))</f>
        <v/>
      </c>
      <c r="G662" s="209" t="str">
        <f t="array" ref="G662">UPPER(IF(ISNA($AA662),"",INDEX(DECLARATIONS,$AA662,4)))</f>
        <v/>
      </c>
      <c r="H662" t="str">
        <f>IF(AND(A662&gt;0,ISTEXT(B662)),IF(SECNAME="YES",LEFT(B662&amp;" ",FIND(" ",B662&amp;" ")+2)&amp;IF(F662&gt;0," ("&amp;F662&amp;")",""),B662&amp;IF(F662&gt;0," ("&amp;F662&amp;")","")),"#"&amp;$A662)</f>
        <v/>
      </c>
      <c r="I662" s="209">
        <f>IF(LEN($A662)&gt;0,IF(LEN($J662)&gt;0,MATCH(J662,MatchNames,0),EventIndex),0)</f>
        <v>0</v>
      </c>
      <c r="J662" s="209" t="str">
        <f>IF(LEN($A662)&gt;0,IF(LEN(Declarations!$F662)&gt;0,Declarations!$F662,conftype),"")</f>
        <v/>
      </c>
      <c r="M662" s="297">
        <f>IF(ISNA(VLOOKUP($A662,SprintData,2,FALSE)),0,VLOOKUP($A662,SprintData,2,FALSE))</f>
        <v>0</v>
      </c>
      <c r="N662" s="297">
        <f>IF(ISNA(VLOOKUP($A662,JumpData,2,FALSE)),0,VLOOKUP($A662,JumpData,2,FALSE))</f>
        <v>0</v>
      </c>
      <c r="O662" s="297">
        <f>IF(ISNA(VLOOKUP($A662,RunData,2,FALSE)),0,VLOOKUP($A662,RunData,2,FALSE))</f>
        <v>0</v>
      </c>
      <c r="P662" s="297">
        <f>IF(ISNA(VLOOKUP($A662,ThrowData,2,FALSE)),0,VLOOKUP($A662,ThrowData,2,FALSE))</f>
        <v>0</v>
      </c>
      <c r="Q662" s="298">
        <f>IF(ISNA(VLOOKUP($A662,SprintData,4,FALSE)),0,VLOOKUP($A662,SprintData,4,FALSE))+V662</f>
        <v>0</v>
      </c>
      <c r="R662" s="298">
        <f>IF(ISNA(VLOOKUP($A662,JumpData,4,FALSE)),0,VLOOKUP($A662,JumpData,4,FALSE))+W662</f>
        <v>0</v>
      </c>
      <c r="S662" s="298">
        <f>IF(ISNA(VLOOKUP($A662,RunData,4,FALSE)),0,VLOOKUP($A662,RunData,4,FALSE))+X662</f>
        <v>0</v>
      </c>
      <c r="T662" s="298">
        <f>IF(ISNA(VLOOKUP($A662,ThrowData,4,FALSE)),0,VLOOKUP($A662,ThrowData,4,FALSE))+Y662</f>
        <v>0</v>
      </c>
      <c r="U662" s="299">
        <f t="shared" si="2"/>
        <v>0</v>
      </c>
      <c r="V662">
        <f>IF(AND($F662&gt;0,NOT(M662),Flexing),FlexPC,0)</f>
        <v>0</v>
      </c>
      <c r="W662">
        <f>IF(AND($F662&gt;0,NOT(N662),Flexing),FlexPC,0)</f>
        <v>0</v>
      </c>
      <c r="X662">
        <f>IF(AND($F662&gt;0,NOT(O662),Flexing),FlexPC,0)</f>
        <v>0</v>
      </c>
      <c r="Y662">
        <f>IF(AND($F662&gt;0,NOT(P662),Flexing),FlexPC,0)</f>
        <v>0</v>
      </c>
      <c r="AA662" s="209">
        <f t="shared" si="3"/>
        <v>661</v>
      </c>
    </row>
    <row r="663" ht="15.75" customHeight="1">
      <c r="A663" s="206" t="str">
        <f>+Declarations!A663&amp;""</f>
        <v/>
      </c>
      <c r="B663" t="str">
        <f>IF(LEN($A663),IF(LEN(Declarations!$B663)&gt;0,Declarations!$B663,"#"&amp;$A663),"")</f>
        <v/>
      </c>
      <c r="C663" s="209" t="str">
        <f t="array" ref="C663">IF(LEN(INDEX(DECLARATIONS,$AA663,3))&gt;0,INDEX(DECLARATIONS,$AA663,3),"...")</f>
        <v>...</v>
      </c>
      <c r="D663" s="209" t="str">
        <f t="shared" si="1"/>
        <v/>
      </c>
      <c r="E663" s="296" t="str">
        <f t="array" ref="E663">IF(ISNA($AA663),0,INDEX(DECLARATIONS,$AA663,5))</f>
        <v/>
      </c>
      <c r="F663" s="209" t="str">
        <f t="array" ref="F663">IF(ISNA($AA663),0,INDEX(DECLARATIONS,$AA663,7))</f>
        <v/>
      </c>
      <c r="G663" s="209" t="str">
        <f t="array" ref="G663">UPPER(IF(ISNA($AA663),"",INDEX(DECLARATIONS,$AA663,4)))</f>
        <v/>
      </c>
      <c r="H663" t="str">
        <f>IF(AND(A663&gt;0,ISTEXT(B663)),IF(SECNAME="YES",LEFT(B663&amp;" ",FIND(" ",B663&amp;" ")+2)&amp;IF(F663&gt;0," ("&amp;F663&amp;")",""),B663&amp;IF(F663&gt;0," ("&amp;F663&amp;")","")),"#"&amp;$A663)</f>
        <v/>
      </c>
      <c r="I663" s="209">
        <f>IF(LEN($A663)&gt;0,IF(LEN($J663)&gt;0,MATCH(J663,MatchNames,0),EventIndex),0)</f>
        <v>0</v>
      </c>
      <c r="J663" s="209" t="str">
        <f>IF(LEN($A663)&gt;0,IF(LEN(Declarations!$F663)&gt;0,Declarations!$F663,conftype),"")</f>
        <v/>
      </c>
      <c r="M663" s="297">
        <f>IF(ISNA(VLOOKUP($A663,SprintData,2,FALSE)),0,VLOOKUP($A663,SprintData,2,FALSE))</f>
        <v>0</v>
      </c>
      <c r="N663" s="297">
        <f>IF(ISNA(VLOOKUP($A663,JumpData,2,FALSE)),0,VLOOKUP($A663,JumpData,2,FALSE))</f>
        <v>0</v>
      </c>
      <c r="O663" s="297">
        <f>IF(ISNA(VLOOKUP($A663,RunData,2,FALSE)),0,VLOOKUP($A663,RunData,2,FALSE))</f>
        <v>0</v>
      </c>
      <c r="P663" s="297">
        <f>IF(ISNA(VLOOKUP($A663,ThrowData,2,FALSE)),0,VLOOKUP($A663,ThrowData,2,FALSE))</f>
        <v>0</v>
      </c>
      <c r="Q663" s="298">
        <f>IF(ISNA(VLOOKUP($A663,SprintData,4,FALSE)),0,VLOOKUP($A663,SprintData,4,FALSE))+V663</f>
        <v>0</v>
      </c>
      <c r="R663" s="298">
        <f>IF(ISNA(VLOOKUP($A663,JumpData,4,FALSE)),0,VLOOKUP($A663,JumpData,4,FALSE))+W663</f>
        <v>0</v>
      </c>
      <c r="S663" s="298">
        <f>IF(ISNA(VLOOKUP($A663,RunData,4,FALSE)),0,VLOOKUP($A663,RunData,4,FALSE))+X663</f>
        <v>0</v>
      </c>
      <c r="T663" s="298">
        <f>IF(ISNA(VLOOKUP($A663,ThrowData,4,FALSE)),0,VLOOKUP($A663,ThrowData,4,FALSE))+Y663</f>
        <v>0</v>
      </c>
      <c r="U663" s="299">
        <f t="shared" si="2"/>
        <v>0</v>
      </c>
      <c r="V663">
        <f>IF(AND($F663&gt;0,NOT(M663),Flexing),FlexPC,0)</f>
        <v>0</v>
      </c>
      <c r="W663">
        <f>IF(AND($F663&gt;0,NOT(N663),Flexing),FlexPC,0)</f>
        <v>0</v>
      </c>
      <c r="X663">
        <f>IF(AND($F663&gt;0,NOT(O663),Flexing),FlexPC,0)</f>
        <v>0</v>
      </c>
      <c r="Y663">
        <f>IF(AND($F663&gt;0,NOT(P663),Flexing),FlexPC,0)</f>
        <v>0</v>
      </c>
      <c r="AA663" s="209">
        <f t="shared" si="3"/>
        <v>662</v>
      </c>
    </row>
    <row r="664" ht="15.75" customHeight="1">
      <c r="A664" s="206" t="str">
        <f>+Declarations!A664&amp;""</f>
        <v/>
      </c>
      <c r="B664" t="str">
        <f>IF(LEN($A664),IF(LEN(Declarations!$B664)&gt;0,Declarations!$B664,"#"&amp;$A664),"")</f>
        <v/>
      </c>
      <c r="C664" s="209" t="str">
        <f t="array" ref="C664">IF(LEN(INDEX(DECLARATIONS,$AA664,3))&gt;0,INDEX(DECLARATIONS,$AA664,3),"...")</f>
        <v>...</v>
      </c>
      <c r="D664" s="209" t="str">
        <f t="shared" si="1"/>
        <v/>
      </c>
      <c r="E664" s="296" t="str">
        <f t="array" ref="E664">IF(ISNA($AA664),0,INDEX(DECLARATIONS,$AA664,5))</f>
        <v/>
      </c>
      <c r="F664" s="209" t="str">
        <f t="array" ref="F664">IF(ISNA($AA664),0,INDEX(DECLARATIONS,$AA664,7))</f>
        <v/>
      </c>
      <c r="G664" s="209" t="str">
        <f t="array" ref="G664">UPPER(IF(ISNA($AA664),"",INDEX(DECLARATIONS,$AA664,4)))</f>
        <v/>
      </c>
      <c r="H664" t="str">
        <f>IF(AND(A664&gt;0,ISTEXT(B664)),IF(SECNAME="YES",LEFT(B664&amp;" ",FIND(" ",B664&amp;" ")+2)&amp;IF(F664&gt;0," ("&amp;F664&amp;")",""),B664&amp;IF(F664&gt;0," ("&amp;F664&amp;")","")),"#"&amp;$A664)</f>
        <v/>
      </c>
      <c r="I664" s="209">
        <f>IF(LEN($A664)&gt;0,IF(LEN($J664)&gt;0,MATCH(J664,MatchNames,0),EventIndex),0)</f>
        <v>0</v>
      </c>
      <c r="J664" s="209" t="str">
        <f>IF(LEN($A664)&gt;0,IF(LEN(Declarations!$F664)&gt;0,Declarations!$F664,conftype),"")</f>
        <v/>
      </c>
      <c r="M664" s="297">
        <f>IF(ISNA(VLOOKUP($A664,SprintData,2,FALSE)),0,VLOOKUP($A664,SprintData,2,FALSE))</f>
        <v>0</v>
      </c>
      <c r="N664" s="297">
        <f>IF(ISNA(VLOOKUP($A664,JumpData,2,FALSE)),0,VLOOKUP($A664,JumpData,2,FALSE))</f>
        <v>0</v>
      </c>
      <c r="O664" s="297">
        <f>IF(ISNA(VLOOKUP($A664,RunData,2,FALSE)),0,VLOOKUP($A664,RunData,2,FALSE))</f>
        <v>0</v>
      </c>
      <c r="P664" s="297">
        <f>IF(ISNA(VLOOKUP($A664,ThrowData,2,FALSE)),0,VLOOKUP($A664,ThrowData,2,FALSE))</f>
        <v>0</v>
      </c>
      <c r="Q664" s="298">
        <f>IF(ISNA(VLOOKUP($A664,SprintData,4,FALSE)),0,VLOOKUP($A664,SprintData,4,FALSE))+V664</f>
        <v>0</v>
      </c>
      <c r="R664" s="298">
        <f>IF(ISNA(VLOOKUP($A664,JumpData,4,FALSE)),0,VLOOKUP($A664,JumpData,4,FALSE))+W664</f>
        <v>0</v>
      </c>
      <c r="S664" s="298">
        <f>IF(ISNA(VLOOKUP($A664,RunData,4,FALSE)),0,VLOOKUP($A664,RunData,4,FALSE))+X664</f>
        <v>0</v>
      </c>
      <c r="T664" s="298">
        <f>IF(ISNA(VLOOKUP($A664,ThrowData,4,FALSE)),0,VLOOKUP($A664,ThrowData,4,FALSE))+Y664</f>
        <v>0</v>
      </c>
      <c r="U664" s="299">
        <f t="shared" si="2"/>
        <v>0</v>
      </c>
      <c r="V664">
        <f>IF(AND($F664&gt;0,NOT(M664),Flexing),FlexPC,0)</f>
        <v>0</v>
      </c>
      <c r="W664">
        <f>IF(AND($F664&gt;0,NOT(N664),Flexing),FlexPC,0)</f>
        <v>0</v>
      </c>
      <c r="X664">
        <f>IF(AND($F664&gt;0,NOT(O664),Flexing),FlexPC,0)</f>
        <v>0</v>
      </c>
      <c r="Y664">
        <f>IF(AND($F664&gt;0,NOT(P664),Flexing),FlexPC,0)</f>
        <v>0</v>
      </c>
      <c r="AA664" s="209">
        <f t="shared" si="3"/>
        <v>663</v>
      </c>
    </row>
    <row r="665" ht="15.75" customHeight="1">
      <c r="A665" s="206" t="str">
        <f>+Declarations!A665&amp;""</f>
        <v/>
      </c>
      <c r="B665" t="str">
        <f>IF(LEN($A665),IF(LEN(Declarations!$B665)&gt;0,Declarations!$B665,"#"&amp;$A665),"")</f>
        <v/>
      </c>
      <c r="C665" s="209" t="str">
        <f t="array" ref="C665">IF(LEN(INDEX(DECLARATIONS,$AA665,3))&gt;0,INDEX(DECLARATIONS,$AA665,3),"...")</f>
        <v>...</v>
      </c>
      <c r="D665" s="209" t="str">
        <f t="shared" si="1"/>
        <v/>
      </c>
      <c r="E665" s="296" t="str">
        <f t="array" ref="E665">IF(ISNA($AA665),0,INDEX(DECLARATIONS,$AA665,5))</f>
        <v/>
      </c>
      <c r="F665" s="209" t="str">
        <f t="array" ref="F665">IF(ISNA($AA665),0,INDEX(DECLARATIONS,$AA665,7))</f>
        <v/>
      </c>
      <c r="G665" s="209" t="str">
        <f t="array" ref="G665">UPPER(IF(ISNA($AA665),"",INDEX(DECLARATIONS,$AA665,4)))</f>
        <v/>
      </c>
      <c r="H665" t="str">
        <f>IF(AND(A665&gt;0,ISTEXT(B665)),IF(SECNAME="YES",LEFT(B665&amp;" ",FIND(" ",B665&amp;" ")+2)&amp;IF(F665&gt;0," ("&amp;F665&amp;")",""),B665&amp;IF(F665&gt;0," ("&amp;F665&amp;")","")),"#"&amp;$A665)</f>
        <v/>
      </c>
      <c r="I665" s="209">
        <f>IF(LEN($A665)&gt;0,IF(LEN($J665)&gt;0,MATCH(J665,MatchNames,0),EventIndex),0)</f>
        <v>0</v>
      </c>
      <c r="J665" s="209" t="str">
        <f>IF(LEN($A665)&gt;0,IF(LEN(Declarations!$F665)&gt;0,Declarations!$F665,conftype),"")</f>
        <v/>
      </c>
      <c r="M665" s="297">
        <f>IF(ISNA(VLOOKUP($A665,SprintData,2,FALSE)),0,VLOOKUP($A665,SprintData,2,FALSE))</f>
        <v>0</v>
      </c>
      <c r="N665" s="297">
        <f>IF(ISNA(VLOOKUP($A665,JumpData,2,FALSE)),0,VLOOKUP($A665,JumpData,2,FALSE))</f>
        <v>0</v>
      </c>
      <c r="O665" s="297">
        <f>IF(ISNA(VLOOKUP($A665,RunData,2,FALSE)),0,VLOOKUP($A665,RunData,2,FALSE))</f>
        <v>0</v>
      </c>
      <c r="P665" s="297">
        <f>IF(ISNA(VLOOKUP($A665,ThrowData,2,FALSE)),0,VLOOKUP($A665,ThrowData,2,FALSE))</f>
        <v>0</v>
      </c>
      <c r="Q665" s="298">
        <f>IF(ISNA(VLOOKUP($A665,SprintData,4,FALSE)),0,VLOOKUP($A665,SprintData,4,FALSE))+V665</f>
        <v>0</v>
      </c>
      <c r="R665" s="298">
        <f>IF(ISNA(VLOOKUP($A665,JumpData,4,FALSE)),0,VLOOKUP($A665,JumpData,4,FALSE))+W665</f>
        <v>0</v>
      </c>
      <c r="S665" s="298">
        <f>IF(ISNA(VLOOKUP($A665,RunData,4,FALSE)),0,VLOOKUP($A665,RunData,4,FALSE))+X665</f>
        <v>0</v>
      </c>
      <c r="T665" s="298">
        <f>IF(ISNA(VLOOKUP($A665,ThrowData,4,FALSE)),0,VLOOKUP($A665,ThrowData,4,FALSE))+Y665</f>
        <v>0</v>
      </c>
      <c r="U665" s="299">
        <f t="shared" si="2"/>
        <v>0</v>
      </c>
      <c r="V665">
        <f>IF(AND($F665&gt;0,NOT(M665),Flexing),FlexPC,0)</f>
        <v>0</v>
      </c>
      <c r="W665">
        <f>IF(AND($F665&gt;0,NOT(N665),Flexing),FlexPC,0)</f>
        <v>0</v>
      </c>
      <c r="X665">
        <f>IF(AND($F665&gt;0,NOT(O665),Flexing),FlexPC,0)</f>
        <v>0</v>
      </c>
      <c r="Y665">
        <f>IF(AND($F665&gt;0,NOT(P665),Flexing),FlexPC,0)</f>
        <v>0</v>
      </c>
      <c r="AA665" s="209">
        <f t="shared" si="3"/>
        <v>664</v>
      </c>
    </row>
    <row r="666" ht="15.75" customHeight="1">
      <c r="A666" s="206" t="str">
        <f>+Declarations!A666&amp;""</f>
        <v/>
      </c>
      <c r="B666" t="str">
        <f>IF(LEN($A666),IF(LEN(Declarations!$B666)&gt;0,Declarations!$B666,"#"&amp;$A666),"")</f>
        <v/>
      </c>
      <c r="C666" s="209" t="str">
        <f t="array" ref="C666">IF(LEN(INDEX(DECLARATIONS,$AA666,3))&gt;0,INDEX(DECLARATIONS,$AA666,3),"...")</f>
        <v>...</v>
      </c>
      <c r="D666" s="209" t="str">
        <f t="shared" si="1"/>
        <v/>
      </c>
      <c r="E666" s="296" t="str">
        <f t="array" ref="E666">IF(ISNA($AA666),0,INDEX(DECLARATIONS,$AA666,5))</f>
        <v/>
      </c>
      <c r="F666" s="209" t="str">
        <f t="array" ref="F666">IF(ISNA($AA666),0,INDEX(DECLARATIONS,$AA666,7))</f>
        <v/>
      </c>
      <c r="G666" s="209" t="str">
        <f t="array" ref="G666">UPPER(IF(ISNA($AA666),"",INDEX(DECLARATIONS,$AA666,4)))</f>
        <v/>
      </c>
      <c r="H666" t="str">
        <f>IF(AND(A666&gt;0,ISTEXT(B666)),IF(SECNAME="YES",LEFT(B666&amp;" ",FIND(" ",B666&amp;" ")+2)&amp;IF(F666&gt;0," ("&amp;F666&amp;")",""),B666&amp;IF(F666&gt;0," ("&amp;F666&amp;")","")),"#"&amp;$A666)</f>
        <v/>
      </c>
      <c r="I666" s="209">
        <f>IF(LEN($A666)&gt;0,IF(LEN($J666)&gt;0,MATCH(J666,MatchNames,0),EventIndex),0)</f>
        <v>0</v>
      </c>
      <c r="J666" s="209" t="str">
        <f>IF(LEN($A666)&gt;0,IF(LEN(Declarations!$F666)&gt;0,Declarations!$F666,conftype),"")</f>
        <v/>
      </c>
      <c r="M666" s="297">
        <f>IF(ISNA(VLOOKUP($A666,SprintData,2,FALSE)),0,VLOOKUP($A666,SprintData,2,FALSE))</f>
        <v>0</v>
      </c>
      <c r="N666" s="297">
        <f>IF(ISNA(VLOOKUP($A666,JumpData,2,FALSE)),0,VLOOKUP($A666,JumpData,2,FALSE))</f>
        <v>0</v>
      </c>
      <c r="O666" s="297">
        <f>IF(ISNA(VLOOKUP($A666,RunData,2,FALSE)),0,VLOOKUP($A666,RunData,2,FALSE))</f>
        <v>0</v>
      </c>
      <c r="P666" s="297">
        <f>IF(ISNA(VLOOKUP($A666,ThrowData,2,FALSE)),0,VLOOKUP($A666,ThrowData,2,FALSE))</f>
        <v>0</v>
      </c>
      <c r="Q666" s="298">
        <f>IF(ISNA(VLOOKUP($A666,SprintData,4,FALSE)),0,VLOOKUP($A666,SprintData,4,FALSE))+V666</f>
        <v>0</v>
      </c>
      <c r="R666" s="298">
        <f>IF(ISNA(VLOOKUP($A666,JumpData,4,FALSE)),0,VLOOKUP($A666,JumpData,4,FALSE))+W666</f>
        <v>0</v>
      </c>
      <c r="S666" s="298">
        <f>IF(ISNA(VLOOKUP($A666,RunData,4,FALSE)),0,VLOOKUP($A666,RunData,4,FALSE))+X666</f>
        <v>0</v>
      </c>
      <c r="T666" s="298">
        <f>IF(ISNA(VLOOKUP($A666,ThrowData,4,FALSE)),0,VLOOKUP($A666,ThrowData,4,FALSE))+Y666</f>
        <v>0</v>
      </c>
      <c r="U666" s="299">
        <f t="shared" si="2"/>
        <v>0</v>
      </c>
      <c r="V666">
        <f>IF(AND($F666&gt;0,NOT(M666),Flexing),FlexPC,0)</f>
        <v>0</v>
      </c>
      <c r="W666">
        <f>IF(AND($F666&gt;0,NOT(N666),Flexing),FlexPC,0)</f>
        <v>0</v>
      </c>
      <c r="X666">
        <f>IF(AND($F666&gt;0,NOT(O666),Flexing),FlexPC,0)</f>
        <v>0</v>
      </c>
      <c r="Y666">
        <f>IF(AND($F666&gt;0,NOT(P666),Flexing),FlexPC,0)</f>
        <v>0</v>
      </c>
      <c r="AA666" s="209">
        <f t="shared" si="3"/>
        <v>665</v>
      </c>
    </row>
    <row r="667" ht="15.75" customHeight="1">
      <c r="A667" s="206" t="str">
        <f>+Declarations!A667&amp;""</f>
        <v/>
      </c>
      <c r="B667" t="str">
        <f>IF(LEN($A667),IF(LEN(Declarations!$B667)&gt;0,Declarations!$B667,"#"&amp;$A667),"")</f>
        <v/>
      </c>
      <c r="C667" s="209" t="str">
        <f t="array" ref="C667">IF(LEN(INDEX(DECLARATIONS,$AA667,3))&gt;0,INDEX(DECLARATIONS,$AA667,3),"...")</f>
        <v>...</v>
      </c>
      <c r="D667" s="209" t="str">
        <f t="shared" si="1"/>
        <v/>
      </c>
      <c r="E667" s="296" t="str">
        <f t="array" ref="E667">IF(ISNA($AA667),0,INDEX(DECLARATIONS,$AA667,5))</f>
        <v/>
      </c>
      <c r="F667" s="209" t="str">
        <f t="array" ref="F667">IF(ISNA($AA667),0,INDEX(DECLARATIONS,$AA667,7))</f>
        <v/>
      </c>
      <c r="G667" s="209" t="str">
        <f t="array" ref="G667">UPPER(IF(ISNA($AA667),"",INDEX(DECLARATIONS,$AA667,4)))</f>
        <v/>
      </c>
      <c r="H667" t="str">
        <f>IF(AND(A667&gt;0,ISTEXT(B667)),IF(SECNAME="YES",LEFT(B667&amp;" ",FIND(" ",B667&amp;" ")+2)&amp;IF(F667&gt;0," ("&amp;F667&amp;")",""),B667&amp;IF(F667&gt;0," ("&amp;F667&amp;")","")),"#"&amp;$A667)</f>
        <v/>
      </c>
      <c r="I667" s="209">
        <f>IF(LEN($A667)&gt;0,IF(LEN($J667)&gt;0,MATCH(J667,MatchNames,0),EventIndex),0)</f>
        <v>0</v>
      </c>
      <c r="J667" s="209" t="str">
        <f>IF(LEN($A667)&gt;0,IF(LEN(Declarations!$F667)&gt;0,Declarations!$F667,conftype),"")</f>
        <v/>
      </c>
      <c r="M667" s="297">
        <f>IF(ISNA(VLOOKUP($A667,SprintData,2,FALSE)),0,VLOOKUP($A667,SprintData,2,FALSE))</f>
        <v>0</v>
      </c>
      <c r="N667" s="297">
        <f>IF(ISNA(VLOOKUP($A667,JumpData,2,FALSE)),0,VLOOKUP($A667,JumpData,2,FALSE))</f>
        <v>0</v>
      </c>
      <c r="O667" s="297">
        <f>IF(ISNA(VLOOKUP($A667,RunData,2,FALSE)),0,VLOOKUP($A667,RunData,2,FALSE))</f>
        <v>0</v>
      </c>
      <c r="P667" s="297">
        <f>IF(ISNA(VLOOKUP($A667,ThrowData,2,FALSE)),0,VLOOKUP($A667,ThrowData,2,FALSE))</f>
        <v>0</v>
      </c>
      <c r="Q667" s="298">
        <f>IF(ISNA(VLOOKUP($A667,SprintData,4,FALSE)),0,VLOOKUP($A667,SprintData,4,FALSE))+V667</f>
        <v>0</v>
      </c>
      <c r="R667" s="298">
        <f>IF(ISNA(VLOOKUP($A667,JumpData,4,FALSE)),0,VLOOKUP($A667,JumpData,4,FALSE))+W667</f>
        <v>0</v>
      </c>
      <c r="S667" s="298">
        <f>IF(ISNA(VLOOKUP($A667,RunData,4,FALSE)),0,VLOOKUP($A667,RunData,4,FALSE))+X667</f>
        <v>0</v>
      </c>
      <c r="T667" s="298">
        <f>IF(ISNA(VLOOKUP($A667,ThrowData,4,FALSE)),0,VLOOKUP($A667,ThrowData,4,FALSE))+Y667</f>
        <v>0</v>
      </c>
      <c r="U667" s="299">
        <f t="shared" si="2"/>
        <v>0</v>
      </c>
      <c r="V667">
        <f>IF(AND($F667&gt;0,NOT(M667),Flexing),FlexPC,0)</f>
        <v>0</v>
      </c>
      <c r="W667">
        <f>IF(AND($F667&gt;0,NOT(N667),Flexing),FlexPC,0)</f>
        <v>0</v>
      </c>
      <c r="X667">
        <f>IF(AND($F667&gt;0,NOT(O667),Flexing),FlexPC,0)</f>
        <v>0</v>
      </c>
      <c r="Y667">
        <f>IF(AND($F667&gt;0,NOT(P667),Flexing),FlexPC,0)</f>
        <v>0</v>
      </c>
      <c r="AA667" s="209">
        <f t="shared" si="3"/>
        <v>666</v>
      </c>
    </row>
    <row r="668" ht="15.75" customHeight="1">
      <c r="A668" s="206" t="str">
        <f>+Declarations!A668&amp;""</f>
        <v/>
      </c>
      <c r="B668" t="str">
        <f>IF(LEN($A668),IF(LEN(Declarations!$B668)&gt;0,Declarations!$B668,"#"&amp;$A668),"")</f>
        <v/>
      </c>
      <c r="C668" s="209" t="str">
        <f t="array" ref="C668">IF(LEN(INDEX(DECLARATIONS,$AA668,3))&gt;0,INDEX(DECLARATIONS,$AA668,3),"...")</f>
        <v>...</v>
      </c>
      <c r="D668" s="209" t="str">
        <f t="shared" si="1"/>
        <v/>
      </c>
      <c r="E668" s="296" t="str">
        <f t="array" ref="E668">IF(ISNA($AA668),0,INDEX(DECLARATIONS,$AA668,5))</f>
        <v/>
      </c>
      <c r="F668" s="209" t="str">
        <f t="array" ref="F668">IF(ISNA($AA668),0,INDEX(DECLARATIONS,$AA668,7))</f>
        <v/>
      </c>
      <c r="G668" s="209" t="str">
        <f t="array" ref="G668">UPPER(IF(ISNA($AA668),"",INDEX(DECLARATIONS,$AA668,4)))</f>
        <v/>
      </c>
      <c r="H668" t="str">
        <f>IF(AND(A668&gt;0,ISTEXT(B668)),IF(SECNAME="YES",LEFT(B668&amp;" ",FIND(" ",B668&amp;" ")+2)&amp;IF(F668&gt;0," ("&amp;F668&amp;")",""),B668&amp;IF(F668&gt;0," ("&amp;F668&amp;")","")),"#"&amp;$A668)</f>
        <v/>
      </c>
      <c r="I668" s="209">
        <f>IF(LEN($A668)&gt;0,IF(LEN($J668)&gt;0,MATCH(J668,MatchNames,0),EventIndex),0)</f>
        <v>0</v>
      </c>
      <c r="J668" s="209" t="str">
        <f>IF(LEN($A668)&gt;0,IF(LEN(Declarations!$F668)&gt;0,Declarations!$F668,conftype),"")</f>
        <v/>
      </c>
      <c r="M668" s="297">
        <f>IF(ISNA(VLOOKUP($A668,SprintData,2,FALSE)),0,VLOOKUP($A668,SprintData,2,FALSE))</f>
        <v>0</v>
      </c>
      <c r="N668" s="297">
        <f>IF(ISNA(VLOOKUP($A668,JumpData,2,FALSE)),0,VLOOKUP($A668,JumpData,2,FALSE))</f>
        <v>0</v>
      </c>
      <c r="O668" s="297">
        <f>IF(ISNA(VLOOKUP($A668,RunData,2,FALSE)),0,VLOOKUP($A668,RunData,2,FALSE))</f>
        <v>0</v>
      </c>
      <c r="P668" s="297">
        <f>IF(ISNA(VLOOKUP($A668,ThrowData,2,FALSE)),0,VLOOKUP($A668,ThrowData,2,FALSE))</f>
        <v>0</v>
      </c>
      <c r="Q668" s="298">
        <f>IF(ISNA(VLOOKUP($A668,SprintData,4,FALSE)),0,VLOOKUP($A668,SprintData,4,FALSE))+V668</f>
        <v>0</v>
      </c>
      <c r="R668" s="298">
        <f>IF(ISNA(VLOOKUP($A668,JumpData,4,FALSE)),0,VLOOKUP($A668,JumpData,4,FALSE))+W668</f>
        <v>0</v>
      </c>
      <c r="S668" s="298">
        <f>IF(ISNA(VLOOKUP($A668,RunData,4,FALSE)),0,VLOOKUP($A668,RunData,4,FALSE))+X668</f>
        <v>0</v>
      </c>
      <c r="T668" s="298">
        <f>IF(ISNA(VLOOKUP($A668,ThrowData,4,FALSE)),0,VLOOKUP($A668,ThrowData,4,FALSE))+Y668</f>
        <v>0</v>
      </c>
      <c r="U668" s="299">
        <f t="shared" si="2"/>
        <v>0</v>
      </c>
      <c r="V668">
        <f>IF(AND($F668&gt;0,NOT(M668),Flexing),FlexPC,0)</f>
        <v>0</v>
      </c>
      <c r="W668">
        <f>IF(AND($F668&gt;0,NOT(N668),Flexing),FlexPC,0)</f>
        <v>0</v>
      </c>
      <c r="X668">
        <f>IF(AND($F668&gt;0,NOT(O668),Flexing),FlexPC,0)</f>
        <v>0</v>
      </c>
      <c r="Y668">
        <f>IF(AND($F668&gt;0,NOT(P668),Flexing),FlexPC,0)</f>
        <v>0</v>
      </c>
      <c r="AA668" s="209">
        <f t="shared" si="3"/>
        <v>667</v>
      </c>
    </row>
    <row r="669" ht="15.75" customHeight="1">
      <c r="A669" s="206" t="str">
        <f>+Declarations!A669&amp;""</f>
        <v/>
      </c>
      <c r="B669" t="str">
        <f>IF(LEN($A669),IF(LEN(Declarations!$B669)&gt;0,Declarations!$B669,"#"&amp;$A669),"")</f>
        <v/>
      </c>
      <c r="C669" s="209" t="str">
        <f t="array" ref="C669">IF(LEN(INDEX(DECLARATIONS,$AA669,3))&gt;0,INDEX(DECLARATIONS,$AA669,3),"...")</f>
        <v>...</v>
      </c>
      <c r="D669" s="209" t="str">
        <f t="shared" si="1"/>
        <v/>
      </c>
      <c r="E669" s="296" t="str">
        <f t="array" ref="E669">IF(ISNA($AA669),0,INDEX(DECLARATIONS,$AA669,5))</f>
        <v/>
      </c>
      <c r="F669" s="209" t="str">
        <f t="array" ref="F669">IF(ISNA($AA669),0,INDEX(DECLARATIONS,$AA669,7))</f>
        <v/>
      </c>
      <c r="G669" s="209" t="str">
        <f t="array" ref="G669">UPPER(IF(ISNA($AA669),"",INDEX(DECLARATIONS,$AA669,4)))</f>
        <v/>
      </c>
      <c r="H669" t="str">
        <f>IF(AND(A669&gt;0,ISTEXT(B669)),IF(SECNAME="YES",LEFT(B669&amp;" ",FIND(" ",B669&amp;" ")+2)&amp;IF(F669&gt;0," ("&amp;F669&amp;")",""),B669&amp;IF(F669&gt;0," ("&amp;F669&amp;")","")),"#"&amp;$A669)</f>
        <v/>
      </c>
      <c r="I669" s="209">
        <f>IF(LEN($A669)&gt;0,IF(LEN($J669)&gt;0,MATCH(J669,MatchNames,0),EventIndex),0)</f>
        <v>0</v>
      </c>
      <c r="J669" s="209" t="str">
        <f>IF(LEN($A669)&gt;0,IF(LEN(Declarations!$F669)&gt;0,Declarations!$F669,conftype),"")</f>
        <v/>
      </c>
      <c r="M669" s="297">
        <f>IF(ISNA(VLOOKUP($A669,SprintData,2,FALSE)),0,VLOOKUP($A669,SprintData,2,FALSE))</f>
        <v>0</v>
      </c>
      <c r="N669" s="297">
        <f>IF(ISNA(VLOOKUP($A669,JumpData,2,FALSE)),0,VLOOKUP($A669,JumpData,2,FALSE))</f>
        <v>0</v>
      </c>
      <c r="O669" s="297">
        <f>IF(ISNA(VLOOKUP($A669,RunData,2,FALSE)),0,VLOOKUP($A669,RunData,2,FALSE))</f>
        <v>0</v>
      </c>
      <c r="P669" s="297">
        <f>IF(ISNA(VLOOKUP($A669,ThrowData,2,FALSE)),0,VLOOKUP($A669,ThrowData,2,FALSE))</f>
        <v>0</v>
      </c>
      <c r="Q669" s="298">
        <f>IF(ISNA(VLOOKUP($A669,SprintData,4,FALSE)),0,VLOOKUP($A669,SprintData,4,FALSE))+V669</f>
        <v>0</v>
      </c>
      <c r="R669" s="298">
        <f>IF(ISNA(VLOOKUP($A669,JumpData,4,FALSE)),0,VLOOKUP($A669,JumpData,4,FALSE))+W669</f>
        <v>0</v>
      </c>
      <c r="S669" s="298">
        <f>IF(ISNA(VLOOKUP($A669,RunData,4,FALSE)),0,VLOOKUP($A669,RunData,4,FALSE))+X669</f>
        <v>0</v>
      </c>
      <c r="T669" s="298">
        <f>IF(ISNA(VLOOKUP($A669,ThrowData,4,FALSE)),0,VLOOKUP($A669,ThrowData,4,FALSE))+Y669</f>
        <v>0</v>
      </c>
      <c r="U669" s="299">
        <f t="shared" si="2"/>
        <v>0</v>
      </c>
      <c r="V669">
        <f>IF(AND($F669&gt;0,NOT(M669),Flexing),FlexPC,0)</f>
        <v>0</v>
      </c>
      <c r="W669">
        <f>IF(AND($F669&gt;0,NOT(N669),Flexing),FlexPC,0)</f>
        <v>0</v>
      </c>
      <c r="X669">
        <f>IF(AND($F669&gt;0,NOT(O669),Flexing),FlexPC,0)</f>
        <v>0</v>
      </c>
      <c r="Y669">
        <f>IF(AND($F669&gt;0,NOT(P669),Flexing),FlexPC,0)</f>
        <v>0</v>
      </c>
      <c r="AA669" s="209">
        <f t="shared" si="3"/>
        <v>668</v>
      </c>
    </row>
    <row r="670" ht="15.75" customHeight="1">
      <c r="A670" s="206" t="str">
        <f>+Declarations!A670&amp;""</f>
        <v/>
      </c>
      <c r="B670" t="str">
        <f>IF(LEN($A670),IF(LEN(Declarations!$B670)&gt;0,Declarations!$B670,"#"&amp;$A670),"")</f>
        <v/>
      </c>
      <c r="C670" s="209" t="str">
        <f t="array" ref="C670">IF(LEN(INDEX(DECLARATIONS,$AA670,3))&gt;0,INDEX(DECLARATIONS,$AA670,3),"...")</f>
        <v>...</v>
      </c>
      <c r="D670" s="209" t="str">
        <f t="shared" si="1"/>
        <v/>
      </c>
      <c r="E670" s="296" t="str">
        <f t="array" ref="E670">IF(ISNA($AA670),0,INDEX(DECLARATIONS,$AA670,5))</f>
        <v/>
      </c>
      <c r="F670" s="209" t="str">
        <f t="array" ref="F670">IF(ISNA($AA670),0,INDEX(DECLARATIONS,$AA670,7))</f>
        <v/>
      </c>
      <c r="G670" s="209" t="str">
        <f t="array" ref="G670">UPPER(IF(ISNA($AA670),"",INDEX(DECLARATIONS,$AA670,4)))</f>
        <v/>
      </c>
      <c r="H670" t="str">
        <f>IF(AND(A670&gt;0,ISTEXT(B670)),IF(SECNAME="YES",LEFT(B670&amp;" ",FIND(" ",B670&amp;" ")+2)&amp;IF(F670&gt;0," ("&amp;F670&amp;")",""),B670&amp;IF(F670&gt;0," ("&amp;F670&amp;")","")),"#"&amp;$A670)</f>
        <v/>
      </c>
      <c r="I670" s="209">
        <f>IF(LEN($A670)&gt;0,IF(LEN($J670)&gt;0,MATCH(J670,MatchNames,0),EventIndex),0)</f>
        <v>0</v>
      </c>
      <c r="J670" s="209" t="str">
        <f>IF(LEN($A670)&gt;0,IF(LEN(Declarations!$F670)&gt;0,Declarations!$F670,conftype),"")</f>
        <v/>
      </c>
      <c r="M670" s="297">
        <f>IF(ISNA(VLOOKUP($A670,SprintData,2,FALSE)),0,VLOOKUP($A670,SprintData,2,FALSE))</f>
        <v>0</v>
      </c>
      <c r="N670" s="297">
        <f>IF(ISNA(VLOOKUP($A670,JumpData,2,FALSE)),0,VLOOKUP($A670,JumpData,2,FALSE))</f>
        <v>0</v>
      </c>
      <c r="O670" s="297">
        <f>IF(ISNA(VLOOKUP($A670,RunData,2,FALSE)),0,VLOOKUP($A670,RunData,2,FALSE))</f>
        <v>0</v>
      </c>
      <c r="P670" s="297">
        <f>IF(ISNA(VLOOKUP($A670,ThrowData,2,FALSE)),0,VLOOKUP($A670,ThrowData,2,FALSE))</f>
        <v>0</v>
      </c>
      <c r="Q670" s="298">
        <f>IF(ISNA(VLOOKUP($A670,SprintData,4,FALSE)),0,VLOOKUP($A670,SprintData,4,FALSE))+V670</f>
        <v>0</v>
      </c>
      <c r="R670" s="298">
        <f>IF(ISNA(VLOOKUP($A670,JumpData,4,FALSE)),0,VLOOKUP($A670,JumpData,4,FALSE))+W670</f>
        <v>0</v>
      </c>
      <c r="S670" s="298">
        <f>IF(ISNA(VLOOKUP($A670,RunData,4,FALSE)),0,VLOOKUP($A670,RunData,4,FALSE))+X670</f>
        <v>0</v>
      </c>
      <c r="T670" s="298">
        <f>IF(ISNA(VLOOKUP($A670,ThrowData,4,FALSE)),0,VLOOKUP($A670,ThrowData,4,FALSE))+Y670</f>
        <v>0</v>
      </c>
      <c r="U670" s="299">
        <f t="shared" si="2"/>
        <v>0</v>
      </c>
      <c r="V670">
        <f>IF(AND($F670&gt;0,NOT(M670),Flexing),FlexPC,0)</f>
        <v>0</v>
      </c>
      <c r="W670">
        <f>IF(AND($F670&gt;0,NOT(N670),Flexing),FlexPC,0)</f>
        <v>0</v>
      </c>
      <c r="X670">
        <f>IF(AND($F670&gt;0,NOT(O670),Flexing),FlexPC,0)</f>
        <v>0</v>
      </c>
      <c r="Y670">
        <f>IF(AND($F670&gt;0,NOT(P670),Flexing),FlexPC,0)</f>
        <v>0</v>
      </c>
      <c r="AA670" s="209">
        <f t="shared" si="3"/>
        <v>669</v>
      </c>
    </row>
    <row r="671" ht="15.75" customHeight="1">
      <c r="A671" s="206" t="str">
        <f>+Declarations!A671&amp;""</f>
        <v/>
      </c>
      <c r="B671" t="str">
        <f>IF(LEN($A671),IF(LEN(Declarations!$B671)&gt;0,Declarations!$B671,"#"&amp;$A671),"")</f>
        <v/>
      </c>
      <c r="C671" s="209" t="str">
        <f t="array" ref="C671">IF(LEN(INDEX(DECLARATIONS,$AA671,3))&gt;0,INDEX(DECLARATIONS,$AA671,3),"...")</f>
        <v>...</v>
      </c>
      <c r="D671" s="209" t="str">
        <f t="shared" si="1"/>
        <v/>
      </c>
      <c r="E671" s="296" t="str">
        <f t="array" ref="E671">IF(ISNA($AA671),0,INDEX(DECLARATIONS,$AA671,5))</f>
        <v/>
      </c>
      <c r="F671" s="209" t="str">
        <f t="array" ref="F671">IF(ISNA($AA671),0,INDEX(DECLARATIONS,$AA671,7))</f>
        <v/>
      </c>
      <c r="G671" s="209" t="str">
        <f t="array" ref="G671">UPPER(IF(ISNA($AA671),"",INDEX(DECLARATIONS,$AA671,4)))</f>
        <v/>
      </c>
      <c r="H671" t="str">
        <f>IF(AND(A671&gt;0,ISTEXT(B671)),IF(SECNAME="YES",LEFT(B671&amp;" ",FIND(" ",B671&amp;" ")+2)&amp;IF(F671&gt;0," ("&amp;F671&amp;")",""),B671&amp;IF(F671&gt;0," ("&amp;F671&amp;")","")),"#"&amp;$A671)</f>
        <v/>
      </c>
      <c r="I671" s="209">
        <f>IF(LEN($A671)&gt;0,IF(LEN($J671)&gt;0,MATCH(J671,MatchNames,0),EventIndex),0)</f>
        <v>0</v>
      </c>
      <c r="J671" s="209" t="str">
        <f>IF(LEN($A671)&gt;0,IF(LEN(Declarations!$F671)&gt;0,Declarations!$F671,conftype),"")</f>
        <v/>
      </c>
      <c r="M671" s="297">
        <f>IF(ISNA(VLOOKUP($A671,SprintData,2,FALSE)),0,VLOOKUP($A671,SprintData,2,FALSE))</f>
        <v>0</v>
      </c>
      <c r="N671" s="297">
        <f>IF(ISNA(VLOOKUP($A671,JumpData,2,FALSE)),0,VLOOKUP($A671,JumpData,2,FALSE))</f>
        <v>0</v>
      </c>
      <c r="O671" s="297">
        <f>IF(ISNA(VLOOKUP($A671,RunData,2,FALSE)),0,VLOOKUP($A671,RunData,2,FALSE))</f>
        <v>0</v>
      </c>
      <c r="P671" s="297">
        <f>IF(ISNA(VLOOKUP($A671,ThrowData,2,FALSE)),0,VLOOKUP($A671,ThrowData,2,FALSE))</f>
        <v>0</v>
      </c>
      <c r="Q671" s="298">
        <f>IF(ISNA(VLOOKUP($A671,SprintData,4,FALSE)),0,VLOOKUP($A671,SprintData,4,FALSE))+V671</f>
        <v>0</v>
      </c>
      <c r="R671" s="298">
        <f>IF(ISNA(VLOOKUP($A671,JumpData,4,FALSE)),0,VLOOKUP($A671,JumpData,4,FALSE))+W671</f>
        <v>0</v>
      </c>
      <c r="S671" s="298">
        <f>IF(ISNA(VLOOKUP($A671,RunData,4,FALSE)),0,VLOOKUP($A671,RunData,4,FALSE))+X671</f>
        <v>0</v>
      </c>
      <c r="T671" s="298">
        <f>IF(ISNA(VLOOKUP($A671,ThrowData,4,FALSE)),0,VLOOKUP($A671,ThrowData,4,FALSE))+Y671</f>
        <v>0</v>
      </c>
      <c r="U671" s="299">
        <f t="shared" si="2"/>
        <v>0</v>
      </c>
      <c r="V671">
        <f>IF(AND($F671&gt;0,NOT(M671),Flexing),FlexPC,0)</f>
        <v>0</v>
      </c>
      <c r="W671">
        <f>IF(AND($F671&gt;0,NOT(N671),Flexing),FlexPC,0)</f>
        <v>0</v>
      </c>
      <c r="X671">
        <f>IF(AND($F671&gt;0,NOT(O671),Flexing),FlexPC,0)</f>
        <v>0</v>
      </c>
      <c r="Y671">
        <f>IF(AND($F671&gt;0,NOT(P671),Flexing),FlexPC,0)</f>
        <v>0</v>
      </c>
      <c r="AA671" s="209">
        <f t="shared" si="3"/>
        <v>670</v>
      </c>
    </row>
    <row r="672" ht="15.75" customHeight="1">
      <c r="A672" s="206" t="str">
        <f>+Declarations!A672&amp;""</f>
        <v/>
      </c>
      <c r="B672" t="str">
        <f>IF(LEN($A672),IF(LEN(Declarations!$B672)&gt;0,Declarations!$B672,"#"&amp;$A672),"")</f>
        <v/>
      </c>
      <c r="C672" s="209" t="str">
        <f t="array" ref="C672">IF(LEN(INDEX(DECLARATIONS,$AA672,3))&gt;0,INDEX(DECLARATIONS,$AA672,3),"...")</f>
        <v>...</v>
      </c>
      <c r="D672" s="209" t="str">
        <f t="shared" si="1"/>
        <v/>
      </c>
      <c r="E672" s="296" t="str">
        <f t="array" ref="E672">IF(ISNA($AA672),0,INDEX(DECLARATIONS,$AA672,5))</f>
        <v/>
      </c>
      <c r="F672" s="209" t="str">
        <f t="array" ref="F672">IF(ISNA($AA672),0,INDEX(DECLARATIONS,$AA672,7))</f>
        <v/>
      </c>
      <c r="G672" s="209" t="str">
        <f t="array" ref="G672">UPPER(IF(ISNA($AA672),"",INDEX(DECLARATIONS,$AA672,4)))</f>
        <v/>
      </c>
      <c r="H672" t="str">
        <f>IF(AND(A672&gt;0,ISTEXT(B672)),IF(SECNAME="YES",LEFT(B672&amp;" ",FIND(" ",B672&amp;" ")+2)&amp;IF(F672&gt;0," ("&amp;F672&amp;")",""),B672&amp;IF(F672&gt;0," ("&amp;F672&amp;")","")),"#"&amp;$A672)</f>
        <v/>
      </c>
      <c r="I672" s="209">
        <f>IF(LEN($A672)&gt;0,IF(LEN($J672)&gt;0,MATCH(J672,MatchNames,0),EventIndex),0)</f>
        <v>0</v>
      </c>
      <c r="J672" s="209" t="str">
        <f>IF(LEN($A672)&gt;0,IF(LEN(Declarations!$F672)&gt;0,Declarations!$F672,conftype),"")</f>
        <v/>
      </c>
      <c r="M672" s="297">
        <f>IF(ISNA(VLOOKUP($A672,SprintData,2,FALSE)),0,VLOOKUP($A672,SprintData,2,FALSE))</f>
        <v>0</v>
      </c>
      <c r="N672" s="297">
        <f>IF(ISNA(VLOOKUP($A672,JumpData,2,FALSE)),0,VLOOKUP($A672,JumpData,2,FALSE))</f>
        <v>0</v>
      </c>
      <c r="O672" s="297">
        <f>IF(ISNA(VLOOKUP($A672,RunData,2,FALSE)),0,VLOOKUP($A672,RunData,2,FALSE))</f>
        <v>0</v>
      </c>
      <c r="P672" s="297">
        <f>IF(ISNA(VLOOKUP($A672,ThrowData,2,FALSE)),0,VLOOKUP($A672,ThrowData,2,FALSE))</f>
        <v>0</v>
      </c>
      <c r="Q672" s="298">
        <f>IF(ISNA(VLOOKUP($A672,SprintData,4,FALSE)),0,VLOOKUP($A672,SprintData,4,FALSE))+V672</f>
        <v>0</v>
      </c>
      <c r="R672" s="298">
        <f>IF(ISNA(VLOOKUP($A672,JumpData,4,FALSE)),0,VLOOKUP($A672,JumpData,4,FALSE))+W672</f>
        <v>0</v>
      </c>
      <c r="S672" s="298">
        <f>IF(ISNA(VLOOKUP($A672,RunData,4,FALSE)),0,VLOOKUP($A672,RunData,4,FALSE))+X672</f>
        <v>0</v>
      </c>
      <c r="T672" s="298">
        <f>IF(ISNA(VLOOKUP($A672,ThrowData,4,FALSE)),0,VLOOKUP($A672,ThrowData,4,FALSE))+Y672</f>
        <v>0</v>
      </c>
      <c r="U672" s="299">
        <f t="shared" si="2"/>
        <v>0</v>
      </c>
      <c r="V672">
        <f>IF(AND($F672&gt;0,NOT(M672),Flexing),FlexPC,0)</f>
        <v>0</v>
      </c>
      <c r="W672">
        <f>IF(AND($F672&gt;0,NOT(N672),Flexing),FlexPC,0)</f>
        <v>0</v>
      </c>
      <c r="X672">
        <f>IF(AND($F672&gt;0,NOT(O672),Flexing),FlexPC,0)</f>
        <v>0</v>
      </c>
      <c r="Y672">
        <f>IF(AND($F672&gt;0,NOT(P672),Flexing),FlexPC,0)</f>
        <v>0</v>
      </c>
      <c r="AA672" s="209">
        <f t="shared" si="3"/>
        <v>671</v>
      </c>
    </row>
    <row r="673" ht="15.75" customHeight="1">
      <c r="A673" s="206" t="str">
        <f>+Declarations!A673&amp;""</f>
        <v/>
      </c>
      <c r="B673" t="str">
        <f>IF(LEN($A673),IF(LEN(Declarations!$B673)&gt;0,Declarations!$B673,"#"&amp;$A673),"")</f>
        <v/>
      </c>
      <c r="C673" s="209" t="str">
        <f t="array" ref="C673">IF(LEN(INDEX(DECLARATIONS,$AA673,3))&gt;0,INDEX(DECLARATIONS,$AA673,3),"...")</f>
        <v>...</v>
      </c>
      <c r="D673" s="209" t="str">
        <f t="shared" si="1"/>
        <v/>
      </c>
      <c r="E673" s="296" t="str">
        <f t="array" ref="E673">IF(ISNA($AA673),0,INDEX(DECLARATIONS,$AA673,5))</f>
        <v/>
      </c>
      <c r="F673" s="209" t="str">
        <f t="array" ref="F673">IF(ISNA($AA673),0,INDEX(DECLARATIONS,$AA673,7))</f>
        <v/>
      </c>
      <c r="G673" s="209" t="str">
        <f t="array" ref="G673">UPPER(IF(ISNA($AA673),"",INDEX(DECLARATIONS,$AA673,4)))</f>
        <v/>
      </c>
      <c r="H673" t="str">
        <f>IF(AND(A673&gt;0,ISTEXT(B673)),IF(SECNAME="YES",LEFT(B673&amp;" ",FIND(" ",B673&amp;" ")+2)&amp;IF(F673&gt;0," ("&amp;F673&amp;")",""),B673&amp;IF(F673&gt;0," ("&amp;F673&amp;")","")),"#"&amp;$A673)</f>
        <v/>
      </c>
      <c r="I673" s="209">
        <f>IF(LEN($A673)&gt;0,IF(LEN($J673)&gt;0,MATCH(J673,MatchNames,0),EventIndex),0)</f>
        <v>0</v>
      </c>
      <c r="J673" s="209" t="str">
        <f>IF(LEN($A673)&gt;0,IF(LEN(Declarations!$F673)&gt;0,Declarations!$F673,conftype),"")</f>
        <v/>
      </c>
      <c r="M673" s="297">
        <f>IF(ISNA(VLOOKUP($A673,SprintData,2,FALSE)),0,VLOOKUP($A673,SprintData,2,FALSE))</f>
        <v>0</v>
      </c>
      <c r="N673" s="297">
        <f>IF(ISNA(VLOOKUP($A673,JumpData,2,FALSE)),0,VLOOKUP($A673,JumpData,2,FALSE))</f>
        <v>0</v>
      </c>
      <c r="O673" s="297">
        <f>IF(ISNA(VLOOKUP($A673,RunData,2,FALSE)),0,VLOOKUP($A673,RunData,2,FALSE))</f>
        <v>0</v>
      </c>
      <c r="P673" s="297">
        <f>IF(ISNA(VLOOKUP($A673,ThrowData,2,FALSE)),0,VLOOKUP($A673,ThrowData,2,FALSE))</f>
        <v>0</v>
      </c>
      <c r="Q673" s="298">
        <f>IF(ISNA(VLOOKUP($A673,SprintData,4,FALSE)),0,VLOOKUP($A673,SprintData,4,FALSE))+V673</f>
        <v>0</v>
      </c>
      <c r="R673" s="298">
        <f>IF(ISNA(VLOOKUP($A673,JumpData,4,FALSE)),0,VLOOKUP($A673,JumpData,4,FALSE))+W673</f>
        <v>0</v>
      </c>
      <c r="S673" s="298">
        <f>IF(ISNA(VLOOKUP($A673,RunData,4,FALSE)),0,VLOOKUP($A673,RunData,4,FALSE))+X673</f>
        <v>0</v>
      </c>
      <c r="T673" s="298">
        <f>IF(ISNA(VLOOKUP($A673,ThrowData,4,FALSE)),0,VLOOKUP($A673,ThrowData,4,FALSE))+Y673</f>
        <v>0</v>
      </c>
      <c r="U673" s="299">
        <f t="shared" si="2"/>
        <v>0</v>
      </c>
      <c r="V673">
        <f>IF(AND($F673&gt;0,NOT(M673),Flexing),FlexPC,0)</f>
        <v>0</v>
      </c>
      <c r="W673">
        <f>IF(AND($F673&gt;0,NOT(N673),Flexing),FlexPC,0)</f>
        <v>0</v>
      </c>
      <c r="X673">
        <f>IF(AND($F673&gt;0,NOT(O673),Flexing),FlexPC,0)</f>
        <v>0</v>
      </c>
      <c r="Y673">
        <f>IF(AND($F673&gt;0,NOT(P673),Flexing),FlexPC,0)</f>
        <v>0</v>
      </c>
      <c r="AA673" s="209">
        <f t="shared" si="3"/>
        <v>672</v>
      </c>
    </row>
    <row r="674" ht="15.75" customHeight="1">
      <c r="A674" s="206" t="str">
        <f>+Declarations!A674&amp;""</f>
        <v/>
      </c>
      <c r="B674" t="str">
        <f>IF(LEN($A674),IF(LEN(Declarations!$B674)&gt;0,Declarations!$B674,"#"&amp;$A674),"")</f>
        <v/>
      </c>
      <c r="C674" s="209" t="str">
        <f t="array" ref="C674">IF(LEN(INDEX(DECLARATIONS,$AA674,3))&gt;0,INDEX(DECLARATIONS,$AA674,3),"...")</f>
        <v>...</v>
      </c>
      <c r="D674" s="209" t="str">
        <f t="shared" si="1"/>
        <v/>
      </c>
      <c r="E674" s="296" t="str">
        <f t="array" ref="E674">IF(ISNA($AA674),0,INDEX(DECLARATIONS,$AA674,5))</f>
        <v/>
      </c>
      <c r="F674" s="209" t="str">
        <f t="array" ref="F674">IF(ISNA($AA674),0,INDEX(DECLARATIONS,$AA674,7))</f>
        <v/>
      </c>
      <c r="G674" s="209" t="str">
        <f t="array" ref="G674">UPPER(IF(ISNA($AA674),"",INDEX(DECLARATIONS,$AA674,4)))</f>
        <v/>
      </c>
      <c r="H674" t="str">
        <f>IF(AND(A674&gt;0,ISTEXT(B674)),IF(SECNAME="YES",LEFT(B674&amp;" ",FIND(" ",B674&amp;" ")+2)&amp;IF(F674&gt;0," ("&amp;F674&amp;")",""),B674&amp;IF(F674&gt;0," ("&amp;F674&amp;")","")),"#"&amp;$A674)</f>
        <v/>
      </c>
      <c r="I674" s="209">
        <f>IF(LEN($A674)&gt;0,IF(LEN($J674)&gt;0,MATCH(J674,MatchNames,0),EventIndex),0)</f>
        <v>0</v>
      </c>
      <c r="J674" s="209" t="str">
        <f>IF(LEN($A674)&gt;0,IF(LEN(Declarations!$F674)&gt;0,Declarations!$F674,conftype),"")</f>
        <v/>
      </c>
      <c r="M674" s="297">
        <f>IF(ISNA(VLOOKUP($A674,SprintData,2,FALSE)),0,VLOOKUP($A674,SprintData,2,FALSE))</f>
        <v>0</v>
      </c>
      <c r="N674" s="297">
        <f>IF(ISNA(VLOOKUP($A674,JumpData,2,FALSE)),0,VLOOKUP($A674,JumpData,2,FALSE))</f>
        <v>0</v>
      </c>
      <c r="O674" s="297">
        <f>IF(ISNA(VLOOKUP($A674,RunData,2,FALSE)),0,VLOOKUP($A674,RunData,2,FALSE))</f>
        <v>0</v>
      </c>
      <c r="P674" s="297">
        <f>IF(ISNA(VLOOKUP($A674,ThrowData,2,FALSE)),0,VLOOKUP($A674,ThrowData,2,FALSE))</f>
        <v>0</v>
      </c>
      <c r="Q674" s="298">
        <f>IF(ISNA(VLOOKUP($A674,SprintData,4,FALSE)),0,VLOOKUP($A674,SprintData,4,FALSE))+V674</f>
        <v>0</v>
      </c>
      <c r="R674" s="298">
        <f>IF(ISNA(VLOOKUP($A674,JumpData,4,FALSE)),0,VLOOKUP($A674,JumpData,4,FALSE))+W674</f>
        <v>0</v>
      </c>
      <c r="S674" s="298">
        <f>IF(ISNA(VLOOKUP($A674,RunData,4,FALSE)),0,VLOOKUP($A674,RunData,4,FALSE))+X674</f>
        <v>0</v>
      </c>
      <c r="T674" s="298">
        <f>IF(ISNA(VLOOKUP($A674,ThrowData,4,FALSE)),0,VLOOKUP($A674,ThrowData,4,FALSE))+Y674</f>
        <v>0</v>
      </c>
      <c r="U674" s="299">
        <f t="shared" si="2"/>
        <v>0</v>
      </c>
      <c r="V674">
        <f>IF(AND($F674&gt;0,NOT(M674),Flexing),FlexPC,0)</f>
        <v>0</v>
      </c>
      <c r="W674">
        <f>IF(AND($F674&gt;0,NOT(N674),Flexing),FlexPC,0)</f>
        <v>0</v>
      </c>
      <c r="X674">
        <f>IF(AND($F674&gt;0,NOT(O674),Flexing),FlexPC,0)</f>
        <v>0</v>
      </c>
      <c r="Y674">
        <f>IF(AND($F674&gt;0,NOT(P674),Flexing),FlexPC,0)</f>
        <v>0</v>
      </c>
      <c r="AA674" s="209">
        <f t="shared" si="3"/>
        <v>673</v>
      </c>
    </row>
    <row r="675" ht="15.75" customHeight="1">
      <c r="A675" s="206" t="str">
        <f>+Declarations!A675&amp;""</f>
        <v/>
      </c>
      <c r="B675" t="str">
        <f>IF(LEN($A675),IF(LEN(Declarations!$B675)&gt;0,Declarations!$B675,"#"&amp;$A675),"")</f>
        <v/>
      </c>
      <c r="C675" s="209" t="str">
        <f t="array" ref="C675">IF(LEN(INDEX(DECLARATIONS,$AA675,3))&gt;0,INDEX(DECLARATIONS,$AA675,3),"...")</f>
        <v>...</v>
      </c>
      <c r="D675" s="209" t="str">
        <f t="shared" si="1"/>
        <v/>
      </c>
      <c r="E675" s="296" t="str">
        <f t="array" ref="E675">IF(ISNA($AA675),0,INDEX(DECLARATIONS,$AA675,5))</f>
        <v/>
      </c>
      <c r="F675" s="209" t="str">
        <f t="array" ref="F675">IF(ISNA($AA675),0,INDEX(DECLARATIONS,$AA675,7))</f>
        <v/>
      </c>
      <c r="G675" s="209" t="str">
        <f t="array" ref="G675">UPPER(IF(ISNA($AA675),"",INDEX(DECLARATIONS,$AA675,4)))</f>
        <v/>
      </c>
      <c r="H675" t="str">
        <f>IF(AND(A675&gt;0,ISTEXT(B675)),IF(SECNAME="YES",LEFT(B675&amp;" ",FIND(" ",B675&amp;" ")+2)&amp;IF(F675&gt;0," ("&amp;F675&amp;")",""),B675&amp;IF(F675&gt;0," ("&amp;F675&amp;")","")),"#"&amp;$A675)</f>
        <v/>
      </c>
      <c r="I675" s="209">
        <f>IF(LEN($A675)&gt;0,IF(LEN($J675)&gt;0,MATCH(J675,MatchNames,0),EventIndex),0)</f>
        <v>0</v>
      </c>
      <c r="J675" s="209" t="str">
        <f>IF(LEN($A675)&gt;0,IF(LEN(Declarations!$F675)&gt;0,Declarations!$F675,conftype),"")</f>
        <v/>
      </c>
      <c r="M675" s="297">
        <f>IF(ISNA(VLOOKUP($A675,SprintData,2,FALSE)),0,VLOOKUP($A675,SprintData,2,FALSE))</f>
        <v>0</v>
      </c>
      <c r="N675" s="297">
        <f>IF(ISNA(VLOOKUP($A675,JumpData,2,FALSE)),0,VLOOKUP($A675,JumpData,2,FALSE))</f>
        <v>0</v>
      </c>
      <c r="O675" s="297">
        <f>IF(ISNA(VLOOKUP($A675,RunData,2,FALSE)),0,VLOOKUP($A675,RunData,2,FALSE))</f>
        <v>0</v>
      </c>
      <c r="P675" s="297">
        <f>IF(ISNA(VLOOKUP($A675,ThrowData,2,FALSE)),0,VLOOKUP($A675,ThrowData,2,FALSE))</f>
        <v>0</v>
      </c>
      <c r="Q675" s="298">
        <f>IF(ISNA(VLOOKUP($A675,SprintData,4,FALSE)),0,VLOOKUP($A675,SprintData,4,FALSE))+V675</f>
        <v>0</v>
      </c>
      <c r="R675" s="298">
        <f>IF(ISNA(VLOOKUP($A675,JumpData,4,FALSE)),0,VLOOKUP($A675,JumpData,4,FALSE))+W675</f>
        <v>0</v>
      </c>
      <c r="S675" s="298">
        <f>IF(ISNA(VLOOKUP($A675,RunData,4,FALSE)),0,VLOOKUP($A675,RunData,4,FALSE))+X675</f>
        <v>0</v>
      </c>
      <c r="T675" s="298">
        <f>IF(ISNA(VLOOKUP($A675,ThrowData,4,FALSE)),0,VLOOKUP($A675,ThrowData,4,FALSE))+Y675</f>
        <v>0</v>
      </c>
      <c r="U675" s="299">
        <f t="shared" si="2"/>
        <v>0</v>
      </c>
      <c r="V675">
        <f>IF(AND($F675&gt;0,NOT(M675),Flexing),FlexPC,0)</f>
        <v>0</v>
      </c>
      <c r="W675">
        <f>IF(AND($F675&gt;0,NOT(N675),Flexing),FlexPC,0)</f>
        <v>0</v>
      </c>
      <c r="X675">
        <f>IF(AND($F675&gt;0,NOT(O675),Flexing),FlexPC,0)</f>
        <v>0</v>
      </c>
      <c r="Y675">
        <f>IF(AND($F675&gt;0,NOT(P675),Flexing),FlexPC,0)</f>
        <v>0</v>
      </c>
      <c r="AA675" s="209">
        <f t="shared" si="3"/>
        <v>674</v>
      </c>
    </row>
    <row r="676" ht="15.75" customHeight="1">
      <c r="A676" s="206" t="str">
        <f>+Declarations!A676&amp;""</f>
        <v/>
      </c>
      <c r="B676" t="str">
        <f>IF(LEN($A676),IF(LEN(Declarations!$B676)&gt;0,Declarations!$B676,"#"&amp;$A676),"")</f>
        <v/>
      </c>
      <c r="C676" s="209" t="str">
        <f t="array" ref="C676">IF(LEN(INDEX(DECLARATIONS,$AA676,3))&gt;0,INDEX(DECLARATIONS,$AA676,3),"...")</f>
        <v>...</v>
      </c>
      <c r="D676" s="209" t="str">
        <f t="shared" si="1"/>
        <v/>
      </c>
      <c r="E676" s="296" t="str">
        <f t="array" ref="E676">IF(ISNA($AA676),0,INDEX(DECLARATIONS,$AA676,5))</f>
        <v/>
      </c>
      <c r="F676" s="209" t="str">
        <f t="array" ref="F676">IF(ISNA($AA676),0,INDEX(DECLARATIONS,$AA676,7))</f>
        <v/>
      </c>
      <c r="G676" s="209" t="str">
        <f t="array" ref="G676">UPPER(IF(ISNA($AA676),"",INDEX(DECLARATIONS,$AA676,4)))</f>
        <v/>
      </c>
      <c r="H676" t="str">
        <f>IF(AND(A676&gt;0,ISTEXT(B676)),IF(SECNAME="YES",LEFT(B676&amp;" ",FIND(" ",B676&amp;" ")+2)&amp;IF(F676&gt;0," ("&amp;F676&amp;")",""),B676&amp;IF(F676&gt;0," ("&amp;F676&amp;")","")),"#"&amp;$A676)</f>
        <v/>
      </c>
      <c r="I676" s="209">
        <f>IF(LEN($A676)&gt;0,IF(LEN($J676)&gt;0,MATCH(J676,MatchNames,0),EventIndex),0)</f>
        <v>0</v>
      </c>
      <c r="J676" s="209" t="str">
        <f>IF(LEN($A676)&gt;0,IF(LEN(Declarations!$F676)&gt;0,Declarations!$F676,conftype),"")</f>
        <v/>
      </c>
      <c r="M676" s="297">
        <f>IF(ISNA(VLOOKUP($A676,SprintData,2,FALSE)),0,VLOOKUP($A676,SprintData,2,FALSE))</f>
        <v>0</v>
      </c>
      <c r="N676" s="297">
        <f>IF(ISNA(VLOOKUP($A676,JumpData,2,FALSE)),0,VLOOKUP($A676,JumpData,2,FALSE))</f>
        <v>0</v>
      </c>
      <c r="O676" s="297">
        <f>IF(ISNA(VLOOKUP($A676,RunData,2,FALSE)),0,VLOOKUP($A676,RunData,2,FALSE))</f>
        <v>0</v>
      </c>
      <c r="P676" s="297">
        <f>IF(ISNA(VLOOKUP($A676,ThrowData,2,FALSE)),0,VLOOKUP($A676,ThrowData,2,FALSE))</f>
        <v>0</v>
      </c>
      <c r="Q676" s="298">
        <f>IF(ISNA(VLOOKUP($A676,SprintData,4,FALSE)),0,VLOOKUP($A676,SprintData,4,FALSE))+V676</f>
        <v>0</v>
      </c>
      <c r="R676" s="298">
        <f>IF(ISNA(VLOOKUP($A676,JumpData,4,FALSE)),0,VLOOKUP($A676,JumpData,4,FALSE))+W676</f>
        <v>0</v>
      </c>
      <c r="S676" s="298">
        <f>IF(ISNA(VLOOKUP($A676,RunData,4,FALSE)),0,VLOOKUP($A676,RunData,4,FALSE))+X676</f>
        <v>0</v>
      </c>
      <c r="T676" s="298">
        <f>IF(ISNA(VLOOKUP($A676,ThrowData,4,FALSE)),0,VLOOKUP($A676,ThrowData,4,FALSE))+Y676</f>
        <v>0</v>
      </c>
      <c r="U676" s="299">
        <f t="shared" si="2"/>
        <v>0</v>
      </c>
      <c r="V676">
        <f>IF(AND($F676&gt;0,NOT(M676),Flexing),FlexPC,0)</f>
        <v>0</v>
      </c>
      <c r="W676">
        <f>IF(AND($F676&gt;0,NOT(N676),Flexing),FlexPC,0)</f>
        <v>0</v>
      </c>
      <c r="X676">
        <f>IF(AND($F676&gt;0,NOT(O676),Flexing),FlexPC,0)</f>
        <v>0</v>
      </c>
      <c r="Y676">
        <f>IF(AND($F676&gt;0,NOT(P676),Flexing),FlexPC,0)</f>
        <v>0</v>
      </c>
      <c r="AA676" s="209">
        <f t="shared" si="3"/>
        <v>675</v>
      </c>
    </row>
    <row r="677" ht="15.75" customHeight="1">
      <c r="A677" s="206" t="str">
        <f>+Declarations!A677&amp;""</f>
        <v/>
      </c>
      <c r="B677" t="str">
        <f>IF(LEN($A677),IF(LEN(Declarations!$B677)&gt;0,Declarations!$B677,"#"&amp;$A677),"")</f>
        <v/>
      </c>
      <c r="C677" s="209" t="str">
        <f t="array" ref="C677">IF(LEN(INDEX(DECLARATIONS,$AA677,3))&gt;0,INDEX(DECLARATIONS,$AA677,3),"...")</f>
        <v>...</v>
      </c>
      <c r="D677" s="209" t="str">
        <f t="shared" si="1"/>
        <v/>
      </c>
      <c r="E677" s="296" t="str">
        <f t="array" ref="E677">IF(ISNA($AA677),0,INDEX(DECLARATIONS,$AA677,5))</f>
        <v/>
      </c>
      <c r="F677" s="209" t="str">
        <f t="array" ref="F677">IF(ISNA($AA677),0,INDEX(DECLARATIONS,$AA677,7))</f>
        <v/>
      </c>
      <c r="G677" s="209" t="str">
        <f t="array" ref="G677">UPPER(IF(ISNA($AA677),"",INDEX(DECLARATIONS,$AA677,4)))</f>
        <v/>
      </c>
      <c r="H677" t="str">
        <f>IF(AND(A677&gt;0,ISTEXT(B677)),IF(SECNAME="YES",LEFT(B677&amp;" ",FIND(" ",B677&amp;" ")+2)&amp;IF(F677&gt;0," ("&amp;F677&amp;")",""),B677&amp;IF(F677&gt;0," ("&amp;F677&amp;")","")),"#"&amp;$A677)</f>
        <v/>
      </c>
      <c r="I677" s="209">
        <f>IF(LEN($A677)&gt;0,IF(LEN($J677)&gt;0,MATCH(J677,MatchNames,0),EventIndex),0)</f>
        <v>0</v>
      </c>
      <c r="J677" s="209" t="str">
        <f>IF(LEN($A677)&gt;0,IF(LEN(Declarations!$F677)&gt;0,Declarations!$F677,conftype),"")</f>
        <v/>
      </c>
      <c r="M677" s="297">
        <f>IF(ISNA(VLOOKUP($A677,SprintData,2,FALSE)),0,VLOOKUP($A677,SprintData,2,FALSE))</f>
        <v>0</v>
      </c>
      <c r="N677" s="297">
        <f>IF(ISNA(VLOOKUP($A677,JumpData,2,FALSE)),0,VLOOKUP($A677,JumpData,2,FALSE))</f>
        <v>0</v>
      </c>
      <c r="O677" s="297">
        <f>IF(ISNA(VLOOKUP($A677,RunData,2,FALSE)),0,VLOOKUP($A677,RunData,2,FALSE))</f>
        <v>0</v>
      </c>
      <c r="P677" s="297">
        <f>IF(ISNA(VLOOKUP($A677,ThrowData,2,FALSE)),0,VLOOKUP($A677,ThrowData,2,FALSE))</f>
        <v>0</v>
      </c>
      <c r="Q677" s="298">
        <f>IF(ISNA(VLOOKUP($A677,SprintData,4,FALSE)),0,VLOOKUP($A677,SprintData,4,FALSE))+V677</f>
        <v>0</v>
      </c>
      <c r="R677" s="298">
        <f>IF(ISNA(VLOOKUP($A677,JumpData,4,FALSE)),0,VLOOKUP($A677,JumpData,4,FALSE))+W677</f>
        <v>0</v>
      </c>
      <c r="S677" s="298">
        <f>IF(ISNA(VLOOKUP($A677,RunData,4,FALSE)),0,VLOOKUP($A677,RunData,4,FALSE))+X677</f>
        <v>0</v>
      </c>
      <c r="T677" s="298">
        <f>IF(ISNA(VLOOKUP($A677,ThrowData,4,FALSE)),0,VLOOKUP($A677,ThrowData,4,FALSE))+Y677</f>
        <v>0</v>
      </c>
      <c r="U677" s="299">
        <f t="shared" si="2"/>
        <v>0</v>
      </c>
      <c r="V677">
        <f>IF(AND($F677&gt;0,NOT(M677),Flexing),FlexPC,0)</f>
        <v>0</v>
      </c>
      <c r="W677">
        <f>IF(AND($F677&gt;0,NOT(N677),Flexing),FlexPC,0)</f>
        <v>0</v>
      </c>
      <c r="X677">
        <f>IF(AND($F677&gt;0,NOT(O677),Flexing),FlexPC,0)</f>
        <v>0</v>
      </c>
      <c r="Y677">
        <f>IF(AND($F677&gt;0,NOT(P677),Flexing),FlexPC,0)</f>
        <v>0</v>
      </c>
      <c r="AA677" s="209">
        <f t="shared" si="3"/>
        <v>676</v>
      </c>
    </row>
    <row r="678" ht="15.75" customHeight="1">
      <c r="A678" s="206" t="str">
        <f>+Declarations!A678&amp;""</f>
        <v/>
      </c>
      <c r="B678" t="str">
        <f>IF(LEN($A678),IF(LEN(Declarations!$B678)&gt;0,Declarations!$B678,"#"&amp;$A678),"")</f>
        <v/>
      </c>
      <c r="C678" s="209" t="str">
        <f t="array" ref="C678">IF(LEN(INDEX(DECLARATIONS,$AA678,3))&gt;0,INDEX(DECLARATIONS,$AA678,3),"...")</f>
        <v>...</v>
      </c>
      <c r="D678" s="209" t="str">
        <f t="shared" si="1"/>
        <v/>
      </c>
      <c r="E678" s="296" t="str">
        <f t="array" ref="E678">IF(ISNA($AA678),0,INDEX(DECLARATIONS,$AA678,5))</f>
        <v/>
      </c>
      <c r="F678" s="209" t="str">
        <f t="array" ref="F678">IF(ISNA($AA678),0,INDEX(DECLARATIONS,$AA678,7))</f>
        <v/>
      </c>
      <c r="G678" s="209" t="str">
        <f t="array" ref="G678">UPPER(IF(ISNA($AA678),"",INDEX(DECLARATIONS,$AA678,4)))</f>
        <v/>
      </c>
      <c r="H678" t="str">
        <f>IF(AND(A678&gt;0,ISTEXT(B678)),IF(SECNAME="YES",LEFT(B678&amp;" ",FIND(" ",B678&amp;" ")+2)&amp;IF(F678&gt;0," ("&amp;F678&amp;")",""),B678&amp;IF(F678&gt;0," ("&amp;F678&amp;")","")),"#"&amp;$A678)</f>
        <v/>
      </c>
      <c r="I678" s="209">
        <f>IF(LEN($A678)&gt;0,IF(LEN($J678)&gt;0,MATCH(J678,MatchNames,0),EventIndex),0)</f>
        <v>0</v>
      </c>
      <c r="J678" s="209" t="str">
        <f>IF(LEN($A678)&gt;0,IF(LEN(Declarations!$F678)&gt;0,Declarations!$F678,conftype),"")</f>
        <v/>
      </c>
      <c r="M678" s="297">
        <f>IF(ISNA(VLOOKUP($A678,SprintData,2,FALSE)),0,VLOOKUP($A678,SprintData,2,FALSE))</f>
        <v>0</v>
      </c>
      <c r="N678" s="297">
        <f>IF(ISNA(VLOOKUP($A678,JumpData,2,FALSE)),0,VLOOKUP($A678,JumpData,2,FALSE))</f>
        <v>0</v>
      </c>
      <c r="O678" s="297">
        <f>IF(ISNA(VLOOKUP($A678,RunData,2,FALSE)),0,VLOOKUP($A678,RunData,2,FALSE))</f>
        <v>0</v>
      </c>
      <c r="P678" s="297">
        <f>IF(ISNA(VLOOKUP($A678,ThrowData,2,FALSE)),0,VLOOKUP($A678,ThrowData,2,FALSE))</f>
        <v>0</v>
      </c>
      <c r="Q678" s="298">
        <f>IF(ISNA(VLOOKUP($A678,SprintData,4,FALSE)),0,VLOOKUP($A678,SprintData,4,FALSE))+V678</f>
        <v>0</v>
      </c>
      <c r="R678" s="298">
        <f>IF(ISNA(VLOOKUP($A678,JumpData,4,FALSE)),0,VLOOKUP($A678,JumpData,4,FALSE))+W678</f>
        <v>0</v>
      </c>
      <c r="S678" s="298">
        <f>IF(ISNA(VLOOKUP($A678,RunData,4,FALSE)),0,VLOOKUP($A678,RunData,4,FALSE))+X678</f>
        <v>0</v>
      </c>
      <c r="T678" s="298">
        <f>IF(ISNA(VLOOKUP($A678,ThrowData,4,FALSE)),0,VLOOKUP($A678,ThrowData,4,FALSE))+Y678</f>
        <v>0</v>
      </c>
      <c r="U678" s="299">
        <f t="shared" si="2"/>
        <v>0</v>
      </c>
      <c r="V678">
        <f>IF(AND($F678&gt;0,NOT(M678),Flexing),FlexPC,0)</f>
        <v>0</v>
      </c>
      <c r="W678">
        <f>IF(AND($F678&gt;0,NOT(N678),Flexing),FlexPC,0)</f>
        <v>0</v>
      </c>
      <c r="X678">
        <f>IF(AND($F678&gt;0,NOT(O678),Flexing),FlexPC,0)</f>
        <v>0</v>
      </c>
      <c r="Y678">
        <f>IF(AND($F678&gt;0,NOT(P678),Flexing),FlexPC,0)</f>
        <v>0</v>
      </c>
      <c r="AA678" s="209">
        <f t="shared" si="3"/>
        <v>677</v>
      </c>
    </row>
    <row r="679" ht="15.75" customHeight="1">
      <c r="A679" s="206" t="str">
        <f>+Declarations!A679&amp;""</f>
        <v/>
      </c>
      <c r="B679" t="str">
        <f>IF(LEN($A679),IF(LEN(Declarations!$B679)&gt;0,Declarations!$B679,"#"&amp;$A679),"")</f>
        <v/>
      </c>
      <c r="C679" s="209" t="str">
        <f t="array" ref="C679">IF(LEN(INDEX(DECLARATIONS,$AA679,3))&gt;0,INDEX(DECLARATIONS,$AA679,3),"...")</f>
        <v>...</v>
      </c>
      <c r="D679" s="209" t="str">
        <f t="shared" si="1"/>
        <v/>
      </c>
      <c r="E679" s="296" t="str">
        <f t="array" ref="E679">IF(ISNA($AA679),0,INDEX(DECLARATIONS,$AA679,5))</f>
        <v/>
      </c>
      <c r="F679" s="209" t="str">
        <f t="array" ref="F679">IF(ISNA($AA679),0,INDEX(DECLARATIONS,$AA679,7))</f>
        <v/>
      </c>
      <c r="G679" s="209" t="str">
        <f t="array" ref="G679">UPPER(IF(ISNA($AA679),"",INDEX(DECLARATIONS,$AA679,4)))</f>
        <v/>
      </c>
      <c r="H679" t="str">
        <f>IF(AND(A679&gt;0,ISTEXT(B679)),IF(SECNAME="YES",LEFT(B679&amp;" ",FIND(" ",B679&amp;" ")+2)&amp;IF(F679&gt;0," ("&amp;F679&amp;")",""),B679&amp;IF(F679&gt;0," ("&amp;F679&amp;")","")),"#"&amp;$A679)</f>
        <v/>
      </c>
      <c r="I679" s="209">
        <f>IF(LEN($A679)&gt;0,IF(LEN($J679)&gt;0,MATCH(J679,MatchNames,0),EventIndex),0)</f>
        <v>0</v>
      </c>
      <c r="J679" s="209" t="str">
        <f>IF(LEN($A679)&gt;0,IF(LEN(Declarations!$F679)&gt;0,Declarations!$F679,conftype),"")</f>
        <v/>
      </c>
      <c r="M679" s="297">
        <f>IF(ISNA(VLOOKUP($A679,SprintData,2,FALSE)),0,VLOOKUP($A679,SprintData,2,FALSE))</f>
        <v>0</v>
      </c>
      <c r="N679" s="297">
        <f>IF(ISNA(VLOOKUP($A679,JumpData,2,FALSE)),0,VLOOKUP($A679,JumpData,2,FALSE))</f>
        <v>0</v>
      </c>
      <c r="O679" s="297">
        <f>IF(ISNA(VLOOKUP($A679,RunData,2,FALSE)),0,VLOOKUP($A679,RunData,2,FALSE))</f>
        <v>0</v>
      </c>
      <c r="P679" s="297">
        <f>IF(ISNA(VLOOKUP($A679,ThrowData,2,FALSE)),0,VLOOKUP($A679,ThrowData,2,FALSE))</f>
        <v>0</v>
      </c>
      <c r="Q679" s="298">
        <f>IF(ISNA(VLOOKUP($A679,SprintData,4,FALSE)),0,VLOOKUP($A679,SprintData,4,FALSE))+V679</f>
        <v>0</v>
      </c>
      <c r="R679" s="298">
        <f>IF(ISNA(VLOOKUP($A679,JumpData,4,FALSE)),0,VLOOKUP($A679,JumpData,4,FALSE))+W679</f>
        <v>0</v>
      </c>
      <c r="S679" s="298">
        <f>IF(ISNA(VLOOKUP($A679,RunData,4,FALSE)),0,VLOOKUP($A679,RunData,4,FALSE))+X679</f>
        <v>0</v>
      </c>
      <c r="T679" s="298">
        <f>IF(ISNA(VLOOKUP($A679,ThrowData,4,FALSE)),0,VLOOKUP($A679,ThrowData,4,FALSE))+Y679</f>
        <v>0</v>
      </c>
      <c r="U679" s="299">
        <f t="shared" si="2"/>
        <v>0</v>
      </c>
      <c r="V679">
        <f>IF(AND($F679&gt;0,NOT(M679),Flexing),FlexPC,0)</f>
        <v>0</v>
      </c>
      <c r="W679">
        <f>IF(AND($F679&gt;0,NOT(N679),Flexing),FlexPC,0)</f>
        <v>0</v>
      </c>
      <c r="X679">
        <f>IF(AND($F679&gt;0,NOT(O679),Flexing),FlexPC,0)</f>
        <v>0</v>
      </c>
      <c r="Y679">
        <f>IF(AND($F679&gt;0,NOT(P679),Flexing),FlexPC,0)</f>
        <v>0</v>
      </c>
      <c r="AA679" s="209">
        <f t="shared" si="3"/>
        <v>678</v>
      </c>
    </row>
    <row r="680" ht="15.75" customHeight="1">
      <c r="A680" s="206" t="str">
        <f>+Declarations!A680&amp;""</f>
        <v/>
      </c>
      <c r="B680" t="str">
        <f>IF(LEN($A680),IF(LEN(Declarations!$B680)&gt;0,Declarations!$B680,"#"&amp;$A680),"")</f>
        <v/>
      </c>
      <c r="C680" s="209" t="str">
        <f t="array" ref="C680">IF(LEN(INDEX(DECLARATIONS,$AA680,3))&gt;0,INDEX(DECLARATIONS,$AA680,3),"...")</f>
        <v>...</v>
      </c>
      <c r="D680" s="209" t="str">
        <f t="shared" si="1"/>
        <v/>
      </c>
      <c r="E680" s="296" t="str">
        <f t="array" ref="E680">IF(ISNA($AA680),0,INDEX(DECLARATIONS,$AA680,5))</f>
        <v/>
      </c>
      <c r="F680" s="209" t="str">
        <f t="array" ref="F680">IF(ISNA($AA680),0,INDEX(DECLARATIONS,$AA680,7))</f>
        <v/>
      </c>
      <c r="G680" s="209" t="str">
        <f t="array" ref="G680">UPPER(IF(ISNA($AA680),"",INDEX(DECLARATIONS,$AA680,4)))</f>
        <v/>
      </c>
      <c r="H680" t="str">
        <f>IF(AND(A680&gt;0,ISTEXT(B680)),IF(SECNAME="YES",LEFT(B680&amp;" ",FIND(" ",B680&amp;" ")+2)&amp;IF(F680&gt;0," ("&amp;F680&amp;")",""),B680&amp;IF(F680&gt;0," ("&amp;F680&amp;")","")),"#"&amp;$A680)</f>
        <v/>
      </c>
      <c r="I680" s="209">
        <f>IF(LEN($A680)&gt;0,IF(LEN($J680)&gt;0,MATCH(J680,MatchNames,0),EventIndex),0)</f>
        <v>0</v>
      </c>
      <c r="J680" s="209" t="str">
        <f>IF(LEN($A680)&gt;0,IF(LEN(Declarations!$F680)&gt;0,Declarations!$F680,conftype),"")</f>
        <v/>
      </c>
      <c r="M680" s="297">
        <f>IF(ISNA(VLOOKUP($A680,SprintData,2,FALSE)),0,VLOOKUP($A680,SprintData,2,FALSE))</f>
        <v>0</v>
      </c>
      <c r="N680" s="297">
        <f>IF(ISNA(VLOOKUP($A680,JumpData,2,FALSE)),0,VLOOKUP($A680,JumpData,2,FALSE))</f>
        <v>0</v>
      </c>
      <c r="O680" s="297">
        <f>IF(ISNA(VLOOKUP($A680,RunData,2,FALSE)),0,VLOOKUP($A680,RunData,2,FALSE))</f>
        <v>0</v>
      </c>
      <c r="P680" s="297">
        <f>IF(ISNA(VLOOKUP($A680,ThrowData,2,FALSE)),0,VLOOKUP($A680,ThrowData,2,FALSE))</f>
        <v>0</v>
      </c>
      <c r="Q680" s="298">
        <f>IF(ISNA(VLOOKUP($A680,SprintData,4,FALSE)),0,VLOOKUP($A680,SprintData,4,FALSE))+V680</f>
        <v>0</v>
      </c>
      <c r="R680" s="298">
        <f>IF(ISNA(VLOOKUP($A680,JumpData,4,FALSE)),0,VLOOKUP($A680,JumpData,4,FALSE))+W680</f>
        <v>0</v>
      </c>
      <c r="S680" s="298">
        <f>IF(ISNA(VLOOKUP($A680,RunData,4,FALSE)),0,VLOOKUP($A680,RunData,4,FALSE))+X680</f>
        <v>0</v>
      </c>
      <c r="T680" s="298">
        <f>IF(ISNA(VLOOKUP($A680,ThrowData,4,FALSE)),0,VLOOKUP($A680,ThrowData,4,FALSE))+Y680</f>
        <v>0</v>
      </c>
      <c r="U680" s="299">
        <f t="shared" si="2"/>
        <v>0</v>
      </c>
      <c r="V680">
        <f>IF(AND($F680&gt;0,NOT(M680),Flexing),FlexPC,0)</f>
        <v>0</v>
      </c>
      <c r="W680">
        <f>IF(AND($F680&gt;0,NOT(N680),Flexing),FlexPC,0)</f>
        <v>0</v>
      </c>
      <c r="X680">
        <f>IF(AND($F680&gt;0,NOT(O680),Flexing),FlexPC,0)</f>
        <v>0</v>
      </c>
      <c r="Y680">
        <f>IF(AND($F680&gt;0,NOT(P680),Flexing),FlexPC,0)</f>
        <v>0</v>
      </c>
      <c r="AA680" s="209">
        <f t="shared" si="3"/>
        <v>679</v>
      </c>
    </row>
    <row r="681" ht="15.75" customHeight="1">
      <c r="A681" s="206" t="str">
        <f>+Declarations!A681&amp;""</f>
        <v/>
      </c>
      <c r="B681" t="str">
        <f>IF(LEN($A681),IF(LEN(Declarations!$B681)&gt;0,Declarations!$B681,"#"&amp;$A681),"")</f>
        <v/>
      </c>
      <c r="C681" s="209" t="str">
        <f t="array" ref="C681">IF(LEN(INDEX(DECLARATIONS,$AA681,3))&gt;0,INDEX(DECLARATIONS,$AA681,3),"...")</f>
        <v>...</v>
      </c>
      <c r="D681" s="209" t="str">
        <f t="shared" si="1"/>
        <v/>
      </c>
      <c r="E681" s="296" t="str">
        <f t="array" ref="E681">IF(ISNA($AA681),0,INDEX(DECLARATIONS,$AA681,5))</f>
        <v/>
      </c>
      <c r="F681" s="209" t="str">
        <f t="array" ref="F681">IF(ISNA($AA681),0,INDEX(DECLARATIONS,$AA681,7))</f>
        <v/>
      </c>
      <c r="G681" s="209" t="str">
        <f t="array" ref="G681">UPPER(IF(ISNA($AA681),"",INDEX(DECLARATIONS,$AA681,4)))</f>
        <v/>
      </c>
      <c r="H681" t="str">
        <f>IF(AND(A681&gt;0,ISTEXT(B681)),IF(SECNAME="YES",LEFT(B681&amp;" ",FIND(" ",B681&amp;" ")+2)&amp;IF(F681&gt;0," ("&amp;F681&amp;")",""),B681&amp;IF(F681&gt;0," ("&amp;F681&amp;")","")),"#"&amp;$A681)</f>
        <v/>
      </c>
      <c r="I681" s="209">
        <f>IF(LEN($A681)&gt;0,IF(LEN($J681)&gt;0,MATCH(J681,MatchNames,0),EventIndex),0)</f>
        <v>0</v>
      </c>
      <c r="J681" s="209" t="str">
        <f>IF(LEN($A681)&gt;0,IF(LEN(Declarations!$F681)&gt;0,Declarations!$F681,conftype),"")</f>
        <v/>
      </c>
      <c r="M681" s="297">
        <f>IF(ISNA(VLOOKUP($A681,SprintData,2,FALSE)),0,VLOOKUP($A681,SprintData,2,FALSE))</f>
        <v>0</v>
      </c>
      <c r="N681" s="297">
        <f>IF(ISNA(VLOOKUP($A681,JumpData,2,FALSE)),0,VLOOKUP($A681,JumpData,2,FALSE))</f>
        <v>0</v>
      </c>
      <c r="O681" s="297">
        <f>IF(ISNA(VLOOKUP($A681,RunData,2,FALSE)),0,VLOOKUP($A681,RunData,2,FALSE))</f>
        <v>0</v>
      </c>
      <c r="P681" s="297">
        <f>IF(ISNA(VLOOKUP($A681,ThrowData,2,FALSE)),0,VLOOKUP($A681,ThrowData,2,FALSE))</f>
        <v>0</v>
      </c>
      <c r="Q681" s="298">
        <f>IF(ISNA(VLOOKUP($A681,SprintData,4,FALSE)),0,VLOOKUP($A681,SprintData,4,FALSE))+V681</f>
        <v>0</v>
      </c>
      <c r="R681" s="298">
        <f>IF(ISNA(VLOOKUP($A681,JumpData,4,FALSE)),0,VLOOKUP($A681,JumpData,4,FALSE))+W681</f>
        <v>0</v>
      </c>
      <c r="S681" s="298">
        <f>IF(ISNA(VLOOKUP($A681,RunData,4,FALSE)),0,VLOOKUP($A681,RunData,4,FALSE))+X681</f>
        <v>0</v>
      </c>
      <c r="T681" s="298">
        <f>IF(ISNA(VLOOKUP($A681,ThrowData,4,FALSE)),0,VLOOKUP($A681,ThrowData,4,FALSE))+Y681</f>
        <v>0</v>
      </c>
      <c r="U681" s="299">
        <f t="shared" si="2"/>
        <v>0</v>
      </c>
      <c r="V681">
        <f>IF(AND($F681&gt;0,NOT(M681),Flexing),FlexPC,0)</f>
        <v>0</v>
      </c>
      <c r="W681">
        <f>IF(AND($F681&gt;0,NOT(N681),Flexing),FlexPC,0)</f>
        <v>0</v>
      </c>
      <c r="X681">
        <f>IF(AND($F681&gt;0,NOT(O681),Flexing),FlexPC,0)</f>
        <v>0</v>
      </c>
      <c r="Y681">
        <f>IF(AND($F681&gt;0,NOT(P681),Flexing),FlexPC,0)</f>
        <v>0</v>
      </c>
      <c r="AA681" s="209">
        <f t="shared" si="3"/>
        <v>680</v>
      </c>
    </row>
    <row r="682" ht="15.75" customHeight="1">
      <c r="A682" s="206" t="str">
        <f>+Declarations!A682&amp;""</f>
        <v/>
      </c>
      <c r="B682" t="str">
        <f>IF(LEN($A682),IF(LEN(Declarations!$B682)&gt;0,Declarations!$B682,"#"&amp;$A682),"")</f>
        <v/>
      </c>
      <c r="C682" s="209" t="str">
        <f t="array" ref="C682">IF(LEN(INDEX(DECLARATIONS,$AA682,3))&gt;0,INDEX(DECLARATIONS,$AA682,3),"...")</f>
        <v>...</v>
      </c>
      <c r="D682" s="209" t="str">
        <f t="shared" si="1"/>
        <v/>
      </c>
      <c r="E682" s="296" t="str">
        <f t="array" ref="E682">IF(ISNA($AA682),0,INDEX(DECLARATIONS,$AA682,5))</f>
        <v/>
      </c>
      <c r="F682" s="209" t="str">
        <f t="array" ref="F682">IF(ISNA($AA682),0,INDEX(DECLARATIONS,$AA682,7))</f>
        <v/>
      </c>
      <c r="G682" s="209" t="str">
        <f t="array" ref="G682">UPPER(IF(ISNA($AA682),"",INDEX(DECLARATIONS,$AA682,4)))</f>
        <v/>
      </c>
      <c r="H682" t="str">
        <f>IF(AND(A682&gt;0,ISTEXT(B682)),IF(SECNAME="YES",LEFT(B682&amp;" ",FIND(" ",B682&amp;" ")+2)&amp;IF(F682&gt;0," ("&amp;F682&amp;")",""),B682&amp;IF(F682&gt;0," ("&amp;F682&amp;")","")),"#"&amp;$A682)</f>
        <v/>
      </c>
      <c r="I682" s="209">
        <f>IF(LEN($A682)&gt;0,IF(LEN($J682)&gt;0,MATCH(J682,MatchNames,0),EventIndex),0)</f>
        <v>0</v>
      </c>
      <c r="J682" s="209" t="str">
        <f>IF(LEN($A682)&gt;0,IF(LEN(Declarations!$F682)&gt;0,Declarations!$F682,conftype),"")</f>
        <v/>
      </c>
      <c r="M682" s="297">
        <f>IF(ISNA(VLOOKUP($A682,SprintData,2,FALSE)),0,VLOOKUP($A682,SprintData,2,FALSE))</f>
        <v>0</v>
      </c>
      <c r="N682" s="297">
        <f>IF(ISNA(VLOOKUP($A682,JumpData,2,FALSE)),0,VLOOKUP($A682,JumpData,2,FALSE))</f>
        <v>0</v>
      </c>
      <c r="O682" s="297">
        <f>IF(ISNA(VLOOKUP($A682,RunData,2,FALSE)),0,VLOOKUP($A682,RunData,2,FALSE))</f>
        <v>0</v>
      </c>
      <c r="P682" s="297">
        <f>IF(ISNA(VLOOKUP($A682,ThrowData,2,FALSE)),0,VLOOKUP($A682,ThrowData,2,FALSE))</f>
        <v>0</v>
      </c>
      <c r="Q682" s="298">
        <f>IF(ISNA(VLOOKUP($A682,SprintData,4,FALSE)),0,VLOOKUP($A682,SprintData,4,FALSE))+V682</f>
        <v>0</v>
      </c>
      <c r="R682" s="298">
        <f>IF(ISNA(VLOOKUP($A682,JumpData,4,FALSE)),0,VLOOKUP($A682,JumpData,4,FALSE))+W682</f>
        <v>0</v>
      </c>
      <c r="S682" s="298">
        <f>IF(ISNA(VLOOKUP($A682,RunData,4,FALSE)),0,VLOOKUP($A682,RunData,4,FALSE))+X682</f>
        <v>0</v>
      </c>
      <c r="T682" s="298">
        <f>IF(ISNA(VLOOKUP($A682,ThrowData,4,FALSE)),0,VLOOKUP($A682,ThrowData,4,FALSE))+Y682</f>
        <v>0</v>
      </c>
      <c r="U682" s="299">
        <f t="shared" si="2"/>
        <v>0</v>
      </c>
      <c r="V682">
        <f>IF(AND($F682&gt;0,NOT(M682),Flexing),FlexPC,0)</f>
        <v>0</v>
      </c>
      <c r="W682">
        <f>IF(AND($F682&gt;0,NOT(N682),Flexing),FlexPC,0)</f>
        <v>0</v>
      </c>
      <c r="X682">
        <f>IF(AND($F682&gt;0,NOT(O682),Flexing),FlexPC,0)</f>
        <v>0</v>
      </c>
      <c r="Y682">
        <f>IF(AND($F682&gt;0,NOT(P682),Flexing),FlexPC,0)</f>
        <v>0</v>
      </c>
      <c r="AA682" s="209">
        <f t="shared" si="3"/>
        <v>681</v>
      </c>
    </row>
    <row r="683" ht="15.75" customHeight="1">
      <c r="A683" s="206" t="str">
        <f>+Declarations!A683&amp;""</f>
        <v/>
      </c>
      <c r="B683" t="str">
        <f>IF(LEN($A683),IF(LEN(Declarations!$B683)&gt;0,Declarations!$B683,"#"&amp;$A683),"")</f>
        <v/>
      </c>
      <c r="C683" s="209" t="str">
        <f t="array" ref="C683">IF(LEN(INDEX(DECLARATIONS,$AA683,3))&gt;0,INDEX(DECLARATIONS,$AA683,3),"...")</f>
        <v>...</v>
      </c>
      <c r="D683" s="209" t="str">
        <f t="shared" si="1"/>
        <v/>
      </c>
      <c r="E683" s="296" t="str">
        <f t="array" ref="E683">IF(ISNA($AA683),0,INDEX(DECLARATIONS,$AA683,5))</f>
        <v/>
      </c>
      <c r="F683" s="209" t="str">
        <f t="array" ref="F683">IF(ISNA($AA683),0,INDEX(DECLARATIONS,$AA683,7))</f>
        <v/>
      </c>
      <c r="G683" s="209" t="str">
        <f t="array" ref="G683">UPPER(IF(ISNA($AA683),"",INDEX(DECLARATIONS,$AA683,4)))</f>
        <v/>
      </c>
      <c r="H683" t="str">
        <f>IF(AND(A683&gt;0,ISTEXT(B683)),IF(SECNAME="YES",LEFT(B683&amp;" ",FIND(" ",B683&amp;" ")+2)&amp;IF(F683&gt;0," ("&amp;F683&amp;")",""),B683&amp;IF(F683&gt;0," ("&amp;F683&amp;")","")),"#"&amp;$A683)</f>
        <v/>
      </c>
      <c r="I683" s="209">
        <f>IF(LEN($A683)&gt;0,IF(LEN($J683)&gt;0,MATCH(J683,MatchNames,0),EventIndex),0)</f>
        <v>0</v>
      </c>
      <c r="J683" s="209" t="str">
        <f>IF(LEN($A683)&gt;0,IF(LEN(Declarations!$F683)&gt;0,Declarations!$F683,conftype),"")</f>
        <v/>
      </c>
      <c r="M683" s="297">
        <f>IF(ISNA(VLOOKUP($A683,SprintData,2,FALSE)),0,VLOOKUP($A683,SprintData,2,FALSE))</f>
        <v>0</v>
      </c>
      <c r="N683" s="297">
        <f>IF(ISNA(VLOOKUP($A683,JumpData,2,FALSE)),0,VLOOKUP($A683,JumpData,2,FALSE))</f>
        <v>0</v>
      </c>
      <c r="O683" s="297">
        <f>IF(ISNA(VLOOKUP($A683,RunData,2,FALSE)),0,VLOOKUP($A683,RunData,2,FALSE))</f>
        <v>0</v>
      </c>
      <c r="P683" s="297">
        <f>IF(ISNA(VLOOKUP($A683,ThrowData,2,FALSE)),0,VLOOKUP($A683,ThrowData,2,FALSE))</f>
        <v>0</v>
      </c>
      <c r="Q683" s="298">
        <f>IF(ISNA(VLOOKUP($A683,SprintData,4,FALSE)),0,VLOOKUP($A683,SprintData,4,FALSE))+V683</f>
        <v>0</v>
      </c>
      <c r="R683" s="298">
        <f>IF(ISNA(VLOOKUP($A683,JumpData,4,FALSE)),0,VLOOKUP($A683,JumpData,4,FALSE))+W683</f>
        <v>0</v>
      </c>
      <c r="S683" s="298">
        <f>IF(ISNA(VLOOKUP($A683,RunData,4,FALSE)),0,VLOOKUP($A683,RunData,4,FALSE))+X683</f>
        <v>0</v>
      </c>
      <c r="T683" s="298">
        <f>IF(ISNA(VLOOKUP($A683,ThrowData,4,FALSE)),0,VLOOKUP($A683,ThrowData,4,FALSE))+Y683</f>
        <v>0</v>
      </c>
      <c r="U683" s="299">
        <f t="shared" si="2"/>
        <v>0</v>
      </c>
      <c r="V683">
        <f>IF(AND($F683&gt;0,NOT(M683),Flexing),FlexPC,0)</f>
        <v>0</v>
      </c>
      <c r="W683">
        <f>IF(AND($F683&gt;0,NOT(N683),Flexing),FlexPC,0)</f>
        <v>0</v>
      </c>
      <c r="X683">
        <f>IF(AND($F683&gt;0,NOT(O683),Flexing),FlexPC,0)</f>
        <v>0</v>
      </c>
      <c r="Y683">
        <f>IF(AND($F683&gt;0,NOT(P683),Flexing),FlexPC,0)</f>
        <v>0</v>
      </c>
      <c r="AA683" s="209">
        <f t="shared" si="3"/>
        <v>682</v>
      </c>
    </row>
    <row r="684" ht="15.75" customHeight="1">
      <c r="A684" s="206" t="str">
        <f>+Declarations!A684&amp;""</f>
        <v/>
      </c>
      <c r="B684" t="str">
        <f>IF(LEN($A684),IF(LEN(Declarations!$B684)&gt;0,Declarations!$B684,"#"&amp;$A684),"")</f>
        <v/>
      </c>
      <c r="C684" s="209" t="str">
        <f t="array" ref="C684">IF(LEN(INDEX(DECLARATIONS,$AA684,3))&gt;0,INDEX(DECLARATIONS,$AA684,3),"...")</f>
        <v>...</v>
      </c>
      <c r="D684" s="209" t="str">
        <f t="shared" si="1"/>
        <v/>
      </c>
      <c r="E684" s="296" t="str">
        <f t="array" ref="E684">IF(ISNA($AA684),0,INDEX(DECLARATIONS,$AA684,5))</f>
        <v/>
      </c>
      <c r="F684" s="209" t="str">
        <f t="array" ref="F684">IF(ISNA($AA684),0,INDEX(DECLARATIONS,$AA684,7))</f>
        <v/>
      </c>
      <c r="G684" s="209" t="str">
        <f t="array" ref="G684">UPPER(IF(ISNA($AA684),"",INDEX(DECLARATIONS,$AA684,4)))</f>
        <v/>
      </c>
      <c r="H684" t="str">
        <f>IF(AND(A684&gt;0,ISTEXT(B684)),IF(SECNAME="YES",LEFT(B684&amp;" ",FIND(" ",B684&amp;" ")+2)&amp;IF(F684&gt;0," ("&amp;F684&amp;")",""),B684&amp;IF(F684&gt;0," ("&amp;F684&amp;")","")),"#"&amp;$A684)</f>
        <v/>
      </c>
      <c r="I684" s="209">
        <f>IF(LEN($A684)&gt;0,IF(LEN($J684)&gt;0,MATCH(J684,MatchNames,0),EventIndex),0)</f>
        <v>0</v>
      </c>
      <c r="J684" s="209" t="str">
        <f>IF(LEN($A684)&gt;0,IF(LEN(Declarations!$F684)&gt;0,Declarations!$F684,conftype),"")</f>
        <v/>
      </c>
      <c r="M684" s="297">
        <f>IF(ISNA(VLOOKUP($A684,SprintData,2,FALSE)),0,VLOOKUP($A684,SprintData,2,FALSE))</f>
        <v>0</v>
      </c>
      <c r="N684" s="297">
        <f>IF(ISNA(VLOOKUP($A684,JumpData,2,FALSE)),0,VLOOKUP($A684,JumpData,2,FALSE))</f>
        <v>0</v>
      </c>
      <c r="O684" s="297">
        <f>IF(ISNA(VLOOKUP($A684,RunData,2,FALSE)),0,VLOOKUP($A684,RunData,2,FALSE))</f>
        <v>0</v>
      </c>
      <c r="P684" s="297">
        <f>IF(ISNA(VLOOKUP($A684,ThrowData,2,FALSE)),0,VLOOKUP($A684,ThrowData,2,FALSE))</f>
        <v>0</v>
      </c>
      <c r="Q684" s="298">
        <f>IF(ISNA(VLOOKUP($A684,SprintData,4,FALSE)),0,VLOOKUP($A684,SprintData,4,FALSE))+V684</f>
        <v>0</v>
      </c>
      <c r="R684" s="298">
        <f>IF(ISNA(VLOOKUP($A684,JumpData,4,FALSE)),0,VLOOKUP($A684,JumpData,4,FALSE))+W684</f>
        <v>0</v>
      </c>
      <c r="S684" s="298">
        <f>IF(ISNA(VLOOKUP($A684,RunData,4,FALSE)),0,VLOOKUP($A684,RunData,4,FALSE))+X684</f>
        <v>0</v>
      </c>
      <c r="T684" s="298">
        <f>IF(ISNA(VLOOKUP($A684,ThrowData,4,FALSE)),0,VLOOKUP($A684,ThrowData,4,FALSE))+Y684</f>
        <v>0</v>
      </c>
      <c r="U684" s="299">
        <f t="shared" si="2"/>
        <v>0</v>
      </c>
      <c r="V684">
        <f>IF(AND($F684&gt;0,NOT(M684),Flexing),FlexPC,0)</f>
        <v>0</v>
      </c>
      <c r="W684">
        <f>IF(AND($F684&gt;0,NOT(N684),Flexing),FlexPC,0)</f>
        <v>0</v>
      </c>
      <c r="X684">
        <f>IF(AND($F684&gt;0,NOT(O684),Flexing),FlexPC,0)</f>
        <v>0</v>
      </c>
      <c r="Y684">
        <f>IF(AND($F684&gt;0,NOT(P684),Flexing),FlexPC,0)</f>
        <v>0</v>
      </c>
      <c r="AA684" s="209">
        <f t="shared" si="3"/>
        <v>683</v>
      </c>
    </row>
    <row r="685" ht="15.75" customHeight="1">
      <c r="A685" s="206" t="str">
        <f>+Declarations!A685&amp;""</f>
        <v/>
      </c>
      <c r="B685" t="str">
        <f>IF(LEN($A685),IF(LEN(Declarations!$B685)&gt;0,Declarations!$B685,"#"&amp;$A685),"")</f>
        <v/>
      </c>
      <c r="C685" s="209" t="str">
        <f t="array" ref="C685">IF(LEN(INDEX(DECLARATIONS,$AA685,3))&gt;0,INDEX(DECLARATIONS,$AA685,3),"...")</f>
        <v>...</v>
      </c>
      <c r="D685" s="209" t="str">
        <f t="shared" si="1"/>
        <v/>
      </c>
      <c r="E685" s="296" t="str">
        <f t="array" ref="E685">IF(ISNA($AA685),0,INDEX(DECLARATIONS,$AA685,5))</f>
        <v/>
      </c>
      <c r="F685" s="209" t="str">
        <f t="array" ref="F685">IF(ISNA($AA685),0,INDEX(DECLARATIONS,$AA685,7))</f>
        <v/>
      </c>
      <c r="G685" s="209" t="str">
        <f t="array" ref="G685">UPPER(IF(ISNA($AA685),"",INDEX(DECLARATIONS,$AA685,4)))</f>
        <v/>
      </c>
      <c r="H685" t="str">
        <f>IF(AND(A685&gt;0,ISTEXT(B685)),IF(SECNAME="YES",LEFT(B685&amp;" ",FIND(" ",B685&amp;" ")+2)&amp;IF(F685&gt;0," ("&amp;F685&amp;")",""),B685&amp;IF(F685&gt;0," ("&amp;F685&amp;")","")),"#"&amp;$A685)</f>
        <v/>
      </c>
      <c r="I685" s="209">
        <f>IF(LEN($A685)&gt;0,IF(LEN($J685)&gt;0,MATCH(J685,MatchNames,0),EventIndex),0)</f>
        <v>0</v>
      </c>
      <c r="J685" s="209" t="str">
        <f>IF(LEN($A685)&gt;0,IF(LEN(Declarations!$F685)&gt;0,Declarations!$F685,conftype),"")</f>
        <v/>
      </c>
      <c r="M685" s="297">
        <f>IF(ISNA(VLOOKUP($A685,SprintData,2,FALSE)),0,VLOOKUP($A685,SprintData,2,FALSE))</f>
        <v>0</v>
      </c>
      <c r="N685" s="297">
        <f>IF(ISNA(VLOOKUP($A685,JumpData,2,FALSE)),0,VLOOKUP($A685,JumpData,2,FALSE))</f>
        <v>0</v>
      </c>
      <c r="O685" s="297">
        <f>IF(ISNA(VLOOKUP($A685,RunData,2,FALSE)),0,VLOOKUP($A685,RunData,2,FALSE))</f>
        <v>0</v>
      </c>
      <c r="P685" s="297">
        <f>IF(ISNA(VLOOKUP($A685,ThrowData,2,FALSE)),0,VLOOKUP($A685,ThrowData,2,FALSE))</f>
        <v>0</v>
      </c>
      <c r="Q685" s="298">
        <f>IF(ISNA(VLOOKUP($A685,SprintData,4,FALSE)),0,VLOOKUP($A685,SprintData,4,FALSE))+V685</f>
        <v>0</v>
      </c>
      <c r="R685" s="298">
        <f>IF(ISNA(VLOOKUP($A685,JumpData,4,FALSE)),0,VLOOKUP($A685,JumpData,4,FALSE))+W685</f>
        <v>0</v>
      </c>
      <c r="S685" s="298">
        <f>IF(ISNA(VLOOKUP($A685,RunData,4,FALSE)),0,VLOOKUP($A685,RunData,4,FALSE))+X685</f>
        <v>0</v>
      </c>
      <c r="T685" s="298">
        <f>IF(ISNA(VLOOKUP($A685,ThrowData,4,FALSE)),0,VLOOKUP($A685,ThrowData,4,FALSE))+Y685</f>
        <v>0</v>
      </c>
      <c r="U685" s="299">
        <f t="shared" si="2"/>
        <v>0</v>
      </c>
      <c r="V685">
        <f>IF(AND($F685&gt;0,NOT(M685),Flexing),FlexPC,0)</f>
        <v>0</v>
      </c>
      <c r="W685">
        <f>IF(AND($F685&gt;0,NOT(N685),Flexing),FlexPC,0)</f>
        <v>0</v>
      </c>
      <c r="X685">
        <f>IF(AND($F685&gt;0,NOT(O685),Flexing),FlexPC,0)</f>
        <v>0</v>
      </c>
      <c r="Y685">
        <f>IF(AND($F685&gt;0,NOT(P685),Flexing),FlexPC,0)</f>
        <v>0</v>
      </c>
      <c r="AA685" s="209">
        <f t="shared" si="3"/>
        <v>684</v>
      </c>
    </row>
    <row r="686" ht="15.75" customHeight="1">
      <c r="A686" s="206" t="str">
        <f>+Declarations!A686&amp;""</f>
        <v/>
      </c>
      <c r="B686" t="str">
        <f>IF(LEN($A686),IF(LEN(Declarations!$B686)&gt;0,Declarations!$B686,"#"&amp;$A686),"")</f>
        <v/>
      </c>
      <c r="C686" s="209" t="str">
        <f t="array" ref="C686">IF(LEN(INDEX(DECLARATIONS,$AA686,3))&gt;0,INDEX(DECLARATIONS,$AA686,3),"...")</f>
        <v>...</v>
      </c>
      <c r="D686" s="209" t="str">
        <f t="shared" si="1"/>
        <v/>
      </c>
      <c r="E686" s="296" t="str">
        <f t="array" ref="E686">IF(ISNA($AA686),0,INDEX(DECLARATIONS,$AA686,5))</f>
        <v/>
      </c>
      <c r="F686" s="209" t="str">
        <f t="array" ref="F686">IF(ISNA($AA686),0,INDEX(DECLARATIONS,$AA686,7))</f>
        <v/>
      </c>
      <c r="G686" s="209" t="str">
        <f t="array" ref="G686">UPPER(IF(ISNA($AA686),"",INDEX(DECLARATIONS,$AA686,4)))</f>
        <v/>
      </c>
      <c r="H686" t="str">
        <f>IF(AND(A686&gt;0,ISTEXT(B686)),IF(SECNAME="YES",LEFT(B686&amp;" ",FIND(" ",B686&amp;" ")+2)&amp;IF(F686&gt;0," ("&amp;F686&amp;")",""),B686&amp;IF(F686&gt;0," ("&amp;F686&amp;")","")),"#"&amp;$A686)</f>
        <v/>
      </c>
      <c r="I686" s="209">
        <f>IF(LEN($A686)&gt;0,IF(LEN($J686)&gt;0,MATCH(J686,MatchNames,0),EventIndex),0)</f>
        <v>0</v>
      </c>
      <c r="J686" s="209" t="str">
        <f>IF(LEN($A686)&gt;0,IF(LEN(Declarations!$F686)&gt;0,Declarations!$F686,conftype),"")</f>
        <v/>
      </c>
      <c r="M686" s="297">
        <f>IF(ISNA(VLOOKUP($A686,SprintData,2,FALSE)),0,VLOOKUP($A686,SprintData,2,FALSE))</f>
        <v>0</v>
      </c>
      <c r="N686" s="297">
        <f>IF(ISNA(VLOOKUP($A686,JumpData,2,FALSE)),0,VLOOKUP($A686,JumpData,2,FALSE))</f>
        <v>0</v>
      </c>
      <c r="O686" s="297">
        <f>IF(ISNA(VLOOKUP($A686,RunData,2,FALSE)),0,VLOOKUP($A686,RunData,2,FALSE))</f>
        <v>0</v>
      </c>
      <c r="P686" s="297">
        <f>IF(ISNA(VLOOKUP($A686,ThrowData,2,FALSE)),0,VLOOKUP($A686,ThrowData,2,FALSE))</f>
        <v>0</v>
      </c>
      <c r="Q686" s="298">
        <f>IF(ISNA(VLOOKUP($A686,SprintData,4,FALSE)),0,VLOOKUP($A686,SprintData,4,FALSE))+V686</f>
        <v>0</v>
      </c>
      <c r="R686" s="298">
        <f>IF(ISNA(VLOOKUP($A686,JumpData,4,FALSE)),0,VLOOKUP($A686,JumpData,4,FALSE))+W686</f>
        <v>0</v>
      </c>
      <c r="S686" s="298">
        <f>IF(ISNA(VLOOKUP($A686,RunData,4,FALSE)),0,VLOOKUP($A686,RunData,4,FALSE))+X686</f>
        <v>0</v>
      </c>
      <c r="T686" s="298">
        <f>IF(ISNA(VLOOKUP($A686,ThrowData,4,FALSE)),0,VLOOKUP($A686,ThrowData,4,FALSE))+Y686</f>
        <v>0</v>
      </c>
      <c r="U686" s="299">
        <f t="shared" si="2"/>
        <v>0</v>
      </c>
      <c r="V686">
        <f>IF(AND($F686&gt;0,NOT(M686),Flexing),FlexPC,0)</f>
        <v>0</v>
      </c>
      <c r="W686">
        <f>IF(AND($F686&gt;0,NOT(N686),Flexing),FlexPC,0)</f>
        <v>0</v>
      </c>
      <c r="X686">
        <f>IF(AND($F686&gt;0,NOT(O686),Flexing),FlexPC,0)</f>
        <v>0</v>
      </c>
      <c r="Y686">
        <f>IF(AND($F686&gt;0,NOT(P686),Flexing),FlexPC,0)</f>
        <v>0</v>
      </c>
      <c r="AA686" s="209">
        <f t="shared" si="3"/>
        <v>685</v>
      </c>
    </row>
    <row r="687" ht="15.75" customHeight="1">
      <c r="A687" s="206" t="str">
        <f>+Declarations!A687&amp;""</f>
        <v/>
      </c>
      <c r="B687" t="str">
        <f>IF(LEN($A687),IF(LEN(Declarations!$B687)&gt;0,Declarations!$B687,"#"&amp;$A687),"")</f>
        <v/>
      </c>
      <c r="C687" s="209" t="str">
        <f t="array" ref="C687">IF(LEN(INDEX(DECLARATIONS,$AA687,3))&gt;0,INDEX(DECLARATIONS,$AA687,3),"...")</f>
        <v>...</v>
      </c>
      <c r="D687" s="209" t="str">
        <f t="shared" si="1"/>
        <v/>
      </c>
      <c r="E687" s="296" t="str">
        <f t="array" ref="E687">IF(ISNA($AA687),0,INDEX(DECLARATIONS,$AA687,5))</f>
        <v/>
      </c>
      <c r="F687" s="209" t="str">
        <f t="array" ref="F687">IF(ISNA($AA687),0,INDEX(DECLARATIONS,$AA687,7))</f>
        <v/>
      </c>
      <c r="G687" s="209" t="str">
        <f t="array" ref="G687">UPPER(IF(ISNA($AA687),"",INDEX(DECLARATIONS,$AA687,4)))</f>
        <v/>
      </c>
      <c r="H687" t="str">
        <f>IF(AND(A687&gt;0,ISTEXT(B687)),IF(SECNAME="YES",LEFT(B687&amp;" ",FIND(" ",B687&amp;" ")+2)&amp;IF(F687&gt;0," ("&amp;F687&amp;")",""),B687&amp;IF(F687&gt;0," ("&amp;F687&amp;")","")),"#"&amp;$A687)</f>
        <v/>
      </c>
      <c r="I687" s="209">
        <f>IF(LEN($A687)&gt;0,IF(LEN($J687)&gt;0,MATCH(J687,MatchNames,0),EventIndex),0)</f>
        <v>0</v>
      </c>
      <c r="J687" s="209" t="str">
        <f>IF(LEN($A687)&gt;0,IF(LEN(Declarations!$F687)&gt;0,Declarations!$F687,conftype),"")</f>
        <v/>
      </c>
      <c r="M687" s="297">
        <f>IF(ISNA(VLOOKUP($A687,SprintData,2,FALSE)),0,VLOOKUP($A687,SprintData,2,FALSE))</f>
        <v>0</v>
      </c>
      <c r="N687" s="297">
        <f>IF(ISNA(VLOOKUP($A687,JumpData,2,FALSE)),0,VLOOKUP($A687,JumpData,2,FALSE))</f>
        <v>0</v>
      </c>
      <c r="O687" s="297">
        <f>IF(ISNA(VLOOKUP($A687,RunData,2,FALSE)),0,VLOOKUP($A687,RunData,2,FALSE))</f>
        <v>0</v>
      </c>
      <c r="P687" s="297">
        <f>IF(ISNA(VLOOKUP($A687,ThrowData,2,FALSE)),0,VLOOKUP($A687,ThrowData,2,FALSE))</f>
        <v>0</v>
      </c>
      <c r="Q687" s="298">
        <f>IF(ISNA(VLOOKUP($A687,SprintData,4,FALSE)),0,VLOOKUP($A687,SprintData,4,FALSE))+V687</f>
        <v>0</v>
      </c>
      <c r="R687" s="298">
        <f>IF(ISNA(VLOOKUP($A687,JumpData,4,FALSE)),0,VLOOKUP($A687,JumpData,4,FALSE))+W687</f>
        <v>0</v>
      </c>
      <c r="S687" s="298">
        <f>IF(ISNA(VLOOKUP($A687,RunData,4,FALSE)),0,VLOOKUP($A687,RunData,4,FALSE))+X687</f>
        <v>0</v>
      </c>
      <c r="T687" s="298">
        <f>IF(ISNA(VLOOKUP($A687,ThrowData,4,FALSE)),0,VLOOKUP($A687,ThrowData,4,FALSE))+Y687</f>
        <v>0</v>
      </c>
      <c r="U687" s="299">
        <f t="shared" si="2"/>
        <v>0</v>
      </c>
      <c r="V687">
        <f>IF(AND($F687&gt;0,NOT(M687),Flexing),FlexPC,0)</f>
        <v>0</v>
      </c>
      <c r="W687">
        <f>IF(AND($F687&gt;0,NOT(N687),Flexing),FlexPC,0)</f>
        <v>0</v>
      </c>
      <c r="X687">
        <f>IF(AND($F687&gt;0,NOT(O687),Flexing),FlexPC,0)</f>
        <v>0</v>
      </c>
      <c r="Y687">
        <f>IF(AND($F687&gt;0,NOT(P687),Flexing),FlexPC,0)</f>
        <v>0</v>
      </c>
      <c r="AA687" s="209">
        <f t="shared" si="3"/>
        <v>686</v>
      </c>
    </row>
    <row r="688" ht="15.75" customHeight="1">
      <c r="A688" s="206" t="str">
        <f>+Declarations!A688&amp;""</f>
        <v/>
      </c>
      <c r="B688" t="str">
        <f>IF(LEN($A688),IF(LEN(Declarations!$B688)&gt;0,Declarations!$B688,"#"&amp;$A688),"")</f>
        <v/>
      </c>
      <c r="C688" s="209" t="str">
        <f t="array" ref="C688">IF(LEN(INDEX(DECLARATIONS,$AA688,3))&gt;0,INDEX(DECLARATIONS,$AA688,3),"...")</f>
        <v>...</v>
      </c>
      <c r="D688" s="209" t="str">
        <f t="shared" si="1"/>
        <v/>
      </c>
      <c r="E688" s="296" t="str">
        <f t="array" ref="E688">IF(ISNA($AA688),0,INDEX(DECLARATIONS,$AA688,5))</f>
        <v/>
      </c>
      <c r="F688" s="209" t="str">
        <f t="array" ref="F688">IF(ISNA($AA688),0,INDEX(DECLARATIONS,$AA688,7))</f>
        <v/>
      </c>
      <c r="G688" s="209" t="str">
        <f t="array" ref="G688">UPPER(IF(ISNA($AA688),"",INDEX(DECLARATIONS,$AA688,4)))</f>
        <v/>
      </c>
      <c r="H688" t="str">
        <f>IF(AND(A688&gt;0,ISTEXT(B688)),IF(SECNAME="YES",LEFT(B688&amp;" ",FIND(" ",B688&amp;" ")+2)&amp;IF(F688&gt;0," ("&amp;F688&amp;")",""),B688&amp;IF(F688&gt;0," ("&amp;F688&amp;")","")),"#"&amp;$A688)</f>
        <v/>
      </c>
      <c r="I688" s="209">
        <f>IF(LEN($A688)&gt;0,IF(LEN($J688)&gt;0,MATCH(J688,MatchNames,0),EventIndex),0)</f>
        <v>0</v>
      </c>
      <c r="J688" s="209" t="str">
        <f>IF(LEN($A688)&gt;0,IF(LEN(Declarations!$F688)&gt;0,Declarations!$F688,conftype),"")</f>
        <v/>
      </c>
      <c r="M688" s="297">
        <f>IF(ISNA(VLOOKUP($A688,SprintData,2,FALSE)),0,VLOOKUP($A688,SprintData,2,FALSE))</f>
        <v>0</v>
      </c>
      <c r="N688" s="297">
        <f>IF(ISNA(VLOOKUP($A688,JumpData,2,FALSE)),0,VLOOKUP($A688,JumpData,2,FALSE))</f>
        <v>0</v>
      </c>
      <c r="O688" s="297">
        <f>IF(ISNA(VLOOKUP($A688,RunData,2,FALSE)),0,VLOOKUP($A688,RunData,2,FALSE))</f>
        <v>0</v>
      </c>
      <c r="P688" s="297">
        <f>IF(ISNA(VLOOKUP($A688,ThrowData,2,FALSE)),0,VLOOKUP($A688,ThrowData,2,FALSE))</f>
        <v>0</v>
      </c>
      <c r="Q688" s="298">
        <f>IF(ISNA(VLOOKUP($A688,SprintData,4,FALSE)),0,VLOOKUP($A688,SprintData,4,FALSE))+V688</f>
        <v>0</v>
      </c>
      <c r="R688" s="298">
        <f>IF(ISNA(VLOOKUP($A688,JumpData,4,FALSE)),0,VLOOKUP($A688,JumpData,4,FALSE))+W688</f>
        <v>0</v>
      </c>
      <c r="S688" s="298">
        <f>IF(ISNA(VLOOKUP($A688,RunData,4,FALSE)),0,VLOOKUP($A688,RunData,4,FALSE))+X688</f>
        <v>0</v>
      </c>
      <c r="T688" s="298">
        <f>IF(ISNA(VLOOKUP($A688,ThrowData,4,FALSE)),0,VLOOKUP($A688,ThrowData,4,FALSE))+Y688</f>
        <v>0</v>
      </c>
      <c r="U688" s="299">
        <f t="shared" si="2"/>
        <v>0</v>
      </c>
      <c r="V688">
        <f>IF(AND($F688&gt;0,NOT(M688),Flexing),FlexPC,0)</f>
        <v>0</v>
      </c>
      <c r="W688">
        <f>IF(AND($F688&gt;0,NOT(N688),Flexing),FlexPC,0)</f>
        <v>0</v>
      </c>
      <c r="X688">
        <f>IF(AND($F688&gt;0,NOT(O688),Flexing),FlexPC,0)</f>
        <v>0</v>
      </c>
      <c r="Y688">
        <f>IF(AND($F688&gt;0,NOT(P688),Flexing),FlexPC,0)</f>
        <v>0</v>
      </c>
      <c r="AA688" s="209">
        <f t="shared" si="3"/>
        <v>687</v>
      </c>
    </row>
    <row r="689" ht="15.75" customHeight="1">
      <c r="A689" s="206" t="str">
        <f>+Declarations!A689&amp;""</f>
        <v/>
      </c>
      <c r="B689" t="str">
        <f>IF(LEN($A689),IF(LEN(Declarations!$B689)&gt;0,Declarations!$B689,"#"&amp;$A689),"")</f>
        <v/>
      </c>
      <c r="C689" s="209" t="str">
        <f t="array" ref="C689">IF(LEN(INDEX(DECLARATIONS,$AA689,3))&gt;0,INDEX(DECLARATIONS,$AA689,3),"...")</f>
        <v>...</v>
      </c>
      <c r="D689" s="209" t="str">
        <f t="shared" si="1"/>
        <v/>
      </c>
      <c r="E689" s="296" t="str">
        <f t="array" ref="E689">IF(ISNA($AA689),0,INDEX(DECLARATIONS,$AA689,5))</f>
        <v/>
      </c>
      <c r="F689" s="209" t="str">
        <f t="array" ref="F689">IF(ISNA($AA689),0,INDEX(DECLARATIONS,$AA689,7))</f>
        <v/>
      </c>
      <c r="G689" s="209" t="str">
        <f t="array" ref="G689">UPPER(IF(ISNA($AA689),"",INDEX(DECLARATIONS,$AA689,4)))</f>
        <v/>
      </c>
      <c r="H689" t="str">
        <f>IF(AND(A689&gt;0,ISTEXT(B689)),IF(SECNAME="YES",LEFT(B689&amp;" ",FIND(" ",B689&amp;" ")+2)&amp;IF(F689&gt;0," ("&amp;F689&amp;")",""),B689&amp;IF(F689&gt;0," ("&amp;F689&amp;")","")),"#"&amp;$A689)</f>
        <v/>
      </c>
      <c r="I689" s="209">
        <f>IF(LEN($A689)&gt;0,IF(LEN($J689)&gt;0,MATCH(J689,MatchNames,0),EventIndex),0)</f>
        <v>0</v>
      </c>
      <c r="J689" s="209" t="str">
        <f>IF(LEN($A689)&gt;0,IF(LEN(Declarations!$F689)&gt;0,Declarations!$F689,conftype),"")</f>
        <v/>
      </c>
      <c r="M689" s="297">
        <f>IF(ISNA(VLOOKUP($A689,SprintData,2,FALSE)),0,VLOOKUP($A689,SprintData,2,FALSE))</f>
        <v>0</v>
      </c>
      <c r="N689" s="297">
        <f>IF(ISNA(VLOOKUP($A689,JumpData,2,FALSE)),0,VLOOKUP($A689,JumpData,2,FALSE))</f>
        <v>0</v>
      </c>
      <c r="O689" s="297">
        <f>IF(ISNA(VLOOKUP($A689,RunData,2,FALSE)),0,VLOOKUP($A689,RunData,2,FALSE))</f>
        <v>0</v>
      </c>
      <c r="P689" s="297">
        <f>IF(ISNA(VLOOKUP($A689,ThrowData,2,FALSE)),0,VLOOKUP($A689,ThrowData,2,FALSE))</f>
        <v>0</v>
      </c>
      <c r="Q689" s="298">
        <f>IF(ISNA(VLOOKUP($A689,SprintData,4,FALSE)),0,VLOOKUP($A689,SprintData,4,FALSE))+V689</f>
        <v>0</v>
      </c>
      <c r="R689" s="298">
        <f>IF(ISNA(VLOOKUP($A689,JumpData,4,FALSE)),0,VLOOKUP($A689,JumpData,4,FALSE))+W689</f>
        <v>0</v>
      </c>
      <c r="S689" s="298">
        <f>IF(ISNA(VLOOKUP($A689,RunData,4,FALSE)),0,VLOOKUP($A689,RunData,4,FALSE))+X689</f>
        <v>0</v>
      </c>
      <c r="T689" s="298">
        <f>IF(ISNA(VLOOKUP($A689,ThrowData,4,FALSE)),0,VLOOKUP($A689,ThrowData,4,FALSE))+Y689</f>
        <v>0</v>
      </c>
      <c r="U689" s="299">
        <f t="shared" si="2"/>
        <v>0</v>
      </c>
      <c r="V689">
        <f>IF(AND($F689&gt;0,NOT(M689),Flexing),FlexPC,0)</f>
        <v>0</v>
      </c>
      <c r="W689">
        <f>IF(AND($F689&gt;0,NOT(N689),Flexing),FlexPC,0)</f>
        <v>0</v>
      </c>
      <c r="X689">
        <f>IF(AND($F689&gt;0,NOT(O689),Flexing),FlexPC,0)</f>
        <v>0</v>
      </c>
      <c r="Y689">
        <f>IF(AND($F689&gt;0,NOT(P689),Flexing),FlexPC,0)</f>
        <v>0</v>
      </c>
      <c r="AA689" s="209">
        <f t="shared" si="3"/>
        <v>688</v>
      </c>
    </row>
    <row r="690" ht="15.75" customHeight="1">
      <c r="A690" s="206" t="str">
        <f>+Declarations!A690&amp;""</f>
        <v/>
      </c>
      <c r="B690" t="str">
        <f>IF(LEN($A690),IF(LEN(Declarations!$B690)&gt;0,Declarations!$B690,"#"&amp;$A690),"")</f>
        <v/>
      </c>
      <c r="C690" s="209" t="str">
        <f t="array" ref="C690">IF(LEN(INDEX(DECLARATIONS,$AA690,3))&gt;0,INDEX(DECLARATIONS,$AA690,3),"...")</f>
        <v>...</v>
      </c>
      <c r="D690" s="209" t="str">
        <f t="shared" si="1"/>
        <v/>
      </c>
      <c r="E690" s="296" t="str">
        <f t="array" ref="E690">IF(ISNA($AA690),0,INDEX(DECLARATIONS,$AA690,5))</f>
        <v/>
      </c>
      <c r="F690" s="209" t="str">
        <f t="array" ref="F690">IF(ISNA($AA690),0,INDEX(DECLARATIONS,$AA690,7))</f>
        <v/>
      </c>
      <c r="G690" s="209" t="str">
        <f t="array" ref="G690">UPPER(IF(ISNA($AA690),"",INDEX(DECLARATIONS,$AA690,4)))</f>
        <v/>
      </c>
      <c r="H690" t="str">
        <f>IF(AND(A690&gt;0,ISTEXT(B690)),IF(SECNAME="YES",LEFT(B690&amp;" ",FIND(" ",B690&amp;" ")+2)&amp;IF(F690&gt;0," ("&amp;F690&amp;")",""),B690&amp;IF(F690&gt;0," ("&amp;F690&amp;")","")),"#"&amp;$A690)</f>
        <v/>
      </c>
      <c r="I690" s="209">
        <f>IF(LEN($A690)&gt;0,IF(LEN($J690)&gt;0,MATCH(J690,MatchNames,0),EventIndex),0)</f>
        <v>0</v>
      </c>
      <c r="J690" s="209" t="str">
        <f>IF(LEN($A690)&gt;0,IF(LEN(Declarations!$F690)&gt;0,Declarations!$F690,conftype),"")</f>
        <v/>
      </c>
      <c r="M690" s="297">
        <f>IF(ISNA(VLOOKUP($A690,SprintData,2,FALSE)),0,VLOOKUP($A690,SprintData,2,FALSE))</f>
        <v>0</v>
      </c>
      <c r="N690" s="297">
        <f>IF(ISNA(VLOOKUP($A690,JumpData,2,FALSE)),0,VLOOKUP($A690,JumpData,2,FALSE))</f>
        <v>0</v>
      </c>
      <c r="O690" s="297">
        <f>IF(ISNA(VLOOKUP($A690,RunData,2,FALSE)),0,VLOOKUP($A690,RunData,2,FALSE))</f>
        <v>0</v>
      </c>
      <c r="P690" s="297">
        <f>IF(ISNA(VLOOKUP($A690,ThrowData,2,FALSE)),0,VLOOKUP($A690,ThrowData,2,FALSE))</f>
        <v>0</v>
      </c>
      <c r="Q690" s="298">
        <f>IF(ISNA(VLOOKUP($A690,SprintData,4,FALSE)),0,VLOOKUP($A690,SprintData,4,FALSE))+V690</f>
        <v>0</v>
      </c>
      <c r="R690" s="298">
        <f>IF(ISNA(VLOOKUP($A690,JumpData,4,FALSE)),0,VLOOKUP($A690,JumpData,4,FALSE))+W690</f>
        <v>0</v>
      </c>
      <c r="S690" s="298">
        <f>IF(ISNA(VLOOKUP($A690,RunData,4,FALSE)),0,VLOOKUP($A690,RunData,4,FALSE))+X690</f>
        <v>0</v>
      </c>
      <c r="T690" s="298">
        <f>IF(ISNA(VLOOKUP($A690,ThrowData,4,FALSE)),0,VLOOKUP($A690,ThrowData,4,FALSE))+Y690</f>
        <v>0</v>
      </c>
      <c r="U690" s="299">
        <f t="shared" si="2"/>
        <v>0</v>
      </c>
      <c r="V690">
        <f>IF(AND($F690&gt;0,NOT(M690),Flexing),FlexPC,0)</f>
        <v>0</v>
      </c>
      <c r="W690">
        <f>IF(AND($F690&gt;0,NOT(N690),Flexing),FlexPC,0)</f>
        <v>0</v>
      </c>
      <c r="X690">
        <f>IF(AND($F690&gt;0,NOT(O690),Flexing),FlexPC,0)</f>
        <v>0</v>
      </c>
      <c r="Y690">
        <f>IF(AND($F690&gt;0,NOT(P690),Flexing),FlexPC,0)</f>
        <v>0</v>
      </c>
      <c r="AA690" s="209">
        <f t="shared" si="3"/>
        <v>689</v>
      </c>
    </row>
    <row r="691" ht="15.75" customHeight="1">
      <c r="A691" s="206" t="str">
        <f>+Declarations!A691&amp;""</f>
        <v/>
      </c>
      <c r="B691" t="str">
        <f>IF(LEN($A691),IF(LEN(Declarations!$B691)&gt;0,Declarations!$B691,"#"&amp;$A691),"")</f>
        <v/>
      </c>
      <c r="C691" s="209" t="str">
        <f t="array" ref="C691">IF(LEN(INDEX(DECLARATIONS,$AA691,3))&gt;0,INDEX(DECLARATIONS,$AA691,3),"...")</f>
        <v>...</v>
      </c>
      <c r="D691" s="209" t="str">
        <f t="shared" si="1"/>
        <v/>
      </c>
      <c r="E691" s="296" t="str">
        <f t="array" ref="E691">IF(ISNA($AA691),0,INDEX(DECLARATIONS,$AA691,5))</f>
        <v/>
      </c>
      <c r="F691" s="209" t="str">
        <f t="array" ref="F691">IF(ISNA($AA691),0,INDEX(DECLARATIONS,$AA691,7))</f>
        <v/>
      </c>
      <c r="G691" s="209" t="str">
        <f t="array" ref="G691">UPPER(IF(ISNA($AA691),"",INDEX(DECLARATIONS,$AA691,4)))</f>
        <v/>
      </c>
      <c r="H691" t="str">
        <f>IF(AND(A691&gt;0,ISTEXT(B691)),IF(SECNAME="YES",LEFT(B691&amp;" ",FIND(" ",B691&amp;" ")+2)&amp;IF(F691&gt;0," ("&amp;F691&amp;")",""),B691&amp;IF(F691&gt;0," ("&amp;F691&amp;")","")),"#"&amp;$A691)</f>
        <v/>
      </c>
      <c r="I691" s="209">
        <f>IF(LEN($A691)&gt;0,IF(LEN($J691)&gt;0,MATCH(J691,MatchNames,0),EventIndex),0)</f>
        <v>0</v>
      </c>
      <c r="J691" s="209" t="str">
        <f>IF(LEN($A691)&gt;0,IF(LEN(Declarations!$F691)&gt;0,Declarations!$F691,conftype),"")</f>
        <v/>
      </c>
      <c r="M691" s="297">
        <f>IF(ISNA(VLOOKUP($A691,SprintData,2,FALSE)),0,VLOOKUP($A691,SprintData,2,FALSE))</f>
        <v>0</v>
      </c>
      <c r="N691" s="297">
        <f>IF(ISNA(VLOOKUP($A691,JumpData,2,FALSE)),0,VLOOKUP($A691,JumpData,2,FALSE))</f>
        <v>0</v>
      </c>
      <c r="O691" s="297">
        <f>IF(ISNA(VLOOKUP($A691,RunData,2,FALSE)),0,VLOOKUP($A691,RunData,2,FALSE))</f>
        <v>0</v>
      </c>
      <c r="P691" s="297">
        <f>IF(ISNA(VLOOKUP($A691,ThrowData,2,FALSE)),0,VLOOKUP($A691,ThrowData,2,FALSE))</f>
        <v>0</v>
      </c>
      <c r="Q691" s="298">
        <f>IF(ISNA(VLOOKUP($A691,SprintData,4,FALSE)),0,VLOOKUP($A691,SprintData,4,FALSE))+V691</f>
        <v>0</v>
      </c>
      <c r="R691" s="298">
        <f>IF(ISNA(VLOOKUP($A691,JumpData,4,FALSE)),0,VLOOKUP($A691,JumpData,4,FALSE))+W691</f>
        <v>0</v>
      </c>
      <c r="S691" s="298">
        <f>IF(ISNA(VLOOKUP($A691,RunData,4,FALSE)),0,VLOOKUP($A691,RunData,4,FALSE))+X691</f>
        <v>0</v>
      </c>
      <c r="T691" s="298">
        <f>IF(ISNA(VLOOKUP($A691,ThrowData,4,FALSE)),0,VLOOKUP($A691,ThrowData,4,FALSE))+Y691</f>
        <v>0</v>
      </c>
      <c r="U691" s="299">
        <f t="shared" si="2"/>
        <v>0</v>
      </c>
      <c r="V691">
        <f>IF(AND($F691&gt;0,NOT(M691),Flexing),FlexPC,0)</f>
        <v>0</v>
      </c>
      <c r="W691">
        <f>IF(AND($F691&gt;0,NOT(N691),Flexing),FlexPC,0)</f>
        <v>0</v>
      </c>
      <c r="X691">
        <f>IF(AND($F691&gt;0,NOT(O691),Flexing),FlexPC,0)</f>
        <v>0</v>
      </c>
      <c r="Y691">
        <f>IF(AND($F691&gt;0,NOT(P691),Flexing),FlexPC,0)</f>
        <v>0</v>
      </c>
      <c r="AA691" s="209">
        <f t="shared" si="3"/>
        <v>690</v>
      </c>
    </row>
    <row r="692" ht="15.75" customHeight="1">
      <c r="A692" s="206" t="str">
        <f>+Declarations!A692&amp;""</f>
        <v/>
      </c>
      <c r="B692" t="str">
        <f>IF(LEN($A692),IF(LEN(Declarations!$B692)&gt;0,Declarations!$B692,"#"&amp;$A692),"")</f>
        <v/>
      </c>
      <c r="C692" s="209" t="str">
        <f t="array" ref="C692">IF(LEN(INDEX(DECLARATIONS,$AA692,3))&gt;0,INDEX(DECLARATIONS,$AA692,3),"...")</f>
        <v>...</v>
      </c>
      <c r="D692" s="209" t="str">
        <f t="shared" si="1"/>
        <v/>
      </c>
      <c r="E692" s="296" t="str">
        <f t="array" ref="E692">IF(ISNA($AA692),0,INDEX(DECLARATIONS,$AA692,5))</f>
        <v/>
      </c>
      <c r="F692" s="209" t="str">
        <f t="array" ref="F692">IF(ISNA($AA692),0,INDEX(DECLARATIONS,$AA692,7))</f>
        <v/>
      </c>
      <c r="G692" s="209" t="str">
        <f t="array" ref="G692">UPPER(IF(ISNA($AA692),"",INDEX(DECLARATIONS,$AA692,4)))</f>
        <v/>
      </c>
      <c r="H692" t="str">
        <f>IF(AND(A692&gt;0,ISTEXT(B692)),IF(SECNAME="YES",LEFT(B692&amp;" ",FIND(" ",B692&amp;" ")+2)&amp;IF(F692&gt;0," ("&amp;F692&amp;")",""),B692&amp;IF(F692&gt;0," ("&amp;F692&amp;")","")),"#"&amp;$A692)</f>
        <v/>
      </c>
      <c r="I692" s="209">
        <f>IF(LEN($A692)&gt;0,IF(LEN($J692)&gt;0,MATCH(J692,MatchNames,0),EventIndex),0)</f>
        <v>0</v>
      </c>
      <c r="J692" s="209" t="str">
        <f>IF(LEN($A692)&gt;0,IF(LEN(Declarations!$F692)&gt;0,Declarations!$F692,conftype),"")</f>
        <v/>
      </c>
      <c r="M692" s="297">
        <f>IF(ISNA(VLOOKUP($A692,SprintData,2,FALSE)),0,VLOOKUP($A692,SprintData,2,FALSE))</f>
        <v>0</v>
      </c>
      <c r="N692" s="297">
        <f>IF(ISNA(VLOOKUP($A692,JumpData,2,FALSE)),0,VLOOKUP($A692,JumpData,2,FALSE))</f>
        <v>0</v>
      </c>
      <c r="O692" s="297">
        <f>IF(ISNA(VLOOKUP($A692,RunData,2,FALSE)),0,VLOOKUP($A692,RunData,2,FALSE))</f>
        <v>0</v>
      </c>
      <c r="P692" s="297">
        <f>IF(ISNA(VLOOKUP($A692,ThrowData,2,FALSE)),0,VLOOKUP($A692,ThrowData,2,FALSE))</f>
        <v>0</v>
      </c>
      <c r="Q692" s="298">
        <f>IF(ISNA(VLOOKUP($A692,SprintData,4,FALSE)),0,VLOOKUP($A692,SprintData,4,FALSE))+V692</f>
        <v>0</v>
      </c>
      <c r="R692" s="298">
        <f>IF(ISNA(VLOOKUP($A692,JumpData,4,FALSE)),0,VLOOKUP($A692,JumpData,4,FALSE))+W692</f>
        <v>0</v>
      </c>
      <c r="S692" s="298">
        <f>IF(ISNA(VLOOKUP($A692,RunData,4,FALSE)),0,VLOOKUP($A692,RunData,4,FALSE))+X692</f>
        <v>0</v>
      </c>
      <c r="T692" s="298">
        <f>IF(ISNA(VLOOKUP($A692,ThrowData,4,FALSE)),0,VLOOKUP($A692,ThrowData,4,FALSE))+Y692</f>
        <v>0</v>
      </c>
      <c r="U692" s="299">
        <f t="shared" si="2"/>
        <v>0</v>
      </c>
      <c r="V692">
        <f>IF(AND($F692&gt;0,NOT(M692),Flexing),FlexPC,0)</f>
        <v>0</v>
      </c>
      <c r="W692">
        <f>IF(AND($F692&gt;0,NOT(N692),Flexing),FlexPC,0)</f>
        <v>0</v>
      </c>
      <c r="X692">
        <f>IF(AND($F692&gt;0,NOT(O692),Flexing),FlexPC,0)</f>
        <v>0</v>
      </c>
      <c r="Y692">
        <f>IF(AND($F692&gt;0,NOT(P692),Flexing),FlexPC,0)</f>
        <v>0</v>
      </c>
      <c r="AA692" s="209">
        <f t="shared" si="3"/>
        <v>691</v>
      </c>
    </row>
    <row r="693" ht="15.75" customHeight="1">
      <c r="A693" s="206" t="str">
        <f>+Declarations!A693&amp;""</f>
        <v/>
      </c>
      <c r="B693" t="str">
        <f>IF(LEN($A693),IF(LEN(Declarations!$B693)&gt;0,Declarations!$B693,"#"&amp;$A693),"")</f>
        <v/>
      </c>
      <c r="C693" s="209" t="str">
        <f t="array" ref="C693">IF(LEN(INDEX(DECLARATIONS,$AA693,3))&gt;0,INDEX(DECLARATIONS,$AA693,3),"...")</f>
        <v>...</v>
      </c>
      <c r="D693" s="209" t="str">
        <f t="shared" si="1"/>
        <v/>
      </c>
      <c r="E693" s="296" t="str">
        <f t="array" ref="E693">IF(ISNA($AA693),0,INDEX(DECLARATIONS,$AA693,5))</f>
        <v/>
      </c>
      <c r="F693" s="209" t="str">
        <f t="array" ref="F693">IF(ISNA($AA693),0,INDEX(DECLARATIONS,$AA693,7))</f>
        <v/>
      </c>
      <c r="G693" s="209" t="str">
        <f t="array" ref="G693">UPPER(IF(ISNA($AA693),"",INDEX(DECLARATIONS,$AA693,4)))</f>
        <v/>
      </c>
      <c r="H693" t="str">
        <f>IF(AND(A693&gt;0,ISTEXT(B693)),IF(SECNAME="YES",LEFT(B693&amp;" ",FIND(" ",B693&amp;" ")+2)&amp;IF(F693&gt;0," ("&amp;F693&amp;")",""),B693&amp;IF(F693&gt;0," ("&amp;F693&amp;")","")),"#"&amp;$A693)</f>
        <v/>
      </c>
      <c r="I693" s="209">
        <f>IF(LEN($A693)&gt;0,IF(LEN($J693)&gt;0,MATCH(J693,MatchNames,0),EventIndex),0)</f>
        <v>0</v>
      </c>
      <c r="J693" s="209" t="str">
        <f>IF(LEN($A693)&gt;0,IF(LEN(Declarations!$F693)&gt;0,Declarations!$F693,conftype),"")</f>
        <v/>
      </c>
      <c r="M693" s="297">
        <f>IF(ISNA(VLOOKUP($A693,SprintData,2,FALSE)),0,VLOOKUP($A693,SprintData,2,FALSE))</f>
        <v>0</v>
      </c>
      <c r="N693" s="297">
        <f>IF(ISNA(VLOOKUP($A693,JumpData,2,FALSE)),0,VLOOKUP($A693,JumpData,2,FALSE))</f>
        <v>0</v>
      </c>
      <c r="O693" s="297">
        <f>IF(ISNA(VLOOKUP($A693,RunData,2,FALSE)),0,VLOOKUP($A693,RunData,2,FALSE))</f>
        <v>0</v>
      </c>
      <c r="P693" s="297">
        <f>IF(ISNA(VLOOKUP($A693,ThrowData,2,FALSE)),0,VLOOKUP($A693,ThrowData,2,FALSE))</f>
        <v>0</v>
      </c>
      <c r="Q693" s="298">
        <f>IF(ISNA(VLOOKUP($A693,SprintData,4,FALSE)),0,VLOOKUP($A693,SprintData,4,FALSE))+V693</f>
        <v>0</v>
      </c>
      <c r="R693" s="298">
        <f>IF(ISNA(VLOOKUP($A693,JumpData,4,FALSE)),0,VLOOKUP($A693,JumpData,4,FALSE))+W693</f>
        <v>0</v>
      </c>
      <c r="S693" s="298">
        <f>IF(ISNA(VLOOKUP($A693,RunData,4,FALSE)),0,VLOOKUP($A693,RunData,4,FALSE))+X693</f>
        <v>0</v>
      </c>
      <c r="T693" s="298">
        <f>IF(ISNA(VLOOKUP($A693,ThrowData,4,FALSE)),0,VLOOKUP($A693,ThrowData,4,FALSE))+Y693</f>
        <v>0</v>
      </c>
      <c r="U693" s="299">
        <f t="shared" si="2"/>
        <v>0</v>
      </c>
      <c r="V693">
        <f>IF(AND($F693&gt;0,NOT(M693),Flexing),FlexPC,0)</f>
        <v>0</v>
      </c>
      <c r="W693">
        <f>IF(AND($F693&gt;0,NOT(N693),Flexing),FlexPC,0)</f>
        <v>0</v>
      </c>
      <c r="X693">
        <f>IF(AND($F693&gt;0,NOT(O693),Flexing),FlexPC,0)</f>
        <v>0</v>
      </c>
      <c r="Y693">
        <f>IF(AND($F693&gt;0,NOT(P693),Flexing),FlexPC,0)</f>
        <v>0</v>
      </c>
      <c r="AA693" s="209">
        <f t="shared" si="3"/>
        <v>692</v>
      </c>
    </row>
    <row r="694" ht="15.75" customHeight="1">
      <c r="A694" s="206" t="str">
        <f>+Declarations!A694&amp;""</f>
        <v/>
      </c>
      <c r="B694" t="str">
        <f>IF(LEN($A694),IF(LEN(Declarations!$B694)&gt;0,Declarations!$B694,"#"&amp;$A694),"")</f>
        <v/>
      </c>
      <c r="C694" s="209" t="str">
        <f t="array" ref="C694">IF(LEN(INDEX(DECLARATIONS,$AA694,3))&gt;0,INDEX(DECLARATIONS,$AA694,3),"...")</f>
        <v>...</v>
      </c>
      <c r="D694" s="209" t="str">
        <f t="shared" si="1"/>
        <v/>
      </c>
      <c r="E694" s="296" t="str">
        <f t="array" ref="E694">IF(ISNA($AA694),0,INDEX(DECLARATIONS,$AA694,5))</f>
        <v/>
      </c>
      <c r="F694" s="209" t="str">
        <f t="array" ref="F694">IF(ISNA($AA694),0,INDEX(DECLARATIONS,$AA694,7))</f>
        <v/>
      </c>
      <c r="G694" s="209" t="str">
        <f t="array" ref="G694">UPPER(IF(ISNA($AA694),"",INDEX(DECLARATIONS,$AA694,4)))</f>
        <v/>
      </c>
      <c r="H694" t="str">
        <f>IF(AND(A694&gt;0,ISTEXT(B694)),IF(SECNAME="YES",LEFT(B694&amp;" ",FIND(" ",B694&amp;" ")+2)&amp;IF(F694&gt;0," ("&amp;F694&amp;")",""),B694&amp;IF(F694&gt;0," ("&amp;F694&amp;")","")),"#"&amp;$A694)</f>
        <v/>
      </c>
      <c r="I694" s="209">
        <f>IF(LEN($A694)&gt;0,IF(LEN($J694)&gt;0,MATCH(J694,MatchNames,0),EventIndex),0)</f>
        <v>0</v>
      </c>
      <c r="J694" s="209" t="str">
        <f>IF(LEN($A694)&gt;0,IF(LEN(Declarations!$F694)&gt;0,Declarations!$F694,conftype),"")</f>
        <v/>
      </c>
      <c r="M694" s="297">
        <f>IF(ISNA(VLOOKUP($A694,SprintData,2,FALSE)),0,VLOOKUP($A694,SprintData,2,FALSE))</f>
        <v>0</v>
      </c>
      <c r="N694" s="297">
        <f>IF(ISNA(VLOOKUP($A694,JumpData,2,FALSE)),0,VLOOKUP($A694,JumpData,2,FALSE))</f>
        <v>0</v>
      </c>
      <c r="O694" s="297">
        <f>IF(ISNA(VLOOKUP($A694,RunData,2,FALSE)),0,VLOOKUP($A694,RunData,2,FALSE))</f>
        <v>0</v>
      </c>
      <c r="P694" s="297">
        <f>IF(ISNA(VLOOKUP($A694,ThrowData,2,FALSE)),0,VLOOKUP($A694,ThrowData,2,FALSE))</f>
        <v>0</v>
      </c>
      <c r="Q694" s="298">
        <f>IF(ISNA(VLOOKUP($A694,SprintData,4,FALSE)),0,VLOOKUP($A694,SprintData,4,FALSE))+V694</f>
        <v>0</v>
      </c>
      <c r="R694" s="298">
        <f>IF(ISNA(VLOOKUP($A694,JumpData,4,FALSE)),0,VLOOKUP($A694,JumpData,4,FALSE))+W694</f>
        <v>0</v>
      </c>
      <c r="S694" s="298">
        <f>IF(ISNA(VLOOKUP($A694,RunData,4,FALSE)),0,VLOOKUP($A694,RunData,4,FALSE))+X694</f>
        <v>0</v>
      </c>
      <c r="T694" s="298">
        <f>IF(ISNA(VLOOKUP($A694,ThrowData,4,FALSE)),0,VLOOKUP($A694,ThrowData,4,FALSE))+Y694</f>
        <v>0</v>
      </c>
      <c r="U694" s="299">
        <f t="shared" si="2"/>
        <v>0</v>
      </c>
      <c r="V694">
        <f>IF(AND($F694&gt;0,NOT(M694),Flexing),FlexPC,0)</f>
        <v>0</v>
      </c>
      <c r="W694">
        <f>IF(AND($F694&gt;0,NOT(N694),Flexing),FlexPC,0)</f>
        <v>0</v>
      </c>
      <c r="X694">
        <f>IF(AND($F694&gt;0,NOT(O694),Flexing),FlexPC,0)</f>
        <v>0</v>
      </c>
      <c r="Y694">
        <f>IF(AND($F694&gt;0,NOT(P694),Flexing),FlexPC,0)</f>
        <v>0</v>
      </c>
      <c r="AA694" s="209">
        <f t="shared" si="3"/>
        <v>693</v>
      </c>
    </row>
    <row r="695" ht="15.75" customHeight="1">
      <c r="A695" s="206" t="str">
        <f>+Declarations!A695&amp;""</f>
        <v/>
      </c>
      <c r="B695" t="str">
        <f>IF(LEN($A695),IF(LEN(Declarations!$B695)&gt;0,Declarations!$B695,"#"&amp;$A695),"")</f>
        <v/>
      </c>
      <c r="C695" s="209" t="str">
        <f t="array" ref="C695">IF(LEN(INDEX(DECLARATIONS,$AA695,3))&gt;0,INDEX(DECLARATIONS,$AA695,3),"...")</f>
        <v>...</v>
      </c>
      <c r="D695" s="209" t="str">
        <f t="shared" si="1"/>
        <v/>
      </c>
      <c r="E695" s="296" t="str">
        <f t="array" ref="E695">IF(ISNA($AA695),0,INDEX(DECLARATIONS,$AA695,5))</f>
        <v/>
      </c>
      <c r="F695" s="209" t="str">
        <f t="array" ref="F695">IF(ISNA($AA695),0,INDEX(DECLARATIONS,$AA695,7))</f>
        <v/>
      </c>
      <c r="G695" s="209" t="str">
        <f t="array" ref="G695">UPPER(IF(ISNA($AA695),"",INDEX(DECLARATIONS,$AA695,4)))</f>
        <v/>
      </c>
      <c r="H695" t="str">
        <f>IF(AND(A695&gt;0,ISTEXT(B695)),IF(SECNAME="YES",LEFT(B695&amp;" ",FIND(" ",B695&amp;" ")+2)&amp;IF(F695&gt;0," ("&amp;F695&amp;")",""),B695&amp;IF(F695&gt;0," ("&amp;F695&amp;")","")),"#"&amp;$A695)</f>
        <v/>
      </c>
      <c r="I695" s="209">
        <f>IF(LEN($A695)&gt;0,IF(LEN($J695)&gt;0,MATCH(J695,MatchNames,0),EventIndex),0)</f>
        <v>0</v>
      </c>
      <c r="J695" s="209" t="str">
        <f>IF(LEN($A695)&gt;0,IF(LEN(Declarations!$F695)&gt;0,Declarations!$F695,conftype),"")</f>
        <v/>
      </c>
      <c r="M695" s="297">
        <f>IF(ISNA(VLOOKUP($A695,SprintData,2,FALSE)),0,VLOOKUP($A695,SprintData,2,FALSE))</f>
        <v>0</v>
      </c>
      <c r="N695" s="297">
        <f>IF(ISNA(VLOOKUP($A695,JumpData,2,FALSE)),0,VLOOKUP($A695,JumpData,2,FALSE))</f>
        <v>0</v>
      </c>
      <c r="O695" s="297">
        <f>IF(ISNA(VLOOKUP($A695,RunData,2,FALSE)),0,VLOOKUP($A695,RunData,2,FALSE))</f>
        <v>0</v>
      </c>
      <c r="P695" s="297">
        <f>IF(ISNA(VLOOKUP($A695,ThrowData,2,FALSE)),0,VLOOKUP($A695,ThrowData,2,FALSE))</f>
        <v>0</v>
      </c>
      <c r="Q695" s="298">
        <f>IF(ISNA(VLOOKUP($A695,SprintData,4,FALSE)),0,VLOOKUP($A695,SprintData,4,FALSE))+V695</f>
        <v>0</v>
      </c>
      <c r="R695" s="298">
        <f>IF(ISNA(VLOOKUP($A695,JumpData,4,FALSE)),0,VLOOKUP($A695,JumpData,4,FALSE))+W695</f>
        <v>0</v>
      </c>
      <c r="S695" s="298">
        <f>IF(ISNA(VLOOKUP($A695,RunData,4,FALSE)),0,VLOOKUP($A695,RunData,4,FALSE))+X695</f>
        <v>0</v>
      </c>
      <c r="T695" s="298">
        <f>IF(ISNA(VLOOKUP($A695,ThrowData,4,FALSE)),0,VLOOKUP($A695,ThrowData,4,FALSE))+Y695</f>
        <v>0</v>
      </c>
      <c r="U695" s="299">
        <f t="shared" si="2"/>
        <v>0</v>
      </c>
      <c r="V695">
        <f>IF(AND($F695&gt;0,NOT(M695),Flexing),FlexPC,0)</f>
        <v>0</v>
      </c>
      <c r="W695">
        <f>IF(AND($F695&gt;0,NOT(N695),Flexing),FlexPC,0)</f>
        <v>0</v>
      </c>
      <c r="X695">
        <f>IF(AND($F695&gt;0,NOT(O695),Flexing),FlexPC,0)</f>
        <v>0</v>
      </c>
      <c r="Y695">
        <f>IF(AND($F695&gt;0,NOT(P695),Flexing),FlexPC,0)</f>
        <v>0</v>
      </c>
      <c r="AA695" s="209">
        <f t="shared" si="3"/>
        <v>694</v>
      </c>
    </row>
    <row r="696" ht="15.75" customHeight="1">
      <c r="A696" s="206" t="str">
        <f>+Declarations!A696&amp;""</f>
        <v/>
      </c>
      <c r="B696" t="str">
        <f>IF(LEN($A696),IF(LEN(Declarations!$B696)&gt;0,Declarations!$B696,"#"&amp;$A696),"")</f>
        <v/>
      </c>
      <c r="C696" s="209" t="str">
        <f t="array" ref="C696">IF(LEN(INDEX(DECLARATIONS,$AA696,3))&gt;0,INDEX(DECLARATIONS,$AA696,3),"...")</f>
        <v>...</v>
      </c>
      <c r="D696" s="209" t="str">
        <f t="shared" si="1"/>
        <v/>
      </c>
      <c r="E696" s="296" t="str">
        <f t="array" ref="E696">IF(ISNA($AA696),0,INDEX(DECLARATIONS,$AA696,5))</f>
        <v/>
      </c>
      <c r="F696" s="209" t="str">
        <f t="array" ref="F696">IF(ISNA($AA696),0,INDEX(DECLARATIONS,$AA696,7))</f>
        <v/>
      </c>
      <c r="G696" s="209" t="str">
        <f t="array" ref="G696">UPPER(IF(ISNA($AA696),"",INDEX(DECLARATIONS,$AA696,4)))</f>
        <v/>
      </c>
      <c r="H696" t="str">
        <f>IF(AND(A696&gt;0,ISTEXT(B696)),IF(SECNAME="YES",LEFT(B696&amp;" ",FIND(" ",B696&amp;" ")+2)&amp;IF(F696&gt;0," ("&amp;F696&amp;")",""),B696&amp;IF(F696&gt;0," ("&amp;F696&amp;")","")),"#"&amp;$A696)</f>
        <v/>
      </c>
      <c r="I696" s="209">
        <f>IF(LEN($A696)&gt;0,IF(LEN($J696)&gt;0,MATCH(J696,MatchNames,0),EventIndex),0)</f>
        <v>0</v>
      </c>
      <c r="J696" s="209" t="str">
        <f>IF(LEN($A696)&gt;0,IF(LEN(Declarations!$F696)&gt;0,Declarations!$F696,conftype),"")</f>
        <v/>
      </c>
      <c r="M696" s="297">
        <f>IF(ISNA(VLOOKUP($A696,SprintData,2,FALSE)),0,VLOOKUP($A696,SprintData,2,FALSE))</f>
        <v>0</v>
      </c>
      <c r="N696" s="297">
        <f>IF(ISNA(VLOOKUP($A696,JumpData,2,FALSE)),0,VLOOKUP($A696,JumpData,2,FALSE))</f>
        <v>0</v>
      </c>
      <c r="O696" s="297">
        <f>IF(ISNA(VLOOKUP($A696,RunData,2,FALSE)),0,VLOOKUP($A696,RunData,2,FALSE))</f>
        <v>0</v>
      </c>
      <c r="P696" s="297">
        <f>IF(ISNA(VLOOKUP($A696,ThrowData,2,FALSE)),0,VLOOKUP($A696,ThrowData,2,FALSE))</f>
        <v>0</v>
      </c>
      <c r="Q696" s="298">
        <f>IF(ISNA(VLOOKUP($A696,SprintData,4,FALSE)),0,VLOOKUP($A696,SprintData,4,FALSE))+V696</f>
        <v>0</v>
      </c>
      <c r="R696" s="298">
        <f>IF(ISNA(VLOOKUP($A696,JumpData,4,FALSE)),0,VLOOKUP($A696,JumpData,4,FALSE))+W696</f>
        <v>0</v>
      </c>
      <c r="S696" s="298">
        <f>IF(ISNA(VLOOKUP($A696,RunData,4,FALSE)),0,VLOOKUP($A696,RunData,4,FALSE))+X696</f>
        <v>0</v>
      </c>
      <c r="T696" s="298">
        <f>IF(ISNA(VLOOKUP($A696,ThrowData,4,FALSE)),0,VLOOKUP($A696,ThrowData,4,FALSE))+Y696</f>
        <v>0</v>
      </c>
      <c r="U696" s="299">
        <f t="shared" si="2"/>
        <v>0</v>
      </c>
      <c r="V696">
        <f>IF(AND($F696&gt;0,NOT(M696),Flexing),FlexPC,0)</f>
        <v>0</v>
      </c>
      <c r="W696">
        <f>IF(AND($F696&gt;0,NOT(N696),Flexing),FlexPC,0)</f>
        <v>0</v>
      </c>
      <c r="X696">
        <f>IF(AND($F696&gt;0,NOT(O696),Flexing),FlexPC,0)</f>
        <v>0</v>
      </c>
      <c r="Y696">
        <f>IF(AND($F696&gt;0,NOT(P696),Flexing),FlexPC,0)</f>
        <v>0</v>
      </c>
      <c r="AA696" s="209">
        <f t="shared" si="3"/>
        <v>695</v>
      </c>
    </row>
    <row r="697" ht="15.75" customHeight="1">
      <c r="A697" s="206" t="str">
        <f>+Declarations!A697&amp;""</f>
        <v/>
      </c>
      <c r="B697" t="str">
        <f>IF(LEN($A697),IF(LEN(Declarations!$B697)&gt;0,Declarations!$B697,"#"&amp;$A697),"")</f>
        <v/>
      </c>
      <c r="C697" s="209" t="str">
        <f t="array" ref="C697">IF(LEN(INDEX(DECLARATIONS,$AA697,3))&gt;0,INDEX(DECLARATIONS,$AA697,3),"...")</f>
        <v>...</v>
      </c>
      <c r="D697" s="209" t="str">
        <f t="shared" si="1"/>
        <v/>
      </c>
      <c r="E697" s="296" t="str">
        <f t="array" ref="E697">IF(ISNA($AA697),0,INDEX(DECLARATIONS,$AA697,5))</f>
        <v/>
      </c>
      <c r="F697" s="209" t="str">
        <f t="array" ref="F697">IF(ISNA($AA697),0,INDEX(DECLARATIONS,$AA697,7))</f>
        <v/>
      </c>
      <c r="G697" s="209" t="str">
        <f t="array" ref="G697">UPPER(IF(ISNA($AA697),"",INDEX(DECLARATIONS,$AA697,4)))</f>
        <v/>
      </c>
      <c r="H697" t="str">
        <f>IF(AND(A697&gt;0,ISTEXT(B697)),IF(SECNAME="YES",LEFT(B697&amp;" ",FIND(" ",B697&amp;" ")+2)&amp;IF(F697&gt;0," ("&amp;F697&amp;")",""),B697&amp;IF(F697&gt;0," ("&amp;F697&amp;")","")),"#"&amp;$A697)</f>
        <v/>
      </c>
      <c r="I697" s="209">
        <f>IF(LEN($A697)&gt;0,IF(LEN($J697)&gt;0,MATCH(J697,MatchNames,0),EventIndex),0)</f>
        <v>0</v>
      </c>
      <c r="J697" s="209" t="str">
        <f>IF(LEN($A697)&gt;0,IF(LEN(Declarations!$F697)&gt;0,Declarations!$F697,conftype),"")</f>
        <v/>
      </c>
      <c r="M697" s="297">
        <f>IF(ISNA(VLOOKUP($A697,SprintData,2,FALSE)),0,VLOOKUP($A697,SprintData,2,FALSE))</f>
        <v>0</v>
      </c>
      <c r="N697" s="297">
        <f>IF(ISNA(VLOOKUP($A697,JumpData,2,FALSE)),0,VLOOKUP($A697,JumpData,2,FALSE))</f>
        <v>0</v>
      </c>
      <c r="O697" s="297">
        <f>IF(ISNA(VLOOKUP($A697,RunData,2,FALSE)),0,VLOOKUP($A697,RunData,2,FALSE))</f>
        <v>0</v>
      </c>
      <c r="P697" s="297">
        <f>IF(ISNA(VLOOKUP($A697,ThrowData,2,FALSE)),0,VLOOKUP($A697,ThrowData,2,FALSE))</f>
        <v>0</v>
      </c>
      <c r="Q697" s="298">
        <f>IF(ISNA(VLOOKUP($A697,SprintData,4,FALSE)),0,VLOOKUP($A697,SprintData,4,FALSE))+V697</f>
        <v>0</v>
      </c>
      <c r="R697" s="298">
        <f>IF(ISNA(VLOOKUP($A697,JumpData,4,FALSE)),0,VLOOKUP($A697,JumpData,4,FALSE))+W697</f>
        <v>0</v>
      </c>
      <c r="S697" s="298">
        <f>IF(ISNA(VLOOKUP($A697,RunData,4,FALSE)),0,VLOOKUP($A697,RunData,4,FALSE))+X697</f>
        <v>0</v>
      </c>
      <c r="T697" s="298">
        <f>IF(ISNA(VLOOKUP($A697,ThrowData,4,FALSE)),0,VLOOKUP($A697,ThrowData,4,FALSE))+Y697</f>
        <v>0</v>
      </c>
      <c r="U697" s="299">
        <f t="shared" si="2"/>
        <v>0</v>
      </c>
      <c r="V697">
        <f>IF(AND($F697&gt;0,NOT(M697),Flexing),FlexPC,0)</f>
        <v>0</v>
      </c>
      <c r="W697">
        <f>IF(AND($F697&gt;0,NOT(N697),Flexing),FlexPC,0)</f>
        <v>0</v>
      </c>
      <c r="X697">
        <f>IF(AND($F697&gt;0,NOT(O697),Flexing),FlexPC,0)</f>
        <v>0</v>
      </c>
      <c r="Y697">
        <f>IF(AND($F697&gt;0,NOT(P697),Flexing),FlexPC,0)</f>
        <v>0</v>
      </c>
      <c r="AA697" s="209">
        <f t="shared" si="3"/>
        <v>696</v>
      </c>
    </row>
    <row r="698" ht="15.75" customHeight="1">
      <c r="A698" s="206" t="str">
        <f>+Declarations!A698&amp;""</f>
        <v/>
      </c>
      <c r="B698" t="str">
        <f>IF(LEN($A698),IF(LEN(Declarations!$B698)&gt;0,Declarations!$B698,"#"&amp;$A698),"")</f>
        <v/>
      </c>
      <c r="C698" s="209" t="str">
        <f t="array" ref="C698">IF(LEN(INDEX(DECLARATIONS,$AA698,3))&gt;0,INDEX(DECLARATIONS,$AA698,3),"...")</f>
        <v>...</v>
      </c>
      <c r="D698" s="209" t="str">
        <f t="shared" si="1"/>
        <v/>
      </c>
      <c r="E698" s="296" t="str">
        <f t="array" ref="E698">IF(ISNA($AA698),0,INDEX(DECLARATIONS,$AA698,5))</f>
        <v/>
      </c>
      <c r="F698" s="209" t="str">
        <f t="array" ref="F698">IF(ISNA($AA698),0,INDEX(DECLARATIONS,$AA698,7))</f>
        <v/>
      </c>
      <c r="G698" s="209" t="str">
        <f t="array" ref="G698">UPPER(IF(ISNA($AA698),"",INDEX(DECLARATIONS,$AA698,4)))</f>
        <v/>
      </c>
      <c r="H698" t="str">
        <f>IF(AND(A698&gt;0,ISTEXT(B698)),IF(SECNAME="YES",LEFT(B698&amp;" ",FIND(" ",B698&amp;" ")+2)&amp;IF(F698&gt;0," ("&amp;F698&amp;")",""),B698&amp;IF(F698&gt;0," ("&amp;F698&amp;")","")),"#"&amp;$A698)</f>
        <v/>
      </c>
      <c r="I698" s="209">
        <f>IF(LEN($A698)&gt;0,IF(LEN($J698)&gt;0,MATCH(J698,MatchNames,0),EventIndex),0)</f>
        <v>0</v>
      </c>
      <c r="J698" s="209" t="str">
        <f>IF(LEN($A698)&gt;0,IF(LEN(Declarations!$F698)&gt;0,Declarations!$F698,conftype),"")</f>
        <v/>
      </c>
      <c r="M698" s="297">
        <f>IF(ISNA(VLOOKUP($A698,SprintData,2,FALSE)),0,VLOOKUP($A698,SprintData,2,FALSE))</f>
        <v>0</v>
      </c>
      <c r="N698" s="297">
        <f>IF(ISNA(VLOOKUP($A698,JumpData,2,FALSE)),0,VLOOKUP($A698,JumpData,2,FALSE))</f>
        <v>0</v>
      </c>
      <c r="O698" s="297">
        <f>IF(ISNA(VLOOKUP($A698,RunData,2,FALSE)),0,VLOOKUP($A698,RunData,2,FALSE))</f>
        <v>0</v>
      </c>
      <c r="P698" s="297">
        <f>IF(ISNA(VLOOKUP($A698,ThrowData,2,FALSE)),0,VLOOKUP($A698,ThrowData,2,FALSE))</f>
        <v>0</v>
      </c>
      <c r="Q698" s="298">
        <f>IF(ISNA(VLOOKUP($A698,SprintData,4,FALSE)),0,VLOOKUP($A698,SprintData,4,FALSE))+V698</f>
        <v>0</v>
      </c>
      <c r="R698" s="298">
        <f>IF(ISNA(VLOOKUP($A698,JumpData,4,FALSE)),0,VLOOKUP($A698,JumpData,4,FALSE))+W698</f>
        <v>0</v>
      </c>
      <c r="S698" s="298">
        <f>IF(ISNA(VLOOKUP($A698,RunData,4,FALSE)),0,VLOOKUP($A698,RunData,4,FALSE))+X698</f>
        <v>0</v>
      </c>
      <c r="T698" s="298">
        <f>IF(ISNA(VLOOKUP($A698,ThrowData,4,FALSE)),0,VLOOKUP($A698,ThrowData,4,FALSE))+Y698</f>
        <v>0</v>
      </c>
      <c r="U698" s="299">
        <f t="shared" si="2"/>
        <v>0</v>
      </c>
      <c r="V698">
        <f>IF(AND($F698&gt;0,NOT(M698),Flexing),FlexPC,0)</f>
        <v>0</v>
      </c>
      <c r="W698">
        <f>IF(AND($F698&gt;0,NOT(N698),Flexing),FlexPC,0)</f>
        <v>0</v>
      </c>
      <c r="X698">
        <f>IF(AND($F698&gt;0,NOT(O698),Flexing),FlexPC,0)</f>
        <v>0</v>
      </c>
      <c r="Y698">
        <f>IF(AND($F698&gt;0,NOT(P698),Flexing),FlexPC,0)</f>
        <v>0</v>
      </c>
      <c r="AA698" s="209">
        <f t="shared" si="3"/>
        <v>697</v>
      </c>
    </row>
    <row r="699" ht="15.75" customHeight="1">
      <c r="A699" s="206" t="str">
        <f>+Declarations!A699&amp;""</f>
        <v/>
      </c>
      <c r="B699" t="str">
        <f>IF(LEN($A699),IF(LEN(Declarations!$B699)&gt;0,Declarations!$B699,"#"&amp;$A699),"")</f>
        <v/>
      </c>
      <c r="C699" s="209" t="str">
        <f t="array" ref="C699">IF(LEN(INDEX(DECLARATIONS,$AA699,3))&gt;0,INDEX(DECLARATIONS,$AA699,3),"...")</f>
        <v>...</v>
      </c>
      <c r="D699" s="209" t="str">
        <f t="shared" si="1"/>
        <v/>
      </c>
      <c r="E699" s="296" t="str">
        <f t="array" ref="E699">IF(ISNA($AA699),0,INDEX(DECLARATIONS,$AA699,5))</f>
        <v/>
      </c>
      <c r="F699" s="209" t="str">
        <f t="array" ref="F699">IF(ISNA($AA699),0,INDEX(DECLARATIONS,$AA699,7))</f>
        <v/>
      </c>
      <c r="G699" s="209" t="str">
        <f t="array" ref="G699">UPPER(IF(ISNA($AA699),"",INDEX(DECLARATIONS,$AA699,4)))</f>
        <v/>
      </c>
      <c r="H699" t="str">
        <f>IF(AND(A699&gt;0,ISTEXT(B699)),IF(SECNAME="YES",LEFT(B699&amp;" ",FIND(" ",B699&amp;" ")+2)&amp;IF(F699&gt;0," ("&amp;F699&amp;")",""),B699&amp;IF(F699&gt;0," ("&amp;F699&amp;")","")),"#"&amp;$A699)</f>
        <v/>
      </c>
      <c r="I699" s="209">
        <f>IF(LEN($A699)&gt;0,IF(LEN($J699)&gt;0,MATCH(J699,MatchNames,0),EventIndex),0)</f>
        <v>0</v>
      </c>
      <c r="J699" s="209" t="str">
        <f>IF(LEN($A699)&gt;0,IF(LEN(Declarations!$F699)&gt;0,Declarations!$F699,conftype),"")</f>
        <v/>
      </c>
      <c r="M699" s="297">
        <f>IF(ISNA(VLOOKUP($A699,SprintData,2,FALSE)),0,VLOOKUP($A699,SprintData,2,FALSE))</f>
        <v>0</v>
      </c>
      <c r="N699" s="297">
        <f>IF(ISNA(VLOOKUP($A699,JumpData,2,FALSE)),0,VLOOKUP($A699,JumpData,2,FALSE))</f>
        <v>0</v>
      </c>
      <c r="O699" s="297">
        <f>IF(ISNA(VLOOKUP($A699,RunData,2,FALSE)),0,VLOOKUP($A699,RunData,2,FALSE))</f>
        <v>0</v>
      </c>
      <c r="P699" s="297">
        <f>IF(ISNA(VLOOKUP($A699,ThrowData,2,FALSE)),0,VLOOKUP($A699,ThrowData,2,FALSE))</f>
        <v>0</v>
      </c>
      <c r="Q699" s="298">
        <f>IF(ISNA(VLOOKUP($A699,SprintData,4,FALSE)),0,VLOOKUP($A699,SprintData,4,FALSE))+V699</f>
        <v>0</v>
      </c>
      <c r="R699" s="298">
        <f>IF(ISNA(VLOOKUP($A699,JumpData,4,FALSE)),0,VLOOKUP($A699,JumpData,4,FALSE))+W699</f>
        <v>0</v>
      </c>
      <c r="S699" s="298">
        <f>IF(ISNA(VLOOKUP($A699,RunData,4,FALSE)),0,VLOOKUP($A699,RunData,4,FALSE))+X699</f>
        <v>0</v>
      </c>
      <c r="T699" s="298">
        <f>IF(ISNA(VLOOKUP($A699,ThrowData,4,FALSE)),0,VLOOKUP($A699,ThrowData,4,FALSE))+Y699</f>
        <v>0</v>
      </c>
      <c r="U699" s="299">
        <f t="shared" si="2"/>
        <v>0</v>
      </c>
      <c r="V699">
        <f>IF(AND($F699&gt;0,NOT(M699),Flexing),FlexPC,0)</f>
        <v>0</v>
      </c>
      <c r="W699">
        <f>IF(AND($F699&gt;0,NOT(N699),Flexing),FlexPC,0)</f>
        <v>0</v>
      </c>
      <c r="X699">
        <f>IF(AND($F699&gt;0,NOT(O699),Flexing),FlexPC,0)</f>
        <v>0</v>
      </c>
      <c r="Y699">
        <f>IF(AND($F699&gt;0,NOT(P699),Flexing),FlexPC,0)</f>
        <v>0</v>
      </c>
      <c r="AA699" s="209">
        <f t="shared" si="3"/>
        <v>698</v>
      </c>
    </row>
    <row r="700" ht="15.75" customHeight="1">
      <c r="A700" s="206" t="str">
        <f>+Declarations!A700&amp;""</f>
        <v/>
      </c>
      <c r="B700" t="str">
        <f>IF(LEN($A700),IF(LEN(Declarations!$B700)&gt;0,Declarations!$B700,"#"&amp;$A700),"")</f>
        <v/>
      </c>
      <c r="C700" s="209" t="str">
        <f t="array" ref="C700">IF(LEN(INDEX(DECLARATIONS,$AA700,3))&gt;0,INDEX(DECLARATIONS,$AA700,3),"...")</f>
        <v>...</v>
      </c>
      <c r="D700" s="209" t="str">
        <f t="shared" si="1"/>
        <v/>
      </c>
      <c r="E700" s="296" t="str">
        <f t="array" ref="E700">IF(ISNA($AA700),0,INDEX(DECLARATIONS,$AA700,5))</f>
        <v/>
      </c>
      <c r="F700" s="209" t="str">
        <f t="array" ref="F700">IF(ISNA($AA700),0,INDEX(DECLARATIONS,$AA700,7))</f>
        <v/>
      </c>
      <c r="G700" s="209" t="str">
        <f t="array" ref="G700">UPPER(IF(ISNA($AA700),"",INDEX(DECLARATIONS,$AA700,4)))</f>
        <v/>
      </c>
      <c r="H700" t="str">
        <f>IF(AND(A700&gt;0,ISTEXT(B700)),IF(SECNAME="YES",LEFT(B700&amp;" ",FIND(" ",B700&amp;" ")+2)&amp;IF(F700&gt;0," ("&amp;F700&amp;")",""),B700&amp;IF(F700&gt;0," ("&amp;F700&amp;")","")),"#"&amp;$A700)</f>
        <v/>
      </c>
      <c r="I700" s="209">
        <f>IF(LEN($A700)&gt;0,IF(LEN($J700)&gt;0,MATCH(J700,MatchNames,0),EventIndex),0)</f>
        <v>0</v>
      </c>
      <c r="J700" s="209" t="str">
        <f>IF(LEN($A700)&gt;0,IF(LEN(Declarations!$F700)&gt;0,Declarations!$F700,conftype),"")</f>
        <v/>
      </c>
      <c r="M700" s="297">
        <f>IF(ISNA(VLOOKUP($A700,SprintData,2,FALSE)),0,VLOOKUP($A700,SprintData,2,FALSE))</f>
        <v>0</v>
      </c>
      <c r="N700" s="297">
        <f>IF(ISNA(VLOOKUP($A700,JumpData,2,FALSE)),0,VLOOKUP($A700,JumpData,2,FALSE))</f>
        <v>0</v>
      </c>
      <c r="O700" s="297">
        <f>IF(ISNA(VLOOKUP($A700,RunData,2,FALSE)),0,VLOOKUP($A700,RunData,2,FALSE))</f>
        <v>0</v>
      </c>
      <c r="P700" s="297">
        <f>IF(ISNA(VLOOKUP($A700,ThrowData,2,FALSE)),0,VLOOKUP($A700,ThrowData,2,FALSE))</f>
        <v>0</v>
      </c>
      <c r="Q700" s="298">
        <f>IF(ISNA(VLOOKUP($A700,SprintData,4,FALSE)),0,VLOOKUP($A700,SprintData,4,FALSE))+V700</f>
        <v>0</v>
      </c>
      <c r="R700" s="298">
        <f>IF(ISNA(VLOOKUP($A700,JumpData,4,FALSE)),0,VLOOKUP($A700,JumpData,4,FALSE))+W700</f>
        <v>0</v>
      </c>
      <c r="S700" s="298">
        <f>IF(ISNA(VLOOKUP($A700,RunData,4,FALSE)),0,VLOOKUP($A700,RunData,4,FALSE))+X700</f>
        <v>0</v>
      </c>
      <c r="T700" s="298">
        <f>IF(ISNA(VLOOKUP($A700,ThrowData,4,FALSE)),0,VLOOKUP($A700,ThrowData,4,FALSE))+Y700</f>
        <v>0</v>
      </c>
      <c r="U700" s="299">
        <f t="shared" si="2"/>
        <v>0</v>
      </c>
      <c r="V700">
        <f>IF(AND($F700&gt;0,NOT(M700),Flexing),FlexPC,0)</f>
        <v>0</v>
      </c>
      <c r="W700">
        <f>IF(AND($F700&gt;0,NOT(N700),Flexing),FlexPC,0)</f>
        <v>0</v>
      </c>
      <c r="X700">
        <f>IF(AND($F700&gt;0,NOT(O700),Flexing),FlexPC,0)</f>
        <v>0</v>
      </c>
      <c r="Y700">
        <f>IF(AND($F700&gt;0,NOT(P700),Flexing),FlexPC,0)</f>
        <v>0</v>
      </c>
      <c r="AA700" s="209">
        <f t="shared" si="3"/>
        <v>699</v>
      </c>
    </row>
    <row r="701" ht="15.75" customHeight="1">
      <c r="A701" s="206" t="str">
        <f>+Declarations!A701&amp;""</f>
        <v/>
      </c>
      <c r="B701" t="str">
        <f>IF(LEN($A701),IF(LEN(Declarations!$B701)&gt;0,Declarations!$B701,"#"&amp;$A701),"")</f>
        <v/>
      </c>
      <c r="C701" s="209" t="str">
        <f t="array" ref="C701">IF(LEN(INDEX(DECLARATIONS,$AA701,3))&gt;0,INDEX(DECLARATIONS,$AA701,3),"...")</f>
        <v>...</v>
      </c>
      <c r="D701" s="209" t="str">
        <f t="shared" si="1"/>
        <v/>
      </c>
      <c r="E701" s="296" t="str">
        <f t="array" ref="E701">IF(ISNA($AA701),0,INDEX(DECLARATIONS,$AA701,5))</f>
        <v/>
      </c>
      <c r="F701" s="209" t="str">
        <f t="array" ref="F701">IF(ISNA($AA701),0,INDEX(DECLARATIONS,$AA701,7))</f>
        <v/>
      </c>
      <c r="G701" s="209" t="str">
        <f t="array" ref="G701">UPPER(IF(ISNA($AA701),"",INDEX(DECLARATIONS,$AA701,4)))</f>
        <v/>
      </c>
      <c r="H701" t="str">
        <f>IF(AND(A701&gt;0,ISTEXT(B701)),IF(SECNAME="YES",LEFT(B701&amp;" ",FIND(" ",B701&amp;" ")+2)&amp;IF(F701&gt;0," ("&amp;F701&amp;")",""),B701&amp;IF(F701&gt;0," ("&amp;F701&amp;")","")),"#"&amp;$A701)</f>
        <v/>
      </c>
      <c r="I701" s="209">
        <f>IF(LEN($A701)&gt;0,IF(LEN($J701)&gt;0,MATCH(J701,MatchNames,0),EventIndex),0)</f>
        <v>0</v>
      </c>
      <c r="J701" s="209" t="str">
        <f>IF(LEN($A701)&gt;0,IF(LEN(Declarations!$F701)&gt;0,Declarations!$F701,conftype),"")</f>
        <v/>
      </c>
      <c r="M701" s="297">
        <f>IF(ISNA(VLOOKUP($A701,SprintData,2,FALSE)),0,VLOOKUP($A701,SprintData,2,FALSE))</f>
        <v>0</v>
      </c>
      <c r="N701" s="297">
        <f>IF(ISNA(VLOOKUP($A701,JumpData,2,FALSE)),0,VLOOKUP($A701,JumpData,2,FALSE))</f>
        <v>0</v>
      </c>
      <c r="O701" s="297">
        <f>IF(ISNA(VLOOKUP($A701,RunData,2,FALSE)),0,VLOOKUP($A701,RunData,2,FALSE))</f>
        <v>0</v>
      </c>
      <c r="P701" s="297">
        <f>IF(ISNA(VLOOKUP($A701,ThrowData,2,FALSE)),0,VLOOKUP($A701,ThrowData,2,FALSE))</f>
        <v>0</v>
      </c>
      <c r="Q701" s="298">
        <f>IF(ISNA(VLOOKUP($A701,SprintData,4,FALSE)),0,VLOOKUP($A701,SprintData,4,FALSE))+V701</f>
        <v>0</v>
      </c>
      <c r="R701" s="298">
        <f>IF(ISNA(VLOOKUP($A701,JumpData,4,FALSE)),0,VLOOKUP($A701,JumpData,4,FALSE))+W701</f>
        <v>0</v>
      </c>
      <c r="S701" s="298">
        <f>IF(ISNA(VLOOKUP($A701,RunData,4,FALSE)),0,VLOOKUP($A701,RunData,4,FALSE))+X701</f>
        <v>0</v>
      </c>
      <c r="T701" s="298">
        <f>IF(ISNA(VLOOKUP($A701,ThrowData,4,FALSE)),0,VLOOKUP($A701,ThrowData,4,FALSE))+Y701</f>
        <v>0</v>
      </c>
      <c r="U701" s="299">
        <f t="shared" si="2"/>
        <v>0</v>
      </c>
      <c r="V701">
        <f>IF(AND($F701&gt;0,NOT(M701),Flexing),FlexPC,0)</f>
        <v>0</v>
      </c>
      <c r="W701">
        <f>IF(AND($F701&gt;0,NOT(N701),Flexing),FlexPC,0)</f>
        <v>0</v>
      </c>
      <c r="X701">
        <f>IF(AND($F701&gt;0,NOT(O701),Flexing),FlexPC,0)</f>
        <v>0</v>
      </c>
      <c r="Y701">
        <f>IF(AND($F701&gt;0,NOT(P701),Flexing),FlexPC,0)</f>
        <v>0</v>
      </c>
      <c r="AA701" s="209">
        <f t="shared" si="3"/>
        <v>700</v>
      </c>
    </row>
    <row r="702" ht="15.75" customHeight="1">
      <c r="A702" s="206" t="str">
        <f>+Declarations!A702&amp;""</f>
        <v/>
      </c>
      <c r="B702" t="str">
        <f>IF(LEN($A702),IF(LEN(Declarations!$B702)&gt;0,Declarations!$B702,"#"&amp;$A702),"")</f>
        <v/>
      </c>
      <c r="C702" s="209" t="str">
        <f t="array" ref="C702">IF(LEN(INDEX(DECLARATIONS,$AA702,3))&gt;0,INDEX(DECLARATIONS,$AA702,3),"...")</f>
        <v>...</v>
      </c>
      <c r="D702" s="209" t="str">
        <f t="shared" si="1"/>
        <v/>
      </c>
      <c r="E702" s="296" t="str">
        <f t="array" ref="E702">IF(ISNA($AA702),0,INDEX(DECLARATIONS,$AA702,5))</f>
        <v/>
      </c>
      <c r="F702" s="209" t="str">
        <f t="array" ref="F702">IF(ISNA($AA702),0,INDEX(DECLARATIONS,$AA702,7))</f>
        <v/>
      </c>
      <c r="G702" s="209" t="str">
        <f t="array" ref="G702">UPPER(IF(ISNA($AA702),"",INDEX(DECLARATIONS,$AA702,4)))</f>
        <v/>
      </c>
      <c r="H702" t="str">
        <f>IF(AND(A702&gt;0,ISTEXT(B702)),IF(SECNAME="YES",LEFT(B702&amp;" ",FIND(" ",B702&amp;" ")+2)&amp;IF(F702&gt;0," ("&amp;F702&amp;")",""),B702&amp;IF(F702&gt;0," ("&amp;F702&amp;")","")),"#"&amp;$A702)</f>
        <v/>
      </c>
      <c r="I702" s="209">
        <f>IF(LEN($A702)&gt;0,IF(LEN($J702)&gt;0,MATCH(J702,MatchNames,0),EventIndex),0)</f>
        <v>0</v>
      </c>
      <c r="J702" s="209" t="str">
        <f>IF(LEN($A702)&gt;0,IF(LEN(Declarations!$F702)&gt;0,Declarations!$F702,conftype),"")</f>
        <v/>
      </c>
      <c r="M702" s="297">
        <f>IF(ISNA(VLOOKUP($A702,SprintData,2,FALSE)),0,VLOOKUP($A702,SprintData,2,FALSE))</f>
        <v>0</v>
      </c>
      <c r="N702" s="297">
        <f>IF(ISNA(VLOOKUP($A702,JumpData,2,FALSE)),0,VLOOKUP($A702,JumpData,2,FALSE))</f>
        <v>0</v>
      </c>
      <c r="O702" s="297">
        <f>IF(ISNA(VLOOKUP($A702,RunData,2,FALSE)),0,VLOOKUP($A702,RunData,2,FALSE))</f>
        <v>0</v>
      </c>
      <c r="P702" s="297">
        <f>IF(ISNA(VLOOKUP($A702,ThrowData,2,FALSE)),0,VLOOKUP($A702,ThrowData,2,FALSE))</f>
        <v>0</v>
      </c>
      <c r="Q702" s="298">
        <f>IF(ISNA(VLOOKUP($A702,SprintData,4,FALSE)),0,VLOOKUP($A702,SprintData,4,FALSE))+V702</f>
        <v>0</v>
      </c>
      <c r="R702" s="298">
        <f>IF(ISNA(VLOOKUP($A702,JumpData,4,FALSE)),0,VLOOKUP($A702,JumpData,4,FALSE))+W702</f>
        <v>0</v>
      </c>
      <c r="S702" s="298">
        <f>IF(ISNA(VLOOKUP($A702,RunData,4,FALSE)),0,VLOOKUP($A702,RunData,4,FALSE))+X702</f>
        <v>0</v>
      </c>
      <c r="T702" s="298">
        <f>IF(ISNA(VLOOKUP($A702,ThrowData,4,FALSE)),0,VLOOKUP($A702,ThrowData,4,FALSE))+Y702</f>
        <v>0</v>
      </c>
      <c r="U702" s="299">
        <f t="shared" si="2"/>
        <v>0</v>
      </c>
      <c r="V702">
        <f>IF(AND($F702&gt;0,NOT(M702),Flexing),FlexPC,0)</f>
        <v>0</v>
      </c>
      <c r="W702">
        <f>IF(AND($F702&gt;0,NOT(N702),Flexing),FlexPC,0)</f>
        <v>0</v>
      </c>
      <c r="X702">
        <f>IF(AND($F702&gt;0,NOT(O702),Flexing),FlexPC,0)</f>
        <v>0</v>
      </c>
      <c r="Y702">
        <f>IF(AND($F702&gt;0,NOT(P702),Flexing),FlexPC,0)</f>
        <v>0</v>
      </c>
      <c r="AA702" s="209">
        <f t="shared" si="3"/>
        <v>701</v>
      </c>
    </row>
    <row r="703" ht="15.75" customHeight="1">
      <c r="A703" s="206" t="str">
        <f>+Declarations!A703&amp;""</f>
        <v/>
      </c>
      <c r="B703" t="str">
        <f>IF(LEN($A703),IF(LEN(Declarations!$B703)&gt;0,Declarations!$B703,"#"&amp;$A703),"")</f>
        <v/>
      </c>
      <c r="C703" s="209" t="str">
        <f t="array" ref="C703">IF(LEN(INDEX(DECLARATIONS,$AA703,3))&gt;0,INDEX(DECLARATIONS,$AA703,3),"...")</f>
        <v>...</v>
      </c>
      <c r="D703" s="209" t="str">
        <f t="shared" si="1"/>
        <v/>
      </c>
      <c r="E703" s="296" t="str">
        <f t="array" ref="E703">IF(ISNA($AA703),0,INDEX(DECLARATIONS,$AA703,5))</f>
        <v/>
      </c>
      <c r="F703" s="209" t="str">
        <f t="array" ref="F703">IF(ISNA($AA703),0,INDEX(DECLARATIONS,$AA703,7))</f>
        <v/>
      </c>
      <c r="G703" s="209" t="str">
        <f t="array" ref="G703">UPPER(IF(ISNA($AA703),"",INDEX(DECLARATIONS,$AA703,4)))</f>
        <v/>
      </c>
      <c r="H703" t="str">
        <f>IF(AND(A703&gt;0,ISTEXT(B703)),IF(SECNAME="YES",LEFT(B703&amp;" ",FIND(" ",B703&amp;" ")+2)&amp;IF(F703&gt;0," ("&amp;F703&amp;")",""),B703&amp;IF(F703&gt;0," ("&amp;F703&amp;")","")),"#"&amp;$A703)</f>
        <v/>
      </c>
      <c r="I703" s="209">
        <f>IF(LEN($A703)&gt;0,IF(LEN($J703)&gt;0,MATCH(J703,MatchNames,0),EventIndex),0)</f>
        <v>0</v>
      </c>
      <c r="J703" s="209" t="str">
        <f>IF(LEN($A703)&gt;0,IF(LEN(Declarations!$F703)&gt;0,Declarations!$F703,conftype),"")</f>
        <v/>
      </c>
      <c r="M703" s="297">
        <f>IF(ISNA(VLOOKUP($A703,SprintData,2,FALSE)),0,VLOOKUP($A703,SprintData,2,FALSE))</f>
        <v>0</v>
      </c>
      <c r="N703" s="297">
        <f>IF(ISNA(VLOOKUP($A703,JumpData,2,FALSE)),0,VLOOKUP($A703,JumpData,2,FALSE))</f>
        <v>0</v>
      </c>
      <c r="O703" s="297">
        <f>IF(ISNA(VLOOKUP($A703,RunData,2,FALSE)),0,VLOOKUP($A703,RunData,2,FALSE))</f>
        <v>0</v>
      </c>
      <c r="P703" s="297">
        <f>IF(ISNA(VLOOKUP($A703,ThrowData,2,FALSE)),0,VLOOKUP($A703,ThrowData,2,FALSE))</f>
        <v>0</v>
      </c>
      <c r="Q703" s="298">
        <f>IF(ISNA(VLOOKUP($A703,SprintData,4,FALSE)),0,VLOOKUP($A703,SprintData,4,FALSE))+V703</f>
        <v>0</v>
      </c>
      <c r="R703" s="298">
        <f>IF(ISNA(VLOOKUP($A703,JumpData,4,FALSE)),0,VLOOKUP($A703,JumpData,4,FALSE))+W703</f>
        <v>0</v>
      </c>
      <c r="S703" s="298">
        <f>IF(ISNA(VLOOKUP($A703,RunData,4,FALSE)),0,VLOOKUP($A703,RunData,4,FALSE))+X703</f>
        <v>0</v>
      </c>
      <c r="T703" s="298">
        <f>IF(ISNA(VLOOKUP($A703,ThrowData,4,FALSE)),0,VLOOKUP($A703,ThrowData,4,FALSE))+Y703</f>
        <v>0</v>
      </c>
      <c r="U703" s="299">
        <f t="shared" si="2"/>
        <v>0</v>
      </c>
      <c r="V703">
        <f>IF(AND($F703&gt;0,NOT(M703),Flexing),FlexPC,0)</f>
        <v>0</v>
      </c>
      <c r="W703">
        <f>IF(AND($F703&gt;0,NOT(N703),Flexing),FlexPC,0)</f>
        <v>0</v>
      </c>
      <c r="X703">
        <f>IF(AND($F703&gt;0,NOT(O703),Flexing),FlexPC,0)</f>
        <v>0</v>
      </c>
      <c r="Y703">
        <f>IF(AND($F703&gt;0,NOT(P703),Flexing),FlexPC,0)</f>
        <v>0</v>
      </c>
      <c r="AA703" s="209">
        <f t="shared" si="3"/>
        <v>702</v>
      </c>
    </row>
    <row r="704" ht="15.75" customHeight="1">
      <c r="A704" s="206" t="str">
        <f>+Declarations!A704&amp;""</f>
        <v/>
      </c>
      <c r="B704" t="str">
        <f>IF(LEN($A704),IF(LEN(Declarations!$B704)&gt;0,Declarations!$B704,"#"&amp;$A704),"")</f>
        <v/>
      </c>
      <c r="C704" s="209" t="str">
        <f t="array" ref="C704">IF(LEN(INDEX(DECLARATIONS,$AA704,3))&gt;0,INDEX(DECLARATIONS,$AA704,3),"...")</f>
        <v>...</v>
      </c>
      <c r="D704" s="209" t="str">
        <f t="shared" si="1"/>
        <v/>
      </c>
      <c r="E704" s="296" t="str">
        <f t="array" ref="E704">IF(ISNA($AA704),0,INDEX(DECLARATIONS,$AA704,5))</f>
        <v/>
      </c>
      <c r="F704" s="209" t="str">
        <f t="array" ref="F704">IF(ISNA($AA704),0,INDEX(DECLARATIONS,$AA704,7))</f>
        <v/>
      </c>
      <c r="G704" s="209" t="str">
        <f t="array" ref="G704">UPPER(IF(ISNA($AA704),"",INDEX(DECLARATIONS,$AA704,4)))</f>
        <v/>
      </c>
      <c r="H704" t="str">
        <f>IF(AND(A704&gt;0,ISTEXT(B704)),IF(SECNAME="YES",LEFT(B704&amp;" ",FIND(" ",B704&amp;" ")+2)&amp;IF(F704&gt;0," ("&amp;F704&amp;")",""),B704&amp;IF(F704&gt;0," ("&amp;F704&amp;")","")),"#"&amp;$A704)</f>
        <v/>
      </c>
      <c r="I704" s="209">
        <f>IF(LEN($A704)&gt;0,IF(LEN($J704)&gt;0,MATCH(J704,MatchNames,0),EventIndex),0)</f>
        <v>0</v>
      </c>
      <c r="J704" s="209" t="str">
        <f>IF(LEN($A704)&gt;0,IF(LEN(Declarations!$F704)&gt;0,Declarations!$F704,conftype),"")</f>
        <v/>
      </c>
      <c r="M704" s="297">
        <f>IF(ISNA(VLOOKUP($A704,SprintData,2,FALSE)),0,VLOOKUP($A704,SprintData,2,FALSE))</f>
        <v>0</v>
      </c>
      <c r="N704" s="297">
        <f>IF(ISNA(VLOOKUP($A704,JumpData,2,FALSE)),0,VLOOKUP($A704,JumpData,2,FALSE))</f>
        <v>0</v>
      </c>
      <c r="O704" s="297">
        <f>IF(ISNA(VLOOKUP($A704,RunData,2,FALSE)),0,VLOOKUP($A704,RunData,2,FALSE))</f>
        <v>0</v>
      </c>
      <c r="P704" s="297">
        <f>IF(ISNA(VLOOKUP($A704,ThrowData,2,FALSE)),0,VLOOKUP($A704,ThrowData,2,FALSE))</f>
        <v>0</v>
      </c>
      <c r="Q704" s="298">
        <f>IF(ISNA(VLOOKUP($A704,SprintData,4,FALSE)),0,VLOOKUP($A704,SprintData,4,FALSE))+V704</f>
        <v>0</v>
      </c>
      <c r="R704" s="298">
        <f>IF(ISNA(VLOOKUP($A704,JumpData,4,FALSE)),0,VLOOKUP($A704,JumpData,4,FALSE))+W704</f>
        <v>0</v>
      </c>
      <c r="S704" s="298">
        <f>IF(ISNA(VLOOKUP($A704,RunData,4,FALSE)),0,VLOOKUP($A704,RunData,4,FALSE))+X704</f>
        <v>0</v>
      </c>
      <c r="T704" s="298">
        <f>IF(ISNA(VLOOKUP($A704,ThrowData,4,FALSE)),0,VLOOKUP($A704,ThrowData,4,FALSE))+Y704</f>
        <v>0</v>
      </c>
      <c r="U704" s="299">
        <f t="shared" si="2"/>
        <v>0</v>
      </c>
      <c r="V704">
        <f>IF(AND($F704&gt;0,NOT(M704),Flexing),FlexPC,0)</f>
        <v>0</v>
      </c>
      <c r="W704">
        <f>IF(AND($F704&gt;0,NOT(N704),Flexing),FlexPC,0)</f>
        <v>0</v>
      </c>
      <c r="X704">
        <f>IF(AND($F704&gt;0,NOT(O704),Flexing),FlexPC,0)</f>
        <v>0</v>
      </c>
      <c r="Y704">
        <f>IF(AND($F704&gt;0,NOT(P704),Flexing),FlexPC,0)</f>
        <v>0</v>
      </c>
      <c r="AA704" s="209">
        <f t="shared" si="3"/>
        <v>703</v>
      </c>
    </row>
    <row r="705" ht="15.75" customHeight="1">
      <c r="A705" s="206" t="str">
        <f>+Declarations!A705&amp;""</f>
        <v/>
      </c>
      <c r="B705" t="str">
        <f>IF(LEN($A705),IF(LEN(Declarations!$B705)&gt;0,Declarations!$B705,"#"&amp;$A705),"")</f>
        <v/>
      </c>
      <c r="C705" s="209" t="str">
        <f t="array" ref="C705">IF(LEN(INDEX(DECLARATIONS,$AA705,3))&gt;0,INDEX(DECLARATIONS,$AA705,3),"...")</f>
        <v>...</v>
      </c>
      <c r="D705" s="209" t="str">
        <f t="shared" si="1"/>
        <v/>
      </c>
      <c r="E705" s="296" t="str">
        <f t="array" ref="E705">IF(ISNA($AA705),0,INDEX(DECLARATIONS,$AA705,5))</f>
        <v/>
      </c>
      <c r="F705" s="209" t="str">
        <f t="array" ref="F705">IF(ISNA($AA705),0,INDEX(DECLARATIONS,$AA705,7))</f>
        <v/>
      </c>
      <c r="G705" s="209" t="str">
        <f t="array" ref="G705">UPPER(IF(ISNA($AA705),"",INDEX(DECLARATIONS,$AA705,4)))</f>
        <v/>
      </c>
      <c r="H705" t="str">
        <f>IF(AND(A705&gt;0,ISTEXT(B705)),IF(SECNAME="YES",LEFT(B705&amp;" ",FIND(" ",B705&amp;" ")+2)&amp;IF(F705&gt;0," ("&amp;F705&amp;")",""),B705&amp;IF(F705&gt;0," ("&amp;F705&amp;")","")),"#"&amp;$A705)</f>
        <v/>
      </c>
      <c r="I705" s="209">
        <f>IF(LEN($A705)&gt;0,IF(LEN($J705)&gt;0,MATCH(J705,MatchNames,0),EventIndex),0)</f>
        <v>0</v>
      </c>
      <c r="J705" s="209" t="str">
        <f>IF(LEN($A705)&gt;0,IF(LEN(Declarations!$F705)&gt;0,Declarations!$F705,conftype),"")</f>
        <v/>
      </c>
      <c r="M705" s="297">
        <f>IF(ISNA(VLOOKUP($A705,SprintData,2,FALSE)),0,VLOOKUP($A705,SprintData,2,FALSE))</f>
        <v>0</v>
      </c>
      <c r="N705" s="297">
        <f>IF(ISNA(VLOOKUP($A705,JumpData,2,FALSE)),0,VLOOKUP($A705,JumpData,2,FALSE))</f>
        <v>0</v>
      </c>
      <c r="O705" s="297">
        <f>IF(ISNA(VLOOKUP($A705,RunData,2,FALSE)),0,VLOOKUP($A705,RunData,2,FALSE))</f>
        <v>0</v>
      </c>
      <c r="P705" s="297">
        <f>IF(ISNA(VLOOKUP($A705,ThrowData,2,FALSE)),0,VLOOKUP($A705,ThrowData,2,FALSE))</f>
        <v>0</v>
      </c>
      <c r="Q705" s="298">
        <f>IF(ISNA(VLOOKUP($A705,SprintData,4,FALSE)),0,VLOOKUP($A705,SprintData,4,FALSE))+V705</f>
        <v>0</v>
      </c>
      <c r="R705" s="298">
        <f>IF(ISNA(VLOOKUP($A705,JumpData,4,FALSE)),0,VLOOKUP($A705,JumpData,4,FALSE))+W705</f>
        <v>0</v>
      </c>
      <c r="S705" s="298">
        <f>IF(ISNA(VLOOKUP($A705,RunData,4,FALSE)),0,VLOOKUP($A705,RunData,4,FALSE))+X705</f>
        <v>0</v>
      </c>
      <c r="T705" s="298">
        <f>IF(ISNA(VLOOKUP($A705,ThrowData,4,FALSE)),0,VLOOKUP($A705,ThrowData,4,FALSE))+Y705</f>
        <v>0</v>
      </c>
      <c r="U705" s="299">
        <f t="shared" si="2"/>
        <v>0</v>
      </c>
      <c r="V705">
        <f>IF(AND($F705&gt;0,NOT(M705),Flexing),FlexPC,0)</f>
        <v>0</v>
      </c>
      <c r="W705">
        <f>IF(AND($F705&gt;0,NOT(N705),Flexing),FlexPC,0)</f>
        <v>0</v>
      </c>
      <c r="X705">
        <f>IF(AND($F705&gt;0,NOT(O705),Flexing),FlexPC,0)</f>
        <v>0</v>
      </c>
      <c r="Y705">
        <f>IF(AND($F705&gt;0,NOT(P705),Flexing),FlexPC,0)</f>
        <v>0</v>
      </c>
      <c r="AA705" s="209">
        <f t="shared" si="3"/>
        <v>704</v>
      </c>
    </row>
    <row r="706" ht="15.75" customHeight="1">
      <c r="A706" s="206" t="str">
        <f>+Declarations!A706&amp;""</f>
        <v/>
      </c>
      <c r="B706" t="str">
        <f>IF(LEN($A706),IF(LEN(Declarations!$B706)&gt;0,Declarations!$B706,"#"&amp;$A706),"")</f>
        <v/>
      </c>
      <c r="C706" s="209" t="str">
        <f t="array" ref="C706">IF(LEN(INDEX(DECLARATIONS,$AA706,3))&gt;0,INDEX(DECLARATIONS,$AA706,3),"...")</f>
        <v>...</v>
      </c>
      <c r="D706" s="209" t="str">
        <f t="shared" si="1"/>
        <v/>
      </c>
      <c r="E706" s="296" t="str">
        <f t="array" ref="E706">IF(ISNA($AA706),0,INDEX(DECLARATIONS,$AA706,5))</f>
        <v/>
      </c>
      <c r="F706" s="209" t="str">
        <f t="array" ref="F706">IF(ISNA($AA706),0,INDEX(DECLARATIONS,$AA706,7))</f>
        <v/>
      </c>
      <c r="G706" s="209" t="str">
        <f t="array" ref="G706">UPPER(IF(ISNA($AA706),"",INDEX(DECLARATIONS,$AA706,4)))</f>
        <v/>
      </c>
      <c r="H706" t="str">
        <f>IF(AND(A706&gt;0,ISTEXT(B706)),IF(SECNAME="YES",LEFT(B706&amp;" ",FIND(" ",B706&amp;" ")+2)&amp;IF(F706&gt;0," ("&amp;F706&amp;")",""),B706&amp;IF(F706&gt;0," ("&amp;F706&amp;")","")),"#"&amp;$A706)</f>
        <v/>
      </c>
      <c r="I706" s="209">
        <f>IF(LEN($A706)&gt;0,IF(LEN($J706)&gt;0,MATCH(J706,MatchNames,0),EventIndex),0)</f>
        <v>0</v>
      </c>
      <c r="J706" s="209" t="str">
        <f>IF(LEN($A706)&gt;0,IF(LEN(Declarations!$F706)&gt;0,Declarations!$F706,conftype),"")</f>
        <v/>
      </c>
      <c r="M706" s="297">
        <f>IF(ISNA(VLOOKUP($A706,SprintData,2,FALSE)),0,VLOOKUP($A706,SprintData,2,FALSE))</f>
        <v>0</v>
      </c>
      <c r="N706" s="297">
        <f>IF(ISNA(VLOOKUP($A706,JumpData,2,FALSE)),0,VLOOKUP($A706,JumpData,2,FALSE))</f>
        <v>0</v>
      </c>
      <c r="O706" s="297">
        <f>IF(ISNA(VLOOKUP($A706,RunData,2,FALSE)),0,VLOOKUP($A706,RunData,2,FALSE))</f>
        <v>0</v>
      </c>
      <c r="P706" s="297">
        <f>IF(ISNA(VLOOKUP($A706,ThrowData,2,FALSE)),0,VLOOKUP($A706,ThrowData,2,FALSE))</f>
        <v>0</v>
      </c>
      <c r="Q706" s="298">
        <f>IF(ISNA(VLOOKUP($A706,SprintData,4,FALSE)),0,VLOOKUP($A706,SprintData,4,FALSE))+V706</f>
        <v>0</v>
      </c>
      <c r="R706" s="298">
        <f>IF(ISNA(VLOOKUP($A706,JumpData,4,FALSE)),0,VLOOKUP($A706,JumpData,4,FALSE))+W706</f>
        <v>0</v>
      </c>
      <c r="S706" s="298">
        <f>IF(ISNA(VLOOKUP($A706,RunData,4,FALSE)),0,VLOOKUP($A706,RunData,4,FALSE))+X706</f>
        <v>0</v>
      </c>
      <c r="T706" s="298">
        <f>IF(ISNA(VLOOKUP($A706,ThrowData,4,FALSE)),0,VLOOKUP($A706,ThrowData,4,FALSE))+Y706</f>
        <v>0</v>
      </c>
      <c r="U706" s="299">
        <f t="shared" si="2"/>
        <v>0</v>
      </c>
      <c r="V706">
        <f>IF(AND($F706&gt;0,NOT(M706),Flexing),FlexPC,0)</f>
        <v>0</v>
      </c>
      <c r="W706">
        <f>IF(AND($F706&gt;0,NOT(N706),Flexing),FlexPC,0)</f>
        <v>0</v>
      </c>
      <c r="X706">
        <f>IF(AND($F706&gt;0,NOT(O706),Flexing),FlexPC,0)</f>
        <v>0</v>
      </c>
      <c r="Y706">
        <f>IF(AND($F706&gt;0,NOT(P706),Flexing),FlexPC,0)</f>
        <v>0</v>
      </c>
      <c r="AA706" s="209">
        <f t="shared" si="3"/>
        <v>705</v>
      </c>
    </row>
    <row r="707" ht="15.75" customHeight="1">
      <c r="A707" s="206" t="str">
        <f>+Declarations!A707&amp;""</f>
        <v/>
      </c>
      <c r="B707" t="str">
        <f>IF(LEN($A707),IF(LEN(Declarations!$B707)&gt;0,Declarations!$B707,"#"&amp;$A707),"")</f>
        <v/>
      </c>
      <c r="C707" s="209" t="str">
        <f t="array" ref="C707">IF(LEN(INDEX(DECLARATIONS,$AA707,3))&gt;0,INDEX(DECLARATIONS,$AA707,3),"...")</f>
        <v>...</v>
      </c>
      <c r="D707" s="209" t="str">
        <f t="shared" si="1"/>
        <v/>
      </c>
      <c r="E707" s="296" t="str">
        <f t="array" ref="E707">IF(ISNA($AA707),0,INDEX(DECLARATIONS,$AA707,5))</f>
        <v/>
      </c>
      <c r="F707" s="209" t="str">
        <f t="array" ref="F707">IF(ISNA($AA707),0,INDEX(DECLARATIONS,$AA707,7))</f>
        <v/>
      </c>
      <c r="G707" s="209" t="str">
        <f t="array" ref="G707">UPPER(IF(ISNA($AA707),"",INDEX(DECLARATIONS,$AA707,4)))</f>
        <v/>
      </c>
      <c r="H707" t="str">
        <f>IF(AND(A707&gt;0,ISTEXT(B707)),IF(SECNAME="YES",LEFT(B707&amp;" ",FIND(" ",B707&amp;" ")+2)&amp;IF(F707&gt;0," ("&amp;F707&amp;")",""),B707&amp;IF(F707&gt;0," ("&amp;F707&amp;")","")),"#"&amp;$A707)</f>
        <v/>
      </c>
      <c r="I707" s="209">
        <f>IF(LEN($A707)&gt;0,IF(LEN($J707)&gt;0,MATCH(J707,MatchNames,0),EventIndex),0)</f>
        <v>0</v>
      </c>
      <c r="J707" s="209" t="str">
        <f>IF(LEN($A707)&gt;0,IF(LEN(Declarations!$F707)&gt;0,Declarations!$F707,conftype),"")</f>
        <v/>
      </c>
      <c r="M707" s="297">
        <f>IF(ISNA(VLOOKUP($A707,SprintData,2,FALSE)),0,VLOOKUP($A707,SprintData,2,FALSE))</f>
        <v>0</v>
      </c>
      <c r="N707" s="297">
        <f>IF(ISNA(VLOOKUP($A707,JumpData,2,FALSE)),0,VLOOKUP($A707,JumpData,2,FALSE))</f>
        <v>0</v>
      </c>
      <c r="O707" s="297">
        <f>IF(ISNA(VLOOKUP($A707,RunData,2,FALSE)),0,VLOOKUP($A707,RunData,2,FALSE))</f>
        <v>0</v>
      </c>
      <c r="P707" s="297">
        <f>IF(ISNA(VLOOKUP($A707,ThrowData,2,FALSE)),0,VLOOKUP($A707,ThrowData,2,FALSE))</f>
        <v>0</v>
      </c>
      <c r="Q707" s="298">
        <f>IF(ISNA(VLOOKUP($A707,SprintData,4,FALSE)),0,VLOOKUP($A707,SprintData,4,FALSE))+V707</f>
        <v>0</v>
      </c>
      <c r="R707" s="298">
        <f>IF(ISNA(VLOOKUP($A707,JumpData,4,FALSE)),0,VLOOKUP($A707,JumpData,4,FALSE))+W707</f>
        <v>0</v>
      </c>
      <c r="S707" s="298">
        <f>IF(ISNA(VLOOKUP($A707,RunData,4,FALSE)),0,VLOOKUP($A707,RunData,4,FALSE))+X707</f>
        <v>0</v>
      </c>
      <c r="T707" s="298">
        <f>IF(ISNA(VLOOKUP($A707,ThrowData,4,FALSE)),0,VLOOKUP($A707,ThrowData,4,FALSE))+Y707</f>
        <v>0</v>
      </c>
      <c r="U707" s="299">
        <f t="shared" si="2"/>
        <v>0</v>
      </c>
      <c r="V707">
        <f>IF(AND($F707&gt;0,NOT(M707),Flexing),FlexPC,0)</f>
        <v>0</v>
      </c>
      <c r="W707">
        <f>IF(AND($F707&gt;0,NOT(N707),Flexing),FlexPC,0)</f>
        <v>0</v>
      </c>
      <c r="X707">
        <f>IF(AND($F707&gt;0,NOT(O707),Flexing),FlexPC,0)</f>
        <v>0</v>
      </c>
      <c r="Y707">
        <f>IF(AND($F707&gt;0,NOT(P707),Flexing),FlexPC,0)</f>
        <v>0</v>
      </c>
      <c r="AA707" s="209">
        <f t="shared" si="3"/>
        <v>706</v>
      </c>
    </row>
    <row r="708" ht="15.75" customHeight="1">
      <c r="A708" s="206" t="str">
        <f>+Declarations!A708&amp;""</f>
        <v/>
      </c>
      <c r="B708" t="str">
        <f>IF(LEN($A708),IF(LEN(Declarations!$B708)&gt;0,Declarations!$B708,"#"&amp;$A708),"")</f>
        <v/>
      </c>
      <c r="C708" s="209" t="str">
        <f t="array" ref="C708">IF(LEN(INDEX(DECLARATIONS,$AA708,3))&gt;0,INDEX(DECLARATIONS,$AA708,3),"...")</f>
        <v>...</v>
      </c>
      <c r="D708" s="209" t="str">
        <f t="shared" si="1"/>
        <v/>
      </c>
      <c r="E708" s="296" t="str">
        <f t="array" ref="E708">IF(ISNA($AA708),0,INDEX(DECLARATIONS,$AA708,5))</f>
        <v/>
      </c>
      <c r="F708" s="209" t="str">
        <f t="array" ref="F708">IF(ISNA($AA708),0,INDEX(DECLARATIONS,$AA708,7))</f>
        <v/>
      </c>
      <c r="G708" s="209" t="str">
        <f t="array" ref="G708">UPPER(IF(ISNA($AA708),"",INDEX(DECLARATIONS,$AA708,4)))</f>
        <v/>
      </c>
      <c r="H708" t="str">
        <f>IF(AND(A708&gt;0,ISTEXT(B708)),IF(SECNAME="YES",LEFT(B708&amp;" ",FIND(" ",B708&amp;" ")+2)&amp;IF(F708&gt;0," ("&amp;F708&amp;")",""),B708&amp;IF(F708&gt;0," ("&amp;F708&amp;")","")),"#"&amp;$A708)</f>
        <v/>
      </c>
      <c r="I708" s="209">
        <f>IF(LEN($A708)&gt;0,IF(LEN($J708)&gt;0,MATCH(J708,MatchNames,0),EventIndex),0)</f>
        <v>0</v>
      </c>
      <c r="J708" s="209" t="str">
        <f>IF(LEN($A708)&gt;0,IF(LEN(Declarations!$F708)&gt;0,Declarations!$F708,conftype),"")</f>
        <v/>
      </c>
      <c r="M708" s="297">
        <f>IF(ISNA(VLOOKUP($A708,SprintData,2,FALSE)),0,VLOOKUP($A708,SprintData,2,FALSE))</f>
        <v>0</v>
      </c>
      <c r="N708" s="297">
        <f>IF(ISNA(VLOOKUP($A708,JumpData,2,FALSE)),0,VLOOKUP($A708,JumpData,2,FALSE))</f>
        <v>0</v>
      </c>
      <c r="O708" s="297">
        <f>IF(ISNA(VLOOKUP($A708,RunData,2,FALSE)),0,VLOOKUP($A708,RunData,2,FALSE))</f>
        <v>0</v>
      </c>
      <c r="P708" s="297">
        <f>IF(ISNA(VLOOKUP($A708,ThrowData,2,FALSE)),0,VLOOKUP($A708,ThrowData,2,FALSE))</f>
        <v>0</v>
      </c>
      <c r="Q708" s="298">
        <f>IF(ISNA(VLOOKUP($A708,SprintData,4,FALSE)),0,VLOOKUP($A708,SprintData,4,FALSE))+V708</f>
        <v>0</v>
      </c>
      <c r="R708" s="298">
        <f>IF(ISNA(VLOOKUP($A708,JumpData,4,FALSE)),0,VLOOKUP($A708,JumpData,4,FALSE))+W708</f>
        <v>0</v>
      </c>
      <c r="S708" s="298">
        <f>IF(ISNA(VLOOKUP($A708,RunData,4,FALSE)),0,VLOOKUP($A708,RunData,4,FALSE))+X708</f>
        <v>0</v>
      </c>
      <c r="T708" s="298">
        <f>IF(ISNA(VLOOKUP($A708,ThrowData,4,FALSE)),0,VLOOKUP($A708,ThrowData,4,FALSE))+Y708</f>
        <v>0</v>
      </c>
      <c r="U708" s="299">
        <f t="shared" si="2"/>
        <v>0</v>
      </c>
      <c r="V708">
        <f>IF(AND($F708&gt;0,NOT(M708),Flexing),FlexPC,0)</f>
        <v>0</v>
      </c>
      <c r="W708">
        <f>IF(AND($F708&gt;0,NOT(N708),Flexing),FlexPC,0)</f>
        <v>0</v>
      </c>
      <c r="X708">
        <f>IF(AND($F708&gt;0,NOT(O708),Flexing),FlexPC,0)</f>
        <v>0</v>
      </c>
      <c r="Y708">
        <f>IF(AND($F708&gt;0,NOT(P708),Flexing),FlexPC,0)</f>
        <v>0</v>
      </c>
      <c r="AA708" s="209">
        <f t="shared" si="3"/>
        <v>707</v>
      </c>
    </row>
    <row r="709" ht="15.75" customHeight="1">
      <c r="A709" s="206" t="str">
        <f>+Declarations!A709&amp;""</f>
        <v/>
      </c>
      <c r="B709" t="str">
        <f>IF(LEN($A709),IF(LEN(Declarations!$B709)&gt;0,Declarations!$B709,"#"&amp;$A709),"")</f>
        <v/>
      </c>
      <c r="C709" s="209" t="str">
        <f t="array" ref="C709">IF(LEN(INDEX(DECLARATIONS,$AA709,3))&gt;0,INDEX(DECLARATIONS,$AA709,3),"...")</f>
        <v>...</v>
      </c>
      <c r="D709" s="209" t="str">
        <f t="shared" si="1"/>
        <v/>
      </c>
      <c r="E709" s="296" t="str">
        <f t="array" ref="E709">IF(ISNA($AA709),0,INDEX(DECLARATIONS,$AA709,5))</f>
        <v/>
      </c>
      <c r="F709" s="209" t="str">
        <f t="array" ref="F709">IF(ISNA($AA709),0,INDEX(DECLARATIONS,$AA709,7))</f>
        <v/>
      </c>
      <c r="G709" s="209" t="str">
        <f t="array" ref="G709">UPPER(IF(ISNA($AA709),"",INDEX(DECLARATIONS,$AA709,4)))</f>
        <v/>
      </c>
      <c r="H709" t="str">
        <f>IF(AND(A709&gt;0,ISTEXT(B709)),IF(SECNAME="YES",LEFT(B709&amp;" ",FIND(" ",B709&amp;" ")+2)&amp;IF(F709&gt;0," ("&amp;F709&amp;")",""),B709&amp;IF(F709&gt;0," ("&amp;F709&amp;")","")),"#"&amp;$A709)</f>
        <v/>
      </c>
      <c r="I709" s="209">
        <f>IF(LEN($A709)&gt;0,IF(LEN($J709)&gt;0,MATCH(J709,MatchNames,0),EventIndex),0)</f>
        <v>0</v>
      </c>
      <c r="J709" s="209" t="str">
        <f>IF(LEN($A709)&gt;0,IF(LEN(Declarations!$F709)&gt;0,Declarations!$F709,conftype),"")</f>
        <v/>
      </c>
      <c r="M709" s="297">
        <f>IF(ISNA(VLOOKUP($A709,SprintData,2,FALSE)),0,VLOOKUP($A709,SprintData,2,FALSE))</f>
        <v>0</v>
      </c>
      <c r="N709" s="297">
        <f>IF(ISNA(VLOOKUP($A709,JumpData,2,FALSE)),0,VLOOKUP($A709,JumpData,2,FALSE))</f>
        <v>0</v>
      </c>
      <c r="O709" s="297">
        <f>IF(ISNA(VLOOKUP($A709,RunData,2,FALSE)),0,VLOOKUP($A709,RunData,2,FALSE))</f>
        <v>0</v>
      </c>
      <c r="P709" s="297">
        <f>IF(ISNA(VLOOKUP($A709,ThrowData,2,FALSE)),0,VLOOKUP($A709,ThrowData,2,FALSE))</f>
        <v>0</v>
      </c>
      <c r="Q709" s="298">
        <f>IF(ISNA(VLOOKUP($A709,SprintData,4,FALSE)),0,VLOOKUP($A709,SprintData,4,FALSE))+V709</f>
        <v>0</v>
      </c>
      <c r="R709" s="298">
        <f>IF(ISNA(VLOOKUP($A709,JumpData,4,FALSE)),0,VLOOKUP($A709,JumpData,4,FALSE))+W709</f>
        <v>0</v>
      </c>
      <c r="S709" s="298">
        <f>IF(ISNA(VLOOKUP($A709,RunData,4,FALSE)),0,VLOOKUP($A709,RunData,4,FALSE))+X709</f>
        <v>0</v>
      </c>
      <c r="T709" s="298">
        <f>IF(ISNA(VLOOKUP($A709,ThrowData,4,FALSE)),0,VLOOKUP($A709,ThrowData,4,FALSE))+Y709</f>
        <v>0</v>
      </c>
      <c r="U709" s="299">
        <f t="shared" si="2"/>
        <v>0</v>
      </c>
      <c r="V709">
        <f>IF(AND($F709&gt;0,NOT(M709),Flexing),FlexPC,0)</f>
        <v>0</v>
      </c>
      <c r="W709">
        <f>IF(AND($F709&gt;0,NOT(N709),Flexing),FlexPC,0)</f>
        <v>0</v>
      </c>
      <c r="X709">
        <f>IF(AND($F709&gt;0,NOT(O709),Flexing),FlexPC,0)</f>
        <v>0</v>
      </c>
      <c r="Y709">
        <f>IF(AND($F709&gt;0,NOT(P709),Flexing),FlexPC,0)</f>
        <v>0</v>
      </c>
      <c r="AA709" s="209">
        <f t="shared" si="3"/>
        <v>708</v>
      </c>
    </row>
    <row r="710" ht="15.75" customHeight="1">
      <c r="A710" s="206" t="str">
        <f>+Declarations!A710&amp;""</f>
        <v/>
      </c>
      <c r="B710" t="str">
        <f>IF(LEN($A710),IF(LEN(Declarations!$B710)&gt;0,Declarations!$B710,"#"&amp;$A710),"")</f>
        <v/>
      </c>
      <c r="C710" s="209" t="str">
        <f t="array" ref="C710">IF(LEN(INDEX(DECLARATIONS,$AA710,3))&gt;0,INDEX(DECLARATIONS,$AA710,3),"...")</f>
        <v>...</v>
      </c>
      <c r="D710" s="209" t="str">
        <f t="shared" si="1"/>
        <v/>
      </c>
      <c r="E710" s="296" t="str">
        <f t="array" ref="E710">IF(ISNA($AA710),0,INDEX(DECLARATIONS,$AA710,5))</f>
        <v/>
      </c>
      <c r="F710" s="209" t="str">
        <f t="array" ref="F710">IF(ISNA($AA710),0,INDEX(DECLARATIONS,$AA710,7))</f>
        <v/>
      </c>
      <c r="G710" s="209" t="str">
        <f t="array" ref="G710">UPPER(IF(ISNA($AA710),"",INDEX(DECLARATIONS,$AA710,4)))</f>
        <v/>
      </c>
      <c r="H710" t="str">
        <f>IF(AND(A710&gt;0,ISTEXT(B710)),IF(SECNAME="YES",LEFT(B710&amp;" ",FIND(" ",B710&amp;" ")+2)&amp;IF(F710&gt;0," ("&amp;F710&amp;")",""),B710&amp;IF(F710&gt;0," ("&amp;F710&amp;")","")),"#"&amp;$A710)</f>
        <v/>
      </c>
      <c r="I710" s="209">
        <f>IF(LEN($A710)&gt;0,IF(LEN($J710)&gt;0,MATCH(J710,MatchNames,0),EventIndex),0)</f>
        <v>0</v>
      </c>
      <c r="J710" s="209" t="str">
        <f>IF(LEN($A710)&gt;0,IF(LEN(Declarations!$F710)&gt;0,Declarations!$F710,conftype),"")</f>
        <v/>
      </c>
      <c r="M710" s="297">
        <f>IF(ISNA(VLOOKUP($A710,SprintData,2,FALSE)),0,VLOOKUP($A710,SprintData,2,FALSE))</f>
        <v>0</v>
      </c>
      <c r="N710" s="297">
        <f>IF(ISNA(VLOOKUP($A710,JumpData,2,FALSE)),0,VLOOKUP($A710,JumpData,2,FALSE))</f>
        <v>0</v>
      </c>
      <c r="O710" s="297">
        <f>IF(ISNA(VLOOKUP($A710,RunData,2,FALSE)),0,VLOOKUP($A710,RunData,2,FALSE))</f>
        <v>0</v>
      </c>
      <c r="P710" s="297">
        <f>IF(ISNA(VLOOKUP($A710,ThrowData,2,FALSE)),0,VLOOKUP($A710,ThrowData,2,FALSE))</f>
        <v>0</v>
      </c>
      <c r="Q710" s="298">
        <f>IF(ISNA(VLOOKUP($A710,SprintData,4,FALSE)),0,VLOOKUP($A710,SprintData,4,FALSE))+V710</f>
        <v>0</v>
      </c>
      <c r="R710" s="298">
        <f>IF(ISNA(VLOOKUP($A710,JumpData,4,FALSE)),0,VLOOKUP($A710,JumpData,4,FALSE))+W710</f>
        <v>0</v>
      </c>
      <c r="S710" s="298">
        <f>IF(ISNA(VLOOKUP($A710,RunData,4,FALSE)),0,VLOOKUP($A710,RunData,4,FALSE))+X710</f>
        <v>0</v>
      </c>
      <c r="T710" s="298">
        <f>IF(ISNA(VLOOKUP($A710,ThrowData,4,FALSE)),0,VLOOKUP($A710,ThrowData,4,FALSE))+Y710</f>
        <v>0</v>
      </c>
      <c r="U710" s="299">
        <f t="shared" si="2"/>
        <v>0</v>
      </c>
      <c r="V710">
        <f>IF(AND($F710&gt;0,NOT(M710),Flexing),FlexPC,0)</f>
        <v>0</v>
      </c>
      <c r="W710">
        <f>IF(AND($F710&gt;0,NOT(N710),Flexing),FlexPC,0)</f>
        <v>0</v>
      </c>
      <c r="X710">
        <f>IF(AND($F710&gt;0,NOT(O710),Flexing),FlexPC,0)</f>
        <v>0</v>
      </c>
      <c r="Y710">
        <f>IF(AND($F710&gt;0,NOT(P710),Flexing),FlexPC,0)</f>
        <v>0</v>
      </c>
      <c r="AA710" s="209">
        <f t="shared" si="3"/>
        <v>709</v>
      </c>
    </row>
    <row r="711" ht="15.75" customHeight="1">
      <c r="A711" s="206" t="str">
        <f>+Declarations!A711&amp;""</f>
        <v/>
      </c>
      <c r="B711" t="str">
        <f>IF(LEN($A711),IF(LEN(Declarations!$B711)&gt;0,Declarations!$B711,"#"&amp;$A711),"")</f>
        <v/>
      </c>
      <c r="C711" s="209" t="str">
        <f t="array" ref="C711">IF(LEN(INDEX(DECLARATIONS,$AA711,3))&gt;0,INDEX(DECLARATIONS,$AA711,3),"...")</f>
        <v>...</v>
      </c>
      <c r="D711" s="209" t="str">
        <f t="shared" si="1"/>
        <v/>
      </c>
      <c r="E711" s="296" t="str">
        <f t="array" ref="E711">IF(ISNA($AA711),0,INDEX(DECLARATIONS,$AA711,5))</f>
        <v/>
      </c>
      <c r="F711" s="209" t="str">
        <f t="array" ref="F711">IF(ISNA($AA711),0,INDEX(DECLARATIONS,$AA711,7))</f>
        <v/>
      </c>
      <c r="G711" s="209" t="str">
        <f t="array" ref="G711">UPPER(IF(ISNA($AA711),"",INDEX(DECLARATIONS,$AA711,4)))</f>
        <v/>
      </c>
      <c r="H711" t="str">
        <f>IF(AND(A711&gt;0,ISTEXT(B711)),IF(SECNAME="YES",LEFT(B711&amp;" ",FIND(" ",B711&amp;" ")+2)&amp;IF(F711&gt;0," ("&amp;F711&amp;")",""),B711&amp;IF(F711&gt;0," ("&amp;F711&amp;")","")),"#"&amp;$A711)</f>
        <v/>
      </c>
      <c r="I711" s="209">
        <f>IF(LEN($A711)&gt;0,IF(LEN($J711)&gt;0,MATCH(J711,MatchNames,0),EventIndex),0)</f>
        <v>0</v>
      </c>
      <c r="J711" s="209" t="str">
        <f>IF(LEN($A711)&gt;0,IF(LEN(Declarations!$F711)&gt;0,Declarations!$F711,conftype),"")</f>
        <v/>
      </c>
      <c r="M711" s="297">
        <f>IF(ISNA(VLOOKUP($A711,SprintData,2,FALSE)),0,VLOOKUP($A711,SprintData,2,FALSE))</f>
        <v>0</v>
      </c>
      <c r="N711" s="297">
        <f>IF(ISNA(VLOOKUP($A711,JumpData,2,FALSE)),0,VLOOKUP($A711,JumpData,2,FALSE))</f>
        <v>0</v>
      </c>
      <c r="O711" s="297">
        <f>IF(ISNA(VLOOKUP($A711,RunData,2,FALSE)),0,VLOOKUP($A711,RunData,2,FALSE))</f>
        <v>0</v>
      </c>
      <c r="P711" s="297">
        <f>IF(ISNA(VLOOKUP($A711,ThrowData,2,FALSE)),0,VLOOKUP($A711,ThrowData,2,FALSE))</f>
        <v>0</v>
      </c>
      <c r="Q711" s="298">
        <f>IF(ISNA(VLOOKUP($A711,SprintData,4,FALSE)),0,VLOOKUP($A711,SprintData,4,FALSE))+V711</f>
        <v>0</v>
      </c>
      <c r="R711" s="298">
        <f>IF(ISNA(VLOOKUP($A711,JumpData,4,FALSE)),0,VLOOKUP($A711,JumpData,4,FALSE))+W711</f>
        <v>0</v>
      </c>
      <c r="S711" s="298">
        <f>IF(ISNA(VLOOKUP($A711,RunData,4,FALSE)),0,VLOOKUP($A711,RunData,4,FALSE))+X711</f>
        <v>0</v>
      </c>
      <c r="T711" s="298">
        <f>IF(ISNA(VLOOKUP($A711,ThrowData,4,FALSE)),0,VLOOKUP($A711,ThrowData,4,FALSE))+Y711</f>
        <v>0</v>
      </c>
      <c r="U711" s="299">
        <f t="shared" si="2"/>
        <v>0</v>
      </c>
      <c r="V711">
        <f>IF(AND($F711&gt;0,NOT(M711),Flexing),FlexPC,0)</f>
        <v>0</v>
      </c>
      <c r="W711">
        <f>IF(AND($F711&gt;0,NOT(N711),Flexing),FlexPC,0)</f>
        <v>0</v>
      </c>
      <c r="X711">
        <f>IF(AND($F711&gt;0,NOT(O711),Flexing),FlexPC,0)</f>
        <v>0</v>
      </c>
      <c r="Y711">
        <f>IF(AND($F711&gt;0,NOT(P711),Flexing),FlexPC,0)</f>
        <v>0</v>
      </c>
      <c r="AA711" s="209">
        <f t="shared" si="3"/>
        <v>710</v>
      </c>
    </row>
    <row r="712" ht="15.75" customHeight="1">
      <c r="A712" s="206" t="str">
        <f>+Declarations!A712&amp;""</f>
        <v/>
      </c>
      <c r="B712" t="str">
        <f>IF(LEN($A712),IF(LEN(Declarations!$B712)&gt;0,Declarations!$B712,"#"&amp;$A712),"")</f>
        <v/>
      </c>
      <c r="C712" s="209" t="str">
        <f t="array" ref="C712">IF(LEN(INDEX(DECLARATIONS,$AA712,3))&gt;0,INDEX(DECLARATIONS,$AA712,3),"...")</f>
        <v>...</v>
      </c>
      <c r="D712" s="209" t="str">
        <f t="shared" si="1"/>
        <v/>
      </c>
      <c r="E712" s="296" t="str">
        <f t="array" ref="E712">IF(ISNA($AA712),0,INDEX(DECLARATIONS,$AA712,5))</f>
        <v/>
      </c>
      <c r="F712" s="209" t="str">
        <f t="array" ref="F712">IF(ISNA($AA712),0,INDEX(DECLARATIONS,$AA712,7))</f>
        <v/>
      </c>
      <c r="G712" s="209" t="str">
        <f t="array" ref="G712">UPPER(IF(ISNA($AA712),"",INDEX(DECLARATIONS,$AA712,4)))</f>
        <v/>
      </c>
      <c r="H712" t="str">
        <f>IF(AND(A712&gt;0,ISTEXT(B712)),IF(SECNAME="YES",LEFT(B712&amp;" ",FIND(" ",B712&amp;" ")+2)&amp;IF(F712&gt;0," ("&amp;F712&amp;")",""),B712&amp;IF(F712&gt;0," ("&amp;F712&amp;")","")),"#"&amp;$A712)</f>
        <v/>
      </c>
      <c r="I712" s="209">
        <f>IF(LEN($A712)&gt;0,IF(LEN($J712)&gt;0,MATCH(J712,MatchNames,0),EventIndex),0)</f>
        <v>0</v>
      </c>
      <c r="J712" s="209" t="str">
        <f>IF(LEN($A712)&gt;0,IF(LEN(Declarations!$F712)&gt;0,Declarations!$F712,conftype),"")</f>
        <v/>
      </c>
      <c r="M712" s="297">
        <f>IF(ISNA(VLOOKUP($A712,SprintData,2,FALSE)),0,VLOOKUP($A712,SprintData,2,FALSE))</f>
        <v>0</v>
      </c>
      <c r="N712" s="297">
        <f>IF(ISNA(VLOOKUP($A712,JumpData,2,FALSE)),0,VLOOKUP($A712,JumpData,2,FALSE))</f>
        <v>0</v>
      </c>
      <c r="O712" s="297">
        <f>IF(ISNA(VLOOKUP($A712,RunData,2,FALSE)),0,VLOOKUP($A712,RunData,2,FALSE))</f>
        <v>0</v>
      </c>
      <c r="P712" s="297">
        <f>IF(ISNA(VLOOKUP($A712,ThrowData,2,FALSE)),0,VLOOKUP($A712,ThrowData,2,FALSE))</f>
        <v>0</v>
      </c>
      <c r="Q712" s="298">
        <f>IF(ISNA(VLOOKUP($A712,SprintData,4,FALSE)),0,VLOOKUP($A712,SprintData,4,FALSE))+V712</f>
        <v>0</v>
      </c>
      <c r="R712" s="298">
        <f>IF(ISNA(VLOOKUP($A712,JumpData,4,FALSE)),0,VLOOKUP($A712,JumpData,4,FALSE))+W712</f>
        <v>0</v>
      </c>
      <c r="S712" s="298">
        <f>IF(ISNA(VLOOKUP($A712,RunData,4,FALSE)),0,VLOOKUP($A712,RunData,4,FALSE))+X712</f>
        <v>0</v>
      </c>
      <c r="T712" s="298">
        <f>IF(ISNA(VLOOKUP($A712,ThrowData,4,FALSE)),0,VLOOKUP($A712,ThrowData,4,FALSE))+Y712</f>
        <v>0</v>
      </c>
      <c r="U712" s="299">
        <f t="shared" si="2"/>
        <v>0</v>
      </c>
      <c r="V712">
        <f>IF(AND($F712&gt;0,NOT(M712),Flexing),FlexPC,0)</f>
        <v>0</v>
      </c>
      <c r="W712">
        <f>IF(AND($F712&gt;0,NOT(N712),Flexing),FlexPC,0)</f>
        <v>0</v>
      </c>
      <c r="X712">
        <f>IF(AND($F712&gt;0,NOT(O712),Flexing),FlexPC,0)</f>
        <v>0</v>
      </c>
      <c r="Y712">
        <f>IF(AND($F712&gt;0,NOT(P712),Flexing),FlexPC,0)</f>
        <v>0</v>
      </c>
      <c r="AA712" s="209">
        <f t="shared" si="3"/>
        <v>711</v>
      </c>
    </row>
    <row r="713" ht="15.75" customHeight="1">
      <c r="A713" s="206" t="str">
        <f>+Declarations!A713&amp;""</f>
        <v/>
      </c>
      <c r="B713" t="str">
        <f>IF(LEN($A713),IF(LEN(Declarations!$B713)&gt;0,Declarations!$B713,"#"&amp;$A713),"")</f>
        <v/>
      </c>
      <c r="C713" s="209" t="str">
        <f t="array" ref="C713">IF(LEN(INDEX(DECLARATIONS,$AA713,3))&gt;0,INDEX(DECLARATIONS,$AA713,3),"...")</f>
        <v>...</v>
      </c>
      <c r="D713" s="209" t="str">
        <f t="shared" si="1"/>
        <v/>
      </c>
      <c r="E713" s="296" t="str">
        <f t="array" ref="E713">IF(ISNA($AA713),0,INDEX(DECLARATIONS,$AA713,5))</f>
        <v/>
      </c>
      <c r="F713" s="209" t="str">
        <f t="array" ref="F713">IF(ISNA($AA713),0,INDEX(DECLARATIONS,$AA713,7))</f>
        <v/>
      </c>
      <c r="G713" s="209" t="str">
        <f t="array" ref="G713">UPPER(IF(ISNA($AA713),"",INDEX(DECLARATIONS,$AA713,4)))</f>
        <v/>
      </c>
      <c r="H713" t="str">
        <f>IF(AND(A713&gt;0,ISTEXT(B713)),IF(SECNAME="YES",LEFT(B713&amp;" ",FIND(" ",B713&amp;" ")+2)&amp;IF(F713&gt;0," ("&amp;F713&amp;")",""),B713&amp;IF(F713&gt;0," ("&amp;F713&amp;")","")),"#"&amp;$A713)</f>
        <v/>
      </c>
      <c r="I713" s="209">
        <f>IF(LEN($A713)&gt;0,IF(LEN($J713)&gt;0,MATCH(J713,MatchNames,0),EventIndex),0)</f>
        <v>0</v>
      </c>
      <c r="J713" s="209" t="str">
        <f>IF(LEN($A713)&gt;0,IF(LEN(Declarations!$F713)&gt;0,Declarations!$F713,conftype),"")</f>
        <v/>
      </c>
      <c r="M713" s="297">
        <f>IF(ISNA(VLOOKUP($A713,SprintData,2,FALSE)),0,VLOOKUP($A713,SprintData,2,FALSE))</f>
        <v>0</v>
      </c>
      <c r="N713" s="297">
        <f>IF(ISNA(VLOOKUP($A713,JumpData,2,FALSE)),0,VLOOKUP($A713,JumpData,2,FALSE))</f>
        <v>0</v>
      </c>
      <c r="O713" s="297">
        <f>IF(ISNA(VLOOKUP($A713,RunData,2,FALSE)),0,VLOOKUP($A713,RunData,2,FALSE))</f>
        <v>0</v>
      </c>
      <c r="P713" s="297">
        <f>IF(ISNA(VLOOKUP($A713,ThrowData,2,FALSE)),0,VLOOKUP($A713,ThrowData,2,FALSE))</f>
        <v>0</v>
      </c>
      <c r="Q713" s="298">
        <f>IF(ISNA(VLOOKUP($A713,SprintData,4,FALSE)),0,VLOOKUP($A713,SprintData,4,FALSE))+V713</f>
        <v>0</v>
      </c>
      <c r="R713" s="298">
        <f>IF(ISNA(VLOOKUP($A713,JumpData,4,FALSE)),0,VLOOKUP($A713,JumpData,4,FALSE))+W713</f>
        <v>0</v>
      </c>
      <c r="S713" s="298">
        <f>IF(ISNA(VLOOKUP($A713,RunData,4,FALSE)),0,VLOOKUP($A713,RunData,4,FALSE))+X713</f>
        <v>0</v>
      </c>
      <c r="T713" s="298">
        <f>IF(ISNA(VLOOKUP($A713,ThrowData,4,FALSE)),0,VLOOKUP($A713,ThrowData,4,FALSE))+Y713</f>
        <v>0</v>
      </c>
      <c r="U713" s="299">
        <f t="shared" si="2"/>
        <v>0</v>
      </c>
      <c r="V713">
        <f>IF(AND($F713&gt;0,NOT(M713),Flexing),FlexPC,0)</f>
        <v>0</v>
      </c>
      <c r="W713">
        <f>IF(AND($F713&gt;0,NOT(N713),Flexing),FlexPC,0)</f>
        <v>0</v>
      </c>
      <c r="X713">
        <f>IF(AND($F713&gt;0,NOT(O713),Flexing),FlexPC,0)</f>
        <v>0</v>
      </c>
      <c r="Y713">
        <f>IF(AND($F713&gt;0,NOT(P713),Flexing),FlexPC,0)</f>
        <v>0</v>
      </c>
      <c r="AA713" s="209">
        <f t="shared" si="3"/>
        <v>712</v>
      </c>
    </row>
    <row r="714" ht="15.75" customHeight="1">
      <c r="A714" s="206" t="str">
        <f>+Declarations!A714&amp;""</f>
        <v/>
      </c>
      <c r="B714" t="str">
        <f>IF(LEN($A714),IF(LEN(Declarations!$B714)&gt;0,Declarations!$B714,"#"&amp;$A714),"")</f>
        <v/>
      </c>
      <c r="C714" s="209" t="str">
        <f t="array" ref="C714">IF(LEN(INDEX(DECLARATIONS,$AA714,3))&gt;0,INDEX(DECLARATIONS,$AA714,3),"...")</f>
        <v>...</v>
      </c>
      <c r="D714" s="209" t="str">
        <f t="shared" si="1"/>
        <v/>
      </c>
      <c r="E714" s="296" t="str">
        <f t="array" ref="E714">IF(ISNA($AA714),0,INDEX(DECLARATIONS,$AA714,5))</f>
        <v/>
      </c>
      <c r="F714" s="209" t="str">
        <f t="array" ref="F714">IF(ISNA($AA714),0,INDEX(DECLARATIONS,$AA714,7))</f>
        <v/>
      </c>
      <c r="G714" s="209" t="str">
        <f t="array" ref="G714">UPPER(IF(ISNA($AA714),"",INDEX(DECLARATIONS,$AA714,4)))</f>
        <v/>
      </c>
      <c r="H714" t="str">
        <f>IF(AND(A714&gt;0,ISTEXT(B714)),IF(SECNAME="YES",LEFT(B714&amp;" ",FIND(" ",B714&amp;" ")+2)&amp;IF(F714&gt;0," ("&amp;F714&amp;")",""),B714&amp;IF(F714&gt;0," ("&amp;F714&amp;")","")),"#"&amp;$A714)</f>
        <v/>
      </c>
      <c r="I714" s="209">
        <f>IF(LEN($A714)&gt;0,IF(LEN($J714)&gt;0,MATCH(J714,MatchNames,0),EventIndex),0)</f>
        <v>0</v>
      </c>
      <c r="J714" s="209" t="str">
        <f>IF(LEN($A714)&gt;0,IF(LEN(Declarations!$F714)&gt;0,Declarations!$F714,conftype),"")</f>
        <v/>
      </c>
      <c r="M714" s="297">
        <f>IF(ISNA(VLOOKUP($A714,SprintData,2,FALSE)),0,VLOOKUP($A714,SprintData,2,FALSE))</f>
        <v>0</v>
      </c>
      <c r="N714" s="297">
        <f>IF(ISNA(VLOOKUP($A714,JumpData,2,FALSE)),0,VLOOKUP($A714,JumpData,2,FALSE))</f>
        <v>0</v>
      </c>
      <c r="O714" s="297">
        <f>IF(ISNA(VLOOKUP($A714,RunData,2,FALSE)),0,VLOOKUP($A714,RunData,2,FALSE))</f>
        <v>0</v>
      </c>
      <c r="P714" s="297">
        <f>IF(ISNA(VLOOKUP($A714,ThrowData,2,FALSE)),0,VLOOKUP($A714,ThrowData,2,FALSE))</f>
        <v>0</v>
      </c>
      <c r="Q714" s="298">
        <f>IF(ISNA(VLOOKUP($A714,SprintData,4,FALSE)),0,VLOOKUP($A714,SprintData,4,FALSE))+V714</f>
        <v>0</v>
      </c>
      <c r="R714" s="298">
        <f>IF(ISNA(VLOOKUP($A714,JumpData,4,FALSE)),0,VLOOKUP($A714,JumpData,4,FALSE))+W714</f>
        <v>0</v>
      </c>
      <c r="S714" s="298">
        <f>IF(ISNA(VLOOKUP($A714,RunData,4,FALSE)),0,VLOOKUP($A714,RunData,4,FALSE))+X714</f>
        <v>0</v>
      </c>
      <c r="T714" s="298">
        <f>IF(ISNA(VLOOKUP($A714,ThrowData,4,FALSE)),0,VLOOKUP($A714,ThrowData,4,FALSE))+Y714</f>
        <v>0</v>
      </c>
      <c r="U714" s="299">
        <f t="shared" si="2"/>
        <v>0</v>
      </c>
      <c r="V714">
        <f>IF(AND($F714&gt;0,NOT(M714),Flexing),FlexPC,0)</f>
        <v>0</v>
      </c>
      <c r="W714">
        <f>IF(AND($F714&gt;0,NOT(N714),Flexing),FlexPC,0)</f>
        <v>0</v>
      </c>
      <c r="X714">
        <f>IF(AND($F714&gt;0,NOT(O714),Flexing),FlexPC,0)</f>
        <v>0</v>
      </c>
      <c r="Y714">
        <f>IF(AND($F714&gt;0,NOT(P714),Flexing),FlexPC,0)</f>
        <v>0</v>
      </c>
      <c r="AA714" s="209">
        <f t="shared" si="3"/>
        <v>713</v>
      </c>
    </row>
    <row r="715" ht="15.75" customHeight="1">
      <c r="A715" s="206" t="str">
        <f>+Declarations!A715&amp;""</f>
        <v/>
      </c>
      <c r="B715" t="str">
        <f>IF(LEN($A715),IF(LEN(Declarations!$B715)&gt;0,Declarations!$B715,"#"&amp;$A715),"")</f>
        <v/>
      </c>
      <c r="C715" s="209" t="str">
        <f t="array" ref="C715">IF(LEN(INDEX(DECLARATIONS,$AA715,3))&gt;0,INDEX(DECLARATIONS,$AA715,3),"...")</f>
        <v>...</v>
      </c>
      <c r="D715" s="209" t="str">
        <f t="shared" si="1"/>
        <v/>
      </c>
      <c r="E715" s="296" t="str">
        <f t="array" ref="E715">IF(ISNA($AA715),0,INDEX(DECLARATIONS,$AA715,5))</f>
        <v/>
      </c>
      <c r="F715" s="209" t="str">
        <f t="array" ref="F715">IF(ISNA($AA715),0,INDEX(DECLARATIONS,$AA715,7))</f>
        <v/>
      </c>
      <c r="G715" s="209" t="str">
        <f t="array" ref="G715">UPPER(IF(ISNA($AA715),"",INDEX(DECLARATIONS,$AA715,4)))</f>
        <v/>
      </c>
      <c r="H715" t="str">
        <f>IF(AND(A715&gt;0,ISTEXT(B715)),IF(SECNAME="YES",LEFT(B715&amp;" ",FIND(" ",B715&amp;" ")+2)&amp;IF(F715&gt;0," ("&amp;F715&amp;")",""),B715&amp;IF(F715&gt;0," ("&amp;F715&amp;")","")),"#"&amp;$A715)</f>
        <v/>
      </c>
      <c r="I715" s="209">
        <f>IF(LEN($A715)&gt;0,IF(LEN($J715)&gt;0,MATCH(J715,MatchNames,0),EventIndex),0)</f>
        <v>0</v>
      </c>
      <c r="J715" s="209" t="str">
        <f>IF(LEN($A715)&gt;0,IF(LEN(Declarations!$F715)&gt;0,Declarations!$F715,conftype),"")</f>
        <v/>
      </c>
      <c r="M715" s="297">
        <f>IF(ISNA(VLOOKUP($A715,SprintData,2,FALSE)),0,VLOOKUP($A715,SprintData,2,FALSE))</f>
        <v>0</v>
      </c>
      <c r="N715" s="297">
        <f>IF(ISNA(VLOOKUP($A715,JumpData,2,FALSE)),0,VLOOKUP($A715,JumpData,2,FALSE))</f>
        <v>0</v>
      </c>
      <c r="O715" s="297">
        <f>IF(ISNA(VLOOKUP($A715,RunData,2,FALSE)),0,VLOOKUP($A715,RunData,2,FALSE))</f>
        <v>0</v>
      </c>
      <c r="P715" s="297">
        <f>IF(ISNA(VLOOKUP($A715,ThrowData,2,FALSE)),0,VLOOKUP($A715,ThrowData,2,FALSE))</f>
        <v>0</v>
      </c>
      <c r="Q715" s="298">
        <f>IF(ISNA(VLOOKUP($A715,SprintData,4,FALSE)),0,VLOOKUP($A715,SprintData,4,FALSE))+V715</f>
        <v>0</v>
      </c>
      <c r="R715" s="298">
        <f>IF(ISNA(VLOOKUP($A715,JumpData,4,FALSE)),0,VLOOKUP($A715,JumpData,4,FALSE))+W715</f>
        <v>0</v>
      </c>
      <c r="S715" s="298">
        <f>IF(ISNA(VLOOKUP($A715,RunData,4,FALSE)),0,VLOOKUP($A715,RunData,4,FALSE))+X715</f>
        <v>0</v>
      </c>
      <c r="T715" s="298">
        <f>IF(ISNA(VLOOKUP($A715,ThrowData,4,FALSE)),0,VLOOKUP($A715,ThrowData,4,FALSE))+Y715</f>
        <v>0</v>
      </c>
      <c r="U715" s="299">
        <f t="shared" si="2"/>
        <v>0</v>
      </c>
      <c r="V715">
        <f>IF(AND($F715&gt;0,NOT(M715),Flexing),FlexPC,0)</f>
        <v>0</v>
      </c>
      <c r="W715">
        <f>IF(AND($F715&gt;0,NOT(N715),Flexing),FlexPC,0)</f>
        <v>0</v>
      </c>
      <c r="X715">
        <f>IF(AND($F715&gt;0,NOT(O715),Flexing),FlexPC,0)</f>
        <v>0</v>
      </c>
      <c r="Y715">
        <f>IF(AND($F715&gt;0,NOT(P715),Flexing),FlexPC,0)</f>
        <v>0</v>
      </c>
      <c r="AA715" s="209">
        <f t="shared" si="3"/>
        <v>714</v>
      </c>
    </row>
    <row r="716" ht="15.75" customHeight="1">
      <c r="A716" s="206" t="str">
        <f>+Declarations!A716&amp;""</f>
        <v/>
      </c>
      <c r="B716" t="str">
        <f>IF(LEN($A716),IF(LEN(Declarations!$B716)&gt;0,Declarations!$B716,"#"&amp;$A716),"")</f>
        <v/>
      </c>
      <c r="C716" s="209" t="str">
        <f t="array" ref="C716">IF(LEN(INDEX(DECLARATIONS,$AA716,3))&gt;0,INDEX(DECLARATIONS,$AA716,3),"...")</f>
        <v>...</v>
      </c>
      <c r="D716" s="209" t="str">
        <f t="shared" si="1"/>
        <v/>
      </c>
      <c r="E716" s="296" t="str">
        <f t="array" ref="E716">IF(ISNA($AA716),0,INDEX(DECLARATIONS,$AA716,5))</f>
        <v/>
      </c>
      <c r="F716" s="209" t="str">
        <f t="array" ref="F716">IF(ISNA($AA716),0,INDEX(DECLARATIONS,$AA716,7))</f>
        <v/>
      </c>
      <c r="G716" s="209" t="str">
        <f t="array" ref="G716">UPPER(IF(ISNA($AA716),"",INDEX(DECLARATIONS,$AA716,4)))</f>
        <v/>
      </c>
      <c r="H716" t="str">
        <f>IF(AND(A716&gt;0,ISTEXT(B716)),IF(SECNAME="YES",LEFT(B716&amp;" ",FIND(" ",B716&amp;" ")+2)&amp;IF(F716&gt;0," ("&amp;F716&amp;")",""),B716&amp;IF(F716&gt;0," ("&amp;F716&amp;")","")),"#"&amp;$A716)</f>
        <v/>
      </c>
      <c r="I716" s="209">
        <f>IF(LEN($A716)&gt;0,IF(LEN($J716)&gt;0,MATCH(J716,MatchNames,0),EventIndex),0)</f>
        <v>0</v>
      </c>
      <c r="J716" s="209" t="str">
        <f>IF(LEN($A716)&gt;0,IF(LEN(Declarations!$F716)&gt;0,Declarations!$F716,conftype),"")</f>
        <v/>
      </c>
      <c r="M716" s="297">
        <f>IF(ISNA(VLOOKUP($A716,SprintData,2,FALSE)),0,VLOOKUP($A716,SprintData,2,FALSE))</f>
        <v>0</v>
      </c>
      <c r="N716" s="297">
        <f>IF(ISNA(VLOOKUP($A716,JumpData,2,FALSE)),0,VLOOKUP($A716,JumpData,2,FALSE))</f>
        <v>0</v>
      </c>
      <c r="O716" s="297">
        <f>IF(ISNA(VLOOKUP($A716,RunData,2,FALSE)),0,VLOOKUP($A716,RunData,2,FALSE))</f>
        <v>0</v>
      </c>
      <c r="P716" s="297">
        <f>IF(ISNA(VLOOKUP($A716,ThrowData,2,FALSE)),0,VLOOKUP($A716,ThrowData,2,FALSE))</f>
        <v>0</v>
      </c>
      <c r="Q716" s="298">
        <f>IF(ISNA(VLOOKUP($A716,SprintData,4,FALSE)),0,VLOOKUP($A716,SprintData,4,FALSE))+V716</f>
        <v>0</v>
      </c>
      <c r="R716" s="298">
        <f>IF(ISNA(VLOOKUP($A716,JumpData,4,FALSE)),0,VLOOKUP($A716,JumpData,4,FALSE))+W716</f>
        <v>0</v>
      </c>
      <c r="S716" s="298">
        <f>IF(ISNA(VLOOKUP($A716,RunData,4,FALSE)),0,VLOOKUP($A716,RunData,4,FALSE))+X716</f>
        <v>0</v>
      </c>
      <c r="T716" s="298">
        <f>IF(ISNA(VLOOKUP($A716,ThrowData,4,FALSE)),0,VLOOKUP($A716,ThrowData,4,FALSE))+Y716</f>
        <v>0</v>
      </c>
      <c r="U716" s="299">
        <f t="shared" si="2"/>
        <v>0</v>
      </c>
      <c r="V716">
        <f>IF(AND($F716&gt;0,NOT(M716),Flexing),FlexPC,0)</f>
        <v>0</v>
      </c>
      <c r="W716">
        <f>IF(AND($F716&gt;0,NOT(N716),Flexing),FlexPC,0)</f>
        <v>0</v>
      </c>
      <c r="X716">
        <f>IF(AND($F716&gt;0,NOT(O716),Flexing),FlexPC,0)</f>
        <v>0</v>
      </c>
      <c r="Y716">
        <f>IF(AND($F716&gt;0,NOT(P716),Flexing),FlexPC,0)</f>
        <v>0</v>
      </c>
      <c r="AA716" s="209">
        <f t="shared" si="3"/>
        <v>715</v>
      </c>
    </row>
    <row r="717" ht="15.75" customHeight="1">
      <c r="A717" s="206" t="str">
        <f>+Declarations!A717&amp;""</f>
        <v/>
      </c>
      <c r="B717" t="str">
        <f>IF(LEN($A717),IF(LEN(Declarations!$B717)&gt;0,Declarations!$B717,"#"&amp;$A717),"")</f>
        <v/>
      </c>
      <c r="C717" s="209" t="str">
        <f t="array" ref="C717">IF(LEN(INDEX(DECLARATIONS,$AA717,3))&gt;0,INDEX(DECLARATIONS,$AA717,3),"...")</f>
        <v>...</v>
      </c>
      <c r="D717" s="209" t="str">
        <f t="shared" si="1"/>
        <v/>
      </c>
      <c r="E717" s="296" t="str">
        <f t="array" ref="E717">IF(ISNA($AA717),0,INDEX(DECLARATIONS,$AA717,5))</f>
        <v/>
      </c>
      <c r="F717" s="209" t="str">
        <f t="array" ref="F717">IF(ISNA($AA717),0,INDEX(DECLARATIONS,$AA717,7))</f>
        <v/>
      </c>
      <c r="G717" s="209" t="str">
        <f t="array" ref="G717">UPPER(IF(ISNA($AA717),"",INDEX(DECLARATIONS,$AA717,4)))</f>
        <v/>
      </c>
      <c r="H717" t="str">
        <f>IF(AND(A717&gt;0,ISTEXT(B717)),IF(SECNAME="YES",LEFT(B717&amp;" ",FIND(" ",B717&amp;" ")+2)&amp;IF(F717&gt;0," ("&amp;F717&amp;")",""),B717&amp;IF(F717&gt;0," ("&amp;F717&amp;")","")),"#"&amp;$A717)</f>
        <v/>
      </c>
      <c r="I717" s="209">
        <f>IF(LEN($A717)&gt;0,IF(LEN($J717)&gt;0,MATCH(J717,MatchNames,0),EventIndex),0)</f>
        <v>0</v>
      </c>
      <c r="J717" s="209" t="str">
        <f>IF(LEN($A717)&gt;0,IF(LEN(Declarations!$F717)&gt;0,Declarations!$F717,conftype),"")</f>
        <v/>
      </c>
      <c r="M717" s="297">
        <f>IF(ISNA(VLOOKUP($A717,SprintData,2,FALSE)),0,VLOOKUP($A717,SprintData,2,FALSE))</f>
        <v>0</v>
      </c>
      <c r="N717" s="297">
        <f>IF(ISNA(VLOOKUP($A717,JumpData,2,FALSE)),0,VLOOKUP($A717,JumpData,2,FALSE))</f>
        <v>0</v>
      </c>
      <c r="O717" s="297">
        <f>IF(ISNA(VLOOKUP($A717,RunData,2,FALSE)),0,VLOOKUP($A717,RunData,2,FALSE))</f>
        <v>0</v>
      </c>
      <c r="P717" s="297">
        <f>IF(ISNA(VLOOKUP($A717,ThrowData,2,FALSE)),0,VLOOKUP($A717,ThrowData,2,FALSE))</f>
        <v>0</v>
      </c>
      <c r="Q717" s="298">
        <f>IF(ISNA(VLOOKUP($A717,SprintData,4,FALSE)),0,VLOOKUP($A717,SprintData,4,FALSE))+V717</f>
        <v>0</v>
      </c>
      <c r="R717" s="298">
        <f>IF(ISNA(VLOOKUP($A717,JumpData,4,FALSE)),0,VLOOKUP($A717,JumpData,4,FALSE))+W717</f>
        <v>0</v>
      </c>
      <c r="S717" s="298">
        <f>IF(ISNA(VLOOKUP($A717,RunData,4,FALSE)),0,VLOOKUP($A717,RunData,4,FALSE))+X717</f>
        <v>0</v>
      </c>
      <c r="T717" s="298">
        <f>IF(ISNA(VLOOKUP($A717,ThrowData,4,FALSE)),0,VLOOKUP($A717,ThrowData,4,FALSE))+Y717</f>
        <v>0</v>
      </c>
      <c r="U717" s="299">
        <f t="shared" si="2"/>
        <v>0</v>
      </c>
      <c r="V717">
        <f>IF(AND($F717&gt;0,NOT(M717),Flexing),FlexPC,0)</f>
        <v>0</v>
      </c>
      <c r="W717">
        <f>IF(AND($F717&gt;0,NOT(N717),Flexing),FlexPC,0)</f>
        <v>0</v>
      </c>
      <c r="X717">
        <f>IF(AND($F717&gt;0,NOT(O717),Flexing),FlexPC,0)</f>
        <v>0</v>
      </c>
      <c r="Y717">
        <f>IF(AND($F717&gt;0,NOT(P717),Flexing),FlexPC,0)</f>
        <v>0</v>
      </c>
      <c r="AA717" s="209">
        <f t="shared" si="3"/>
        <v>716</v>
      </c>
    </row>
    <row r="718" ht="15.75" customHeight="1">
      <c r="A718" s="206" t="str">
        <f>+Declarations!A718&amp;""</f>
        <v/>
      </c>
      <c r="B718" t="str">
        <f>IF(LEN($A718),IF(LEN(Declarations!$B718)&gt;0,Declarations!$B718,"#"&amp;$A718),"")</f>
        <v/>
      </c>
      <c r="C718" s="209" t="str">
        <f t="array" ref="C718">IF(LEN(INDEX(DECLARATIONS,$AA718,3))&gt;0,INDEX(DECLARATIONS,$AA718,3),"...")</f>
        <v>...</v>
      </c>
      <c r="D718" s="209" t="str">
        <f t="shared" si="1"/>
        <v/>
      </c>
      <c r="E718" s="296" t="str">
        <f t="array" ref="E718">IF(ISNA($AA718),0,INDEX(DECLARATIONS,$AA718,5))</f>
        <v/>
      </c>
      <c r="F718" s="209" t="str">
        <f t="array" ref="F718">IF(ISNA($AA718),0,INDEX(DECLARATIONS,$AA718,7))</f>
        <v/>
      </c>
      <c r="G718" s="209" t="str">
        <f t="array" ref="G718">UPPER(IF(ISNA($AA718),"",INDEX(DECLARATIONS,$AA718,4)))</f>
        <v/>
      </c>
      <c r="H718" t="str">
        <f>IF(AND(A718&gt;0,ISTEXT(B718)),IF(SECNAME="YES",LEFT(B718&amp;" ",FIND(" ",B718&amp;" ")+2)&amp;IF(F718&gt;0," ("&amp;F718&amp;")",""),B718&amp;IF(F718&gt;0," ("&amp;F718&amp;")","")),"#"&amp;$A718)</f>
        <v/>
      </c>
      <c r="I718" s="209">
        <f>IF(LEN($A718)&gt;0,IF(LEN($J718)&gt;0,MATCH(J718,MatchNames,0),EventIndex),0)</f>
        <v>0</v>
      </c>
      <c r="J718" s="209" t="str">
        <f>IF(LEN($A718)&gt;0,IF(LEN(Declarations!$F718)&gt;0,Declarations!$F718,conftype),"")</f>
        <v/>
      </c>
      <c r="M718" s="297">
        <f>IF(ISNA(VLOOKUP($A718,SprintData,2,FALSE)),0,VLOOKUP($A718,SprintData,2,FALSE))</f>
        <v>0</v>
      </c>
      <c r="N718" s="297">
        <f>IF(ISNA(VLOOKUP($A718,JumpData,2,FALSE)),0,VLOOKUP($A718,JumpData,2,FALSE))</f>
        <v>0</v>
      </c>
      <c r="O718" s="297">
        <f>IF(ISNA(VLOOKUP($A718,RunData,2,FALSE)),0,VLOOKUP($A718,RunData,2,FALSE))</f>
        <v>0</v>
      </c>
      <c r="P718" s="297">
        <f>IF(ISNA(VLOOKUP($A718,ThrowData,2,FALSE)),0,VLOOKUP($A718,ThrowData,2,FALSE))</f>
        <v>0</v>
      </c>
      <c r="Q718" s="298">
        <f>IF(ISNA(VLOOKUP($A718,SprintData,4,FALSE)),0,VLOOKUP($A718,SprintData,4,FALSE))+V718</f>
        <v>0</v>
      </c>
      <c r="R718" s="298">
        <f>IF(ISNA(VLOOKUP($A718,JumpData,4,FALSE)),0,VLOOKUP($A718,JumpData,4,FALSE))+W718</f>
        <v>0</v>
      </c>
      <c r="S718" s="298">
        <f>IF(ISNA(VLOOKUP($A718,RunData,4,FALSE)),0,VLOOKUP($A718,RunData,4,FALSE))+X718</f>
        <v>0</v>
      </c>
      <c r="T718" s="298">
        <f>IF(ISNA(VLOOKUP($A718,ThrowData,4,FALSE)),0,VLOOKUP($A718,ThrowData,4,FALSE))+Y718</f>
        <v>0</v>
      </c>
      <c r="U718" s="299">
        <f t="shared" si="2"/>
        <v>0</v>
      </c>
      <c r="V718">
        <f>IF(AND($F718&gt;0,NOT(M718),Flexing),FlexPC,0)</f>
        <v>0</v>
      </c>
      <c r="W718">
        <f>IF(AND($F718&gt;0,NOT(N718),Flexing),FlexPC,0)</f>
        <v>0</v>
      </c>
      <c r="X718">
        <f>IF(AND($F718&gt;0,NOT(O718),Flexing),FlexPC,0)</f>
        <v>0</v>
      </c>
      <c r="Y718">
        <f>IF(AND($F718&gt;0,NOT(P718),Flexing),FlexPC,0)</f>
        <v>0</v>
      </c>
      <c r="AA718" s="209">
        <f t="shared" si="3"/>
        <v>717</v>
      </c>
    </row>
    <row r="719" ht="15.75" customHeight="1">
      <c r="A719" s="206" t="str">
        <f>+Declarations!A719&amp;""</f>
        <v/>
      </c>
      <c r="B719" t="str">
        <f>IF(LEN($A719),IF(LEN(Declarations!$B719)&gt;0,Declarations!$B719,"#"&amp;$A719),"")</f>
        <v/>
      </c>
      <c r="C719" s="209" t="str">
        <f t="array" ref="C719">IF(LEN(INDEX(DECLARATIONS,$AA719,3))&gt;0,INDEX(DECLARATIONS,$AA719,3),"...")</f>
        <v>...</v>
      </c>
      <c r="D719" s="209" t="str">
        <f t="shared" si="1"/>
        <v/>
      </c>
      <c r="E719" s="296" t="str">
        <f t="array" ref="E719">IF(ISNA($AA719),0,INDEX(DECLARATIONS,$AA719,5))</f>
        <v/>
      </c>
      <c r="F719" s="209" t="str">
        <f t="array" ref="F719">IF(ISNA($AA719),0,INDEX(DECLARATIONS,$AA719,7))</f>
        <v/>
      </c>
      <c r="G719" s="209" t="str">
        <f t="array" ref="G719">UPPER(IF(ISNA($AA719),"",INDEX(DECLARATIONS,$AA719,4)))</f>
        <v/>
      </c>
      <c r="H719" t="str">
        <f>IF(AND(A719&gt;0,ISTEXT(B719)),IF(SECNAME="YES",LEFT(B719&amp;" ",FIND(" ",B719&amp;" ")+2)&amp;IF(F719&gt;0," ("&amp;F719&amp;")",""),B719&amp;IF(F719&gt;0," ("&amp;F719&amp;")","")),"#"&amp;$A719)</f>
        <v/>
      </c>
      <c r="I719" s="209">
        <f>IF(LEN($A719)&gt;0,IF(LEN($J719)&gt;0,MATCH(J719,MatchNames,0),EventIndex),0)</f>
        <v>0</v>
      </c>
      <c r="J719" s="209" t="str">
        <f>IF(LEN($A719)&gt;0,IF(LEN(Declarations!$F719)&gt;0,Declarations!$F719,conftype),"")</f>
        <v/>
      </c>
      <c r="M719" s="297">
        <f>IF(ISNA(VLOOKUP($A719,SprintData,2,FALSE)),0,VLOOKUP($A719,SprintData,2,FALSE))</f>
        <v>0</v>
      </c>
      <c r="N719" s="297">
        <f>IF(ISNA(VLOOKUP($A719,JumpData,2,FALSE)),0,VLOOKUP($A719,JumpData,2,FALSE))</f>
        <v>0</v>
      </c>
      <c r="O719" s="297">
        <f>IF(ISNA(VLOOKUP($A719,RunData,2,FALSE)),0,VLOOKUP($A719,RunData,2,FALSE))</f>
        <v>0</v>
      </c>
      <c r="P719" s="297">
        <f>IF(ISNA(VLOOKUP($A719,ThrowData,2,FALSE)),0,VLOOKUP($A719,ThrowData,2,FALSE))</f>
        <v>0</v>
      </c>
      <c r="Q719" s="298">
        <f>IF(ISNA(VLOOKUP($A719,SprintData,4,FALSE)),0,VLOOKUP($A719,SprintData,4,FALSE))+V719</f>
        <v>0</v>
      </c>
      <c r="R719" s="298">
        <f>IF(ISNA(VLOOKUP($A719,JumpData,4,FALSE)),0,VLOOKUP($A719,JumpData,4,FALSE))+W719</f>
        <v>0</v>
      </c>
      <c r="S719" s="298">
        <f>IF(ISNA(VLOOKUP($A719,RunData,4,FALSE)),0,VLOOKUP($A719,RunData,4,FALSE))+X719</f>
        <v>0</v>
      </c>
      <c r="T719" s="298">
        <f>IF(ISNA(VLOOKUP($A719,ThrowData,4,FALSE)),0,VLOOKUP($A719,ThrowData,4,FALSE))+Y719</f>
        <v>0</v>
      </c>
      <c r="U719" s="299">
        <f t="shared" si="2"/>
        <v>0</v>
      </c>
      <c r="V719">
        <f>IF(AND($F719&gt;0,NOT(M719),Flexing),FlexPC,0)</f>
        <v>0</v>
      </c>
      <c r="W719">
        <f>IF(AND($F719&gt;0,NOT(N719),Flexing),FlexPC,0)</f>
        <v>0</v>
      </c>
      <c r="X719">
        <f>IF(AND($F719&gt;0,NOT(O719),Flexing),FlexPC,0)</f>
        <v>0</v>
      </c>
      <c r="Y719">
        <f>IF(AND($F719&gt;0,NOT(P719),Flexing),FlexPC,0)</f>
        <v>0</v>
      </c>
      <c r="AA719" s="209">
        <f t="shared" si="3"/>
        <v>718</v>
      </c>
    </row>
    <row r="720" ht="15.75" customHeight="1">
      <c r="A720" s="206" t="str">
        <f>+Declarations!A720&amp;""</f>
        <v/>
      </c>
      <c r="B720" t="str">
        <f>IF(LEN($A720),IF(LEN(Declarations!$B720)&gt;0,Declarations!$B720,"#"&amp;$A720),"")</f>
        <v/>
      </c>
      <c r="C720" s="209" t="str">
        <f t="array" ref="C720">IF(LEN(INDEX(DECLARATIONS,$AA720,3))&gt;0,INDEX(DECLARATIONS,$AA720,3),"...")</f>
        <v>...</v>
      </c>
      <c r="D720" s="209" t="str">
        <f t="shared" si="1"/>
        <v/>
      </c>
      <c r="E720" s="296" t="str">
        <f t="array" ref="E720">IF(ISNA($AA720),0,INDEX(DECLARATIONS,$AA720,5))</f>
        <v/>
      </c>
      <c r="F720" s="209" t="str">
        <f t="array" ref="F720">IF(ISNA($AA720),0,INDEX(DECLARATIONS,$AA720,7))</f>
        <v/>
      </c>
      <c r="G720" s="209" t="str">
        <f t="array" ref="G720">UPPER(IF(ISNA($AA720),"",INDEX(DECLARATIONS,$AA720,4)))</f>
        <v/>
      </c>
      <c r="H720" t="str">
        <f>IF(AND(A720&gt;0,ISTEXT(B720)),IF(SECNAME="YES",LEFT(B720&amp;" ",FIND(" ",B720&amp;" ")+2)&amp;IF(F720&gt;0," ("&amp;F720&amp;")",""),B720&amp;IF(F720&gt;0," ("&amp;F720&amp;")","")),"#"&amp;$A720)</f>
        <v/>
      </c>
      <c r="I720" s="209">
        <f>IF(LEN($A720)&gt;0,IF(LEN($J720)&gt;0,MATCH(J720,MatchNames,0),EventIndex),0)</f>
        <v>0</v>
      </c>
      <c r="J720" s="209" t="str">
        <f>IF(LEN($A720)&gt;0,IF(LEN(Declarations!$F720)&gt;0,Declarations!$F720,conftype),"")</f>
        <v/>
      </c>
      <c r="M720" s="297">
        <f>IF(ISNA(VLOOKUP($A720,SprintData,2,FALSE)),0,VLOOKUP($A720,SprintData,2,FALSE))</f>
        <v>0</v>
      </c>
      <c r="N720" s="297">
        <f>IF(ISNA(VLOOKUP($A720,JumpData,2,FALSE)),0,VLOOKUP($A720,JumpData,2,FALSE))</f>
        <v>0</v>
      </c>
      <c r="O720" s="297">
        <f>IF(ISNA(VLOOKUP($A720,RunData,2,FALSE)),0,VLOOKUP($A720,RunData,2,FALSE))</f>
        <v>0</v>
      </c>
      <c r="P720" s="297">
        <f>IF(ISNA(VLOOKUP($A720,ThrowData,2,FALSE)),0,VLOOKUP($A720,ThrowData,2,FALSE))</f>
        <v>0</v>
      </c>
      <c r="Q720" s="298">
        <f>IF(ISNA(VLOOKUP($A720,SprintData,4,FALSE)),0,VLOOKUP($A720,SprintData,4,FALSE))+V720</f>
        <v>0</v>
      </c>
      <c r="R720" s="298">
        <f>IF(ISNA(VLOOKUP($A720,JumpData,4,FALSE)),0,VLOOKUP($A720,JumpData,4,FALSE))+W720</f>
        <v>0</v>
      </c>
      <c r="S720" s="298">
        <f>IF(ISNA(VLOOKUP($A720,RunData,4,FALSE)),0,VLOOKUP($A720,RunData,4,FALSE))+X720</f>
        <v>0</v>
      </c>
      <c r="T720" s="298">
        <f>IF(ISNA(VLOOKUP($A720,ThrowData,4,FALSE)),0,VLOOKUP($A720,ThrowData,4,FALSE))+Y720</f>
        <v>0</v>
      </c>
      <c r="U720" s="299">
        <f t="shared" si="2"/>
        <v>0</v>
      </c>
      <c r="V720">
        <f>IF(AND($F720&gt;0,NOT(M720),Flexing),FlexPC,0)</f>
        <v>0</v>
      </c>
      <c r="W720">
        <f>IF(AND($F720&gt;0,NOT(N720),Flexing),FlexPC,0)</f>
        <v>0</v>
      </c>
      <c r="X720">
        <f>IF(AND($F720&gt;0,NOT(O720),Flexing),FlexPC,0)</f>
        <v>0</v>
      </c>
      <c r="Y720">
        <f>IF(AND($F720&gt;0,NOT(P720),Flexing),FlexPC,0)</f>
        <v>0</v>
      </c>
      <c r="AA720" s="209">
        <f t="shared" si="3"/>
        <v>719</v>
      </c>
    </row>
    <row r="721" ht="15.75" customHeight="1">
      <c r="A721" s="206" t="str">
        <f>+Declarations!A721&amp;""</f>
        <v/>
      </c>
      <c r="B721" t="str">
        <f>IF(LEN($A721),IF(LEN(Declarations!$B721)&gt;0,Declarations!$B721,"#"&amp;$A721),"")</f>
        <v/>
      </c>
      <c r="C721" s="209" t="str">
        <f t="array" ref="C721">IF(LEN(INDEX(DECLARATIONS,$AA721,3))&gt;0,INDEX(DECLARATIONS,$AA721,3),"...")</f>
        <v>...</v>
      </c>
      <c r="D721" s="209" t="str">
        <f t="shared" si="1"/>
        <v/>
      </c>
      <c r="E721" s="296" t="str">
        <f t="array" ref="E721">IF(ISNA($AA721),0,INDEX(DECLARATIONS,$AA721,5))</f>
        <v/>
      </c>
      <c r="F721" s="209" t="str">
        <f t="array" ref="F721">IF(ISNA($AA721),0,INDEX(DECLARATIONS,$AA721,7))</f>
        <v/>
      </c>
      <c r="G721" s="209" t="str">
        <f t="array" ref="G721">UPPER(IF(ISNA($AA721),"",INDEX(DECLARATIONS,$AA721,4)))</f>
        <v/>
      </c>
      <c r="H721" t="str">
        <f>IF(AND(A721&gt;0,ISTEXT(B721)),IF(SECNAME="YES",LEFT(B721&amp;" ",FIND(" ",B721&amp;" ")+2)&amp;IF(F721&gt;0," ("&amp;F721&amp;")",""),B721&amp;IF(F721&gt;0," ("&amp;F721&amp;")","")),"#"&amp;$A721)</f>
        <v/>
      </c>
      <c r="I721" s="209">
        <f>IF(LEN($A721)&gt;0,IF(LEN($J721)&gt;0,MATCH(J721,MatchNames,0),EventIndex),0)</f>
        <v>0</v>
      </c>
      <c r="J721" s="209" t="str">
        <f>IF(LEN($A721)&gt;0,IF(LEN(Declarations!$F721)&gt;0,Declarations!$F721,conftype),"")</f>
        <v/>
      </c>
      <c r="M721" s="297">
        <f>IF(ISNA(VLOOKUP($A721,SprintData,2,FALSE)),0,VLOOKUP($A721,SprintData,2,FALSE))</f>
        <v>0</v>
      </c>
      <c r="N721" s="297">
        <f>IF(ISNA(VLOOKUP($A721,JumpData,2,FALSE)),0,VLOOKUP($A721,JumpData,2,FALSE))</f>
        <v>0</v>
      </c>
      <c r="O721" s="297">
        <f>IF(ISNA(VLOOKUP($A721,RunData,2,FALSE)),0,VLOOKUP($A721,RunData,2,FALSE))</f>
        <v>0</v>
      </c>
      <c r="P721" s="297">
        <f>IF(ISNA(VLOOKUP($A721,ThrowData,2,FALSE)),0,VLOOKUP($A721,ThrowData,2,FALSE))</f>
        <v>0</v>
      </c>
      <c r="Q721" s="298">
        <f>IF(ISNA(VLOOKUP($A721,SprintData,4,FALSE)),0,VLOOKUP($A721,SprintData,4,FALSE))+V721</f>
        <v>0</v>
      </c>
      <c r="R721" s="298">
        <f>IF(ISNA(VLOOKUP($A721,JumpData,4,FALSE)),0,VLOOKUP($A721,JumpData,4,FALSE))+W721</f>
        <v>0</v>
      </c>
      <c r="S721" s="298">
        <f>IF(ISNA(VLOOKUP($A721,RunData,4,FALSE)),0,VLOOKUP($A721,RunData,4,FALSE))+X721</f>
        <v>0</v>
      </c>
      <c r="T721" s="298">
        <f>IF(ISNA(VLOOKUP($A721,ThrowData,4,FALSE)),0,VLOOKUP($A721,ThrowData,4,FALSE))+Y721</f>
        <v>0</v>
      </c>
      <c r="U721" s="299">
        <f t="shared" si="2"/>
        <v>0</v>
      </c>
      <c r="V721">
        <f>IF(AND($F721&gt;0,NOT(M721),Flexing),FlexPC,0)</f>
        <v>0</v>
      </c>
      <c r="W721">
        <f>IF(AND($F721&gt;0,NOT(N721),Flexing),FlexPC,0)</f>
        <v>0</v>
      </c>
      <c r="X721">
        <f>IF(AND($F721&gt;0,NOT(O721),Flexing),FlexPC,0)</f>
        <v>0</v>
      </c>
      <c r="Y721">
        <f>IF(AND($F721&gt;0,NOT(P721),Flexing),FlexPC,0)</f>
        <v>0</v>
      </c>
      <c r="AA721" s="209">
        <f t="shared" si="3"/>
        <v>720</v>
      </c>
    </row>
    <row r="722" ht="15.75" customHeight="1">
      <c r="A722" s="206" t="str">
        <f>+Declarations!A722&amp;""</f>
        <v/>
      </c>
      <c r="B722" t="str">
        <f>IF(LEN($A722),IF(LEN(Declarations!$B722)&gt;0,Declarations!$B722,"#"&amp;$A722),"")</f>
        <v/>
      </c>
      <c r="C722" s="209" t="str">
        <f t="array" ref="C722">IF(LEN(INDEX(DECLARATIONS,$AA722,3))&gt;0,INDEX(DECLARATIONS,$AA722,3),"...")</f>
        <v>...</v>
      </c>
      <c r="D722" s="209" t="str">
        <f t="shared" si="1"/>
        <v/>
      </c>
      <c r="E722" s="296" t="str">
        <f t="array" ref="E722">IF(ISNA($AA722),0,INDEX(DECLARATIONS,$AA722,5))</f>
        <v/>
      </c>
      <c r="F722" s="209" t="str">
        <f t="array" ref="F722">IF(ISNA($AA722),0,INDEX(DECLARATIONS,$AA722,7))</f>
        <v/>
      </c>
      <c r="G722" s="209" t="str">
        <f t="array" ref="G722">UPPER(IF(ISNA($AA722),"",INDEX(DECLARATIONS,$AA722,4)))</f>
        <v/>
      </c>
      <c r="H722" t="str">
        <f>IF(AND(A722&gt;0,ISTEXT(B722)),IF(SECNAME="YES",LEFT(B722&amp;" ",FIND(" ",B722&amp;" ")+2)&amp;IF(F722&gt;0," ("&amp;F722&amp;")",""),B722&amp;IF(F722&gt;0," ("&amp;F722&amp;")","")),"#"&amp;$A722)</f>
        <v/>
      </c>
      <c r="I722" s="209">
        <f>IF(LEN($A722)&gt;0,IF(LEN($J722)&gt;0,MATCH(J722,MatchNames,0),EventIndex),0)</f>
        <v>0</v>
      </c>
      <c r="J722" s="209" t="str">
        <f>IF(LEN($A722)&gt;0,IF(LEN(Declarations!$F722)&gt;0,Declarations!$F722,conftype),"")</f>
        <v/>
      </c>
      <c r="M722" s="297">
        <f>IF(ISNA(VLOOKUP($A722,SprintData,2,FALSE)),0,VLOOKUP($A722,SprintData,2,FALSE))</f>
        <v>0</v>
      </c>
      <c r="N722" s="297">
        <f>IF(ISNA(VLOOKUP($A722,JumpData,2,FALSE)),0,VLOOKUP($A722,JumpData,2,FALSE))</f>
        <v>0</v>
      </c>
      <c r="O722" s="297">
        <f>IF(ISNA(VLOOKUP($A722,RunData,2,FALSE)),0,VLOOKUP($A722,RunData,2,FALSE))</f>
        <v>0</v>
      </c>
      <c r="P722" s="297">
        <f>IF(ISNA(VLOOKUP($A722,ThrowData,2,FALSE)),0,VLOOKUP($A722,ThrowData,2,FALSE))</f>
        <v>0</v>
      </c>
      <c r="Q722" s="298">
        <f>IF(ISNA(VLOOKUP($A722,SprintData,4,FALSE)),0,VLOOKUP($A722,SprintData,4,FALSE))+V722</f>
        <v>0</v>
      </c>
      <c r="R722" s="298">
        <f>IF(ISNA(VLOOKUP($A722,JumpData,4,FALSE)),0,VLOOKUP($A722,JumpData,4,FALSE))+W722</f>
        <v>0</v>
      </c>
      <c r="S722" s="298">
        <f>IF(ISNA(VLOOKUP($A722,RunData,4,FALSE)),0,VLOOKUP($A722,RunData,4,FALSE))+X722</f>
        <v>0</v>
      </c>
      <c r="T722" s="298">
        <f>IF(ISNA(VLOOKUP($A722,ThrowData,4,FALSE)),0,VLOOKUP($A722,ThrowData,4,FALSE))+Y722</f>
        <v>0</v>
      </c>
      <c r="U722" s="299">
        <f t="shared" si="2"/>
        <v>0</v>
      </c>
      <c r="V722">
        <f>IF(AND($F722&gt;0,NOT(M722),Flexing),FlexPC,0)</f>
        <v>0</v>
      </c>
      <c r="W722">
        <f>IF(AND($F722&gt;0,NOT(N722),Flexing),FlexPC,0)</f>
        <v>0</v>
      </c>
      <c r="X722">
        <f>IF(AND($F722&gt;0,NOT(O722),Flexing),FlexPC,0)</f>
        <v>0</v>
      </c>
      <c r="Y722">
        <f>IF(AND($F722&gt;0,NOT(P722),Flexing),FlexPC,0)</f>
        <v>0</v>
      </c>
      <c r="AA722" s="209">
        <f t="shared" si="3"/>
        <v>721</v>
      </c>
    </row>
    <row r="723" ht="15.75" customHeight="1">
      <c r="A723" s="206" t="str">
        <f>+Declarations!A723&amp;""</f>
        <v/>
      </c>
      <c r="B723" t="str">
        <f>IF(LEN($A723),IF(LEN(Declarations!$B723)&gt;0,Declarations!$B723,"#"&amp;$A723),"")</f>
        <v/>
      </c>
      <c r="C723" s="209" t="str">
        <f t="array" ref="C723">IF(LEN(INDEX(DECLARATIONS,$AA723,3))&gt;0,INDEX(DECLARATIONS,$AA723,3),"...")</f>
        <v>...</v>
      </c>
      <c r="D723" s="209" t="str">
        <f t="shared" si="1"/>
        <v/>
      </c>
      <c r="E723" s="296" t="str">
        <f t="array" ref="E723">IF(ISNA($AA723),0,INDEX(DECLARATIONS,$AA723,5))</f>
        <v/>
      </c>
      <c r="F723" s="209" t="str">
        <f t="array" ref="F723">IF(ISNA($AA723),0,INDEX(DECLARATIONS,$AA723,7))</f>
        <v/>
      </c>
      <c r="G723" s="209" t="str">
        <f t="array" ref="G723">UPPER(IF(ISNA($AA723),"",INDEX(DECLARATIONS,$AA723,4)))</f>
        <v/>
      </c>
      <c r="H723" t="str">
        <f>IF(AND(A723&gt;0,ISTEXT(B723)),IF(SECNAME="YES",LEFT(B723&amp;" ",FIND(" ",B723&amp;" ")+2)&amp;IF(F723&gt;0," ("&amp;F723&amp;")",""),B723&amp;IF(F723&gt;0," ("&amp;F723&amp;")","")),"#"&amp;$A723)</f>
        <v/>
      </c>
      <c r="I723" s="209">
        <f>IF(LEN($A723)&gt;0,IF(LEN($J723)&gt;0,MATCH(J723,MatchNames,0),EventIndex),0)</f>
        <v>0</v>
      </c>
      <c r="J723" s="209" t="str">
        <f>IF(LEN($A723)&gt;0,IF(LEN(Declarations!$F723)&gt;0,Declarations!$F723,conftype),"")</f>
        <v/>
      </c>
      <c r="M723" s="297">
        <f>IF(ISNA(VLOOKUP($A723,SprintData,2,FALSE)),0,VLOOKUP($A723,SprintData,2,FALSE))</f>
        <v>0</v>
      </c>
      <c r="N723" s="297">
        <f>IF(ISNA(VLOOKUP($A723,JumpData,2,FALSE)),0,VLOOKUP($A723,JumpData,2,FALSE))</f>
        <v>0</v>
      </c>
      <c r="O723" s="297">
        <f>IF(ISNA(VLOOKUP($A723,RunData,2,FALSE)),0,VLOOKUP($A723,RunData,2,FALSE))</f>
        <v>0</v>
      </c>
      <c r="P723" s="297">
        <f>IF(ISNA(VLOOKUP($A723,ThrowData,2,FALSE)),0,VLOOKUP($A723,ThrowData,2,FALSE))</f>
        <v>0</v>
      </c>
      <c r="Q723" s="298">
        <f>IF(ISNA(VLOOKUP($A723,SprintData,4,FALSE)),0,VLOOKUP($A723,SprintData,4,FALSE))+V723</f>
        <v>0</v>
      </c>
      <c r="R723" s="298">
        <f>IF(ISNA(VLOOKUP($A723,JumpData,4,FALSE)),0,VLOOKUP($A723,JumpData,4,FALSE))+W723</f>
        <v>0</v>
      </c>
      <c r="S723" s="298">
        <f>IF(ISNA(VLOOKUP($A723,RunData,4,FALSE)),0,VLOOKUP($A723,RunData,4,FALSE))+X723</f>
        <v>0</v>
      </c>
      <c r="T723" s="298">
        <f>IF(ISNA(VLOOKUP($A723,ThrowData,4,FALSE)),0,VLOOKUP($A723,ThrowData,4,FALSE))+Y723</f>
        <v>0</v>
      </c>
      <c r="U723" s="299">
        <f t="shared" si="2"/>
        <v>0</v>
      </c>
      <c r="V723">
        <f>IF(AND($F723&gt;0,NOT(M723),Flexing),FlexPC,0)</f>
        <v>0</v>
      </c>
      <c r="W723">
        <f>IF(AND($F723&gt;0,NOT(N723),Flexing),FlexPC,0)</f>
        <v>0</v>
      </c>
      <c r="X723">
        <f>IF(AND($F723&gt;0,NOT(O723),Flexing),FlexPC,0)</f>
        <v>0</v>
      </c>
      <c r="Y723">
        <f>IF(AND($F723&gt;0,NOT(P723),Flexing),FlexPC,0)</f>
        <v>0</v>
      </c>
      <c r="AA723" s="209">
        <f t="shared" si="3"/>
        <v>722</v>
      </c>
    </row>
    <row r="724" ht="15.75" customHeight="1">
      <c r="A724" s="206" t="str">
        <f>+Declarations!A724&amp;""</f>
        <v/>
      </c>
      <c r="B724" t="str">
        <f>IF(LEN($A724),IF(LEN(Declarations!$B724)&gt;0,Declarations!$B724,"#"&amp;$A724),"")</f>
        <v/>
      </c>
      <c r="C724" s="209" t="str">
        <f t="array" ref="C724">IF(LEN(INDEX(DECLARATIONS,$AA724,3))&gt;0,INDEX(DECLARATIONS,$AA724,3),"...")</f>
        <v>...</v>
      </c>
      <c r="D724" s="209" t="str">
        <f t="shared" si="1"/>
        <v/>
      </c>
      <c r="E724" s="296" t="str">
        <f t="array" ref="E724">IF(ISNA($AA724),0,INDEX(DECLARATIONS,$AA724,5))</f>
        <v/>
      </c>
      <c r="F724" s="209" t="str">
        <f t="array" ref="F724">IF(ISNA($AA724),0,INDEX(DECLARATIONS,$AA724,7))</f>
        <v/>
      </c>
      <c r="G724" s="209" t="str">
        <f t="array" ref="G724">UPPER(IF(ISNA($AA724),"",INDEX(DECLARATIONS,$AA724,4)))</f>
        <v/>
      </c>
      <c r="H724" t="str">
        <f>IF(AND(A724&gt;0,ISTEXT(B724)),IF(SECNAME="YES",LEFT(B724&amp;" ",FIND(" ",B724&amp;" ")+2)&amp;IF(F724&gt;0," ("&amp;F724&amp;")",""),B724&amp;IF(F724&gt;0," ("&amp;F724&amp;")","")),"#"&amp;$A724)</f>
        <v/>
      </c>
      <c r="I724" s="209">
        <f>IF(LEN($A724)&gt;0,IF(LEN($J724)&gt;0,MATCH(J724,MatchNames,0),EventIndex),0)</f>
        <v>0</v>
      </c>
      <c r="J724" s="209" t="str">
        <f>IF(LEN($A724)&gt;0,IF(LEN(Declarations!$F724)&gt;0,Declarations!$F724,conftype),"")</f>
        <v/>
      </c>
      <c r="M724" s="297">
        <f>IF(ISNA(VLOOKUP($A724,SprintData,2,FALSE)),0,VLOOKUP($A724,SprintData,2,FALSE))</f>
        <v>0</v>
      </c>
      <c r="N724" s="297">
        <f>IF(ISNA(VLOOKUP($A724,JumpData,2,FALSE)),0,VLOOKUP($A724,JumpData,2,FALSE))</f>
        <v>0</v>
      </c>
      <c r="O724" s="297">
        <f>IF(ISNA(VLOOKUP($A724,RunData,2,FALSE)),0,VLOOKUP($A724,RunData,2,FALSE))</f>
        <v>0</v>
      </c>
      <c r="P724" s="297">
        <f>IF(ISNA(VLOOKUP($A724,ThrowData,2,FALSE)),0,VLOOKUP($A724,ThrowData,2,FALSE))</f>
        <v>0</v>
      </c>
      <c r="Q724" s="298">
        <f>IF(ISNA(VLOOKUP($A724,SprintData,4,FALSE)),0,VLOOKUP($A724,SprintData,4,FALSE))+V724</f>
        <v>0</v>
      </c>
      <c r="R724" s="298">
        <f>IF(ISNA(VLOOKUP($A724,JumpData,4,FALSE)),0,VLOOKUP($A724,JumpData,4,FALSE))+W724</f>
        <v>0</v>
      </c>
      <c r="S724" s="298">
        <f>IF(ISNA(VLOOKUP($A724,RunData,4,FALSE)),0,VLOOKUP($A724,RunData,4,FALSE))+X724</f>
        <v>0</v>
      </c>
      <c r="T724" s="298">
        <f>IF(ISNA(VLOOKUP($A724,ThrowData,4,FALSE)),0,VLOOKUP($A724,ThrowData,4,FALSE))+Y724</f>
        <v>0</v>
      </c>
      <c r="U724" s="299">
        <f t="shared" si="2"/>
        <v>0</v>
      </c>
      <c r="V724">
        <f>IF(AND($F724&gt;0,NOT(M724),Flexing),FlexPC,0)</f>
        <v>0</v>
      </c>
      <c r="W724">
        <f>IF(AND($F724&gt;0,NOT(N724),Flexing),FlexPC,0)</f>
        <v>0</v>
      </c>
      <c r="X724">
        <f>IF(AND($F724&gt;0,NOT(O724),Flexing),FlexPC,0)</f>
        <v>0</v>
      </c>
      <c r="Y724">
        <f>IF(AND($F724&gt;0,NOT(P724),Flexing),FlexPC,0)</f>
        <v>0</v>
      </c>
      <c r="AA724" s="209">
        <f t="shared" si="3"/>
        <v>723</v>
      </c>
    </row>
    <row r="725" ht="15.75" customHeight="1">
      <c r="A725" s="206" t="str">
        <f>+Declarations!A725&amp;""</f>
        <v/>
      </c>
      <c r="B725" t="str">
        <f>IF(LEN($A725),IF(LEN(Declarations!$B725)&gt;0,Declarations!$B725,"#"&amp;$A725),"")</f>
        <v/>
      </c>
      <c r="C725" s="209" t="str">
        <f t="array" ref="C725">IF(LEN(INDEX(DECLARATIONS,$AA725,3))&gt;0,INDEX(DECLARATIONS,$AA725,3),"...")</f>
        <v>...</v>
      </c>
      <c r="D725" s="209" t="str">
        <f t="shared" si="1"/>
        <v/>
      </c>
      <c r="E725" s="296" t="str">
        <f t="array" ref="E725">IF(ISNA($AA725),0,INDEX(DECLARATIONS,$AA725,5))</f>
        <v/>
      </c>
      <c r="F725" s="209" t="str">
        <f t="array" ref="F725">IF(ISNA($AA725),0,INDEX(DECLARATIONS,$AA725,7))</f>
        <v/>
      </c>
      <c r="G725" s="209" t="str">
        <f t="array" ref="G725">UPPER(IF(ISNA($AA725),"",INDEX(DECLARATIONS,$AA725,4)))</f>
        <v/>
      </c>
      <c r="H725" t="str">
        <f>IF(AND(A725&gt;0,ISTEXT(B725)),IF(SECNAME="YES",LEFT(B725&amp;" ",FIND(" ",B725&amp;" ")+2)&amp;IF(F725&gt;0," ("&amp;F725&amp;")",""),B725&amp;IF(F725&gt;0," ("&amp;F725&amp;")","")),"#"&amp;$A725)</f>
        <v/>
      </c>
      <c r="I725" s="209">
        <f>IF(LEN($A725)&gt;0,IF(LEN($J725)&gt;0,MATCH(J725,MatchNames,0),EventIndex),0)</f>
        <v>0</v>
      </c>
      <c r="J725" s="209" t="str">
        <f>IF(LEN($A725)&gt;0,IF(LEN(Declarations!$F725)&gt;0,Declarations!$F725,conftype),"")</f>
        <v/>
      </c>
      <c r="M725" s="297">
        <f>IF(ISNA(VLOOKUP($A725,SprintData,2,FALSE)),0,VLOOKUP($A725,SprintData,2,FALSE))</f>
        <v>0</v>
      </c>
      <c r="N725" s="297">
        <f>IF(ISNA(VLOOKUP($A725,JumpData,2,FALSE)),0,VLOOKUP($A725,JumpData,2,FALSE))</f>
        <v>0</v>
      </c>
      <c r="O725" s="297">
        <f>IF(ISNA(VLOOKUP($A725,RunData,2,FALSE)),0,VLOOKUP($A725,RunData,2,FALSE))</f>
        <v>0</v>
      </c>
      <c r="P725" s="297">
        <f>IF(ISNA(VLOOKUP($A725,ThrowData,2,FALSE)),0,VLOOKUP($A725,ThrowData,2,FALSE))</f>
        <v>0</v>
      </c>
      <c r="Q725" s="298">
        <f>IF(ISNA(VLOOKUP($A725,SprintData,4,FALSE)),0,VLOOKUP($A725,SprintData,4,FALSE))+V725</f>
        <v>0</v>
      </c>
      <c r="R725" s="298">
        <f>IF(ISNA(VLOOKUP($A725,JumpData,4,FALSE)),0,VLOOKUP($A725,JumpData,4,FALSE))+W725</f>
        <v>0</v>
      </c>
      <c r="S725" s="298">
        <f>IF(ISNA(VLOOKUP($A725,RunData,4,FALSE)),0,VLOOKUP($A725,RunData,4,FALSE))+X725</f>
        <v>0</v>
      </c>
      <c r="T725" s="298">
        <f>IF(ISNA(VLOOKUP($A725,ThrowData,4,FALSE)),0,VLOOKUP($A725,ThrowData,4,FALSE))+Y725</f>
        <v>0</v>
      </c>
      <c r="U725" s="299">
        <f t="shared" si="2"/>
        <v>0</v>
      </c>
      <c r="V725">
        <f>IF(AND($F725&gt;0,NOT(M725),Flexing),FlexPC,0)</f>
        <v>0</v>
      </c>
      <c r="W725">
        <f>IF(AND($F725&gt;0,NOT(N725),Flexing),FlexPC,0)</f>
        <v>0</v>
      </c>
      <c r="X725">
        <f>IF(AND($F725&gt;0,NOT(O725),Flexing),FlexPC,0)</f>
        <v>0</v>
      </c>
      <c r="Y725">
        <f>IF(AND($F725&gt;0,NOT(P725),Flexing),FlexPC,0)</f>
        <v>0</v>
      </c>
      <c r="AA725" s="209">
        <f t="shared" si="3"/>
        <v>724</v>
      </c>
    </row>
    <row r="726" ht="15.75" customHeight="1">
      <c r="A726" s="206" t="str">
        <f>+Declarations!A726&amp;""</f>
        <v/>
      </c>
      <c r="B726" t="str">
        <f>IF(LEN($A726),IF(LEN(Declarations!$B726)&gt;0,Declarations!$B726,"#"&amp;$A726),"")</f>
        <v/>
      </c>
      <c r="C726" s="209" t="str">
        <f t="array" ref="C726">IF(LEN(INDEX(DECLARATIONS,$AA726,3))&gt;0,INDEX(DECLARATIONS,$AA726,3),"...")</f>
        <v>...</v>
      </c>
      <c r="D726" s="209" t="str">
        <f t="shared" si="1"/>
        <v/>
      </c>
      <c r="E726" s="296" t="str">
        <f t="array" ref="E726">IF(ISNA($AA726),0,INDEX(DECLARATIONS,$AA726,5))</f>
        <v/>
      </c>
      <c r="F726" s="209" t="str">
        <f t="array" ref="F726">IF(ISNA($AA726),0,INDEX(DECLARATIONS,$AA726,7))</f>
        <v/>
      </c>
      <c r="G726" s="209" t="str">
        <f t="array" ref="G726">UPPER(IF(ISNA($AA726),"",INDEX(DECLARATIONS,$AA726,4)))</f>
        <v/>
      </c>
      <c r="H726" t="str">
        <f>IF(AND(A726&gt;0,ISTEXT(B726)),IF(SECNAME="YES",LEFT(B726&amp;" ",FIND(" ",B726&amp;" ")+2)&amp;IF(F726&gt;0," ("&amp;F726&amp;")",""),B726&amp;IF(F726&gt;0," ("&amp;F726&amp;")","")),"#"&amp;$A726)</f>
        <v/>
      </c>
      <c r="I726" s="209">
        <f>IF(LEN($A726)&gt;0,IF(LEN($J726)&gt;0,MATCH(J726,MatchNames,0),EventIndex),0)</f>
        <v>0</v>
      </c>
      <c r="J726" s="209" t="str">
        <f>IF(LEN($A726)&gt;0,IF(LEN(Declarations!$F726)&gt;0,Declarations!$F726,conftype),"")</f>
        <v/>
      </c>
      <c r="M726" s="297">
        <f>IF(ISNA(VLOOKUP($A726,SprintData,2,FALSE)),0,VLOOKUP($A726,SprintData,2,FALSE))</f>
        <v>0</v>
      </c>
      <c r="N726" s="297">
        <f>IF(ISNA(VLOOKUP($A726,JumpData,2,FALSE)),0,VLOOKUP($A726,JumpData,2,FALSE))</f>
        <v>0</v>
      </c>
      <c r="O726" s="297">
        <f>IF(ISNA(VLOOKUP($A726,RunData,2,FALSE)),0,VLOOKUP($A726,RunData,2,FALSE))</f>
        <v>0</v>
      </c>
      <c r="P726" s="297">
        <f>IF(ISNA(VLOOKUP($A726,ThrowData,2,FALSE)),0,VLOOKUP($A726,ThrowData,2,FALSE))</f>
        <v>0</v>
      </c>
      <c r="Q726" s="298">
        <f>IF(ISNA(VLOOKUP($A726,SprintData,4,FALSE)),0,VLOOKUP($A726,SprintData,4,FALSE))+V726</f>
        <v>0</v>
      </c>
      <c r="R726" s="298">
        <f>IF(ISNA(VLOOKUP($A726,JumpData,4,FALSE)),0,VLOOKUP($A726,JumpData,4,FALSE))+W726</f>
        <v>0</v>
      </c>
      <c r="S726" s="298">
        <f>IF(ISNA(VLOOKUP($A726,RunData,4,FALSE)),0,VLOOKUP($A726,RunData,4,FALSE))+X726</f>
        <v>0</v>
      </c>
      <c r="T726" s="298">
        <f>IF(ISNA(VLOOKUP($A726,ThrowData,4,FALSE)),0,VLOOKUP($A726,ThrowData,4,FALSE))+Y726</f>
        <v>0</v>
      </c>
      <c r="U726" s="299">
        <f t="shared" si="2"/>
        <v>0</v>
      </c>
      <c r="V726">
        <f>IF(AND($F726&gt;0,NOT(M726),Flexing),FlexPC,0)</f>
        <v>0</v>
      </c>
      <c r="W726">
        <f>IF(AND($F726&gt;0,NOT(N726),Flexing),FlexPC,0)</f>
        <v>0</v>
      </c>
      <c r="X726">
        <f>IF(AND($F726&gt;0,NOT(O726),Flexing),FlexPC,0)</f>
        <v>0</v>
      </c>
      <c r="Y726">
        <f>IF(AND($F726&gt;0,NOT(P726),Flexing),FlexPC,0)</f>
        <v>0</v>
      </c>
      <c r="AA726" s="209">
        <f t="shared" si="3"/>
        <v>725</v>
      </c>
    </row>
    <row r="727" ht="15.75" customHeight="1">
      <c r="A727" s="206" t="str">
        <f>+Declarations!A727&amp;""</f>
        <v/>
      </c>
      <c r="B727" t="str">
        <f>IF(LEN($A727),IF(LEN(Declarations!$B727)&gt;0,Declarations!$B727,"#"&amp;$A727),"")</f>
        <v/>
      </c>
      <c r="C727" s="209" t="str">
        <f t="array" ref="C727">IF(LEN(INDEX(DECLARATIONS,$AA727,3))&gt;0,INDEX(DECLARATIONS,$AA727,3),"...")</f>
        <v>...</v>
      </c>
      <c r="D727" s="209" t="str">
        <f t="shared" si="1"/>
        <v/>
      </c>
      <c r="E727" s="296" t="str">
        <f t="array" ref="E727">IF(ISNA($AA727),0,INDEX(DECLARATIONS,$AA727,5))</f>
        <v/>
      </c>
      <c r="F727" s="209" t="str">
        <f t="array" ref="F727">IF(ISNA($AA727),0,INDEX(DECLARATIONS,$AA727,7))</f>
        <v/>
      </c>
      <c r="G727" s="209" t="str">
        <f t="array" ref="G727">UPPER(IF(ISNA($AA727),"",INDEX(DECLARATIONS,$AA727,4)))</f>
        <v/>
      </c>
      <c r="H727" t="str">
        <f>IF(AND(A727&gt;0,ISTEXT(B727)),IF(SECNAME="YES",LEFT(B727&amp;" ",FIND(" ",B727&amp;" ")+2)&amp;IF(F727&gt;0," ("&amp;F727&amp;")",""),B727&amp;IF(F727&gt;0," ("&amp;F727&amp;")","")),"#"&amp;$A727)</f>
        <v/>
      </c>
      <c r="I727" s="209">
        <f>IF(LEN($A727)&gt;0,IF(LEN($J727)&gt;0,MATCH(J727,MatchNames,0),EventIndex),0)</f>
        <v>0</v>
      </c>
      <c r="J727" s="209" t="str">
        <f>IF(LEN($A727)&gt;0,IF(LEN(Declarations!$F727)&gt;0,Declarations!$F727,conftype),"")</f>
        <v/>
      </c>
      <c r="M727" s="297">
        <f>IF(ISNA(VLOOKUP($A727,SprintData,2,FALSE)),0,VLOOKUP($A727,SprintData,2,FALSE))</f>
        <v>0</v>
      </c>
      <c r="N727" s="297">
        <f>IF(ISNA(VLOOKUP($A727,JumpData,2,FALSE)),0,VLOOKUP($A727,JumpData,2,FALSE))</f>
        <v>0</v>
      </c>
      <c r="O727" s="297">
        <f>IF(ISNA(VLOOKUP($A727,RunData,2,FALSE)),0,VLOOKUP($A727,RunData,2,FALSE))</f>
        <v>0</v>
      </c>
      <c r="P727" s="297">
        <f>IF(ISNA(VLOOKUP($A727,ThrowData,2,FALSE)),0,VLOOKUP($A727,ThrowData,2,FALSE))</f>
        <v>0</v>
      </c>
      <c r="Q727" s="298">
        <f>IF(ISNA(VLOOKUP($A727,SprintData,4,FALSE)),0,VLOOKUP($A727,SprintData,4,FALSE))+V727</f>
        <v>0</v>
      </c>
      <c r="R727" s="298">
        <f>IF(ISNA(VLOOKUP($A727,JumpData,4,FALSE)),0,VLOOKUP($A727,JumpData,4,FALSE))+W727</f>
        <v>0</v>
      </c>
      <c r="S727" s="298">
        <f>IF(ISNA(VLOOKUP($A727,RunData,4,FALSE)),0,VLOOKUP($A727,RunData,4,FALSE))+X727</f>
        <v>0</v>
      </c>
      <c r="T727" s="298">
        <f>IF(ISNA(VLOOKUP($A727,ThrowData,4,FALSE)),0,VLOOKUP($A727,ThrowData,4,FALSE))+Y727</f>
        <v>0</v>
      </c>
      <c r="U727" s="299">
        <f t="shared" si="2"/>
        <v>0</v>
      </c>
      <c r="V727">
        <f>IF(AND($F727&gt;0,NOT(M727),Flexing),FlexPC,0)</f>
        <v>0</v>
      </c>
      <c r="W727">
        <f>IF(AND($F727&gt;0,NOT(N727),Flexing),FlexPC,0)</f>
        <v>0</v>
      </c>
      <c r="X727">
        <f>IF(AND($F727&gt;0,NOT(O727),Flexing),FlexPC,0)</f>
        <v>0</v>
      </c>
      <c r="Y727">
        <f>IF(AND($F727&gt;0,NOT(P727),Flexing),FlexPC,0)</f>
        <v>0</v>
      </c>
      <c r="AA727" s="209">
        <f t="shared" si="3"/>
        <v>726</v>
      </c>
    </row>
    <row r="728" ht="15.75" customHeight="1">
      <c r="A728" s="206" t="str">
        <f>+Declarations!A728&amp;""</f>
        <v/>
      </c>
      <c r="B728" t="str">
        <f>IF(LEN($A728),IF(LEN(Declarations!$B728)&gt;0,Declarations!$B728,"#"&amp;$A728),"")</f>
        <v/>
      </c>
      <c r="C728" s="209" t="str">
        <f t="array" ref="C728">IF(LEN(INDEX(DECLARATIONS,$AA728,3))&gt;0,INDEX(DECLARATIONS,$AA728,3),"...")</f>
        <v>...</v>
      </c>
      <c r="D728" s="209" t="str">
        <f t="shared" si="1"/>
        <v/>
      </c>
      <c r="E728" s="296" t="str">
        <f t="array" ref="E728">IF(ISNA($AA728),0,INDEX(DECLARATIONS,$AA728,5))</f>
        <v/>
      </c>
      <c r="F728" s="209" t="str">
        <f t="array" ref="F728">IF(ISNA($AA728),0,INDEX(DECLARATIONS,$AA728,7))</f>
        <v/>
      </c>
      <c r="G728" s="209" t="str">
        <f t="array" ref="G728">UPPER(IF(ISNA($AA728),"",INDEX(DECLARATIONS,$AA728,4)))</f>
        <v/>
      </c>
      <c r="H728" t="str">
        <f>IF(AND(A728&gt;0,ISTEXT(B728)),IF(SECNAME="YES",LEFT(B728&amp;" ",FIND(" ",B728&amp;" ")+2)&amp;IF(F728&gt;0," ("&amp;F728&amp;")",""),B728&amp;IF(F728&gt;0," ("&amp;F728&amp;")","")),"#"&amp;$A728)</f>
        <v/>
      </c>
      <c r="I728" s="209">
        <f>IF(LEN($A728)&gt;0,IF(LEN($J728)&gt;0,MATCH(J728,MatchNames,0),EventIndex),0)</f>
        <v>0</v>
      </c>
      <c r="J728" s="209" t="str">
        <f>IF(LEN($A728)&gt;0,IF(LEN(Declarations!$F728)&gt;0,Declarations!$F728,conftype),"")</f>
        <v/>
      </c>
      <c r="M728" s="297">
        <f>IF(ISNA(VLOOKUP($A728,SprintData,2,FALSE)),0,VLOOKUP($A728,SprintData,2,FALSE))</f>
        <v>0</v>
      </c>
      <c r="N728" s="297">
        <f>IF(ISNA(VLOOKUP($A728,JumpData,2,FALSE)),0,VLOOKUP($A728,JumpData,2,FALSE))</f>
        <v>0</v>
      </c>
      <c r="O728" s="297">
        <f>IF(ISNA(VLOOKUP($A728,RunData,2,FALSE)),0,VLOOKUP($A728,RunData,2,FALSE))</f>
        <v>0</v>
      </c>
      <c r="P728" s="297">
        <f>IF(ISNA(VLOOKUP($A728,ThrowData,2,FALSE)),0,VLOOKUP($A728,ThrowData,2,FALSE))</f>
        <v>0</v>
      </c>
      <c r="Q728" s="298">
        <f>IF(ISNA(VLOOKUP($A728,SprintData,4,FALSE)),0,VLOOKUP($A728,SprintData,4,FALSE))+V728</f>
        <v>0</v>
      </c>
      <c r="R728" s="298">
        <f>IF(ISNA(VLOOKUP($A728,JumpData,4,FALSE)),0,VLOOKUP($A728,JumpData,4,FALSE))+W728</f>
        <v>0</v>
      </c>
      <c r="S728" s="298">
        <f>IF(ISNA(VLOOKUP($A728,RunData,4,FALSE)),0,VLOOKUP($A728,RunData,4,FALSE))+X728</f>
        <v>0</v>
      </c>
      <c r="T728" s="298">
        <f>IF(ISNA(VLOOKUP($A728,ThrowData,4,FALSE)),0,VLOOKUP($A728,ThrowData,4,FALSE))+Y728</f>
        <v>0</v>
      </c>
      <c r="U728" s="299">
        <f t="shared" si="2"/>
        <v>0</v>
      </c>
      <c r="V728">
        <f>IF(AND($F728&gt;0,NOT(M728),Flexing),FlexPC,0)</f>
        <v>0</v>
      </c>
      <c r="W728">
        <f>IF(AND($F728&gt;0,NOT(N728),Flexing),FlexPC,0)</f>
        <v>0</v>
      </c>
      <c r="X728">
        <f>IF(AND($F728&gt;0,NOT(O728),Flexing),FlexPC,0)</f>
        <v>0</v>
      </c>
      <c r="Y728">
        <f>IF(AND($F728&gt;0,NOT(P728),Flexing),FlexPC,0)</f>
        <v>0</v>
      </c>
      <c r="AA728" s="209">
        <f t="shared" si="3"/>
        <v>727</v>
      </c>
    </row>
    <row r="729" ht="15.75" customHeight="1">
      <c r="A729" s="206" t="str">
        <f>+Declarations!A729&amp;""</f>
        <v/>
      </c>
      <c r="B729" t="str">
        <f>IF(LEN($A729),IF(LEN(Declarations!$B729)&gt;0,Declarations!$B729,"#"&amp;$A729),"")</f>
        <v/>
      </c>
      <c r="C729" s="209" t="str">
        <f t="array" ref="C729">IF(LEN(INDEX(DECLARATIONS,$AA729,3))&gt;0,INDEX(DECLARATIONS,$AA729,3),"...")</f>
        <v>...</v>
      </c>
      <c r="D729" s="209" t="str">
        <f t="shared" si="1"/>
        <v/>
      </c>
      <c r="E729" s="296" t="str">
        <f t="array" ref="E729">IF(ISNA($AA729),0,INDEX(DECLARATIONS,$AA729,5))</f>
        <v/>
      </c>
      <c r="F729" s="209" t="str">
        <f t="array" ref="F729">IF(ISNA($AA729),0,INDEX(DECLARATIONS,$AA729,7))</f>
        <v/>
      </c>
      <c r="G729" s="209" t="str">
        <f t="array" ref="G729">UPPER(IF(ISNA($AA729),"",INDEX(DECLARATIONS,$AA729,4)))</f>
        <v/>
      </c>
      <c r="H729" t="str">
        <f>IF(AND(A729&gt;0,ISTEXT(B729)),IF(SECNAME="YES",LEFT(B729&amp;" ",FIND(" ",B729&amp;" ")+2)&amp;IF(F729&gt;0," ("&amp;F729&amp;")",""),B729&amp;IF(F729&gt;0," ("&amp;F729&amp;")","")),"#"&amp;$A729)</f>
        <v/>
      </c>
      <c r="I729" s="209">
        <f>IF(LEN($A729)&gt;0,IF(LEN($J729)&gt;0,MATCH(J729,MatchNames,0),EventIndex),0)</f>
        <v>0</v>
      </c>
      <c r="J729" s="209" t="str">
        <f>IF(LEN($A729)&gt;0,IF(LEN(Declarations!$F729)&gt;0,Declarations!$F729,conftype),"")</f>
        <v/>
      </c>
      <c r="M729" s="297">
        <f>IF(ISNA(VLOOKUP($A729,SprintData,2,FALSE)),0,VLOOKUP($A729,SprintData,2,FALSE))</f>
        <v>0</v>
      </c>
      <c r="N729" s="297">
        <f>IF(ISNA(VLOOKUP($A729,JumpData,2,FALSE)),0,VLOOKUP($A729,JumpData,2,FALSE))</f>
        <v>0</v>
      </c>
      <c r="O729" s="297">
        <f>IF(ISNA(VLOOKUP($A729,RunData,2,FALSE)),0,VLOOKUP($A729,RunData,2,FALSE))</f>
        <v>0</v>
      </c>
      <c r="P729" s="297">
        <f>IF(ISNA(VLOOKUP($A729,ThrowData,2,FALSE)),0,VLOOKUP($A729,ThrowData,2,FALSE))</f>
        <v>0</v>
      </c>
      <c r="Q729" s="298">
        <f>IF(ISNA(VLOOKUP($A729,SprintData,4,FALSE)),0,VLOOKUP($A729,SprintData,4,FALSE))+V729</f>
        <v>0</v>
      </c>
      <c r="R729" s="298">
        <f>IF(ISNA(VLOOKUP($A729,JumpData,4,FALSE)),0,VLOOKUP($A729,JumpData,4,FALSE))+W729</f>
        <v>0</v>
      </c>
      <c r="S729" s="298">
        <f>IF(ISNA(VLOOKUP($A729,RunData,4,FALSE)),0,VLOOKUP($A729,RunData,4,FALSE))+X729</f>
        <v>0</v>
      </c>
      <c r="T729" s="298">
        <f>IF(ISNA(VLOOKUP($A729,ThrowData,4,FALSE)),0,VLOOKUP($A729,ThrowData,4,FALSE))+Y729</f>
        <v>0</v>
      </c>
      <c r="U729" s="299">
        <f t="shared" si="2"/>
        <v>0</v>
      </c>
      <c r="V729">
        <f>IF(AND($F729&gt;0,NOT(M729),Flexing),FlexPC,0)</f>
        <v>0</v>
      </c>
      <c r="W729">
        <f>IF(AND($F729&gt;0,NOT(N729),Flexing),FlexPC,0)</f>
        <v>0</v>
      </c>
      <c r="X729">
        <f>IF(AND($F729&gt;0,NOT(O729),Flexing),FlexPC,0)</f>
        <v>0</v>
      </c>
      <c r="Y729">
        <f>IF(AND($F729&gt;0,NOT(P729),Flexing),FlexPC,0)</f>
        <v>0</v>
      </c>
      <c r="AA729" s="209">
        <f t="shared" si="3"/>
        <v>728</v>
      </c>
    </row>
    <row r="730" ht="15.75" customHeight="1">
      <c r="A730" s="206" t="str">
        <f>+Declarations!A730&amp;""</f>
        <v/>
      </c>
      <c r="B730" t="str">
        <f>IF(LEN($A730),IF(LEN(Declarations!$B730)&gt;0,Declarations!$B730,"#"&amp;$A730),"")</f>
        <v/>
      </c>
      <c r="C730" s="209" t="str">
        <f t="array" ref="C730">IF(LEN(INDEX(DECLARATIONS,$AA730,3))&gt;0,INDEX(DECLARATIONS,$AA730,3),"...")</f>
        <v>...</v>
      </c>
      <c r="D730" s="209" t="str">
        <f t="shared" si="1"/>
        <v/>
      </c>
      <c r="E730" s="296" t="str">
        <f t="array" ref="E730">IF(ISNA($AA730),0,INDEX(DECLARATIONS,$AA730,5))</f>
        <v/>
      </c>
      <c r="F730" s="209" t="str">
        <f t="array" ref="F730">IF(ISNA($AA730),0,INDEX(DECLARATIONS,$AA730,7))</f>
        <v/>
      </c>
      <c r="G730" s="209" t="str">
        <f t="array" ref="G730">UPPER(IF(ISNA($AA730),"",INDEX(DECLARATIONS,$AA730,4)))</f>
        <v/>
      </c>
      <c r="H730" t="str">
        <f>IF(AND(A730&gt;0,ISTEXT(B730)),IF(SECNAME="YES",LEFT(B730&amp;" ",FIND(" ",B730&amp;" ")+2)&amp;IF(F730&gt;0," ("&amp;F730&amp;")",""),B730&amp;IF(F730&gt;0," ("&amp;F730&amp;")","")),"#"&amp;$A730)</f>
        <v/>
      </c>
      <c r="I730" s="209">
        <f>IF(LEN($A730)&gt;0,IF(LEN($J730)&gt;0,MATCH(J730,MatchNames,0),EventIndex),0)</f>
        <v>0</v>
      </c>
      <c r="J730" s="209" t="str">
        <f>IF(LEN($A730)&gt;0,IF(LEN(Declarations!$F730)&gt;0,Declarations!$F730,conftype),"")</f>
        <v/>
      </c>
      <c r="M730" s="297">
        <f>IF(ISNA(VLOOKUP($A730,SprintData,2,FALSE)),0,VLOOKUP($A730,SprintData,2,FALSE))</f>
        <v>0</v>
      </c>
      <c r="N730" s="297">
        <f>IF(ISNA(VLOOKUP($A730,JumpData,2,FALSE)),0,VLOOKUP($A730,JumpData,2,FALSE))</f>
        <v>0</v>
      </c>
      <c r="O730" s="297">
        <f>IF(ISNA(VLOOKUP($A730,RunData,2,FALSE)),0,VLOOKUP($A730,RunData,2,FALSE))</f>
        <v>0</v>
      </c>
      <c r="P730" s="297">
        <f>IF(ISNA(VLOOKUP($A730,ThrowData,2,FALSE)),0,VLOOKUP($A730,ThrowData,2,FALSE))</f>
        <v>0</v>
      </c>
      <c r="Q730" s="298">
        <f>IF(ISNA(VLOOKUP($A730,SprintData,4,FALSE)),0,VLOOKUP($A730,SprintData,4,FALSE))+V730</f>
        <v>0</v>
      </c>
      <c r="R730" s="298">
        <f>IF(ISNA(VLOOKUP($A730,JumpData,4,FALSE)),0,VLOOKUP($A730,JumpData,4,FALSE))+W730</f>
        <v>0</v>
      </c>
      <c r="S730" s="298">
        <f>IF(ISNA(VLOOKUP($A730,RunData,4,FALSE)),0,VLOOKUP($A730,RunData,4,FALSE))+X730</f>
        <v>0</v>
      </c>
      <c r="T730" s="298">
        <f>IF(ISNA(VLOOKUP($A730,ThrowData,4,FALSE)),0,VLOOKUP($A730,ThrowData,4,FALSE))+Y730</f>
        <v>0</v>
      </c>
      <c r="U730" s="299">
        <f t="shared" si="2"/>
        <v>0</v>
      </c>
      <c r="V730">
        <f>IF(AND($F730&gt;0,NOT(M730),Flexing),FlexPC,0)</f>
        <v>0</v>
      </c>
      <c r="W730">
        <f>IF(AND($F730&gt;0,NOT(N730),Flexing),FlexPC,0)</f>
        <v>0</v>
      </c>
      <c r="X730">
        <f>IF(AND($F730&gt;0,NOT(O730),Flexing),FlexPC,0)</f>
        <v>0</v>
      </c>
      <c r="Y730">
        <f>IF(AND($F730&gt;0,NOT(P730),Flexing),FlexPC,0)</f>
        <v>0</v>
      </c>
      <c r="AA730" s="209">
        <f t="shared" si="3"/>
        <v>729</v>
      </c>
    </row>
    <row r="731" ht="15.75" customHeight="1">
      <c r="A731" s="206" t="str">
        <f>+Declarations!A731&amp;""</f>
        <v/>
      </c>
      <c r="B731" t="str">
        <f>IF(LEN($A731),IF(LEN(Declarations!$B731)&gt;0,Declarations!$B731,"#"&amp;$A731),"")</f>
        <v/>
      </c>
      <c r="C731" s="209" t="str">
        <f t="array" ref="C731">IF(LEN(INDEX(DECLARATIONS,$AA731,3))&gt;0,INDEX(DECLARATIONS,$AA731,3),"...")</f>
        <v>...</v>
      </c>
      <c r="D731" s="209" t="str">
        <f t="shared" si="1"/>
        <v/>
      </c>
      <c r="E731" s="296" t="str">
        <f t="array" ref="E731">IF(ISNA($AA731),0,INDEX(DECLARATIONS,$AA731,5))</f>
        <v/>
      </c>
      <c r="F731" s="209" t="str">
        <f t="array" ref="F731">IF(ISNA($AA731),0,INDEX(DECLARATIONS,$AA731,7))</f>
        <v/>
      </c>
      <c r="G731" s="209" t="str">
        <f t="array" ref="G731">UPPER(IF(ISNA($AA731),"",INDEX(DECLARATIONS,$AA731,4)))</f>
        <v/>
      </c>
      <c r="H731" t="str">
        <f>IF(AND(A731&gt;0,ISTEXT(B731)),IF(SECNAME="YES",LEFT(B731&amp;" ",FIND(" ",B731&amp;" ")+2)&amp;IF(F731&gt;0," ("&amp;F731&amp;")",""),B731&amp;IF(F731&gt;0," ("&amp;F731&amp;")","")),"#"&amp;$A731)</f>
        <v/>
      </c>
      <c r="I731" s="209">
        <f>IF(LEN($A731)&gt;0,IF(LEN($J731)&gt;0,MATCH(J731,MatchNames,0),EventIndex),0)</f>
        <v>0</v>
      </c>
      <c r="J731" s="209" t="str">
        <f>IF(LEN($A731)&gt;0,IF(LEN(Declarations!$F731)&gt;0,Declarations!$F731,conftype),"")</f>
        <v/>
      </c>
      <c r="M731" s="297">
        <f>IF(ISNA(VLOOKUP($A731,SprintData,2,FALSE)),0,VLOOKUP($A731,SprintData,2,FALSE))</f>
        <v>0</v>
      </c>
      <c r="N731" s="297">
        <f>IF(ISNA(VLOOKUP($A731,JumpData,2,FALSE)),0,VLOOKUP($A731,JumpData,2,FALSE))</f>
        <v>0</v>
      </c>
      <c r="O731" s="297">
        <f>IF(ISNA(VLOOKUP($A731,RunData,2,FALSE)),0,VLOOKUP($A731,RunData,2,FALSE))</f>
        <v>0</v>
      </c>
      <c r="P731" s="297">
        <f>IF(ISNA(VLOOKUP($A731,ThrowData,2,FALSE)),0,VLOOKUP($A731,ThrowData,2,FALSE))</f>
        <v>0</v>
      </c>
      <c r="Q731" s="298">
        <f>IF(ISNA(VLOOKUP($A731,SprintData,4,FALSE)),0,VLOOKUP($A731,SprintData,4,FALSE))+V731</f>
        <v>0</v>
      </c>
      <c r="R731" s="298">
        <f>IF(ISNA(VLOOKUP($A731,JumpData,4,FALSE)),0,VLOOKUP($A731,JumpData,4,FALSE))+W731</f>
        <v>0</v>
      </c>
      <c r="S731" s="298">
        <f>IF(ISNA(VLOOKUP($A731,RunData,4,FALSE)),0,VLOOKUP($A731,RunData,4,FALSE))+X731</f>
        <v>0</v>
      </c>
      <c r="T731" s="298">
        <f>IF(ISNA(VLOOKUP($A731,ThrowData,4,FALSE)),0,VLOOKUP($A731,ThrowData,4,FALSE))+Y731</f>
        <v>0</v>
      </c>
      <c r="U731" s="299">
        <f t="shared" si="2"/>
        <v>0</v>
      </c>
      <c r="V731">
        <f>IF(AND($F731&gt;0,NOT(M731),Flexing),FlexPC,0)</f>
        <v>0</v>
      </c>
      <c r="W731">
        <f>IF(AND($F731&gt;0,NOT(N731),Flexing),FlexPC,0)</f>
        <v>0</v>
      </c>
      <c r="X731">
        <f>IF(AND($F731&gt;0,NOT(O731),Flexing),FlexPC,0)</f>
        <v>0</v>
      </c>
      <c r="Y731">
        <f>IF(AND($F731&gt;0,NOT(P731),Flexing),FlexPC,0)</f>
        <v>0</v>
      </c>
      <c r="AA731" s="209">
        <f t="shared" si="3"/>
        <v>730</v>
      </c>
    </row>
    <row r="732" ht="15.75" customHeight="1">
      <c r="A732" s="206" t="str">
        <f>+Declarations!A732&amp;""</f>
        <v/>
      </c>
      <c r="B732" t="str">
        <f>IF(LEN($A732),IF(LEN(Declarations!$B732)&gt;0,Declarations!$B732,"#"&amp;$A732),"")</f>
        <v/>
      </c>
      <c r="C732" s="209" t="str">
        <f t="array" ref="C732">IF(LEN(INDEX(DECLARATIONS,$AA732,3))&gt;0,INDEX(DECLARATIONS,$AA732,3),"...")</f>
        <v>...</v>
      </c>
      <c r="D732" s="209" t="str">
        <f t="shared" si="1"/>
        <v/>
      </c>
      <c r="E732" s="296" t="str">
        <f t="array" ref="E732">IF(ISNA($AA732),0,INDEX(DECLARATIONS,$AA732,5))</f>
        <v/>
      </c>
      <c r="F732" s="209" t="str">
        <f t="array" ref="F732">IF(ISNA($AA732),0,INDEX(DECLARATIONS,$AA732,7))</f>
        <v/>
      </c>
      <c r="G732" s="209" t="str">
        <f t="array" ref="G732">UPPER(IF(ISNA($AA732),"",INDEX(DECLARATIONS,$AA732,4)))</f>
        <v/>
      </c>
      <c r="H732" t="str">
        <f>IF(AND(A732&gt;0,ISTEXT(B732)),IF(SECNAME="YES",LEFT(B732&amp;" ",FIND(" ",B732&amp;" ")+2)&amp;IF(F732&gt;0," ("&amp;F732&amp;")",""),B732&amp;IF(F732&gt;0," ("&amp;F732&amp;")","")),"#"&amp;$A732)</f>
        <v/>
      </c>
      <c r="I732" s="209">
        <f>IF(LEN($A732)&gt;0,IF(LEN($J732)&gt;0,MATCH(J732,MatchNames,0),EventIndex),0)</f>
        <v>0</v>
      </c>
      <c r="J732" s="209" t="str">
        <f>IF(LEN($A732)&gt;0,IF(LEN(Declarations!$F732)&gt;0,Declarations!$F732,conftype),"")</f>
        <v/>
      </c>
      <c r="M732" s="297">
        <f>IF(ISNA(VLOOKUP($A732,SprintData,2,FALSE)),0,VLOOKUP($A732,SprintData,2,FALSE))</f>
        <v>0</v>
      </c>
      <c r="N732" s="297">
        <f>IF(ISNA(VLOOKUP($A732,JumpData,2,FALSE)),0,VLOOKUP($A732,JumpData,2,FALSE))</f>
        <v>0</v>
      </c>
      <c r="O732" s="297">
        <f>IF(ISNA(VLOOKUP($A732,RunData,2,FALSE)),0,VLOOKUP($A732,RunData,2,FALSE))</f>
        <v>0</v>
      </c>
      <c r="P732" s="297">
        <f>IF(ISNA(VLOOKUP($A732,ThrowData,2,FALSE)),0,VLOOKUP($A732,ThrowData,2,FALSE))</f>
        <v>0</v>
      </c>
      <c r="Q732" s="298">
        <f>IF(ISNA(VLOOKUP($A732,SprintData,4,FALSE)),0,VLOOKUP($A732,SprintData,4,FALSE))+V732</f>
        <v>0</v>
      </c>
      <c r="R732" s="298">
        <f>IF(ISNA(VLOOKUP($A732,JumpData,4,FALSE)),0,VLOOKUP($A732,JumpData,4,FALSE))+W732</f>
        <v>0</v>
      </c>
      <c r="S732" s="298">
        <f>IF(ISNA(VLOOKUP($A732,RunData,4,FALSE)),0,VLOOKUP($A732,RunData,4,FALSE))+X732</f>
        <v>0</v>
      </c>
      <c r="T732" s="298">
        <f>IF(ISNA(VLOOKUP($A732,ThrowData,4,FALSE)),0,VLOOKUP($A732,ThrowData,4,FALSE))+Y732</f>
        <v>0</v>
      </c>
      <c r="U732" s="299">
        <f t="shared" si="2"/>
        <v>0</v>
      </c>
      <c r="V732">
        <f>IF(AND($F732&gt;0,NOT(M732),Flexing),FlexPC,0)</f>
        <v>0</v>
      </c>
      <c r="W732">
        <f>IF(AND($F732&gt;0,NOT(N732),Flexing),FlexPC,0)</f>
        <v>0</v>
      </c>
      <c r="X732">
        <f>IF(AND($F732&gt;0,NOT(O732),Flexing),FlexPC,0)</f>
        <v>0</v>
      </c>
      <c r="Y732">
        <f>IF(AND($F732&gt;0,NOT(P732),Flexing),FlexPC,0)</f>
        <v>0</v>
      </c>
      <c r="AA732" s="209">
        <f t="shared" si="3"/>
        <v>731</v>
      </c>
    </row>
    <row r="733" ht="15.75" customHeight="1">
      <c r="A733" s="206" t="str">
        <f>+Declarations!A733&amp;""</f>
        <v/>
      </c>
      <c r="B733" t="str">
        <f>IF(LEN($A733),IF(LEN(Declarations!$B733)&gt;0,Declarations!$B733,"#"&amp;$A733),"")</f>
        <v/>
      </c>
      <c r="C733" s="209" t="str">
        <f t="array" ref="C733">IF(LEN(INDEX(DECLARATIONS,$AA733,3))&gt;0,INDEX(DECLARATIONS,$AA733,3),"...")</f>
        <v>...</v>
      </c>
      <c r="D733" s="209" t="str">
        <f t="shared" si="1"/>
        <v/>
      </c>
      <c r="E733" s="296" t="str">
        <f t="array" ref="E733">IF(ISNA($AA733),0,INDEX(DECLARATIONS,$AA733,5))</f>
        <v/>
      </c>
      <c r="F733" s="209" t="str">
        <f t="array" ref="F733">IF(ISNA($AA733),0,INDEX(DECLARATIONS,$AA733,7))</f>
        <v/>
      </c>
      <c r="G733" s="209" t="str">
        <f t="array" ref="G733">UPPER(IF(ISNA($AA733),"",INDEX(DECLARATIONS,$AA733,4)))</f>
        <v/>
      </c>
      <c r="H733" t="str">
        <f>IF(AND(A733&gt;0,ISTEXT(B733)),IF(SECNAME="YES",LEFT(B733&amp;" ",FIND(" ",B733&amp;" ")+2)&amp;IF(F733&gt;0," ("&amp;F733&amp;")",""),B733&amp;IF(F733&gt;0," ("&amp;F733&amp;")","")),"#"&amp;$A733)</f>
        <v/>
      </c>
      <c r="I733" s="209">
        <f>IF(LEN($A733)&gt;0,IF(LEN($J733)&gt;0,MATCH(J733,MatchNames,0),EventIndex),0)</f>
        <v>0</v>
      </c>
      <c r="J733" s="209" t="str">
        <f>IF(LEN($A733)&gt;0,IF(LEN(Declarations!$F733)&gt;0,Declarations!$F733,conftype),"")</f>
        <v/>
      </c>
      <c r="M733" s="297">
        <f>IF(ISNA(VLOOKUP($A733,SprintData,2,FALSE)),0,VLOOKUP($A733,SprintData,2,FALSE))</f>
        <v>0</v>
      </c>
      <c r="N733" s="297">
        <f>IF(ISNA(VLOOKUP($A733,JumpData,2,FALSE)),0,VLOOKUP($A733,JumpData,2,FALSE))</f>
        <v>0</v>
      </c>
      <c r="O733" s="297">
        <f>IF(ISNA(VLOOKUP($A733,RunData,2,FALSE)),0,VLOOKUP($A733,RunData,2,FALSE))</f>
        <v>0</v>
      </c>
      <c r="P733" s="297">
        <f>IF(ISNA(VLOOKUP($A733,ThrowData,2,FALSE)),0,VLOOKUP($A733,ThrowData,2,FALSE))</f>
        <v>0</v>
      </c>
      <c r="Q733" s="298">
        <f>IF(ISNA(VLOOKUP($A733,SprintData,4,FALSE)),0,VLOOKUP($A733,SprintData,4,FALSE))+V733</f>
        <v>0</v>
      </c>
      <c r="R733" s="298">
        <f>IF(ISNA(VLOOKUP($A733,JumpData,4,FALSE)),0,VLOOKUP($A733,JumpData,4,FALSE))+W733</f>
        <v>0</v>
      </c>
      <c r="S733" s="298">
        <f>IF(ISNA(VLOOKUP($A733,RunData,4,FALSE)),0,VLOOKUP($A733,RunData,4,FALSE))+X733</f>
        <v>0</v>
      </c>
      <c r="T733" s="298">
        <f>IF(ISNA(VLOOKUP($A733,ThrowData,4,FALSE)),0,VLOOKUP($A733,ThrowData,4,FALSE))+Y733</f>
        <v>0</v>
      </c>
      <c r="U733" s="299">
        <f t="shared" si="2"/>
        <v>0</v>
      </c>
      <c r="V733">
        <f>IF(AND($F733&gt;0,NOT(M733),Flexing),FlexPC,0)</f>
        <v>0</v>
      </c>
      <c r="W733">
        <f>IF(AND($F733&gt;0,NOT(N733),Flexing),FlexPC,0)</f>
        <v>0</v>
      </c>
      <c r="X733">
        <f>IF(AND($F733&gt;0,NOT(O733),Flexing),FlexPC,0)</f>
        <v>0</v>
      </c>
      <c r="Y733">
        <f>IF(AND($F733&gt;0,NOT(P733),Flexing),FlexPC,0)</f>
        <v>0</v>
      </c>
      <c r="AA733" s="209">
        <f t="shared" si="3"/>
        <v>732</v>
      </c>
    </row>
    <row r="734" ht="15.75" customHeight="1">
      <c r="A734" s="206" t="str">
        <f>+Declarations!A734&amp;""</f>
        <v/>
      </c>
      <c r="B734" t="str">
        <f>IF(LEN($A734),IF(LEN(Declarations!$B734)&gt;0,Declarations!$B734,"#"&amp;$A734),"")</f>
        <v/>
      </c>
      <c r="C734" s="209" t="str">
        <f t="array" ref="C734">IF(LEN(INDEX(DECLARATIONS,$AA734,3))&gt;0,INDEX(DECLARATIONS,$AA734,3),"...")</f>
        <v>...</v>
      </c>
      <c r="D734" s="209" t="str">
        <f t="shared" si="1"/>
        <v/>
      </c>
      <c r="E734" s="296" t="str">
        <f t="array" ref="E734">IF(ISNA($AA734),0,INDEX(DECLARATIONS,$AA734,5))</f>
        <v/>
      </c>
      <c r="F734" s="209" t="str">
        <f t="array" ref="F734">IF(ISNA($AA734),0,INDEX(DECLARATIONS,$AA734,7))</f>
        <v/>
      </c>
      <c r="G734" s="209" t="str">
        <f t="array" ref="G734">UPPER(IF(ISNA($AA734),"",INDEX(DECLARATIONS,$AA734,4)))</f>
        <v/>
      </c>
      <c r="H734" t="str">
        <f>IF(AND(A734&gt;0,ISTEXT(B734)),IF(SECNAME="YES",LEFT(B734&amp;" ",FIND(" ",B734&amp;" ")+2)&amp;IF(F734&gt;0," ("&amp;F734&amp;")",""),B734&amp;IF(F734&gt;0," ("&amp;F734&amp;")","")),"#"&amp;$A734)</f>
        <v/>
      </c>
      <c r="I734" s="209">
        <f>IF(LEN($A734)&gt;0,IF(LEN($J734)&gt;0,MATCH(J734,MatchNames,0),EventIndex),0)</f>
        <v>0</v>
      </c>
      <c r="J734" s="209" t="str">
        <f>IF(LEN($A734)&gt;0,IF(LEN(Declarations!$F734)&gt;0,Declarations!$F734,conftype),"")</f>
        <v/>
      </c>
      <c r="M734" s="297">
        <f>IF(ISNA(VLOOKUP($A734,SprintData,2,FALSE)),0,VLOOKUP($A734,SprintData,2,FALSE))</f>
        <v>0</v>
      </c>
      <c r="N734" s="297">
        <f>IF(ISNA(VLOOKUP($A734,JumpData,2,FALSE)),0,VLOOKUP($A734,JumpData,2,FALSE))</f>
        <v>0</v>
      </c>
      <c r="O734" s="297">
        <f>IF(ISNA(VLOOKUP($A734,RunData,2,FALSE)),0,VLOOKUP($A734,RunData,2,FALSE))</f>
        <v>0</v>
      </c>
      <c r="P734" s="297">
        <f>IF(ISNA(VLOOKUP($A734,ThrowData,2,FALSE)),0,VLOOKUP($A734,ThrowData,2,FALSE))</f>
        <v>0</v>
      </c>
      <c r="Q734" s="298">
        <f>IF(ISNA(VLOOKUP($A734,SprintData,4,FALSE)),0,VLOOKUP($A734,SprintData,4,FALSE))+V734</f>
        <v>0</v>
      </c>
      <c r="R734" s="298">
        <f>IF(ISNA(VLOOKUP($A734,JumpData,4,FALSE)),0,VLOOKUP($A734,JumpData,4,FALSE))+W734</f>
        <v>0</v>
      </c>
      <c r="S734" s="298">
        <f>IF(ISNA(VLOOKUP($A734,RunData,4,FALSE)),0,VLOOKUP($A734,RunData,4,FALSE))+X734</f>
        <v>0</v>
      </c>
      <c r="T734" s="298">
        <f>IF(ISNA(VLOOKUP($A734,ThrowData,4,FALSE)),0,VLOOKUP($A734,ThrowData,4,FALSE))+Y734</f>
        <v>0</v>
      </c>
      <c r="U734" s="299">
        <f t="shared" si="2"/>
        <v>0</v>
      </c>
      <c r="V734">
        <f>IF(AND($F734&gt;0,NOT(M734),Flexing),FlexPC,0)</f>
        <v>0</v>
      </c>
      <c r="W734">
        <f>IF(AND($F734&gt;0,NOT(N734),Flexing),FlexPC,0)</f>
        <v>0</v>
      </c>
      <c r="X734">
        <f>IF(AND($F734&gt;0,NOT(O734),Flexing),FlexPC,0)</f>
        <v>0</v>
      </c>
      <c r="Y734">
        <f>IF(AND($F734&gt;0,NOT(P734),Flexing),FlexPC,0)</f>
        <v>0</v>
      </c>
      <c r="AA734" s="209">
        <f t="shared" si="3"/>
        <v>733</v>
      </c>
    </row>
    <row r="735" ht="15.75" customHeight="1">
      <c r="A735" s="206" t="str">
        <f>+Declarations!A735&amp;""</f>
        <v/>
      </c>
      <c r="B735" t="str">
        <f>IF(LEN($A735),IF(LEN(Declarations!$B735)&gt;0,Declarations!$B735,"#"&amp;$A735),"")</f>
        <v/>
      </c>
      <c r="C735" s="209" t="str">
        <f t="array" ref="C735">IF(LEN(INDEX(DECLARATIONS,$AA735,3))&gt;0,INDEX(DECLARATIONS,$AA735,3),"...")</f>
        <v>...</v>
      </c>
      <c r="D735" s="209" t="str">
        <f t="shared" si="1"/>
        <v/>
      </c>
      <c r="E735" s="296" t="str">
        <f t="array" ref="E735">IF(ISNA($AA735),0,INDEX(DECLARATIONS,$AA735,5))</f>
        <v/>
      </c>
      <c r="F735" s="209" t="str">
        <f t="array" ref="F735">IF(ISNA($AA735),0,INDEX(DECLARATIONS,$AA735,7))</f>
        <v/>
      </c>
      <c r="G735" s="209" t="str">
        <f t="array" ref="G735">UPPER(IF(ISNA($AA735),"",INDEX(DECLARATIONS,$AA735,4)))</f>
        <v/>
      </c>
      <c r="H735" t="str">
        <f>IF(AND(A735&gt;0,ISTEXT(B735)),IF(SECNAME="YES",LEFT(B735&amp;" ",FIND(" ",B735&amp;" ")+2)&amp;IF(F735&gt;0," ("&amp;F735&amp;")",""),B735&amp;IF(F735&gt;0," ("&amp;F735&amp;")","")),"#"&amp;$A735)</f>
        <v/>
      </c>
      <c r="I735" s="209">
        <f>IF(LEN($A735)&gt;0,IF(LEN($J735)&gt;0,MATCH(J735,MatchNames,0),EventIndex),0)</f>
        <v>0</v>
      </c>
      <c r="J735" s="209" t="str">
        <f>IF(LEN($A735)&gt;0,IF(LEN(Declarations!$F735)&gt;0,Declarations!$F735,conftype),"")</f>
        <v/>
      </c>
      <c r="M735" s="297">
        <f>IF(ISNA(VLOOKUP($A735,SprintData,2,FALSE)),0,VLOOKUP($A735,SprintData,2,FALSE))</f>
        <v>0</v>
      </c>
      <c r="N735" s="297">
        <f>IF(ISNA(VLOOKUP($A735,JumpData,2,FALSE)),0,VLOOKUP($A735,JumpData,2,FALSE))</f>
        <v>0</v>
      </c>
      <c r="O735" s="297">
        <f>IF(ISNA(VLOOKUP($A735,RunData,2,FALSE)),0,VLOOKUP($A735,RunData,2,FALSE))</f>
        <v>0</v>
      </c>
      <c r="P735" s="297">
        <f>IF(ISNA(VLOOKUP($A735,ThrowData,2,FALSE)),0,VLOOKUP($A735,ThrowData,2,FALSE))</f>
        <v>0</v>
      </c>
      <c r="Q735" s="298">
        <f>IF(ISNA(VLOOKUP($A735,SprintData,4,FALSE)),0,VLOOKUP($A735,SprintData,4,FALSE))+V735</f>
        <v>0</v>
      </c>
      <c r="R735" s="298">
        <f>IF(ISNA(VLOOKUP($A735,JumpData,4,FALSE)),0,VLOOKUP($A735,JumpData,4,FALSE))+W735</f>
        <v>0</v>
      </c>
      <c r="S735" s="298">
        <f>IF(ISNA(VLOOKUP($A735,RunData,4,FALSE)),0,VLOOKUP($A735,RunData,4,FALSE))+X735</f>
        <v>0</v>
      </c>
      <c r="T735" s="298">
        <f>IF(ISNA(VLOOKUP($A735,ThrowData,4,FALSE)),0,VLOOKUP($A735,ThrowData,4,FALSE))+Y735</f>
        <v>0</v>
      </c>
      <c r="U735" s="299">
        <f t="shared" si="2"/>
        <v>0</v>
      </c>
      <c r="V735">
        <f>IF(AND($F735&gt;0,NOT(M735),Flexing),FlexPC,0)</f>
        <v>0</v>
      </c>
      <c r="W735">
        <f>IF(AND($F735&gt;0,NOT(N735),Flexing),FlexPC,0)</f>
        <v>0</v>
      </c>
      <c r="X735">
        <f>IF(AND($F735&gt;0,NOT(O735),Flexing),FlexPC,0)</f>
        <v>0</v>
      </c>
      <c r="Y735">
        <f>IF(AND($F735&gt;0,NOT(P735),Flexing),FlexPC,0)</f>
        <v>0</v>
      </c>
      <c r="AA735" s="209">
        <f t="shared" si="3"/>
        <v>734</v>
      </c>
    </row>
    <row r="736" ht="15.75" customHeight="1">
      <c r="A736" s="206" t="str">
        <f>+Declarations!A736&amp;""</f>
        <v/>
      </c>
      <c r="B736" t="str">
        <f>IF(LEN($A736),IF(LEN(Declarations!$B736)&gt;0,Declarations!$B736,"#"&amp;$A736),"")</f>
        <v/>
      </c>
      <c r="C736" s="209" t="str">
        <f t="array" ref="C736">IF(LEN(INDEX(DECLARATIONS,$AA736,3))&gt;0,INDEX(DECLARATIONS,$AA736,3),"...")</f>
        <v>...</v>
      </c>
      <c r="D736" s="209" t="str">
        <f t="shared" si="1"/>
        <v/>
      </c>
      <c r="E736" s="296" t="str">
        <f t="array" ref="E736">IF(ISNA($AA736),0,INDEX(DECLARATIONS,$AA736,5))</f>
        <v/>
      </c>
      <c r="F736" s="209" t="str">
        <f t="array" ref="F736">IF(ISNA($AA736),0,INDEX(DECLARATIONS,$AA736,7))</f>
        <v/>
      </c>
      <c r="G736" s="209" t="str">
        <f t="array" ref="G736">UPPER(IF(ISNA($AA736),"",INDEX(DECLARATIONS,$AA736,4)))</f>
        <v/>
      </c>
      <c r="H736" t="str">
        <f>IF(AND(A736&gt;0,ISTEXT(B736)),IF(SECNAME="YES",LEFT(B736&amp;" ",FIND(" ",B736&amp;" ")+2)&amp;IF(F736&gt;0," ("&amp;F736&amp;")",""),B736&amp;IF(F736&gt;0," ("&amp;F736&amp;")","")),"#"&amp;$A736)</f>
        <v/>
      </c>
      <c r="I736" s="209">
        <f>IF(LEN($A736)&gt;0,IF(LEN($J736)&gt;0,MATCH(J736,MatchNames,0),EventIndex),0)</f>
        <v>0</v>
      </c>
      <c r="J736" s="209" t="str">
        <f>IF(LEN($A736)&gt;0,IF(LEN(Declarations!$F736)&gt;0,Declarations!$F736,conftype),"")</f>
        <v/>
      </c>
      <c r="M736" s="297">
        <f>IF(ISNA(VLOOKUP($A736,SprintData,2,FALSE)),0,VLOOKUP($A736,SprintData,2,FALSE))</f>
        <v>0</v>
      </c>
      <c r="N736" s="297">
        <f>IF(ISNA(VLOOKUP($A736,JumpData,2,FALSE)),0,VLOOKUP($A736,JumpData,2,FALSE))</f>
        <v>0</v>
      </c>
      <c r="O736" s="297">
        <f>IF(ISNA(VLOOKUP($A736,RunData,2,FALSE)),0,VLOOKUP($A736,RunData,2,FALSE))</f>
        <v>0</v>
      </c>
      <c r="P736" s="297">
        <f>IF(ISNA(VLOOKUP($A736,ThrowData,2,FALSE)),0,VLOOKUP($A736,ThrowData,2,FALSE))</f>
        <v>0</v>
      </c>
      <c r="Q736" s="298">
        <f>IF(ISNA(VLOOKUP($A736,SprintData,4,FALSE)),0,VLOOKUP($A736,SprintData,4,FALSE))+V736</f>
        <v>0</v>
      </c>
      <c r="R736" s="298">
        <f>IF(ISNA(VLOOKUP($A736,JumpData,4,FALSE)),0,VLOOKUP($A736,JumpData,4,FALSE))+W736</f>
        <v>0</v>
      </c>
      <c r="S736" s="298">
        <f>IF(ISNA(VLOOKUP($A736,RunData,4,FALSE)),0,VLOOKUP($A736,RunData,4,FALSE))+X736</f>
        <v>0</v>
      </c>
      <c r="T736" s="298">
        <f>IF(ISNA(VLOOKUP($A736,ThrowData,4,FALSE)),0,VLOOKUP($A736,ThrowData,4,FALSE))+Y736</f>
        <v>0</v>
      </c>
      <c r="U736" s="299">
        <f t="shared" si="2"/>
        <v>0</v>
      </c>
      <c r="V736">
        <f>IF(AND($F736&gt;0,NOT(M736),Flexing),FlexPC,0)</f>
        <v>0</v>
      </c>
      <c r="W736">
        <f>IF(AND($F736&gt;0,NOT(N736),Flexing),FlexPC,0)</f>
        <v>0</v>
      </c>
      <c r="X736">
        <f>IF(AND($F736&gt;0,NOT(O736),Flexing),FlexPC,0)</f>
        <v>0</v>
      </c>
      <c r="Y736">
        <f>IF(AND($F736&gt;0,NOT(P736),Flexing),FlexPC,0)</f>
        <v>0</v>
      </c>
      <c r="AA736" s="209">
        <f t="shared" si="3"/>
        <v>735</v>
      </c>
    </row>
    <row r="737" ht="15.75" customHeight="1">
      <c r="A737" s="206" t="str">
        <f>+Declarations!A737&amp;""</f>
        <v/>
      </c>
      <c r="B737" t="str">
        <f>IF(LEN($A737),IF(LEN(Declarations!$B737)&gt;0,Declarations!$B737,"#"&amp;$A737),"")</f>
        <v/>
      </c>
      <c r="C737" s="209" t="str">
        <f t="array" ref="C737">IF(LEN(INDEX(DECLARATIONS,$AA737,3))&gt;0,INDEX(DECLARATIONS,$AA737,3),"...")</f>
        <v>...</v>
      </c>
      <c r="D737" s="209" t="str">
        <f t="shared" si="1"/>
        <v/>
      </c>
      <c r="E737" s="296" t="str">
        <f t="array" ref="E737">IF(ISNA($AA737),0,INDEX(DECLARATIONS,$AA737,5))</f>
        <v/>
      </c>
      <c r="F737" s="209" t="str">
        <f t="array" ref="F737">IF(ISNA($AA737),0,INDEX(DECLARATIONS,$AA737,7))</f>
        <v/>
      </c>
      <c r="G737" s="209" t="str">
        <f t="array" ref="G737">UPPER(IF(ISNA($AA737),"",INDEX(DECLARATIONS,$AA737,4)))</f>
        <v/>
      </c>
      <c r="H737" t="str">
        <f>IF(AND(A737&gt;0,ISTEXT(B737)),IF(SECNAME="YES",LEFT(B737&amp;" ",FIND(" ",B737&amp;" ")+2)&amp;IF(F737&gt;0," ("&amp;F737&amp;")",""),B737&amp;IF(F737&gt;0," ("&amp;F737&amp;")","")),"#"&amp;$A737)</f>
        <v/>
      </c>
      <c r="I737" s="209">
        <f>IF(LEN($A737)&gt;0,IF(LEN($J737)&gt;0,MATCH(J737,MatchNames,0),EventIndex),0)</f>
        <v>0</v>
      </c>
      <c r="J737" s="209" t="str">
        <f>IF(LEN($A737)&gt;0,IF(LEN(Declarations!$F737)&gt;0,Declarations!$F737,conftype),"")</f>
        <v/>
      </c>
      <c r="M737" s="297">
        <f>IF(ISNA(VLOOKUP($A737,SprintData,2,FALSE)),0,VLOOKUP($A737,SprintData,2,FALSE))</f>
        <v>0</v>
      </c>
      <c r="N737" s="297">
        <f>IF(ISNA(VLOOKUP($A737,JumpData,2,FALSE)),0,VLOOKUP($A737,JumpData,2,FALSE))</f>
        <v>0</v>
      </c>
      <c r="O737" s="297">
        <f>IF(ISNA(VLOOKUP($A737,RunData,2,FALSE)),0,VLOOKUP($A737,RunData,2,FALSE))</f>
        <v>0</v>
      </c>
      <c r="P737" s="297">
        <f>IF(ISNA(VLOOKUP($A737,ThrowData,2,FALSE)),0,VLOOKUP($A737,ThrowData,2,FALSE))</f>
        <v>0</v>
      </c>
      <c r="Q737" s="298">
        <f>IF(ISNA(VLOOKUP($A737,SprintData,4,FALSE)),0,VLOOKUP($A737,SprintData,4,FALSE))+V737</f>
        <v>0</v>
      </c>
      <c r="R737" s="298">
        <f>IF(ISNA(VLOOKUP($A737,JumpData,4,FALSE)),0,VLOOKUP($A737,JumpData,4,FALSE))+W737</f>
        <v>0</v>
      </c>
      <c r="S737" s="298">
        <f>IF(ISNA(VLOOKUP($A737,RunData,4,FALSE)),0,VLOOKUP($A737,RunData,4,FALSE))+X737</f>
        <v>0</v>
      </c>
      <c r="T737" s="298">
        <f>IF(ISNA(VLOOKUP($A737,ThrowData,4,FALSE)),0,VLOOKUP($A737,ThrowData,4,FALSE))+Y737</f>
        <v>0</v>
      </c>
      <c r="U737" s="299">
        <f t="shared" si="2"/>
        <v>0</v>
      </c>
      <c r="V737">
        <f>IF(AND($F737&gt;0,NOT(M737),Flexing),FlexPC,0)</f>
        <v>0</v>
      </c>
      <c r="W737">
        <f>IF(AND($F737&gt;0,NOT(N737),Flexing),FlexPC,0)</f>
        <v>0</v>
      </c>
      <c r="X737">
        <f>IF(AND($F737&gt;0,NOT(O737),Flexing),FlexPC,0)</f>
        <v>0</v>
      </c>
      <c r="Y737">
        <f>IF(AND($F737&gt;0,NOT(P737),Flexing),FlexPC,0)</f>
        <v>0</v>
      </c>
      <c r="AA737" s="209">
        <f t="shared" si="3"/>
        <v>736</v>
      </c>
    </row>
    <row r="738" ht="15.75" customHeight="1">
      <c r="A738" s="206" t="str">
        <f>+Declarations!A738&amp;""</f>
        <v/>
      </c>
      <c r="B738" t="str">
        <f>IF(LEN($A738),IF(LEN(Declarations!$B738)&gt;0,Declarations!$B738,"#"&amp;$A738),"")</f>
        <v/>
      </c>
      <c r="C738" s="209" t="str">
        <f t="array" ref="C738">IF(LEN(INDEX(DECLARATIONS,$AA738,3))&gt;0,INDEX(DECLARATIONS,$AA738,3),"...")</f>
        <v>...</v>
      </c>
      <c r="D738" s="209" t="str">
        <f t="shared" si="1"/>
        <v/>
      </c>
      <c r="E738" s="296" t="str">
        <f t="array" ref="E738">IF(ISNA($AA738),0,INDEX(DECLARATIONS,$AA738,5))</f>
        <v/>
      </c>
      <c r="F738" s="209" t="str">
        <f t="array" ref="F738">IF(ISNA($AA738),0,INDEX(DECLARATIONS,$AA738,7))</f>
        <v/>
      </c>
      <c r="G738" s="209" t="str">
        <f t="array" ref="G738">UPPER(IF(ISNA($AA738),"",INDEX(DECLARATIONS,$AA738,4)))</f>
        <v/>
      </c>
      <c r="H738" t="str">
        <f>IF(AND(A738&gt;0,ISTEXT(B738)),IF(SECNAME="YES",LEFT(B738&amp;" ",FIND(" ",B738&amp;" ")+2)&amp;IF(F738&gt;0," ("&amp;F738&amp;")",""),B738&amp;IF(F738&gt;0," ("&amp;F738&amp;")","")),"#"&amp;$A738)</f>
        <v/>
      </c>
      <c r="I738" s="209">
        <f>IF(LEN($A738)&gt;0,IF(LEN($J738)&gt;0,MATCH(J738,MatchNames,0),EventIndex),0)</f>
        <v>0</v>
      </c>
      <c r="J738" s="209" t="str">
        <f>IF(LEN($A738)&gt;0,IF(LEN(Declarations!$F738)&gt;0,Declarations!$F738,conftype),"")</f>
        <v/>
      </c>
      <c r="M738" s="297">
        <f>IF(ISNA(VLOOKUP($A738,SprintData,2,FALSE)),0,VLOOKUP($A738,SprintData,2,FALSE))</f>
        <v>0</v>
      </c>
      <c r="N738" s="297">
        <f>IF(ISNA(VLOOKUP($A738,JumpData,2,FALSE)),0,VLOOKUP($A738,JumpData,2,FALSE))</f>
        <v>0</v>
      </c>
      <c r="O738" s="297">
        <f>IF(ISNA(VLOOKUP($A738,RunData,2,FALSE)),0,VLOOKUP($A738,RunData,2,FALSE))</f>
        <v>0</v>
      </c>
      <c r="P738" s="297">
        <f>IF(ISNA(VLOOKUP($A738,ThrowData,2,FALSE)),0,VLOOKUP($A738,ThrowData,2,FALSE))</f>
        <v>0</v>
      </c>
      <c r="Q738" s="298">
        <f>IF(ISNA(VLOOKUP($A738,SprintData,4,FALSE)),0,VLOOKUP($A738,SprintData,4,FALSE))+V738</f>
        <v>0</v>
      </c>
      <c r="R738" s="298">
        <f>IF(ISNA(VLOOKUP($A738,JumpData,4,FALSE)),0,VLOOKUP($A738,JumpData,4,FALSE))+W738</f>
        <v>0</v>
      </c>
      <c r="S738" s="298">
        <f>IF(ISNA(VLOOKUP($A738,RunData,4,FALSE)),0,VLOOKUP($A738,RunData,4,FALSE))+X738</f>
        <v>0</v>
      </c>
      <c r="T738" s="298">
        <f>IF(ISNA(VLOOKUP($A738,ThrowData,4,FALSE)),0,VLOOKUP($A738,ThrowData,4,FALSE))+Y738</f>
        <v>0</v>
      </c>
      <c r="U738" s="299">
        <f t="shared" si="2"/>
        <v>0</v>
      </c>
      <c r="V738">
        <f>IF(AND($F738&gt;0,NOT(M738),Flexing),FlexPC,0)</f>
        <v>0</v>
      </c>
      <c r="W738">
        <f>IF(AND($F738&gt;0,NOT(N738),Flexing),FlexPC,0)</f>
        <v>0</v>
      </c>
      <c r="X738">
        <f>IF(AND($F738&gt;0,NOT(O738),Flexing),FlexPC,0)</f>
        <v>0</v>
      </c>
      <c r="Y738">
        <f>IF(AND($F738&gt;0,NOT(P738),Flexing),FlexPC,0)</f>
        <v>0</v>
      </c>
      <c r="AA738" s="209">
        <f t="shared" si="3"/>
        <v>737</v>
      </c>
    </row>
    <row r="739" ht="15.75" customHeight="1">
      <c r="A739" s="206" t="str">
        <f>+Declarations!A739&amp;""</f>
        <v/>
      </c>
      <c r="B739" t="str">
        <f>IF(LEN($A739),IF(LEN(Declarations!$B739)&gt;0,Declarations!$B739,"#"&amp;$A739),"")</f>
        <v/>
      </c>
      <c r="C739" s="209" t="str">
        <f t="array" ref="C739">IF(LEN(INDEX(DECLARATIONS,$AA739,3))&gt;0,INDEX(DECLARATIONS,$AA739,3),"...")</f>
        <v>...</v>
      </c>
      <c r="D739" s="209" t="str">
        <f t="shared" si="1"/>
        <v/>
      </c>
      <c r="E739" s="296" t="str">
        <f t="array" ref="E739">IF(ISNA($AA739),0,INDEX(DECLARATIONS,$AA739,5))</f>
        <v/>
      </c>
      <c r="F739" s="209" t="str">
        <f t="array" ref="F739">IF(ISNA($AA739),0,INDEX(DECLARATIONS,$AA739,7))</f>
        <v/>
      </c>
      <c r="G739" s="209" t="str">
        <f t="array" ref="G739">UPPER(IF(ISNA($AA739),"",INDEX(DECLARATIONS,$AA739,4)))</f>
        <v/>
      </c>
      <c r="H739" t="str">
        <f>IF(AND(A739&gt;0,ISTEXT(B739)),IF(SECNAME="YES",LEFT(B739&amp;" ",FIND(" ",B739&amp;" ")+2)&amp;IF(F739&gt;0," ("&amp;F739&amp;")",""),B739&amp;IF(F739&gt;0," ("&amp;F739&amp;")","")),"#"&amp;$A739)</f>
        <v/>
      </c>
      <c r="I739" s="209">
        <f>IF(LEN($A739)&gt;0,IF(LEN($J739)&gt;0,MATCH(J739,MatchNames,0),EventIndex),0)</f>
        <v>0</v>
      </c>
      <c r="J739" s="209" t="str">
        <f>IF(LEN($A739)&gt;0,IF(LEN(Declarations!$F739)&gt;0,Declarations!$F739,conftype),"")</f>
        <v/>
      </c>
      <c r="M739" s="297">
        <f>IF(ISNA(VLOOKUP($A739,SprintData,2,FALSE)),0,VLOOKUP($A739,SprintData,2,FALSE))</f>
        <v>0</v>
      </c>
      <c r="N739" s="297">
        <f>IF(ISNA(VLOOKUP($A739,JumpData,2,FALSE)),0,VLOOKUP($A739,JumpData,2,FALSE))</f>
        <v>0</v>
      </c>
      <c r="O739" s="297">
        <f>IF(ISNA(VLOOKUP($A739,RunData,2,FALSE)),0,VLOOKUP($A739,RunData,2,FALSE))</f>
        <v>0</v>
      </c>
      <c r="P739" s="297">
        <f>IF(ISNA(VLOOKUP($A739,ThrowData,2,FALSE)),0,VLOOKUP($A739,ThrowData,2,FALSE))</f>
        <v>0</v>
      </c>
      <c r="Q739" s="298">
        <f>IF(ISNA(VLOOKUP($A739,SprintData,4,FALSE)),0,VLOOKUP($A739,SprintData,4,FALSE))+V739</f>
        <v>0</v>
      </c>
      <c r="R739" s="298">
        <f>IF(ISNA(VLOOKUP($A739,JumpData,4,FALSE)),0,VLOOKUP($A739,JumpData,4,FALSE))+W739</f>
        <v>0</v>
      </c>
      <c r="S739" s="298">
        <f>IF(ISNA(VLOOKUP($A739,RunData,4,FALSE)),0,VLOOKUP($A739,RunData,4,FALSE))+X739</f>
        <v>0</v>
      </c>
      <c r="T739" s="298">
        <f>IF(ISNA(VLOOKUP($A739,ThrowData,4,FALSE)),0,VLOOKUP($A739,ThrowData,4,FALSE))+Y739</f>
        <v>0</v>
      </c>
      <c r="U739" s="299">
        <f t="shared" si="2"/>
        <v>0</v>
      </c>
      <c r="V739">
        <f>IF(AND($F739&gt;0,NOT(M739),Flexing),FlexPC,0)</f>
        <v>0</v>
      </c>
      <c r="W739">
        <f>IF(AND($F739&gt;0,NOT(N739),Flexing),FlexPC,0)</f>
        <v>0</v>
      </c>
      <c r="X739">
        <f>IF(AND($F739&gt;0,NOT(O739),Flexing),FlexPC,0)</f>
        <v>0</v>
      </c>
      <c r="Y739">
        <f>IF(AND($F739&gt;0,NOT(P739),Flexing),FlexPC,0)</f>
        <v>0</v>
      </c>
      <c r="AA739" s="209">
        <f t="shared" si="3"/>
        <v>738</v>
      </c>
    </row>
    <row r="740" ht="15.75" customHeight="1">
      <c r="A740" s="206" t="str">
        <f>+Declarations!A740&amp;""</f>
        <v/>
      </c>
      <c r="B740" t="str">
        <f>IF(LEN($A740),IF(LEN(Declarations!$B740)&gt;0,Declarations!$B740,"#"&amp;$A740),"")</f>
        <v/>
      </c>
      <c r="C740" s="209" t="str">
        <f t="array" ref="C740">IF(LEN(INDEX(DECLARATIONS,$AA740,3))&gt;0,INDEX(DECLARATIONS,$AA740,3),"...")</f>
        <v>...</v>
      </c>
      <c r="D740" s="209" t="str">
        <f t="shared" si="1"/>
        <v/>
      </c>
      <c r="E740" s="296" t="str">
        <f t="array" ref="E740">IF(ISNA($AA740),0,INDEX(DECLARATIONS,$AA740,5))</f>
        <v/>
      </c>
      <c r="F740" s="209" t="str">
        <f t="array" ref="F740">IF(ISNA($AA740),0,INDEX(DECLARATIONS,$AA740,7))</f>
        <v/>
      </c>
      <c r="G740" s="209" t="str">
        <f t="array" ref="G740">UPPER(IF(ISNA($AA740),"",INDEX(DECLARATIONS,$AA740,4)))</f>
        <v/>
      </c>
      <c r="H740" t="str">
        <f>IF(AND(A740&gt;0,ISTEXT(B740)),IF(SECNAME="YES",LEFT(B740&amp;" ",FIND(" ",B740&amp;" ")+2)&amp;IF(F740&gt;0," ("&amp;F740&amp;")",""),B740&amp;IF(F740&gt;0," ("&amp;F740&amp;")","")),"#"&amp;$A740)</f>
        <v/>
      </c>
      <c r="I740" s="209">
        <f>IF(LEN($A740)&gt;0,IF(LEN($J740)&gt;0,MATCH(J740,MatchNames,0),EventIndex),0)</f>
        <v>0</v>
      </c>
      <c r="J740" s="209" t="str">
        <f>IF(LEN($A740)&gt;0,IF(LEN(Declarations!$F740)&gt;0,Declarations!$F740,conftype),"")</f>
        <v/>
      </c>
      <c r="M740" s="297">
        <f>IF(ISNA(VLOOKUP($A740,SprintData,2,FALSE)),0,VLOOKUP($A740,SprintData,2,FALSE))</f>
        <v>0</v>
      </c>
      <c r="N740" s="297">
        <f>IF(ISNA(VLOOKUP($A740,JumpData,2,FALSE)),0,VLOOKUP($A740,JumpData,2,FALSE))</f>
        <v>0</v>
      </c>
      <c r="O740" s="297">
        <f>IF(ISNA(VLOOKUP($A740,RunData,2,FALSE)),0,VLOOKUP($A740,RunData,2,FALSE))</f>
        <v>0</v>
      </c>
      <c r="P740" s="297">
        <f>IF(ISNA(VLOOKUP($A740,ThrowData,2,FALSE)),0,VLOOKUP($A740,ThrowData,2,FALSE))</f>
        <v>0</v>
      </c>
      <c r="Q740" s="298">
        <f>IF(ISNA(VLOOKUP($A740,SprintData,4,FALSE)),0,VLOOKUP($A740,SprintData,4,FALSE))+V740</f>
        <v>0</v>
      </c>
      <c r="R740" s="298">
        <f>IF(ISNA(VLOOKUP($A740,JumpData,4,FALSE)),0,VLOOKUP($A740,JumpData,4,FALSE))+W740</f>
        <v>0</v>
      </c>
      <c r="S740" s="298">
        <f>IF(ISNA(VLOOKUP($A740,RunData,4,FALSE)),0,VLOOKUP($A740,RunData,4,FALSE))+X740</f>
        <v>0</v>
      </c>
      <c r="T740" s="298">
        <f>IF(ISNA(VLOOKUP($A740,ThrowData,4,FALSE)),0,VLOOKUP($A740,ThrowData,4,FALSE))+Y740</f>
        <v>0</v>
      </c>
      <c r="U740" s="299">
        <f t="shared" si="2"/>
        <v>0</v>
      </c>
      <c r="V740">
        <f>IF(AND($F740&gt;0,NOT(M740),Flexing),FlexPC,0)</f>
        <v>0</v>
      </c>
      <c r="W740">
        <f>IF(AND($F740&gt;0,NOT(N740),Flexing),FlexPC,0)</f>
        <v>0</v>
      </c>
      <c r="X740">
        <f>IF(AND($F740&gt;0,NOT(O740),Flexing),FlexPC,0)</f>
        <v>0</v>
      </c>
      <c r="Y740">
        <f>IF(AND($F740&gt;0,NOT(P740),Flexing),FlexPC,0)</f>
        <v>0</v>
      </c>
      <c r="AA740" s="209">
        <f t="shared" si="3"/>
        <v>739</v>
      </c>
    </row>
    <row r="741" ht="15.75" customHeight="1">
      <c r="A741" s="206" t="str">
        <f>+Declarations!A741&amp;""</f>
        <v/>
      </c>
      <c r="B741" t="str">
        <f>IF(LEN($A741),IF(LEN(Declarations!$B741)&gt;0,Declarations!$B741,"#"&amp;$A741),"")</f>
        <v/>
      </c>
      <c r="C741" s="209" t="str">
        <f t="array" ref="C741">IF(LEN(INDEX(DECLARATIONS,$AA741,3))&gt;0,INDEX(DECLARATIONS,$AA741,3),"...")</f>
        <v>...</v>
      </c>
      <c r="D741" s="209" t="str">
        <f t="shared" si="1"/>
        <v/>
      </c>
      <c r="E741" s="296" t="str">
        <f t="array" ref="E741">IF(ISNA($AA741),0,INDEX(DECLARATIONS,$AA741,5))</f>
        <v/>
      </c>
      <c r="F741" s="209" t="str">
        <f t="array" ref="F741">IF(ISNA($AA741),0,INDEX(DECLARATIONS,$AA741,7))</f>
        <v/>
      </c>
      <c r="G741" s="209" t="str">
        <f t="array" ref="G741">UPPER(IF(ISNA($AA741),"",INDEX(DECLARATIONS,$AA741,4)))</f>
        <v/>
      </c>
      <c r="H741" t="str">
        <f>IF(AND(A741&gt;0,ISTEXT(B741)),IF(SECNAME="YES",LEFT(B741&amp;" ",FIND(" ",B741&amp;" ")+2)&amp;IF(F741&gt;0," ("&amp;F741&amp;")",""),B741&amp;IF(F741&gt;0," ("&amp;F741&amp;")","")),"#"&amp;$A741)</f>
        <v/>
      </c>
      <c r="I741" s="209">
        <f>IF(LEN($A741)&gt;0,IF(LEN($J741)&gt;0,MATCH(J741,MatchNames,0),EventIndex),0)</f>
        <v>0</v>
      </c>
      <c r="J741" s="209" t="str">
        <f>IF(LEN($A741)&gt;0,IF(LEN(Declarations!$F741)&gt;0,Declarations!$F741,conftype),"")</f>
        <v/>
      </c>
      <c r="M741" s="297">
        <f>IF(ISNA(VLOOKUP($A741,SprintData,2,FALSE)),0,VLOOKUP($A741,SprintData,2,FALSE))</f>
        <v>0</v>
      </c>
      <c r="N741" s="297">
        <f>IF(ISNA(VLOOKUP($A741,JumpData,2,FALSE)),0,VLOOKUP($A741,JumpData,2,FALSE))</f>
        <v>0</v>
      </c>
      <c r="O741" s="297">
        <f>IF(ISNA(VLOOKUP($A741,RunData,2,FALSE)),0,VLOOKUP($A741,RunData,2,FALSE))</f>
        <v>0</v>
      </c>
      <c r="P741" s="297">
        <f>IF(ISNA(VLOOKUP($A741,ThrowData,2,FALSE)),0,VLOOKUP($A741,ThrowData,2,FALSE))</f>
        <v>0</v>
      </c>
      <c r="Q741" s="298">
        <f>IF(ISNA(VLOOKUP($A741,SprintData,4,FALSE)),0,VLOOKUP($A741,SprintData,4,FALSE))+V741</f>
        <v>0</v>
      </c>
      <c r="R741" s="298">
        <f>IF(ISNA(VLOOKUP($A741,JumpData,4,FALSE)),0,VLOOKUP($A741,JumpData,4,FALSE))+W741</f>
        <v>0</v>
      </c>
      <c r="S741" s="298">
        <f>IF(ISNA(VLOOKUP($A741,RunData,4,FALSE)),0,VLOOKUP($A741,RunData,4,FALSE))+X741</f>
        <v>0</v>
      </c>
      <c r="T741" s="298">
        <f>IF(ISNA(VLOOKUP($A741,ThrowData,4,FALSE)),0,VLOOKUP($A741,ThrowData,4,FALSE))+Y741</f>
        <v>0</v>
      </c>
      <c r="U741" s="299">
        <f t="shared" si="2"/>
        <v>0</v>
      </c>
      <c r="V741">
        <f>IF(AND($F741&gt;0,NOT(M741),Flexing),FlexPC,0)</f>
        <v>0</v>
      </c>
      <c r="W741">
        <f>IF(AND($F741&gt;0,NOT(N741),Flexing),FlexPC,0)</f>
        <v>0</v>
      </c>
      <c r="X741">
        <f>IF(AND($F741&gt;0,NOT(O741),Flexing),FlexPC,0)</f>
        <v>0</v>
      </c>
      <c r="Y741">
        <f>IF(AND($F741&gt;0,NOT(P741),Flexing),FlexPC,0)</f>
        <v>0</v>
      </c>
      <c r="AA741" s="209">
        <f t="shared" si="3"/>
        <v>740</v>
      </c>
    </row>
    <row r="742" ht="15.75" customHeight="1">
      <c r="A742" s="206" t="str">
        <f>+Declarations!A742&amp;""</f>
        <v/>
      </c>
      <c r="B742" t="str">
        <f>IF(LEN($A742),IF(LEN(Declarations!$B742)&gt;0,Declarations!$B742,"#"&amp;$A742),"")</f>
        <v/>
      </c>
      <c r="C742" s="209" t="str">
        <f t="array" ref="C742">IF(LEN(INDEX(DECLARATIONS,$AA742,3))&gt;0,INDEX(DECLARATIONS,$AA742,3),"...")</f>
        <v>...</v>
      </c>
      <c r="D742" s="209" t="str">
        <f t="shared" si="1"/>
        <v/>
      </c>
      <c r="E742" s="296" t="str">
        <f t="array" ref="E742">IF(ISNA($AA742),0,INDEX(DECLARATIONS,$AA742,5))</f>
        <v/>
      </c>
      <c r="F742" s="209" t="str">
        <f t="array" ref="F742">IF(ISNA($AA742),0,INDEX(DECLARATIONS,$AA742,7))</f>
        <v/>
      </c>
      <c r="G742" s="209" t="str">
        <f t="array" ref="G742">UPPER(IF(ISNA($AA742),"",INDEX(DECLARATIONS,$AA742,4)))</f>
        <v/>
      </c>
      <c r="H742" t="str">
        <f>IF(AND(A742&gt;0,ISTEXT(B742)),IF(SECNAME="YES",LEFT(B742&amp;" ",FIND(" ",B742&amp;" ")+2)&amp;IF(F742&gt;0," ("&amp;F742&amp;")",""),B742&amp;IF(F742&gt;0," ("&amp;F742&amp;")","")),"#"&amp;$A742)</f>
        <v/>
      </c>
      <c r="I742" s="209">
        <f>IF(LEN($A742)&gt;0,IF(LEN($J742)&gt;0,MATCH(J742,MatchNames,0),EventIndex),0)</f>
        <v>0</v>
      </c>
      <c r="J742" s="209" t="str">
        <f>IF(LEN($A742)&gt;0,IF(LEN(Declarations!$F742)&gt;0,Declarations!$F742,conftype),"")</f>
        <v/>
      </c>
      <c r="M742" s="297">
        <f>IF(ISNA(VLOOKUP($A742,SprintData,2,FALSE)),0,VLOOKUP($A742,SprintData,2,FALSE))</f>
        <v>0</v>
      </c>
      <c r="N742" s="297">
        <f>IF(ISNA(VLOOKUP($A742,JumpData,2,FALSE)),0,VLOOKUP($A742,JumpData,2,FALSE))</f>
        <v>0</v>
      </c>
      <c r="O742" s="297">
        <f>IF(ISNA(VLOOKUP($A742,RunData,2,FALSE)),0,VLOOKUP($A742,RunData,2,FALSE))</f>
        <v>0</v>
      </c>
      <c r="P742" s="297">
        <f>IF(ISNA(VLOOKUP($A742,ThrowData,2,FALSE)),0,VLOOKUP($A742,ThrowData,2,FALSE))</f>
        <v>0</v>
      </c>
      <c r="Q742" s="298">
        <f>IF(ISNA(VLOOKUP($A742,SprintData,4,FALSE)),0,VLOOKUP($A742,SprintData,4,FALSE))+V742</f>
        <v>0</v>
      </c>
      <c r="R742" s="298">
        <f>IF(ISNA(VLOOKUP($A742,JumpData,4,FALSE)),0,VLOOKUP($A742,JumpData,4,FALSE))+W742</f>
        <v>0</v>
      </c>
      <c r="S742" s="298">
        <f>IF(ISNA(VLOOKUP($A742,RunData,4,FALSE)),0,VLOOKUP($A742,RunData,4,FALSE))+X742</f>
        <v>0</v>
      </c>
      <c r="T742" s="298">
        <f>IF(ISNA(VLOOKUP($A742,ThrowData,4,FALSE)),0,VLOOKUP($A742,ThrowData,4,FALSE))+Y742</f>
        <v>0</v>
      </c>
      <c r="U742" s="299">
        <f t="shared" si="2"/>
        <v>0</v>
      </c>
      <c r="V742">
        <f>IF(AND($F742&gt;0,NOT(M742),Flexing),FlexPC,0)</f>
        <v>0</v>
      </c>
      <c r="W742">
        <f>IF(AND($F742&gt;0,NOT(N742),Flexing),FlexPC,0)</f>
        <v>0</v>
      </c>
      <c r="X742">
        <f>IF(AND($F742&gt;0,NOT(O742),Flexing),FlexPC,0)</f>
        <v>0</v>
      </c>
      <c r="Y742">
        <f>IF(AND($F742&gt;0,NOT(P742),Flexing),FlexPC,0)</f>
        <v>0</v>
      </c>
      <c r="AA742" s="209">
        <f t="shared" si="3"/>
        <v>741</v>
      </c>
    </row>
    <row r="743" ht="15.75" customHeight="1">
      <c r="A743" s="206" t="str">
        <f>+Declarations!A743&amp;""</f>
        <v/>
      </c>
      <c r="B743" t="str">
        <f>IF(LEN($A743),IF(LEN(Declarations!$B743)&gt;0,Declarations!$B743,"#"&amp;$A743),"")</f>
        <v/>
      </c>
      <c r="C743" s="209" t="str">
        <f t="array" ref="C743">IF(LEN(INDEX(DECLARATIONS,$AA743,3))&gt;0,INDEX(DECLARATIONS,$AA743,3),"...")</f>
        <v>...</v>
      </c>
      <c r="D743" s="209" t="str">
        <f t="shared" si="1"/>
        <v/>
      </c>
      <c r="E743" s="296" t="str">
        <f t="array" ref="E743">IF(ISNA($AA743),0,INDEX(DECLARATIONS,$AA743,5))</f>
        <v/>
      </c>
      <c r="F743" s="209" t="str">
        <f t="array" ref="F743">IF(ISNA($AA743),0,INDEX(DECLARATIONS,$AA743,7))</f>
        <v/>
      </c>
      <c r="G743" s="209" t="str">
        <f t="array" ref="G743">UPPER(IF(ISNA($AA743),"",INDEX(DECLARATIONS,$AA743,4)))</f>
        <v/>
      </c>
      <c r="H743" t="str">
        <f>IF(AND(A743&gt;0,ISTEXT(B743)),IF(SECNAME="YES",LEFT(B743&amp;" ",FIND(" ",B743&amp;" ")+2)&amp;IF(F743&gt;0," ("&amp;F743&amp;")",""),B743&amp;IF(F743&gt;0," ("&amp;F743&amp;")","")),"#"&amp;$A743)</f>
        <v/>
      </c>
      <c r="I743" s="209">
        <f>IF(LEN($A743)&gt;0,IF(LEN($J743)&gt;0,MATCH(J743,MatchNames,0),EventIndex),0)</f>
        <v>0</v>
      </c>
      <c r="J743" s="209" t="str">
        <f>IF(LEN($A743)&gt;0,IF(LEN(Declarations!$F743)&gt;0,Declarations!$F743,conftype),"")</f>
        <v/>
      </c>
      <c r="M743" s="297">
        <f>IF(ISNA(VLOOKUP($A743,SprintData,2,FALSE)),0,VLOOKUP($A743,SprintData,2,FALSE))</f>
        <v>0</v>
      </c>
      <c r="N743" s="297">
        <f>IF(ISNA(VLOOKUP($A743,JumpData,2,FALSE)),0,VLOOKUP($A743,JumpData,2,FALSE))</f>
        <v>0</v>
      </c>
      <c r="O743" s="297">
        <f>IF(ISNA(VLOOKUP($A743,RunData,2,FALSE)),0,VLOOKUP($A743,RunData,2,FALSE))</f>
        <v>0</v>
      </c>
      <c r="P743" s="297">
        <f>IF(ISNA(VLOOKUP($A743,ThrowData,2,FALSE)),0,VLOOKUP($A743,ThrowData,2,FALSE))</f>
        <v>0</v>
      </c>
      <c r="Q743" s="298">
        <f>IF(ISNA(VLOOKUP($A743,SprintData,4,FALSE)),0,VLOOKUP($A743,SprintData,4,FALSE))+V743</f>
        <v>0</v>
      </c>
      <c r="R743" s="298">
        <f>IF(ISNA(VLOOKUP($A743,JumpData,4,FALSE)),0,VLOOKUP($A743,JumpData,4,FALSE))+W743</f>
        <v>0</v>
      </c>
      <c r="S743" s="298">
        <f>IF(ISNA(VLOOKUP($A743,RunData,4,FALSE)),0,VLOOKUP($A743,RunData,4,FALSE))+X743</f>
        <v>0</v>
      </c>
      <c r="T743" s="298">
        <f>IF(ISNA(VLOOKUP($A743,ThrowData,4,FALSE)),0,VLOOKUP($A743,ThrowData,4,FALSE))+Y743</f>
        <v>0</v>
      </c>
      <c r="U743" s="299">
        <f t="shared" si="2"/>
        <v>0</v>
      </c>
      <c r="V743">
        <f>IF(AND($F743&gt;0,NOT(M743),Flexing),FlexPC,0)</f>
        <v>0</v>
      </c>
      <c r="W743">
        <f>IF(AND($F743&gt;0,NOT(N743),Flexing),FlexPC,0)</f>
        <v>0</v>
      </c>
      <c r="X743">
        <f>IF(AND($F743&gt;0,NOT(O743),Flexing),FlexPC,0)</f>
        <v>0</v>
      </c>
      <c r="Y743">
        <f>IF(AND($F743&gt;0,NOT(P743),Flexing),FlexPC,0)</f>
        <v>0</v>
      </c>
      <c r="AA743" s="209">
        <f t="shared" si="3"/>
        <v>742</v>
      </c>
    </row>
    <row r="744" ht="15.75" customHeight="1">
      <c r="A744" s="206" t="str">
        <f>+Declarations!A744&amp;""</f>
        <v/>
      </c>
      <c r="B744" t="str">
        <f>IF(LEN($A744),IF(LEN(Declarations!$B744)&gt;0,Declarations!$B744,"#"&amp;$A744),"")</f>
        <v/>
      </c>
      <c r="C744" s="209" t="str">
        <f t="array" ref="C744">IF(LEN(INDEX(DECLARATIONS,$AA744,3))&gt;0,INDEX(DECLARATIONS,$AA744,3),"...")</f>
        <v>...</v>
      </c>
      <c r="D744" s="209" t="str">
        <f t="shared" si="1"/>
        <v/>
      </c>
      <c r="E744" s="296" t="str">
        <f t="array" ref="E744">IF(ISNA($AA744),0,INDEX(DECLARATIONS,$AA744,5))</f>
        <v/>
      </c>
      <c r="F744" s="209" t="str">
        <f t="array" ref="F744">IF(ISNA($AA744),0,INDEX(DECLARATIONS,$AA744,7))</f>
        <v/>
      </c>
      <c r="G744" s="209" t="str">
        <f t="array" ref="G744">UPPER(IF(ISNA($AA744),"",INDEX(DECLARATIONS,$AA744,4)))</f>
        <v/>
      </c>
      <c r="H744" t="str">
        <f>IF(AND(A744&gt;0,ISTEXT(B744)),IF(SECNAME="YES",LEFT(B744&amp;" ",FIND(" ",B744&amp;" ")+2)&amp;IF(F744&gt;0," ("&amp;F744&amp;")",""),B744&amp;IF(F744&gt;0," ("&amp;F744&amp;")","")),"#"&amp;$A744)</f>
        <v/>
      </c>
      <c r="I744" s="209">
        <f>IF(LEN($A744)&gt;0,IF(LEN($J744)&gt;0,MATCH(J744,MatchNames,0),EventIndex),0)</f>
        <v>0</v>
      </c>
      <c r="J744" s="209" t="str">
        <f>IF(LEN($A744)&gt;0,IF(LEN(Declarations!$F744)&gt;0,Declarations!$F744,conftype),"")</f>
        <v/>
      </c>
      <c r="M744" s="297">
        <f>IF(ISNA(VLOOKUP($A744,SprintData,2,FALSE)),0,VLOOKUP($A744,SprintData,2,FALSE))</f>
        <v>0</v>
      </c>
      <c r="N744" s="297">
        <f>IF(ISNA(VLOOKUP($A744,JumpData,2,FALSE)),0,VLOOKUP($A744,JumpData,2,FALSE))</f>
        <v>0</v>
      </c>
      <c r="O744" s="297">
        <f>IF(ISNA(VLOOKUP($A744,RunData,2,FALSE)),0,VLOOKUP($A744,RunData,2,FALSE))</f>
        <v>0</v>
      </c>
      <c r="P744" s="297">
        <f>IF(ISNA(VLOOKUP($A744,ThrowData,2,FALSE)),0,VLOOKUP($A744,ThrowData,2,FALSE))</f>
        <v>0</v>
      </c>
      <c r="Q744" s="298">
        <f>IF(ISNA(VLOOKUP($A744,SprintData,4,FALSE)),0,VLOOKUP($A744,SprintData,4,FALSE))+V744</f>
        <v>0</v>
      </c>
      <c r="R744" s="298">
        <f>IF(ISNA(VLOOKUP($A744,JumpData,4,FALSE)),0,VLOOKUP($A744,JumpData,4,FALSE))+W744</f>
        <v>0</v>
      </c>
      <c r="S744" s="298">
        <f>IF(ISNA(VLOOKUP($A744,RunData,4,FALSE)),0,VLOOKUP($A744,RunData,4,FALSE))+X744</f>
        <v>0</v>
      </c>
      <c r="T744" s="298">
        <f>IF(ISNA(VLOOKUP($A744,ThrowData,4,FALSE)),0,VLOOKUP($A744,ThrowData,4,FALSE))+Y744</f>
        <v>0</v>
      </c>
      <c r="U744" s="299">
        <f t="shared" si="2"/>
        <v>0</v>
      </c>
      <c r="V744">
        <f>IF(AND($F744&gt;0,NOT(M744),Flexing),FlexPC,0)</f>
        <v>0</v>
      </c>
      <c r="W744">
        <f>IF(AND($F744&gt;0,NOT(N744),Flexing),FlexPC,0)</f>
        <v>0</v>
      </c>
      <c r="X744">
        <f>IF(AND($F744&gt;0,NOT(O744),Flexing),FlexPC,0)</f>
        <v>0</v>
      </c>
      <c r="Y744">
        <f>IF(AND($F744&gt;0,NOT(P744),Flexing),FlexPC,0)</f>
        <v>0</v>
      </c>
      <c r="AA744" s="209">
        <f t="shared" si="3"/>
        <v>743</v>
      </c>
    </row>
    <row r="745" ht="15.75" customHeight="1">
      <c r="A745" s="206" t="str">
        <f>+Declarations!A745&amp;""</f>
        <v/>
      </c>
      <c r="B745" t="str">
        <f>IF(LEN($A745),IF(LEN(Declarations!$B745)&gt;0,Declarations!$B745,"#"&amp;$A745),"")</f>
        <v/>
      </c>
      <c r="C745" s="209" t="str">
        <f t="array" ref="C745">IF(LEN(INDEX(DECLARATIONS,$AA745,3))&gt;0,INDEX(DECLARATIONS,$AA745,3),"...")</f>
        <v>...</v>
      </c>
      <c r="D745" s="209" t="str">
        <f t="shared" si="1"/>
        <v/>
      </c>
      <c r="E745" s="296" t="str">
        <f t="array" ref="E745">IF(ISNA($AA745),0,INDEX(DECLARATIONS,$AA745,5))</f>
        <v/>
      </c>
      <c r="F745" s="209" t="str">
        <f t="array" ref="F745">IF(ISNA($AA745),0,INDEX(DECLARATIONS,$AA745,7))</f>
        <v/>
      </c>
      <c r="G745" s="209" t="str">
        <f t="array" ref="G745">UPPER(IF(ISNA($AA745),"",INDEX(DECLARATIONS,$AA745,4)))</f>
        <v/>
      </c>
      <c r="H745" t="str">
        <f>IF(AND(A745&gt;0,ISTEXT(B745)),IF(SECNAME="YES",LEFT(B745&amp;" ",FIND(" ",B745&amp;" ")+2)&amp;IF(F745&gt;0," ("&amp;F745&amp;")",""),B745&amp;IF(F745&gt;0," ("&amp;F745&amp;")","")),"#"&amp;$A745)</f>
        <v/>
      </c>
      <c r="I745" s="209">
        <f>IF(LEN($A745)&gt;0,IF(LEN($J745)&gt;0,MATCH(J745,MatchNames,0),EventIndex),0)</f>
        <v>0</v>
      </c>
      <c r="J745" s="209" t="str">
        <f>IF(LEN($A745)&gt;0,IF(LEN(Declarations!$F745)&gt;0,Declarations!$F745,conftype),"")</f>
        <v/>
      </c>
      <c r="M745" s="297">
        <f>IF(ISNA(VLOOKUP($A745,SprintData,2,FALSE)),0,VLOOKUP($A745,SprintData,2,FALSE))</f>
        <v>0</v>
      </c>
      <c r="N745" s="297">
        <f>IF(ISNA(VLOOKUP($A745,JumpData,2,FALSE)),0,VLOOKUP($A745,JumpData,2,FALSE))</f>
        <v>0</v>
      </c>
      <c r="O745" s="297">
        <f>IF(ISNA(VLOOKUP($A745,RunData,2,FALSE)),0,VLOOKUP($A745,RunData,2,FALSE))</f>
        <v>0</v>
      </c>
      <c r="P745" s="297">
        <f>IF(ISNA(VLOOKUP($A745,ThrowData,2,FALSE)),0,VLOOKUP($A745,ThrowData,2,FALSE))</f>
        <v>0</v>
      </c>
      <c r="Q745" s="298">
        <f>IF(ISNA(VLOOKUP($A745,SprintData,4,FALSE)),0,VLOOKUP($A745,SprintData,4,FALSE))+V745</f>
        <v>0</v>
      </c>
      <c r="R745" s="298">
        <f>IF(ISNA(VLOOKUP($A745,JumpData,4,FALSE)),0,VLOOKUP($A745,JumpData,4,FALSE))+W745</f>
        <v>0</v>
      </c>
      <c r="S745" s="298">
        <f>IF(ISNA(VLOOKUP($A745,RunData,4,FALSE)),0,VLOOKUP($A745,RunData,4,FALSE))+X745</f>
        <v>0</v>
      </c>
      <c r="T745" s="298">
        <f>IF(ISNA(VLOOKUP($A745,ThrowData,4,FALSE)),0,VLOOKUP($A745,ThrowData,4,FALSE))+Y745</f>
        <v>0</v>
      </c>
      <c r="U745" s="299">
        <f t="shared" si="2"/>
        <v>0</v>
      </c>
      <c r="V745">
        <f>IF(AND($F745&gt;0,NOT(M745),Flexing),FlexPC,0)</f>
        <v>0</v>
      </c>
      <c r="W745">
        <f>IF(AND($F745&gt;0,NOT(N745),Flexing),FlexPC,0)</f>
        <v>0</v>
      </c>
      <c r="X745">
        <f>IF(AND($F745&gt;0,NOT(O745),Flexing),FlexPC,0)</f>
        <v>0</v>
      </c>
      <c r="Y745">
        <f>IF(AND($F745&gt;0,NOT(P745),Flexing),FlexPC,0)</f>
        <v>0</v>
      </c>
      <c r="AA745" s="209">
        <f t="shared" si="3"/>
        <v>744</v>
      </c>
    </row>
    <row r="746" ht="15.75" customHeight="1">
      <c r="A746" s="206" t="str">
        <f>+Declarations!A746&amp;""</f>
        <v/>
      </c>
      <c r="B746" t="str">
        <f>IF(LEN($A746),IF(LEN(Declarations!$B746)&gt;0,Declarations!$B746,"#"&amp;$A746),"")</f>
        <v/>
      </c>
      <c r="C746" s="209" t="str">
        <f t="array" ref="C746">IF(LEN(INDEX(DECLARATIONS,$AA746,3))&gt;0,INDEX(DECLARATIONS,$AA746,3),"...")</f>
        <v>...</v>
      </c>
      <c r="D746" s="209" t="str">
        <f t="shared" si="1"/>
        <v/>
      </c>
      <c r="E746" s="296" t="str">
        <f t="array" ref="E746">IF(ISNA($AA746),0,INDEX(DECLARATIONS,$AA746,5))</f>
        <v/>
      </c>
      <c r="F746" s="209" t="str">
        <f t="array" ref="F746">IF(ISNA($AA746),0,INDEX(DECLARATIONS,$AA746,7))</f>
        <v/>
      </c>
      <c r="G746" s="209" t="str">
        <f t="array" ref="G746">UPPER(IF(ISNA($AA746),"",INDEX(DECLARATIONS,$AA746,4)))</f>
        <v/>
      </c>
      <c r="H746" t="str">
        <f>IF(AND(A746&gt;0,ISTEXT(B746)),IF(SECNAME="YES",LEFT(B746&amp;" ",FIND(" ",B746&amp;" ")+2)&amp;IF(F746&gt;0," ("&amp;F746&amp;")",""),B746&amp;IF(F746&gt;0," ("&amp;F746&amp;")","")),"#"&amp;$A746)</f>
        <v/>
      </c>
      <c r="I746" s="209">
        <f>IF(LEN($A746)&gt;0,IF(LEN($J746)&gt;0,MATCH(J746,MatchNames,0),EventIndex),0)</f>
        <v>0</v>
      </c>
      <c r="J746" s="209" t="str">
        <f>IF(LEN($A746)&gt;0,IF(LEN(Declarations!$F746)&gt;0,Declarations!$F746,conftype),"")</f>
        <v/>
      </c>
      <c r="M746" s="297">
        <f>IF(ISNA(VLOOKUP($A746,SprintData,2,FALSE)),0,VLOOKUP($A746,SprintData,2,FALSE))</f>
        <v>0</v>
      </c>
      <c r="N746" s="297">
        <f>IF(ISNA(VLOOKUP($A746,JumpData,2,FALSE)),0,VLOOKUP($A746,JumpData,2,FALSE))</f>
        <v>0</v>
      </c>
      <c r="O746" s="297">
        <f>IF(ISNA(VLOOKUP($A746,RunData,2,FALSE)),0,VLOOKUP($A746,RunData,2,FALSE))</f>
        <v>0</v>
      </c>
      <c r="P746" s="297">
        <f>IF(ISNA(VLOOKUP($A746,ThrowData,2,FALSE)),0,VLOOKUP($A746,ThrowData,2,FALSE))</f>
        <v>0</v>
      </c>
      <c r="Q746" s="298">
        <f>IF(ISNA(VLOOKUP($A746,SprintData,4,FALSE)),0,VLOOKUP($A746,SprintData,4,FALSE))+V746</f>
        <v>0</v>
      </c>
      <c r="R746" s="298">
        <f>IF(ISNA(VLOOKUP($A746,JumpData,4,FALSE)),0,VLOOKUP($A746,JumpData,4,FALSE))+W746</f>
        <v>0</v>
      </c>
      <c r="S746" s="298">
        <f>IF(ISNA(VLOOKUP($A746,RunData,4,FALSE)),0,VLOOKUP($A746,RunData,4,FALSE))+X746</f>
        <v>0</v>
      </c>
      <c r="T746" s="298">
        <f>IF(ISNA(VLOOKUP($A746,ThrowData,4,FALSE)),0,VLOOKUP($A746,ThrowData,4,FALSE))+Y746</f>
        <v>0</v>
      </c>
      <c r="U746" s="299">
        <f t="shared" si="2"/>
        <v>0</v>
      </c>
      <c r="V746">
        <f>IF(AND($F746&gt;0,NOT(M746),Flexing),FlexPC,0)</f>
        <v>0</v>
      </c>
      <c r="W746">
        <f>IF(AND($F746&gt;0,NOT(N746),Flexing),FlexPC,0)</f>
        <v>0</v>
      </c>
      <c r="X746">
        <f>IF(AND($F746&gt;0,NOT(O746),Flexing),FlexPC,0)</f>
        <v>0</v>
      </c>
      <c r="Y746">
        <f>IF(AND($F746&gt;0,NOT(P746),Flexing),FlexPC,0)</f>
        <v>0</v>
      </c>
      <c r="AA746" s="209">
        <f t="shared" si="3"/>
        <v>745</v>
      </c>
    </row>
    <row r="747" ht="15.75" customHeight="1">
      <c r="A747" s="206" t="str">
        <f>+Declarations!A747&amp;""</f>
        <v/>
      </c>
      <c r="B747" t="str">
        <f>IF(LEN($A747),IF(LEN(Declarations!$B747)&gt;0,Declarations!$B747,"#"&amp;$A747),"")</f>
        <v/>
      </c>
      <c r="C747" s="209" t="str">
        <f t="array" ref="C747">IF(LEN(INDEX(DECLARATIONS,$AA747,3))&gt;0,INDEX(DECLARATIONS,$AA747,3),"...")</f>
        <v>...</v>
      </c>
      <c r="D747" s="209" t="str">
        <f t="shared" si="1"/>
        <v/>
      </c>
      <c r="E747" s="296" t="str">
        <f t="array" ref="E747">IF(ISNA($AA747),0,INDEX(DECLARATIONS,$AA747,5))</f>
        <v/>
      </c>
      <c r="F747" s="209" t="str">
        <f t="array" ref="F747">IF(ISNA($AA747),0,INDEX(DECLARATIONS,$AA747,7))</f>
        <v/>
      </c>
      <c r="G747" s="209" t="str">
        <f t="array" ref="G747">UPPER(IF(ISNA($AA747),"",INDEX(DECLARATIONS,$AA747,4)))</f>
        <v/>
      </c>
      <c r="H747" t="str">
        <f>IF(AND(A747&gt;0,ISTEXT(B747)),IF(SECNAME="YES",LEFT(B747&amp;" ",FIND(" ",B747&amp;" ")+2)&amp;IF(F747&gt;0," ("&amp;F747&amp;")",""),B747&amp;IF(F747&gt;0," ("&amp;F747&amp;")","")),"#"&amp;$A747)</f>
        <v/>
      </c>
      <c r="I747" s="209">
        <f>IF(LEN($A747)&gt;0,IF(LEN($J747)&gt;0,MATCH(J747,MatchNames,0),EventIndex),0)</f>
        <v>0</v>
      </c>
      <c r="J747" s="209" t="str">
        <f>IF(LEN($A747)&gt;0,IF(LEN(Declarations!$F747)&gt;0,Declarations!$F747,conftype),"")</f>
        <v/>
      </c>
      <c r="M747" s="297">
        <f>IF(ISNA(VLOOKUP($A747,SprintData,2,FALSE)),0,VLOOKUP($A747,SprintData,2,FALSE))</f>
        <v>0</v>
      </c>
      <c r="N747" s="297">
        <f>IF(ISNA(VLOOKUP($A747,JumpData,2,FALSE)),0,VLOOKUP($A747,JumpData,2,FALSE))</f>
        <v>0</v>
      </c>
      <c r="O747" s="297">
        <f>IF(ISNA(VLOOKUP($A747,RunData,2,FALSE)),0,VLOOKUP($A747,RunData,2,FALSE))</f>
        <v>0</v>
      </c>
      <c r="P747" s="297">
        <f>IF(ISNA(VLOOKUP($A747,ThrowData,2,FALSE)),0,VLOOKUP($A747,ThrowData,2,FALSE))</f>
        <v>0</v>
      </c>
      <c r="Q747" s="298">
        <f>IF(ISNA(VLOOKUP($A747,SprintData,4,FALSE)),0,VLOOKUP($A747,SprintData,4,FALSE))+V747</f>
        <v>0</v>
      </c>
      <c r="R747" s="298">
        <f>IF(ISNA(VLOOKUP($A747,JumpData,4,FALSE)),0,VLOOKUP($A747,JumpData,4,FALSE))+W747</f>
        <v>0</v>
      </c>
      <c r="S747" s="298">
        <f>IF(ISNA(VLOOKUP($A747,RunData,4,FALSE)),0,VLOOKUP($A747,RunData,4,FALSE))+X747</f>
        <v>0</v>
      </c>
      <c r="T747" s="298">
        <f>IF(ISNA(VLOOKUP($A747,ThrowData,4,FALSE)),0,VLOOKUP($A747,ThrowData,4,FALSE))+Y747</f>
        <v>0</v>
      </c>
      <c r="U747" s="299">
        <f t="shared" si="2"/>
        <v>0</v>
      </c>
      <c r="V747">
        <f>IF(AND($F747&gt;0,NOT(M747),Flexing),FlexPC,0)</f>
        <v>0</v>
      </c>
      <c r="W747">
        <f>IF(AND($F747&gt;0,NOT(N747),Flexing),FlexPC,0)</f>
        <v>0</v>
      </c>
      <c r="X747">
        <f>IF(AND($F747&gt;0,NOT(O747),Flexing),FlexPC,0)</f>
        <v>0</v>
      </c>
      <c r="Y747">
        <f>IF(AND($F747&gt;0,NOT(P747),Flexing),FlexPC,0)</f>
        <v>0</v>
      </c>
      <c r="AA747" s="209">
        <f t="shared" si="3"/>
        <v>746</v>
      </c>
    </row>
    <row r="748" ht="15.75" customHeight="1">
      <c r="A748" s="206" t="str">
        <f>+Declarations!A748&amp;""</f>
        <v/>
      </c>
      <c r="B748" t="str">
        <f>IF(LEN($A748),IF(LEN(Declarations!$B748)&gt;0,Declarations!$B748,"#"&amp;$A748),"")</f>
        <v/>
      </c>
      <c r="C748" s="209" t="str">
        <f t="array" ref="C748">IF(LEN(INDEX(DECLARATIONS,$AA748,3))&gt;0,INDEX(DECLARATIONS,$AA748,3),"...")</f>
        <v>...</v>
      </c>
      <c r="D748" s="209" t="str">
        <f t="shared" si="1"/>
        <v/>
      </c>
      <c r="E748" s="296" t="str">
        <f t="array" ref="E748">IF(ISNA($AA748),0,INDEX(DECLARATIONS,$AA748,5))</f>
        <v/>
      </c>
      <c r="F748" s="209" t="str">
        <f t="array" ref="F748">IF(ISNA($AA748),0,INDEX(DECLARATIONS,$AA748,7))</f>
        <v/>
      </c>
      <c r="G748" s="209" t="str">
        <f t="array" ref="G748">UPPER(IF(ISNA($AA748),"",INDEX(DECLARATIONS,$AA748,4)))</f>
        <v/>
      </c>
      <c r="H748" t="str">
        <f>IF(AND(A748&gt;0,ISTEXT(B748)),IF(SECNAME="YES",LEFT(B748&amp;" ",FIND(" ",B748&amp;" ")+2)&amp;IF(F748&gt;0," ("&amp;F748&amp;")",""),B748&amp;IF(F748&gt;0," ("&amp;F748&amp;")","")),"#"&amp;$A748)</f>
        <v/>
      </c>
      <c r="I748" s="209">
        <f>IF(LEN($A748)&gt;0,IF(LEN($J748)&gt;0,MATCH(J748,MatchNames,0),EventIndex),0)</f>
        <v>0</v>
      </c>
      <c r="J748" s="209" t="str">
        <f>IF(LEN($A748)&gt;0,IF(LEN(Declarations!$F748)&gt;0,Declarations!$F748,conftype),"")</f>
        <v/>
      </c>
      <c r="M748" s="297">
        <f>IF(ISNA(VLOOKUP($A748,SprintData,2,FALSE)),0,VLOOKUP($A748,SprintData,2,FALSE))</f>
        <v>0</v>
      </c>
      <c r="N748" s="297">
        <f>IF(ISNA(VLOOKUP($A748,JumpData,2,FALSE)),0,VLOOKUP($A748,JumpData,2,FALSE))</f>
        <v>0</v>
      </c>
      <c r="O748" s="297">
        <f>IF(ISNA(VLOOKUP($A748,RunData,2,FALSE)),0,VLOOKUP($A748,RunData,2,FALSE))</f>
        <v>0</v>
      </c>
      <c r="P748" s="297">
        <f>IF(ISNA(VLOOKUP($A748,ThrowData,2,FALSE)),0,VLOOKUP($A748,ThrowData,2,FALSE))</f>
        <v>0</v>
      </c>
      <c r="Q748" s="298">
        <f>IF(ISNA(VLOOKUP($A748,SprintData,4,FALSE)),0,VLOOKUP($A748,SprintData,4,FALSE))+V748</f>
        <v>0</v>
      </c>
      <c r="R748" s="298">
        <f>IF(ISNA(VLOOKUP($A748,JumpData,4,FALSE)),0,VLOOKUP($A748,JumpData,4,FALSE))+W748</f>
        <v>0</v>
      </c>
      <c r="S748" s="298">
        <f>IF(ISNA(VLOOKUP($A748,RunData,4,FALSE)),0,VLOOKUP($A748,RunData,4,FALSE))+X748</f>
        <v>0</v>
      </c>
      <c r="T748" s="298">
        <f>IF(ISNA(VLOOKUP($A748,ThrowData,4,FALSE)),0,VLOOKUP($A748,ThrowData,4,FALSE))+Y748</f>
        <v>0</v>
      </c>
      <c r="U748" s="299">
        <f t="shared" si="2"/>
        <v>0</v>
      </c>
      <c r="V748">
        <f>IF(AND($F748&gt;0,NOT(M748),Flexing),FlexPC,0)</f>
        <v>0</v>
      </c>
      <c r="W748">
        <f>IF(AND($F748&gt;0,NOT(N748),Flexing),FlexPC,0)</f>
        <v>0</v>
      </c>
      <c r="X748">
        <f>IF(AND($F748&gt;0,NOT(O748),Flexing),FlexPC,0)</f>
        <v>0</v>
      </c>
      <c r="Y748">
        <f>IF(AND($F748&gt;0,NOT(P748),Flexing),FlexPC,0)</f>
        <v>0</v>
      </c>
      <c r="AA748" s="209">
        <f t="shared" si="3"/>
        <v>747</v>
      </c>
    </row>
    <row r="749" ht="15.75" customHeight="1">
      <c r="A749" s="206" t="str">
        <f>+Declarations!A749&amp;""</f>
        <v/>
      </c>
      <c r="B749" t="str">
        <f>IF(LEN($A749),IF(LEN(Declarations!$B749)&gt;0,Declarations!$B749,"#"&amp;$A749),"")</f>
        <v/>
      </c>
      <c r="C749" s="209" t="str">
        <f t="array" ref="C749">IF(LEN(INDEX(DECLARATIONS,$AA749,3))&gt;0,INDEX(DECLARATIONS,$AA749,3),"...")</f>
        <v>...</v>
      </c>
      <c r="D749" s="209" t="str">
        <f t="shared" si="1"/>
        <v/>
      </c>
      <c r="E749" s="296" t="str">
        <f t="array" ref="E749">IF(ISNA($AA749),0,INDEX(DECLARATIONS,$AA749,5))</f>
        <v/>
      </c>
      <c r="F749" s="209" t="str">
        <f t="array" ref="F749">IF(ISNA($AA749),0,INDEX(DECLARATIONS,$AA749,7))</f>
        <v/>
      </c>
      <c r="G749" s="209" t="str">
        <f t="array" ref="G749">UPPER(IF(ISNA($AA749),"",INDEX(DECLARATIONS,$AA749,4)))</f>
        <v/>
      </c>
      <c r="H749" t="str">
        <f>IF(AND(A749&gt;0,ISTEXT(B749)),IF(SECNAME="YES",LEFT(B749&amp;" ",FIND(" ",B749&amp;" ")+2)&amp;IF(F749&gt;0," ("&amp;F749&amp;")",""),B749&amp;IF(F749&gt;0," ("&amp;F749&amp;")","")),"#"&amp;$A749)</f>
        <v/>
      </c>
      <c r="I749" s="209">
        <f>IF(LEN($A749)&gt;0,IF(LEN($J749)&gt;0,MATCH(J749,MatchNames,0),EventIndex),0)</f>
        <v>0</v>
      </c>
      <c r="J749" s="209" t="str">
        <f>IF(LEN($A749)&gt;0,IF(LEN(Declarations!$F749)&gt;0,Declarations!$F749,conftype),"")</f>
        <v/>
      </c>
      <c r="M749" s="297">
        <f>IF(ISNA(VLOOKUP($A749,SprintData,2,FALSE)),0,VLOOKUP($A749,SprintData,2,FALSE))</f>
        <v>0</v>
      </c>
      <c r="N749" s="297">
        <f>IF(ISNA(VLOOKUP($A749,JumpData,2,FALSE)),0,VLOOKUP($A749,JumpData,2,FALSE))</f>
        <v>0</v>
      </c>
      <c r="O749" s="297">
        <f>IF(ISNA(VLOOKUP($A749,RunData,2,FALSE)),0,VLOOKUP($A749,RunData,2,FALSE))</f>
        <v>0</v>
      </c>
      <c r="P749" s="297">
        <f>IF(ISNA(VLOOKUP($A749,ThrowData,2,FALSE)),0,VLOOKUP($A749,ThrowData,2,FALSE))</f>
        <v>0</v>
      </c>
      <c r="Q749" s="298">
        <f>IF(ISNA(VLOOKUP($A749,SprintData,4,FALSE)),0,VLOOKUP($A749,SprintData,4,FALSE))+V749</f>
        <v>0</v>
      </c>
      <c r="R749" s="298">
        <f>IF(ISNA(VLOOKUP($A749,JumpData,4,FALSE)),0,VLOOKUP($A749,JumpData,4,FALSE))+W749</f>
        <v>0</v>
      </c>
      <c r="S749" s="298">
        <f>IF(ISNA(VLOOKUP($A749,RunData,4,FALSE)),0,VLOOKUP($A749,RunData,4,FALSE))+X749</f>
        <v>0</v>
      </c>
      <c r="T749" s="298">
        <f>IF(ISNA(VLOOKUP($A749,ThrowData,4,FALSE)),0,VLOOKUP($A749,ThrowData,4,FALSE))+Y749</f>
        <v>0</v>
      </c>
      <c r="U749" s="299">
        <f t="shared" si="2"/>
        <v>0</v>
      </c>
      <c r="V749">
        <f>IF(AND($F749&gt;0,NOT(M749),Flexing),FlexPC,0)</f>
        <v>0</v>
      </c>
      <c r="W749">
        <f>IF(AND($F749&gt;0,NOT(N749),Flexing),FlexPC,0)</f>
        <v>0</v>
      </c>
      <c r="X749">
        <f>IF(AND($F749&gt;0,NOT(O749),Flexing),FlexPC,0)</f>
        <v>0</v>
      </c>
      <c r="Y749">
        <f>IF(AND($F749&gt;0,NOT(P749),Flexing),FlexPC,0)</f>
        <v>0</v>
      </c>
      <c r="AA749" s="209">
        <f t="shared" si="3"/>
        <v>748</v>
      </c>
    </row>
    <row r="750" ht="15.75" customHeight="1">
      <c r="A750" s="206" t="str">
        <f>+Declarations!A750&amp;""</f>
        <v/>
      </c>
      <c r="B750" t="str">
        <f>IF(LEN($A750),IF(LEN(Declarations!$B750)&gt;0,Declarations!$B750,"#"&amp;$A750),"")</f>
        <v/>
      </c>
      <c r="C750" s="209" t="str">
        <f t="array" ref="C750">IF(LEN(INDEX(DECLARATIONS,$AA750,3))&gt;0,INDEX(DECLARATIONS,$AA750,3),"...")</f>
        <v>...</v>
      </c>
      <c r="D750" s="209" t="str">
        <f t="shared" si="1"/>
        <v/>
      </c>
      <c r="E750" s="296" t="str">
        <f t="array" ref="E750">IF(ISNA($AA750),0,INDEX(DECLARATIONS,$AA750,5))</f>
        <v/>
      </c>
      <c r="F750" s="209" t="str">
        <f t="array" ref="F750">IF(ISNA($AA750),0,INDEX(DECLARATIONS,$AA750,7))</f>
        <v/>
      </c>
      <c r="G750" s="209" t="str">
        <f t="array" ref="G750">UPPER(IF(ISNA($AA750),"",INDEX(DECLARATIONS,$AA750,4)))</f>
        <v/>
      </c>
      <c r="H750" t="str">
        <f>IF(AND(A750&gt;0,ISTEXT(B750)),IF(SECNAME="YES",LEFT(B750&amp;" ",FIND(" ",B750&amp;" ")+2)&amp;IF(F750&gt;0," ("&amp;F750&amp;")",""),B750&amp;IF(F750&gt;0," ("&amp;F750&amp;")","")),"#"&amp;$A750)</f>
        <v/>
      </c>
      <c r="I750" s="209">
        <f>IF(LEN($A750)&gt;0,IF(LEN($J750)&gt;0,MATCH(J750,MatchNames,0),EventIndex),0)</f>
        <v>0</v>
      </c>
      <c r="J750" s="209" t="str">
        <f>IF(LEN($A750)&gt;0,IF(LEN(Declarations!$F750)&gt;0,Declarations!$F750,conftype),"")</f>
        <v/>
      </c>
      <c r="M750" s="297">
        <f>IF(ISNA(VLOOKUP($A750,SprintData,2,FALSE)),0,VLOOKUP($A750,SprintData,2,FALSE))</f>
        <v>0</v>
      </c>
      <c r="N750" s="297">
        <f>IF(ISNA(VLOOKUP($A750,JumpData,2,FALSE)),0,VLOOKUP($A750,JumpData,2,FALSE))</f>
        <v>0</v>
      </c>
      <c r="O750" s="297">
        <f>IF(ISNA(VLOOKUP($A750,RunData,2,FALSE)),0,VLOOKUP($A750,RunData,2,FALSE))</f>
        <v>0</v>
      </c>
      <c r="P750" s="297">
        <f>IF(ISNA(VLOOKUP($A750,ThrowData,2,FALSE)),0,VLOOKUP($A750,ThrowData,2,FALSE))</f>
        <v>0</v>
      </c>
      <c r="Q750" s="298">
        <f>IF(ISNA(VLOOKUP($A750,SprintData,4,FALSE)),0,VLOOKUP($A750,SprintData,4,FALSE))+V750</f>
        <v>0</v>
      </c>
      <c r="R750" s="298">
        <f>IF(ISNA(VLOOKUP($A750,JumpData,4,FALSE)),0,VLOOKUP($A750,JumpData,4,FALSE))+W750</f>
        <v>0</v>
      </c>
      <c r="S750" s="298">
        <f>IF(ISNA(VLOOKUP($A750,RunData,4,FALSE)),0,VLOOKUP($A750,RunData,4,FALSE))+X750</f>
        <v>0</v>
      </c>
      <c r="T750" s="298">
        <f>IF(ISNA(VLOOKUP($A750,ThrowData,4,FALSE)),0,VLOOKUP($A750,ThrowData,4,FALSE))+Y750</f>
        <v>0</v>
      </c>
      <c r="U750" s="299">
        <f t="shared" si="2"/>
        <v>0</v>
      </c>
      <c r="V750">
        <f>IF(AND($F750&gt;0,NOT(M750),Flexing),FlexPC,0)</f>
        <v>0</v>
      </c>
      <c r="W750">
        <f>IF(AND($F750&gt;0,NOT(N750),Flexing),FlexPC,0)</f>
        <v>0</v>
      </c>
      <c r="X750">
        <f>IF(AND($F750&gt;0,NOT(O750),Flexing),FlexPC,0)</f>
        <v>0</v>
      </c>
      <c r="Y750">
        <f>IF(AND($F750&gt;0,NOT(P750),Flexing),FlexPC,0)</f>
        <v>0</v>
      </c>
      <c r="AA750" s="209">
        <f t="shared" si="3"/>
        <v>749</v>
      </c>
    </row>
    <row r="751" ht="15.75" customHeight="1">
      <c r="A751" s="206" t="str">
        <f>+Declarations!A751&amp;""</f>
        <v/>
      </c>
      <c r="B751" t="str">
        <f>IF(LEN($A751),IF(LEN(Declarations!$B751)&gt;0,Declarations!$B751,"#"&amp;$A751),"")</f>
        <v/>
      </c>
      <c r="C751" s="209" t="str">
        <f t="array" ref="C751">IF(LEN(INDEX(DECLARATIONS,$AA751,3))&gt;0,INDEX(DECLARATIONS,$AA751,3),"...")</f>
        <v>...</v>
      </c>
      <c r="D751" s="209" t="str">
        <f t="shared" si="1"/>
        <v/>
      </c>
      <c r="E751" s="296" t="str">
        <f t="array" ref="E751">IF(ISNA($AA751),0,INDEX(DECLARATIONS,$AA751,5))</f>
        <v/>
      </c>
      <c r="F751" s="209" t="str">
        <f t="array" ref="F751">IF(ISNA($AA751),0,INDEX(DECLARATIONS,$AA751,7))</f>
        <v/>
      </c>
      <c r="G751" s="209" t="str">
        <f t="array" ref="G751">UPPER(IF(ISNA($AA751),"",INDEX(DECLARATIONS,$AA751,4)))</f>
        <v/>
      </c>
      <c r="H751" t="str">
        <f>IF(AND(A751&gt;0,ISTEXT(B751)),IF(SECNAME="YES",LEFT(B751&amp;" ",FIND(" ",B751&amp;" ")+2)&amp;IF(F751&gt;0," ("&amp;F751&amp;")",""),B751&amp;IF(F751&gt;0," ("&amp;F751&amp;")","")),"#"&amp;$A751)</f>
        <v/>
      </c>
      <c r="I751" s="209">
        <f>IF(LEN($A751)&gt;0,IF(LEN($J751)&gt;0,MATCH(J751,MatchNames,0),EventIndex),0)</f>
        <v>0</v>
      </c>
      <c r="J751" s="209" t="str">
        <f>IF(LEN($A751)&gt;0,IF(LEN(Declarations!$F751)&gt;0,Declarations!$F751,conftype),"")</f>
        <v/>
      </c>
      <c r="M751" s="297">
        <f>IF(ISNA(VLOOKUP($A751,SprintData,2,FALSE)),0,VLOOKUP($A751,SprintData,2,FALSE))</f>
        <v>0</v>
      </c>
      <c r="N751" s="297">
        <f>IF(ISNA(VLOOKUP($A751,JumpData,2,FALSE)),0,VLOOKUP($A751,JumpData,2,FALSE))</f>
        <v>0</v>
      </c>
      <c r="O751" s="297">
        <f>IF(ISNA(VLOOKUP($A751,RunData,2,FALSE)),0,VLOOKUP($A751,RunData,2,FALSE))</f>
        <v>0</v>
      </c>
      <c r="P751" s="297">
        <f>IF(ISNA(VLOOKUP($A751,ThrowData,2,FALSE)),0,VLOOKUP($A751,ThrowData,2,FALSE))</f>
        <v>0</v>
      </c>
      <c r="Q751" s="298">
        <f>IF(ISNA(VLOOKUP($A751,SprintData,4,FALSE)),0,VLOOKUP($A751,SprintData,4,FALSE))+V751</f>
        <v>0</v>
      </c>
      <c r="R751" s="298">
        <f>IF(ISNA(VLOOKUP($A751,JumpData,4,FALSE)),0,VLOOKUP($A751,JumpData,4,FALSE))+W751</f>
        <v>0</v>
      </c>
      <c r="S751" s="298">
        <f>IF(ISNA(VLOOKUP($A751,RunData,4,FALSE)),0,VLOOKUP($A751,RunData,4,FALSE))+X751</f>
        <v>0</v>
      </c>
      <c r="T751" s="298">
        <f>IF(ISNA(VLOOKUP($A751,ThrowData,4,FALSE)),0,VLOOKUP($A751,ThrowData,4,FALSE))+Y751</f>
        <v>0</v>
      </c>
      <c r="U751" s="299">
        <f t="shared" si="2"/>
        <v>0</v>
      </c>
      <c r="V751">
        <f>IF(AND($F751&gt;0,NOT(M751),Flexing),FlexPC,0)</f>
        <v>0</v>
      </c>
      <c r="W751">
        <f>IF(AND($F751&gt;0,NOT(N751),Flexing),FlexPC,0)</f>
        <v>0</v>
      </c>
      <c r="X751">
        <f>IF(AND($F751&gt;0,NOT(O751),Flexing),FlexPC,0)</f>
        <v>0</v>
      </c>
      <c r="Y751">
        <f>IF(AND($F751&gt;0,NOT(P751),Flexing),FlexPC,0)</f>
        <v>0</v>
      </c>
      <c r="AA751" s="209">
        <f t="shared" si="3"/>
        <v>750</v>
      </c>
    </row>
    <row r="752" ht="15.75" customHeight="1">
      <c r="A752" s="206" t="str">
        <f>+Declarations!A752&amp;""</f>
        <v/>
      </c>
      <c r="B752" t="str">
        <f>IF(LEN($A752),IF(LEN(Declarations!$B752)&gt;0,Declarations!$B752,"#"&amp;$A752),"")</f>
        <v/>
      </c>
      <c r="C752" s="209" t="str">
        <f t="array" ref="C752">IF(LEN(INDEX(DECLARATIONS,$AA752,3))&gt;0,INDEX(DECLARATIONS,$AA752,3),"...")</f>
        <v>...</v>
      </c>
      <c r="D752" s="209" t="str">
        <f t="shared" si="1"/>
        <v/>
      </c>
      <c r="E752" s="296" t="str">
        <f t="array" ref="E752">IF(ISNA($AA752),0,INDEX(DECLARATIONS,$AA752,5))</f>
        <v/>
      </c>
      <c r="F752" s="209" t="str">
        <f t="array" ref="F752">IF(ISNA($AA752),0,INDEX(DECLARATIONS,$AA752,7))</f>
        <v/>
      </c>
      <c r="G752" s="209" t="str">
        <f t="array" ref="G752">UPPER(IF(ISNA($AA752),"",INDEX(DECLARATIONS,$AA752,4)))</f>
        <v/>
      </c>
      <c r="H752" t="str">
        <f>IF(AND(A752&gt;0,ISTEXT(B752)),IF(SECNAME="YES",LEFT(B752&amp;" ",FIND(" ",B752&amp;" ")+2)&amp;IF(F752&gt;0," ("&amp;F752&amp;")",""),B752&amp;IF(F752&gt;0," ("&amp;F752&amp;")","")),"#"&amp;$A752)</f>
        <v/>
      </c>
      <c r="I752" s="209">
        <f>IF(LEN($A752)&gt;0,IF(LEN($J752)&gt;0,MATCH(J752,MatchNames,0),EventIndex),0)</f>
        <v>0</v>
      </c>
      <c r="J752" s="209" t="str">
        <f>IF(LEN($A752)&gt;0,IF(LEN(Declarations!$F752)&gt;0,Declarations!$F752,conftype),"")</f>
        <v/>
      </c>
      <c r="M752" s="297">
        <f>IF(ISNA(VLOOKUP($A752,SprintData,2,FALSE)),0,VLOOKUP($A752,SprintData,2,FALSE))</f>
        <v>0</v>
      </c>
      <c r="N752" s="297">
        <f>IF(ISNA(VLOOKUP($A752,JumpData,2,FALSE)),0,VLOOKUP($A752,JumpData,2,FALSE))</f>
        <v>0</v>
      </c>
      <c r="O752" s="297">
        <f>IF(ISNA(VLOOKUP($A752,RunData,2,FALSE)),0,VLOOKUP($A752,RunData,2,FALSE))</f>
        <v>0</v>
      </c>
      <c r="P752" s="297">
        <f>IF(ISNA(VLOOKUP($A752,ThrowData,2,FALSE)),0,VLOOKUP($A752,ThrowData,2,FALSE))</f>
        <v>0</v>
      </c>
      <c r="Q752" s="298">
        <f>IF(ISNA(VLOOKUP($A752,SprintData,4,FALSE)),0,VLOOKUP($A752,SprintData,4,FALSE))+V752</f>
        <v>0</v>
      </c>
      <c r="R752" s="298">
        <f>IF(ISNA(VLOOKUP($A752,JumpData,4,FALSE)),0,VLOOKUP($A752,JumpData,4,FALSE))+W752</f>
        <v>0</v>
      </c>
      <c r="S752" s="298">
        <f>IF(ISNA(VLOOKUP($A752,RunData,4,FALSE)),0,VLOOKUP($A752,RunData,4,FALSE))+X752</f>
        <v>0</v>
      </c>
      <c r="T752" s="298">
        <f>IF(ISNA(VLOOKUP($A752,ThrowData,4,FALSE)),0,VLOOKUP($A752,ThrowData,4,FALSE))+Y752</f>
        <v>0</v>
      </c>
      <c r="U752" s="299">
        <f t="shared" si="2"/>
        <v>0</v>
      </c>
      <c r="V752">
        <f>IF(AND($F752&gt;0,NOT(M752),Flexing),FlexPC,0)</f>
        <v>0</v>
      </c>
      <c r="W752">
        <f>IF(AND($F752&gt;0,NOT(N752),Flexing),FlexPC,0)</f>
        <v>0</v>
      </c>
      <c r="X752">
        <f>IF(AND($F752&gt;0,NOT(O752),Flexing),FlexPC,0)</f>
        <v>0</v>
      </c>
      <c r="Y752">
        <f>IF(AND($F752&gt;0,NOT(P752),Flexing),FlexPC,0)</f>
        <v>0</v>
      </c>
      <c r="AA752" s="209">
        <f t="shared" si="3"/>
        <v>751</v>
      </c>
    </row>
    <row r="753" ht="15.75" customHeight="1">
      <c r="A753" s="206" t="str">
        <f>+Declarations!A753&amp;""</f>
        <v/>
      </c>
      <c r="B753" t="str">
        <f>IF(LEN($A753),IF(LEN(Declarations!$B753)&gt;0,Declarations!$B753,"#"&amp;$A753),"")</f>
        <v/>
      </c>
      <c r="C753" s="209" t="str">
        <f t="array" ref="C753">IF(LEN(INDEX(DECLARATIONS,$AA753,3))&gt;0,INDEX(DECLARATIONS,$AA753,3),"...")</f>
        <v>...</v>
      </c>
      <c r="D753" s="209" t="str">
        <f t="shared" si="1"/>
        <v/>
      </c>
      <c r="E753" s="296" t="str">
        <f t="array" ref="E753">IF(ISNA($AA753),0,INDEX(DECLARATIONS,$AA753,5))</f>
        <v/>
      </c>
      <c r="F753" s="209" t="str">
        <f t="array" ref="F753">IF(ISNA($AA753),0,INDEX(DECLARATIONS,$AA753,7))</f>
        <v/>
      </c>
      <c r="G753" s="209" t="str">
        <f t="array" ref="G753">UPPER(IF(ISNA($AA753),"",INDEX(DECLARATIONS,$AA753,4)))</f>
        <v/>
      </c>
      <c r="H753" t="str">
        <f>IF(AND(A753&gt;0,ISTEXT(B753)),IF(SECNAME="YES",LEFT(B753&amp;" ",FIND(" ",B753&amp;" ")+2)&amp;IF(F753&gt;0," ("&amp;F753&amp;")",""),B753&amp;IF(F753&gt;0," ("&amp;F753&amp;")","")),"#"&amp;$A753)</f>
        <v/>
      </c>
      <c r="I753" s="209">
        <f>IF(LEN($A753)&gt;0,IF(LEN($J753)&gt;0,MATCH(J753,MatchNames,0),EventIndex),0)</f>
        <v>0</v>
      </c>
      <c r="J753" s="209" t="str">
        <f>IF(LEN($A753)&gt;0,IF(LEN(Declarations!$F753)&gt;0,Declarations!$F753,conftype),"")</f>
        <v/>
      </c>
      <c r="M753" s="297">
        <f>IF(ISNA(VLOOKUP($A753,SprintData,2,FALSE)),0,VLOOKUP($A753,SprintData,2,FALSE))</f>
        <v>0</v>
      </c>
      <c r="N753" s="297">
        <f>IF(ISNA(VLOOKUP($A753,JumpData,2,FALSE)),0,VLOOKUP($A753,JumpData,2,FALSE))</f>
        <v>0</v>
      </c>
      <c r="O753" s="297">
        <f>IF(ISNA(VLOOKUP($A753,RunData,2,FALSE)),0,VLOOKUP($A753,RunData,2,FALSE))</f>
        <v>0</v>
      </c>
      <c r="P753" s="297">
        <f>IF(ISNA(VLOOKUP($A753,ThrowData,2,FALSE)),0,VLOOKUP($A753,ThrowData,2,FALSE))</f>
        <v>0</v>
      </c>
      <c r="Q753" s="298">
        <f>IF(ISNA(VLOOKUP($A753,SprintData,4,FALSE)),0,VLOOKUP($A753,SprintData,4,FALSE))+V753</f>
        <v>0</v>
      </c>
      <c r="R753" s="298">
        <f>IF(ISNA(VLOOKUP($A753,JumpData,4,FALSE)),0,VLOOKUP($A753,JumpData,4,FALSE))+W753</f>
        <v>0</v>
      </c>
      <c r="S753" s="298">
        <f>IF(ISNA(VLOOKUP($A753,RunData,4,FALSE)),0,VLOOKUP($A753,RunData,4,FALSE))+X753</f>
        <v>0</v>
      </c>
      <c r="T753" s="298">
        <f>IF(ISNA(VLOOKUP($A753,ThrowData,4,FALSE)),0,VLOOKUP($A753,ThrowData,4,FALSE))+Y753</f>
        <v>0</v>
      </c>
      <c r="U753" s="299">
        <f t="shared" si="2"/>
        <v>0</v>
      </c>
      <c r="V753">
        <f>IF(AND($F753&gt;0,NOT(M753),Flexing),FlexPC,0)</f>
        <v>0</v>
      </c>
      <c r="W753">
        <f>IF(AND($F753&gt;0,NOT(N753),Flexing),FlexPC,0)</f>
        <v>0</v>
      </c>
      <c r="X753">
        <f>IF(AND($F753&gt;0,NOT(O753),Flexing),FlexPC,0)</f>
        <v>0</v>
      </c>
      <c r="Y753">
        <f>IF(AND($F753&gt;0,NOT(P753),Flexing),FlexPC,0)</f>
        <v>0</v>
      </c>
      <c r="AA753" s="209">
        <f t="shared" si="3"/>
        <v>752</v>
      </c>
    </row>
    <row r="754" ht="15.75" customHeight="1">
      <c r="A754" s="206" t="str">
        <f>+Declarations!A754&amp;""</f>
        <v/>
      </c>
      <c r="B754" t="str">
        <f>IF(LEN($A754),IF(LEN(Declarations!$B754)&gt;0,Declarations!$B754,"#"&amp;$A754),"")</f>
        <v/>
      </c>
      <c r="C754" s="209" t="str">
        <f t="array" ref="C754">IF(LEN(INDEX(DECLARATIONS,$AA754,3))&gt;0,INDEX(DECLARATIONS,$AA754,3),"...")</f>
        <v>...</v>
      </c>
      <c r="D754" s="209" t="str">
        <f t="shared" si="1"/>
        <v/>
      </c>
      <c r="E754" s="296" t="str">
        <f t="array" ref="E754">IF(ISNA($AA754),0,INDEX(DECLARATIONS,$AA754,5))</f>
        <v/>
      </c>
      <c r="F754" s="209" t="str">
        <f t="array" ref="F754">IF(ISNA($AA754),0,INDEX(DECLARATIONS,$AA754,7))</f>
        <v/>
      </c>
      <c r="G754" s="209" t="str">
        <f t="array" ref="G754">UPPER(IF(ISNA($AA754),"",INDEX(DECLARATIONS,$AA754,4)))</f>
        <v/>
      </c>
      <c r="H754" t="str">
        <f>IF(AND(A754&gt;0,ISTEXT(B754)),IF(SECNAME="YES",LEFT(B754&amp;" ",FIND(" ",B754&amp;" ")+2)&amp;IF(F754&gt;0," ("&amp;F754&amp;")",""),B754&amp;IF(F754&gt;0," ("&amp;F754&amp;")","")),"#"&amp;$A754)</f>
        <v/>
      </c>
      <c r="I754" s="209">
        <f>IF(LEN($A754)&gt;0,IF(LEN($J754)&gt;0,MATCH(J754,MatchNames,0),EventIndex),0)</f>
        <v>0</v>
      </c>
      <c r="J754" s="209" t="str">
        <f>IF(LEN($A754)&gt;0,IF(LEN(Declarations!$F754)&gt;0,Declarations!$F754,conftype),"")</f>
        <v/>
      </c>
      <c r="M754" s="297">
        <f>IF(ISNA(VLOOKUP($A754,SprintData,2,FALSE)),0,VLOOKUP($A754,SprintData,2,FALSE))</f>
        <v>0</v>
      </c>
      <c r="N754" s="297">
        <f>IF(ISNA(VLOOKUP($A754,JumpData,2,FALSE)),0,VLOOKUP($A754,JumpData,2,FALSE))</f>
        <v>0</v>
      </c>
      <c r="O754" s="297">
        <f>IF(ISNA(VLOOKUP($A754,RunData,2,FALSE)),0,VLOOKUP($A754,RunData,2,FALSE))</f>
        <v>0</v>
      </c>
      <c r="P754" s="297">
        <f>IF(ISNA(VLOOKUP($A754,ThrowData,2,FALSE)),0,VLOOKUP($A754,ThrowData,2,FALSE))</f>
        <v>0</v>
      </c>
      <c r="Q754" s="298">
        <f>IF(ISNA(VLOOKUP($A754,SprintData,4,FALSE)),0,VLOOKUP($A754,SprintData,4,FALSE))+V754</f>
        <v>0</v>
      </c>
      <c r="R754" s="298">
        <f>IF(ISNA(VLOOKUP($A754,JumpData,4,FALSE)),0,VLOOKUP($A754,JumpData,4,FALSE))+W754</f>
        <v>0</v>
      </c>
      <c r="S754" s="298">
        <f>IF(ISNA(VLOOKUP($A754,RunData,4,FALSE)),0,VLOOKUP($A754,RunData,4,FALSE))+X754</f>
        <v>0</v>
      </c>
      <c r="T754" s="298">
        <f>IF(ISNA(VLOOKUP($A754,ThrowData,4,FALSE)),0,VLOOKUP($A754,ThrowData,4,FALSE))+Y754</f>
        <v>0</v>
      </c>
      <c r="U754" s="299">
        <f t="shared" si="2"/>
        <v>0</v>
      </c>
      <c r="V754">
        <f>IF(AND($F754&gt;0,NOT(M754),Flexing),FlexPC,0)</f>
        <v>0</v>
      </c>
      <c r="W754">
        <f>IF(AND($F754&gt;0,NOT(N754),Flexing),FlexPC,0)</f>
        <v>0</v>
      </c>
      <c r="X754">
        <f>IF(AND($F754&gt;0,NOT(O754),Flexing),FlexPC,0)</f>
        <v>0</v>
      </c>
      <c r="Y754">
        <f>IF(AND($F754&gt;0,NOT(P754),Flexing),FlexPC,0)</f>
        <v>0</v>
      </c>
      <c r="AA754" s="209">
        <f t="shared" si="3"/>
        <v>753</v>
      </c>
    </row>
    <row r="755" ht="15.75" customHeight="1">
      <c r="A755" s="206" t="str">
        <f>+Declarations!A755&amp;""</f>
        <v/>
      </c>
      <c r="B755" t="str">
        <f>IF(LEN($A755),IF(LEN(Declarations!$B755)&gt;0,Declarations!$B755,"#"&amp;$A755),"")</f>
        <v/>
      </c>
      <c r="C755" s="209" t="str">
        <f t="array" ref="C755">IF(LEN(INDEX(DECLARATIONS,$AA755,3))&gt;0,INDEX(DECLARATIONS,$AA755,3),"...")</f>
        <v>...</v>
      </c>
      <c r="D755" s="209" t="str">
        <f t="shared" si="1"/>
        <v/>
      </c>
      <c r="E755" s="296" t="str">
        <f t="array" ref="E755">IF(ISNA($AA755),0,INDEX(DECLARATIONS,$AA755,5))</f>
        <v/>
      </c>
      <c r="F755" s="209" t="str">
        <f t="array" ref="F755">IF(ISNA($AA755),0,INDEX(DECLARATIONS,$AA755,7))</f>
        <v/>
      </c>
      <c r="G755" s="209" t="str">
        <f t="array" ref="G755">UPPER(IF(ISNA($AA755),"",INDEX(DECLARATIONS,$AA755,4)))</f>
        <v/>
      </c>
      <c r="H755" t="str">
        <f>IF(AND(A755&gt;0,ISTEXT(B755)),IF(SECNAME="YES",LEFT(B755&amp;" ",FIND(" ",B755&amp;" ")+2)&amp;IF(F755&gt;0," ("&amp;F755&amp;")",""),B755&amp;IF(F755&gt;0," ("&amp;F755&amp;")","")),"#"&amp;$A755)</f>
        <v/>
      </c>
      <c r="I755" s="209">
        <f>IF(LEN($A755)&gt;0,IF(LEN($J755)&gt;0,MATCH(J755,MatchNames,0),EventIndex),0)</f>
        <v>0</v>
      </c>
      <c r="J755" s="209" t="str">
        <f>IF(LEN($A755)&gt;0,IF(LEN(Declarations!$F755)&gt;0,Declarations!$F755,conftype),"")</f>
        <v/>
      </c>
      <c r="M755" s="297">
        <f>IF(ISNA(VLOOKUP($A755,SprintData,2,FALSE)),0,VLOOKUP($A755,SprintData,2,FALSE))</f>
        <v>0</v>
      </c>
      <c r="N755" s="297">
        <f>IF(ISNA(VLOOKUP($A755,JumpData,2,FALSE)),0,VLOOKUP($A755,JumpData,2,FALSE))</f>
        <v>0</v>
      </c>
      <c r="O755" s="297">
        <f>IF(ISNA(VLOOKUP($A755,RunData,2,FALSE)),0,VLOOKUP($A755,RunData,2,FALSE))</f>
        <v>0</v>
      </c>
      <c r="P755" s="297">
        <f>IF(ISNA(VLOOKUP($A755,ThrowData,2,FALSE)),0,VLOOKUP($A755,ThrowData,2,FALSE))</f>
        <v>0</v>
      </c>
      <c r="Q755" s="298">
        <f>IF(ISNA(VLOOKUP($A755,SprintData,4,FALSE)),0,VLOOKUP($A755,SprintData,4,FALSE))+V755</f>
        <v>0</v>
      </c>
      <c r="R755" s="298">
        <f>IF(ISNA(VLOOKUP($A755,JumpData,4,FALSE)),0,VLOOKUP($A755,JumpData,4,FALSE))+W755</f>
        <v>0</v>
      </c>
      <c r="S755" s="298">
        <f>IF(ISNA(VLOOKUP($A755,RunData,4,FALSE)),0,VLOOKUP($A755,RunData,4,FALSE))+X755</f>
        <v>0</v>
      </c>
      <c r="T755" s="298">
        <f>IF(ISNA(VLOOKUP($A755,ThrowData,4,FALSE)),0,VLOOKUP($A755,ThrowData,4,FALSE))+Y755</f>
        <v>0</v>
      </c>
      <c r="U755" s="299">
        <f t="shared" si="2"/>
        <v>0</v>
      </c>
      <c r="V755">
        <f>IF(AND($F755&gt;0,NOT(M755),Flexing),FlexPC,0)</f>
        <v>0</v>
      </c>
      <c r="W755">
        <f>IF(AND($F755&gt;0,NOT(N755),Flexing),FlexPC,0)</f>
        <v>0</v>
      </c>
      <c r="X755">
        <f>IF(AND($F755&gt;0,NOT(O755),Flexing),FlexPC,0)</f>
        <v>0</v>
      </c>
      <c r="Y755">
        <f>IF(AND($F755&gt;0,NOT(P755),Flexing),FlexPC,0)</f>
        <v>0</v>
      </c>
      <c r="AA755" s="209">
        <f t="shared" si="3"/>
        <v>754</v>
      </c>
    </row>
    <row r="756" ht="15.75" customHeight="1">
      <c r="A756" s="206" t="str">
        <f>+Declarations!A756&amp;""</f>
        <v/>
      </c>
      <c r="B756" t="str">
        <f>IF(LEN($A756),IF(LEN(Declarations!$B756)&gt;0,Declarations!$B756,"#"&amp;$A756),"")</f>
        <v/>
      </c>
      <c r="C756" s="209" t="str">
        <f t="array" ref="C756">IF(LEN(INDEX(DECLARATIONS,$AA756,3))&gt;0,INDEX(DECLARATIONS,$AA756,3),"...")</f>
        <v>...</v>
      </c>
      <c r="D756" s="209" t="str">
        <f t="shared" si="1"/>
        <v/>
      </c>
      <c r="E756" s="296" t="str">
        <f t="array" ref="E756">IF(ISNA($AA756),0,INDEX(DECLARATIONS,$AA756,5))</f>
        <v/>
      </c>
      <c r="F756" s="209" t="str">
        <f t="array" ref="F756">IF(ISNA($AA756),0,INDEX(DECLARATIONS,$AA756,7))</f>
        <v/>
      </c>
      <c r="G756" s="209" t="str">
        <f t="array" ref="G756">UPPER(IF(ISNA($AA756),"",INDEX(DECLARATIONS,$AA756,4)))</f>
        <v/>
      </c>
      <c r="H756" t="str">
        <f>IF(AND(A756&gt;0,ISTEXT(B756)),IF(SECNAME="YES",LEFT(B756&amp;" ",FIND(" ",B756&amp;" ")+2)&amp;IF(F756&gt;0," ("&amp;F756&amp;")",""),B756&amp;IF(F756&gt;0," ("&amp;F756&amp;")","")),"#"&amp;$A756)</f>
        <v/>
      </c>
      <c r="I756" s="209">
        <f>IF(LEN($A756)&gt;0,IF(LEN($J756)&gt;0,MATCH(J756,MatchNames,0),EventIndex),0)</f>
        <v>0</v>
      </c>
      <c r="J756" s="209" t="str">
        <f>IF(LEN($A756)&gt;0,IF(LEN(Declarations!$F756)&gt;0,Declarations!$F756,conftype),"")</f>
        <v/>
      </c>
      <c r="M756" s="297">
        <f>IF(ISNA(VLOOKUP($A756,SprintData,2,FALSE)),0,VLOOKUP($A756,SprintData,2,FALSE))</f>
        <v>0</v>
      </c>
      <c r="N756" s="297">
        <f>IF(ISNA(VLOOKUP($A756,JumpData,2,FALSE)),0,VLOOKUP($A756,JumpData,2,FALSE))</f>
        <v>0</v>
      </c>
      <c r="O756" s="297">
        <f>IF(ISNA(VLOOKUP($A756,RunData,2,FALSE)),0,VLOOKUP($A756,RunData,2,FALSE))</f>
        <v>0</v>
      </c>
      <c r="P756" s="297">
        <f>IF(ISNA(VLOOKUP($A756,ThrowData,2,FALSE)),0,VLOOKUP($A756,ThrowData,2,FALSE))</f>
        <v>0</v>
      </c>
      <c r="Q756" s="298">
        <f>IF(ISNA(VLOOKUP($A756,SprintData,4,FALSE)),0,VLOOKUP($A756,SprintData,4,FALSE))+V756</f>
        <v>0</v>
      </c>
      <c r="R756" s="298">
        <f>IF(ISNA(VLOOKUP($A756,JumpData,4,FALSE)),0,VLOOKUP($A756,JumpData,4,FALSE))+W756</f>
        <v>0</v>
      </c>
      <c r="S756" s="298">
        <f>IF(ISNA(VLOOKUP($A756,RunData,4,FALSE)),0,VLOOKUP($A756,RunData,4,FALSE))+X756</f>
        <v>0</v>
      </c>
      <c r="T756" s="298">
        <f>IF(ISNA(VLOOKUP($A756,ThrowData,4,FALSE)),0,VLOOKUP($A756,ThrowData,4,FALSE))+Y756</f>
        <v>0</v>
      </c>
      <c r="U756" s="299">
        <f t="shared" si="2"/>
        <v>0</v>
      </c>
      <c r="V756">
        <f>IF(AND($F756&gt;0,NOT(M756),Flexing),FlexPC,0)</f>
        <v>0</v>
      </c>
      <c r="W756">
        <f>IF(AND($F756&gt;0,NOT(N756),Flexing),FlexPC,0)</f>
        <v>0</v>
      </c>
      <c r="X756">
        <f>IF(AND($F756&gt;0,NOT(O756),Flexing),FlexPC,0)</f>
        <v>0</v>
      </c>
      <c r="Y756">
        <f>IF(AND($F756&gt;0,NOT(P756),Flexing),FlexPC,0)</f>
        <v>0</v>
      </c>
      <c r="AA756" s="209">
        <f t="shared" si="3"/>
        <v>755</v>
      </c>
    </row>
    <row r="757" ht="15.75" customHeight="1">
      <c r="A757" s="206" t="str">
        <f>+Declarations!A757&amp;""</f>
        <v/>
      </c>
      <c r="B757" t="str">
        <f>IF(LEN($A757),IF(LEN(Declarations!$B757)&gt;0,Declarations!$B757,"#"&amp;$A757),"")</f>
        <v/>
      </c>
      <c r="C757" s="209" t="str">
        <f t="array" ref="C757">IF(LEN(INDEX(DECLARATIONS,$AA757,3))&gt;0,INDEX(DECLARATIONS,$AA757,3),"...")</f>
        <v>...</v>
      </c>
      <c r="D757" s="209" t="str">
        <f t="shared" si="1"/>
        <v/>
      </c>
      <c r="E757" s="296" t="str">
        <f t="array" ref="E757">IF(ISNA($AA757),0,INDEX(DECLARATIONS,$AA757,5))</f>
        <v/>
      </c>
      <c r="F757" s="209" t="str">
        <f t="array" ref="F757">IF(ISNA($AA757),0,INDEX(DECLARATIONS,$AA757,7))</f>
        <v/>
      </c>
      <c r="G757" s="209" t="str">
        <f t="array" ref="G757">UPPER(IF(ISNA($AA757),"",INDEX(DECLARATIONS,$AA757,4)))</f>
        <v/>
      </c>
      <c r="H757" t="str">
        <f>IF(AND(A757&gt;0,ISTEXT(B757)),IF(SECNAME="YES",LEFT(B757&amp;" ",FIND(" ",B757&amp;" ")+2)&amp;IF(F757&gt;0," ("&amp;F757&amp;")",""),B757&amp;IF(F757&gt;0," ("&amp;F757&amp;")","")),"#"&amp;$A757)</f>
        <v/>
      </c>
      <c r="I757" s="209">
        <f>IF(LEN($A757)&gt;0,IF(LEN($J757)&gt;0,MATCH(J757,MatchNames,0),EventIndex),0)</f>
        <v>0</v>
      </c>
      <c r="J757" s="209" t="str">
        <f>IF(LEN($A757)&gt;0,IF(LEN(Declarations!$F757)&gt;0,Declarations!$F757,conftype),"")</f>
        <v/>
      </c>
      <c r="M757" s="297">
        <f>IF(ISNA(VLOOKUP($A757,SprintData,2,FALSE)),0,VLOOKUP($A757,SprintData,2,FALSE))</f>
        <v>0</v>
      </c>
      <c r="N757" s="297">
        <f>IF(ISNA(VLOOKUP($A757,JumpData,2,FALSE)),0,VLOOKUP($A757,JumpData,2,FALSE))</f>
        <v>0</v>
      </c>
      <c r="O757" s="297">
        <f>IF(ISNA(VLOOKUP($A757,RunData,2,FALSE)),0,VLOOKUP($A757,RunData,2,FALSE))</f>
        <v>0</v>
      </c>
      <c r="P757" s="297">
        <f>IF(ISNA(VLOOKUP($A757,ThrowData,2,FALSE)),0,VLOOKUP($A757,ThrowData,2,FALSE))</f>
        <v>0</v>
      </c>
      <c r="Q757" s="298">
        <f>IF(ISNA(VLOOKUP($A757,SprintData,4,FALSE)),0,VLOOKUP($A757,SprintData,4,FALSE))+V757</f>
        <v>0</v>
      </c>
      <c r="R757" s="298">
        <f>IF(ISNA(VLOOKUP($A757,JumpData,4,FALSE)),0,VLOOKUP($A757,JumpData,4,FALSE))+W757</f>
        <v>0</v>
      </c>
      <c r="S757" s="298">
        <f>IF(ISNA(VLOOKUP($A757,RunData,4,FALSE)),0,VLOOKUP($A757,RunData,4,FALSE))+X757</f>
        <v>0</v>
      </c>
      <c r="T757" s="298">
        <f>IF(ISNA(VLOOKUP($A757,ThrowData,4,FALSE)),0,VLOOKUP($A757,ThrowData,4,FALSE))+Y757</f>
        <v>0</v>
      </c>
      <c r="U757" s="299">
        <f t="shared" si="2"/>
        <v>0</v>
      </c>
      <c r="V757">
        <f>IF(AND($F757&gt;0,NOT(M757),Flexing),FlexPC,0)</f>
        <v>0</v>
      </c>
      <c r="W757">
        <f>IF(AND($F757&gt;0,NOT(N757),Flexing),FlexPC,0)</f>
        <v>0</v>
      </c>
      <c r="X757">
        <f>IF(AND($F757&gt;0,NOT(O757),Flexing),FlexPC,0)</f>
        <v>0</v>
      </c>
      <c r="Y757">
        <f>IF(AND($F757&gt;0,NOT(P757),Flexing),FlexPC,0)</f>
        <v>0</v>
      </c>
      <c r="AA757" s="209">
        <f t="shared" si="3"/>
        <v>756</v>
      </c>
    </row>
    <row r="758" ht="15.75" customHeight="1">
      <c r="A758" s="206" t="str">
        <f>+Declarations!A758&amp;""</f>
        <v/>
      </c>
      <c r="B758" t="str">
        <f>IF(LEN($A758),IF(LEN(Declarations!$B758)&gt;0,Declarations!$B758,"#"&amp;$A758),"")</f>
        <v/>
      </c>
      <c r="C758" s="209" t="str">
        <f t="array" ref="C758">IF(LEN(INDEX(DECLARATIONS,$AA758,3))&gt;0,INDEX(DECLARATIONS,$AA758,3),"...")</f>
        <v>...</v>
      </c>
      <c r="D758" s="209" t="str">
        <f t="shared" si="1"/>
        <v/>
      </c>
      <c r="E758" s="296" t="str">
        <f t="array" ref="E758">IF(ISNA($AA758),0,INDEX(DECLARATIONS,$AA758,5))</f>
        <v/>
      </c>
      <c r="F758" s="209" t="str">
        <f t="array" ref="F758">IF(ISNA($AA758),0,INDEX(DECLARATIONS,$AA758,7))</f>
        <v/>
      </c>
      <c r="G758" s="209" t="str">
        <f t="array" ref="G758">UPPER(IF(ISNA($AA758),"",INDEX(DECLARATIONS,$AA758,4)))</f>
        <v/>
      </c>
      <c r="H758" t="str">
        <f>IF(AND(A758&gt;0,ISTEXT(B758)),IF(SECNAME="YES",LEFT(B758&amp;" ",FIND(" ",B758&amp;" ")+2)&amp;IF(F758&gt;0," ("&amp;F758&amp;")",""),B758&amp;IF(F758&gt;0," ("&amp;F758&amp;")","")),"#"&amp;$A758)</f>
        <v/>
      </c>
      <c r="I758" s="209">
        <f>IF(LEN($A758)&gt;0,IF(LEN($J758)&gt;0,MATCH(J758,MatchNames,0),EventIndex),0)</f>
        <v>0</v>
      </c>
      <c r="J758" s="209" t="str">
        <f>IF(LEN($A758)&gt;0,IF(LEN(Declarations!$F758)&gt;0,Declarations!$F758,conftype),"")</f>
        <v/>
      </c>
      <c r="M758" s="297">
        <f>IF(ISNA(VLOOKUP($A758,SprintData,2,FALSE)),0,VLOOKUP($A758,SprintData,2,FALSE))</f>
        <v>0</v>
      </c>
      <c r="N758" s="297">
        <f>IF(ISNA(VLOOKUP($A758,JumpData,2,FALSE)),0,VLOOKUP($A758,JumpData,2,FALSE))</f>
        <v>0</v>
      </c>
      <c r="O758" s="297">
        <f>IF(ISNA(VLOOKUP($A758,RunData,2,FALSE)),0,VLOOKUP($A758,RunData,2,FALSE))</f>
        <v>0</v>
      </c>
      <c r="P758" s="297">
        <f>IF(ISNA(VLOOKUP($A758,ThrowData,2,FALSE)),0,VLOOKUP($A758,ThrowData,2,FALSE))</f>
        <v>0</v>
      </c>
      <c r="Q758" s="298">
        <f>IF(ISNA(VLOOKUP($A758,SprintData,4,FALSE)),0,VLOOKUP($A758,SprintData,4,FALSE))+V758</f>
        <v>0</v>
      </c>
      <c r="R758" s="298">
        <f>IF(ISNA(VLOOKUP($A758,JumpData,4,FALSE)),0,VLOOKUP($A758,JumpData,4,FALSE))+W758</f>
        <v>0</v>
      </c>
      <c r="S758" s="298">
        <f>IF(ISNA(VLOOKUP($A758,RunData,4,FALSE)),0,VLOOKUP($A758,RunData,4,FALSE))+X758</f>
        <v>0</v>
      </c>
      <c r="T758" s="298">
        <f>IF(ISNA(VLOOKUP($A758,ThrowData,4,FALSE)),0,VLOOKUP($A758,ThrowData,4,FALSE))+Y758</f>
        <v>0</v>
      </c>
      <c r="U758" s="299">
        <f t="shared" si="2"/>
        <v>0</v>
      </c>
      <c r="V758">
        <f>IF(AND($F758&gt;0,NOT(M758),Flexing),FlexPC,0)</f>
        <v>0</v>
      </c>
      <c r="W758">
        <f>IF(AND($F758&gt;0,NOT(N758),Flexing),FlexPC,0)</f>
        <v>0</v>
      </c>
      <c r="X758">
        <f>IF(AND($F758&gt;0,NOT(O758),Flexing),FlexPC,0)</f>
        <v>0</v>
      </c>
      <c r="Y758">
        <f>IF(AND($F758&gt;0,NOT(P758),Flexing),FlexPC,0)</f>
        <v>0</v>
      </c>
      <c r="AA758" s="209">
        <f t="shared" si="3"/>
        <v>757</v>
      </c>
    </row>
    <row r="759" ht="15.75" customHeight="1">
      <c r="A759" s="206" t="str">
        <f>+Declarations!A759&amp;""</f>
        <v/>
      </c>
      <c r="B759" t="str">
        <f>IF(LEN($A759),IF(LEN(Declarations!$B759)&gt;0,Declarations!$B759,"#"&amp;$A759),"")</f>
        <v/>
      </c>
      <c r="C759" s="209" t="str">
        <f t="array" ref="C759">IF(LEN(INDEX(DECLARATIONS,$AA759,3))&gt;0,INDEX(DECLARATIONS,$AA759,3),"...")</f>
        <v>...</v>
      </c>
      <c r="D759" s="209" t="str">
        <f t="shared" si="1"/>
        <v/>
      </c>
      <c r="E759" s="296" t="str">
        <f t="array" ref="E759">IF(ISNA($AA759),0,INDEX(DECLARATIONS,$AA759,5))</f>
        <v/>
      </c>
      <c r="F759" s="209" t="str">
        <f t="array" ref="F759">IF(ISNA($AA759),0,INDEX(DECLARATIONS,$AA759,7))</f>
        <v/>
      </c>
      <c r="G759" s="209" t="str">
        <f t="array" ref="G759">UPPER(IF(ISNA($AA759),"",INDEX(DECLARATIONS,$AA759,4)))</f>
        <v/>
      </c>
      <c r="H759" t="str">
        <f>IF(AND(A759&gt;0,ISTEXT(B759)),IF(SECNAME="YES",LEFT(B759&amp;" ",FIND(" ",B759&amp;" ")+2)&amp;IF(F759&gt;0," ("&amp;F759&amp;")",""),B759&amp;IF(F759&gt;0," ("&amp;F759&amp;")","")),"#"&amp;$A759)</f>
        <v/>
      </c>
      <c r="I759" s="209">
        <f>IF(LEN($A759)&gt;0,IF(LEN($J759)&gt;0,MATCH(J759,MatchNames,0),EventIndex),0)</f>
        <v>0</v>
      </c>
      <c r="J759" s="209" t="str">
        <f>IF(LEN($A759)&gt;0,IF(LEN(Declarations!$F759)&gt;0,Declarations!$F759,conftype),"")</f>
        <v/>
      </c>
      <c r="M759" s="297">
        <f>IF(ISNA(VLOOKUP($A759,SprintData,2,FALSE)),0,VLOOKUP($A759,SprintData,2,FALSE))</f>
        <v>0</v>
      </c>
      <c r="N759" s="297">
        <f>IF(ISNA(VLOOKUP($A759,JumpData,2,FALSE)),0,VLOOKUP($A759,JumpData,2,FALSE))</f>
        <v>0</v>
      </c>
      <c r="O759" s="297">
        <f>IF(ISNA(VLOOKUP($A759,RunData,2,FALSE)),0,VLOOKUP($A759,RunData,2,FALSE))</f>
        <v>0</v>
      </c>
      <c r="P759" s="297">
        <f>IF(ISNA(VLOOKUP($A759,ThrowData,2,FALSE)),0,VLOOKUP($A759,ThrowData,2,FALSE))</f>
        <v>0</v>
      </c>
      <c r="Q759" s="298">
        <f>IF(ISNA(VLOOKUP($A759,SprintData,4,FALSE)),0,VLOOKUP($A759,SprintData,4,FALSE))+V759</f>
        <v>0</v>
      </c>
      <c r="R759" s="298">
        <f>IF(ISNA(VLOOKUP($A759,JumpData,4,FALSE)),0,VLOOKUP($A759,JumpData,4,FALSE))+W759</f>
        <v>0</v>
      </c>
      <c r="S759" s="298">
        <f>IF(ISNA(VLOOKUP($A759,RunData,4,FALSE)),0,VLOOKUP($A759,RunData,4,FALSE))+X759</f>
        <v>0</v>
      </c>
      <c r="T759" s="298">
        <f>IF(ISNA(VLOOKUP($A759,ThrowData,4,FALSE)),0,VLOOKUP($A759,ThrowData,4,FALSE))+Y759</f>
        <v>0</v>
      </c>
      <c r="U759" s="299">
        <f t="shared" si="2"/>
        <v>0</v>
      </c>
      <c r="V759">
        <f>IF(AND($F759&gt;0,NOT(M759),Flexing),FlexPC,0)</f>
        <v>0</v>
      </c>
      <c r="W759">
        <f>IF(AND($F759&gt;0,NOT(N759),Flexing),FlexPC,0)</f>
        <v>0</v>
      </c>
      <c r="X759">
        <f>IF(AND($F759&gt;0,NOT(O759),Flexing),FlexPC,0)</f>
        <v>0</v>
      </c>
      <c r="Y759">
        <f>IF(AND($F759&gt;0,NOT(P759),Flexing),FlexPC,0)</f>
        <v>0</v>
      </c>
      <c r="AA759" s="209">
        <f t="shared" si="3"/>
        <v>758</v>
      </c>
    </row>
    <row r="760" ht="15.75" customHeight="1">
      <c r="A760" s="206" t="str">
        <f>+Declarations!A760&amp;""</f>
        <v/>
      </c>
      <c r="B760" t="str">
        <f>IF(LEN($A760),IF(LEN(Declarations!$B760)&gt;0,Declarations!$B760,"#"&amp;$A760),"")</f>
        <v/>
      </c>
      <c r="C760" s="209" t="str">
        <f t="array" ref="C760">IF(LEN(INDEX(DECLARATIONS,$AA760,3))&gt;0,INDEX(DECLARATIONS,$AA760,3),"...")</f>
        <v>...</v>
      </c>
      <c r="D760" s="209" t="str">
        <f t="shared" si="1"/>
        <v/>
      </c>
      <c r="E760" s="296" t="str">
        <f t="array" ref="E760">IF(ISNA($AA760),0,INDEX(DECLARATIONS,$AA760,5))</f>
        <v/>
      </c>
      <c r="F760" s="209" t="str">
        <f t="array" ref="F760">IF(ISNA($AA760),0,INDEX(DECLARATIONS,$AA760,7))</f>
        <v/>
      </c>
      <c r="G760" s="209" t="str">
        <f t="array" ref="G760">UPPER(IF(ISNA($AA760),"",INDEX(DECLARATIONS,$AA760,4)))</f>
        <v/>
      </c>
      <c r="H760" t="str">
        <f>IF(AND(A760&gt;0,ISTEXT(B760)),IF(SECNAME="YES",LEFT(B760&amp;" ",FIND(" ",B760&amp;" ")+2)&amp;IF(F760&gt;0," ("&amp;F760&amp;")",""),B760&amp;IF(F760&gt;0," ("&amp;F760&amp;")","")),"#"&amp;$A760)</f>
        <v/>
      </c>
      <c r="I760" s="209">
        <f>IF(LEN($A760)&gt;0,IF(LEN($J760)&gt;0,MATCH(J760,MatchNames,0),EventIndex),0)</f>
        <v>0</v>
      </c>
      <c r="J760" s="209" t="str">
        <f>IF(LEN($A760)&gt;0,IF(LEN(Declarations!$F760)&gt;0,Declarations!$F760,conftype),"")</f>
        <v/>
      </c>
      <c r="M760" s="297">
        <f>IF(ISNA(VLOOKUP($A760,SprintData,2,FALSE)),0,VLOOKUP($A760,SprintData,2,FALSE))</f>
        <v>0</v>
      </c>
      <c r="N760" s="297">
        <f>IF(ISNA(VLOOKUP($A760,JumpData,2,FALSE)),0,VLOOKUP($A760,JumpData,2,FALSE))</f>
        <v>0</v>
      </c>
      <c r="O760" s="297">
        <f>IF(ISNA(VLOOKUP($A760,RunData,2,FALSE)),0,VLOOKUP($A760,RunData,2,FALSE))</f>
        <v>0</v>
      </c>
      <c r="P760" s="297">
        <f>IF(ISNA(VLOOKUP($A760,ThrowData,2,FALSE)),0,VLOOKUP($A760,ThrowData,2,FALSE))</f>
        <v>0</v>
      </c>
      <c r="Q760" s="298">
        <f>IF(ISNA(VLOOKUP($A760,SprintData,4,FALSE)),0,VLOOKUP($A760,SprintData,4,FALSE))+V760</f>
        <v>0</v>
      </c>
      <c r="R760" s="298">
        <f>IF(ISNA(VLOOKUP($A760,JumpData,4,FALSE)),0,VLOOKUP($A760,JumpData,4,FALSE))+W760</f>
        <v>0</v>
      </c>
      <c r="S760" s="298">
        <f>IF(ISNA(VLOOKUP($A760,RunData,4,FALSE)),0,VLOOKUP($A760,RunData,4,FALSE))+X760</f>
        <v>0</v>
      </c>
      <c r="T760" s="298">
        <f>IF(ISNA(VLOOKUP($A760,ThrowData,4,FALSE)),0,VLOOKUP($A760,ThrowData,4,FALSE))+Y760</f>
        <v>0</v>
      </c>
      <c r="U760" s="299">
        <f t="shared" si="2"/>
        <v>0</v>
      </c>
      <c r="V760">
        <f>IF(AND($F760&gt;0,NOT(M760),Flexing),FlexPC,0)</f>
        <v>0</v>
      </c>
      <c r="W760">
        <f>IF(AND($F760&gt;0,NOT(N760),Flexing),FlexPC,0)</f>
        <v>0</v>
      </c>
      <c r="X760">
        <f>IF(AND($F760&gt;0,NOT(O760),Flexing),FlexPC,0)</f>
        <v>0</v>
      </c>
      <c r="Y760">
        <f>IF(AND($F760&gt;0,NOT(P760),Flexing),FlexPC,0)</f>
        <v>0</v>
      </c>
      <c r="AA760" s="209">
        <f t="shared" si="3"/>
        <v>759</v>
      </c>
    </row>
    <row r="761" ht="15.75" customHeight="1">
      <c r="A761" s="206" t="str">
        <f>+Declarations!A761&amp;""</f>
        <v/>
      </c>
      <c r="B761" t="str">
        <f>IF(LEN($A761),IF(LEN(Declarations!$B761)&gt;0,Declarations!$B761,"#"&amp;$A761),"")</f>
        <v/>
      </c>
      <c r="C761" s="209" t="str">
        <f t="array" ref="C761">IF(LEN(INDEX(DECLARATIONS,$AA761,3))&gt;0,INDEX(DECLARATIONS,$AA761,3),"...")</f>
        <v>...</v>
      </c>
      <c r="D761" s="209" t="str">
        <f t="shared" si="1"/>
        <v/>
      </c>
      <c r="E761" s="296" t="str">
        <f t="array" ref="E761">IF(ISNA($AA761),0,INDEX(DECLARATIONS,$AA761,5))</f>
        <v/>
      </c>
      <c r="F761" s="209" t="str">
        <f t="array" ref="F761">IF(ISNA($AA761),0,INDEX(DECLARATIONS,$AA761,7))</f>
        <v/>
      </c>
      <c r="G761" s="209" t="str">
        <f t="array" ref="G761">UPPER(IF(ISNA($AA761),"",INDEX(DECLARATIONS,$AA761,4)))</f>
        <v/>
      </c>
      <c r="H761" t="str">
        <f>IF(AND(A761&gt;0,ISTEXT(B761)),IF(SECNAME="YES",LEFT(B761&amp;" ",FIND(" ",B761&amp;" ")+2)&amp;IF(F761&gt;0," ("&amp;F761&amp;")",""),B761&amp;IF(F761&gt;0," ("&amp;F761&amp;")","")),"#"&amp;$A761)</f>
        <v/>
      </c>
      <c r="I761" s="209">
        <f>IF(LEN($A761)&gt;0,IF(LEN($J761)&gt;0,MATCH(J761,MatchNames,0),EventIndex),0)</f>
        <v>0</v>
      </c>
      <c r="J761" s="209" t="str">
        <f>IF(LEN($A761)&gt;0,IF(LEN(Declarations!$F761)&gt;0,Declarations!$F761,conftype),"")</f>
        <v/>
      </c>
      <c r="M761" s="297">
        <f>IF(ISNA(VLOOKUP($A761,SprintData,2,FALSE)),0,VLOOKUP($A761,SprintData,2,FALSE))</f>
        <v>0</v>
      </c>
      <c r="N761" s="297">
        <f>IF(ISNA(VLOOKUP($A761,JumpData,2,FALSE)),0,VLOOKUP($A761,JumpData,2,FALSE))</f>
        <v>0</v>
      </c>
      <c r="O761" s="297">
        <f>IF(ISNA(VLOOKUP($A761,RunData,2,FALSE)),0,VLOOKUP($A761,RunData,2,FALSE))</f>
        <v>0</v>
      </c>
      <c r="P761" s="297">
        <f>IF(ISNA(VLOOKUP($A761,ThrowData,2,FALSE)),0,VLOOKUP($A761,ThrowData,2,FALSE))</f>
        <v>0</v>
      </c>
      <c r="Q761" s="298">
        <f>IF(ISNA(VLOOKUP($A761,SprintData,4,FALSE)),0,VLOOKUP($A761,SprintData,4,FALSE))+V761</f>
        <v>0</v>
      </c>
      <c r="R761" s="298">
        <f>IF(ISNA(VLOOKUP($A761,JumpData,4,FALSE)),0,VLOOKUP($A761,JumpData,4,FALSE))+W761</f>
        <v>0</v>
      </c>
      <c r="S761" s="298">
        <f>IF(ISNA(VLOOKUP($A761,RunData,4,FALSE)),0,VLOOKUP($A761,RunData,4,FALSE))+X761</f>
        <v>0</v>
      </c>
      <c r="T761" s="298">
        <f>IF(ISNA(VLOOKUP($A761,ThrowData,4,FALSE)),0,VLOOKUP($A761,ThrowData,4,FALSE))+Y761</f>
        <v>0</v>
      </c>
      <c r="U761" s="299">
        <f t="shared" si="2"/>
        <v>0</v>
      </c>
      <c r="V761">
        <f>IF(AND($F761&gt;0,NOT(M761),Flexing),FlexPC,0)</f>
        <v>0</v>
      </c>
      <c r="W761">
        <f>IF(AND($F761&gt;0,NOT(N761),Flexing),FlexPC,0)</f>
        <v>0</v>
      </c>
      <c r="X761">
        <f>IF(AND($F761&gt;0,NOT(O761),Flexing),FlexPC,0)</f>
        <v>0</v>
      </c>
      <c r="Y761">
        <f>IF(AND($F761&gt;0,NOT(P761),Flexing),FlexPC,0)</f>
        <v>0</v>
      </c>
      <c r="AA761" s="209">
        <f t="shared" si="3"/>
        <v>760</v>
      </c>
    </row>
    <row r="762" ht="15.75" customHeight="1">
      <c r="A762" s="206" t="str">
        <f>+Declarations!A762&amp;""</f>
        <v/>
      </c>
      <c r="B762" t="str">
        <f>IF(LEN($A762),IF(LEN(Declarations!$B762)&gt;0,Declarations!$B762,"#"&amp;$A762),"")</f>
        <v/>
      </c>
      <c r="C762" s="209" t="str">
        <f t="array" ref="C762">IF(LEN(INDEX(DECLARATIONS,$AA762,3))&gt;0,INDEX(DECLARATIONS,$AA762,3),"...")</f>
        <v>...</v>
      </c>
      <c r="D762" s="209" t="str">
        <f t="shared" si="1"/>
        <v/>
      </c>
      <c r="E762" s="296" t="str">
        <f t="array" ref="E762">IF(ISNA($AA762),0,INDEX(DECLARATIONS,$AA762,5))</f>
        <v/>
      </c>
      <c r="F762" s="209" t="str">
        <f t="array" ref="F762">IF(ISNA($AA762),0,INDEX(DECLARATIONS,$AA762,7))</f>
        <v/>
      </c>
      <c r="G762" s="209" t="str">
        <f t="array" ref="G762">UPPER(IF(ISNA($AA762),"",INDEX(DECLARATIONS,$AA762,4)))</f>
        <v/>
      </c>
      <c r="H762" t="str">
        <f>IF(AND(A762&gt;0,ISTEXT(B762)),IF(SECNAME="YES",LEFT(B762&amp;" ",FIND(" ",B762&amp;" ")+2)&amp;IF(F762&gt;0," ("&amp;F762&amp;")",""),B762&amp;IF(F762&gt;0," ("&amp;F762&amp;")","")),"#"&amp;$A762)</f>
        <v/>
      </c>
      <c r="I762" s="209">
        <f>IF(LEN($A762)&gt;0,IF(LEN($J762)&gt;0,MATCH(J762,MatchNames,0),EventIndex),0)</f>
        <v>0</v>
      </c>
      <c r="J762" s="209" t="str">
        <f>IF(LEN($A762)&gt;0,IF(LEN(Declarations!$F762)&gt;0,Declarations!$F762,conftype),"")</f>
        <v/>
      </c>
      <c r="M762" s="297">
        <f>IF(ISNA(VLOOKUP($A762,SprintData,2,FALSE)),0,VLOOKUP($A762,SprintData,2,FALSE))</f>
        <v>0</v>
      </c>
      <c r="N762" s="297">
        <f>IF(ISNA(VLOOKUP($A762,JumpData,2,FALSE)),0,VLOOKUP($A762,JumpData,2,FALSE))</f>
        <v>0</v>
      </c>
      <c r="O762" s="297">
        <f>IF(ISNA(VLOOKUP($A762,RunData,2,FALSE)),0,VLOOKUP($A762,RunData,2,FALSE))</f>
        <v>0</v>
      </c>
      <c r="P762" s="297">
        <f>IF(ISNA(VLOOKUP($A762,ThrowData,2,FALSE)),0,VLOOKUP($A762,ThrowData,2,FALSE))</f>
        <v>0</v>
      </c>
      <c r="Q762" s="298">
        <f>IF(ISNA(VLOOKUP($A762,SprintData,4,FALSE)),0,VLOOKUP($A762,SprintData,4,FALSE))+V762</f>
        <v>0</v>
      </c>
      <c r="R762" s="298">
        <f>IF(ISNA(VLOOKUP($A762,JumpData,4,FALSE)),0,VLOOKUP($A762,JumpData,4,FALSE))+W762</f>
        <v>0</v>
      </c>
      <c r="S762" s="298">
        <f>IF(ISNA(VLOOKUP($A762,RunData,4,FALSE)),0,VLOOKUP($A762,RunData,4,FALSE))+X762</f>
        <v>0</v>
      </c>
      <c r="T762" s="298">
        <f>IF(ISNA(VLOOKUP($A762,ThrowData,4,FALSE)),0,VLOOKUP($A762,ThrowData,4,FALSE))+Y762</f>
        <v>0</v>
      </c>
      <c r="U762" s="299">
        <f t="shared" si="2"/>
        <v>0</v>
      </c>
      <c r="V762">
        <f>IF(AND($F762&gt;0,NOT(M762),Flexing),FlexPC,0)</f>
        <v>0</v>
      </c>
      <c r="W762">
        <f>IF(AND($F762&gt;0,NOT(N762),Flexing),FlexPC,0)</f>
        <v>0</v>
      </c>
      <c r="X762">
        <f>IF(AND($F762&gt;0,NOT(O762),Flexing),FlexPC,0)</f>
        <v>0</v>
      </c>
      <c r="Y762">
        <f>IF(AND($F762&gt;0,NOT(P762),Flexing),FlexPC,0)</f>
        <v>0</v>
      </c>
      <c r="AA762" s="209">
        <f t="shared" si="3"/>
        <v>761</v>
      </c>
    </row>
    <row r="763" ht="15.75" customHeight="1">
      <c r="A763" s="206" t="str">
        <f>+Declarations!A763&amp;""</f>
        <v/>
      </c>
      <c r="B763" t="str">
        <f>IF(LEN($A763),IF(LEN(Declarations!$B763)&gt;0,Declarations!$B763,"#"&amp;$A763),"")</f>
        <v/>
      </c>
      <c r="C763" s="209" t="str">
        <f t="array" ref="C763">IF(LEN(INDEX(DECLARATIONS,$AA763,3))&gt;0,INDEX(DECLARATIONS,$AA763,3),"...")</f>
        <v>...</v>
      </c>
      <c r="D763" s="209" t="str">
        <f t="shared" si="1"/>
        <v/>
      </c>
      <c r="E763" s="296" t="str">
        <f t="array" ref="E763">IF(ISNA($AA763),0,INDEX(DECLARATIONS,$AA763,5))</f>
        <v/>
      </c>
      <c r="F763" s="209" t="str">
        <f t="array" ref="F763">IF(ISNA($AA763),0,INDEX(DECLARATIONS,$AA763,7))</f>
        <v/>
      </c>
      <c r="G763" s="209" t="str">
        <f t="array" ref="G763">UPPER(IF(ISNA($AA763),"",INDEX(DECLARATIONS,$AA763,4)))</f>
        <v/>
      </c>
      <c r="H763" t="str">
        <f>IF(AND(A763&gt;0,ISTEXT(B763)),IF(SECNAME="YES",LEFT(B763&amp;" ",FIND(" ",B763&amp;" ")+2)&amp;IF(F763&gt;0," ("&amp;F763&amp;")",""),B763&amp;IF(F763&gt;0," ("&amp;F763&amp;")","")),"#"&amp;$A763)</f>
        <v/>
      </c>
      <c r="I763" s="209">
        <f>IF(LEN($A763)&gt;0,IF(LEN($J763)&gt;0,MATCH(J763,MatchNames,0),EventIndex),0)</f>
        <v>0</v>
      </c>
      <c r="J763" s="209" t="str">
        <f>IF(LEN($A763)&gt;0,IF(LEN(Declarations!$F763)&gt;0,Declarations!$F763,conftype),"")</f>
        <v/>
      </c>
      <c r="M763" s="297">
        <f>IF(ISNA(VLOOKUP($A763,SprintData,2,FALSE)),0,VLOOKUP($A763,SprintData,2,FALSE))</f>
        <v>0</v>
      </c>
      <c r="N763" s="297">
        <f>IF(ISNA(VLOOKUP($A763,JumpData,2,FALSE)),0,VLOOKUP($A763,JumpData,2,FALSE))</f>
        <v>0</v>
      </c>
      <c r="O763" s="297">
        <f>IF(ISNA(VLOOKUP($A763,RunData,2,FALSE)),0,VLOOKUP($A763,RunData,2,FALSE))</f>
        <v>0</v>
      </c>
      <c r="P763" s="297">
        <f>IF(ISNA(VLOOKUP($A763,ThrowData,2,FALSE)),0,VLOOKUP($A763,ThrowData,2,FALSE))</f>
        <v>0</v>
      </c>
      <c r="Q763" s="298">
        <f>IF(ISNA(VLOOKUP($A763,SprintData,4,FALSE)),0,VLOOKUP($A763,SprintData,4,FALSE))+V763</f>
        <v>0</v>
      </c>
      <c r="R763" s="298">
        <f>IF(ISNA(VLOOKUP($A763,JumpData,4,FALSE)),0,VLOOKUP($A763,JumpData,4,FALSE))+W763</f>
        <v>0</v>
      </c>
      <c r="S763" s="298">
        <f>IF(ISNA(VLOOKUP($A763,RunData,4,FALSE)),0,VLOOKUP($A763,RunData,4,FALSE))+X763</f>
        <v>0</v>
      </c>
      <c r="T763" s="298">
        <f>IF(ISNA(VLOOKUP($A763,ThrowData,4,FALSE)),0,VLOOKUP($A763,ThrowData,4,FALSE))+Y763</f>
        <v>0</v>
      </c>
      <c r="U763" s="299">
        <f t="shared" si="2"/>
        <v>0</v>
      </c>
      <c r="V763">
        <f>IF(AND($F763&gt;0,NOT(M763),Flexing),FlexPC,0)</f>
        <v>0</v>
      </c>
      <c r="W763">
        <f>IF(AND($F763&gt;0,NOT(N763),Flexing),FlexPC,0)</f>
        <v>0</v>
      </c>
      <c r="X763">
        <f>IF(AND($F763&gt;0,NOT(O763),Flexing),FlexPC,0)</f>
        <v>0</v>
      </c>
      <c r="Y763">
        <f>IF(AND($F763&gt;0,NOT(P763),Flexing),FlexPC,0)</f>
        <v>0</v>
      </c>
      <c r="AA763" s="209">
        <f t="shared" si="3"/>
        <v>762</v>
      </c>
    </row>
    <row r="764" ht="15.75" customHeight="1">
      <c r="A764" s="206" t="str">
        <f>+Declarations!A764&amp;""</f>
        <v/>
      </c>
      <c r="B764" t="str">
        <f>IF(LEN($A764),IF(LEN(Declarations!$B764)&gt;0,Declarations!$B764,"#"&amp;$A764),"")</f>
        <v/>
      </c>
      <c r="C764" s="209" t="str">
        <f t="array" ref="C764">IF(LEN(INDEX(DECLARATIONS,$AA764,3))&gt;0,INDEX(DECLARATIONS,$AA764,3),"...")</f>
        <v>...</v>
      </c>
      <c r="D764" s="209" t="str">
        <f t="shared" si="1"/>
        <v/>
      </c>
      <c r="E764" s="296" t="str">
        <f t="array" ref="E764">IF(ISNA($AA764),0,INDEX(DECLARATIONS,$AA764,5))</f>
        <v/>
      </c>
      <c r="F764" s="209" t="str">
        <f t="array" ref="F764">IF(ISNA($AA764),0,INDEX(DECLARATIONS,$AA764,7))</f>
        <v/>
      </c>
      <c r="G764" s="209" t="str">
        <f t="array" ref="G764">UPPER(IF(ISNA($AA764),"",INDEX(DECLARATIONS,$AA764,4)))</f>
        <v/>
      </c>
      <c r="H764" t="str">
        <f>IF(AND(A764&gt;0,ISTEXT(B764)),IF(SECNAME="YES",LEFT(B764&amp;" ",FIND(" ",B764&amp;" ")+2)&amp;IF(F764&gt;0," ("&amp;F764&amp;")",""),B764&amp;IF(F764&gt;0," ("&amp;F764&amp;")","")),"#"&amp;$A764)</f>
        <v/>
      </c>
      <c r="I764" s="209">
        <f>IF(LEN($A764)&gt;0,IF(LEN($J764)&gt;0,MATCH(J764,MatchNames,0),EventIndex),0)</f>
        <v>0</v>
      </c>
      <c r="J764" s="209" t="str">
        <f>IF(LEN($A764)&gt;0,IF(LEN(Declarations!$F764)&gt;0,Declarations!$F764,conftype),"")</f>
        <v/>
      </c>
      <c r="M764" s="297">
        <f>IF(ISNA(VLOOKUP($A764,SprintData,2,FALSE)),0,VLOOKUP($A764,SprintData,2,FALSE))</f>
        <v>0</v>
      </c>
      <c r="N764" s="297">
        <f>IF(ISNA(VLOOKUP($A764,JumpData,2,FALSE)),0,VLOOKUP($A764,JumpData,2,FALSE))</f>
        <v>0</v>
      </c>
      <c r="O764" s="297">
        <f>IF(ISNA(VLOOKUP($A764,RunData,2,FALSE)),0,VLOOKUP($A764,RunData,2,FALSE))</f>
        <v>0</v>
      </c>
      <c r="P764" s="297">
        <f>IF(ISNA(VLOOKUP($A764,ThrowData,2,FALSE)),0,VLOOKUP($A764,ThrowData,2,FALSE))</f>
        <v>0</v>
      </c>
      <c r="Q764" s="298">
        <f>IF(ISNA(VLOOKUP($A764,SprintData,4,FALSE)),0,VLOOKUP($A764,SprintData,4,FALSE))+V764</f>
        <v>0</v>
      </c>
      <c r="R764" s="298">
        <f>IF(ISNA(VLOOKUP($A764,JumpData,4,FALSE)),0,VLOOKUP($A764,JumpData,4,FALSE))+W764</f>
        <v>0</v>
      </c>
      <c r="S764" s="298">
        <f>IF(ISNA(VLOOKUP($A764,RunData,4,FALSE)),0,VLOOKUP($A764,RunData,4,FALSE))+X764</f>
        <v>0</v>
      </c>
      <c r="T764" s="298">
        <f>IF(ISNA(VLOOKUP($A764,ThrowData,4,FALSE)),0,VLOOKUP($A764,ThrowData,4,FALSE))+Y764</f>
        <v>0</v>
      </c>
      <c r="U764" s="299">
        <f t="shared" si="2"/>
        <v>0</v>
      </c>
      <c r="V764">
        <f>IF(AND($F764&gt;0,NOT(M764),Flexing),FlexPC,0)</f>
        <v>0</v>
      </c>
      <c r="W764">
        <f>IF(AND($F764&gt;0,NOT(N764),Flexing),FlexPC,0)</f>
        <v>0</v>
      </c>
      <c r="X764">
        <f>IF(AND($F764&gt;0,NOT(O764),Flexing),FlexPC,0)</f>
        <v>0</v>
      </c>
      <c r="Y764">
        <f>IF(AND($F764&gt;0,NOT(P764),Flexing),FlexPC,0)</f>
        <v>0</v>
      </c>
      <c r="AA764" s="209">
        <f t="shared" si="3"/>
        <v>763</v>
      </c>
    </row>
    <row r="765" ht="15.75" customHeight="1">
      <c r="A765" s="206" t="str">
        <f>+Declarations!A765&amp;""</f>
        <v/>
      </c>
      <c r="B765" t="str">
        <f>IF(LEN($A765),IF(LEN(Declarations!$B765)&gt;0,Declarations!$B765,"#"&amp;$A765),"")</f>
        <v/>
      </c>
      <c r="C765" s="209" t="str">
        <f t="array" ref="C765">IF(LEN(INDEX(DECLARATIONS,$AA765,3))&gt;0,INDEX(DECLARATIONS,$AA765,3),"...")</f>
        <v>...</v>
      </c>
      <c r="D765" s="209" t="str">
        <f t="shared" si="1"/>
        <v/>
      </c>
      <c r="E765" s="296" t="str">
        <f t="array" ref="E765">IF(ISNA($AA765),0,INDEX(DECLARATIONS,$AA765,5))</f>
        <v/>
      </c>
      <c r="F765" s="209" t="str">
        <f t="array" ref="F765">IF(ISNA($AA765),0,INDEX(DECLARATIONS,$AA765,7))</f>
        <v/>
      </c>
      <c r="G765" s="209" t="str">
        <f t="array" ref="G765">UPPER(IF(ISNA($AA765),"",INDEX(DECLARATIONS,$AA765,4)))</f>
        <v/>
      </c>
      <c r="H765" t="str">
        <f>IF(AND(A765&gt;0,ISTEXT(B765)),IF(SECNAME="YES",LEFT(B765&amp;" ",FIND(" ",B765&amp;" ")+2)&amp;IF(F765&gt;0," ("&amp;F765&amp;")",""),B765&amp;IF(F765&gt;0," ("&amp;F765&amp;")","")),"#"&amp;$A765)</f>
        <v/>
      </c>
      <c r="I765" s="209">
        <f>IF(LEN($A765)&gt;0,IF(LEN($J765)&gt;0,MATCH(J765,MatchNames,0),EventIndex),0)</f>
        <v>0</v>
      </c>
      <c r="J765" s="209" t="str">
        <f>IF(LEN($A765)&gt;0,IF(LEN(Declarations!$F765)&gt;0,Declarations!$F765,conftype),"")</f>
        <v/>
      </c>
      <c r="M765" s="297">
        <f>IF(ISNA(VLOOKUP($A765,SprintData,2,FALSE)),0,VLOOKUP($A765,SprintData,2,FALSE))</f>
        <v>0</v>
      </c>
      <c r="N765" s="297">
        <f>IF(ISNA(VLOOKUP($A765,JumpData,2,FALSE)),0,VLOOKUP($A765,JumpData,2,FALSE))</f>
        <v>0</v>
      </c>
      <c r="O765" s="297">
        <f>IF(ISNA(VLOOKUP($A765,RunData,2,FALSE)),0,VLOOKUP($A765,RunData,2,FALSE))</f>
        <v>0</v>
      </c>
      <c r="P765" s="297">
        <f>IF(ISNA(VLOOKUP($A765,ThrowData,2,FALSE)),0,VLOOKUP($A765,ThrowData,2,FALSE))</f>
        <v>0</v>
      </c>
      <c r="Q765" s="298">
        <f>IF(ISNA(VLOOKUP($A765,SprintData,4,FALSE)),0,VLOOKUP($A765,SprintData,4,FALSE))+V765</f>
        <v>0</v>
      </c>
      <c r="R765" s="298">
        <f>IF(ISNA(VLOOKUP($A765,JumpData,4,FALSE)),0,VLOOKUP($A765,JumpData,4,FALSE))+W765</f>
        <v>0</v>
      </c>
      <c r="S765" s="298">
        <f>IF(ISNA(VLOOKUP($A765,RunData,4,FALSE)),0,VLOOKUP($A765,RunData,4,FALSE))+X765</f>
        <v>0</v>
      </c>
      <c r="T765" s="298">
        <f>IF(ISNA(VLOOKUP($A765,ThrowData,4,FALSE)),0,VLOOKUP($A765,ThrowData,4,FALSE))+Y765</f>
        <v>0</v>
      </c>
      <c r="U765" s="299">
        <f t="shared" si="2"/>
        <v>0</v>
      </c>
      <c r="V765">
        <f>IF(AND($F765&gt;0,NOT(M765),Flexing),FlexPC,0)</f>
        <v>0</v>
      </c>
      <c r="W765">
        <f>IF(AND($F765&gt;0,NOT(N765),Flexing),FlexPC,0)</f>
        <v>0</v>
      </c>
      <c r="X765">
        <f>IF(AND($F765&gt;0,NOT(O765),Flexing),FlexPC,0)</f>
        <v>0</v>
      </c>
      <c r="Y765">
        <f>IF(AND($F765&gt;0,NOT(P765),Flexing),FlexPC,0)</f>
        <v>0</v>
      </c>
      <c r="AA765" s="209">
        <f t="shared" si="3"/>
        <v>764</v>
      </c>
    </row>
    <row r="766" ht="15.75" customHeight="1">
      <c r="A766" s="206" t="str">
        <f>+Declarations!A766&amp;""</f>
        <v/>
      </c>
      <c r="B766" t="str">
        <f>IF(LEN($A766),IF(LEN(Declarations!$B766)&gt;0,Declarations!$B766,"#"&amp;$A766),"")</f>
        <v/>
      </c>
      <c r="C766" s="209" t="str">
        <f t="array" ref="C766">IF(LEN(INDEX(DECLARATIONS,$AA766,3))&gt;0,INDEX(DECLARATIONS,$AA766,3),"...")</f>
        <v>...</v>
      </c>
      <c r="D766" s="209" t="str">
        <f t="shared" si="1"/>
        <v/>
      </c>
      <c r="E766" s="296" t="str">
        <f t="array" ref="E766">IF(ISNA($AA766),0,INDEX(DECLARATIONS,$AA766,5))</f>
        <v/>
      </c>
      <c r="F766" s="209" t="str">
        <f t="array" ref="F766">IF(ISNA($AA766),0,INDEX(DECLARATIONS,$AA766,7))</f>
        <v/>
      </c>
      <c r="G766" s="209" t="str">
        <f t="array" ref="G766">UPPER(IF(ISNA($AA766),"",INDEX(DECLARATIONS,$AA766,4)))</f>
        <v/>
      </c>
      <c r="H766" t="str">
        <f>IF(AND(A766&gt;0,ISTEXT(B766)),IF(SECNAME="YES",LEFT(B766&amp;" ",FIND(" ",B766&amp;" ")+2)&amp;IF(F766&gt;0," ("&amp;F766&amp;")",""),B766&amp;IF(F766&gt;0," ("&amp;F766&amp;")","")),"#"&amp;$A766)</f>
        <v/>
      </c>
      <c r="I766" s="209">
        <f>IF(LEN($A766)&gt;0,IF(LEN($J766)&gt;0,MATCH(J766,MatchNames,0),EventIndex),0)</f>
        <v>0</v>
      </c>
      <c r="J766" s="209" t="str">
        <f>IF(LEN($A766)&gt;0,IF(LEN(Declarations!$F766)&gt;0,Declarations!$F766,conftype),"")</f>
        <v/>
      </c>
      <c r="M766" s="297">
        <f>IF(ISNA(VLOOKUP($A766,SprintData,2,FALSE)),0,VLOOKUP($A766,SprintData,2,FALSE))</f>
        <v>0</v>
      </c>
      <c r="N766" s="297">
        <f>IF(ISNA(VLOOKUP($A766,JumpData,2,FALSE)),0,VLOOKUP($A766,JumpData,2,FALSE))</f>
        <v>0</v>
      </c>
      <c r="O766" s="297">
        <f>IF(ISNA(VLOOKUP($A766,RunData,2,FALSE)),0,VLOOKUP($A766,RunData,2,FALSE))</f>
        <v>0</v>
      </c>
      <c r="P766" s="297">
        <f>IF(ISNA(VLOOKUP($A766,ThrowData,2,FALSE)),0,VLOOKUP($A766,ThrowData,2,FALSE))</f>
        <v>0</v>
      </c>
      <c r="Q766" s="298">
        <f>IF(ISNA(VLOOKUP($A766,SprintData,4,FALSE)),0,VLOOKUP($A766,SprintData,4,FALSE))+V766</f>
        <v>0</v>
      </c>
      <c r="R766" s="298">
        <f>IF(ISNA(VLOOKUP($A766,JumpData,4,FALSE)),0,VLOOKUP($A766,JumpData,4,FALSE))+W766</f>
        <v>0</v>
      </c>
      <c r="S766" s="298">
        <f>IF(ISNA(VLOOKUP($A766,RunData,4,FALSE)),0,VLOOKUP($A766,RunData,4,FALSE))+X766</f>
        <v>0</v>
      </c>
      <c r="T766" s="298">
        <f>IF(ISNA(VLOOKUP($A766,ThrowData,4,FALSE)),0,VLOOKUP($A766,ThrowData,4,FALSE))+Y766</f>
        <v>0</v>
      </c>
      <c r="U766" s="299">
        <f t="shared" si="2"/>
        <v>0</v>
      </c>
      <c r="V766">
        <f>IF(AND($F766&gt;0,NOT(M766),Flexing),FlexPC,0)</f>
        <v>0</v>
      </c>
      <c r="W766">
        <f>IF(AND($F766&gt;0,NOT(N766),Flexing),FlexPC,0)</f>
        <v>0</v>
      </c>
      <c r="X766">
        <f>IF(AND($F766&gt;0,NOT(O766),Flexing),FlexPC,0)</f>
        <v>0</v>
      </c>
      <c r="Y766">
        <f>IF(AND($F766&gt;0,NOT(P766),Flexing),FlexPC,0)</f>
        <v>0</v>
      </c>
      <c r="AA766" s="209">
        <f t="shared" si="3"/>
        <v>765</v>
      </c>
    </row>
    <row r="767" ht="15.75" customHeight="1">
      <c r="A767" s="206" t="str">
        <f>+Declarations!A767&amp;""</f>
        <v/>
      </c>
      <c r="B767" t="str">
        <f>IF(LEN($A767),IF(LEN(Declarations!$B767)&gt;0,Declarations!$B767,"#"&amp;$A767),"")</f>
        <v/>
      </c>
      <c r="C767" s="209" t="str">
        <f t="array" ref="C767">IF(LEN(INDEX(DECLARATIONS,$AA767,3))&gt;0,INDEX(DECLARATIONS,$AA767,3),"...")</f>
        <v>...</v>
      </c>
      <c r="D767" s="209" t="str">
        <f t="shared" si="1"/>
        <v/>
      </c>
      <c r="E767" s="296" t="str">
        <f t="array" ref="E767">IF(ISNA($AA767),0,INDEX(DECLARATIONS,$AA767,5))</f>
        <v/>
      </c>
      <c r="F767" s="209" t="str">
        <f t="array" ref="F767">IF(ISNA($AA767),0,INDEX(DECLARATIONS,$AA767,7))</f>
        <v/>
      </c>
      <c r="G767" s="209" t="str">
        <f t="array" ref="G767">UPPER(IF(ISNA($AA767),"",INDEX(DECLARATIONS,$AA767,4)))</f>
        <v/>
      </c>
      <c r="H767" t="str">
        <f>IF(AND(A767&gt;0,ISTEXT(B767)),IF(SECNAME="YES",LEFT(B767&amp;" ",FIND(" ",B767&amp;" ")+2)&amp;IF(F767&gt;0," ("&amp;F767&amp;")",""),B767&amp;IF(F767&gt;0," ("&amp;F767&amp;")","")),"#"&amp;$A767)</f>
        <v/>
      </c>
      <c r="I767" s="209">
        <f>IF(LEN($A767)&gt;0,IF(LEN($J767)&gt;0,MATCH(J767,MatchNames,0),EventIndex),0)</f>
        <v>0</v>
      </c>
      <c r="J767" s="209" t="str">
        <f>IF(LEN($A767)&gt;0,IF(LEN(Declarations!$F767)&gt;0,Declarations!$F767,conftype),"")</f>
        <v/>
      </c>
      <c r="M767" s="297">
        <f>IF(ISNA(VLOOKUP($A767,SprintData,2,FALSE)),0,VLOOKUP($A767,SprintData,2,FALSE))</f>
        <v>0</v>
      </c>
      <c r="N767" s="297">
        <f>IF(ISNA(VLOOKUP($A767,JumpData,2,FALSE)),0,VLOOKUP($A767,JumpData,2,FALSE))</f>
        <v>0</v>
      </c>
      <c r="O767" s="297">
        <f>IF(ISNA(VLOOKUP($A767,RunData,2,FALSE)),0,VLOOKUP($A767,RunData,2,FALSE))</f>
        <v>0</v>
      </c>
      <c r="P767" s="297">
        <f>IF(ISNA(VLOOKUP($A767,ThrowData,2,FALSE)),0,VLOOKUP($A767,ThrowData,2,FALSE))</f>
        <v>0</v>
      </c>
      <c r="Q767" s="298">
        <f>IF(ISNA(VLOOKUP($A767,SprintData,4,FALSE)),0,VLOOKUP($A767,SprintData,4,FALSE))+V767</f>
        <v>0</v>
      </c>
      <c r="R767" s="298">
        <f>IF(ISNA(VLOOKUP($A767,JumpData,4,FALSE)),0,VLOOKUP($A767,JumpData,4,FALSE))+W767</f>
        <v>0</v>
      </c>
      <c r="S767" s="298">
        <f>IF(ISNA(VLOOKUP($A767,RunData,4,FALSE)),0,VLOOKUP($A767,RunData,4,FALSE))+X767</f>
        <v>0</v>
      </c>
      <c r="T767" s="298">
        <f>IF(ISNA(VLOOKUP($A767,ThrowData,4,FALSE)),0,VLOOKUP($A767,ThrowData,4,FALSE))+Y767</f>
        <v>0</v>
      </c>
      <c r="U767" s="299">
        <f t="shared" si="2"/>
        <v>0</v>
      </c>
      <c r="V767">
        <f>IF(AND($F767&gt;0,NOT(M767),Flexing),FlexPC,0)</f>
        <v>0</v>
      </c>
      <c r="W767">
        <f>IF(AND($F767&gt;0,NOT(N767),Flexing),FlexPC,0)</f>
        <v>0</v>
      </c>
      <c r="X767">
        <f>IF(AND($F767&gt;0,NOT(O767),Flexing),FlexPC,0)</f>
        <v>0</v>
      </c>
      <c r="Y767">
        <f>IF(AND($F767&gt;0,NOT(P767),Flexing),FlexPC,0)</f>
        <v>0</v>
      </c>
      <c r="AA767" s="209">
        <f t="shared" si="3"/>
        <v>766</v>
      </c>
    </row>
    <row r="768" ht="15.75" customHeight="1">
      <c r="A768" s="206" t="str">
        <f>+Declarations!A768&amp;""</f>
        <v/>
      </c>
      <c r="B768" t="str">
        <f>IF(LEN($A768),IF(LEN(Declarations!$B768)&gt;0,Declarations!$B768,"#"&amp;$A768),"")</f>
        <v/>
      </c>
      <c r="C768" s="209" t="str">
        <f t="array" ref="C768">IF(LEN(INDEX(DECLARATIONS,$AA768,3))&gt;0,INDEX(DECLARATIONS,$AA768,3),"...")</f>
        <v>...</v>
      </c>
      <c r="D768" s="209" t="str">
        <f t="shared" si="1"/>
        <v/>
      </c>
      <c r="E768" s="296" t="str">
        <f t="array" ref="E768">IF(ISNA($AA768),0,INDEX(DECLARATIONS,$AA768,5))</f>
        <v/>
      </c>
      <c r="F768" s="209" t="str">
        <f t="array" ref="F768">IF(ISNA($AA768),0,INDEX(DECLARATIONS,$AA768,7))</f>
        <v/>
      </c>
      <c r="G768" s="209" t="str">
        <f t="array" ref="G768">UPPER(IF(ISNA($AA768),"",INDEX(DECLARATIONS,$AA768,4)))</f>
        <v/>
      </c>
      <c r="H768" t="str">
        <f>IF(AND(A768&gt;0,ISTEXT(B768)),IF(SECNAME="YES",LEFT(B768&amp;" ",FIND(" ",B768&amp;" ")+2)&amp;IF(F768&gt;0," ("&amp;F768&amp;")",""),B768&amp;IF(F768&gt;0," ("&amp;F768&amp;")","")),"#"&amp;$A768)</f>
        <v/>
      </c>
      <c r="I768" s="209">
        <f>IF(LEN($A768)&gt;0,IF(LEN($J768)&gt;0,MATCH(J768,MatchNames,0),EventIndex),0)</f>
        <v>0</v>
      </c>
      <c r="J768" s="209" t="str">
        <f>IF(LEN($A768)&gt;0,IF(LEN(Declarations!$F768)&gt;0,Declarations!$F768,conftype),"")</f>
        <v/>
      </c>
      <c r="M768" s="297">
        <f>IF(ISNA(VLOOKUP($A768,SprintData,2,FALSE)),0,VLOOKUP($A768,SprintData,2,FALSE))</f>
        <v>0</v>
      </c>
      <c r="N768" s="297">
        <f>IF(ISNA(VLOOKUP($A768,JumpData,2,FALSE)),0,VLOOKUP($A768,JumpData,2,FALSE))</f>
        <v>0</v>
      </c>
      <c r="O768" s="297">
        <f>IF(ISNA(VLOOKUP($A768,RunData,2,FALSE)),0,VLOOKUP($A768,RunData,2,FALSE))</f>
        <v>0</v>
      </c>
      <c r="P768" s="297">
        <f>IF(ISNA(VLOOKUP($A768,ThrowData,2,FALSE)),0,VLOOKUP($A768,ThrowData,2,FALSE))</f>
        <v>0</v>
      </c>
      <c r="Q768" s="298">
        <f>IF(ISNA(VLOOKUP($A768,SprintData,4,FALSE)),0,VLOOKUP($A768,SprintData,4,FALSE))+V768</f>
        <v>0</v>
      </c>
      <c r="R768" s="298">
        <f>IF(ISNA(VLOOKUP($A768,JumpData,4,FALSE)),0,VLOOKUP($A768,JumpData,4,FALSE))+W768</f>
        <v>0</v>
      </c>
      <c r="S768" s="298">
        <f>IF(ISNA(VLOOKUP($A768,RunData,4,FALSE)),0,VLOOKUP($A768,RunData,4,FALSE))+X768</f>
        <v>0</v>
      </c>
      <c r="T768" s="298">
        <f>IF(ISNA(VLOOKUP($A768,ThrowData,4,FALSE)),0,VLOOKUP($A768,ThrowData,4,FALSE))+Y768</f>
        <v>0</v>
      </c>
      <c r="U768" s="299">
        <f t="shared" si="2"/>
        <v>0</v>
      </c>
      <c r="V768">
        <f>IF(AND($F768&gt;0,NOT(M768),Flexing),FlexPC,0)</f>
        <v>0</v>
      </c>
      <c r="W768">
        <f>IF(AND($F768&gt;0,NOT(N768),Flexing),FlexPC,0)</f>
        <v>0</v>
      </c>
      <c r="X768">
        <f>IF(AND($F768&gt;0,NOT(O768),Flexing),FlexPC,0)</f>
        <v>0</v>
      </c>
      <c r="Y768">
        <f>IF(AND($F768&gt;0,NOT(P768),Flexing),FlexPC,0)</f>
        <v>0</v>
      </c>
      <c r="AA768" s="209">
        <f t="shared" si="3"/>
        <v>767</v>
      </c>
    </row>
    <row r="769" ht="15.75" customHeight="1">
      <c r="A769" s="206" t="str">
        <f>+Declarations!A769&amp;""</f>
        <v/>
      </c>
      <c r="B769" t="str">
        <f>IF(LEN($A769),IF(LEN(Declarations!$B769)&gt;0,Declarations!$B769,"#"&amp;$A769),"")</f>
        <v/>
      </c>
      <c r="C769" s="209" t="str">
        <f t="array" ref="C769">IF(LEN(INDEX(DECLARATIONS,$AA769,3))&gt;0,INDEX(DECLARATIONS,$AA769,3),"...")</f>
        <v>...</v>
      </c>
      <c r="D769" s="209" t="str">
        <f t="shared" si="1"/>
        <v/>
      </c>
      <c r="E769" s="296" t="str">
        <f t="array" ref="E769">IF(ISNA($AA769),0,INDEX(DECLARATIONS,$AA769,5))</f>
        <v/>
      </c>
      <c r="F769" s="209" t="str">
        <f t="array" ref="F769">IF(ISNA($AA769),0,INDEX(DECLARATIONS,$AA769,7))</f>
        <v/>
      </c>
      <c r="G769" s="209" t="str">
        <f t="array" ref="G769">UPPER(IF(ISNA($AA769),"",INDEX(DECLARATIONS,$AA769,4)))</f>
        <v/>
      </c>
      <c r="H769" t="str">
        <f>IF(AND(A769&gt;0,ISTEXT(B769)),IF(SECNAME="YES",LEFT(B769&amp;" ",FIND(" ",B769&amp;" ")+2)&amp;IF(F769&gt;0," ("&amp;F769&amp;")",""),B769&amp;IF(F769&gt;0," ("&amp;F769&amp;")","")),"#"&amp;$A769)</f>
        <v/>
      </c>
      <c r="I769" s="209">
        <f>IF(LEN($A769)&gt;0,IF(LEN($J769)&gt;0,MATCH(J769,MatchNames,0),EventIndex),0)</f>
        <v>0</v>
      </c>
      <c r="J769" s="209" t="str">
        <f>IF(LEN($A769)&gt;0,IF(LEN(Declarations!$F769)&gt;0,Declarations!$F769,conftype),"")</f>
        <v/>
      </c>
      <c r="M769" s="297">
        <f>IF(ISNA(VLOOKUP($A769,SprintData,2,FALSE)),0,VLOOKUP($A769,SprintData,2,FALSE))</f>
        <v>0</v>
      </c>
      <c r="N769" s="297">
        <f>IF(ISNA(VLOOKUP($A769,JumpData,2,FALSE)),0,VLOOKUP($A769,JumpData,2,FALSE))</f>
        <v>0</v>
      </c>
      <c r="O769" s="297">
        <f>IF(ISNA(VLOOKUP($A769,RunData,2,FALSE)),0,VLOOKUP($A769,RunData,2,FALSE))</f>
        <v>0</v>
      </c>
      <c r="P769" s="297">
        <f>IF(ISNA(VLOOKUP($A769,ThrowData,2,FALSE)),0,VLOOKUP($A769,ThrowData,2,FALSE))</f>
        <v>0</v>
      </c>
      <c r="Q769" s="298">
        <f>IF(ISNA(VLOOKUP($A769,SprintData,4,FALSE)),0,VLOOKUP($A769,SprintData,4,FALSE))+V769</f>
        <v>0</v>
      </c>
      <c r="R769" s="298">
        <f>IF(ISNA(VLOOKUP($A769,JumpData,4,FALSE)),0,VLOOKUP($A769,JumpData,4,FALSE))+W769</f>
        <v>0</v>
      </c>
      <c r="S769" s="298">
        <f>IF(ISNA(VLOOKUP($A769,RunData,4,FALSE)),0,VLOOKUP($A769,RunData,4,FALSE))+X769</f>
        <v>0</v>
      </c>
      <c r="T769" s="298">
        <f>IF(ISNA(VLOOKUP($A769,ThrowData,4,FALSE)),0,VLOOKUP($A769,ThrowData,4,FALSE))+Y769</f>
        <v>0</v>
      </c>
      <c r="U769" s="299">
        <f t="shared" si="2"/>
        <v>0</v>
      </c>
      <c r="V769">
        <f>IF(AND($F769&gt;0,NOT(M769),Flexing),FlexPC,0)</f>
        <v>0</v>
      </c>
      <c r="W769">
        <f>IF(AND($F769&gt;0,NOT(N769),Flexing),FlexPC,0)</f>
        <v>0</v>
      </c>
      <c r="X769">
        <f>IF(AND($F769&gt;0,NOT(O769),Flexing),FlexPC,0)</f>
        <v>0</v>
      </c>
      <c r="Y769">
        <f>IF(AND($F769&gt;0,NOT(P769),Flexing),FlexPC,0)</f>
        <v>0</v>
      </c>
      <c r="AA769" s="209">
        <f t="shared" si="3"/>
        <v>768</v>
      </c>
    </row>
    <row r="770" ht="15.75" customHeight="1">
      <c r="A770" s="206" t="str">
        <f>+Declarations!A770&amp;""</f>
        <v/>
      </c>
      <c r="B770" t="str">
        <f>IF(LEN($A770),IF(LEN(Declarations!$B770)&gt;0,Declarations!$B770,"#"&amp;$A770),"")</f>
        <v/>
      </c>
      <c r="C770" s="209" t="str">
        <f t="array" ref="C770">IF(LEN(INDEX(DECLARATIONS,$AA770,3))&gt;0,INDEX(DECLARATIONS,$AA770,3),"...")</f>
        <v>...</v>
      </c>
      <c r="D770" s="209" t="str">
        <f t="shared" si="1"/>
        <v/>
      </c>
      <c r="E770" s="296" t="str">
        <f t="array" ref="E770">IF(ISNA($AA770),0,INDEX(DECLARATIONS,$AA770,5))</f>
        <v/>
      </c>
      <c r="F770" s="209" t="str">
        <f t="array" ref="F770">IF(ISNA($AA770),0,INDEX(DECLARATIONS,$AA770,7))</f>
        <v/>
      </c>
      <c r="G770" s="209" t="str">
        <f t="array" ref="G770">UPPER(IF(ISNA($AA770),"",INDEX(DECLARATIONS,$AA770,4)))</f>
        <v/>
      </c>
      <c r="H770" t="str">
        <f>IF(AND(A770&gt;0,ISTEXT(B770)),IF(SECNAME="YES",LEFT(B770&amp;" ",FIND(" ",B770&amp;" ")+2)&amp;IF(F770&gt;0," ("&amp;F770&amp;")",""),B770&amp;IF(F770&gt;0," ("&amp;F770&amp;")","")),"#"&amp;$A770)</f>
        <v/>
      </c>
      <c r="I770" s="209">
        <f>IF(LEN($A770)&gt;0,IF(LEN($J770)&gt;0,MATCH(J770,MatchNames,0),EventIndex),0)</f>
        <v>0</v>
      </c>
      <c r="J770" s="209" t="str">
        <f>IF(LEN($A770)&gt;0,IF(LEN(Declarations!$F770)&gt;0,Declarations!$F770,conftype),"")</f>
        <v/>
      </c>
      <c r="M770" s="297">
        <f>IF(ISNA(VLOOKUP($A770,SprintData,2,FALSE)),0,VLOOKUP($A770,SprintData,2,FALSE))</f>
        <v>0</v>
      </c>
      <c r="N770" s="297">
        <f>IF(ISNA(VLOOKUP($A770,JumpData,2,FALSE)),0,VLOOKUP($A770,JumpData,2,FALSE))</f>
        <v>0</v>
      </c>
      <c r="O770" s="297">
        <f>IF(ISNA(VLOOKUP($A770,RunData,2,FALSE)),0,VLOOKUP($A770,RunData,2,FALSE))</f>
        <v>0</v>
      </c>
      <c r="P770" s="297">
        <f>IF(ISNA(VLOOKUP($A770,ThrowData,2,FALSE)),0,VLOOKUP($A770,ThrowData,2,FALSE))</f>
        <v>0</v>
      </c>
      <c r="Q770" s="298">
        <f>IF(ISNA(VLOOKUP($A770,SprintData,4,FALSE)),0,VLOOKUP($A770,SprintData,4,FALSE))+V770</f>
        <v>0</v>
      </c>
      <c r="R770" s="298">
        <f>IF(ISNA(VLOOKUP($A770,JumpData,4,FALSE)),0,VLOOKUP($A770,JumpData,4,FALSE))+W770</f>
        <v>0</v>
      </c>
      <c r="S770" s="298">
        <f>IF(ISNA(VLOOKUP($A770,RunData,4,FALSE)),0,VLOOKUP($A770,RunData,4,FALSE))+X770</f>
        <v>0</v>
      </c>
      <c r="T770" s="298">
        <f>IF(ISNA(VLOOKUP($A770,ThrowData,4,FALSE)),0,VLOOKUP($A770,ThrowData,4,FALSE))+Y770</f>
        <v>0</v>
      </c>
      <c r="U770" s="299">
        <f t="shared" si="2"/>
        <v>0</v>
      </c>
      <c r="V770">
        <f>IF(AND($F770&gt;0,NOT(M770),Flexing),FlexPC,0)</f>
        <v>0</v>
      </c>
      <c r="W770">
        <f>IF(AND($F770&gt;0,NOT(N770),Flexing),FlexPC,0)</f>
        <v>0</v>
      </c>
      <c r="X770">
        <f>IF(AND($F770&gt;0,NOT(O770),Flexing),FlexPC,0)</f>
        <v>0</v>
      </c>
      <c r="Y770">
        <f>IF(AND($F770&gt;0,NOT(P770),Flexing),FlexPC,0)</f>
        <v>0</v>
      </c>
      <c r="AA770" s="209">
        <f t="shared" si="3"/>
        <v>769</v>
      </c>
    </row>
    <row r="771" ht="15.75" customHeight="1">
      <c r="A771" s="206" t="str">
        <f>+Declarations!A771&amp;""</f>
        <v/>
      </c>
      <c r="B771" t="str">
        <f>IF(LEN($A771),IF(LEN(Declarations!$B771)&gt;0,Declarations!$B771,"#"&amp;$A771),"")</f>
        <v/>
      </c>
      <c r="C771" s="209" t="str">
        <f t="array" ref="C771">IF(LEN(INDEX(DECLARATIONS,$AA771,3))&gt;0,INDEX(DECLARATIONS,$AA771,3),"...")</f>
        <v>...</v>
      </c>
      <c r="D771" s="209" t="str">
        <f t="shared" si="1"/>
        <v/>
      </c>
      <c r="E771" s="296" t="str">
        <f t="array" ref="E771">IF(ISNA($AA771),0,INDEX(DECLARATIONS,$AA771,5))</f>
        <v/>
      </c>
      <c r="F771" s="209" t="str">
        <f t="array" ref="F771">IF(ISNA($AA771),0,INDEX(DECLARATIONS,$AA771,7))</f>
        <v/>
      </c>
      <c r="G771" s="209" t="str">
        <f t="array" ref="G771">UPPER(IF(ISNA($AA771),"",INDEX(DECLARATIONS,$AA771,4)))</f>
        <v/>
      </c>
      <c r="H771" t="str">
        <f>IF(AND(A771&gt;0,ISTEXT(B771)),IF(SECNAME="YES",LEFT(B771&amp;" ",FIND(" ",B771&amp;" ")+2)&amp;IF(F771&gt;0," ("&amp;F771&amp;")",""),B771&amp;IF(F771&gt;0," ("&amp;F771&amp;")","")),"#"&amp;$A771)</f>
        <v/>
      </c>
      <c r="I771" s="209">
        <f>IF(LEN($A771)&gt;0,IF(LEN($J771)&gt;0,MATCH(J771,MatchNames,0),EventIndex),0)</f>
        <v>0</v>
      </c>
      <c r="J771" s="209" t="str">
        <f>IF(LEN($A771)&gt;0,IF(LEN(Declarations!$F771)&gt;0,Declarations!$F771,conftype),"")</f>
        <v/>
      </c>
      <c r="M771" s="297">
        <f>IF(ISNA(VLOOKUP($A771,SprintData,2,FALSE)),0,VLOOKUP($A771,SprintData,2,FALSE))</f>
        <v>0</v>
      </c>
      <c r="N771" s="297">
        <f>IF(ISNA(VLOOKUP($A771,JumpData,2,FALSE)),0,VLOOKUP($A771,JumpData,2,FALSE))</f>
        <v>0</v>
      </c>
      <c r="O771" s="297">
        <f>IF(ISNA(VLOOKUP($A771,RunData,2,FALSE)),0,VLOOKUP($A771,RunData,2,FALSE))</f>
        <v>0</v>
      </c>
      <c r="P771" s="297">
        <f>IF(ISNA(VLOOKUP($A771,ThrowData,2,FALSE)),0,VLOOKUP($A771,ThrowData,2,FALSE))</f>
        <v>0</v>
      </c>
      <c r="Q771" s="298">
        <f>IF(ISNA(VLOOKUP($A771,SprintData,4,FALSE)),0,VLOOKUP($A771,SprintData,4,FALSE))+V771</f>
        <v>0</v>
      </c>
      <c r="R771" s="298">
        <f>IF(ISNA(VLOOKUP($A771,JumpData,4,FALSE)),0,VLOOKUP($A771,JumpData,4,FALSE))+W771</f>
        <v>0</v>
      </c>
      <c r="S771" s="298">
        <f>IF(ISNA(VLOOKUP($A771,RunData,4,FALSE)),0,VLOOKUP($A771,RunData,4,FALSE))+X771</f>
        <v>0</v>
      </c>
      <c r="T771" s="298">
        <f>IF(ISNA(VLOOKUP($A771,ThrowData,4,FALSE)),0,VLOOKUP($A771,ThrowData,4,FALSE))+Y771</f>
        <v>0</v>
      </c>
      <c r="U771" s="299">
        <f t="shared" si="2"/>
        <v>0</v>
      </c>
      <c r="V771">
        <f>IF(AND($F771&gt;0,NOT(M771),Flexing),FlexPC,0)</f>
        <v>0</v>
      </c>
      <c r="W771">
        <f>IF(AND($F771&gt;0,NOT(N771),Flexing),FlexPC,0)</f>
        <v>0</v>
      </c>
      <c r="X771">
        <f>IF(AND($F771&gt;0,NOT(O771),Flexing),FlexPC,0)</f>
        <v>0</v>
      </c>
      <c r="Y771">
        <f>IF(AND($F771&gt;0,NOT(P771),Flexing),FlexPC,0)</f>
        <v>0</v>
      </c>
      <c r="AA771" s="209">
        <f t="shared" si="3"/>
        <v>770</v>
      </c>
    </row>
    <row r="772" ht="15.75" customHeight="1">
      <c r="A772" s="206" t="str">
        <f>+Declarations!A772&amp;""</f>
        <v/>
      </c>
      <c r="B772" t="str">
        <f>IF(LEN($A772),IF(LEN(Declarations!$B772)&gt;0,Declarations!$B772,"#"&amp;$A772),"")</f>
        <v/>
      </c>
      <c r="C772" s="209" t="str">
        <f t="array" ref="C772">IF(LEN(INDEX(DECLARATIONS,$AA772,3))&gt;0,INDEX(DECLARATIONS,$AA772,3),"...")</f>
        <v>...</v>
      </c>
      <c r="D772" s="209" t="str">
        <f t="shared" si="1"/>
        <v/>
      </c>
      <c r="E772" s="296" t="str">
        <f t="array" ref="E772">IF(ISNA($AA772),0,INDEX(DECLARATIONS,$AA772,5))</f>
        <v/>
      </c>
      <c r="F772" s="209" t="str">
        <f t="array" ref="F772">IF(ISNA($AA772),0,INDEX(DECLARATIONS,$AA772,7))</f>
        <v/>
      </c>
      <c r="G772" s="209" t="str">
        <f t="array" ref="G772">UPPER(IF(ISNA($AA772),"",INDEX(DECLARATIONS,$AA772,4)))</f>
        <v/>
      </c>
      <c r="H772" t="str">
        <f>IF(AND(A772&gt;0,ISTEXT(B772)),IF(SECNAME="YES",LEFT(B772&amp;" ",FIND(" ",B772&amp;" ")+2)&amp;IF(F772&gt;0," ("&amp;F772&amp;")",""),B772&amp;IF(F772&gt;0," ("&amp;F772&amp;")","")),"#"&amp;$A772)</f>
        <v/>
      </c>
      <c r="I772" s="209">
        <f>IF(LEN($A772)&gt;0,IF(LEN($J772)&gt;0,MATCH(J772,MatchNames,0),EventIndex),0)</f>
        <v>0</v>
      </c>
      <c r="J772" s="209" t="str">
        <f>IF(LEN($A772)&gt;0,IF(LEN(Declarations!$F772)&gt;0,Declarations!$F772,conftype),"")</f>
        <v/>
      </c>
      <c r="M772" s="297">
        <f>IF(ISNA(VLOOKUP($A772,SprintData,2,FALSE)),0,VLOOKUP($A772,SprintData,2,FALSE))</f>
        <v>0</v>
      </c>
      <c r="N772" s="297">
        <f>IF(ISNA(VLOOKUP($A772,JumpData,2,FALSE)),0,VLOOKUP($A772,JumpData,2,FALSE))</f>
        <v>0</v>
      </c>
      <c r="O772" s="297">
        <f>IF(ISNA(VLOOKUP($A772,RunData,2,FALSE)),0,VLOOKUP($A772,RunData,2,FALSE))</f>
        <v>0</v>
      </c>
      <c r="P772" s="297">
        <f>IF(ISNA(VLOOKUP($A772,ThrowData,2,FALSE)),0,VLOOKUP($A772,ThrowData,2,FALSE))</f>
        <v>0</v>
      </c>
      <c r="Q772" s="298">
        <f>IF(ISNA(VLOOKUP($A772,SprintData,4,FALSE)),0,VLOOKUP($A772,SprintData,4,FALSE))+V772</f>
        <v>0</v>
      </c>
      <c r="R772" s="298">
        <f>IF(ISNA(VLOOKUP($A772,JumpData,4,FALSE)),0,VLOOKUP($A772,JumpData,4,FALSE))+W772</f>
        <v>0</v>
      </c>
      <c r="S772" s="298">
        <f>IF(ISNA(VLOOKUP($A772,RunData,4,FALSE)),0,VLOOKUP($A772,RunData,4,FALSE))+X772</f>
        <v>0</v>
      </c>
      <c r="T772" s="298">
        <f>IF(ISNA(VLOOKUP($A772,ThrowData,4,FALSE)),0,VLOOKUP($A772,ThrowData,4,FALSE))+Y772</f>
        <v>0</v>
      </c>
      <c r="U772" s="299">
        <f t="shared" si="2"/>
        <v>0</v>
      </c>
      <c r="V772">
        <f>IF(AND($F772&gt;0,NOT(M772),Flexing),FlexPC,0)</f>
        <v>0</v>
      </c>
      <c r="W772">
        <f>IF(AND($F772&gt;0,NOT(N772),Flexing),FlexPC,0)</f>
        <v>0</v>
      </c>
      <c r="X772">
        <f>IF(AND($F772&gt;0,NOT(O772),Flexing),FlexPC,0)</f>
        <v>0</v>
      </c>
      <c r="Y772">
        <f>IF(AND($F772&gt;0,NOT(P772),Flexing),FlexPC,0)</f>
        <v>0</v>
      </c>
      <c r="AA772" s="209">
        <f t="shared" si="3"/>
        <v>771</v>
      </c>
    </row>
    <row r="773" ht="15.75" customHeight="1">
      <c r="A773" s="206" t="str">
        <f>+Declarations!A773&amp;""</f>
        <v/>
      </c>
      <c r="B773" t="str">
        <f>IF(LEN($A773),IF(LEN(Declarations!$B773)&gt;0,Declarations!$B773,"#"&amp;$A773),"")</f>
        <v/>
      </c>
      <c r="C773" s="209" t="str">
        <f t="array" ref="C773">IF(LEN(INDEX(DECLARATIONS,$AA773,3))&gt;0,INDEX(DECLARATIONS,$AA773,3),"...")</f>
        <v>...</v>
      </c>
      <c r="D773" s="209" t="str">
        <f t="shared" si="1"/>
        <v/>
      </c>
      <c r="E773" s="296" t="str">
        <f t="array" ref="E773">IF(ISNA($AA773),0,INDEX(DECLARATIONS,$AA773,5))</f>
        <v/>
      </c>
      <c r="F773" s="209" t="str">
        <f t="array" ref="F773">IF(ISNA($AA773),0,INDEX(DECLARATIONS,$AA773,7))</f>
        <v/>
      </c>
      <c r="G773" s="209" t="str">
        <f t="array" ref="G773">UPPER(IF(ISNA($AA773),"",INDEX(DECLARATIONS,$AA773,4)))</f>
        <v/>
      </c>
      <c r="H773" t="str">
        <f>IF(AND(A773&gt;0,ISTEXT(B773)),IF(SECNAME="YES",LEFT(B773&amp;" ",FIND(" ",B773&amp;" ")+2)&amp;IF(F773&gt;0," ("&amp;F773&amp;")",""),B773&amp;IF(F773&gt;0," ("&amp;F773&amp;")","")),"#"&amp;$A773)</f>
        <v/>
      </c>
      <c r="I773" s="209">
        <f>IF(LEN($A773)&gt;0,IF(LEN($J773)&gt;0,MATCH(J773,MatchNames,0),EventIndex),0)</f>
        <v>0</v>
      </c>
      <c r="J773" s="209" t="str">
        <f>IF(LEN($A773)&gt;0,IF(LEN(Declarations!$F773)&gt;0,Declarations!$F773,conftype),"")</f>
        <v/>
      </c>
      <c r="M773" s="297">
        <f>IF(ISNA(VLOOKUP($A773,SprintData,2,FALSE)),0,VLOOKUP($A773,SprintData,2,FALSE))</f>
        <v>0</v>
      </c>
      <c r="N773" s="297">
        <f>IF(ISNA(VLOOKUP($A773,JumpData,2,FALSE)),0,VLOOKUP($A773,JumpData,2,FALSE))</f>
        <v>0</v>
      </c>
      <c r="O773" s="297">
        <f>IF(ISNA(VLOOKUP($A773,RunData,2,FALSE)),0,VLOOKUP($A773,RunData,2,FALSE))</f>
        <v>0</v>
      </c>
      <c r="P773" s="297">
        <f>IF(ISNA(VLOOKUP($A773,ThrowData,2,FALSE)),0,VLOOKUP($A773,ThrowData,2,FALSE))</f>
        <v>0</v>
      </c>
      <c r="Q773" s="298">
        <f>IF(ISNA(VLOOKUP($A773,SprintData,4,FALSE)),0,VLOOKUP($A773,SprintData,4,FALSE))+V773</f>
        <v>0</v>
      </c>
      <c r="R773" s="298">
        <f>IF(ISNA(VLOOKUP($A773,JumpData,4,FALSE)),0,VLOOKUP($A773,JumpData,4,FALSE))+W773</f>
        <v>0</v>
      </c>
      <c r="S773" s="298">
        <f>IF(ISNA(VLOOKUP($A773,RunData,4,FALSE)),0,VLOOKUP($A773,RunData,4,FALSE))+X773</f>
        <v>0</v>
      </c>
      <c r="T773" s="298">
        <f>IF(ISNA(VLOOKUP($A773,ThrowData,4,FALSE)),0,VLOOKUP($A773,ThrowData,4,FALSE))+Y773</f>
        <v>0</v>
      </c>
      <c r="U773" s="299">
        <f t="shared" si="2"/>
        <v>0</v>
      </c>
      <c r="V773">
        <f>IF(AND($F773&gt;0,NOT(M773),Flexing),FlexPC,0)</f>
        <v>0</v>
      </c>
      <c r="W773">
        <f>IF(AND($F773&gt;0,NOT(N773),Flexing),FlexPC,0)</f>
        <v>0</v>
      </c>
      <c r="X773">
        <f>IF(AND($F773&gt;0,NOT(O773),Flexing),FlexPC,0)</f>
        <v>0</v>
      </c>
      <c r="Y773">
        <f>IF(AND($F773&gt;0,NOT(P773),Flexing),FlexPC,0)</f>
        <v>0</v>
      </c>
      <c r="AA773" s="209">
        <f t="shared" si="3"/>
        <v>772</v>
      </c>
    </row>
    <row r="774" ht="15.75" customHeight="1">
      <c r="A774" s="206" t="str">
        <f>+Declarations!A774&amp;""</f>
        <v/>
      </c>
      <c r="B774" t="str">
        <f>IF(LEN($A774),IF(LEN(Declarations!$B774)&gt;0,Declarations!$B774,"#"&amp;$A774),"")</f>
        <v/>
      </c>
      <c r="C774" s="209" t="str">
        <f t="array" ref="C774">IF(LEN(INDEX(DECLARATIONS,$AA774,3))&gt;0,INDEX(DECLARATIONS,$AA774,3),"...")</f>
        <v>...</v>
      </c>
      <c r="D774" s="209" t="str">
        <f t="shared" si="1"/>
        <v/>
      </c>
      <c r="E774" s="296" t="str">
        <f t="array" ref="E774">IF(ISNA($AA774),0,INDEX(DECLARATIONS,$AA774,5))</f>
        <v/>
      </c>
      <c r="F774" s="209" t="str">
        <f t="array" ref="F774">IF(ISNA($AA774),0,INDEX(DECLARATIONS,$AA774,7))</f>
        <v/>
      </c>
      <c r="G774" s="209" t="str">
        <f t="array" ref="G774">UPPER(IF(ISNA($AA774),"",INDEX(DECLARATIONS,$AA774,4)))</f>
        <v/>
      </c>
      <c r="H774" t="str">
        <f>IF(AND(A774&gt;0,ISTEXT(B774)),IF(SECNAME="YES",LEFT(B774&amp;" ",FIND(" ",B774&amp;" ")+2)&amp;IF(F774&gt;0," ("&amp;F774&amp;")",""),B774&amp;IF(F774&gt;0," ("&amp;F774&amp;")","")),"#"&amp;$A774)</f>
        <v/>
      </c>
      <c r="I774" s="209">
        <f>IF(LEN($A774)&gt;0,IF(LEN($J774)&gt;0,MATCH(J774,MatchNames,0),EventIndex),0)</f>
        <v>0</v>
      </c>
      <c r="J774" s="209" t="str">
        <f>IF(LEN($A774)&gt;0,IF(LEN(Declarations!$F774)&gt;0,Declarations!$F774,conftype),"")</f>
        <v/>
      </c>
      <c r="M774" s="297">
        <f>IF(ISNA(VLOOKUP($A774,SprintData,2,FALSE)),0,VLOOKUP($A774,SprintData,2,FALSE))</f>
        <v>0</v>
      </c>
      <c r="N774" s="297">
        <f>IF(ISNA(VLOOKUP($A774,JumpData,2,FALSE)),0,VLOOKUP($A774,JumpData,2,FALSE))</f>
        <v>0</v>
      </c>
      <c r="O774" s="297">
        <f>IF(ISNA(VLOOKUP($A774,RunData,2,FALSE)),0,VLOOKUP($A774,RunData,2,FALSE))</f>
        <v>0</v>
      </c>
      <c r="P774" s="297">
        <f>IF(ISNA(VLOOKUP($A774,ThrowData,2,FALSE)),0,VLOOKUP($A774,ThrowData,2,FALSE))</f>
        <v>0</v>
      </c>
      <c r="Q774" s="298">
        <f>IF(ISNA(VLOOKUP($A774,SprintData,4,FALSE)),0,VLOOKUP($A774,SprintData,4,FALSE))+V774</f>
        <v>0</v>
      </c>
      <c r="R774" s="298">
        <f>IF(ISNA(VLOOKUP($A774,JumpData,4,FALSE)),0,VLOOKUP($A774,JumpData,4,FALSE))+W774</f>
        <v>0</v>
      </c>
      <c r="S774" s="298">
        <f>IF(ISNA(VLOOKUP($A774,RunData,4,FALSE)),0,VLOOKUP($A774,RunData,4,FALSE))+X774</f>
        <v>0</v>
      </c>
      <c r="T774" s="298">
        <f>IF(ISNA(VLOOKUP($A774,ThrowData,4,FALSE)),0,VLOOKUP($A774,ThrowData,4,FALSE))+Y774</f>
        <v>0</v>
      </c>
      <c r="U774" s="299">
        <f t="shared" si="2"/>
        <v>0</v>
      </c>
      <c r="V774">
        <f>IF(AND($F774&gt;0,NOT(M774),Flexing),FlexPC,0)</f>
        <v>0</v>
      </c>
      <c r="W774">
        <f>IF(AND($F774&gt;0,NOT(N774),Flexing),FlexPC,0)</f>
        <v>0</v>
      </c>
      <c r="X774">
        <f>IF(AND($F774&gt;0,NOT(O774),Flexing),FlexPC,0)</f>
        <v>0</v>
      </c>
      <c r="Y774">
        <f>IF(AND($F774&gt;0,NOT(P774),Flexing),FlexPC,0)</f>
        <v>0</v>
      </c>
      <c r="AA774" s="209">
        <f t="shared" si="3"/>
        <v>773</v>
      </c>
    </row>
    <row r="775" ht="15.75" customHeight="1">
      <c r="A775" s="206" t="str">
        <f>+Declarations!A775&amp;""</f>
        <v/>
      </c>
      <c r="B775" t="str">
        <f>IF(LEN($A775),IF(LEN(Declarations!$B775)&gt;0,Declarations!$B775,"#"&amp;$A775),"")</f>
        <v/>
      </c>
      <c r="C775" s="209" t="str">
        <f t="array" ref="C775">IF(LEN(INDEX(DECLARATIONS,$AA775,3))&gt;0,INDEX(DECLARATIONS,$AA775,3),"...")</f>
        <v>...</v>
      </c>
      <c r="D775" s="209" t="str">
        <f t="shared" si="1"/>
        <v/>
      </c>
      <c r="E775" s="296" t="str">
        <f t="array" ref="E775">IF(ISNA($AA775),0,INDEX(DECLARATIONS,$AA775,5))</f>
        <v/>
      </c>
      <c r="F775" s="209" t="str">
        <f t="array" ref="F775">IF(ISNA($AA775),0,INDEX(DECLARATIONS,$AA775,7))</f>
        <v/>
      </c>
      <c r="G775" s="209" t="str">
        <f t="array" ref="G775">UPPER(IF(ISNA($AA775),"",INDEX(DECLARATIONS,$AA775,4)))</f>
        <v/>
      </c>
      <c r="H775" t="str">
        <f>IF(AND(A775&gt;0,ISTEXT(B775)),IF(SECNAME="YES",LEFT(B775&amp;" ",FIND(" ",B775&amp;" ")+2)&amp;IF(F775&gt;0," ("&amp;F775&amp;")",""),B775&amp;IF(F775&gt;0," ("&amp;F775&amp;")","")),"#"&amp;$A775)</f>
        <v/>
      </c>
      <c r="I775" s="209">
        <f>IF(LEN($A775)&gt;0,IF(LEN($J775)&gt;0,MATCH(J775,MatchNames,0),EventIndex),0)</f>
        <v>0</v>
      </c>
      <c r="J775" s="209" t="str">
        <f>IF(LEN($A775)&gt;0,IF(LEN(Declarations!$F775)&gt;0,Declarations!$F775,conftype),"")</f>
        <v/>
      </c>
      <c r="M775" s="297">
        <f>IF(ISNA(VLOOKUP($A775,SprintData,2,FALSE)),0,VLOOKUP($A775,SprintData,2,FALSE))</f>
        <v>0</v>
      </c>
      <c r="N775" s="297">
        <f>IF(ISNA(VLOOKUP($A775,JumpData,2,FALSE)),0,VLOOKUP($A775,JumpData,2,FALSE))</f>
        <v>0</v>
      </c>
      <c r="O775" s="297">
        <f>IF(ISNA(VLOOKUP($A775,RunData,2,FALSE)),0,VLOOKUP($A775,RunData,2,FALSE))</f>
        <v>0</v>
      </c>
      <c r="P775" s="297">
        <f>IF(ISNA(VLOOKUP($A775,ThrowData,2,FALSE)),0,VLOOKUP($A775,ThrowData,2,FALSE))</f>
        <v>0</v>
      </c>
      <c r="Q775" s="298">
        <f>IF(ISNA(VLOOKUP($A775,SprintData,4,FALSE)),0,VLOOKUP($A775,SprintData,4,FALSE))+V775</f>
        <v>0</v>
      </c>
      <c r="R775" s="298">
        <f>IF(ISNA(VLOOKUP($A775,JumpData,4,FALSE)),0,VLOOKUP($A775,JumpData,4,FALSE))+W775</f>
        <v>0</v>
      </c>
      <c r="S775" s="298">
        <f>IF(ISNA(VLOOKUP($A775,RunData,4,FALSE)),0,VLOOKUP($A775,RunData,4,FALSE))+X775</f>
        <v>0</v>
      </c>
      <c r="T775" s="298">
        <f>IF(ISNA(VLOOKUP($A775,ThrowData,4,FALSE)),0,VLOOKUP($A775,ThrowData,4,FALSE))+Y775</f>
        <v>0</v>
      </c>
      <c r="U775" s="299">
        <f t="shared" si="2"/>
        <v>0</v>
      </c>
      <c r="V775">
        <f>IF(AND($F775&gt;0,NOT(M775),Flexing),FlexPC,0)</f>
        <v>0</v>
      </c>
      <c r="W775">
        <f>IF(AND($F775&gt;0,NOT(N775),Flexing),FlexPC,0)</f>
        <v>0</v>
      </c>
      <c r="X775">
        <f>IF(AND($F775&gt;0,NOT(O775),Flexing),FlexPC,0)</f>
        <v>0</v>
      </c>
      <c r="Y775">
        <f>IF(AND($F775&gt;0,NOT(P775),Flexing),FlexPC,0)</f>
        <v>0</v>
      </c>
      <c r="AA775" s="209">
        <f t="shared" si="3"/>
        <v>774</v>
      </c>
    </row>
    <row r="776" ht="15.75" customHeight="1">
      <c r="A776" s="206" t="str">
        <f>+Declarations!A776&amp;""</f>
        <v/>
      </c>
      <c r="B776" t="str">
        <f>IF(LEN($A776),IF(LEN(Declarations!$B776)&gt;0,Declarations!$B776,"#"&amp;$A776),"")</f>
        <v/>
      </c>
      <c r="C776" s="209" t="str">
        <f t="array" ref="C776">IF(LEN(INDEX(DECLARATIONS,$AA776,3))&gt;0,INDEX(DECLARATIONS,$AA776,3),"...")</f>
        <v>...</v>
      </c>
      <c r="D776" s="209" t="str">
        <f t="shared" si="1"/>
        <v/>
      </c>
      <c r="E776" s="296" t="str">
        <f t="array" ref="E776">IF(ISNA($AA776),0,INDEX(DECLARATIONS,$AA776,5))</f>
        <v/>
      </c>
      <c r="F776" s="209" t="str">
        <f t="array" ref="F776">IF(ISNA($AA776),0,INDEX(DECLARATIONS,$AA776,7))</f>
        <v/>
      </c>
      <c r="G776" s="209" t="str">
        <f t="array" ref="G776">UPPER(IF(ISNA($AA776),"",INDEX(DECLARATIONS,$AA776,4)))</f>
        <v/>
      </c>
      <c r="H776" t="str">
        <f>IF(AND(A776&gt;0,ISTEXT(B776)),IF(SECNAME="YES",LEFT(B776&amp;" ",FIND(" ",B776&amp;" ")+2)&amp;IF(F776&gt;0," ("&amp;F776&amp;")",""),B776&amp;IF(F776&gt;0," ("&amp;F776&amp;")","")),"#"&amp;$A776)</f>
        <v/>
      </c>
      <c r="I776" s="209">
        <f>IF(LEN($A776)&gt;0,IF(LEN($J776)&gt;0,MATCH(J776,MatchNames,0),EventIndex),0)</f>
        <v>0</v>
      </c>
      <c r="J776" s="209" t="str">
        <f>IF(LEN($A776)&gt;0,IF(LEN(Declarations!$F776)&gt;0,Declarations!$F776,conftype),"")</f>
        <v/>
      </c>
      <c r="M776" s="297">
        <f>IF(ISNA(VLOOKUP($A776,SprintData,2,FALSE)),0,VLOOKUP($A776,SprintData,2,FALSE))</f>
        <v>0</v>
      </c>
      <c r="N776" s="297">
        <f>IF(ISNA(VLOOKUP($A776,JumpData,2,FALSE)),0,VLOOKUP($A776,JumpData,2,FALSE))</f>
        <v>0</v>
      </c>
      <c r="O776" s="297">
        <f>IF(ISNA(VLOOKUP($A776,RunData,2,FALSE)),0,VLOOKUP($A776,RunData,2,FALSE))</f>
        <v>0</v>
      </c>
      <c r="P776" s="297">
        <f>IF(ISNA(VLOOKUP($A776,ThrowData,2,FALSE)),0,VLOOKUP($A776,ThrowData,2,FALSE))</f>
        <v>0</v>
      </c>
      <c r="Q776" s="298">
        <f>IF(ISNA(VLOOKUP($A776,SprintData,4,FALSE)),0,VLOOKUP($A776,SprintData,4,FALSE))+V776</f>
        <v>0</v>
      </c>
      <c r="R776" s="298">
        <f>IF(ISNA(VLOOKUP($A776,JumpData,4,FALSE)),0,VLOOKUP($A776,JumpData,4,FALSE))+W776</f>
        <v>0</v>
      </c>
      <c r="S776" s="298">
        <f>IF(ISNA(VLOOKUP($A776,RunData,4,FALSE)),0,VLOOKUP($A776,RunData,4,FALSE))+X776</f>
        <v>0</v>
      </c>
      <c r="T776" s="298">
        <f>IF(ISNA(VLOOKUP($A776,ThrowData,4,FALSE)),0,VLOOKUP($A776,ThrowData,4,FALSE))+Y776</f>
        <v>0</v>
      </c>
      <c r="U776" s="299">
        <f t="shared" si="2"/>
        <v>0</v>
      </c>
      <c r="V776">
        <f>IF(AND($F776&gt;0,NOT(M776),Flexing),FlexPC,0)</f>
        <v>0</v>
      </c>
      <c r="W776">
        <f>IF(AND($F776&gt;0,NOT(N776),Flexing),FlexPC,0)</f>
        <v>0</v>
      </c>
      <c r="X776">
        <f>IF(AND($F776&gt;0,NOT(O776),Flexing),FlexPC,0)</f>
        <v>0</v>
      </c>
      <c r="Y776">
        <f>IF(AND($F776&gt;0,NOT(P776),Flexing),FlexPC,0)</f>
        <v>0</v>
      </c>
      <c r="AA776" s="209">
        <f t="shared" si="3"/>
        <v>775</v>
      </c>
    </row>
    <row r="777" ht="15.75" customHeight="1">
      <c r="A777" s="206" t="str">
        <f>+Declarations!A777&amp;""</f>
        <v/>
      </c>
      <c r="B777" t="str">
        <f>IF(LEN($A777),IF(LEN(Declarations!$B777)&gt;0,Declarations!$B777,"#"&amp;$A777),"")</f>
        <v/>
      </c>
      <c r="C777" s="209" t="str">
        <f t="array" ref="C777">IF(LEN(INDEX(DECLARATIONS,$AA777,3))&gt;0,INDEX(DECLARATIONS,$AA777,3),"...")</f>
        <v>...</v>
      </c>
      <c r="D777" s="209" t="str">
        <f t="shared" si="1"/>
        <v/>
      </c>
      <c r="E777" s="296" t="str">
        <f t="array" ref="E777">IF(ISNA($AA777),0,INDEX(DECLARATIONS,$AA777,5))</f>
        <v/>
      </c>
      <c r="F777" s="209" t="str">
        <f t="array" ref="F777">IF(ISNA($AA777),0,INDEX(DECLARATIONS,$AA777,7))</f>
        <v/>
      </c>
      <c r="G777" s="209" t="str">
        <f t="array" ref="G777">UPPER(IF(ISNA($AA777),"",INDEX(DECLARATIONS,$AA777,4)))</f>
        <v/>
      </c>
      <c r="H777" t="str">
        <f>IF(AND(A777&gt;0,ISTEXT(B777)),IF(SECNAME="YES",LEFT(B777&amp;" ",FIND(" ",B777&amp;" ")+2)&amp;IF(F777&gt;0," ("&amp;F777&amp;")",""),B777&amp;IF(F777&gt;0," ("&amp;F777&amp;")","")),"#"&amp;$A777)</f>
        <v/>
      </c>
      <c r="I777" s="209">
        <f>IF(LEN($A777)&gt;0,IF(LEN($J777)&gt;0,MATCH(J777,MatchNames,0),EventIndex),0)</f>
        <v>0</v>
      </c>
      <c r="J777" s="209" t="str">
        <f>IF(LEN($A777)&gt;0,IF(LEN(Declarations!$F777)&gt;0,Declarations!$F777,conftype),"")</f>
        <v/>
      </c>
      <c r="M777" s="297">
        <f>IF(ISNA(VLOOKUP($A777,SprintData,2,FALSE)),0,VLOOKUP($A777,SprintData,2,FALSE))</f>
        <v>0</v>
      </c>
      <c r="N777" s="297">
        <f>IF(ISNA(VLOOKUP($A777,JumpData,2,FALSE)),0,VLOOKUP($A777,JumpData,2,FALSE))</f>
        <v>0</v>
      </c>
      <c r="O777" s="297">
        <f>IF(ISNA(VLOOKUP($A777,RunData,2,FALSE)),0,VLOOKUP($A777,RunData,2,FALSE))</f>
        <v>0</v>
      </c>
      <c r="P777" s="297">
        <f>IF(ISNA(VLOOKUP($A777,ThrowData,2,FALSE)),0,VLOOKUP($A777,ThrowData,2,FALSE))</f>
        <v>0</v>
      </c>
      <c r="Q777" s="298">
        <f>IF(ISNA(VLOOKUP($A777,SprintData,4,FALSE)),0,VLOOKUP($A777,SprintData,4,FALSE))+V777</f>
        <v>0</v>
      </c>
      <c r="R777" s="298">
        <f>IF(ISNA(VLOOKUP($A777,JumpData,4,FALSE)),0,VLOOKUP($A777,JumpData,4,FALSE))+W777</f>
        <v>0</v>
      </c>
      <c r="S777" s="298">
        <f>IF(ISNA(VLOOKUP($A777,RunData,4,FALSE)),0,VLOOKUP($A777,RunData,4,FALSE))+X777</f>
        <v>0</v>
      </c>
      <c r="T777" s="298">
        <f>IF(ISNA(VLOOKUP($A777,ThrowData,4,FALSE)),0,VLOOKUP($A777,ThrowData,4,FALSE))+Y777</f>
        <v>0</v>
      </c>
      <c r="U777" s="299">
        <f t="shared" si="2"/>
        <v>0</v>
      </c>
      <c r="V777">
        <f>IF(AND($F777&gt;0,NOT(M777),Flexing),FlexPC,0)</f>
        <v>0</v>
      </c>
      <c r="W777">
        <f>IF(AND($F777&gt;0,NOT(N777),Flexing),FlexPC,0)</f>
        <v>0</v>
      </c>
      <c r="X777">
        <f>IF(AND($F777&gt;0,NOT(O777),Flexing),FlexPC,0)</f>
        <v>0</v>
      </c>
      <c r="Y777">
        <f>IF(AND($F777&gt;0,NOT(P777),Flexing),FlexPC,0)</f>
        <v>0</v>
      </c>
      <c r="AA777" s="209">
        <f t="shared" si="3"/>
        <v>776</v>
      </c>
    </row>
    <row r="778" ht="15.75" customHeight="1">
      <c r="A778" s="206" t="str">
        <f>+Declarations!A778&amp;""</f>
        <v/>
      </c>
      <c r="B778" t="str">
        <f>IF(LEN($A778),IF(LEN(Declarations!$B778)&gt;0,Declarations!$B778,"#"&amp;$A778),"")</f>
        <v/>
      </c>
      <c r="C778" s="209" t="str">
        <f t="array" ref="C778">IF(LEN(INDEX(DECLARATIONS,$AA778,3))&gt;0,INDEX(DECLARATIONS,$AA778,3),"...")</f>
        <v>...</v>
      </c>
      <c r="D778" s="209" t="str">
        <f t="shared" si="1"/>
        <v/>
      </c>
      <c r="E778" s="296" t="str">
        <f t="array" ref="E778">IF(ISNA($AA778),0,INDEX(DECLARATIONS,$AA778,5))</f>
        <v/>
      </c>
      <c r="F778" s="209" t="str">
        <f t="array" ref="F778">IF(ISNA($AA778),0,INDEX(DECLARATIONS,$AA778,7))</f>
        <v/>
      </c>
      <c r="G778" s="209" t="str">
        <f t="array" ref="G778">UPPER(IF(ISNA($AA778),"",INDEX(DECLARATIONS,$AA778,4)))</f>
        <v/>
      </c>
      <c r="H778" t="str">
        <f>IF(AND(A778&gt;0,ISTEXT(B778)),IF(SECNAME="YES",LEFT(B778&amp;" ",FIND(" ",B778&amp;" ")+2)&amp;IF(F778&gt;0," ("&amp;F778&amp;")",""),B778&amp;IF(F778&gt;0," ("&amp;F778&amp;")","")),"#"&amp;$A778)</f>
        <v/>
      </c>
      <c r="I778" s="209">
        <f>IF(LEN($A778)&gt;0,IF(LEN($J778)&gt;0,MATCH(J778,MatchNames,0),EventIndex),0)</f>
        <v>0</v>
      </c>
      <c r="J778" s="209" t="str">
        <f>IF(LEN($A778)&gt;0,IF(LEN(Declarations!$F778)&gt;0,Declarations!$F778,conftype),"")</f>
        <v/>
      </c>
      <c r="M778" s="297">
        <f>IF(ISNA(VLOOKUP($A778,SprintData,2,FALSE)),0,VLOOKUP($A778,SprintData,2,FALSE))</f>
        <v>0</v>
      </c>
      <c r="N778" s="297">
        <f>IF(ISNA(VLOOKUP($A778,JumpData,2,FALSE)),0,VLOOKUP($A778,JumpData,2,FALSE))</f>
        <v>0</v>
      </c>
      <c r="O778" s="297">
        <f>IF(ISNA(VLOOKUP($A778,RunData,2,FALSE)),0,VLOOKUP($A778,RunData,2,FALSE))</f>
        <v>0</v>
      </c>
      <c r="P778" s="297">
        <f>IF(ISNA(VLOOKUP($A778,ThrowData,2,FALSE)),0,VLOOKUP($A778,ThrowData,2,FALSE))</f>
        <v>0</v>
      </c>
      <c r="Q778" s="298">
        <f>IF(ISNA(VLOOKUP($A778,SprintData,4,FALSE)),0,VLOOKUP($A778,SprintData,4,FALSE))+V778</f>
        <v>0</v>
      </c>
      <c r="R778" s="298">
        <f>IF(ISNA(VLOOKUP($A778,JumpData,4,FALSE)),0,VLOOKUP($A778,JumpData,4,FALSE))+W778</f>
        <v>0</v>
      </c>
      <c r="S778" s="298">
        <f>IF(ISNA(VLOOKUP($A778,RunData,4,FALSE)),0,VLOOKUP($A778,RunData,4,FALSE))+X778</f>
        <v>0</v>
      </c>
      <c r="T778" s="298">
        <f>IF(ISNA(VLOOKUP($A778,ThrowData,4,FALSE)),0,VLOOKUP($A778,ThrowData,4,FALSE))+Y778</f>
        <v>0</v>
      </c>
      <c r="U778" s="299">
        <f t="shared" si="2"/>
        <v>0</v>
      </c>
      <c r="V778">
        <f>IF(AND($F778&gt;0,NOT(M778),Flexing),FlexPC,0)</f>
        <v>0</v>
      </c>
      <c r="W778">
        <f>IF(AND($F778&gt;0,NOT(N778),Flexing),FlexPC,0)</f>
        <v>0</v>
      </c>
      <c r="X778">
        <f>IF(AND($F778&gt;0,NOT(O778),Flexing),FlexPC,0)</f>
        <v>0</v>
      </c>
      <c r="Y778">
        <f>IF(AND($F778&gt;0,NOT(P778),Flexing),FlexPC,0)</f>
        <v>0</v>
      </c>
      <c r="AA778" s="209">
        <f t="shared" si="3"/>
        <v>777</v>
      </c>
    </row>
    <row r="779" ht="15.75" customHeight="1">
      <c r="A779" s="206" t="str">
        <f>+Declarations!A779&amp;""</f>
        <v/>
      </c>
      <c r="B779" t="str">
        <f>IF(LEN($A779),IF(LEN(Declarations!$B779)&gt;0,Declarations!$B779,"#"&amp;$A779),"")</f>
        <v/>
      </c>
      <c r="C779" s="209" t="str">
        <f t="array" ref="C779">IF(LEN(INDEX(DECLARATIONS,$AA779,3))&gt;0,INDEX(DECLARATIONS,$AA779,3),"...")</f>
        <v>...</v>
      </c>
      <c r="D779" s="209" t="str">
        <f t="shared" si="1"/>
        <v/>
      </c>
      <c r="E779" s="296" t="str">
        <f t="array" ref="E779">IF(ISNA($AA779),0,INDEX(DECLARATIONS,$AA779,5))</f>
        <v/>
      </c>
      <c r="F779" s="209" t="str">
        <f t="array" ref="F779">IF(ISNA($AA779),0,INDEX(DECLARATIONS,$AA779,7))</f>
        <v/>
      </c>
      <c r="G779" s="209" t="str">
        <f t="array" ref="G779">UPPER(IF(ISNA($AA779),"",INDEX(DECLARATIONS,$AA779,4)))</f>
        <v/>
      </c>
      <c r="H779" t="str">
        <f>IF(AND(A779&gt;0,ISTEXT(B779)),IF(SECNAME="YES",LEFT(B779&amp;" ",FIND(" ",B779&amp;" ")+2)&amp;IF(F779&gt;0," ("&amp;F779&amp;")",""),B779&amp;IF(F779&gt;0," ("&amp;F779&amp;")","")),"#"&amp;$A779)</f>
        <v/>
      </c>
      <c r="I779" s="209">
        <f>IF(LEN($A779)&gt;0,IF(LEN($J779)&gt;0,MATCH(J779,MatchNames,0),EventIndex),0)</f>
        <v>0</v>
      </c>
      <c r="J779" s="209" t="str">
        <f>IF(LEN($A779)&gt;0,IF(LEN(Declarations!$F779)&gt;0,Declarations!$F779,conftype),"")</f>
        <v/>
      </c>
      <c r="M779" s="297">
        <f>IF(ISNA(VLOOKUP($A779,SprintData,2,FALSE)),0,VLOOKUP($A779,SprintData,2,FALSE))</f>
        <v>0</v>
      </c>
      <c r="N779" s="297">
        <f>IF(ISNA(VLOOKUP($A779,JumpData,2,FALSE)),0,VLOOKUP($A779,JumpData,2,FALSE))</f>
        <v>0</v>
      </c>
      <c r="O779" s="297">
        <f>IF(ISNA(VLOOKUP($A779,RunData,2,FALSE)),0,VLOOKUP($A779,RunData,2,FALSE))</f>
        <v>0</v>
      </c>
      <c r="P779" s="297">
        <f>IF(ISNA(VLOOKUP($A779,ThrowData,2,FALSE)),0,VLOOKUP($A779,ThrowData,2,FALSE))</f>
        <v>0</v>
      </c>
      <c r="Q779" s="298">
        <f>IF(ISNA(VLOOKUP($A779,SprintData,4,FALSE)),0,VLOOKUP($A779,SprintData,4,FALSE))+V779</f>
        <v>0</v>
      </c>
      <c r="R779" s="298">
        <f>IF(ISNA(VLOOKUP($A779,JumpData,4,FALSE)),0,VLOOKUP($A779,JumpData,4,FALSE))+W779</f>
        <v>0</v>
      </c>
      <c r="S779" s="298">
        <f>IF(ISNA(VLOOKUP($A779,RunData,4,FALSE)),0,VLOOKUP($A779,RunData,4,FALSE))+X779</f>
        <v>0</v>
      </c>
      <c r="T779" s="298">
        <f>IF(ISNA(VLOOKUP($A779,ThrowData,4,FALSE)),0,VLOOKUP($A779,ThrowData,4,FALSE))+Y779</f>
        <v>0</v>
      </c>
      <c r="U779" s="299">
        <f t="shared" si="2"/>
        <v>0</v>
      </c>
      <c r="V779">
        <f>IF(AND($F779&gt;0,NOT(M779),Flexing),FlexPC,0)</f>
        <v>0</v>
      </c>
      <c r="W779">
        <f>IF(AND($F779&gt;0,NOT(N779),Flexing),FlexPC,0)</f>
        <v>0</v>
      </c>
      <c r="X779">
        <f>IF(AND($F779&gt;0,NOT(O779),Flexing),FlexPC,0)</f>
        <v>0</v>
      </c>
      <c r="Y779">
        <f>IF(AND($F779&gt;0,NOT(P779),Flexing),FlexPC,0)</f>
        <v>0</v>
      </c>
      <c r="AA779" s="209">
        <f t="shared" si="3"/>
        <v>778</v>
      </c>
    </row>
    <row r="780" ht="15.75" customHeight="1">
      <c r="A780" s="206" t="str">
        <f>+Declarations!A780&amp;""</f>
        <v/>
      </c>
      <c r="B780" t="str">
        <f>IF(LEN($A780),IF(LEN(Declarations!$B780)&gt;0,Declarations!$B780,"#"&amp;$A780),"")</f>
        <v/>
      </c>
      <c r="C780" s="209" t="str">
        <f t="array" ref="C780">IF(LEN(INDEX(DECLARATIONS,$AA780,3))&gt;0,INDEX(DECLARATIONS,$AA780,3),"...")</f>
        <v>...</v>
      </c>
      <c r="D780" s="209" t="str">
        <f t="shared" si="1"/>
        <v/>
      </c>
      <c r="E780" s="296" t="str">
        <f t="array" ref="E780">IF(ISNA($AA780),0,INDEX(DECLARATIONS,$AA780,5))</f>
        <v/>
      </c>
      <c r="F780" s="209" t="str">
        <f t="array" ref="F780">IF(ISNA($AA780),0,INDEX(DECLARATIONS,$AA780,7))</f>
        <v/>
      </c>
      <c r="G780" s="209" t="str">
        <f t="array" ref="G780">UPPER(IF(ISNA($AA780),"",INDEX(DECLARATIONS,$AA780,4)))</f>
        <v/>
      </c>
      <c r="H780" t="str">
        <f>IF(AND(A780&gt;0,ISTEXT(B780)),IF(SECNAME="YES",LEFT(B780&amp;" ",FIND(" ",B780&amp;" ")+2)&amp;IF(F780&gt;0," ("&amp;F780&amp;")",""),B780&amp;IF(F780&gt;0," ("&amp;F780&amp;")","")),"#"&amp;$A780)</f>
        <v/>
      </c>
      <c r="I780" s="209">
        <f>IF(LEN($A780)&gt;0,IF(LEN($J780)&gt;0,MATCH(J780,MatchNames,0),EventIndex),0)</f>
        <v>0</v>
      </c>
      <c r="J780" s="209" t="str">
        <f>IF(LEN($A780)&gt;0,IF(LEN(Declarations!$F780)&gt;0,Declarations!$F780,conftype),"")</f>
        <v/>
      </c>
      <c r="M780" s="297">
        <f>IF(ISNA(VLOOKUP($A780,SprintData,2,FALSE)),0,VLOOKUP($A780,SprintData,2,FALSE))</f>
        <v>0</v>
      </c>
      <c r="N780" s="297">
        <f>IF(ISNA(VLOOKUP($A780,JumpData,2,FALSE)),0,VLOOKUP($A780,JumpData,2,FALSE))</f>
        <v>0</v>
      </c>
      <c r="O780" s="297">
        <f>IF(ISNA(VLOOKUP($A780,RunData,2,FALSE)),0,VLOOKUP($A780,RunData,2,FALSE))</f>
        <v>0</v>
      </c>
      <c r="P780" s="297">
        <f>IF(ISNA(VLOOKUP($A780,ThrowData,2,FALSE)),0,VLOOKUP($A780,ThrowData,2,FALSE))</f>
        <v>0</v>
      </c>
      <c r="Q780" s="298">
        <f>IF(ISNA(VLOOKUP($A780,SprintData,4,FALSE)),0,VLOOKUP($A780,SprintData,4,FALSE))+V780</f>
        <v>0</v>
      </c>
      <c r="R780" s="298">
        <f>IF(ISNA(VLOOKUP($A780,JumpData,4,FALSE)),0,VLOOKUP($A780,JumpData,4,FALSE))+W780</f>
        <v>0</v>
      </c>
      <c r="S780" s="298">
        <f>IF(ISNA(VLOOKUP($A780,RunData,4,FALSE)),0,VLOOKUP($A780,RunData,4,FALSE))+X780</f>
        <v>0</v>
      </c>
      <c r="T780" s="298">
        <f>IF(ISNA(VLOOKUP($A780,ThrowData,4,FALSE)),0,VLOOKUP($A780,ThrowData,4,FALSE))+Y780</f>
        <v>0</v>
      </c>
      <c r="U780" s="299">
        <f t="shared" si="2"/>
        <v>0</v>
      </c>
      <c r="V780">
        <f>IF(AND($F780&gt;0,NOT(M780),Flexing),FlexPC,0)</f>
        <v>0</v>
      </c>
      <c r="W780">
        <f>IF(AND($F780&gt;0,NOT(N780),Flexing),FlexPC,0)</f>
        <v>0</v>
      </c>
      <c r="X780">
        <f>IF(AND($F780&gt;0,NOT(O780),Flexing),FlexPC,0)</f>
        <v>0</v>
      </c>
      <c r="Y780">
        <f>IF(AND($F780&gt;0,NOT(P780),Flexing),FlexPC,0)</f>
        <v>0</v>
      </c>
      <c r="AA780" s="209">
        <f t="shared" si="3"/>
        <v>779</v>
      </c>
    </row>
    <row r="781" ht="15.75" customHeight="1">
      <c r="A781" s="206" t="str">
        <f>+Declarations!A781&amp;""</f>
        <v/>
      </c>
      <c r="B781" t="str">
        <f>IF(LEN($A781),IF(LEN(Declarations!$B781)&gt;0,Declarations!$B781,"#"&amp;$A781),"")</f>
        <v/>
      </c>
      <c r="C781" s="209" t="str">
        <f t="array" ref="C781">IF(LEN(INDEX(DECLARATIONS,$AA781,3))&gt;0,INDEX(DECLARATIONS,$AA781,3),"...")</f>
        <v>...</v>
      </c>
      <c r="D781" s="209" t="str">
        <f t="shared" si="1"/>
        <v/>
      </c>
      <c r="E781" s="296" t="str">
        <f t="array" ref="E781">IF(ISNA($AA781),0,INDEX(DECLARATIONS,$AA781,5))</f>
        <v/>
      </c>
      <c r="F781" s="209" t="str">
        <f t="array" ref="F781">IF(ISNA($AA781),0,INDEX(DECLARATIONS,$AA781,7))</f>
        <v/>
      </c>
      <c r="G781" s="209" t="str">
        <f t="array" ref="G781">UPPER(IF(ISNA($AA781),"",INDEX(DECLARATIONS,$AA781,4)))</f>
        <v/>
      </c>
      <c r="H781" t="str">
        <f>IF(AND(A781&gt;0,ISTEXT(B781)),IF(SECNAME="YES",LEFT(B781&amp;" ",FIND(" ",B781&amp;" ")+2)&amp;IF(F781&gt;0," ("&amp;F781&amp;")",""),B781&amp;IF(F781&gt;0," ("&amp;F781&amp;")","")),"#"&amp;$A781)</f>
        <v/>
      </c>
      <c r="I781" s="209">
        <f>IF(LEN($A781)&gt;0,IF(LEN($J781)&gt;0,MATCH(J781,MatchNames,0),EventIndex),0)</f>
        <v>0</v>
      </c>
      <c r="J781" s="209" t="str">
        <f>IF(LEN($A781)&gt;0,IF(LEN(Declarations!$F781)&gt;0,Declarations!$F781,conftype),"")</f>
        <v/>
      </c>
      <c r="M781" s="297">
        <f>IF(ISNA(VLOOKUP($A781,SprintData,2,FALSE)),0,VLOOKUP($A781,SprintData,2,FALSE))</f>
        <v>0</v>
      </c>
      <c r="N781" s="297">
        <f>IF(ISNA(VLOOKUP($A781,JumpData,2,FALSE)),0,VLOOKUP($A781,JumpData,2,FALSE))</f>
        <v>0</v>
      </c>
      <c r="O781" s="297">
        <f>IF(ISNA(VLOOKUP($A781,RunData,2,FALSE)),0,VLOOKUP($A781,RunData,2,FALSE))</f>
        <v>0</v>
      </c>
      <c r="P781" s="297">
        <f>IF(ISNA(VLOOKUP($A781,ThrowData,2,FALSE)),0,VLOOKUP($A781,ThrowData,2,FALSE))</f>
        <v>0</v>
      </c>
      <c r="Q781" s="298">
        <f>IF(ISNA(VLOOKUP($A781,SprintData,4,FALSE)),0,VLOOKUP($A781,SprintData,4,FALSE))+V781</f>
        <v>0</v>
      </c>
      <c r="R781" s="298">
        <f>IF(ISNA(VLOOKUP($A781,JumpData,4,FALSE)),0,VLOOKUP($A781,JumpData,4,FALSE))+W781</f>
        <v>0</v>
      </c>
      <c r="S781" s="298">
        <f>IF(ISNA(VLOOKUP($A781,RunData,4,FALSE)),0,VLOOKUP($A781,RunData,4,FALSE))+X781</f>
        <v>0</v>
      </c>
      <c r="T781" s="298">
        <f>IF(ISNA(VLOOKUP($A781,ThrowData,4,FALSE)),0,VLOOKUP($A781,ThrowData,4,FALSE))+Y781</f>
        <v>0</v>
      </c>
      <c r="U781" s="299">
        <f t="shared" si="2"/>
        <v>0</v>
      </c>
      <c r="V781">
        <f>IF(AND($F781&gt;0,NOT(M781),Flexing),FlexPC,0)</f>
        <v>0</v>
      </c>
      <c r="W781">
        <f>IF(AND($F781&gt;0,NOT(N781),Flexing),FlexPC,0)</f>
        <v>0</v>
      </c>
      <c r="X781">
        <f>IF(AND($F781&gt;0,NOT(O781),Flexing),FlexPC,0)</f>
        <v>0</v>
      </c>
      <c r="Y781">
        <f>IF(AND($F781&gt;0,NOT(P781),Flexing),FlexPC,0)</f>
        <v>0</v>
      </c>
      <c r="AA781" s="209">
        <f t="shared" si="3"/>
        <v>780</v>
      </c>
    </row>
    <row r="782" ht="15.75" customHeight="1">
      <c r="A782" s="206" t="str">
        <f>+Declarations!A782&amp;""</f>
        <v/>
      </c>
      <c r="B782" t="str">
        <f>IF(LEN($A782),IF(LEN(Declarations!$B782)&gt;0,Declarations!$B782,"#"&amp;$A782),"")</f>
        <v/>
      </c>
      <c r="C782" s="209" t="str">
        <f t="array" ref="C782">IF(LEN(INDEX(DECLARATIONS,$AA782,3))&gt;0,INDEX(DECLARATIONS,$AA782,3),"...")</f>
        <v>...</v>
      </c>
      <c r="D782" s="209" t="str">
        <f t="shared" si="1"/>
        <v/>
      </c>
      <c r="E782" s="296" t="str">
        <f t="array" ref="E782">IF(ISNA($AA782),0,INDEX(DECLARATIONS,$AA782,5))</f>
        <v/>
      </c>
      <c r="F782" s="209" t="str">
        <f t="array" ref="F782">IF(ISNA($AA782),0,INDEX(DECLARATIONS,$AA782,7))</f>
        <v/>
      </c>
      <c r="G782" s="209" t="str">
        <f t="array" ref="G782">UPPER(IF(ISNA($AA782),"",INDEX(DECLARATIONS,$AA782,4)))</f>
        <v/>
      </c>
      <c r="H782" t="str">
        <f>IF(AND(A782&gt;0,ISTEXT(B782)),IF(SECNAME="YES",LEFT(B782&amp;" ",FIND(" ",B782&amp;" ")+2)&amp;IF(F782&gt;0," ("&amp;F782&amp;")",""),B782&amp;IF(F782&gt;0," ("&amp;F782&amp;")","")),"#"&amp;$A782)</f>
        <v/>
      </c>
      <c r="I782" s="209">
        <f>IF(LEN($A782)&gt;0,IF(LEN($J782)&gt;0,MATCH(J782,MatchNames,0),EventIndex),0)</f>
        <v>0</v>
      </c>
      <c r="J782" s="209" t="str">
        <f>IF(LEN($A782)&gt;0,IF(LEN(Declarations!$F782)&gt;0,Declarations!$F782,conftype),"")</f>
        <v/>
      </c>
      <c r="M782" s="297">
        <f>IF(ISNA(VLOOKUP($A782,SprintData,2,FALSE)),0,VLOOKUP($A782,SprintData,2,FALSE))</f>
        <v>0</v>
      </c>
      <c r="N782" s="297">
        <f>IF(ISNA(VLOOKUP($A782,JumpData,2,FALSE)),0,VLOOKUP($A782,JumpData,2,FALSE))</f>
        <v>0</v>
      </c>
      <c r="O782" s="297">
        <f>IF(ISNA(VLOOKUP($A782,RunData,2,FALSE)),0,VLOOKUP($A782,RunData,2,FALSE))</f>
        <v>0</v>
      </c>
      <c r="P782" s="297">
        <f>IF(ISNA(VLOOKUP($A782,ThrowData,2,FALSE)),0,VLOOKUP($A782,ThrowData,2,FALSE))</f>
        <v>0</v>
      </c>
      <c r="Q782" s="298">
        <f>IF(ISNA(VLOOKUP($A782,SprintData,4,FALSE)),0,VLOOKUP($A782,SprintData,4,FALSE))+V782</f>
        <v>0</v>
      </c>
      <c r="R782" s="298">
        <f>IF(ISNA(VLOOKUP($A782,JumpData,4,FALSE)),0,VLOOKUP($A782,JumpData,4,FALSE))+W782</f>
        <v>0</v>
      </c>
      <c r="S782" s="298">
        <f>IF(ISNA(VLOOKUP($A782,RunData,4,FALSE)),0,VLOOKUP($A782,RunData,4,FALSE))+X782</f>
        <v>0</v>
      </c>
      <c r="T782" s="298">
        <f>IF(ISNA(VLOOKUP($A782,ThrowData,4,FALSE)),0,VLOOKUP($A782,ThrowData,4,FALSE))+Y782</f>
        <v>0</v>
      </c>
      <c r="U782" s="299">
        <f t="shared" si="2"/>
        <v>0</v>
      </c>
      <c r="V782">
        <f>IF(AND($F782&gt;0,NOT(M782),Flexing),FlexPC,0)</f>
        <v>0</v>
      </c>
      <c r="W782">
        <f>IF(AND($F782&gt;0,NOT(N782),Flexing),FlexPC,0)</f>
        <v>0</v>
      </c>
      <c r="X782">
        <f>IF(AND($F782&gt;0,NOT(O782),Flexing),FlexPC,0)</f>
        <v>0</v>
      </c>
      <c r="Y782">
        <f>IF(AND($F782&gt;0,NOT(P782),Flexing),FlexPC,0)</f>
        <v>0</v>
      </c>
      <c r="AA782" s="209">
        <f t="shared" si="3"/>
        <v>781</v>
      </c>
    </row>
    <row r="783" ht="15.75" customHeight="1">
      <c r="A783" s="206" t="str">
        <f>+Declarations!A783&amp;""</f>
        <v/>
      </c>
      <c r="B783" t="str">
        <f>IF(LEN($A783),IF(LEN(Declarations!$B783)&gt;0,Declarations!$B783,"#"&amp;$A783),"")</f>
        <v/>
      </c>
      <c r="C783" s="209" t="str">
        <f t="array" ref="C783">IF(LEN(INDEX(DECLARATIONS,$AA783,3))&gt;0,INDEX(DECLARATIONS,$AA783,3),"...")</f>
        <v>...</v>
      </c>
      <c r="D783" s="209" t="str">
        <f t="shared" si="1"/>
        <v/>
      </c>
      <c r="E783" s="296" t="str">
        <f t="array" ref="E783">IF(ISNA($AA783),0,INDEX(DECLARATIONS,$AA783,5))</f>
        <v/>
      </c>
      <c r="F783" s="209" t="str">
        <f t="array" ref="F783">IF(ISNA($AA783),0,INDEX(DECLARATIONS,$AA783,7))</f>
        <v/>
      </c>
      <c r="G783" s="209" t="str">
        <f t="array" ref="G783">UPPER(IF(ISNA($AA783),"",INDEX(DECLARATIONS,$AA783,4)))</f>
        <v/>
      </c>
      <c r="H783" t="str">
        <f>IF(AND(A783&gt;0,ISTEXT(B783)),IF(SECNAME="YES",LEFT(B783&amp;" ",FIND(" ",B783&amp;" ")+2)&amp;IF(F783&gt;0," ("&amp;F783&amp;")",""),B783&amp;IF(F783&gt;0," ("&amp;F783&amp;")","")),"#"&amp;$A783)</f>
        <v/>
      </c>
      <c r="I783" s="209">
        <f>IF(LEN($A783)&gt;0,IF(LEN($J783)&gt;0,MATCH(J783,MatchNames,0),EventIndex),0)</f>
        <v>0</v>
      </c>
      <c r="J783" s="209" t="str">
        <f>IF(LEN($A783)&gt;0,IF(LEN(Declarations!$F783)&gt;0,Declarations!$F783,conftype),"")</f>
        <v/>
      </c>
      <c r="M783" s="297">
        <f>IF(ISNA(VLOOKUP($A783,SprintData,2,FALSE)),0,VLOOKUP($A783,SprintData,2,FALSE))</f>
        <v>0</v>
      </c>
      <c r="N783" s="297">
        <f>IF(ISNA(VLOOKUP($A783,JumpData,2,FALSE)),0,VLOOKUP($A783,JumpData,2,FALSE))</f>
        <v>0</v>
      </c>
      <c r="O783" s="297">
        <f>IF(ISNA(VLOOKUP($A783,RunData,2,FALSE)),0,VLOOKUP($A783,RunData,2,FALSE))</f>
        <v>0</v>
      </c>
      <c r="P783" s="297">
        <f>IF(ISNA(VLOOKUP($A783,ThrowData,2,FALSE)),0,VLOOKUP($A783,ThrowData,2,FALSE))</f>
        <v>0</v>
      </c>
      <c r="Q783" s="298">
        <f>IF(ISNA(VLOOKUP($A783,SprintData,4,FALSE)),0,VLOOKUP($A783,SprintData,4,FALSE))+V783</f>
        <v>0</v>
      </c>
      <c r="R783" s="298">
        <f>IF(ISNA(VLOOKUP($A783,JumpData,4,FALSE)),0,VLOOKUP($A783,JumpData,4,FALSE))+W783</f>
        <v>0</v>
      </c>
      <c r="S783" s="298">
        <f>IF(ISNA(VLOOKUP($A783,RunData,4,FALSE)),0,VLOOKUP($A783,RunData,4,FALSE))+X783</f>
        <v>0</v>
      </c>
      <c r="T783" s="298">
        <f>IF(ISNA(VLOOKUP($A783,ThrowData,4,FALSE)),0,VLOOKUP($A783,ThrowData,4,FALSE))+Y783</f>
        <v>0</v>
      </c>
      <c r="U783" s="299">
        <f t="shared" si="2"/>
        <v>0</v>
      </c>
      <c r="V783">
        <f>IF(AND($F783&gt;0,NOT(M783),Flexing),FlexPC,0)</f>
        <v>0</v>
      </c>
      <c r="W783">
        <f>IF(AND($F783&gt;0,NOT(N783),Flexing),FlexPC,0)</f>
        <v>0</v>
      </c>
      <c r="X783">
        <f>IF(AND($F783&gt;0,NOT(O783),Flexing),FlexPC,0)</f>
        <v>0</v>
      </c>
      <c r="Y783">
        <f>IF(AND($F783&gt;0,NOT(P783),Flexing),FlexPC,0)</f>
        <v>0</v>
      </c>
      <c r="AA783" s="209">
        <f t="shared" si="3"/>
        <v>782</v>
      </c>
    </row>
    <row r="784" ht="15.75" customHeight="1">
      <c r="A784" s="206" t="str">
        <f>+Declarations!A784&amp;""</f>
        <v/>
      </c>
      <c r="B784" t="str">
        <f>IF(LEN($A784),IF(LEN(Declarations!$B784)&gt;0,Declarations!$B784,"#"&amp;$A784),"")</f>
        <v/>
      </c>
      <c r="C784" s="209" t="str">
        <f t="array" ref="C784">IF(LEN(INDEX(DECLARATIONS,$AA784,3))&gt;0,INDEX(DECLARATIONS,$AA784,3),"...")</f>
        <v>...</v>
      </c>
      <c r="D784" s="209" t="str">
        <f t="shared" si="1"/>
        <v/>
      </c>
      <c r="E784" s="296" t="str">
        <f t="array" ref="E784">IF(ISNA($AA784),0,INDEX(DECLARATIONS,$AA784,5))</f>
        <v/>
      </c>
      <c r="F784" s="209" t="str">
        <f t="array" ref="F784">IF(ISNA($AA784),0,INDEX(DECLARATIONS,$AA784,7))</f>
        <v/>
      </c>
      <c r="G784" s="209" t="str">
        <f t="array" ref="G784">UPPER(IF(ISNA($AA784),"",INDEX(DECLARATIONS,$AA784,4)))</f>
        <v/>
      </c>
      <c r="H784" t="str">
        <f>IF(AND(A784&gt;0,ISTEXT(B784)),IF(SECNAME="YES",LEFT(B784&amp;" ",FIND(" ",B784&amp;" ")+2)&amp;IF(F784&gt;0," ("&amp;F784&amp;")",""),B784&amp;IF(F784&gt;0," ("&amp;F784&amp;")","")),"#"&amp;$A784)</f>
        <v/>
      </c>
      <c r="I784" s="209">
        <f>IF(LEN($A784)&gt;0,IF(LEN($J784)&gt;0,MATCH(J784,MatchNames,0),EventIndex),0)</f>
        <v>0</v>
      </c>
      <c r="J784" s="209" t="str">
        <f>IF(LEN($A784)&gt;0,IF(LEN(Declarations!$F784)&gt;0,Declarations!$F784,conftype),"")</f>
        <v/>
      </c>
      <c r="M784" s="297">
        <f>IF(ISNA(VLOOKUP($A784,SprintData,2,FALSE)),0,VLOOKUP($A784,SprintData,2,FALSE))</f>
        <v>0</v>
      </c>
      <c r="N784" s="297">
        <f>IF(ISNA(VLOOKUP($A784,JumpData,2,FALSE)),0,VLOOKUP($A784,JumpData,2,FALSE))</f>
        <v>0</v>
      </c>
      <c r="O784" s="297">
        <f>IF(ISNA(VLOOKUP($A784,RunData,2,FALSE)),0,VLOOKUP($A784,RunData,2,FALSE))</f>
        <v>0</v>
      </c>
      <c r="P784" s="297">
        <f>IF(ISNA(VLOOKUP($A784,ThrowData,2,FALSE)),0,VLOOKUP($A784,ThrowData,2,FALSE))</f>
        <v>0</v>
      </c>
      <c r="Q784" s="298">
        <f>IF(ISNA(VLOOKUP($A784,SprintData,4,FALSE)),0,VLOOKUP($A784,SprintData,4,FALSE))+V784</f>
        <v>0</v>
      </c>
      <c r="R784" s="298">
        <f>IF(ISNA(VLOOKUP($A784,JumpData,4,FALSE)),0,VLOOKUP($A784,JumpData,4,FALSE))+W784</f>
        <v>0</v>
      </c>
      <c r="S784" s="298">
        <f>IF(ISNA(VLOOKUP($A784,RunData,4,FALSE)),0,VLOOKUP($A784,RunData,4,FALSE))+X784</f>
        <v>0</v>
      </c>
      <c r="T784" s="298">
        <f>IF(ISNA(VLOOKUP($A784,ThrowData,4,FALSE)),0,VLOOKUP($A784,ThrowData,4,FALSE))+Y784</f>
        <v>0</v>
      </c>
      <c r="U784" s="299">
        <f t="shared" si="2"/>
        <v>0</v>
      </c>
      <c r="V784">
        <f>IF(AND($F784&gt;0,NOT(M784),Flexing),FlexPC,0)</f>
        <v>0</v>
      </c>
      <c r="W784">
        <f>IF(AND($F784&gt;0,NOT(N784),Flexing),FlexPC,0)</f>
        <v>0</v>
      </c>
      <c r="X784">
        <f>IF(AND($F784&gt;0,NOT(O784),Flexing),FlexPC,0)</f>
        <v>0</v>
      </c>
      <c r="Y784">
        <f>IF(AND($F784&gt;0,NOT(P784),Flexing),FlexPC,0)</f>
        <v>0</v>
      </c>
      <c r="AA784" s="209">
        <f t="shared" si="3"/>
        <v>783</v>
      </c>
    </row>
    <row r="785" ht="15.75" customHeight="1">
      <c r="A785" s="206" t="str">
        <f>+Declarations!A785&amp;""</f>
        <v/>
      </c>
      <c r="B785" t="str">
        <f>IF(LEN($A785),IF(LEN(Declarations!$B785)&gt;0,Declarations!$B785,"#"&amp;$A785),"")</f>
        <v/>
      </c>
      <c r="C785" s="209" t="str">
        <f t="array" ref="C785">IF(LEN(INDEX(DECLARATIONS,$AA785,3))&gt;0,INDEX(DECLARATIONS,$AA785,3),"...")</f>
        <v>...</v>
      </c>
      <c r="D785" s="209" t="str">
        <f t="shared" si="1"/>
        <v/>
      </c>
      <c r="E785" s="296" t="str">
        <f t="array" ref="E785">IF(ISNA($AA785),0,INDEX(DECLARATIONS,$AA785,5))</f>
        <v/>
      </c>
      <c r="F785" s="209" t="str">
        <f t="array" ref="F785">IF(ISNA($AA785),0,INDEX(DECLARATIONS,$AA785,7))</f>
        <v/>
      </c>
      <c r="G785" s="209" t="str">
        <f t="array" ref="G785">UPPER(IF(ISNA($AA785),"",INDEX(DECLARATIONS,$AA785,4)))</f>
        <v/>
      </c>
      <c r="H785" t="str">
        <f>IF(AND(A785&gt;0,ISTEXT(B785)),IF(SECNAME="YES",LEFT(B785&amp;" ",FIND(" ",B785&amp;" ")+2)&amp;IF(F785&gt;0," ("&amp;F785&amp;")",""),B785&amp;IF(F785&gt;0," ("&amp;F785&amp;")","")),"#"&amp;$A785)</f>
        <v/>
      </c>
      <c r="I785" s="209">
        <f>IF(LEN($A785)&gt;0,IF(LEN($J785)&gt;0,MATCH(J785,MatchNames,0),EventIndex),0)</f>
        <v>0</v>
      </c>
      <c r="J785" s="209" t="str">
        <f>IF(LEN($A785)&gt;0,IF(LEN(Declarations!$F785)&gt;0,Declarations!$F785,conftype),"")</f>
        <v/>
      </c>
      <c r="M785" s="297">
        <f>IF(ISNA(VLOOKUP($A785,SprintData,2,FALSE)),0,VLOOKUP($A785,SprintData,2,FALSE))</f>
        <v>0</v>
      </c>
      <c r="N785" s="297">
        <f>IF(ISNA(VLOOKUP($A785,JumpData,2,FALSE)),0,VLOOKUP($A785,JumpData,2,FALSE))</f>
        <v>0</v>
      </c>
      <c r="O785" s="297">
        <f>IF(ISNA(VLOOKUP($A785,RunData,2,FALSE)),0,VLOOKUP($A785,RunData,2,FALSE))</f>
        <v>0</v>
      </c>
      <c r="P785" s="297">
        <f>IF(ISNA(VLOOKUP($A785,ThrowData,2,FALSE)),0,VLOOKUP($A785,ThrowData,2,FALSE))</f>
        <v>0</v>
      </c>
      <c r="Q785" s="298">
        <f>IF(ISNA(VLOOKUP($A785,SprintData,4,FALSE)),0,VLOOKUP($A785,SprintData,4,FALSE))+V785</f>
        <v>0</v>
      </c>
      <c r="R785" s="298">
        <f>IF(ISNA(VLOOKUP($A785,JumpData,4,FALSE)),0,VLOOKUP($A785,JumpData,4,FALSE))+W785</f>
        <v>0</v>
      </c>
      <c r="S785" s="298">
        <f>IF(ISNA(VLOOKUP($A785,RunData,4,FALSE)),0,VLOOKUP($A785,RunData,4,FALSE))+X785</f>
        <v>0</v>
      </c>
      <c r="T785" s="298">
        <f>IF(ISNA(VLOOKUP($A785,ThrowData,4,FALSE)),0,VLOOKUP($A785,ThrowData,4,FALSE))+Y785</f>
        <v>0</v>
      </c>
      <c r="U785" s="299">
        <f t="shared" si="2"/>
        <v>0</v>
      </c>
      <c r="V785">
        <f>IF(AND($F785&gt;0,NOT(M785),Flexing),FlexPC,0)</f>
        <v>0</v>
      </c>
      <c r="W785">
        <f>IF(AND($F785&gt;0,NOT(N785),Flexing),FlexPC,0)</f>
        <v>0</v>
      </c>
      <c r="X785">
        <f>IF(AND($F785&gt;0,NOT(O785),Flexing),FlexPC,0)</f>
        <v>0</v>
      </c>
      <c r="Y785">
        <f>IF(AND($F785&gt;0,NOT(P785),Flexing),FlexPC,0)</f>
        <v>0</v>
      </c>
      <c r="AA785" s="209">
        <f t="shared" si="3"/>
        <v>784</v>
      </c>
    </row>
    <row r="786" ht="15.75" customHeight="1">
      <c r="A786" s="206" t="str">
        <f>+Declarations!A786&amp;""</f>
        <v/>
      </c>
      <c r="B786" t="str">
        <f>IF(LEN($A786),IF(LEN(Declarations!$B786)&gt;0,Declarations!$B786,"#"&amp;$A786),"")</f>
        <v/>
      </c>
      <c r="C786" s="209" t="str">
        <f t="array" ref="C786">IF(LEN(INDEX(DECLARATIONS,$AA786,3))&gt;0,INDEX(DECLARATIONS,$AA786,3),"...")</f>
        <v>...</v>
      </c>
      <c r="D786" s="209" t="str">
        <f t="shared" si="1"/>
        <v/>
      </c>
      <c r="E786" s="296" t="str">
        <f t="array" ref="E786">IF(ISNA($AA786),0,INDEX(DECLARATIONS,$AA786,5))</f>
        <v/>
      </c>
      <c r="F786" s="209" t="str">
        <f t="array" ref="F786">IF(ISNA($AA786),0,INDEX(DECLARATIONS,$AA786,7))</f>
        <v/>
      </c>
      <c r="G786" s="209" t="str">
        <f t="array" ref="G786">UPPER(IF(ISNA($AA786),"",INDEX(DECLARATIONS,$AA786,4)))</f>
        <v/>
      </c>
      <c r="H786" t="str">
        <f>IF(AND(A786&gt;0,ISTEXT(B786)),IF(SECNAME="YES",LEFT(B786&amp;" ",FIND(" ",B786&amp;" ")+2)&amp;IF(F786&gt;0," ("&amp;F786&amp;")",""),B786&amp;IF(F786&gt;0," ("&amp;F786&amp;")","")),"#"&amp;$A786)</f>
        <v/>
      </c>
      <c r="I786" s="209">
        <f>IF(LEN($A786)&gt;0,IF(LEN($J786)&gt;0,MATCH(J786,MatchNames,0),EventIndex),0)</f>
        <v>0</v>
      </c>
      <c r="J786" s="209" t="str">
        <f>IF(LEN($A786)&gt;0,IF(LEN(Declarations!$F786)&gt;0,Declarations!$F786,conftype),"")</f>
        <v/>
      </c>
      <c r="M786" s="297">
        <f>IF(ISNA(VLOOKUP($A786,SprintData,2,FALSE)),0,VLOOKUP($A786,SprintData,2,FALSE))</f>
        <v>0</v>
      </c>
      <c r="N786" s="297">
        <f>IF(ISNA(VLOOKUP($A786,JumpData,2,FALSE)),0,VLOOKUP($A786,JumpData,2,FALSE))</f>
        <v>0</v>
      </c>
      <c r="O786" s="297">
        <f>IF(ISNA(VLOOKUP($A786,RunData,2,FALSE)),0,VLOOKUP($A786,RunData,2,FALSE))</f>
        <v>0</v>
      </c>
      <c r="P786" s="297">
        <f>IF(ISNA(VLOOKUP($A786,ThrowData,2,FALSE)),0,VLOOKUP($A786,ThrowData,2,FALSE))</f>
        <v>0</v>
      </c>
      <c r="Q786" s="298">
        <f>IF(ISNA(VLOOKUP($A786,SprintData,4,FALSE)),0,VLOOKUP($A786,SprintData,4,FALSE))+V786</f>
        <v>0</v>
      </c>
      <c r="R786" s="298">
        <f>IF(ISNA(VLOOKUP($A786,JumpData,4,FALSE)),0,VLOOKUP($A786,JumpData,4,FALSE))+W786</f>
        <v>0</v>
      </c>
      <c r="S786" s="298">
        <f>IF(ISNA(VLOOKUP($A786,RunData,4,FALSE)),0,VLOOKUP($A786,RunData,4,FALSE))+X786</f>
        <v>0</v>
      </c>
      <c r="T786" s="298">
        <f>IF(ISNA(VLOOKUP($A786,ThrowData,4,FALSE)),0,VLOOKUP($A786,ThrowData,4,FALSE))+Y786</f>
        <v>0</v>
      </c>
      <c r="U786" s="299">
        <f t="shared" si="2"/>
        <v>0</v>
      </c>
      <c r="V786">
        <f>IF(AND($F786&gt;0,NOT(M786),Flexing),FlexPC,0)</f>
        <v>0</v>
      </c>
      <c r="W786">
        <f>IF(AND($F786&gt;0,NOT(N786),Flexing),FlexPC,0)</f>
        <v>0</v>
      </c>
      <c r="X786">
        <f>IF(AND($F786&gt;0,NOT(O786),Flexing),FlexPC,0)</f>
        <v>0</v>
      </c>
      <c r="Y786">
        <f>IF(AND($F786&gt;0,NOT(P786),Flexing),FlexPC,0)</f>
        <v>0</v>
      </c>
      <c r="AA786" s="209">
        <f t="shared" si="3"/>
        <v>785</v>
      </c>
    </row>
    <row r="787" ht="15.75" customHeight="1">
      <c r="A787" s="206" t="str">
        <f>+Declarations!A787&amp;""</f>
        <v/>
      </c>
      <c r="B787" t="str">
        <f>IF(LEN($A787),IF(LEN(Declarations!$B787)&gt;0,Declarations!$B787,"#"&amp;$A787),"")</f>
        <v/>
      </c>
      <c r="C787" s="209" t="str">
        <f t="array" ref="C787">IF(LEN(INDEX(DECLARATIONS,$AA787,3))&gt;0,INDEX(DECLARATIONS,$AA787,3),"...")</f>
        <v>...</v>
      </c>
      <c r="D787" s="209" t="str">
        <f t="shared" si="1"/>
        <v/>
      </c>
      <c r="E787" s="296" t="str">
        <f t="array" ref="E787">IF(ISNA($AA787),0,INDEX(DECLARATIONS,$AA787,5))</f>
        <v/>
      </c>
      <c r="F787" s="209" t="str">
        <f t="array" ref="F787">IF(ISNA($AA787),0,INDEX(DECLARATIONS,$AA787,7))</f>
        <v/>
      </c>
      <c r="G787" s="209" t="str">
        <f t="array" ref="G787">UPPER(IF(ISNA($AA787),"",INDEX(DECLARATIONS,$AA787,4)))</f>
        <v/>
      </c>
      <c r="H787" t="str">
        <f>IF(AND(A787&gt;0,ISTEXT(B787)),IF(SECNAME="YES",LEFT(B787&amp;" ",FIND(" ",B787&amp;" ")+2)&amp;IF(F787&gt;0," ("&amp;F787&amp;")",""),B787&amp;IF(F787&gt;0," ("&amp;F787&amp;")","")),"#"&amp;$A787)</f>
        <v/>
      </c>
      <c r="I787" s="209">
        <f>IF(LEN($A787)&gt;0,IF(LEN($J787)&gt;0,MATCH(J787,MatchNames,0),EventIndex),0)</f>
        <v>0</v>
      </c>
      <c r="J787" s="209" t="str">
        <f>IF(LEN($A787)&gt;0,IF(LEN(Declarations!$F787)&gt;0,Declarations!$F787,conftype),"")</f>
        <v/>
      </c>
      <c r="M787" s="297">
        <f>IF(ISNA(VLOOKUP($A787,SprintData,2,FALSE)),0,VLOOKUP($A787,SprintData,2,FALSE))</f>
        <v>0</v>
      </c>
      <c r="N787" s="297">
        <f>IF(ISNA(VLOOKUP($A787,JumpData,2,FALSE)),0,VLOOKUP($A787,JumpData,2,FALSE))</f>
        <v>0</v>
      </c>
      <c r="O787" s="297">
        <f>IF(ISNA(VLOOKUP($A787,RunData,2,FALSE)),0,VLOOKUP($A787,RunData,2,FALSE))</f>
        <v>0</v>
      </c>
      <c r="P787" s="297">
        <f>IF(ISNA(VLOOKUP($A787,ThrowData,2,FALSE)),0,VLOOKUP($A787,ThrowData,2,FALSE))</f>
        <v>0</v>
      </c>
      <c r="Q787" s="298">
        <f>IF(ISNA(VLOOKUP($A787,SprintData,4,FALSE)),0,VLOOKUP($A787,SprintData,4,FALSE))+V787</f>
        <v>0</v>
      </c>
      <c r="R787" s="298">
        <f>IF(ISNA(VLOOKUP($A787,JumpData,4,FALSE)),0,VLOOKUP($A787,JumpData,4,FALSE))+W787</f>
        <v>0</v>
      </c>
      <c r="S787" s="298">
        <f>IF(ISNA(VLOOKUP($A787,RunData,4,FALSE)),0,VLOOKUP($A787,RunData,4,FALSE))+X787</f>
        <v>0</v>
      </c>
      <c r="T787" s="298">
        <f>IF(ISNA(VLOOKUP($A787,ThrowData,4,FALSE)),0,VLOOKUP($A787,ThrowData,4,FALSE))+Y787</f>
        <v>0</v>
      </c>
      <c r="U787" s="299">
        <f t="shared" si="2"/>
        <v>0</v>
      </c>
      <c r="V787">
        <f>IF(AND($F787&gt;0,NOT(M787),Flexing),FlexPC,0)</f>
        <v>0</v>
      </c>
      <c r="W787">
        <f>IF(AND($F787&gt;0,NOT(N787),Flexing),FlexPC,0)</f>
        <v>0</v>
      </c>
      <c r="X787">
        <f>IF(AND($F787&gt;0,NOT(O787),Flexing),FlexPC,0)</f>
        <v>0</v>
      </c>
      <c r="Y787">
        <f>IF(AND($F787&gt;0,NOT(P787),Flexing),FlexPC,0)</f>
        <v>0</v>
      </c>
      <c r="AA787" s="209">
        <f t="shared" si="3"/>
        <v>786</v>
      </c>
    </row>
    <row r="788" ht="15.75" customHeight="1">
      <c r="A788" s="206" t="str">
        <f>+Declarations!A788&amp;""</f>
        <v/>
      </c>
      <c r="B788" t="str">
        <f>IF(LEN($A788),IF(LEN(Declarations!$B788)&gt;0,Declarations!$B788,"#"&amp;$A788),"")</f>
        <v/>
      </c>
      <c r="C788" s="209" t="str">
        <f t="array" ref="C788">IF(LEN(INDEX(DECLARATIONS,$AA788,3))&gt;0,INDEX(DECLARATIONS,$AA788,3),"...")</f>
        <v>...</v>
      </c>
      <c r="D788" s="209" t="str">
        <f t="shared" si="1"/>
        <v/>
      </c>
      <c r="E788" s="296" t="str">
        <f t="array" ref="E788">IF(ISNA($AA788),0,INDEX(DECLARATIONS,$AA788,5))</f>
        <v/>
      </c>
      <c r="F788" s="209" t="str">
        <f t="array" ref="F788">IF(ISNA($AA788),0,INDEX(DECLARATIONS,$AA788,7))</f>
        <v/>
      </c>
      <c r="G788" s="209" t="str">
        <f t="array" ref="G788">UPPER(IF(ISNA($AA788),"",INDEX(DECLARATIONS,$AA788,4)))</f>
        <v/>
      </c>
      <c r="H788" t="str">
        <f>IF(AND(A788&gt;0,ISTEXT(B788)),IF(SECNAME="YES",LEFT(B788&amp;" ",FIND(" ",B788&amp;" ")+2)&amp;IF(F788&gt;0," ("&amp;F788&amp;")",""),B788&amp;IF(F788&gt;0," ("&amp;F788&amp;")","")),"#"&amp;$A788)</f>
        <v/>
      </c>
      <c r="I788" s="209">
        <f>IF(LEN($A788)&gt;0,IF(LEN($J788)&gt;0,MATCH(J788,MatchNames,0),EventIndex),0)</f>
        <v>0</v>
      </c>
      <c r="J788" s="209" t="str">
        <f>IF(LEN($A788)&gt;0,IF(LEN(Declarations!$F788)&gt;0,Declarations!$F788,conftype),"")</f>
        <v/>
      </c>
      <c r="M788" s="297">
        <f>IF(ISNA(VLOOKUP($A788,SprintData,2,FALSE)),0,VLOOKUP($A788,SprintData,2,FALSE))</f>
        <v>0</v>
      </c>
      <c r="N788" s="297">
        <f>IF(ISNA(VLOOKUP($A788,JumpData,2,FALSE)),0,VLOOKUP($A788,JumpData,2,FALSE))</f>
        <v>0</v>
      </c>
      <c r="O788" s="297">
        <f>IF(ISNA(VLOOKUP($A788,RunData,2,FALSE)),0,VLOOKUP($A788,RunData,2,FALSE))</f>
        <v>0</v>
      </c>
      <c r="P788" s="297">
        <f>IF(ISNA(VLOOKUP($A788,ThrowData,2,FALSE)),0,VLOOKUP($A788,ThrowData,2,FALSE))</f>
        <v>0</v>
      </c>
      <c r="Q788" s="298">
        <f>IF(ISNA(VLOOKUP($A788,SprintData,4,FALSE)),0,VLOOKUP($A788,SprintData,4,FALSE))+V788</f>
        <v>0</v>
      </c>
      <c r="R788" s="298">
        <f>IF(ISNA(VLOOKUP($A788,JumpData,4,FALSE)),0,VLOOKUP($A788,JumpData,4,FALSE))+W788</f>
        <v>0</v>
      </c>
      <c r="S788" s="298">
        <f>IF(ISNA(VLOOKUP($A788,RunData,4,FALSE)),0,VLOOKUP($A788,RunData,4,FALSE))+X788</f>
        <v>0</v>
      </c>
      <c r="T788" s="298">
        <f>IF(ISNA(VLOOKUP($A788,ThrowData,4,FALSE)),0,VLOOKUP($A788,ThrowData,4,FALSE))+Y788</f>
        <v>0</v>
      </c>
      <c r="U788" s="299">
        <f t="shared" si="2"/>
        <v>0</v>
      </c>
      <c r="V788">
        <f>IF(AND($F788&gt;0,NOT(M788),Flexing),FlexPC,0)</f>
        <v>0</v>
      </c>
      <c r="W788">
        <f>IF(AND($F788&gt;0,NOT(N788),Flexing),FlexPC,0)</f>
        <v>0</v>
      </c>
      <c r="X788">
        <f>IF(AND($F788&gt;0,NOT(O788),Flexing),FlexPC,0)</f>
        <v>0</v>
      </c>
      <c r="Y788">
        <f>IF(AND($F788&gt;0,NOT(P788),Flexing),FlexPC,0)</f>
        <v>0</v>
      </c>
      <c r="AA788" s="209">
        <f t="shared" si="3"/>
        <v>787</v>
      </c>
    </row>
    <row r="789" ht="15.75" customHeight="1">
      <c r="A789" s="206" t="str">
        <f>+Declarations!A789&amp;""</f>
        <v/>
      </c>
      <c r="B789" t="str">
        <f>IF(LEN($A789),IF(LEN(Declarations!$B789)&gt;0,Declarations!$B789,"#"&amp;$A789),"")</f>
        <v/>
      </c>
      <c r="C789" s="209" t="str">
        <f t="array" ref="C789">IF(LEN(INDEX(DECLARATIONS,$AA789,3))&gt;0,INDEX(DECLARATIONS,$AA789,3),"...")</f>
        <v>...</v>
      </c>
      <c r="D789" s="209" t="str">
        <f t="shared" si="1"/>
        <v/>
      </c>
      <c r="E789" s="296" t="str">
        <f t="array" ref="E789">IF(ISNA($AA789),0,INDEX(DECLARATIONS,$AA789,5))</f>
        <v/>
      </c>
      <c r="F789" s="209" t="str">
        <f t="array" ref="F789">IF(ISNA($AA789),0,INDEX(DECLARATIONS,$AA789,7))</f>
        <v/>
      </c>
      <c r="G789" s="209" t="str">
        <f t="array" ref="G789">UPPER(IF(ISNA($AA789),"",INDEX(DECLARATIONS,$AA789,4)))</f>
        <v/>
      </c>
      <c r="H789" t="str">
        <f>IF(AND(A789&gt;0,ISTEXT(B789)),IF(SECNAME="YES",LEFT(B789&amp;" ",FIND(" ",B789&amp;" ")+2)&amp;IF(F789&gt;0," ("&amp;F789&amp;")",""),B789&amp;IF(F789&gt;0," ("&amp;F789&amp;")","")),"#"&amp;$A789)</f>
        <v/>
      </c>
      <c r="I789" s="209">
        <f>IF(LEN($A789)&gt;0,IF(LEN($J789)&gt;0,MATCH(J789,MatchNames,0),EventIndex),0)</f>
        <v>0</v>
      </c>
      <c r="J789" s="209" t="str">
        <f>IF(LEN($A789)&gt;0,IF(LEN(Declarations!$F789)&gt;0,Declarations!$F789,conftype),"")</f>
        <v/>
      </c>
      <c r="M789" s="297">
        <f>IF(ISNA(VLOOKUP($A789,SprintData,2,FALSE)),0,VLOOKUP($A789,SprintData,2,FALSE))</f>
        <v>0</v>
      </c>
      <c r="N789" s="297">
        <f>IF(ISNA(VLOOKUP($A789,JumpData,2,FALSE)),0,VLOOKUP($A789,JumpData,2,FALSE))</f>
        <v>0</v>
      </c>
      <c r="O789" s="297">
        <f>IF(ISNA(VLOOKUP($A789,RunData,2,FALSE)),0,VLOOKUP($A789,RunData,2,FALSE))</f>
        <v>0</v>
      </c>
      <c r="P789" s="297">
        <f>IF(ISNA(VLOOKUP($A789,ThrowData,2,FALSE)),0,VLOOKUP($A789,ThrowData,2,FALSE))</f>
        <v>0</v>
      </c>
      <c r="Q789" s="298">
        <f>IF(ISNA(VLOOKUP($A789,SprintData,4,FALSE)),0,VLOOKUP($A789,SprintData,4,FALSE))+V789</f>
        <v>0</v>
      </c>
      <c r="R789" s="298">
        <f>IF(ISNA(VLOOKUP($A789,JumpData,4,FALSE)),0,VLOOKUP($A789,JumpData,4,FALSE))+W789</f>
        <v>0</v>
      </c>
      <c r="S789" s="298">
        <f>IF(ISNA(VLOOKUP($A789,RunData,4,FALSE)),0,VLOOKUP($A789,RunData,4,FALSE))+X789</f>
        <v>0</v>
      </c>
      <c r="T789" s="298">
        <f>IF(ISNA(VLOOKUP($A789,ThrowData,4,FALSE)),0,VLOOKUP($A789,ThrowData,4,FALSE))+Y789</f>
        <v>0</v>
      </c>
      <c r="U789" s="299">
        <f t="shared" si="2"/>
        <v>0</v>
      </c>
      <c r="V789">
        <f>IF(AND($F789&gt;0,NOT(M789),Flexing),FlexPC,0)</f>
        <v>0</v>
      </c>
      <c r="W789">
        <f>IF(AND($F789&gt;0,NOT(N789),Flexing),FlexPC,0)</f>
        <v>0</v>
      </c>
      <c r="X789">
        <f>IF(AND($F789&gt;0,NOT(O789),Flexing),FlexPC,0)</f>
        <v>0</v>
      </c>
      <c r="Y789">
        <f>IF(AND($F789&gt;0,NOT(P789),Flexing),FlexPC,0)</f>
        <v>0</v>
      </c>
      <c r="AA789" s="209">
        <f t="shared" si="3"/>
        <v>788</v>
      </c>
    </row>
    <row r="790" ht="15.75" customHeight="1">
      <c r="A790" s="206" t="str">
        <f>+Declarations!A790&amp;""</f>
        <v/>
      </c>
      <c r="B790" t="str">
        <f>IF(LEN($A790),IF(LEN(Declarations!$B790)&gt;0,Declarations!$B790,"#"&amp;$A790),"")</f>
        <v/>
      </c>
      <c r="C790" s="209" t="str">
        <f t="array" ref="C790">IF(LEN(INDEX(DECLARATIONS,$AA790,3))&gt;0,INDEX(DECLARATIONS,$AA790,3),"...")</f>
        <v>...</v>
      </c>
      <c r="D790" s="209" t="str">
        <f t="shared" si="1"/>
        <v/>
      </c>
      <c r="E790" s="296" t="str">
        <f t="array" ref="E790">IF(ISNA($AA790),0,INDEX(DECLARATIONS,$AA790,5))</f>
        <v/>
      </c>
      <c r="F790" s="209" t="str">
        <f t="array" ref="F790">IF(ISNA($AA790),0,INDEX(DECLARATIONS,$AA790,7))</f>
        <v/>
      </c>
      <c r="G790" s="209" t="str">
        <f t="array" ref="G790">UPPER(IF(ISNA($AA790),"",INDEX(DECLARATIONS,$AA790,4)))</f>
        <v/>
      </c>
      <c r="H790" t="str">
        <f>IF(AND(A790&gt;0,ISTEXT(B790)),IF(SECNAME="YES",LEFT(B790&amp;" ",FIND(" ",B790&amp;" ")+2)&amp;IF(F790&gt;0," ("&amp;F790&amp;")",""),B790&amp;IF(F790&gt;0," ("&amp;F790&amp;")","")),"#"&amp;$A790)</f>
        <v/>
      </c>
      <c r="I790" s="209">
        <f>IF(LEN($A790)&gt;0,IF(LEN($J790)&gt;0,MATCH(J790,MatchNames,0),EventIndex),0)</f>
        <v>0</v>
      </c>
      <c r="J790" s="209" t="str">
        <f>IF(LEN($A790)&gt;0,IF(LEN(Declarations!$F790)&gt;0,Declarations!$F790,conftype),"")</f>
        <v/>
      </c>
      <c r="M790" s="297">
        <f>IF(ISNA(VLOOKUP($A790,SprintData,2,FALSE)),0,VLOOKUP($A790,SprintData,2,FALSE))</f>
        <v>0</v>
      </c>
      <c r="N790" s="297">
        <f>IF(ISNA(VLOOKUP($A790,JumpData,2,FALSE)),0,VLOOKUP($A790,JumpData,2,FALSE))</f>
        <v>0</v>
      </c>
      <c r="O790" s="297">
        <f>IF(ISNA(VLOOKUP($A790,RunData,2,FALSE)),0,VLOOKUP($A790,RunData,2,FALSE))</f>
        <v>0</v>
      </c>
      <c r="P790" s="297">
        <f>IF(ISNA(VLOOKUP($A790,ThrowData,2,FALSE)),0,VLOOKUP($A790,ThrowData,2,FALSE))</f>
        <v>0</v>
      </c>
      <c r="Q790" s="298">
        <f>IF(ISNA(VLOOKUP($A790,SprintData,4,FALSE)),0,VLOOKUP($A790,SprintData,4,FALSE))+V790</f>
        <v>0</v>
      </c>
      <c r="R790" s="298">
        <f>IF(ISNA(VLOOKUP($A790,JumpData,4,FALSE)),0,VLOOKUP($A790,JumpData,4,FALSE))+W790</f>
        <v>0</v>
      </c>
      <c r="S790" s="298">
        <f>IF(ISNA(VLOOKUP($A790,RunData,4,FALSE)),0,VLOOKUP($A790,RunData,4,FALSE))+X790</f>
        <v>0</v>
      </c>
      <c r="T790" s="298">
        <f>IF(ISNA(VLOOKUP($A790,ThrowData,4,FALSE)),0,VLOOKUP($A790,ThrowData,4,FALSE))+Y790</f>
        <v>0</v>
      </c>
      <c r="U790" s="299">
        <f t="shared" si="2"/>
        <v>0</v>
      </c>
      <c r="V790">
        <f>IF(AND($F790&gt;0,NOT(M790),Flexing),FlexPC,0)</f>
        <v>0</v>
      </c>
      <c r="W790">
        <f>IF(AND($F790&gt;0,NOT(N790),Flexing),FlexPC,0)</f>
        <v>0</v>
      </c>
      <c r="X790">
        <f>IF(AND($F790&gt;0,NOT(O790),Flexing),FlexPC,0)</f>
        <v>0</v>
      </c>
      <c r="Y790">
        <f>IF(AND($F790&gt;0,NOT(P790),Flexing),FlexPC,0)</f>
        <v>0</v>
      </c>
      <c r="AA790" s="209">
        <f t="shared" si="3"/>
        <v>789</v>
      </c>
    </row>
    <row r="791" ht="15.75" customHeight="1">
      <c r="A791" s="206" t="str">
        <f>+Declarations!A791&amp;""</f>
        <v/>
      </c>
      <c r="B791" t="str">
        <f>IF(LEN($A791),IF(LEN(Declarations!$B791)&gt;0,Declarations!$B791,"#"&amp;$A791),"")</f>
        <v/>
      </c>
      <c r="C791" s="209" t="str">
        <f t="array" ref="C791">IF(LEN(INDEX(DECLARATIONS,$AA791,3))&gt;0,INDEX(DECLARATIONS,$AA791,3),"...")</f>
        <v>...</v>
      </c>
      <c r="D791" s="209" t="str">
        <f t="shared" si="1"/>
        <v/>
      </c>
      <c r="E791" s="296" t="str">
        <f t="array" ref="E791">IF(ISNA($AA791),0,INDEX(DECLARATIONS,$AA791,5))</f>
        <v/>
      </c>
      <c r="F791" s="209" t="str">
        <f t="array" ref="F791">IF(ISNA($AA791),0,INDEX(DECLARATIONS,$AA791,7))</f>
        <v/>
      </c>
      <c r="G791" s="209" t="str">
        <f t="array" ref="G791">UPPER(IF(ISNA($AA791),"",INDEX(DECLARATIONS,$AA791,4)))</f>
        <v/>
      </c>
      <c r="H791" t="str">
        <f>IF(AND(A791&gt;0,ISTEXT(B791)),IF(SECNAME="YES",LEFT(B791&amp;" ",FIND(" ",B791&amp;" ")+2)&amp;IF(F791&gt;0," ("&amp;F791&amp;")",""),B791&amp;IF(F791&gt;0," ("&amp;F791&amp;")","")),"#"&amp;$A791)</f>
        <v/>
      </c>
      <c r="I791" s="209">
        <f>IF(LEN($A791)&gt;0,IF(LEN($J791)&gt;0,MATCH(J791,MatchNames,0),EventIndex),0)</f>
        <v>0</v>
      </c>
      <c r="J791" s="209" t="str">
        <f>IF(LEN($A791)&gt;0,IF(LEN(Declarations!$F791)&gt;0,Declarations!$F791,conftype),"")</f>
        <v/>
      </c>
      <c r="M791" s="297">
        <f>IF(ISNA(VLOOKUP($A791,SprintData,2,FALSE)),0,VLOOKUP($A791,SprintData,2,FALSE))</f>
        <v>0</v>
      </c>
      <c r="N791" s="297">
        <f>IF(ISNA(VLOOKUP($A791,JumpData,2,FALSE)),0,VLOOKUP($A791,JumpData,2,FALSE))</f>
        <v>0</v>
      </c>
      <c r="O791" s="297">
        <f>IF(ISNA(VLOOKUP($A791,RunData,2,FALSE)),0,VLOOKUP($A791,RunData,2,FALSE))</f>
        <v>0</v>
      </c>
      <c r="P791" s="297">
        <f>IF(ISNA(VLOOKUP($A791,ThrowData,2,FALSE)),0,VLOOKUP($A791,ThrowData,2,FALSE))</f>
        <v>0</v>
      </c>
      <c r="Q791" s="298">
        <f>IF(ISNA(VLOOKUP($A791,SprintData,4,FALSE)),0,VLOOKUP($A791,SprintData,4,FALSE))+V791</f>
        <v>0</v>
      </c>
      <c r="R791" s="298">
        <f>IF(ISNA(VLOOKUP($A791,JumpData,4,FALSE)),0,VLOOKUP($A791,JumpData,4,FALSE))+W791</f>
        <v>0</v>
      </c>
      <c r="S791" s="298">
        <f>IF(ISNA(VLOOKUP($A791,RunData,4,FALSE)),0,VLOOKUP($A791,RunData,4,FALSE))+X791</f>
        <v>0</v>
      </c>
      <c r="T791" s="298">
        <f>IF(ISNA(VLOOKUP($A791,ThrowData,4,FALSE)),0,VLOOKUP($A791,ThrowData,4,FALSE))+Y791</f>
        <v>0</v>
      </c>
      <c r="U791" s="299">
        <f t="shared" si="2"/>
        <v>0</v>
      </c>
      <c r="V791">
        <f>IF(AND($F791&gt;0,NOT(M791),Flexing),FlexPC,0)</f>
        <v>0</v>
      </c>
      <c r="W791">
        <f>IF(AND($F791&gt;0,NOT(N791),Flexing),FlexPC,0)</f>
        <v>0</v>
      </c>
      <c r="X791">
        <f>IF(AND($F791&gt;0,NOT(O791),Flexing),FlexPC,0)</f>
        <v>0</v>
      </c>
      <c r="Y791">
        <f>IF(AND($F791&gt;0,NOT(P791),Flexing),FlexPC,0)</f>
        <v>0</v>
      </c>
      <c r="AA791" s="209">
        <f t="shared" si="3"/>
        <v>790</v>
      </c>
    </row>
    <row r="792" ht="15.75" customHeight="1">
      <c r="A792" s="206" t="str">
        <f>+Declarations!A792&amp;""</f>
        <v/>
      </c>
      <c r="B792" t="str">
        <f>IF(LEN($A792),IF(LEN(Declarations!$B792)&gt;0,Declarations!$B792,"#"&amp;$A792),"")</f>
        <v/>
      </c>
      <c r="C792" s="209" t="str">
        <f t="array" ref="C792">IF(LEN(INDEX(DECLARATIONS,$AA792,3))&gt;0,INDEX(DECLARATIONS,$AA792,3),"...")</f>
        <v>...</v>
      </c>
      <c r="D792" s="209" t="str">
        <f t="shared" si="1"/>
        <v/>
      </c>
      <c r="E792" s="296" t="str">
        <f t="array" ref="E792">IF(ISNA($AA792),0,INDEX(DECLARATIONS,$AA792,5))</f>
        <v/>
      </c>
      <c r="F792" s="209" t="str">
        <f t="array" ref="F792">IF(ISNA($AA792),0,INDEX(DECLARATIONS,$AA792,7))</f>
        <v/>
      </c>
      <c r="G792" s="209" t="str">
        <f t="array" ref="G792">UPPER(IF(ISNA($AA792),"",INDEX(DECLARATIONS,$AA792,4)))</f>
        <v/>
      </c>
      <c r="H792" t="str">
        <f>IF(AND(A792&gt;0,ISTEXT(B792)),IF(SECNAME="YES",LEFT(B792&amp;" ",FIND(" ",B792&amp;" ")+2)&amp;IF(F792&gt;0," ("&amp;F792&amp;")",""),B792&amp;IF(F792&gt;0," ("&amp;F792&amp;")","")),"#"&amp;$A792)</f>
        <v/>
      </c>
      <c r="I792" s="209">
        <f>IF(LEN($A792)&gt;0,IF(LEN($J792)&gt;0,MATCH(J792,MatchNames,0),EventIndex),0)</f>
        <v>0</v>
      </c>
      <c r="J792" s="209" t="str">
        <f>IF(LEN($A792)&gt;0,IF(LEN(Declarations!$F792)&gt;0,Declarations!$F792,conftype),"")</f>
        <v/>
      </c>
      <c r="M792" s="297">
        <f>IF(ISNA(VLOOKUP($A792,SprintData,2,FALSE)),0,VLOOKUP($A792,SprintData,2,FALSE))</f>
        <v>0</v>
      </c>
      <c r="N792" s="297">
        <f>IF(ISNA(VLOOKUP($A792,JumpData,2,FALSE)),0,VLOOKUP($A792,JumpData,2,FALSE))</f>
        <v>0</v>
      </c>
      <c r="O792" s="297">
        <f>IF(ISNA(VLOOKUP($A792,RunData,2,FALSE)),0,VLOOKUP($A792,RunData,2,FALSE))</f>
        <v>0</v>
      </c>
      <c r="P792" s="297">
        <f>IF(ISNA(VLOOKUP($A792,ThrowData,2,FALSE)),0,VLOOKUP($A792,ThrowData,2,FALSE))</f>
        <v>0</v>
      </c>
      <c r="Q792" s="298">
        <f>IF(ISNA(VLOOKUP($A792,SprintData,4,FALSE)),0,VLOOKUP($A792,SprintData,4,FALSE))+V792</f>
        <v>0</v>
      </c>
      <c r="R792" s="298">
        <f>IF(ISNA(VLOOKUP($A792,JumpData,4,FALSE)),0,VLOOKUP($A792,JumpData,4,FALSE))+W792</f>
        <v>0</v>
      </c>
      <c r="S792" s="298">
        <f>IF(ISNA(VLOOKUP($A792,RunData,4,FALSE)),0,VLOOKUP($A792,RunData,4,FALSE))+X792</f>
        <v>0</v>
      </c>
      <c r="T792" s="298">
        <f>IF(ISNA(VLOOKUP($A792,ThrowData,4,FALSE)),0,VLOOKUP($A792,ThrowData,4,FALSE))+Y792</f>
        <v>0</v>
      </c>
      <c r="U792" s="299">
        <f t="shared" si="2"/>
        <v>0</v>
      </c>
      <c r="V792">
        <f>IF(AND($F792&gt;0,NOT(M792),Flexing),FlexPC,0)</f>
        <v>0</v>
      </c>
      <c r="W792">
        <f>IF(AND($F792&gt;0,NOT(N792),Flexing),FlexPC,0)</f>
        <v>0</v>
      </c>
      <c r="X792">
        <f>IF(AND($F792&gt;0,NOT(O792),Flexing),FlexPC,0)</f>
        <v>0</v>
      </c>
      <c r="Y792">
        <f>IF(AND($F792&gt;0,NOT(P792),Flexing),FlexPC,0)</f>
        <v>0</v>
      </c>
      <c r="AA792" s="209">
        <f t="shared" si="3"/>
        <v>791</v>
      </c>
    </row>
    <row r="793" ht="15.75" customHeight="1">
      <c r="A793" s="206" t="str">
        <f>+Declarations!A793&amp;""</f>
        <v/>
      </c>
      <c r="B793" t="str">
        <f>IF(LEN($A793),IF(LEN(Declarations!$B793)&gt;0,Declarations!$B793,"#"&amp;$A793),"")</f>
        <v/>
      </c>
      <c r="C793" s="209" t="str">
        <f t="array" ref="C793">IF(LEN(INDEX(DECLARATIONS,$AA793,3))&gt;0,INDEX(DECLARATIONS,$AA793,3),"...")</f>
        <v>...</v>
      </c>
      <c r="D793" s="209" t="str">
        <f t="shared" si="1"/>
        <v/>
      </c>
      <c r="E793" s="296" t="str">
        <f t="array" ref="E793">IF(ISNA($AA793),0,INDEX(DECLARATIONS,$AA793,5))</f>
        <v/>
      </c>
      <c r="F793" s="209" t="str">
        <f t="array" ref="F793">IF(ISNA($AA793),0,INDEX(DECLARATIONS,$AA793,7))</f>
        <v/>
      </c>
      <c r="G793" s="209" t="str">
        <f t="array" ref="G793">UPPER(IF(ISNA($AA793),"",INDEX(DECLARATIONS,$AA793,4)))</f>
        <v/>
      </c>
      <c r="H793" t="str">
        <f>IF(AND(A793&gt;0,ISTEXT(B793)),IF(SECNAME="YES",LEFT(B793&amp;" ",FIND(" ",B793&amp;" ")+2)&amp;IF(F793&gt;0," ("&amp;F793&amp;")",""),B793&amp;IF(F793&gt;0," ("&amp;F793&amp;")","")),"#"&amp;$A793)</f>
        <v/>
      </c>
      <c r="I793" s="209">
        <f>IF(LEN($A793)&gt;0,IF(LEN($J793)&gt;0,MATCH(J793,MatchNames,0),EventIndex),0)</f>
        <v>0</v>
      </c>
      <c r="J793" s="209" t="str">
        <f>IF(LEN($A793)&gt;0,IF(LEN(Declarations!$F793)&gt;0,Declarations!$F793,conftype),"")</f>
        <v/>
      </c>
      <c r="M793" s="297">
        <f>IF(ISNA(VLOOKUP($A793,SprintData,2,FALSE)),0,VLOOKUP($A793,SprintData,2,FALSE))</f>
        <v>0</v>
      </c>
      <c r="N793" s="297">
        <f>IF(ISNA(VLOOKUP($A793,JumpData,2,FALSE)),0,VLOOKUP($A793,JumpData,2,FALSE))</f>
        <v>0</v>
      </c>
      <c r="O793" s="297">
        <f>IF(ISNA(VLOOKUP($A793,RunData,2,FALSE)),0,VLOOKUP($A793,RunData,2,FALSE))</f>
        <v>0</v>
      </c>
      <c r="P793" s="297">
        <f>IF(ISNA(VLOOKUP($A793,ThrowData,2,FALSE)),0,VLOOKUP($A793,ThrowData,2,FALSE))</f>
        <v>0</v>
      </c>
      <c r="Q793" s="298">
        <f>IF(ISNA(VLOOKUP($A793,SprintData,4,FALSE)),0,VLOOKUP($A793,SprintData,4,FALSE))+V793</f>
        <v>0</v>
      </c>
      <c r="R793" s="298">
        <f>IF(ISNA(VLOOKUP($A793,JumpData,4,FALSE)),0,VLOOKUP($A793,JumpData,4,FALSE))+W793</f>
        <v>0</v>
      </c>
      <c r="S793" s="298">
        <f>IF(ISNA(VLOOKUP($A793,RunData,4,FALSE)),0,VLOOKUP($A793,RunData,4,FALSE))+X793</f>
        <v>0</v>
      </c>
      <c r="T793" s="298">
        <f>IF(ISNA(VLOOKUP($A793,ThrowData,4,FALSE)),0,VLOOKUP($A793,ThrowData,4,FALSE))+Y793</f>
        <v>0</v>
      </c>
      <c r="U793" s="299">
        <f t="shared" si="2"/>
        <v>0</v>
      </c>
      <c r="V793">
        <f>IF(AND($F793&gt;0,NOT(M793),Flexing),FlexPC,0)</f>
        <v>0</v>
      </c>
      <c r="W793">
        <f>IF(AND($F793&gt;0,NOT(N793),Flexing),FlexPC,0)</f>
        <v>0</v>
      </c>
      <c r="X793">
        <f>IF(AND($F793&gt;0,NOT(O793),Flexing),FlexPC,0)</f>
        <v>0</v>
      </c>
      <c r="Y793">
        <f>IF(AND($F793&gt;0,NOT(P793),Flexing),FlexPC,0)</f>
        <v>0</v>
      </c>
      <c r="AA793" s="209">
        <f t="shared" si="3"/>
        <v>792</v>
      </c>
    </row>
    <row r="794" ht="15.75" customHeight="1">
      <c r="A794" s="206" t="str">
        <f>+Declarations!A794&amp;""</f>
        <v/>
      </c>
      <c r="B794" t="str">
        <f>IF(LEN($A794),IF(LEN(Declarations!$B794)&gt;0,Declarations!$B794,"#"&amp;$A794),"")</f>
        <v/>
      </c>
      <c r="C794" s="209" t="str">
        <f t="array" ref="C794">IF(LEN(INDEX(DECLARATIONS,$AA794,3))&gt;0,INDEX(DECLARATIONS,$AA794,3),"...")</f>
        <v>...</v>
      </c>
      <c r="D794" s="209" t="str">
        <f t="shared" si="1"/>
        <v/>
      </c>
      <c r="E794" s="296" t="str">
        <f t="array" ref="E794">IF(ISNA($AA794),0,INDEX(DECLARATIONS,$AA794,5))</f>
        <v/>
      </c>
      <c r="F794" s="209" t="str">
        <f t="array" ref="F794">IF(ISNA($AA794),0,INDEX(DECLARATIONS,$AA794,7))</f>
        <v/>
      </c>
      <c r="G794" s="209" t="str">
        <f t="array" ref="G794">UPPER(IF(ISNA($AA794),"",INDEX(DECLARATIONS,$AA794,4)))</f>
        <v/>
      </c>
      <c r="H794" t="str">
        <f>IF(AND(A794&gt;0,ISTEXT(B794)),IF(SECNAME="YES",LEFT(B794&amp;" ",FIND(" ",B794&amp;" ")+2)&amp;IF(F794&gt;0," ("&amp;F794&amp;")",""),B794&amp;IF(F794&gt;0," ("&amp;F794&amp;")","")),"#"&amp;$A794)</f>
        <v/>
      </c>
      <c r="I794" s="209">
        <f>IF(LEN($A794)&gt;0,IF(LEN($J794)&gt;0,MATCH(J794,MatchNames,0),EventIndex),0)</f>
        <v>0</v>
      </c>
      <c r="J794" s="209" t="str">
        <f>IF(LEN($A794)&gt;0,IF(LEN(Declarations!$F794)&gt;0,Declarations!$F794,conftype),"")</f>
        <v/>
      </c>
      <c r="M794" s="297">
        <f>IF(ISNA(VLOOKUP($A794,SprintData,2,FALSE)),0,VLOOKUP($A794,SprintData,2,FALSE))</f>
        <v>0</v>
      </c>
      <c r="N794" s="297">
        <f>IF(ISNA(VLOOKUP($A794,JumpData,2,FALSE)),0,VLOOKUP($A794,JumpData,2,FALSE))</f>
        <v>0</v>
      </c>
      <c r="O794" s="297">
        <f>IF(ISNA(VLOOKUP($A794,RunData,2,FALSE)),0,VLOOKUP($A794,RunData,2,FALSE))</f>
        <v>0</v>
      </c>
      <c r="P794" s="297">
        <f>IF(ISNA(VLOOKUP($A794,ThrowData,2,FALSE)),0,VLOOKUP($A794,ThrowData,2,FALSE))</f>
        <v>0</v>
      </c>
      <c r="Q794" s="298">
        <f>IF(ISNA(VLOOKUP($A794,SprintData,4,FALSE)),0,VLOOKUP($A794,SprintData,4,FALSE))+V794</f>
        <v>0</v>
      </c>
      <c r="R794" s="298">
        <f>IF(ISNA(VLOOKUP($A794,JumpData,4,FALSE)),0,VLOOKUP($A794,JumpData,4,FALSE))+W794</f>
        <v>0</v>
      </c>
      <c r="S794" s="298">
        <f>IF(ISNA(VLOOKUP($A794,RunData,4,FALSE)),0,VLOOKUP($A794,RunData,4,FALSE))+X794</f>
        <v>0</v>
      </c>
      <c r="T794" s="298">
        <f>IF(ISNA(VLOOKUP($A794,ThrowData,4,FALSE)),0,VLOOKUP($A794,ThrowData,4,FALSE))+Y794</f>
        <v>0</v>
      </c>
      <c r="U794" s="299">
        <f t="shared" si="2"/>
        <v>0</v>
      </c>
      <c r="V794">
        <f>IF(AND($F794&gt;0,NOT(M794),Flexing),FlexPC,0)</f>
        <v>0</v>
      </c>
      <c r="W794">
        <f>IF(AND($F794&gt;0,NOT(N794),Flexing),FlexPC,0)</f>
        <v>0</v>
      </c>
      <c r="X794">
        <f>IF(AND($F794&gt;0,NOT(O794),Flexing),FlexPC,0)</f>
        <v>0</v>
      </c>
      <c r="Y794">
        <f>IF(AND($F794&gt;0,NOT(P794),Flexing),FlexPC,0)</f>
        <v>0</v>
      </c>
      <c r="AA794" s="209">
        <f t="shared" si="3"/>
        <v>793</v>
      </c>
    </row>
    <row r="795" ht="15.75" customHeight="1">
      <c r="A795" s="206" t="str">
        <f>+Declarations!A795&amp;""</f>
        <v/>
      </c>
      <c r="B795" t="str">
        <f>IF(LEN($A795),IF(LEN(Declarations!$B795)&gt;0,Declarations!$B795,"#"&amp;$A795),"")</f>
        <v/>
      </c>
      <c r="C795" s="209" t="str">
        <f t="array" ref="C795">IF(LEN(INDEX(DECLARATIONS,$AA795,3))&gt;0,INDEX(DECLARATIONS,$AA795,3),"...")</f>
        <v>...</v>
      </c>
      <c r="D795" s="209" t="str">
        <f t="shared" si="1"/>
        <v/>
      </c>
      <c r="E795" s="296" t="str">
        <f t="array" ref="E795">IF(ISNA($AA795),0,INDEX(DECLARATIONS,$AA795,5))</f>
        <v/>
      </c>
      <c r="F795" s="209" t="str">
        <f t="array" ref="F795">IF(ISNA($AA795),0,INDEX(DECLARATIONS,$AA795,7))</f>
        <v/>
      </c>
      <c r="G795" s="209" t="str">
        <f t="array" ref="G795">UPPER(IF(ISNA($AA795),"",INDEX(DECLARATIONS,$AA795,4)))</f>
        <v/>
      </c>
      <c r="H795" t="str">
        <f>IF(AND(A795&gt;0,ISTEXT(B795)),IF(SECNAME="YES",LEFT(B795&amp;" ",FIND(" ",B795&amp;" ")+2)&amp;IF(F795&gt;0," ("&amp;F795&amp;")",""),B795&amp;IF(F795&gt;0," ("&amp;F795&amp;")","")),"#"&amp;$A795)</f>
        <v/>
      </c>
      <c r="I795" s="209">
        <f>IF(LEN($A795)&gt;0,IF(LEN($J795)&gt;0,MATCH(J795,MatchNames,0),EventIndex),0)</f>
        <v>0</v>
      </c>
      <c r="J795" s="209" t="str">
        <f>IF(LEN($A795)&gt;0,IF(LEN(Declarations!$F795)&gt;0,Declarations!$F795,conftype),"")</f>
        <v/>
      </c>
      <c r="M795" s="297">
        <f>IF(ISNA(VLOOKUP($A795,SprintData,2,FALSE)),0,VLOOKUP($A795,SprintData,2,FALSE))</f>
        <v>0</v>
      </c>
      <c r="N795" s="297">
        <f>IF(ISNA(VLOOKUP($A795,JumpData,2,FALSE)),0,VLOOKUP($A795,JumpData,2,FALSE))</f>
        <v>0</v>
      </c>
      <c r="O795" s="297">
        <f>IF(ISNA(VLOOKUP($A795,RunData,2,FALSE)),0,VLOOKUP($A795,RunData,2,FALSE))</f>
        <v>0</v>
      </c>
      <c r="P795" s="297">
        <f>IF(ISNA(VLOOKUP($A795,ThrowData,2,FALSE)),0,VLOOKUP($A795,ThrowData,2,FALSE))</f>
        <v>0</v>
      </c>
      <c r="Q795" s="298">
        <f>IF(ISNA(VLOOKUP($A795,SprintData,4,FALSE)),0,VLOOKUP($A795,SprintData,4,FALSE))+V795</f>
        <v>0</v>
      </c>
      <c r="R795" s="298">
        <f>IF(ISNA(VLOOKUP($A795,JumpData,4,FALSE)),0,VLOOKUP($A795,JumpData,4,FALSE))+W795</f>
        <v>0</v>
      </c>
      <c r="S795" s="298">
        <f>IF(ISNA(VLOOKUP($A795,RunData,4,FALSE)),0,VLOOKUP($A795,RunData,4,FALSE))+X795</f>
        <v>0</v>
      </c>
      <c r="T795" s="298">
        <f>IF(ISNA(VLOOKUP($A795,ThrowData,4,FALSE)),0,VLOOKUP($A795,ThrowData,4,FALSE))+Y795</f>
        <v>0</v>
      </c>
      <c r="U795" s="299">
        <f t="shared" si="2"/>
        <v>0</v>
      </c>
      <c r="V795">
        <f>IF(AND($F795&gt;0,NOT(M795),Flexing),FlexPC,0)</f>
        <v>0</v>
      </c>
      <c r="W795">
        <f>IF(AND($F795&gt;0,NOT(N795),Flexing),FlexPC,0)</f>
        <v>0</v>
      </c>
      <c r="X795">
        <f>IF(AND($F795&gt;0,NOT(O795),Flexing),FlexPC,0)</f>
        <v>0</v>
      </c>
      <c r="Y795">
        <f>IF(AND($F795&gt;0,NOT(P795),Flexing),FlexPC,0)</f>
        <v>0</v>
      </c>
      <c r="AA795" s="209">
        <f t="shared" si="3"/>
        <v>794</v>
      </c>
    </row>
    <row r="796" ht="15.75" customHeight="1">
      <c r="A796" s="206" t="str">
        <f>+Declarations!A796&amp;""</f>
        <v/>
      </c>
      <c r="B796" t="str">
        <f>IF(LEN($A796),IF(LEN(Declarations!$B796)&gt;0,Declarations!$B796,"#"&amp;$A796),"")</f>
        <v/>
      </c>
      <c r="C796" s="209" t="str">
        <f t="array" ref="C796">IF(LEN(INDEX(DECLARATIONS,$AA796,3))&gt;0,INDEX(DECLARATIONS,$AA796,3),"...")</f>
        <v>...</v>
      </c>
      <c r="D796" s="209" t="str">
        <f t="shared" si="1"/>
        <v/>
      </c>
      <c r="E796" s="296" t="str">
        <f t="array" ref="E796">IF(ISNA($AA796),0,INDEX(DECLARATIONS,$AA796,5))</f>
        <v/>
      </c>
      <c r="F796" s="209" t="str">
        <f t="array" ref="F796">IF(ISNA($AA796),0,INDEX(DECLARATIONS,$AA796,7))</f>
        <v/>
      </c>
      <c r="G796" s="209" t="str">
        <f t="array" ref="G796">UPPER(IF(ISNA($AA796),"",INDEX(DECLARATIONS,$AA796,4)))</f>
        <v/>
      </c>
      <c r="H796" t="str">
        <f>IF(AND(A796&gt;0,ISTEXT(B796)),IF(SECNAME="YES",LEFT(B796&amp;" ",FIND(" ",B796&amp;" ")+2)&amp;IF(F796&gt;0," ("&amp;F796&amp;")",""),B796&amp;IF(F796&gt;0," ("&amp;F796&amp;")","")),"#"&amp;$A796)</f>
        <v/>
      </c>
      <c r="I796" s="209">
        <f>IF(LEN($A796)&gt;0,IF(LEN($J796)&gt;0,MATCH(J796,MatchNames,0),EventIndex),0)</f>
        <v>0</v>
      </c>
      <c r="J796" s="209" t="str">
        <f>IF(LEN($A796)&gt;0,IF(LEN(Declarations!$F796)&gt;0,Declarations!$F796,conftype),"")</f>
        <v/>
      </c>
      <c r="M796" s="297">
        <f>IF(ISNA(VLOOKUP($A796,SprintData,2,FALSE)),0,VLOOKUP($A796,SprintData,2,FALSE))</f>
        <v>0</v>
      </c>
      <c r="N796" s="297">
        <f>IF(ISNA(VLOOKUP($A796,JumpData,2,FALSE)),0,VLOOKUP($A796,JumpData,2,FALSE))</f>
        <v>0</v>
      </c>
      <c r="O796" s="297">
        <f>IF(ISNA(VLOOKUP($A796,RunData,2,FALSE)),0,VLOOKUP($A796,RunData,2,FALSE))</f>
        <v>0</v>
      </c>
      <c r="P796" s="297">
        <f>IF(ISNA(VLOOKUP($A796,ThrowData,2,FALSE)),0,VLOOKUP($A796,ThrowData,2,FALSE))</f>
        <v>0</v>
      </c>
      <c r="Q796" s="298">
        <f>IF(ISNA(VLOOKUP($A796,SprintData,4,FALSE)),0,VLOOKUP($A796,SprintData,4,FALSE))+V796</f>
        <v>0</v>
      </c>
      <c r="R796" s="298">
        <f>IF(ISNA(VLOOKUP($A796,JumpData,4,FALSE)),0,VLOOKUP($A796,JumpData,4,FALSE))+W796</f>
        <v>0</v>
      </c>
      <c r="S796" s="298">
        <f>IF(ISNA(VLOOKUP($A796,RunData,4,FALSE)),0,VLOOKUP($A796,RunData,4,FALSE))+X796</f>
        <v>0</v>
      </c>
      <c r="T796" s="298">
        <f>IF(ISNA(VLOOKUP($A796,ThrowData,4,FALSE)),0,VLOOKUP($A796,ThrowData,4,FALSE))+Y796</f>
        <v>0</v>
      </c>
      <c r="U796" s="299">
        <f t="shared" si="2"/>
        <v>0</v>
      </c>
      <c r="V796">
        <f>IF(AND($F796&gt;0,NOT(M796),Flexing),FlexPC,0)</f>
        <v>0</v>
      </c>
      <c r="W796">
        <f>IF(AND($F796&gt;0,NOT(N796),Flexing),FlexPC,0)</f>
        <v>0</v>
      </c>
      <c r="X796">
        <f>IF(AND($F796&gt;0,NOT(O796),Flexing),FlexPC,0)</f>
        <v>0</v>
      </c>
      <c r="Y796">
        <f>IF(AND($F796&gt;0,NOT(P796),Flexing),FlexPC,0)</f>
        <v>0</v>
      </c>
      <c r="AA796" s="209">
        <f t="shared" si="3"/>
        <v>795</v>
      </c>
    </row>
    <row r="797" ht="15.75" customHeight="1">
      <c r="A797" s="206" t="str">
        <f>+Declarations!A797&amp;""</f>
        <v/>
      </c>
      <c r="B797" t="str">
        <f>IF(LEN($A797),IF(LEN(Declarations!$B797)&gt;0,Declarations!$B797,"#"&amp;$A797),"")</f>
        <v/>
      </c>
      <c r="C797" s="209" t="str">
        <f t="array" ref="C797">IF(LEN(INDEX(DECLARATIONS,$AA797,3))&gt;0,INDEX(DECLARATIONS,$AA797,3),"...")</f>
        <v>...</v>
      </c>
      <c r="D797" s="209" t="str">
        <f t="shared" si="1"/>
        <v/>
      </c>
      <c r="E797" s="296" t="str">
        <f t="array" ref="E797">IF(ISNA($AA797),0,INDEX(DECLARATIONS,$AA797,5))</f>
        <v/>
      </c>
      <c r="F797" s="209" t="str">
        <f t="array" ref="F797">IF(ISNA($AA797),0,INDEX(DECLARATIONS,$AA797,7))</f>
        <v/>
      </c>
      <c r="G797" s="209" t="str">
        <f t="array" ref="G797">UPPER(IF(ISNA($AA797),"",INDEX(DECLARATIONS,$AA797,4)))</f>
        <v/>
      </c>
      <c r="H797" t="str">
        <f>IF(AND(A797&gt;0,ISTEXT(B797)),IF(SECNAME="YES",LEFT(B797&amp;" ",FIND(" ",B797&amp;" ")+2)&amp;IF(F797&gt;0," ("&amp;F797&amp;")",""),B797&amp;IF(F797&gt;0," ("&amp;F797&amp;")","")),"#"&amp;$A797)</f>
        <v/>
      </c>
      <c r="I797" s="209">
        <f>IF(LEN($A797)&gt;0,IF(LEN($J797)&gt;0,MATCH(J797,MatchNames,0),EventIndex),0)</f>
        <v>0</v>
      </c>
      <c r="J797" s="209" t="str">
        <f>IF(LEN($A797)&gt;0,IF(LEN(Declarations!$F797)&gt;0,Declarations!$F797,conftype),"")</f>
        <v/>
      </c>
      <c r="M797" s="297">
        <f>IF(ISNA(VLOOKUP($A797,SprintData,2,FALSE)),0,VLOOKUP($A797,SprintData,2,FALSE))</f>
        <v>0</v>
      </c>
      <c r="N797" s="297">
        <f>IF(ISNA(VLOOKUP($A797,JumpData,2,FALSE)),0,VLOOKUP($A797,JumpData,2,FALSE))</f>
        <v>0</v>
      </c>
      <c r="O797" s="297">
        <f>IF(ISNA(VLOOKUP($A797,RunData,2,FALSE)),0,VLOOKUP($A797,RunData,2,FALSE))</f>
        <v>0</v>
      </c>
      <c r="P797" s="297">
        <f>IF(ISNA(VLOOKUP($A797,ThrowData,2,FALSE)),0,VLOOKUP($A797,ThrowData,2,FALSE))</f>
        <v>0</v>
      </c>
      <c r="Q797" s="298">
        <f>IF(ISNA(VLOOKUP($A797,SprintData,4,FALSE)),0,VLOOKUP($A797,SprintData,4,FALSE))+V797</f>
        <v>0</v>
      </c>
      <c r="R797" s="298">
        <f>IF(ISNA(VLOOKUP($A797,JumpData,4,FALSE)),0,VLOOKUP($A797,JumpData,4,FALSE))+W797</f>
        <v>0</v>
      </c>
      <c r="S797" s="298">
        <f>IF(ISNA(VLOOKUP($A797,RunData,4,FALSE)),0,VLOOKUP($A797,RunData,4,FALSE))+X797</f>
        <v>0</v>
      </c>
      <c r="T797" s="298">
        <f>IF(ISNA(VLOOKUP($A797,ThrowData,4,FALSE)),0,VLOOKUP($A797,ThrowData,4,FALSE))+Y797</f>
        <v>0</v>
      </c>
      <c r="U797" s="299">
        <f t="shared" si="2"/>
        <v>0</v>
      </c>
      <c r="V797">
        <f>IF(AND($F797&gt;0,NOT(M797),Flexing),FlexPC,0)</f>
        <v>0</v>
      </c>
      <c r="W797">
        <f>IF(AND($F797&gt;0,NOT(N797),Flexing),FlexPC,0)</f>
        <v>0</v>
      </c>
      <c r="X797">
        <f>IF(AND($F797&gt;0,NOT(O797),Flexing),FlexPC,0)</f>
        <v>0</v>
      </c>
      <c r="Y797">
        <f>IF(AND($F797&gt;0,NOT(P797),Flexing),FlexPC,0)</f>
        <v>0</v>
      </c>
      <c r="AA797" s="209">
        <f t="shared" si="3"/>
        <v>796</v>
      </c>
    </row>
    <row r="798" ht="15.75" customHeight="1">
      <c r="A798" s="206" t="str">
        <f>+Declarations!A798&amp;""</f>
        <v/>
      </c>
      <c r="B798" t="str">
        <f>IF(LEN($A798),IF(LEN(Declarations!$B798)&gt;0,Declarations!$B798,"#"&amp;$A798),"")</f>
        <v/>
      </c>
      <c r="C798" s="209" t="str">
        <f t="array" ref="C798">IF(LEN(INDEX(DECLARATIONS,$AA798,3))&gt;0,INDEX(DECLARATIONS,$AA798,3),"...")</f>
        <v>...</v>
      </c>
      <c r="D798" s="209" t="str">
        <f t="shared" si="1"/>
        <v/>
      </c>
      <c r="E798" s="296" t="str">
        <f t="array" ref="E798">IF(ISNA($AA798),0,INDEX(DECLARATIONS,$AA798,5))</f>
        <v/>
      </c>
      <c r="F798" s="209" t="str">
        <f t="array" ref="F798">IF(ISNA($AA798),0,INDEX(DECLARATIONS,$AA798,7))</f>
        <v/>
      </c>
      <c r="G798" s="209" t="str">
        <f t="array" ref="G798">UPPER(IF(ISNA($AA798),"",INDEX(DECLARATIONS,$AA798,4)))</f>
        <v/>
      </c>
      <c r="H798" t="str">
        <f>IF(AND(A798&gt;0,ISTEXT(B798)),IF(SECNAME="YES",LEFT(B798&amp;" ",FIND(" ",B798&amp;" ")+2)&amp;IF(F798&gt;0," ("&amp;F798&amp;")",""),B798&amp;IF(F798&gt;0," ("&amp;F798&amp;")","")),"#"&amp;$A798)</f>
        <v/>
      </c>
      <c r="I798" s="209">
        <f>IF(LEN($A798)&gt;0,IF(LEN($J798)&gt;0,MATCH(J798,MatchNames,0),EventIndex),0)</f>
        <v>0</v>
      </c>
      <c r="J798" s="209" t="str">
        <f>IF(LEN($A798)&gt;0,IF(LEN(Declarations!$F798)&gt;0,Declarations!$F798,conftype),"")</f>
        <v/>
      </c>
      <c r="M798" s="297">
        <f>IF(ISNA(VLOOKUP($A798,SprintData,2,FALSE)),0,VLOOKUP($A798,SprintData,2,FALSE))</f>
        <v>0</v>
      </c>
      <c r="N798" s="297">
        <f>IF(ISNA(VLOOKUP($A798,JumpData,2,FALSE)),0,VLOOKUP($A798,JumpData,2,FALSE))</f>
        <v>0</v>
      </c>
      <c r="O798" s="297">
        <f>IF(ISNA(VLOOKUP($A798,RunData,2,FALSE)),0,VLOOKUP($A798,RunData,2,FALSE))</f>
        <v>0</v>
      </c>
      <c r="P798" s="297">
        <f>IF(ISNA(VLOOKUP($A798,ThrowData,2,FALSE)),0,VLOOKUP($A798,ThrowData,2,FALSE))</f>
        <v>0</v>
      </c>
      <c r="Q798" s="298">
        <f>IF(ISNA(VLOOKUP($A798,SprintData,4,FALSE)),0,VLOOKUP($A798,SprintData,4,FALSE))+V798</f>
        <v>0</v>
      </c>
      <c r="R798" s="298">
        <f>IF(ISNA(VLOOKUP($A798,JumpData,4,FALSE)),0,VLOOKUP($A798,JumpData,4,FALSE))+W798</f>
        <v>0</v>
      </c>
      <c r="S798" s="298">
        <f>IF(ISNA(VLOOKUP($A798,RunData,4,FALSE)),0,VLOOKUP($A798,RunData,4,FALSE))+X798</f>
        <v>0</v>
      </c>
      <c r="T798" s="298">
        <f>IF(ISNA(VLOOKUP($A798,ThrowData,4,FALSE)),0,VLOOKUP($A798,ThrowData,4,FALSE))+Y798</f>
        <v>0</v>
      </c>
      <c r="U798" s="299">
        <f t="shared" si="2"/>
        <v>0</v>
      </c>
      <c r="V798">
        <f>IF(AND($F798&gt;0,NOT(M798),Flexing),FlexPC,0)</f>
        <v>0</v>
      </c>
      <c r="W798">
        <f>IF(AND($F798&gt;0,NOT(N798),Flexing),FlexPC,0)</f>
        <v>0</v>
      </c>
      <c r="X798">
        <f>IF(AND($F798&gt;0,NOT(O798),Flexing),FlexPC,0)</f>
        <v>0</v>
      </c>
      <c r="Y798">
        <f>IF(AND($F798&gt;0,NOT(P798),Flexing),FlexPC,0)</f>
        <v>0</v>
      </c>
      <c r="AA798" s="209">
        <f t="shared" si="3"/>
        <v>797</v>
      </c>
    </row>
    <row r="799" ht="15.75" customHeight="1">
      <c r="A799" s="206" t="str">
        <f>+Declarations!A799&amp;""</f>
        <v/>
      </c>
      <c r="B799" t="str">
        <f>IF(LEN($A799),IF(LEN(Declarations!$B799)&gt;0,Declarations!$B799,"#"&amp;$A799),"")</f>
        <v/>
      </c>
      <c r="C799" s="209" t="str">
        <f t="array" ref="C799">IF(LEN(INDEX(DECLARATIONS,$AA799,3))&gt;0,INDEX(DECLARATIONS,$AA799,3),"...")</f>
        <v>...</v>
      </c>
      <c r="D799" s="209" t="str">
        <f t="shared" si="1"/>
        <v/>
      </c>
      <c r="E799" s="296" t="str">
        <f t="array" ref="E799">IF(ISNA($AA799),0,INDEX(DECLARATIONS,$AA799,5))</f>
        <v/>
      </c>
      <c r="F799" s="209" t="str">
        <f t="array" ref="F799">IF(ISNA($AA799),0,INDEX(DECLARATIONS,$AA799,7))</f>
        <v/>
      </c>
      <c r="G799" s="209" t="str">
        <f t="array" ref="G799">UPPER(IF(ISNA($AA799),"",INDEX(DECLARATIONS,$AA799,4)))</f>
        <v/>
      </c>
      <c r="H799" t="str">
        <f>IF(AND(A799&gt;0,ISTEXT(B799)),IF(SECNAME="YES",LEFT(B799&amp;" ",FIND(" ",B799&amp;" ")+2)&amp;IF(F799&gt;0," ("&amp;F799&amp;")",""),B799&amp;IF(F799&gt;0," ("&amp;F799&amp;")","")),"#"&amp;$A799)</f>
        <v/>
      </c>
      <c r="I799" s="209">
        <f>IF(LEN($A799)&gt;0,IF(LEN($J799)&gt;0,MATCH(J799,MatchNames,0),EventIndex),0)</f>
        <v>0</v>
      </c>
      <c r="J799" s="209" t="str">
        <f>IF(LEN($A799)&gt;0,IF(LEN(Declarations!$F799)&gt;0,Declarations!$F799,conftype),"")</f>
        <v/>
      </c>
      <c r="M799" s="297">
        <f>IF(ISNA(VLOOKUP($A799,SprintData,2,FALSE)),0,VLOOKUP($A799,SprintData,2,FALSE))</f>
        <v>0</v>
      </c>
      <c r="N799" s="297">
        <f>IF(ISNA(VLOOKUP($A799,JumpData,2,FALSE)),0,VLOOKUP($A799,JumpData,2,FALSE))</f>
        <v>0</v>
      </c>
      <c r="O799" s="297">
        <f>IF(ISNA(VLOOKUP($A799,RunData,2,FALSE)),0,VLOOKUP($A799,RunData,2,FALSE))</f>
        <v>0</v>
      </c>
      <c r="P799" s="297">
        <f>IF(ISNA(VLOOKUP($A799,ThrowData,2,FALSE)),0,VLOOKUP($A799,ThrowData,2,FALSE))</f>
        <v>0</v>
      </c>
      <c r="Q799" s="298">
        <f>IF(ISNA(VLOOKUP($A799,SprintData,4,FALSE)),0,VLOOKUP($A799,SprintData,4,FALSE))+V799</f>
        <v>0</v>
      </c>
      <c r="R799" s="298">
        <f>IF(ISNA(VLOOKUP($A799,JumpData,4,FALSE)),0,VLOOKUP($A799,JumpData,4,FALSE))+W799</f>
        <v>0</v>
      </c>
      <c r="S799" s="298">
        <f>IF(ISNA(VLOOKUP($A799,RunData,4,FALSE)),0,VLOOKUP($A799,RunData,4,FALSE))+X799</f>
        <v>0</v>
      </c>
      <c r="T799" s="298">
        <f>IF(ISNA(VLOOKUP($A799,ThrowData,4,FALSE)),0,VLOOKUP($A799,ThrowData,4,FALSE))+Y799</f>
        <v>0</v>
      </c>
      <c r="U799" s="299">
        <f t="shared" si="2"/>
        <v>0</v>
      </c>
      <c r="V799">
        <f>IF(AND($F799&gt;0,NOT(M799),Flexing),FlexPC,0)</f>
        <v>0</v>
      </c>
      <c r="W799">
        <f>IF(AND($F799&gt;0,NOT(N799),Flexing),FlexPC,0)</f>
        <v>0</v>
      </c>
      <c r="X799">
        <f>IF(AND($F799&gt;0,NOT(O799),Flexing),FlexPC,0)</f>
        <v>0</v>
      </c>
      <c r="Y799">
        <f>IF(AND($F799&gt;0,NOT(P799),Flexing),FlexPC,0)</f>
        <v>0</v>
      </c>
      <c r="AA799" s="209">
        <f t="shared" si="3"/>
        <v>798</v>
      </c>
    </row>
    <row r="800" ht="15.75" customHeight="1">
      <c r="A800" s="206" t="str">
        <f>+Declarations!A800&amp;""</f>
        <v/>
      </c>
      <c r="B800" t="str">
        <f>IF(LEN($A800),IF(LEN(Declarations!$B800)&gt;0,Declarations!$B800,"#"&amp;$A800),"")</f>
        <v/>
      </c>
      <c r="C800" s="209" t="str">
        <f t="array" ref="C800">IF(LEN(INDEX(DECLARATIONS,$AA800,3))&gt;0,INDEX(DECLARATIONS,$AA800,3),"...")</f>
        <v>...</v>
      </c>
      <c r="D800" s="209" t="str">
        <f t="shared" si="1"/>
        <v/>
      </c>
      <c r="E800" s="296" t="str">
        <f t="array" ref="E800">IF(ISNA($AA800),0,INDEX(DECLARATIONS,$AA800,5))</f>
        <v/>
      </c>
      <c r="F800" s="209" t="str">
        <f t="array" ref="F800">IF(ISNA($AA800),0,INDEX(DECLARATIONS,$AA800,7))</f>
        <v/>
      </c>
      <c r="G800" s="209" t="str">
        <f t="array" ref="G800">UPPER(IF(ISNA($AA800),"",INDEX(DECLARATIONS,$AA800,4)))</f>
        <v/>
      </c>
      <c r="H800" t="str">
        <f>IF(AND(A800&gt;0,ISTEXT(B800)),IF(SECNAME="YES",LEFT(B800&amp;" ",FIND(" ",B800&amp;" ")+2)&amp;IF(F800&gt;0," ("&amp;F800&amp;")",""),B800&amp;IF(F800&gt;0," ("&amp;F800&amp;")","")),"#"&amp;$A800)</f>
        <v/>
      </c>
      <c r="I800" s="209">
        <f>IF(LEN($A800)&gt;0,IF(LEN($J800)&gt;0,MATCH(J800,MatchNames,0),EventIndex),0)</f>
        <v>0</v>
      </c>
      <c r="J800" s="209" t="str">
        <f>IF(LEN($A800)&gt;0,IF(LEN(Declarations!$F800)&gt;0,Declarations!$F800,conftype),"")</f>
        <v/>
      </c>
      <c r="M800" s="297">
        <f>IF(ISNA(VLOOKUP($A800,SprintData,2,FALSE)),0,VLOOKUP($A800,SprintData,2,FALSE))</f>
        <v>0</v>
      </c>
      <c r="N800" s="297">
        <f>IF(ISNA(VLOOKUP($A800,JumpData,2,FALSE)),0,VLOOKUP($A800,JumpData,2,FALSE))</f>
        <v>0</v>
      </c>
      <c r="O800" s="297">
        <f>IF(ISNA(VLOOKUP($A800,RunData,2,FALSE)),0,VLOOKUP($A800,RunData,2,FALSE))</f>
        <v>0</v>
      </c>
      <c r="P800" s="297">
        <f>IF(ISNA(VLOOKUP($A800,ThrowData,2,FALSE)),0,VLOOKUP($A800,ThrowData,2,FALSE))</f>
        <v>0</v>
      </c>
      <c r="Q800" s="298">
        <f>IF(ISNA(VLOOKUP($A800,SprintData,4,FALSE)),0,VLOOKUP($A800,SprintData,4,FALSE))+V800</f>
        <v>0</v>
      </c>
      <c r="R800" s="298">
        <f>IF(ISNA(VLOOKUP($A800,JumpData,4,FALSE)),0,VLOOKUP($A800,JumpData,4,FALSE))+W800</f>
        <v>0</v>
      </c>
      <c r="S800" s="298">
        <f>IF(ISNA(VLOOKUP($A800,RunData,4,FALSE)),0,VLOOKUP($A800,RunData,4,FALSE))+X800</f>
        <v>0</v>
      </c>
      <c r="T800" s="298">
        <f>IF(ISNA(VLOOKUP($A800,ThrowData,4,FALSE)),0,VLOOKUP($A800,ThrowData,4,FALSE))+Y800</f>
        <v>0</v>
      </c>
      <c r="U800" s="299">
        <f t="shared" si="2"/>
        <v>0</v>
      </c>
      <c r="V800">
        <f>IF(AND($F800&gt;0,NOT(M800),Flexing),FlexPC,0)</f>
        <v>0</v>
      </c>
      <c r="W800">
        <f>IF(AND($F800&gt;0,NOT(N800),Flexing),FlexPC,0)</f>
        <v>0</v>
      </c>
      <c r="X800">
        <f>IF(AND($F800&gt;0,NOT(O800),Flexing),FlexPC,0)</f>
        <v>0</v>
      </c>
      <c r="Y800">
        <f>IF(AND($F800&gt;0,NOT(P800),Flexing),FlexPC,0)</f>
        <v>0</v>
      </c>
      <c r="AA800" s="209">
        <f t="shared" si="3"/>
        <v>799</v>
      </c>
    </row>
    <row r="801" ht="15.75" customHeight="1">
      <c r="A801" s="206" t="str">
        <f>+Declarations!A801&amp;""</f>
        <v/>
      </c>
      <c r="B801" t="str">
        <f>IF(LEN($A801),IF(LEN(Declarations!$B801)&gt;0,Declarations!$B801,"#"&amp;$A801),"")</f>
        <v/>
      </c>
      <c r="C801" s="209" t="str">
        <f t="array" ref="C801">IF(LEN(INDEX(DECLARATIONS,$AA801,3))&gt;0,INDEX(DECLARATIONS,$AA801,3),"...")</f>
        <v>...</v>
      </c>
      <c r="D801" s="209" t="str">
        <f t="shared" si="1"/>
        <v/>
      </c>
      <c r="E801" s="296" t="str">
        <f t="array" ref="E801">IF(ISNA($AA801),0,INDEX(DECLARATIONS,$AA801,5))</f>
        <v/>
      </c>
      <c r="F801" s="209" t="str">
        <f t="array" ref="F801">IF(ISNA($AA801),0,INDEX(DECLARATIONS,$AA801,7))</f>
        <v/>
      </c>
      <c r="G801" s="209" t="str">
        <f t="array" ref="G801">UPPER(IF(ISNA($AA801),"",INDEX(DECLARATIONS,$AA801,4)))</f>
        <v/>
      </c>
      <c r="H801" t="str">
        <f>IF(AND(A801&gt;0,ISTEXT(B801)),IF(SECNAME="YES",LEFT(B801&amp;" ",FIND(" ",B801&amp;" ")+2)&amp;IF(F801&gt;0," ("&amp;F801&amp;")",""),B801&amp;IF(F801&gt;0," ("&amp;F801&amp;")","")),"#"&amp;$A801)</f>
        <v/>
      </c>
      <c r="I801" s="209">
        <f>IF(LEN($A801)&gt;0,IF(LEN($J801)&gt;0,MATCH(J801,MatchNames,0),EventIndex),0)</f>
        <v>0</v>
      </c>
      <c r="J801" s="209" t="str">
        <f>IF(LEN($A801)&gt;0,IF(LEN(Declarations!$F801)&gt;0,Declarations!$F801,conftype),"")</f>
        <v/>
      </c>
      <c r="M801" s="297">
        <f>IF(ISNA(VLOOKUP($A801,SprintData,2,FALSE)),0,VLOOKUP($A801,SprintData,2,FALSE))</f>
        <v>0</v>
      </c>
      <c r="N801" s="297">
        <f>IF(ISNA(VLOOKUP($A801,JumpData,2,FALSE)),0,VLOOKUP($A801,JumpData,2,FALSE))</f>
        <v>0</v>
      </c>
      <c r="O801" s="297">
        <f>IF(ISNA(VLOOKUP($A801,RunData,2,FALSE)),0,VLOOKUP($A801,RunData,2,FALSE))</f>
        <v>0</v>
      </c>
      <c r="P801" s="297">
        <f>IF(ISNA(VLOOKUP($A801,ThrowData,2,FALSE)),0,VLOOKUP($A801,ThrowData,2,FALSE))</f>
        <v>0</v>
      </c>
      <c r="Q801" s="298">
        <f>IF(ISNA(VLOOKUP($A801,SprintData,4,FALSE)),0,VLOOKUP($A801,SprintData,4,FALSE))+V801</f>
        <v>0</v>
      </c>
      <c r="R801" s="298">
        <f>IF(ISNA(VLOOKUP($A801,JumpData,4,FALSE)),0,VLOOKUP($A801,JumpData,4,FALSE))+W801</f>
        <v>0</v>
      </c>
      <c r="S801" s="298">
        <f>IF(ISNA(VLOOKUP($A801,RunData,4,FALSE)),0,VLOOKUP($A801,RunData,4,FALSE))+X801</f>
        <v>0</v>
      </c>
      <c r="T801" s="298">
        <f>IF(ISNA(VLOOKUP($A801,ThrowData,4,FALSE)),0,VLOOKUP($A801,ThrowData,4,FALSE))+Y801</f>
        <v>0</v>
      </c>
      <c r="U801" s="299">
        <f t="shared" si="2"/>
        <v>0</v>
      </c>
      <c r="V801">
        <f>IF(AND($F801&gt;0,NOT(M801),Flexing),FlexPC,0)</f>
        <v>0</v>
      </c>
      <c r="W801">
        <f>IF(AND($F801&gt;0,NOT(N801),Flexing),FlexPC,0)</f>
        <v>0</v>
      </c>
      <c r="X801">
        <f>IF(AND($F801&gt;0,NOT(O801),Flexing),FlexPC,0)</f>
        <v>0</v>
      </c>
      <c r="Y801">
        <f>IF(AND($F801&gt;0,NOT(P801),Flexing),FlexPC,0)</f>
        <v>0</v>
      </c>
      <c r="AA801" s="209">
        <f t="shared" si="3"/>
        <v>800</v>
      </c>
    </row>
    <row r="802" ht="15.75" customHeight="1">
      <c r="A802" s="206" t="str">
        <f>+Declarations!A802&amp;""</f>
        <v/>
      </c>
      <c r="B802" t="str">
        <f>IF(LEN($A802),IF(LEN(Declarations!$B802)&gt;0,Declarations!$B802,"#"&amp;$A802),"")</f>
        <v/>
      </c>
      <c r="C802" s="209" t="str">
        <f t="array" ref="C802">IF(LEN(INDEX(DECLARATIONS,$AA802,3))&gt;0,INDEX(DECLARATIONS,$AA802,3),"...")</f>
        <v>...</v>
      </c>
      <c r="D802" s="209" t="str">
        <f t="shared" si="1"/>
        <v/>
      </c>
      <c r="E802" s="296" t="str">
        <f t="array" ref="E802">IF(ISNA($AA802),0,INDEX(DECLARATIONS,$AA802,5))</f>
        <v/>
      </c>
      <c r="F802" s="209" t="str">
        <f t="array" ref="F802">IF(ISNA($AA802),0,INDEX(DECLARATIONS,$AA802,7))</f>
        <v/>
      </c>
      <c r="G802" s="209" t="str">
        <f t="array" ref="G802">UPPER(IF(ISNA($AA802),"",INDEX(DECLARATIONS,$AA802,4)))</f>
        <v/>
      </c>
      <c r="H802" t="str">
        <f>IF(AND(A802&gt;0,ISTEXT(B802)),IF(SECNAME="YES",LEFT(B802&amp;" ",FIND(" ",B802&amp;" ")+2)&amp;IF(F802&gt;0," ("&amp;F802&amp;")",""),B802&amp;IF(F802&gt;0," ("&amp;F802&amp;")","")),"#"&amp;$A802)</f>
        <v/>
      </c>
      <c r="I802" s="209">
        <f>IF(LEN($A802)&gt;0,IF(LEN($J802)&gt;0,MATCH(J802,MatchNames,0),EventIndex),0)</f>
        <v>0</v>
      </c>
      <c r="J802" s="209" t="str">
        <f>IF(LEN($A802)&gt;0,IF(LEN(Declarations!$F802)&gt;0,Declarations!$F802,conftype),"")</f>
        <v/>
      </c>
      <c r="M802" s="297">
        <f>IF(ISNA(VLOOKUP($A802,SprintData,2,FALSE)),0,VLOOKUP($A802,SprintData,2,FALSE))</f>
        <v>0</v>
      </c>
      <c r="N802" s="297">
        <f>IF(ISNA(VLOOKUP($A802,JumpData,2,FALSE)),0,VLOOKUP($A802,JumpData,2,FALSE))</f>
        <v>0</v>
      </c>
      <c r="O802" s="297">
        <f>IF(ISNA(VLOOKUP($A802,RunData,2,FALSE)),0,VLOOKUP($A802,RunData,2,FALSE))</f>
        <v>0</v>
      </c>
      <c r="P802" s="297">
        <f>IF(ISNA(VLOOKUP($A802,ThrowData,2,FALSE)),0,VLOOKUP($A802,ThrowData,2,FALSE))</f>
        <v>0</v>
      </c>
      <c r="Q802" s="298">
        <f>IF(ISNA(VLOOKUP($A802,SprintData,4,FALSE)),0,VLOOKUP($A802,SprintData,4,FALSE))+V802</f>
        <v>0</v>
      </c>
      <c r="R802" s="298">
        <f>IF(ISNA(VLOOKUP($A802,JumpData,4,FALSE)),0,VLOOKUP($A802,JumpData,4,FALSE))+W802</f>
        <v>0</v>
      </c>
      <c r="S802" s="298">
        <f>IF(ISNA(VLOOKUP($A802,RunData,4,FALSE)),0,VLOOKUP($A802,RunData,4,FALSE))+X802</f>
        <v>0</v>
      </c>
      <c r="T802" s="298">
        <f>IF(ISNA(VLOOKUP($A802,ThrowData,4,FALSE)),0,VLOOKUP($A802,ThrowData,4,FALSE))+Y802</f>
        <v>0</v>
      </c>
      <c r="U802" s="299">
        <f t="shared" si="2"/>
        <v>0</v>
      </c>
      <c r="V802">
        <f>IF(AND($F802&gt;0,NOT(M802),Flexing),FlexPC,0)</f>
        <v>0</v>
      </c>
      <c r="W802">
        <f>IF(AND($F802&gt;0,NOT(N802),Flexing),FlexPC,0)</f>
        <v>0</v>
      </c>
      <c r="X802">
        <f>IF(AND($F802&gt;0,NOT(O802),Flexing),FlexPC,0)</f>
        <v>0</v>
      </c>
      <c r="Y802">
        <f>IF(AND($F802&gt;0,NOT(P802),Flexing),FlexPC,0)</f>
        <v>0</v>
      </c>
      <c r="AA802" s="209">
        <f t="shared" si="3"/>
        <v>801</v>
      </c>
    </row>
    <row r="803" ht="15.75" customHeight="1">
      <c r="A803" s="206" t="str">
        <f>+Declarations!A803&amp;""</f>
        <v/>
      </c>
      <c r="B803" t="str">
        <f>IF(LEN($A803),IF(LEN(Declarations!$B803)&gt;0,Declarations!$B803,"#"&amp;$A803),"")</f>
        <v/>
      </c>
      <c r="C803" s="209" t="str">
        <f t="array" ref="C803">IF(LEN(INDEX(DECLARATIONS,$AA803,3))&gt;0,INDEX(DECLARATIONS,$AA803,3),"...")</f>
        <v>...</v>
      </c>
      <c r="D803" s="209" t="str">
        <f t="shared" si="1"/>
        <v/>
      </c>
      <c r="E803" s="296" t="str">
        <f t="array" ref="E803">IF(ISNA($AA803),0,INDEX(DECLARATIONS,$AA803,5))</f>
        <v/>
      </c>
      <c r="F803" s="209" t="str">
        <f t="array" ref="F803">IF(ISNA($AA803),0,INDEX(DECLARATIONS,$AA803,7))</f>
        <v/>
      </c>
      <c r="G803" s="209" t="str">
        <f t="array" ref="G803">UPPER(IF(ISNA($AA803),"",INDEX(DECLARATIONS,$AA803,4)))</f>
        <v/>
      </c>
      <c r="H803" t="str">
        <f>IF(AND(A803&gt;0,ISTEXT(B803)),IF(SECNAME="YES",LEFT(B803&amp;" ",FIND(" ",B803&amp;" ")+2)&amp;IF(F803&gt;0," ("&amp;F803&amp;")",""),B803&amp;IF(F803&gt;0," ("&amp;F803&amp;")","")),"#"&amp;$A803)</f>
        <v/>
      </c>
      <c r="I803" s="209">
        <f>IF(LEN($A803)&gt;0,IF(LEN($J803)&gt;0,MATCH(J803,MatchNames,0),EventIndex),0)</f>
        <v>0</v>
      </c>
      <c r="J803" s="209" t="str">
        <f>IF(LEN($A803)&gt;0,IF(LEN(Declarations!$F803)&gt;0,Declarations!$F803,conftype),"")</f>
        <v/>
      </c>
      <c r="M803" s="297">
        <f>IF(ISNA(VLOOKUP($A803,SprintData,2,FALSE)),0,VLOOKUP($A803,SprintData,2,FALSE))</f>
        <v>0</v>
      </c>
      <c r="N803" s="297">
        <f>IF(ISNA(VLOOKUP($A803,JumpData,2,FALSE)),0,VLOOKUP($A803,JumpData,2,FALSE))</f>
        <v>0</v>
      </c>
      <c r="O803" s="297">
        <f>IF(ISNA(VLOOKUP($A803,RunData,2,FALSE)),0,VLOOKUP($A803,RunData,2,FALSE))</f>
        <v>0</v>
      </c>
      <c r="P803" s="297">
        <f>IF(ISNA(VLOOKUP($A803,ThrowData,2,FALSE)),0,VLOOKUP($A803,ThrowData,2,FALSE))</f>
        <v>0</v>
      </c>
      <c r="Q803" s="298">
        <f>IF(ISNA(VLOOKUP($A803,SprintData,4,FALSE)),0,VLOOKUP($A803,SprintData,4,FALSE))+V803</f>
        <v>0</v>
      </c>
      <c r="R803" s="298">
        <f>IF(ISNA(VLOOKUP($A803,JumpData,4,FALSE)),0,VLOOKUP($A803,JumpData,4,FALSE))+W803</f>
        <v>0</v>
      </c>
      <c r="S803" s="298">
        <f>IF(ISNA(VLOOKUP($A803,RunData,4,FALSE)),0,VLOOKUP($A803,RunData,4,FALSE))+X803</f>
        <v>0</v>
      </c>
      <c r="T803" s="298">
        <f>IF(ISNA(VLOOKUP($A803,ThrowData,4,FALSE)),0,VLOOKUP($A803,ThrowData,4,FALSE))+Y803</f>
        <v>0</v>
      </c>
      <c r="U803" s="299">
        <f t="shared" si="2"/>
        <v>0</v>
      </c>
      <c r="V803">
        <f>IF(AND($F803&gt;0,NOT(M803),Flexing),FlexPC,0)</f>
        <v>0</v>
      </c>
      <c r="W803">
        <f>IF(AND($F803&gt;0,NOT(N803),Flexing),FlexPC,0)</f>
        <v>0</v>
      </c>
      <c r="X803">
        <f>IF(AND($F803&gt;0,NOT(O803),Flexing),FlexPC,0)</f>
        <v>0</v>
      </c>
      <c r="Y803">
        <f>IF(AND($F803&gt;0,NOT(P803),Flexing),FlexPC,0)</f>
        <v>0</v>
      </c>
      <c r="AA803" s="209">
        <f t="shared" si="3"/>
        <v>802</v>
      </c>
    </row>
    <row r="804" ht="15.75" customHeight="1">
      <c r="A804" s="206" t="str">
        <f>+Declarations!A804&amp;""</f>
        <v/>
      </c>
      <c r="B804" t="str">
        <f>IF(LEN($A804),IF(LEN(Declarations!$B804)&gt;0,Declarations!$B804,"#"&amp;$A804),"")</f>
        <v/>
      </c>
      <c r="C804" s="209" t="str">
        <f t="array" ref="C804">IF(LEN(INDEX(DECLARATIONS,$AA804,3))&gt;0,INDEX(DECLARATIONS,$AA804,3),"...")</f>
        <v>...</v>
      </c>
      <c r="D804" s="209" t="str">
        <f t="shared" si="1"/>
        <v/>
      </c>
      <c r="E804" s="296" t="str">
        <f t="array" ref="E804">IF(ISNA($AA804),0,INDEX(DECLARATIONS,$AA804,5))</f>
        <v/>
      </c>
      <c r="F804" s="209" t="str">
        <f t="array" ref="F804">IF(ISNA($AA804),0,INDEX(DECLARATIONS,$AA804,7))</f>
        <v/>
      </c>
      <c r="G804" s="209" t="str">
        <f t="array" ref="G804">UPPER(IF(ISNA($AA804),"",INDEX(DECLARATIONS,$AA804,4)))</f>
        <v/>
      </c>
      <c r="H804" t="str">
        <f>IF(AND(A804&gt;0,ISTEXT(B804)),IF(SECNAME="YES",LEFT(B804&amp;" ",FIND(" ",B804&amp;" ")+2)&amp;IF(F804&gt;0," ("&amp;F804&amp;")",""),B804&amp;IF(F804&gt;0," ("&amp;F804&amp;")","")),"#"&amp;$A804)</f>
        <v/>
      </c>
      <c r="I804" s="209">
        <f>IF(LEN($A804)&gt;0,IF(LEN($J804)&gt;0,MATCH(J804,MatchNames,0),EventIndex),0)</f>
        <v>0</v>
      </c>
      <c r="J804" s="209" t="str">
        <f>IF(LEN($A804)&gt;0,IF(LEN(Declarations!$F804)&gt;0,Declarations!$F804,conftype),"")</f>
        <v/>
      </c>
      <c r="M804" s="297">
        <f>IF(ISNA(VLOOKUP($A804,SprintData,2,FALSE)),0,VLOOKUP($A804,SprintData,2,FALSE))</f>
        <v>0</v>
      </c>
      <c r="N804" s="297">
        <f>IF(ISNA(VLOOKUP($A804,JumpData,2,FALSE)),0,VLOOKUP($A804,JumpData,2,FALSE))</f>
        <v>0</v>
      </c>
      <c r="O804" s="297">
        <f>IF(ISNA(VLOOKUP($A804,RunData,2,FALSE)),0,VLOOKUP($A804,RunData,2,FALSE))</f>
        <v>0</v>
      </c>
      <c r="P804" s="297">
        <f>IF(ISNA(VLOOKUP($A804,ThrowData,2,FALSE)),0,VLOOKUP($A804,ThrowData,2,FALSE))</f>
        <v>0</v>
      </c>
      <c r="Q804" s="298">
        <f>IF(ISNA(VLOOKUP($A804,SprintData,4,FALSE)),0,VLOOKUP($A804,SprintData,4,FALSE))+V804</f>
        <v>0</v>
      </c>
      <c r="R804" s="298">
        <f>IF(ISNA(VLOOKUP($A804,JumpData,4,FALSE)),0,VLOOKUP($A804,JumpData,4,FALSE))+W804</f>
        <v>0</v>
      </c>
      <c r="S804" s="298">
        <f>IF(ISNA(VLOOKUP($A804,RunData,4,FALSE)),0,VLOOKUP($A804,RunData,4,FALSE))+X804</f>
        <v>0</v>
      </c>
      <c r="T804" s="298">
        <f>IF(ISNA(VLOOKUP($A804,ThrowData,4,FALSE)),0,VLOOKUP($A804,ThrowData,4,FALSE))+Y804</f>
        <v>0</v>
      </c>
      <c r="U804" s="299">
        <f t="shared" si="2"/>
        <v>0</v>
      </c>
      <c r="V804">
        <f>IF(AND($F804&gt;0,NOT(M804),Flexing),FlexPC,0)</f>
        <v>0</v>
      </c>
      <c r="W804">
        <f>IF(AND($F804&gt;0,NOT(N804),Flexing),FlexPC,0)</f>
        <v>0</v>
      </c>
      <c r="X804">
        <f>IF(AND($F804&gt;0,NOT(O804),Flexing),FlexPC,0)</f>
        <v>0</v>
      </c>
      <c r="Y804">
        <f>IF(AND($F804&gt;0,NOT(P804),Flexing),FlexPC,0)</f>
        <v>0</v>
      </c>
      <c r="AA804" s="209">
        <f t="shared" si="3"/>
        <v>803</v>
      </c>
    </row>
    <row r="805" ht="15.75" customHeight="1">
      <c r="A805" s="206" t="str">
        <f>+Declarations!A805&amp;""</f>
        <v/>
      </c>
      <c r="B805" t="str">
        <f>IF(LEN($A805),IF(LEN(Declarations!$B805)&gt;0,Declarations!$B805,"#"&amp;$A805),"")</f>
        <v/>
      </c>
      <c r="C805" s="209" t="str">
        <f t="array" ref="C805">IF(LEN(INDEX(DECLARATIONS,$AA805,3))&gt;0,INDEX(DECLARATIONS,$AA805,3),"...")</f>
        <v>...</v>
      </c>
      <c r="D805" s="209" t="str">
        <f t="shared" si="1"/>
        <v/>
      </c>
      <c r="E805" s="296" t="str">
        <f t="array" ref="E805">IF(ISNA($AA805),0,INDEX(DECLARATIONS,$AA805,5))</f>
        <v/>
      </c>
      <c r="F805" s="209" t="str">
        <f t="array" ref="F805">IF(ISNA($AA805),0,INDEX(DECLARATIONS,$AA805,7))</f>
        <v/>
      </c>
      <c r="G805" s="209" t="str">
        <f t="array" ref="G805">UPPER(IF(ISNA($AA805),"",INDEX(DECLARATIONS,$AA805,4)))</f>
        <v/>
      </c>
      <c r="H805" t="str">
        <f>IF(AND(A805&gt;0,ISTEXT(B805)),IF(SECNAME="YES",LEFT(B805&amp;" ",FIND(" ",B805&amp;" ")+2)&amp;IF(F805&gt;0," ("&amp;F805&amp;")",""),B805&amp;IF(F805&gt;0," ("&amp;F805&amp;")","")),"#"&amp;$A805)</f>
        <v/>
      </c>
      <c r="I805" s="209">
        <f>IF(LEN($A805)&gt;0,IF(LEN($J805)&gt;0,MATCH(J805,MatchNames,0),EventIndex),0)</f>
        <v>0</v>
      </c>
      <c r="J805" s="209" t="str">
        <f>IF(LEN($A805)&gt;0,IF(LEN(Declarations!$F805)&gt;0,Declarations!$F805,conftype),"")</f>
        <v/>
      </c>
      <c r="M805" s="297">
        <f>IF(ISNA(VLOOKUP($A805,SprintData,2,FALSE)),0,VLOOKUP($A805,SprintData,2,FALSE))</f>
        <v>0</v>
      </c>
      <c r="N805" s="297">
        <f>IF(ISNA(VLOOKUP($A805,JumpData,2,FALSE)),0,VLOOKUP($A805,JumpData,2,FALSE))</f>
        <v>0</v>
      </c>
      <c r="O805" s="297">
        <f>IF(ISNA(VLOOKUP($A805,RunData,2,FALSE)),0,VLOOKUP($A805,RunData,2,FALSE))</f>
        <v>0</v>
      </c>
      <c r="P805" s="297">
        <f>IF(ISNA(VLOOKUP($A805,ThrowData,2,FALSE)),0,VLOOKUP($A805,ThrowData,2,FALSE))</f>
        <v>0</v>
      </c>
      <c r="Q805" s="298">
        <f>IF(ISNA(VLOOKUP($A805,SprintData,4,FALSE)),0,VLOOKUP($A805,SprintData,4,FALSE))+V805</f>
        <v>0</v>
      </c>
      <c r="R805" s="298">
        <f>IF(ISNA(VLOOKUP($A805,JumpData,4,FALSE)),0,VLOOKUP($A805,JumpData,4,FALSE))+W805</f>
        <v>0</v>
      </c>
      <c r="S805" s="298">
        <f>IF(ISNA(VLOOKUP($A805,RunData,4,FALSE)),0,VLOOKUP($A805,RunData,4,FALSE))+X805</f>
        <v>0</v>
      </c>
      <c r="T805" s="298">
        <f>IF(ISNA(VLOOKUP($A805,ThrowData,4,FALSE)),0,VLOOKUP($A805,ThrowData,4,FALSE))+Y805</f>
        <v>0</v>
      </c>
      <c r="U805" s="299">
        <f t="shared" si="2"/>
        <v>0</v>
      </c>
      <c r="V805">
        <f>IF(AND($F805&gt;0,NOT(M805),Flexing),FlexPC,0)</f>
        <v>0</v>
      </c>
      <c r="W805">
        <f>IF(AND($F805&gt;0,NOT(N805),Flexing),FlexPC,0)</f>
        <v>0</v>
      </c>
      <c r="X805">
        <f>IF(AND($F805&gt;0,NOT(O805),Flexing),FlexPC,0)</f>
        <v>0</v>
      </c>
      <c r="Y805">
        <f>IF(AND($F805&gt;0,NOT(P805),Flexing),FlexPC,0)</f>
        <v>0</v>
      </c>
      <c r="AA805" s="209">
        <f t="shared" si="3"/>
        <v>804</v>
      </c>
    </row>
    <row r="806" ht="15.75" customHeight="1">
      <c r="A806" s="206" t="str">
        <f>+Declarations!A806&amp;""</f>
        <v/>
      </c>
      <c r="B806" t="str">
        <f>IF(LEN($A806),IF(LEN(Declarations!$B806)&gt;0,Declarations!$B806,"#"&amp;$A806),"")</f>
        <v/>
      </c>
      <c r="C806" s="209" t="str">
        <f t="array" ref="C806">IF(LEN(INDEX(DECLARATIONS,$AA806,3))&gt;0,INDEX(DECLARATIONS,$AA806,3),"...")</f>
        <v>...</v>
      </c>
      <c r="D806" s="209" t="str">
        <f t="shared" si="1"/>
        <v/>
      </c>
      <c r="E806" s="296" t="str">
        <f t="array" ref="E806">IF(ISNA($AA806),0,INDEX(DECLARATIONS,$AA806,5))</f>
        <v/>
      </c>
      <c r="F806" s="209" t="str">
        <f t="array" ref="F806">IF(ISNA($AA806),0,INDEX(DECLARATIONS,$AA806,7))</f>
        <v/>
      </c>
      <c r="G806" s="209" t="str">
        <f t="array" ref="G806">UPPER(IF(ISNA($AA806),"",INDEX(DECLARATIONS,$AA806,4)))</f>
        <v/>
      </c>
      <c r="H806" t="str">
        <f>IF(AND(A806&gt;0,ISTEXT(B806)),IF(SECNAME="YES",LEFT(B806&amp;" ",FIND(" ",B806&amp;" ")+2)&amp;IF(F806&gt;0," ("&amp;F806&amp;")",""),B806&amp;IF(F806&gt;0," ("&amp;F806&amp;")","")),"#"&amp;$A806)</f>
        <v/>
      </c>
      <c r="I806" s="209">
        <f>IF(LEN($A806)&gt;0,IF(LEN($J806)&gt;0,MATCH(J806,MatchNames,0),EventIndex),0)</f>
        <v>0</v>
      </c>
      <c r="J806" s="209" t="str">
        <f>IF(LEN($A806)&gt;0,IF(LEN(Declarations!$F806)&gt;0,Declarations!$F806,conftype),"")</f>
        <v/>
      </c>
      <c r="M806" s="297">
        <f>IF(ISNA(VLOOKUP($A806,SprintData,2,FALSE)),0,VLOOKUP($A806,SprintData,2,FALSE))</f>
        <v>0</v>
      </c>
      <c r="N806" s="297">
        <f>IF(ISNA(VLOOKUP($A806,JumpData,2,FALSE)),0,VLOOKUP($A806,JumpData,2,FALSE))</f>
        <v>0</v>
      </c>
      <c r="O806" s="297">
        <f>IF(ISNA(VLOOKUP($A806,RunData,2,FALSE)),0,VLOOKUP($A806,RunData,2,FALSE))</f>
        <v>0</v>
      </c>
      <c r="P806" s="297">
        <f>IF(ISNA(VLOOKUP($A806,ThrowData,2,FALSE)),0,VLOOKUP($A806,ThrowData,2,FALSE))</f>
        <v>0</v>
      </c>
      <c r="Q806" s="298">
        <f>IF(ISNA(VLOOKUP($A806,SprintData,4,FALSE)),0,VLOOKUP($A806,SprintData,4,FALSE))+V806</f>
        <v>0</v>
      </c>
      <c r="R806" s="298">
        <f>IF(ISNA(VLOOKUP($A806,JumpData,4,FALSE)),0,VLOOKUP($A806,JumpData,4,FALSE))+W806</f>
        <v>0</v>
      </c>
      <c r="S806" s="298">
        <f>IF(ISNA(VLOOKUP($A806,RunData,4,FALSE)),0,VLOOKUP($A806,RunData,4,FALSE))+X806</f>
        <v>0</v>
      </c>
      <c r="T806" s="298">
        <f>IF(ISNA(VLOOKUP($A806,ThrowData,4,FALSE)),0,VLOOKUP($A806,ThrowData,4,FALSE))+Y806</f>
        <v>0</v>
      </c>
      <c r="U806" s="299">
        <f t="shared" si="2"/>
        <v>0</v>
      </c>
      <c r="V806">
        <f>IF(AND($F806&gt;0,NOT(M806),Flexing),FlexPC,0)</f>
        <v>0</v>
      </c>
      <c r="W806">
        <f>IF(AND($F806&gt;0,NOT(N806),Flexing),FlexPC,0)</f>
        <v>0</v>
      </c>
      <c r="X806">
        <f>IF(AND($F806&gt;0,NOT(O806),Flexing),FlexPC,0)</f>
        <v>0</v>
      </c>
      <c r="Y806">
        <f>IF(AND($F806&gt;0,NOT(P806),Flexing),FlexPC,0)</f>
        <v>0</v>
      </c>
      <c r="AA806" s="209">
        <f t="shared" si="3"/>
        <v>805</v>
      </c>
    </row>
    <row r="807" ht="15.75" customHeight="1">
      <c r="A807" s="206" t="str">
        <f>+Declarations!A807&amp;""</f>
        <v/>
      </c>
      <c r="B807" t="str">
        <f>IF(LEN($A807),IF(LEN(Declarations!$B807)&gt;0,Declarations!$B807,"#"&amp;$A807),"")</f>
        <v/>
      </c>
      <c r="C807" s="209" t="str">
        <f t="array" ref="C807">IF(LEN(INDEX(DECLARATIONS,$AA807,3))&gt;0,INDEX(DECLARATIONS,$AA807,3),"...")</f>
        <v>...</v>
      </c>
      <c r="D807" s="209" t="str">
        <f t="shared" si="1"/>
        <v/>
      </c>
      <c r="E807" s="296" t="str">
        <f t="array" ref="E807">IF(ISNA($AA807),0,INDEX(DECLARATIONS,$AA807,5))</f>
        <v/>
      </c>
      <c r="F807" s="209" t="str">
        <f t="array" ref="F807">IF(ISNA($AA807),0,INDEX(DECLARATIONS,$AA807,7))</f>
        <v/>
      </c>
      <c r="G807" s="209" t="str">
        <f t="array" ref="G807">UPPER(IF(ISNA($AA807),"",INDEX(DECLARATIONS,$AA807,4)))</f>
        <v/>
      </c>
      <c r="H807" t="str">
        <f>IF(AND(A807&gt;0,ISTEXT(B807)),IF(SECNAME="YES",LEFT(B807&amp;" ",FIND(" ",B807&amp;" ")+2)&amp;IF(F807&gt;0," ("&amp;F807&amp;")",""),B807&amp;IF(F807&gt;0," ("&amp;F807&amp;")","")),"#"&amp;$A807)</f>
        <v/>
      </c>
      <c r="I807" s="209">
        <f>IF(LEN($A807)&gt;0,IF(LEN($J807)&gt;0,MATCH(J807,MatchNames,0),EventIndex),0)</f>
        <v>0</v>
      </c>
      <c r="J807" s="209" t="str">
        <f>IF(LEN($A807)&gt;0,IF(LEN(Declarations!$F807)&gt;0,Declarations!$F807,conftype),"")</f>
        <v/>
      </c>
      <c r="M807" s="297">
        <f>IF(ISNA(VLOOKUP($A807,SprintData,2,FALSE)),0,VLOOKUP($A807,SprintData,2,FALSE))</f>
        <v>0</v>
      </c>
      <c r="N807" s="297">
        <f>IF(ISNA(VLOOKUP($A807,JumpData,2,FALSE)),0,VLOOKUP($A807,JumpData,2,FALSE))</f>
        <v>0</v>
      </c>
      <c r="O807" s="297">
        <f>IF(ISNA(VLOOKUP($A807,RunData,2,FALSE)),0,VLOOKUP($A807,RunData,2,FALSE))</f>
        <v>0</v>
      </c>
      <c r="P807" s="297">
        <f>IF(ISNA(VLOOKUP($A807,ThrowData,2,FALSE)),0,VLOOKUP($A807,ThrowData,2,FALSE))</f>
        <v>0</v>
      </c>
      <c r="Q807" s="298">
        <f>IF(ISNA(VLOOKUP($A807,SprintData,4,FALSE)),0,VLOOKUP($A807,SprintData,4,FALSE))+V807</f>
        <v>0</v>
      </c>
      <c r="R807" s="298">
        <f>IF(ISNA(VLOOKUP($A807,JumpData,4,FALSE)),0,VLOOKUP($A807,JumpData,4,FALSE))+W807</f>
        <v>0</v>
      </c>
      <c r="S807" s="298">
        <f>IF(ISNA(VLOOKUP($A807,RunData,4,FALSE)),0,VLOOKUP($A807,RunData,4,FALSE))+X807</f>
        <v>0</v>
      </c>
      <c r="T807" s="298">
        <f>IF(ISNA(VLOOKUP($A807,ThrowData,4,FALSE)),0,VLOOKUP($A807,ThrowData,4,FALSE))+Y807</f>
        <v>0</v>
      </c>
      <c r="U807" s="299">
        <f t="shared" si="2"/>
        <v>0</v>
      </c>
      <c r="V807">
        <f>IF(AND($F807&gt;0,NOT(M807),Flexing),FlexPC,0)</f>
        <v>0</v>
      </c>
      <c r="W807">
        <f>IF(AND($F807&gt;0,NOT(N807),Flexing),FlexPC,0)</f>
        <v>0</v>
      </c>
      <c r="X807">
        <f>IF(AND($F807&gt;0,NOT(O807),Flexing),FlexPC,0)</f>
        <v>0</v>
      </c>
      <c r="Y807">
        <f>IF(AND($F807&gt;0,NOT(P807),Flexing),FlexPC,0)</f>
        <v>0</v>
      </c>
      <c r="AA807" s="209">
        <f t="shared" si="3"/>
        <v>806</v>
      </c>
    </row>
    <row r="808" ht="15.75" customHeight="1">
      <c r="A808" s="206" t="str">
        <f>+Declarations!A808&amp;""</f>
        <v/>
      </c>
      <c r="B808" t="str">
        <f>IF(LEN($A808),IF(LEN(Declarations!$B808)&gt;0,Declarations!$B808,"#"&amp;$A808),"")</f>
        <v/>
      </c>
      <c r="C808" s="209" t="str">
        <f t="array" ref="C808">IF(LEN(INDEX(DECLARATIONS,$AA808,3))&gt;0,INDEX(DECLARATIONS,$AA808,3),"...")</f>
        <v>...</v>
      </c>
      <c r="D808" s="209" t="str">
        <f t="shared" si="1"/>
        <v/>
      </c>
      <c r="E808" s="296" t="str">
        <f t="array" ref="E808">IF(ISNA($AA808),0,INDEX(DECLARATIONS,$AA808,5))</f>
        <v/>
      </c>
      <c r="F808" s="209" t="str">
        <f t="array" ref="F808">IF(ISNA($AA808),0,INDEX(DECLARATIONS,$AA808,7))</f>
        <v/>
      </c>
      <c r="G808" s="209" t="str">
        <f t="array" ref="G808">UPPER(IF(ISNA($AA808),"",INDEX(DECLARATIONS,$AA808,4)))</f>
        <v/>
      </c>
      <c r="H808" t="str">
        <f>IF(AND(A808&gt;0,ISTEXT(B808)),IF(SECNAME="YES",LEFT(B808&amp;" ",FIND(" ",B808&amp;" ")+2)&amp;IF(F808&gt;0," ("&amp;F808&amp;")",""),B808&amp;IF(F808&gt;0," ("&amp;F808&amp;")","")),"#"&amp;$A808)</f>
        <v/>
      </c>
      <c r="I808" s="209">
        <f>IF(LEN($A808)&gt;0,IF(LEN($J808)&gt;0,MATCH(J808,MatchNames,0),EventIndex),0)</f>
        <v>0</v>
      </c>
      <c r="J808" s="209" t="str">
        <f>IF(LEN($A808)&gt;0,IF(LEN(Declarations!$F808)&gt;0,Declarations!$F808,conftype),"")</f>
        <v/>
      </c>
      <c r="M808" s="297">
        <f>IF(ISNA(VLOOKUP($A808,SprintData,2,FALSE)),0,VLOOKUP($A808,SprintData,2,FALSE))</f>
        <v>0</v>
      </c>
      <c r="N808" s="297">
        <f>IF(ISNA(VLOOKUP($A808,JumpData,2,FALSE)),0,VLOOKUP($A808,JumpData,2,FALSE))</f>
        <v>0</v>
      </c>
      <c r="O808" s="297">
        <f>IF(ISNA(VLOOKUP($A808,RunData,2,FALSE)),0,VLOOKUP($A808,RunData,2,FALSE))</f>
        <v>0</v>
      </c>
      <c r="P808" s="297">
        <f>IF(ISNA(VLOOKUP($A808,ThrowData,2,FALSE)),0,VLOOKUP($A808,ThrowData,2,FALSE))</f>
        <v>0</v>
      </c>
      <c r="Q808" s="298">
        <f>IF(ISNA(VLOOKUP($A808,SprintData,4,FALSE)),0,VLOOKUP($A808,SprintData,4,FALSE))+V808</f>
        <v>0</v>
      </c>
      <c r="R808" s="298">
        <f>IF(ISNA(VLOOKUP($A808,JumpData,4,FALSE)),0,VLOOKUP($A808,JumpData,4,FALSE))+W808</f>
        <v>0</v>
      </c>
      <c r="S808" s="298">
        <f>IF(ISNA(VLOOKUP($A808,RunData,4,FALSE)),0,VLOOKUP($A808,RunData,4,FALSE))+X808</f>
        <v>0</v>
      </c>
      <c r="T808" s="298">
        <f>IF(ISNA(VLOOKUP($A808,ThrowData,4,FALSE)),0,VLOOKUP($A808,ThrowData,4,FALSE))+Y808</f>
        <v>0</v>
      </c>
      <c r="U808" s="299">
        <f t="shared" si="2"/>
        <v>0</v>
      </c>
      <c r="V808">
        <f>IF(AND($F808&gt;0,NOT(M808),Flexing),FlexPC,0)</f>
        <v>0</v>
      </c>
      <c r="W808">
        <f>IF(AND($F808&gt;0,NOT(N808),Flexing),FlexPC,0)</f>
        <v>0</v>
      </c>
      <c r="X808">
        <f>IF(AND($F808&gt;0,NOT(O808),Flexing),FlexPC,0)</f>
        <v>0</v>
      </c>
      <c r="Y808">
        <f>IF(AND($F808&gt;0,NOT(P808),Flexing),FlexPC,0)</f>
        <v>0</v>
      </c>
      <c r="AA808" s="209">
        <f t="shared" si="3"/>
        <v>807</v>
      </c>
    </row>
    <row r="809" ht="15.75" customHeight="1">
      <c r="A809" s="206" t="str">
        <f>+Declarations!A809&amp;""</f>
        <v/>
      </c>
      <c r="B809" t="str">
        <f>IF(LEN($A809),IF(LEN(Declarations!$B809)&gt;0,Declarations!$B809,"#"&amp;$A809),"")</f>
        <v/>
      </c>
      <c r="C809" s="209" t="str">
        <f t="array" ref="C809">IF(LEN(INDEX(DECLARATIONS,$AA809,3))&gt;0,INDEX(DECLARATIONS,$AA809,3),"...")</f>
        <v>...</v>
      </c>
      <c r="D809" s="209" t="str">
        <f t="shared" si="1"/>
        <v/>
      </c>
      <c r="E809" s="296" t="str">
        <f t="array" ref="E809">IF(ISNA($AA809),0,INDEX(DECLARATIONS,$AA809,5))</f>
        <v/>
      </c>
      <c r="F809" s="209" t="str">
        <f t="array" ref="F809">IF(ISNA($AA809),0,INDEX(DECLARATIONS,$AA809,7))</f>
        <v/>
      </c>
      <c r="G809" s="209" t="str">
        <f t="array" ref="G809">UPPER(IF(ISNA($AA809),"",INDEX(DECLARATIONS,$AA809,4)))</f>
        <v/>
      </c>
      <c r="H809" t="str">
        <f>IF(AND(A809&gt;0,ISTEXT(B809)),IF(SECNAME="YES",LEFT(B809&amp;" ",FIND(" ",B809&amp;" ")+2)&amp;IF(F809&gt;0," ("&amp;F809&amp;")",""),B809&amp;IF(F809&gt;0," ("&amp;F809&amp;")","")),"#"&amp;$A809)</f>
        <v/>
      </c>
      <c r="I809" s="209">
        <f>IF(LEN($A809)&gt;0,IF(LEN($J809)&gt;0,MATCH(J809,MatchNames,0),EventIndex),0)</f>
        <v>0</v>
      </c>
      <c r="J809" s="209" t="str">
        <f>IF(LEN($A809)&gt;0,IF(LEN(Declarations!$F809)&gt;0,Declarations!$F809,conftype),"")</f>
        <v/>
      </c>
      <c r="M809" s="297">
        <f>IF(ISNA(VLOOKUP($A809,SprintData,2,FALSE)),0,VLOOKUP($A809,SprintData,2,FALSE))</f>
        <v>0</v>
      </c>
      <c r="N809" s="297">
        <f>IF(ISNA(VLOOKUP($A809,JumpData,2,FALSE)),0,VLOOKUP($A809,JumpData,2,FALSE))</f>
        <v>0</v>
      </c>
      <c r="O809" s="297">
        <f>IF(ISNA(VLOOKUP($A809,RunData,2,FALSE)),0,VLOOKUP($A809,RunData,2,FALSE))</f>
        <v>0</v>
      </c>
      <c r="P809" s="297">
        <f>IF(ISNA(VLOOKUP($A809,ThrowData,2,FALSE)),0,VLOOKUP($A809,ThrowData,2,FALSE))</f>
        <v>0</v>
      </c>
      <c r="Q809" s="298">
        <f>IF(ISNA(VLOOKUP($A809,SprintData,4,FALSE)),0,VLOOKUP($A809,SprintData,4,FALSE))+V809</f>
        <v>0</v>
      </c>
      <c r="R809" s="298">
        <f>IF(ISNA(VLOOKUP($A809,JumpData,4,FALSE)),0,VLOOKUP($A809,JumpData,4,FALSE))+W809</f>
        <v>0</v>
      </c>
      <c r="S809" s="298">
        <f>IF(ISNA(VLOOKUP($A809,RunData,4,FALSE)),0,VLOOKUP($A809,RunData,4,FALSE))+X809</f>
        <v>0</v>
      </c>
      <c r="T809" s="298">
        <f>IF(ISNA(VLOOKUP($A809,ThrowData,4,FALSE)),0,VLOOKUP($A809,ThrowData,4,FALSE))+Y809</f>
        <v>0</v>
      </c>
      <c r="U809" s="299">
        <f t="shared" si="2"/>
        <v>0</v>
      </c>
      <c r="V809">
        <f>IF(AND($F809&gt;0,NOT(M809),Flexing),FlexPC,0)</f>
        <v>0</v>
      </c>
      <c r="W809">
        <f>IF(AND($F809&gt;0,NOT(N809),Flexing),FlexPC,0)</f>
        <v>0</v>
      </c>
      <c r="X809">
        <f>IF(AND($F809&gt;0,NOT(O809),Flexing),FlexPC,0)</f>
        <v>0</v>
      </c>
      <c r="Y809">
        <f>IF(AND($F809&gt;0,NOT(P809),Flexing),FlexPC,0)</f>
        <v>0</v>
      </c>
      <c r="AA809" s="209">
        <f t="shared" si="3"/>
        <v>808</v>
      </c>
    </row>
    <row r="810" ht="15.75" customHeight="1">
      <c r="A810" s="206" t="str">
        <f>+Declarations!A810&amp;""</f>
        <v/>
      </c>
      <c r="B810" t="str">
        <f>IF(LEN($A810),IF(LEN(Declarations!$B810)&gt;0,Declarations!$B810,"#"&amp;$A810),"")</f>
        <v/>
      </c>
      <c r="C810" s="209" t="str">
        <f t="array" ref="C810">IF(LEN(INDEX(DECLARATIONS,$AA810,3))&gt;0,INDEX(DECLARATIONS,$AA810,3),"...")</f>
        <v>...</v>
      </c>
      <c r="D810" s="209" t="str">
        <f t="shared" si="1"/>
        <v/>
      </c>
      <c r="E810" s="296" t="str">
        <f t="array" ref="E810">IF(ISNA($AA810),0,INDEX(DECLARATIONS,$AA810,5))</f>
        <v/>
      </c>
      <c r="F810" s="209" t="str">
        <f t="array" ref="F810">IF(ISNA($AA810),0,INDEX(DECLARATIONS,$AA810,7))</f>
        <v/>
      </c>
      <c r="G810" s="209" t="str">
        <f t="array" ref="G810">UPPER(IF(ISNA($AA810),"",INDEX(DECLARATIONS,$AA810,4)))</f>
        <v/>
      </c>
      <c r="H810" t="str">
        <f>IF(AND(A810&gt;0,ISTEXT(B810)),IF(SECNAME="YES",LEFT(B810&amp;" ",FIND(" ",B810&amp;" ")+2)&amp;IF(F810&gt;0," ("&amp;F810&amp;")",""),B810&amp;IF(F810&gt;0," ("&amp;F810&amp;")","")),"#"&amp;$A810)</f>
        <v/>
      </c>
      <c r="I810" s="209">
        <f>IF(LEN($A810)&gt;0,IF(LEN($J810)&gt;0,MATCH(J810,MatchNames,0),EventIndex),0)</f>
        <v>0</v>
      </c>
      <c r="J810" s="209" t="str">
        <f>IF(LEN($A810)&gt;0,IF(LEN(Declarations!$F810)&gt;0,Declarations!$F810,conftype),"")</f>
        <v/>
      </c>
      <c r="M810" s="297">
        <f>IF(ISNA(VLOOKUP($A810,SprintData,2,FALSE)),0,VLOOKUP($A810,SprintData,2,FALSE))</f>
        <v>0</v>
      </c>
      <c r="N810" s="297">
        <f>IF(ISNA(VLOOKUP($A810,JumpData,2,FALSE)),0,VLOOKUP($A810,JumpData,2,FALSE))</f>
        <v>0</v>
      </c>
      <c r="O810" s="297">
        <f>IF(ISNA(VLOOKUP($A810,RunData,2,FALSE)),0,VLOOKUP($A810,RunData,2,FALSE))</f>
        <v>0</v>
      </c>
      <c r="P810" s="297">
        <f>IF(ISNA(VLOOKUP($A810,ThrowData,2,FALSE)),0,VLOOKUP($A810,ThrowData,2,FALSE))</f>
        <v>0</v>
      </c>
      <c r="Q810" s="298">
        <f>IF(ISNA(VLOOKUP($A810,SprintData,4,FALSE)),0,VLOOKUP($A810,SprintData,4,FALSE))+V810</f>
        <v>0</v>
      </c>
      <c r="R810" s="298">
        <f>IF(ISNA(VLOOKUP($A810,JumpData,4,FALSE)),0,VLOOKUP($A810,JumpData,4,FALSE))+W810</f>
        <v>0</v>
      </c>
      <c r="S810" s="298">
        <f>IF(ISNA(VLOOKUP($A810,RunData,4,FALSE)),0,VLOOKUP($A810,RunData,4,FALSE))+X810</f>
        <v>0</v>
      </c>
      <c r="T810" s="298">
        <f>IF(ISNA(VLOOKUP($A810,ThrowData,4,FALSE)),0,VLOOKUP($A810,ThrowData,4,FALSE))+Y810</f>
        <v>0</v>
      </c>
      <c r="U810" s="299">
        <f t="shared" si="2"/>
        <v>0</v>
      </c>
      <c r="V810">
        <f>IF(AND($F810&gt;0,NOT(M810),Flexing),FlexPC,0)</f>
        <v>0</v>
      </c>
      <c r="W810">
        <f>IF(AND($F810&gt;0,NOT(N810),Flexing),FlexPC,0)</f>
        <v>0</v>
      </c>
      <c r="X810">
        <f>IF(AND($F810&gt;0,NOT(O810),Flexing),FlexPC,0)</f>
        <v>0</v>
      </c>
      <c r="Y810">
        <f>IF(AND($F810&gt;0,NOT(P810),Flexing),FlexPC,0)</f>
        <v>0</v>
      </c>
      <c r="AA810" s="209">
        <f t="shared" si="3"/>
        <v>809</v>
      </c>
    </row>
    <row r="811" ht="15.75" customHeight="1">
      <c r="A811" s="206" t="str">
        <f>+Declarations!A811&amp;""</f>
        <v/>
      </c>
      <c r="B811" t="str">
        <f>IF(LEN($A811),IF(LEN(Declarations!$B811)&gt;0,Declarations!$B811,"#"&amp;$A811),"")</f>
        <v/>
      </c>
      <c r="C811" s="209" t="str">
        <f t="array" ref="C811">IF(LEN(INDEX(DECLARATIONS,$AA811,3))&gt;0,INDEX(DECLARATIONS,$AA811,3),"...")</f>
        <v>...</v>
      </c>
      <c r="D811" s="209" t="str">
        <f t="shared" si="1"/>
        <v/>
      </c>
      <c r="E811" s="296" t="str">
        <f t="array" ref="E811">IF(ISNA($AA811),0,INDEX(DECLARATIONS,$AA811,5))</f>
        <v/>
      </c>
      <c r="F811" s="209" t="str">
        <f t="array" ref="F811">IF(ISNA($AA811),0,INDEX(DECLARATIONS,$AA811,7))</f>
        <v/>
      </c>
      <c r="G811" s="209" t="str">
        <f t="array" ref="G811">UPPER(IF(ISNA($AA811),"",INDEX(DECLARATIONS,$AA811,4)))</f>
        <v/>
      </c>
      <c r="H811" t="str">
        <f>IF(AND(A811&gt;0,ISTEXT(B811)),IF(SECNAME="YES",LEFT(B811&amp;" ",FIND(" ",B811&amp;" ")+2)&amp;IF(F811&gt;0," ("&amp;F811&amp;")",""),B811&amp;IF(F811&gt;0," ("&amp;F811&amp;")","")),"#"&amp;$A811)</f>
        <v/>
      </c>
      <c r="I811" s="209">
        <f>IF(LEN($A811)&gt;0,IF(LEN($J811)&gt;0,MATCH(J811,MatchNames,0),EventIndex),0)</f>
        <v>0</v>
      </c>
      <c r="J811" s="209" t="str">
        <f>IF(LEN($A811)&gt;0,IF(LEN(Declarations!$F811)&gt;0,Declarations!$F811,conftype),"")</f>
        <v/>
      </c>
      <c r="M811" s="297">
        <f>IF(ISNA(VLOOKUP($A811,SprintData,2,FALSE)),0,VLOOKUP($A811,SprintData,2,FALSE))</f>
        <v>0</v>
      </c>
      <c r="N811" s="297">
        <f>IF(ISNA(VLOOKUP($A811,JumpData,2,FALSE)),0,VLOOKUP($A811,JumpData,2,FALSE))</f>
        <v>0</v>
      </c>
      <c r="O811" s="297">
        <f>IF(ISNA(VLOOKUP($A811,RunData,2,FALSE)),0,VLOOKUP($A811,RunData,2,FALSE))</f>
        <v>0</v>
      </c>
      <c r="P811" s="297">
        <f>IF(ISNA(VLOOKUP($A811,ThrowData,2,FALSE)),0,VLOOKUP($A811,ThrowData,2,FALSE))</f>
        <v>0</v>
      </c>
      <c r="Q811" s="298">
        <f>IF(ISNA(VLOOKUP($A811,SprintData,4,FALSE)),0,VLOOKUP($A811,SprintData,4,FALSE))+V811</f>
        <v>0</v>
      </c>
      <c r="R811" s="298">
        <f>IF(ISNA(VLOOKUP($A811,JumpData,4,FALSE)),0,VLOOKUP($A811,JumpData,4,FALSE))+W811</f>
        <v>0</v>
      </c>
      <c r="S811" s="298">
        <f>IF(ISNA(VLOOKUP($A811,RunData,4,FALSE)),0,VLOOKUP($A811,RunData,4,FALSE))+X811</f>
        <v>0</v>
      </c>
      <c r="T811" s="298">
        <f>IF(ISNA(VLOOKUP($A811,ThrowData,4,FALSE)),0,VLOOKUP($A811,ThrowData,4,FALSE))+Y811</f>
        <v>0</v>
      </c>
      <c r="U811" s="299">
        <f t="shared" si="2"/>
        <v>0</v>
      </c>
      <c r="V811">
        <f>IF(AND($F811&gt;0,NOT(M811),Flexing),FlexPC,0)</f>
        <v>0</v>
      </c>
      <c r="W811">
        <f>IF(AND($F811&gt;0,NOT(N811),Flexing),FlexPC,0)</f>
        <v>0</v>
      </c>
      <c r="X811">
        <f>IF(AND($F811&gt;0,NOT(O811),Flexing),FlexPC,0)</f>
        <v>0</v>
      </c>
      <c r="Y811">
        <f>IF(AND($F811&gt;0,NOT(P811),Flexing),FlexPC,0)</f>
        <v>0</v>
      </c>
      <c r="AA811" s="209">
        <f t="shared" si="3"/>
        <v>810</v>
      </c>
    </row>
    <row r="812" ht="15.75" customHeight="1">
      <c r="A812" s="206" t="str">
        <f>+Declarations!A812&amp;""</f>
        <v/>
      </c>
      <c r="B812" t="str">
        <f>IF(LEN($A812),IF(LEN(Declarations!$B812)&gt;0,Declarations!$B812,"#"&amp;$A812),"")</f>
        <v/>
      </c>
      <c r="C812" s="209" t="str">
        <f t="array" ref="C812">IF(LEN(INDEX(DECLARATIONS,$AA812,3))&gt;0,INDEX(DECLARATIONS,$AA812,3),"...")</f>
        <v>...</v>
      </c>
      <c r="D812" s="209" t="str">
        <f t="shared" si="1"/>
        <v/>
      </c>
      <c r="E812" s="296" t="str">
        <f t="array" ref="E812">IF(ISNA($AA812),0,INDEX(DECLARATIONS,$AA812,5))</f>
        <v/>
      </c>
      <c r="F812" s="209" t="str">
        <f t="array" ref="F812">IF(ISNA($AA812),0,INDEX(DECLARATIONS,$AA812,7))</f>
        <v/>
      </c>
      <c r="G812" s="209" t="str">
        <f t="array" ref="G812">UPPER(IF(ISNA($AA812),"",INDEX(DECLARATIONS,$AA812,4)))</f>
        <v/>
      </c>
      <c r="H812" t="str">
        <f>IF(AND(A812&gt;0,ISTEXT(B812)),IF(SECNAME="YES",LEFT(B812&amp;" ",FIND(" ",B812&amp;" ")+2)&amp;IF(F812&gt;0," ("&amp;F812&amp;")",""),B812&amp;IF(F812&gt;0," ("&amp;F812&amp;")","")),"#"&amp;$A812)</f>
        <v/>
      </c>
      <c r="I812" s="209">
        <f>IF(LEN($A812)&gt;0,IF(LEN($J812)&gt;0,MATCH(J812,MatchNames,0),EventIndex),0)</f>
        <v>0</v>
      </c>
      <c r="J812" s="209" t="str">
        <f>IF(LEN($A812)&gt;0,IF(LEN(Declarations!$F812)&gt;0,Declarations!$F812,conftype),"")</f>
        <v/>
      </c>
      <c r="M812" s="297">
        <f>IF(ISNA(VLOOKUP($A812,SprintData,2,FALSE)),0,VLOOKUP($A812,SprintData,2,FALSE))</f>
        <v>0</v>
      </c>
      <c r="N812" s="297">
        <f>IF(ISNA(VLOOKUP($A812,JumpData,2,FALSE)),0,VLOOKUP($A812,JumpData,2,FALSE))</f>
        <v>0</v>
      </c>
      <c r="O812" s="297">
        <f>IF(ISNA(VLOOKUP($A812,RunData,2,FALSE)),0,VLOOKUP($A812,RunData,2,FALSE))</f>
        <v>0</v>
      </c>
      <c r="P812" s="297">
        <f>IF(ISNA(VLOOKUP($A812,ThrowData,2,FALSE)),0,VLOOKUP($A812,ThrowData,2,FALSE))</f>
        <v>0</v>
      </c>
      <c r="Q812" s="298">
        <f>IF(ISNA(VLOOKUP($A812,SprintData,4,FALSE)),0,VLOOKUP($A812,SprintData,4,FALSE))+V812</f>
        <v>0</v>
      </c>
      <c r="R812" s="298">
        <f>IF(ISNA(VLOOKUP($A812,JumpData,4,FALSE)),0,VLOOKUP($A812,JumpData,4,FALSE))+W812</f>
        <v>0</v>
      </c>
      <c r="S812" s="298">
        <f>IF(ISNA(VLOOKUP($A812,RunData,4,FALSE)),0,VLOOKUP($A812,RunData,4,FALSE))+X812</f>
        <v>0</v>
      </c>
      <c r="T812" s="298">
        <f>IF(ISNA(VLOOKUP($A812,ThrowData,4,FALSE)),0,VLOOKUP($A812,ThrowData,4,FALSE))+Y812</f>
        <v>0</v>
      </c>
      <c r="U812" s="299">
        <f t="shared" si="2"/>
        <v>0</v>
      </c>
      <c r="V812">
        <f>IF(AND($F812&gt;0,NOT(M812),Flexing),FlexPC,0)</f>
        <v>0</v>
      </c>
      <c r="W812">
        <f>IF(AND($F812&gt;0,NOT(N812),Flexing),FlexPC,0)</f>
        <v>0</v>
      </c>
      <c r="X812">
        <f>IF(AND($F812&gt;0,NOT(O812),Flexing),FlexPC,0)</f>
        <v>0</v>
      </c>
      <c r="Y812">
        <f>IF(AND($F812&gt;0,NOT(P812),Flexing),FlexPC,0)</f>
        <v>0</v>
      </c>
      <c r="AA812" s="209">
        <f t="shared" si="3"/>
        <v>811</v>
      </c>
    </row>
    <row r="813" ht="15.75" customHeight="1">
      <c r="A813" s="206" t="str">
        <f>+Declarations!A813&amp;""</f>
        <v/>
      </c>
      <c r="B813" t="str">
        <f>IF(LEN($A813),IF(LEN(Declarations!$B813)&gt;0,Declarations!$B813,"#"&amp;$A813),"")</f>
        <v/>
      </c>
      <c r="C813" s="209" t="str">
        <f t="array" ref="C813">IF(LEN(INDEX(DECLARATIONS,$AA813,3))&gt;0,INDEX(DECLARATIONS,$AA813,3),"...")</f>
        <v>...</v>
      </c>
      <c r="D813" s="209" t="str">
        <f t="shared" si="1"/>
        <v/>
      </c>
      <c r="E813" s="296" t="str">
        <f t="array" ref="E813">IF(ISNA($AA813),0,INDEX(DECLARATIONS,$AA813,5))</f>
        <v/>
      </c>
      <c r="F813" s="209" t="str">
        <f t="array" ref="F813">IF(ISNA($AA813),0,INDEX(DECLARATIONS,$AA813,7))</f>
        <v/>
      </c>
      <c r="G813" s="209" t="str">
        <f t="array" ref="G813">UPPER(IF(ISNA($AA813),"",INDEX(DECLARATIONS,$AA813,4)))</f>
        <v/>
      </c>
      <c r="H813" t="str">
        <f>IF(AND(A813&gt;0,ISTEXT(B813)),IF(SECNAME="YES",LEFT(B813&amp;" ",FIND(" ",B813&amp;" ")+2)&amp;IF(F813&gt;0," ("&amp;F813&amp;")",""),B813&amp;IF(F813&gt;0," ("&amp;F813&amp;")","")),"#"&amp;$A813)</f>
        <v/>
      </c>
      <c r="I813" s="209">
        <f>IF(LEN($A813)&gt;0,IF(LEN($J813)&gt;0,MATCH(J813,MatchNames,0),EventIndex),0)</f>
        <v>0</v>
      </c>
      <c r="J813" s="209" t="str">
        <f>IF(LEN($A813)&gt;0,IF(LEN(Declarations!$F813)&gt;0,Declarations!$F813,conftype),"")</f>
        <v/>
      </c>
      <c r="M813" s="297">
        <f>IF(ISNA(VLOOKUP($A813,SprintData,2,FALSE)),0,VLOOKUP($A813,SprintData,2,FALSE))</f>
        <v>0</v>
      </c>
      <c r="N813" s="297">
        <f>IF(ISNA(VLOOKUP($A813,JumpData,2,FALSE)),0,VLOOKUP($A813,JumpData,2,FALSE))</f>
        <v>0</v>
      </c>
      <c r="O813" s="297">
        <f>IF(ISNA(VLOOKUP($A813,RunData,2,FALSE)),0,VLOOKUP($A813,RunData,2,FALSE))</f>
        <v>0</v>
      </c>
      <c r="P813" s="297">
        <f>IF(ISNA(VLOOKUP($A813,ThrowData,2,FALSE)),0,VLOOKUP($A813,ThrowData,2,FALSE))</f>
        <v>0</v>
      </c>
      <c r="Q813" s="298">
        <f>IF(ISNA(VLOOKUP($A813,SprintData,4,FALSE)),0,VLOOKUP($A813,SprintData,4,FALSE))+V813</f>
        <v>0</v>
      </c>
      <c r="R813" s="298">
        <f>IF(ISNA(VLOOKUP($A813,JumpData,4,FALSE)),0,VLOOKUP($A813,JumpData,4,FALSE))+W813</f>
        <v>0</v>
      </c>
      <c r="S813" s="298">
        <f>IF(ISNA(VLOOKUP($A813,RunData,4,FALSE)),0,VLOOKUP($A813,RunData,4,FALSE))+X813</f>
        <v>0</v>
      </c>
      <c r="T813" s="298">
        <f>IF(ISNA(VLOOKUP($A813,ThrowData,4,FALSE)),0,VLOOKUP($A813,ThrowData,4,FALSE))+Y813</f>
        <v>0</v>
      </c>
      <c r="U813" s="299">
        <f t="shared" si="2"/>
        <v>0</v>
      </c>
      <c r="V813">
        <f>IF(AND($F813&gt;0,NOT(M813),Flexing),FlexPC,0)</f>
        <v>0</v>
      </c>
      <c r="W813">
        <f>IF(AND($F813&gt;0,NOT(N813),Flexing),FlexPC,0)</f>
        <v>0</v>
      </c>
      <c r="X813">
        <f>IF(AND($F813&gt;0,NOT(O813),Flexing),FlexPC,0)</f>
        <v>0</v>
      </c>
      <c r="Y813">
        <f>IF(AND($F813&gt;0,NOT(P813),Flexing),FlexPC,0)</f>
        <v>0</v>
      </c>
      <c r="AA813" s="209">
        <f t="shared" si="3"/>
        <v>812</v>
      </c>
    </row>
    <row r="814" ht="15.75" customHeight="1">
      <c r="A814" s="206" t="str">
        <f>+Declarations!A814&amp;""</f>
        <v/>
      </c>
      <c r="B814" t="str">
        <f>IF(LEN($A814),IF(LEN(Declarations!$B814)&gt;0,Declarations!$B814,"#"&amp;$A814),"")</f>
        <v/>
      </c>
      <c r="C814" s="209" t="str">
        <f t="array" ref="C814">IF(LEN(INDEX(DECLARATIONS,$AA814,3))&gt;0,INDEX(DECLARATIONS,$AA814,3),"...")</f>
        <v>...</v>
      </c>
      <c r="D814" s="209" t="str">
        <f t="shared" si="1"/>
        <v/>
      </c>
      <c r="E814" s="296" t="str">
        <f t="array" ref="E814">IF(ISNA($AA814),0,INDEX(DECLARATIONS,$AA814,5))</f>
        <v/>
      </c>
      <c r="F814" s="209" t="str">
        <f t="array" ref="F814">IF(ISNA($AA814),0,INDEX(DECLARATIONS,$AA814,7))</f>
        <v/>
      </c>
      <c r="G814" s="209" t="str">
        <f t="array" ref="G814">UPPER(IF(ISNA($AA814),"",INDEX(DECLARATIONS,$AA814,4)))</f>
        <v/>
      </c>
      <c r="H814" t="str">
        <f>IF(AND(A814&gt;0,ISTEXT(B814)),IF(SECNAME="YES",LEFT(B814&amp;" ",FIND(" ",B814&amp;" ")+2)&amp;IF(F814&gt;0," ("&amp;F814&amp;")",""),B814&amp;IF(F814&gt;0," ("&amp;F814&amp;")","")),"#"&amp;$A814)</f>
        <v/>
      </c>
      <c r="I814" s="209">
        <f>IF(LEN($A814)&gt;0,IF(LEN($J814)&gt;0,MATCH(J814,MatchNames,0),EventIndex),0)</f>
        <v>0</v>
      </c>
      <c r="J814" s="209" t="str">
        <f>IF(LEN($A814)&gt;0,IF(LEN(Declarations!$F814)&gt;0,Declarations!$F814,conftype),"")</f>
        <v/>
      </c>
      <c r="M814" s="297">
        <f>IF(ISNA(VLOOKUP($A814,SprintData,2,FALSE)),0,VLOOKUP($A814,SprintData,2,FALSE))</f>
        <v>0</v>
      </c>
      <c r="N814" s="297">
        <f>IF(ISNA(VLOOKUP($A814,JumpData,2,FALSE)),0,VLOOKUP($A814,JumpData,2,FALSE))</f>
        <v>0</v>
      </c>
      <c r="O814" s="297">
        <f>IF(ISNA(VLOOKUP($A814,RunData,2,FALSE)),0,VLOOKUP($A814,RunData,2,FALSE))</f>
        <v>0</v>
      </c>
      <c r="P814" s="297">
        <f>IF(ISNA(VLOOKUP($A814,ThrowData,2,FALSE)),0,VLOOKUP($A814,ThrowData,2,FALSE))</f>
        <v>0</v>
      </c>
      <c r="Q814" s="298">
        <f>IF(ISNA(VLOOKUP($A814,SprintData,4,FALSE)),0,VLOOKUP($A814,SprintData,4,FALSE))+V814</f>
        <v>0</v>
      </c>
      <c r="R814" s="298">
        <f>IF(ISNA(VLOOKUP($A814,JumpData,4,FALSE)),0,VLOOKUP($A814,JumpData,4,FALSE))+W814</f>
        <v>0</v>
      </c>
      <c r="S814" s="298">
        <f>IF(ISNA(VLOOKUP($A814,RunData,4,FALSE)),0,VLOOKUP($A814,RunData,4,FALSE))+X814</f>
        <v>0</v>
      </c>
      <c r="T814" s="298">
        <f>IF(ISNA(VLOOKUP($A814,ThrowData,4,FALSE)),0,VLOOKUP($A814,ThrowData,4,FALSE))+Y814</f>
        <v>0</v>
      </c>
      <c r="U814" s="299">
        <f t="shared" si="2"/>
        <v>0</v>
      </c>
      <c r="V814">
        <f>IF(AND($F814&gt;0,NOT(M814),Flexing),FlexPC,0)</f>
        <v>0</v>
      </c>
      <c r="W814">
        <f>IF(AND($F814&gt;0,NOT(N814),Flexing),FlexPC,0)</f>
        <v>0</v>
      </c>
      <c r="X814">
        <f>IF(AND($F814&gt;0,NOT(O814),Flexing),FlexPC,0)</f>
        <v>0</v>
      </c>
      <c r="Y814">
        <f>IF(AND($F814&gt;0,NOT(P814),Flexing),FlexPC,0)</f>
        <v>0</v>
      </c>
      <c r="AA814" s="209">
        <f t="shared" si="3"/>
        <v>813</v>
      </c>
    </row>
    <row r="815" ht="15.75" customHeight="1">
      <c r="A815" s="206" t="str">
        <f>+Declarations!A815&amp;""</f>
        <v/>
      </c>
      <c r="B815" t="str">
        <f>IF(LEN($A815),IF(LEN(Declarations!$B815)&gt;0,Declarations!$B815,"#"&amp;$A815),"")</f>
        <v/>
      </c>
      <c r="C815" s="209" t="str">
        <f t="array" ref="C815">IF(LEN(INDEX(DECLARATIONS,$AA815,3))&gt;0,INDEX(DECLARATIONS,$AA815,3),"...")</f>
        <v>...</v>
      </c>
      <c r="D815" s="209" t="str">
        <f t="shared" si="1"/>
        <v/>
      </c>
      <c r="E815" s="296" t="str">
        <f t="array" ref="E815">IF(ISNA($AA815),0,INDEX(DECLARATIONS,$AA815,5))</f>
        <v/>
      </c>
      <c r="F815" s="209" t="str">
        <f t="array" ref="F815">IF(ISNA($AA815),0,INDEX(DECLARATIONS,$AA815,7))</f>
        <v/>
      </c>
      <c r="G815" s="209" t="str">
        <f t="array" ref="G815">UPPER(IF(ISNA($AA815),"",INDEX(DECLARATIONS,$AA815,4)))</f>
        <v/>
      </c>
      <c r="H815" t="str">
        <f>IF(AND(A815&gt;0,ISTEXT(B815)),IF(SECNAME="YES",LEFT(B815&amp;" ",FIND(" ",B815&amp;" ")+2)&amp;IF(F815&gt;0," ("&amp;F815&amp;")",""),B815&amp;IF(F815&gt;0," ("&amp;F815&amp;")","")),"#"&amp;$A815)</f>
        <v/>
      </c>
      <c r="I815" s="209">
        <f>IF(LEN($A815)&gt;0,IF(LEN($J815)&gt;0,MATCH(J815,MatchNames,0),EventIndex),0)</f>
        <v>0</v>
      </c>
      <c r="J815" s="209" t="str">
        <f>IF(LEN($A815)&gt;0,IF(LEN(Declarations!$F815)&gt;0,Declarations!$F815,conftype),"")</f>
        <v/>
      </c>
      <c r="M815" s="297">
        <f>IF(ISNA(VLOOKUP($A815,SprintData,2,FALSE)),0,VLOOKUP($A815,SprintData,2,FALSE))</f>
        <v>0</v>
      </c>
      <c r="N815" s="297">
        <f>IF(ISNA(VLOOKUP($A815,JumpData,2,FALSE)),0,VLOOKUP($A815,JumpData,2,FALSE))</f>
        <v>0</v>
      </c>
      <c r="O815" s="297">
        <f>IF(ISNA(VLOOKUP($A815,RunData,2,FALSE)),0,VLOOKUP($A815,RunData,2,FALSE))</f>
        <v>0</v>
      </c>
      <c r="P815" s="297">
        <f>IF(ISNA(VLOOKUP($A815,ThrowData,2,FALSE)),0,VLOOKUP($A815,ThrowData,2,FALSE))</f>
        <v>0</v>
      </c>
      <c r="Q815" s="298">
        <f>IF(ISNA(VLOOKUP($A815,SprintData,4,FALSE)),0,VLOOKUP($A815,SprintData,4,FALSE))+V815</f>
        <v>0</v>
      </c>
      <c r="R815" s="298">
        <f>IF(ISNA(VLOOKUP($A815,JumpData,4,FALSE)),0,VLOOKUP($A815,JumpData,4,FALSE))+W815</f>
        <v>0</v>
      </c>
      <c r="S815" s="298">
        <f>IF(ISNA(VLOOKUP($A815,RunData,4,FALSE)),0,VLOOKUP($A815,RunData,4,FALSE))+X815</f>
        <v>0</v>
      </c>
      <c r="T815" s="298">
        <f>IF(ISNA(VLOOKUP($A815,ThrowData,4,FALSE)),0,VLOOKUP($A815,ThrowData,4,FALSE))+Y815</f>
        <v>0</v>
      </c>
      <c r="U815" s="299">
        <f t="shared" si="2"/>
        <v>0</v>
      </c>
      <c r="V815">
        <f>IF(AND($F815&gt;0,NOT(M815),Flexing),FlexPC,0)</f>
        <v>0</v>
      </c>
      <c r="W815">
        <f>IF(AND($F815&gt;0,NOT(N815),Flexing),FlexPC,0)</f>
        <v>0</v>
      </c>
      <c r="X815">
        <f>IF(AND($F815&gt;0,NOT(O815),Flexing),FlexPC,0)</f>
        <v>0</v>
      </c>
      <c r="Y815">
        <f>IF(AND($F815&gt;0,NOT(P815),Flexing),FlexPC,0)</f>
        <v>0</v>
      </c>
      <c r="AA815" s="209">
        <f t="shared" si="3"/>
        <v>814</v>
      </c>
    </row>
    <row r="816" ht="15.75" customHeight="1">
      <c r="A816" s="206" t="str">
        <f>+Declarations!A816&amp;""</f>
        <v/>
      </c>
      <c r="B816" t="str">
        <f>IF(LEN($A816),IF(LEN(Declarations!$B816)&gt;0,Declarations!$B816,"#"&amp;$A816),"")</f>
        <v/>
      </c>
      <c r="C816" s="209" t="str">
        <f t="array" ref="C816">IF(LEN(INDEX(DECLARATIONS,$AA816,3))&gt;0,INDEX(DECLARATIONS,$AA816,3),"...")</f>
        <v>...</v>
      </c>
      <c r="D816" s="209" t="str">
        <f t="shared" si="1"/>
        <v/>
      </c>
      <c r="E816" s="296" t="str">
        <f t="array" ref="E816">IF(ISNA($AA816),0,INDEX(DECLARATIONS,$AA816,5))</f>
        <v/>
      </c>
      <c r="F816" s="209" t="str">
        <f t="array" ref="F816">IF(ISNA($AA816),0,INDEX(DECLARATIONS,$AA816,7))</f>
        <v/>
      </c>
      <c r="G816" s="209" t="str">
        <f t="array" ref="G816">UPPER(IF(ISNA($AA816),"",INDEX(DECLARATIONS,$AA816,4)))</f>
        <v/>
      </c>
      <c r="H816" t="str">
        <f>IF(AND(A816&gt;0,ISTEXT(B816)),IF(SECNAME="YES",LEFT(B816&amp;" ",FIND(" ",B816&amp;" ")+2)&amp;IF(F816&gt;0," ("&amp;F816&amp;")",""),B816&amp;IF(F816&gt;0," ("&amp;F816&amp;")","")),"#"&amp;$A816)</f>
        <v/>
      </c>
      <c r="I816" s="209">
        <f>IF(LEN($A816)&gt;0,IF(LEN($J816)&gt;0,MATCH(J816,MatchNames,0),EventIndex),0)</f>
        <v>0</v>
      </c>
      <c r="J816" s="209" t="str">
        <f>IF(LEN($A816)&gt;0,IF(LEN(Declarations!$F816)&gt;0,Declarations!$F816,conftype),"")</f>
        <v/>
      </c>
      <c r="M816" s="297">
        <f>IF(ISNA(VLOOKUP($A816,SprintData,2,FALSE)),0,VLOOKUP($A816,SprintData,2,FALSE))</f>
        <v>0</v>
      </c>
      <c r="N816" s="297">
        <f>IF(ISNA(VLOOKUP($A816,JumpData,2,FALSE)),0,VLOOKUP($A816,JumpData,2,FALSE))</f>
        <v>0</v>
      </c>
      <c r="O816" s="297">
        <f>IF(ISNA(VLOOKUP($A816,RunData,2,FALSE)),0,VLOOKUP($A816,RunData,2,FALSE))</f>
        <v>0</v>
      </c>
      <c r="P816" s="297">
        <f>IF(ISNA(VLOOKUP($A816,ThrowData,2,FALSE)),0,VLOOKUP($A816,ThrowData,2,FALSE))</f>
        <v>0</v>
      </c>
      <c r="Q816" s="298">
        <f>IF(ISNA(VLOOKUP($A816,SprintData,4,FALSE)),0,VLOOKUP($A816,SprintData,4,FALSE))+V816</f>
        <v>0</v>
      </c>
      <c r="R816" s="298">
        <f>IF(ISNA(VLOOKUP($A816,JumpData,4,FALSE)),0,VLOOKUP($A816,JumpData,4,FALSE))+W816</f>
        <v>0</v>
      </c>
      <c r="S816" s="298">
        <f>IF(ISNA(VLOOKUP($A816,RunData,4,FALSE)),0,VLOOKUP($A816,RunData,4,FALSE))+X816</f>
        <v>0</v>
      </c>
      <c r="T816" s="298">
        <f>IF(ISNA(VLOOKUP($A816,ThrowData,4,FALSE)),0,VLOOKUP($A816,ThrowData,4,FALSE))+Y816</f>
        <v>0</v>
      </c>
      <c r="U816" s="299">
        <f t="shared" si="2"/>
        <v>0</v>
      </c>
      <c r="V816">
        <f>IF(AND($F816&gt;0,NOT(M816),Flexing),FlexPC,0)</f>
        <v>0</v>
      </c>
      <c r="W816">
        <f>IF(AND($F816&gt;0,NOT(N816),Flexing),FlexPC,0)</f>
        <v>0</v>
      </c>
      <c r="X816">
        <f>IF(AND($F816&gt;0,NOT(O816),Flexing),FlexPC,0)</f>
        <v>0</v>
      </c>
      <c r="Y816">
        <f>IF(AND($F816&gt;0,NOT(P816),Flexing),FlexPC,0)</f>
        <v>0</v>
      </c>
      <c r="AA816" s="209">
        <f t="shared" si="3"/>
        <v>815</v>
      </c>
    </row>
    <row r="817" ht="15.75" customHeight="1">
      <c r="A817" s="206" t="str">
        <f>+Declarations!A817&amp;""</f>
        <v/>
      </c>
      <c r="B817" t="str">
        <f>IF(LEN($A817),IF(LEN(Declarations!$B817)&gt;0,Declarations!$B817,"#"&amp;$A817),"")</f>
        <v/>
      </c>
      <c r="C817" s="209" t="str">
        <f t="array" ref="C817">IF(LEN(INDEX(DECLARATIONS,$AA817,3))&gt;0,INDEX(DECLARATIONS,$AA817,3),"...")</f>
        <v>...</v>
      </c>
      <c r="D817" s="209" t="str">
        <f t="shared" si="1"/>
        <v/>
      </c>
      <c r="E817" s="296" t="str">
        <f t="array" ref="E817">IF(ISNA($AA817),0,INDEX(DECLARATIONS,$AA817,5))</f>
        <v/>
      </c>
      <c r="F817" s="209" t="str">
        <f t="array" ref="F817">IF(ISNA($AA817),0,INDEX(DECLARATIONS,$AA817,7))</f>
        <v/>
      </c>
      <c r="G817" s="209" t="str">
        <f t="array" ref="G817">UPPER(IF(ISNA($AA817),"",INDEX(DECLARATIONS,$AA817,4)))</f>
        <v/>
      </c>
      <c r="H817" t="str">
        <f>IF(AND(A817&gt;0,ISTEXT(B817)),IF(SECNAME="YES",LEFT(B817&amp;" ",FIND(" ",B817&amp;" ")+2)&amp;IF(F817&gt;0," ("&amp;F817&amp;")",""),B817&amp;IF(F817&gt;0," ("&amp;F817&amp;")","")),"#"&amp;$A817)</f>
        <v/>
      </c>
      <c r="I817" s="209">
        <f>IF(LEN($A817)&gt;0,IF(LEN($J817)&gt;0,MATCH(J817,MatchNames,0),EventIndex),0)</f>
        <v>0</v>
      </c>
      <c r="J817" s="209" t="str">
        <f>IF(LEN($A817)&gt;0,IF(LEN(Declarations!$F817)&gt;0,Declarations!$F817,conftype),"")</f>
        <v/>
      </c>
      <c r="M817" s="297">
        <f>IF(ISNA(VLOOKUP($A817,SprintData,2,FALSE)),0,VLOOKUP($A817,SprintData,2,FALSE))</f>
        <v>0</v>
      </c>
      <c r="N817" s="297">
        <f>IF(ISNA(VLOOKUP($A817,JumpData,2,FALSE)),0,VLOOKUP($A817,JumpData,2,FALSE))</f>
        <v>0</v>
      </c>
      <c r="O817" s="297">
        <f>IF(ISNA(VLOOKUP($A817,RunData,2,FALSE)),0,VLOOKUP($A817,RunData,2,FALSE))</f>
        <v>0</v>
      </c>
      <c r="P817" s="297">
        <f>IF(ISNA(VLOOKUP($A817,ThrowData,2,FALSE)),0,VLOOKUP($A817,ThrowData,2,FALSE))</f>
        <v>0</v>
      </c>
      <c r="Q817" s="298">
        <f>IF(ISNA(VLOOKUP($A817,SprintData,4,FALSE)),0,VLOOKUP($A817,SprintData,4,FALSE))+V817</f>
        <v>0</v>
      </c>
      <c r="R817" s="298">
        <f>IF(ISNA(VLOOKUP($A817,JumpData,4,FALSE)),0,VLOOKUP($A817,JumpData,4,FALSE))+W817</f>
        <v>0</v>
      </c>
      <c r="S817" s="298">
        <f>IF(ISNA(VLOOKUP($A817,RunData,4,FALSE)),0,VLOOKUP($A817,RunData,4,FALSE))+X817</f>
        <v>0</v>
      </c>
      <c r="T817" s="298">
        <f>IF(ISNA(VLOOKUP($A817,ThrowData,4,FALSE)),0,VLOOKUP($A817,ThrowData,4,FALSE))+Y817</f>
        <v>0</v>
      </c>
      <c r="U817" s="299">
        <f t="shared" si="2"/>
        <v>0</v>
      </c>
      <c r="V817">
        <f>IF(AND($F817&gt;0,NOT(M817),Flexing),FlexPC,0)</f>
        <v>0</v>
      </c>
      <c r="W817">
        <f>IF(AND($F817&gt;0,NOT(N817),Flexing),FlexPC,0)</f>
        <v>0</v>
      </c>
      <c r="X817">
        <f>IF(AND($F817&gt;0,NOT(O817),Flexing),FlexPC,0)</f>
        <v>0</v>
      </c>
      <c r="Y817">
        <f>IF(AND($F817&gt;0,NOT(P817),Flexing),FlexPC,0)</f>
        <v>0</v>
      </c>
      <c r="AA817" s="209">
        <f t="shared" si="3"/>
        <v>816</v>
      </c>
    </row>
    <row r="818" ht="15.75" customHeight="1">
      <c r="A818" s="206" t="str">
        <f>+Declarations!A818&amp;""</f>
        <v/>
      </c>
      <c r="B818" t="str">
        <f>IF(LEN($A818),IF(LEN(Declarations!$B818)&gt;0,Declarations!$B818,"#"&amp;$A818),"")</f>
        <v/>
      </c>
      <c r="C818" s="209" t="str">
        <f t="array" ref="C818">IF(LEN(INDEX(DECLARATIONS,$AA818,3))&gt;0,INDEX(DECLARATIONS,$AA818,3),"...")</f>
        <v>...</v>
      </c>
      <c r="D818" s="209" t="str">
        <f t="shared" si="1"/>
        <v/>
      </c>
      <c r="E818" s="296" t="str">
        <f t="array" ref="E818">IF(ISNA($AA818),0,INDEX(DECLARATIONS,$AA818,5))</f>
        <v/>
      </c>
      <c r="F818" s="209" t="str">
        <f t="array" ref="F818">IF(ISNA($AA818),0,INDEX(DECLARATIONS,$AA818,7))</f>
        <v/>
      </c>
      <c r="G818" s="209" t="str">
        <f t="array" ref="G818">UPPER(IF(ISNA($AA818),"",INDEX(DECLARATIONS,$AA818,4)))</f>
        <v/>
      </c>
      <c r="H818" t="str">
        <f>IF(AND(A818&gt;0,ISTEXT(B818)),IF(SECNAME="YES",LEFT(B818&amp;" ",FIND(" ",B818&amp;" ")+2)&amp;IF(F818&gt;0," ("&amp;F818&amp;")",""),B818&amp;IF(F818&gt;0," ("&amp;F818&amp;")","")),"#"&amp;$A818)</f>
        <v/>
      </c>
      <c r="I818" s="209">
        <f>IF(LEN($A818)&gt;0,IF(LEN($J818)&gt;0,MATCH(J818,MatchNames,0),EventIndex),0)</f>
        <v>0</v>
      </c>
      <c r="J818" s="209" t="str">
        <f>IF(LEN($A818)&gt;0,IF(LEN(Declarations!$F818)&gt;0,Declarations!$F818,conftype),"")</f>
        <v/>
      </c>
      <c r="M818" s="297">
        <f>IF(ISNA(VLOOKUP($A818,SprintData,2,FALSE)),0,VLOOKUP($A818,SprintData,2,FALSE))</f>
        <v>0</v>
      </c>
      <c r="N818" s="297">
        <f>IF(ISNA(VLOOKUP($A818,JumpData,2,FALSE)),0,VLOOKUP($A818,JumpData,2,FALSE))</f>
        <v>0</v>
      </c>
      <c r="O818" s="297">
        <f>IF(ISNA(VLOOKUP($A818,RunData,2,FALSE)),0,VLOOKUP($A818,RunData,2,FALSE))</f>
        <v>0</v>
      </c>
      <c r="P818" s="297">
        <f>IF(ISNA(VLOOKUP($A818,ThrowData,2,FALSE)),0,VLOOKUP($A818,ThrowData,2,FALSE))</f>
        <v>0</v>
      </c>
      <c r="Q818" s="298">
        <f>IF(ISNA(VLOOKUP($A818,SprintData,4,FALSE)),0,VLOOKUP($A818,SprintData,4,FALSE))+V818</f>
        <v>0</v>
      </c>
      <c r="R818" s="298">
        <f>IF(ISNA(VLOOKUP($A818,JumpData,4,FALSE)),0,VLOOKUP($A818,JumpData,4,FALSE))+W818</f>
        <v>0</v>
      </c>
      <c r="S818" s="298">
        <f>IF(ISNA(VLOOKUP($A818,RunData,4,FALSE)),0,VLOOKUP($A818,RunData,4,FALSE))+X818</f>
        <v>0</v>
      </c>
      <c r="T818" s="298">
        <f>IF(ISNA(VLOOKUP($A818,ThrowData,4,FALSE)),0,VLOOKUP($A818,ThrowData,4,FALSE))+Y818</f>
        <v>0</v>
      </c>
      <c r="U818" s="299">
        <f t="shared" si="2"/>
        <v>0</v>
      </c>
      <c r="V818">
        <f>IF(AND($F818&gt;0,NOT(M818),Flexing),FlexPC,0)</f>
        <v>0</v>
      </c>
      <c r="W818">
        <f>IF(AND($F818&gt;0,NOT(N818),Flexing),FlexPC,0)</f>
        <v>0</v>
      </c>
      <c r="X818">
        <f>IF(AND($F818&gt;0,NOT(O818),Flexing),FlexPC,0)</f>
        <v>0</v>
      </c>
      <c r="Y818">
        <f>IF(AND($F818&gt;0,NOT(P818),Flexing),FlexPC,0)</f>
        <v>0</v>
      </c>
      <c r="AA818" s="209">
        <f t="shared" si="3"/>
        <v>817</v>
      </c>
    </row>
    <row r="819" ht="15.75" customHeight="1">
      <c r="A819" s="206" t="str">
        <f>+Declarations!A819&amp;""</f>
        <v/>
      </c>
      <c r="B819" t="str">
        <f>IF(LEN($A819),IF(LEN(Declarations!$B819)&gt;0,Declarations!$B819,"#"&amp;$A819),"")</f>
        <v/>
      </c>
      <c r="C819" s="209" t="str">
        <f t="array" ref="C819">IF(LEN(INDEX(DECLARATIONS,$AA819,3))&gt;0,INDEX(DECLARATIONS,$AA819,3),"...")</f>
        <v>...</v>
      </c>
      <c r="D819" s="209" t="str">
        <f t="shared" si="1"/>
        <v/>
      </c>
      <c r="E819" s="296" t="str">
        <f t="array" ref="E819">IF(ISNA($AA819),0,INDEX(DECLARATIONS,$AA819,5))</f>
        <v/>
      </c>
      <c r="F819" s="209" t="str">
        <f t="array" ref="F819">IF(ISNA($AA819),0,INDEX(DECLARATIONS,$AA819,7))</f>
        <v/>
      </c>
      <c r="G819" s="209" t="str">
        <f t="array" ref="G819">UPPER(IF(ISNA($AA819),"",INDEX(DECLARATIONS,$AA819,4)))</f>
        <v/>
      </c>
      <c r="H819" t="str">
        <f>IF(AND(A819&gt;0,ISTEXT(B819)),IF(SECNAME="YES",LEFT(B819&amp;" ",FIND(" ",B819&amp;" ")+2)&amp;IF(F819&gt;0," ("&amp;F819&amp;")",""),B819&amp;IF(F819&gt;0," ("&amp;F819&amp;")","")),"#"&amp;$A819)</f>
        <v/>
      </c>
      <c r="I819" s="209">
        <f>IF(LEN($A819)&gt;0,IF(LEN($J819)&gt;0,MATCH(J819,MatchNames,0),EventIndex),0)</f>
        <v>0</v>
      </c>
      <c r="J819" s="209" t="str">
        <f>IF(LEN($A819)&gt;0,IF(LEN(Declarations!$F819)&gt;0,Declarations!$F819,conftype),"")</f>
        <v/>
      </c>
      <c r="M819" s="297">
        <f>IF(ISNA(VLOOKUP($A819,SprintData,2,FALSE)),0,VLOOKUP($A819,SprintData,2,FALSE))</f>
        <v>0</v>
      </c>
      <c r="N819" s="297">
        <f>IF(ISNA(VLOOKUP($A819,JumpData,2,FALSE)),0,VLOOKUP($A819,JumpData,2,FALSE))</f>
        <v>0</v>
      </c>
      <c r="O819" s="297">
        <f>IF(ISNA(VLOOKUP($A819,RunData,2,FALSE)),0,VLOOKUP($A819,RunData,2,FALSE))</f>
        <v>0</v>
      </c>
      <c r="P819" s="297">
        <f>IF(ISNA(VLOOKUP($A819,ThrowData,2,FALSE)),0,VLOOKUP($A819,ThrowData,2,FALSE))</f>
        <v>0</v>
      </c>
      <c r="Q819" s="298">
        <f>IF(ISNA(VLOOKUP($A819,SprintData,4,FALSE)),0,VLOOKUP($A819,SprintData,4,FALSE))+V819</f>
        <v>0</v>
      </c>
      <c r="R819" s="298">
        <f>IF(ISNA(VLOOKUP($A819,JumpData,4,FALSE)),0,VLOOKUP($A819,JumpData,4,FALSE))+W819</f>
        <v>0</v>
      </c>
      <c r="S819" s="298">
        <f>IF(ISNA(VLOOKUP($A819,RunData,4,FALSE)),0,VLOOKUP($A819,RunData,4,FALSE))+X819</f>
        <v>0</v>
      </c>
      <c r="T819" s="298">
        <f>IF(ISNA(VLOOKUP($A819,ThrowData,4,FALSE)),0,VLOOKUP($A819,ThrowData,4,FALSE))+Y819</f>
        <v>0</v>
      </c>
      <c r="U819" s="299">
        <f t="shared" si="2"/>
        <v>0</v>
      </c>
      <c r="V819">
        <f>IF(AND($F819&gt;0,NOT(M819),Flexing),FlexPC,0)</f>
        <v>0</v>
      </c>
      <c r="W819">
        <f>IF(AND($F819&gt;0,NOT(N819),Flexing),FlexPC,0)</f>
        <v>0</v>
      </c>
      <c r="X819">
        <f>IF(AND($F819&gt;0,NOT(O819),Flexing),FlexPC,0)</f>
        <v>0</v>
      </c>
      <c r="Y819">
        <f>IF(AND($F819&gt;0,NOT(P819),Flexing),FlexPC,0)</f>
        <v>0</v>
      </c>
      <c r="AA819" s="209">
        <f t="shared" si="3"/>
        <v>818</v>
      </c>
    </row>
    <row r="820" ht="15.75" customHeight="1">
      <c r="A820" s="206" t="str">
        <f>+Declarations!A820&amp;""</f>
        <v/>
      </c>
      <c r="B820" t="str">
        <f>IF(LEN($A820),IF(LEN(Declarations!$B820)&gt;0,Declarations!$B820,"#"&amp;$A820),"")</f>
        <v/>
      </c>
      <c r="C820" s="209" t="str">
        <f t="array" ref="C820">IF(LEN(INDEX(DECLARATIONS,$AA820,3))&gt;0,INDEX(DECLARATIONS,$AA820,3),"...")</f>
        <v>...</v>
      </c>
      <c r="D820" s="209" t="str">
        <f t="shared" si="1"/>
        <v/>
      </c>
      <c r="E820" s="296" t="str">
        <f t="array" ref="E820">IF(ISNA($AA820),0,INDEX(DECLARATIONS,$AA820,5))</f>
        <v/>
      </c>
      <c r="F820" s="209" t="str">
        <f t="array" ref="F820">IF(ISNA($AA820),0,INDEX(DECLARATIONS,$AA820,7))</f>
        <v/>
      </c>
      <c r="G820" s="209" t="str">
        <f t="array" ref="G820">UPPER(IF(ISNA($AA820),"",INDEX(DECLARATIONS,$AA820,4)))</f>
        <v/>
      </c>
      <c r="H820" t="str">
        <f>IF(AND(A820&gt;0,ISTEXT(B820)),IF(SECNAME="YES",LEFT(B820&amp;" ",FIND(" ",B820&amp;" ")+2)&amp;IF(F820&gt;0," ("&amp;F820&amp;")",""),B820&amp;IF(F820&gt;0," ("&amp;F820&amp;")","")),"#"&amp;$A820)</f>
        <v/>
      </c>
      <c r="I820" s="209">
        <f>IF(LEN($A820)&gt;0,IF(LEN($J820)&gt;0,MATCH(J820,MatchNames,0),EventIndex),0)</f>
        <v>0</v>
      </c>
      <c r="J820" s="209" t="str">
        <f>IF(LEN($A820)&gt;0,IF(LEN(Declarations!$F820)&gt;0,Declarations!$F820,conftype),"")</f>
        <v/>
      </c>
      <c r="M820" s="297">
        <f>IF(ISNA(VLOOKUP($A820,SprintData,2,FALSE)),0,VLOOKUP($A820,SprintData,2,FALSE))</f>
        <v>0</v>
      </c>
      <c r="N820" s="297">
        <f>IF(ISNA(VLOOKUP($A820,JumpData,2,FALSE)),0,VLOOKUP($A820,JumpData,2,FALSE))</f>
        <v>0</v>
      </c>
      <c r="O820" s="297">
        <f>IF(ISNA(VLOOKUP($A820,RunData,2,FALSE)),0,VLOOKUP($A820,RunData,2,FALSE))</f>
        <v>0</v>
      </c>
      <c r="P820" s="297">
        <f>IF(ISNA(VLOOKUP($A820,ThrowData,2,FALSE)),0,VLOOKUP($A820,ThrowData,2,FALSE))</f>
        <v>0</v>
      </c>
      <c r="Q820" s="298">
        <f>IF(ISNA(VLOOKUP($A820,SprintData,4,FALSE)),0,VLOOKUP($A820,SprintData,4,FALSE))+V820</f>
        <v>0</v>
      </c>
      <c r="R820" s="298">
        <f>IF(ISNA(VLOOKUP($A820,JumpData,4,FALSE)),0,VLOOKUP($A820,JumpData,4,FALSE))+W820</f>
        <v>0</v>
      </c>
      <c r="S820" s="298">
        <f>IF(ISNA(VLOOKUP($A820,RunData,4,FALSE)),0,VLOOKUP($A820,RunData,4,FALSE))+X820</f>
        <v>0</v>
      </c>
      <c r="T820" s="298">
        <f>IF(ISNA(VLOOKUP($A820,ThrowData,4,FALSE)),0,VLOOKUP($A820,ThrowData,4,FALSE))+Y820</f>
        <v>0</v>
      </c>
      <c r="U820" s="299">
        <f t="shared" si="2"/>
        <v>0</v>
      </c>
      <c r="V820">
        <f>IF(AND($F820&gt;0,NOT(M820),Flexing),FlexPC,0)</f>
        <v>0</v>
      </c>
      <c r="W820">
        <f>IF(AND($F820&gt;0,NOT(N820),Flexing),FlexPC,0)</f>
        <v>0</v>
      </c>
      <c r="X820">
        <f>IF(AND($F820&gt;0,NOT(O820),Flexing),FlexPC,0)</f>
        <v>0</v>
      </c>
      <c r="Y820">
        <f>IF(AND($F820&gt;0,NOT(P820),Flexing),FlexPC,0)</f>
        <v>0</v>
      </c>
      <c r="AA820" s="209">
        <f t="shared" si="3"/>
        <v>819</v>
      </c>
    </row>
    <row r="821" ht="15.75" customHeight="1">
      <c r="A821" s="206" t="str">
        <f>+Declarations!A821&amp;""</f>
        <v/>
      </c>
      <c r="B821" t="str">
        <f>IF(LEN($A821),IF(LEN(Declarations!$B821)&gt;0,Declarations!$B821,"#"&amp;$A821),"")</f>
        <v/>
      </c>
      <c r="C821" s="209" t="str">
        <f t="array" ref="C821">IF(LEN(INDEX(DECLARATIONS,$AA821,3))&gt;0,INDEX(DECLARATIONS,$AA821,3),"...")</f>
        <v>...</v>
      </c>
      <c r="D821" s="209" t="str">
        <f t="shared" si="1"/>
        <v/>
      </c>
      <c r="E821" s="296" t="str">
        <f t="array" ref="E821">IF(ISNA($AA821),0,INDEX(DECLARATIONS,$AA821,5))</f>
        <v/>
      </c>
      <c r="F821" s="209" t="str">
        <f t="array" ref="F821">IF(ISNA($AA821),0,INDEX(DECLARATIONS,$AA821,7))</f>
        <v/>
      </c>
      <c r="G821" s="209" t="str">
        <f t="array" ref="G821">UPPER(IF(ISNA($AA821),"",INDEX(DECLARATIONS,$AA821,4)))</f>
        <v/>
      </c>
      <c r="H821" t="str">
        <f>IF(AND(A821&gt;0,ISTEXT(B821)),IF(SECNAME="YES",LEFT(B821&amp;" ",FIND(" ",B821&amp;" ")+2)&amp;IF(F821&gt;0," ("&amp;F821&amp;")",""),B821&amp;IF(F821&gt;0," ("&amp;F821&amp;")","")),"#"&amp;$A821)</f>
        <v/>
      </c>
      <c r="I821" s="209">
        <f>IF(LEN($A821)&gt;0,IF(LEN($J821)&gt;0,MATCH(J821,MatchNames,0),EventIndex),0)</f>
        <v>0</v>
      </c>
      <c r="J821" s="209" t="str">
        <f>IF(LEN($A821)&gt;0,IF(LEN(Declarations!$F821)&gt;0,Declarations!$F821,conftype),"")</f>
        <v/>
      </c>
      <c r="M821" s="297">
        <f>IF(ISNA(VLOOKUP($A821,SprintData,2,FALSE)),0,VLOOKUP($A821,SprintData,2,FALSE))</f>
        <v>0</v>
      </c>
      <c r="N821" s="297">
        <f>IF(ISNA(VLOOKUP($A821,JumpData,2,FALSE)),0,VLOOKUP($A821,JumpData,2,FALSE))</f>
        <v>0</v>
      </c>
      <c r="O821" s="297">
        <f>IF(ISNA(VLOOKUP($A821,RunData,2,FALSE)),0,VLOOKUP($A821,RunData,2,FALSE))</f>
        <v>0</v>
      </c>
      <c r="P821" s="297">
        <f>IF(ISNA(VLOOKUP($A821,ThrowData,2,FALSE)),0,VLOOKUP($A821,ThrowData,2,FALSE))</f>
        <v>0</v>
      </c>
      <c r="Q821" s="298">
        <f>IF(ISNA(VLOOKUP($A821,SprintData,4,FALSE)),0,VLOOKUP($A821,SprintData,4,FALSE))+V821</f>
        <v>0</v>
      </c>
      <c r="R821" s="298">
        <f>IF(ISNA(VLOOKUP($A821,JumpData,4,FALSE)),0,VLOOKUP($A821,JumpData,4,FALSE))+W821</f>
        <v>0</v>
      </c>
      <c r="S821" s="298">
        <f>IF(ISNA(VLOOKUP($A821,RunData,4,FALSE)),0,VLOOKUP($A821,RunData,4,FALSE))+X821</f>
        <v>0</v>
      </c>
      <c r="T821" s="298">
        <f>IF(ISNA(VLOOKUP($A821,ThrowData,4,FALSE)),0,VLOOKUP($A821,ThrowData,4,FALSE))+Y821</f>
        <v>0</v>
      </c>
      <c r="U821" s="299">
        <f t="shared" si="2"/>
        <v>0</v>
      </c>
      <c r="V821">
        <f>IF(AND($F821&gt;0,NOT(M821),Flexing),FlexPC,0)</f>
        <v>0</v>
      </c>
      <c r="W821">
        <f>IF(AND($F821&gt;0,NOT(N821),Flexing),FlexPC,0)</f>
        <v>0</v>
      </c>
      <c r="X821">
        <f>IF(AND($F821&gt;0,NOT(O821),Flexing),FlexPC,0)</f>
        <v>0</v>
      </c>
      <c r="Y821">
        <f>IF(AND($F821&gt;0,NOT(P821),Flexing),FlexPC,0)</f>
        <v>0</v>
      </c>
      <c r="AA821" s="209">
        <f t="shared" si="3"/>
        <v>820</v>
      </c>
    </row>
    <row r="822" ht="15.75" customHeight="1">
      <c r="A822" s="206" t="str">
        <f>+Declarations!A822&amp;""</f>
        <v/>
      </c>
      <c r="B822" t="str">
        <f>IF(LEN($A822),IF(LEN(Declarations!$B822)&gt;0,Declarations!$B822,"#"&amp;$A822),"")</f>
        <v/>
      </c>
      <c r="C822" s="209" t="str">
        <f t="array" ref="C822">IF(LEN(INDEX(DECLARATIONS,$AA822,3))&gt;0,INDEX(DECLARATIONS,$AA822,3),"...")</f>
        <v>...</v>
      </c>
      <c r="D822" s="209" t="str">
        <f t="shared" si="1"/>
        <v/>
      </c>
      <c r="E822" s="296" t="str">
        <f t="array" ref="E822">IF(ISNA($AA822),0,INDEX(DECLARATIONS,$AA822,5))</f>
        <v/>
      </c>
      <c r="F822" s="209" t="str">
        <f t="array" ref="F822">IF(ISNA($AA822),0,INDEX(DECLARATIONS,$AA822,7))</f>
        <v/>
      </c>
      <c r="G822" s="209" t="str">
        <f t="array" ref="G822">UPPER(IF(ISNA($AA822),"",INDEX(DECLARATIONS,$AA822,4)))</f>
        <v/>
      </c>
      <c r="H822" t="str">
        <f>IF(AND(A822&gt;0,ISTEXT(B822)),IF(SECNAME="YES",LEFT(B822&amp;" ",FIND(" ",B822&amp;" ")+2)&amp;IF(F822&gt;0," ("&amp;F822&amp;")",""),B822&amp;IF(F822&gt;0," ("&amp;F822&amp;")","")),"#"&amp;$A822)</f>
        <v/>
      </c>
      <c r="I822" s="209">
        <f>IF(LEN($A822)&gt;0,IF(LEN($J822)&gt;0,MATCH(J822,MatchNames,0),EventIndex),0)</f>
        <v>0</v>
      </c>
      <c r="J822" s="209" t="str">
        <f>IF(LEN($A822)&gt;0,IF(LEN(Declarations!$F822)&gt;0,Declarations!$F822,conftype),"")</f>
        <v/>
      </c>
      <c r="M822" s="297">
        <f>IF(ISNA(VLOOKUP($A822,SprintData,2,FALSE)),0,VLOOKUP($A822,SprintData,2,FALSE))</f>
        <v>0</v>
      </c>
      <c r="N822" s="297">
        <f>IF(ISNA(VLOOKUP($A822,JumpData,2,FALSE)),0,VLOOKUP($A822,JumpData,2,FALSE))</f>
        <v>0</v>
      </c>
      <c r="O822" s="297">
        <f>IF(ISNA(VLOOKUP($A822,RunData,2,FALSE)),0,VLOOKUP($A822,RunData,2,FALSE))</f>
        <v>0</v>
      </c>
      <c r="P822" s="297">
        <f>IF(ISNA(VLOOKUP($A822,ThrowData,2,FALSE)),0,VLOOKUP($A822,ThrowData,2,FALSE))</f>
        <v>0</v>
      </c>
      <c r="Q822" s="298">
        <f>IF(ISNA(VLOOKUP($A822,SprintData,4,FALSE)),0,VLOOKUP($A822,SprintData,4,FALSE))+V822</f>
        <v>0</v>
      </c>
      <c r="R822" s="298">
        <f>IF(ISNA(VLOOKUP($A822,JumpData,4,FALSE)),0,VLOOKUP($A822,JumpData,4,FALSE))+W822</f>
        <v>0</v>
      </c>
      <c r="S822" s="298">
        <f>IF(ISNA(VLOOKUP($A822,RunData,4,FALSE)),0,VLOOKUP($A822,RunData,4,FALSE))+X822</f>
        <v>0</v>
      </c>
      <c r="T822" s="298">
        <f>IF(ISNA(VLOOKUP($A822,ThrowData,4,FALSE)),0,VLOOKUP($A822,ThrowData,4,FALSE))+Y822</f>
        <v>0</v>
      </c>
      <c r="U822" s="299">
        <f t="shared" si="2"/>
        <v>0</v>
      </c>
      <c r="V822">
        <f>IF(AND($F822&gt;0,NOT(M822),Flexing),FlexPC,0)</f>
        <v>0</v>
      </c>
      <c r="W822">
        <f>IF(AND($F822&gt;0,NOT(N822),Flexing),FlexPC,0)</f>
        <v>0</v>
      </c>
      <c r="X822">
        <f>IF(AND($F822&gt;0,NOT(O822),Flexing),FlexPC,0)</f>
        <v>0</v>
      </c>
      <c r="Y822">
        <f>IF(AND($F822&gt;0,NOT(P822),Flexing),FlexPC,0)</f>
        <v>0</v>
      </c>
      <c r="AA822" s="209">
        <f t="shared" si="3"/>
        <v>821</v>
      </c>
    </row>
    <row r="823" ht="15.75" customHeight="1">
      <c r="A823" s="206" t="str">
        <f>+Declarations!A823&amp;""</f>
        <v/>
      </c>
      <c r="B823" t="str">
        <f>IF(LEN($A823),IF(LEN(Declarations!$B823)&gt;0,Declarations!$B823,"#"&amp;$A823),"")</f>
        <v/>
      </c>
      <c r="C823" s="209" t="str">
        <f t="array" ref="C823">IF(LEN(INDEX(DECLARATIONS,$AA823,3))&gt;0,INDEX(DECLARATIONS,$AA823,3),"...")</f>
        <v>...</v>
      </c>
      <c r="D823" s="209" t="str">
        <f t="shared" si="1"/>
        <v/>
      </c>
      <c r="E823" s="296" t="str">
        <f t="array" ref="E823">IF(ISNA($AA823),0,INDEX(DECLARATIONS,$AA823,5))</f>
        <v/>
      </c>
      <c r="F823" s="209" t="str">
        <f t="array" ref="F823">IF(ISNA($AA823),0,INDEX(DECLARATIONS,$AA823,7))</f>
        <v/>
      </c>
      <c r="G823" s="209" t="str">
        <f t="array" ref="G823">UPPER(IF(ISNA($AA823),"",INDEX(DECLARATIONS,$AA823,4)))</f>
        <v/>
      </c>
      <c r="H823" t="str">
        <f>IF(AND(A823&gt;0,ISTEXT(B823)),IF(SECNAME="YES",LEFT(B823&amp;" ",FIND(" ",B823&amp;" ")+2)&amp;IF(F823&gt;0," ("&amp;F823&amp;")",""),B823&amp;IF(F823&gt;0," ("&amp;F823&amp;")","")),"#"&amp;$A823)</f>
        <v/>
      </c>
      <c r="I823" s="209">
        <f>IF(LEN($A823)&gt;0,IF(LEN($J823)&gt;0,MATCH(J823,MatchNames,0),EventIndex),0)</f>
        <v>0</v>
      </c>
      <c r="J823" s="209" t="str">
        <f>IF(LEN($A823)&gt;0,IF(LEN(Declarations!$F823)&gt;0,Declarations!$F823,conftype),"")</f>
        <v/>
      </c>
      <c r="M823" s="297">
        <f>IF(ISNA(VLOOKUP($A823,SprintData,2,FALSE)),0,VLOOKUP($A823,SprintData,2,FALSE))</f>
        <v>0</v>
      </c>
      <c r="N823" s="297">
        <f>IF(ISNA(VLOOKUP($A823,JumpData,2,FALSE)),0,VLOOKUP($A823,JumpData,2,FALSE))</f>
        <v>0</v>
      </c>
      <c r="O823" s="297">
        <f>IF(ISNA(VLOOKUP($A823,RunData,2,FALSE)),0,VLOOKUP($A823,RunData,2,FALSE))</f>
        <v>0</v>
      </c>
      <c r="P823" s="297">
        <f>IF(ISNA(VLOOKUP($A823,ThrowData,2,FALSE)),0,VLOOKUP($A823,ThrowData,2,FALSE))</f>
        <v>0</v>
      </c>
      <c r="Q823" s="298">
        <f>IF(ISNA(VLOOKUP($A823,SprintData,4,FALSE)),0,VLOOKUP($A823,SprintData,4,FALSE))+V823</f>
        <v>0</v>
      </c>
      <c r="R823" s="298">
        <f>IF(ISNA(VLOOKUP($A823,JumpData,4,FALSE)),0,VLOOKUP($A823,JumpData,4,FALSE))+W823</f>
        <v>0</v>
      </c>
      <c r="S823" s="298">
        <f>IF(ISNA(VLOOKUP($A823,RunData,4,FALSE)),0,VLOOKUP($A823,RunData,4,FALSE))+X823</f>
        <v>0</v>
      </c>
      <c r="T823" s="298">
        <f>IF(ISNA(VLOOKUP($A823,ThrowData,4,FALSE)),0,VLOOKUP($A823,ThrowData,4,FALSE))+Y823</f>
        <v>0</v>
      </c>
      <c r="U823" s="299">
        <f t="shared" si="2"/>
        <v>0</v>
      </c>
      <c r="V823">
        <f>IF(AND($F823&gt;0,NOT(M823),Flexing),FlexPC,0)</f>
        <v>0</v>
      </c>
      <c r="W823">
        <f>IF(AND($F823&gt;0,NOT(N823),Flexing),FlexPC,0)</f>
        <v>0</v>
      </c>
      <c r="X823">
        <f>IF(AND($F823&gt;0,NOT(O823),Flexing),FlexPC,0)</f>
        <v>0</v>
      </c>
      <c r="Y823">
        <f>IF(AND($F823&gt;0,NOT(P823),Flexing),FlexPC,0)</f>
        <v>0</v>
      </c>
      <c r="AA823" s="209">
        <f t="shared" si="3"/>
        <v>822</v>
      </c>
    </row>
    <row r="824" ht="15.75" customHeight="1">
      <c r="A824" s="206" t="str">
        <f>+Declarations!A824&amp;""</f>
        <v/>
      </c>
      <c r="B824" t="str">
        <f>IF(LEN($A824),IF(LEN(Declarations!$B824)&gt;0,Declarations!$B824,"#"&amp;$A824),"")</f>
        <v/>
      </c>
      <c r="C824" s="209" t="str">
        <f t="array" ref="C824">IF(LEN(INDEX(DECLARATIONS,$AA824,3))&gt;0,INDEX(DECLARATIONS,$AA824,3),"...")</f>
        <v>...</v>
      </c>
      <c r="D824" s="209" t="str">
        <f t="shared" si="1"/>
        <v/>
      </c>
      <c r="E824" s="296" t="str">
        <f t="array" ref="E824">IF(ISNA($AA824),0,INDEX(DECLARATIONS,$AA824,5))</f>
        <v/>
      </c>
      <c r="F824" s="209" t="str">
        <f t="array" ref="F824">IF(ISNA($AA824),0,INDEX(DECLARATIONS,$AA824,7))</f>
        <v/>
      </c>
      <c r="G824" s="209" t="str">
        <f t="array" ref="G824">UPPER(IF(ISNA($AA824),"",INDEX(DECLARATIONS,$AA824,4)))</f>
        <v/>
      </c>
      <c r="H824" t="str">
        <f>IF(AND(A824&gt;0,ISTEXT(B824)),IF(SECNAME="YES",LEFT(B824&amp;" ",FIND(" ",B824&amp;" ")+2)&amp;IF(F824&gt;0," ("&amp;F824&amp;")",""),B824&amp;IF(F824&gt;0," ("&amp;F824&amp;")","")),"#"&amp;$A824)</f>
        <v/>
      </c>
      <c r="I824" s="209">
        <f>IF(LEN($A824)&gt;0,IF(LEN($J824)&gt;0,MATCH(J824,MatchNames,0),EventIndex),0)</f>
        <v>0</v>
      </c>
      <c r="J824" s="209" t="str">
        <f>IF(LEN($A824)&gt;0,IF(LEN(Declarations!$F824)&gt;0,Declarations!$F824,conftype),"")</f>
        <v/>
      </c>
      <c r="M824" s="297">
        <f>IF(ISNA(VLOOKUP($A824,SprintData,2,FALSE)),0,VLOOKUP($A824,SprintData,2,FALSE))</f>
        <v>0</v>
      </c>
      <c r="N824" s="297">
        <f>IF(ISNA(VLOOKUP($A824,JumpData,2,FALSE)),0,VLOOKUP($A824,JumpData,2,FALSE))</f>
        <v>0</v>
      </c>
      <c r="O824" s="297">
        <f>IF(ISNA(VLOOKUP($A824,RunData,2,FALSE)),0,VLOOKUP($A824,RunData,2,FALSE))</f>
        <v>0</v>
      </c>
      <c r="P824" s="297">
        <f>IF(ISNA(VLOOKUP($A824,ThrowData,2,FALSE)),0,VLOOKUP($A824,ThrowData,2,FALSE))</f>
        <v>0</v>
      </c>
      <c r="Q824" s="298">
        <f>IF(ISNA(VLOOKUP($A824,SprintData,4,FALSE)),0,VLOOKUP($A824,SprintData,4,FALSE))+V824</f>
        <v>0</v>
      </c>
      <c r="R824" s="298">
        <f>IF(ISNA(VLOOKUP($A824,JumpData,4,FALSE)),0,VLOOKUP($A824,JumpData,4,FALSE))+W824</f>
        <v>0</v>
      </c>
      <c r="S824" s="298">
        <f>IF(ISNA(VLOOKUP($A824,RunData,4,FALSE)),0,VLOOKUP($A824,RunData,4,FALSE))+X824</f>
        <v>0</v>
      </c>
      <c r="T824" s="298">
        <f>IF(ISNA(VLOOKUP($A824,ThrowData,4,FALSE)),0,VLOOKUP($A824,ThrowData,4,FALSE))+Y824</f>
        <v>0</v>
      </c>
      <c r="U824" s="299">
        <f t="shared" si="2"/>
        <v>0</v>
      </c>
      <c r="V824">
        <f>IF(AND($F824&gt;0,NOT(M824),Flexing),FlexPC,0)</f>
        <v>0</v>
      </c>
      <c r="W824">
        <f>IF(AND($F824&gt;0,NOT(N824),Flexing),FlexPC,0)</f>
        <v>0</v>
      </c>
      <c r="X824">
        <f>IF(AND($F824&gt;0,NOT(O824),Flexing),FlexPC,0)</f>
        <v>0</v>
      </c>
      <c r="Y824">
        <f>IF(AND($F824&gt;0,NOT(P824),Flexing),FlexPC,0)</f>
        <v>0</v>
      </c>
      <c r="AA824" s="209">
        <f t="shared" si="3"/>
        <v>823</v>
      </c>
    </row>
    <row r="825" ht="15.75" customHeight="1">
      <c r="A825" s="206" t="str">
        <f>+Declarations!A825&amp;""</f>
        <v/>
      </c>
      <c r="B825" t="str">
        <f>IF(LEN($A825),IF(LEN(Declarations!$B825)&gt;0,Declarations!$B825,"#"&amp;$A825),"")</f>
        <v/>
      </c>
      <c r="C825" s="209" t="str">
        <f t="array" ref="C825">IF(LEN(INDEX(DECLARATIONS,$AA825,3))&gt;0,INDEX(DECLARATIONS,$AA825,3),"...")</f>
        <v>...</v>
      </c>
      <c r="D825" s="209" t="str">
        <f t="shared" si="1"/>
        <v/>
      </c>
      <c r="E825" s="296" t="str">
        <f t="array" ref="E825">IF(ISNA($AA825),0,INDEX(DECLARATIONS,$AA825,5))</f>
        <v/>
      </c>
      <c r="F825" s="209" t="str">
        <f t="array" ref="F825">IF(ISNA($AA825),0,INDEX(DECLARATIONS,$AA825,7))</f>
        <v/>
      </c>
      <c r="G825" s="209" t="str">
        <f t="array" ref="G825">UPPER(IF(ISNA($AA825),"",INDEX(DECLARATIONS,$AA825,4)))</f>
        <v/>
      </c>
      <c r="H825" t="str">
        <f>IF(AND(A825&gt;0,ISTEXT(B825)),IF(SECNAME="YES",LEFT(B825&amp;" ",FIND(" ",B825&amp;" ")+2)&amp;IF(F825&gt;0," ("&amp;F825&amp;")",""),B825&amp;IF(F825&gt;0," ("&amp;F825&amp;")","")),"#"&amp;$A825)</f>
        <v/>
      </c>
      <c r="I825" s="209">
        <f>IF(LEN($A825)&gt;0,IF(LEN($J825)&gt;0,MATCH(J825,MatchNames,0),EventIndex),0)</f>
        <v>0</v>
      </c>
      <c r="J825" s="209" t="str">
        <f>IF(LEN($A825)&gt;0,IF(LEN(Declarations!$F825)&gt;0,Declarations!$F825,conftype),"")</f>
        <v/>
      </c>
      <c r="M825" s="297">
        <f>IF(ISNA(VLOOKUP($A825,SprintData,2,FALSE)),0,VLOOKUP($A825,SprintData,2,FALSE))</f>
        <v>0</v>
      </c>
      <c r="N825" s="297">
        <f>IF(ISNA(VLOOKUP($A825,JumpData,2,FALSE)),0,VLOOKUP($A825,JumpData,2,FALSE))</f>
        <v>0</v>
      </c>
      <c r="O825" s="297">
        <f>IF(ISNA(VLOOKUP($A825,RunData,2,FALSE)),0,VLOOKUP($A825,RunData,2,FALSE))</f>
        <v>0</v>
      </c>
      <c r="P825" s="297">
        <f>IF(ISNA(VLOOKUP($A825,ThrowData,2,FALSE)),0,VLOOKUP($A825,ThrowData,2,FALSE))</f>
        <v>0</v>
      </c>
      <c r="Q825" s="298">
        <f>IF(ISNA(VLOOKUP($A825,SprintData,4,FALSE)),0,VLOOKUP($A825,SprintData,4,FALSE))+V825</f>
        <v>0</v>
      </c>
      <c r="R825" s="298">
        <f>IF(ISNA(VLOOKUP($A825,JumpData,4,FALSE)),0,VLOOKUP($A825,JumpData,4,FALSE))+W825</f>
        <v>0</v>
      </c>
      <c r="S825" s="298">
        <f>IF(ISNA(VLOOKUP($A825,RunData,4,FALSE)),0,VLOOKUP($A825,RunData,4,FALSE))+X825</f>
        <v>0</v>
      </c>
      <c r="T825" s="298">
        <f>IF(ISNA(VLOOKUP($A825,ThrowData,4,FALSE)),0,VLOOKUP($A825,ThrowData,4,FALSE))+Y825</f>
        <v>0</v>
      </c>
      <c r="U825" s="299">
        <f t="shared" si="2"/>
        <v>0</v>
      </c>
      <c r="V825">
        <f>IF(AND($F825&gt;0,NOT(M825),Flexing),FlexPC,0)</f>
        <v>0</v>
      </c>
      <c r="W825">
        <f>IF(AND($F825&gt;0,NOT(N825),Flexing),FlexPC,0)</f>
        <v>0</v>
      </c>
      <c r="X825">
        <f>IF(AND($F825&gt;0,NOT(O825),Flexing),FlexPC,0)</f>
        <v>0</v>
      </c>
      <c r="Y825">
        <f>IF(AND($F825&gt;0,NOT(P825),Flexing),FlexPC,0)</f>
        <v>0</v>
      </c>
      <c r="AA825" s="209">
        <f t="shared" si="3"/>
        <v>824</v>
      </c>
    </row>
    <row r="826" ht="15.75" customHeight="1">
      <c r="A826" s="206" t="str">
        <f>+Declarations!A826&amp;""</f>
        <v/>
      </c>
      <c r="B826" t="str">
        <f>IF(LEN($A826),IF(LEN(Declarations!$B826)&gt;0,Declarations!$B826,"#"&amp;$A826),"")</f>
        <v/>
      </c>
      <c r="C826" s="209" t="str">
        <f t="array" ref="C826">IF(LEN(INDEX(DECLARATIONS,$AA826,3))&gt;0,INDEX(DECLARATIONS,$AA826,3),"...")</f>
        <v>...</v>
      </c>
      <c r="D826" s="209" t="str">
        <f t="shared" si="1"/>
        <v/>
      </c>
      <c r="E826" s="296" t="str">
        <f t="array" ref="E826">IF(ISNA($AA826),0,INDEX(DECLARATIONS,$AA826,5))</f>
        <v/>
      </c>
      <c r="F826" s="209" t="str">
        <f t="array" ref="F826">IF(ISNA($AA826),0,INDEX(DECLARATIONS,$AA826,7))</f>
        <v/>
      </c>
      <c r="G826" s="209" t="str">
        <f t="array" ref="G826">UPPER(IF(ISNA($AA826),"",INDEX(DECLARATIONS,$AA826,4)))</f>
        <v/>
      </c>
      <c r="H826" t="str">
        <f>IF(AND(A826&gt;0,ISTEXT(B826)),IF(SECNAME="YES",LEFT(B826&amp;" ",FIND(" ",B826&amp;" ")+2)&amp;IF(F826&gt;0," ("&amp;F826&amp;")",""),B826&amp;IF(F826&gt;0," ("&amp;F826&amp;")","")),"#"&amp;$A826)</f>
        <v/>
      </c>
      <c r="I826" s="209">
        <f>IF(LEN($A826)&gt;0,IF(LEN($J826)&gt;0,MATCH(J826,MatchNames,0),EventIndex),0)</f>
        <v>0</v>
      </c>
      <c r="J826" s="209" t="str">
        <f>IF(LEN($A826)&gt;0,IF(LEN(Declarations!$F826)&gt;0,Declarations!$F826,conftype),"")</f>
        <v/>
      </c>
      <c r="M826" s="297">
        <f>IF(ISNA(VLOOKUP($A826,SprintData,2,FALSE)),0,VLOOKUP($A826,SprintData,2,FALSE))</f>
        <v>0</v>
      </c>
      <c r="N826" s="297">
        <f>IF(ISNA(VLOOKUP($A826,JumpData,2,FALSE)),0,VLOOKUP($A826,JumpData,2,FALSE))</f>
        <v>0</v>
      </c>
      <c r="O826" s="297">
        <f>IF(ISNA(VLOOKUP($A826,RunData,2,FALSE)),0,VLOOKUP($A826,RunData,2,FALSE))</f>
        <v>0</v>
      </c>
      <c r="P826" s="297">
        <f>IF(ISNA(VLOOKUP($A826,ThrowData,2,FALSE)),0,VLOOKUP($A826,ThrowData,2,FALSE))</f>
        <v>0</v>
      </c>
      <c r="Q826" s="298">
        <f>IF(ISNA(VLOOKUP($A826,SprintData,4,FALSE)),0,VLOOKUP($A826,SprintData,4,FALSE))+V826</f>
        <v>0</v>
      </c>
      <c r="R826" s="298">
        <f>IF(ISNA(VLOOKUP($A826,JumpData,4,FALSE)),0,VLOOKUP($A826,JumpData,4,FALSE))+W826</f>
        <v>0</v>
      </c>
      <c r="S826" s="298">
        <f>IF(ISNA(VLOOKUP($A826,RunData,4,FALSE)),0,VLOOKUP($A826,RunData,4,FALSE))+X826</f>
        <v>0</v>
      </c>
      <c r="T826" s="298">
        <f>IF(ISNA(VLOOKUP($A826,ThrowData,4,FALSE)),0,VLOOKUP($A826,ThrowData,4,FALSE))+Y826</f>
        <v>0</v>
      </c>
      <c r="U826" s="299">
        <f t="shared" si="2"/>
        <v>0</v>
      </c>
      <c r="V826">
        <f>IF(AND($F826&gt;0,NOT(M826),Flexing),FlexPC,0)</f>
        <v>0</v>
      </c>
      <c r="W826">
        <f>IF(AND($F826&gt;0,NOT(N826),Flexing),FlexPC,0)</f>
        <v>0</v>
      </c>
      <c r="X826">
        <f>IF(AND($F826&gt;0,NOT(O826),Flexing),FlexPC,0)</f>
        <v>0</v>
      </c>
      <c r="Y826">
        <f>IF(AND($F826&gt;0,NOT(P826),Flexing),FlexPC,0)</f>
        <v>0</v>
      </c>
      <c r="AA826" s="209">
        <f t="shared" si="3"/>
        <v>825</v>
      </c>
    </row>
    <row r="827" ht="15.75" customHeight="1">
      <c r="A827" s="206" t="str">
        <f>+Declarations!A827&amp;""</f>
        <v/>
      </c>
      <c r="B827" t="str">
        <f>IF(LEN($A827),IF(LEN(Declarations!$B827)&gt;0,Declarations!$B827,"#"&amp;$A827),"")</f>
        <v/>
      </c>
      <c r="C827" s="209" t="str">
        <f t="array" ref="C827">IF(LEN(INDEX(DECLARATIONS,$AA827,3))&gt;0,INDEX(DECLARATIONS,$AA827,3),"...")</f>
        <v>...</v>
      </c>
      <c r="D827" s="209" t="str">
        <f t="shared" si="1"/>
        <v/>
      </c>
      <c r="E827" s="296" t="str">
        <f t="array" ref="E827">IF(ISNA($AA827),0,INDEX(DECLARATIONS,$AA827,5))</f>
        <v/>
      </c>
      <c r="F827" s="209" t="str">
        <f t="array" ref="F827">IF(ISNA($AA827),0,INDEX(DECLARATIONS,$AA827,7))</f>
        <v/>
      </c>
      <c r="G827" s="209" t="str">
        <f t="array" ref="G827">UPPER(IF(ISNA($AA827),"",INDEX(DECLARATIONS,$AA827,4)))</f>
        <v/>
      </c>
      <c r="H827" t="str">
        <f>IF(AND(A827&gt;0,ISTEXT(B827)),IF(SECNAME="YES",LEFT(B827&amp;" ",FIND(" ",B827&amp;" ")+2)&amp;IF(F827&gt;0," ("&amp;F827&amp;")",""),B827&amp;IF(F827&gt;0," ("&amp;F827&amp;")","")),"#"&amp;$A827)</f>
        <v/>
      </c>
      <c r="I827" s="209">
        <f>IF(LEN($A827)&gt;0,IF(LEN($J827)&gt;0,MATCH(J827,MatchNames,0),EventIndex),0)</f>
        <v>0</v>
      </c>
      <c r="J827" s="209" t="str">
        <f>IF(LEN($A827)&gt;0,IF(LEN(Declarations!$F827)&gt;0,Declarations!$F827,conftype),"")</f>
        <v/>
      </c>
      <c r="M827" s="297">
        <f>IF(ISNA(VLOOKUP($A827,SprintData,2,FALSE)),0,VLOOKUP($A827,SprintData,2,FALSE))</f>
        <v>0</v>
      </c>
      <c r="N827" s="297">
        <f>IF(ISNA(VLOOKUP($A827,JumpData,2,FALSE)),0,VLOOKUP($A827,JumpData,2,FALSE))</f>
        <v>0</v>
      </c>
      <c r="O827" s="297">
        <f>IF(ISNA(VLOOKUP($A827,RunData,2,FALSE)),0,VLOOKUP($A827,RunData,2,FALSE))</f>
        <v>0</v>
      </c>
      <c r="P827" s="297">
        <f>IF(ISNA(VLOOKUP($A827,ThrowData,2,FALSE)),0,VLOOKUP($A827,ThrowData,2,FALSE))</f>
        <v>0</v>
      </c>
      <c r="Q827" s="298">
        <f>IF(ISNA(VLOOKUP($A827,SprintData,4,FALSE)),0,VLOOKUP($A827,SprintData,4,FALSE))+V827</f>
        <v>0</v>
      </c>
      <c r="R827" s="298">
        <f>IF(ISNA(VLOOKUP($A827,JumpData,4,FALSE)),0,VLOOKUP($A827,JumpData,4,FALSE))+W827</f>
        <v>0</v>
      </c>
      <c r="S827" s="298">
        <f>IF(ISNA(VLOOKUP($A827,RunData,4,FALSE)),0,VLOOKUP($A827,RunData,4,FALSE))+X827</f>
        <v>0</v>
      </c>
      <c r="T827" s="298">
        <f>IF(ISNA(VLOOKUP($A827,ThrowData,4,FALSE)),0,VLOOKUP($A827,ThrowData,4,FALSE))+Y827</f>
        <v>0</v>
      </c>
      <c r="U827" s="299">
        <f t="shared" si="2"/>
        <v>0</v>
      </c>
      <c r="V827">
        <f>IF(AND($F827&gt;0,NOT(M827),Flexing),FlexPC,0)</f>
        <v>0</v>
      </c>
      <c r="W827">
        <f>IF(AND($F827&gt;0,NOT(N827),Flexing),FlexPC,0)</f>
        <v>0</v>
      </c>
      <c r="X827">
        <f>IF(AND($F827&gt;0,NOT(O827),Flexing),FlexPC,0)</f>
        <v>0</v>
      </c>
      <c r="Y827">
        <f>IF(AND($F827&gt;0,NOT(P827),Flexing),FlexPC,0)</f>
        <v>0</v>
      </c>
      <c r="AA827" s="209">
        <f t="shared" si="3"/>
        <v>826</v>
      </c>
    </row>
    <row r="828" ht="15.75" customHeight="1">
      <c r="A828" s="206" t="str">
        <f>+Declarations!A828&amp;""</f>
        <v/>
      </c>
      <c r="B828" t="str">
        <f>IF(LEN($A828),IF(LEN(Declarations!$B828)&gt;0,Declarations!$B828,"#"&amp;$A828),"")</f>
        <v/>
      </c>
      <c r="C828" s="209" t="str">
        <f t="array" ref="C828">IF(LEN(INDEX(DECLARATIONS,$AA828,3))&gt;0,INDEX(DECLARATIONS,$AA828,3),"...")</f>
        <v>...</v>
      </c>
      <c r="D828" s="209" t="str">
        <f t="shared" si="1"/>
        <v/>
      </c>
      <c r="E828" s="296" t="str">
        <f t="array" ref="E828">IF(ISNA($AA828),0,INDEX(DECLARATIONS,$AA828,5))</f>
        <v/>
      </c>
      <c r="F828" s="209" t="str">
        <f t="array" ref="F828">IF(ISNA($AA828),0,INDEX(DECLARATIONS,$AA828,7))</f>
        <v/>
      </c>
      <c r="G828" s="209" t="str">
        <f t="array" ref="G828">UPPER(IF(ISNA($AA828),"",INDEX(DECLARATIONS,$AA828,4)))</f>
        <v/>
      </c>
      <c r="H828" t="str">
        <f>IF(AND(A828&gt;0,ISTEXT(B828)),IF(SECNAME="YES",LEFT(B828&amp;" ",FIND(" ",B828&amp;" ")+2)&amp;IF(F828&gt;0," ("&amp;F828&amp;")",""),B828&amp;IF(F828&gt;0," ("&amp;F828&amp;")","")),"#"&amp;$A828)</f>
        <v/>
      </c>
      <c r="I828" s="209">
        <f>IF(LEN($A828)&gt;0,IF(LEN($J828)&gt;0,MATCH(J828,MatchNames,0),EventIndex),0)</f>
        <v>0</v>
      </c>
      <c r="J828" s="209" t="str">
        <f>IF(LEN($A828)&gt;0,IF(LEN(Declarations!$F828)&gt;0,Declarations!$F828,conftype),"")</f>
        <v/>
      </c>
      <c r="M828" s="297">
        <f>IF(ISNA(VLOOKUP($A828,SprintData,2,FALSE)),0,VLOOKUP($A828,SprintData,2,FALSE))</f>
        <v>0</v>
      </c>
      <c r="N828" s="297">
        <f>IF(ISNA(VLOOKUP($A828,JumpData,2,FALSE)),0,VLOOKUP($A828,JumpData,2,FALSE))</f>
        <v>0</v>
      </c>
      <c r="O828" s="297">
        <f>IF(ISNA(VLOOKUP($A828,RunData,2,FALSE)),0,VLOOKUP($A828,RunData,2,FALSE))</f>
        <v>0</v>
      </c>
      <c r="P828" s="297">
        <f>IF(ISNA(VLOOKUP($A828,ThrowData,2,FALSE)),0,VLOOKUP($A828,ThrowData,2,FALSE))</f>
        <v>0</v>
      </c>
      <c r="Q828" s="298">
        <f>IF(ISNA(VLOOKUP($A828,SprintData,4,FALSE)),0,VLOOKUP($A828,SprintData,4,FALSE))+V828</f>
        <v>0</v>
      </c>
      <c r="R828" s="298">
        <f>IF(ISNA(VLOOKUP($A828,JumpData,4,FALSE)),0,VLOOKUP($A828,JumpData,4,FALSE))+W828</f>
        <v>0</v>
      </c>
      <c r="S828" s="298">
        <f>IF(ISNA(VLOOKUP($A828,RunData,4,FALSE)),0,VLOOKUP($A828,RunData,4,FALSE))+X828</f>
        <v>0</v>
      </c>
      <c r="T828" s="298">
        <f>IF(ISNA(VLOOKUP($A828,ThrowData,4,FALSE)),0,VLOOKUP($A828,ThrowData,4,FALSE))+Y828</f>
        <v>0</v>
      </c>
      <c r="U828" s="299">
        <f t="shared" si="2"/>
        <v>0</v>
      </c>
      <c r="V828">
        <f>IF(AND($F828&gt;0,NOT(M828),Flexing),FlexPC,0)</f>
        <v>0</v>
      </c>
      <c r="W828">
        <f>IF(AND($F828&gt;0,NOT(N828),Flexing),FlexPC,0)</f>
        <v>0</v>
      </c>
      <c r="X828">
        <f>IF(AND($F828&gt;0,NOT(O828),Flexing),FlexPC,0)</f>
        <v>0</v>
      </c>
      <c r="Y828">
        <f>IF(AND($F828&gt;0,NOT(P828),Flexing),FlexPC,0)</f>
        <v>0</v>
      </c>
      <c r="AA828" s="209">
        <f t="shared" si="3"/>
        <v>827</v>
      </c>
    </row>
    <row r="829" ht="15.75" customHeight="1">
      <c r="A829" s="206" t="str">
        <f>+Declarations!A829&amp;""</f>
        <v/>
      </c>
      <c r="B829" t="str">
        <f>IF(LEN($A829),IF(LEN(Declarations!$B829)&gt;0,Declarations!$B829,"#"&amp;$A829),"")</f>
        <v/>
      </c>
      <c r="C829" s="209" t="str">
        <f t="array" ref="C829">IF(LEN(INDEX(DECLARATIONS,$AA829,3))&gt;0,INDEX(DECLARATIONS,$AA829,3),"...")</f>
        <v>...</v>
      </c>
      <c r="D829" s="209" t="str">
        <f t="shared" si="1"/>
        <v/>
      </c>
      <c r="E829" s="296" t="str">
        <f t="array" ref="E829">IF(ISNA($AA829),0,INDEX(DECLARATIONS,$AA829,5))</f>
        <v/>
      </c>
      <c r="F829" s="209" t="str">
        <f t="array" ref="F829">IF(ISNA($AA829),0,INDEX(DECLARATIONS,$AA829,7))</f>
        <v/>
      </c>
      <c r="G829" s="209" t="str">
        <f t="array" ref="G829">UPPER(IF(ISNA($AA829),"",INDEX(DECLARATIONS,$AA829,4)))</f>
        <v/>
      </c>
      <c r="H829" t="str">
        <f>IF(AND(A829&gt;0,ISTEXT(B829)),IF(SECNAME="YES",LEFT(B829&amp;" ",FIND(" ",B829&amp;" ")+2)&amp;IF(F829&gt;0," ("&amp;F829&amp;")",""),B829&amp;IF(F829&gt;0," ("&amp;F829&amp;")","")),"#"&amp;$A829)</f>
        <v/>
      </c>
      <c r="I829" s="209">
        <f>IF(LEN($A829)&gt;0,IF(LEN($J829)&gt;0,MATCH(J829,MatchNames,0),EventIndex),0)</f>
        <v>0</v>
      </c>
      <c r="J829" s="209" t="str">
        <f>IF(LEN($A829)&gt;0,IF(LEN(Declarations!$F829)&gt;0,Declarations!$F829,conftype),"")</f>
        <v/>
      </c>
      <c r="M829" s="297">
        <f>IF(ISNA(VLOOKUP($A829,SprintData,2,FALSE)),0,VLOOKUP($A829,SprintData,2,FALSE))</f>
        <v>0</v>
      </c>
      <c r="N829" s="297">
        <f>IF(ISNA(VLOOKUP($A829,JumpData,2,FALSE)),0,VLOOKUP($A829,JumpData,2,FALSE))</f>
        <v>0</v>
      </c>
      <c r="O829" s="297">
        <f>IF(ISNA(VLOOKUP($A829,RunData,2,FALSE)),0,VLOOKUP($A829,RunData,2,FALSE))</f>
        <v>0</v>
      </c>
      <c r="P829" s="297">
        <f>IF(ISNA(VLOOKUP($A829,ThrowData,2,FALSE)),0,VLOOKUP($A829,ThrowData,2,FALSE))</f>
        <v>0</v>
      </c>
      <c r="Q829" s="298">
        <f>IF(ISNA(VLOOKUP($A829,SprintData,4,FALSE)),0,VLOOKUP($A829,SprintData,4,FALSE))+V829</f>
        <v>0</v>
      </c>
      <c r="R829" s="298">
        <f>IF(ISNA(VLOOKUP($A829,JumpData,4,FALSE)),0,VLOOKUP($A829,JumpData,4,FALSE))+W829</f>
        <v>0</v>
      </c>
      <c r="S829" s="298">
        <f>IF(ISNA(VLOOKUP($A829,RunData,4,FALSE)),0,VLOOKUP($A829,RunData,4,FALSE))+X829</f>
        <v>0</v>
      </c>
      <c r="T829" s="298">
        <f>IF(ISNA(VLOOKUP($A829,ThrowData,4,FALSE)),0,VLOOKUP($A829,ThrowData,4,FALSE))+Y829</f>
        <v>0</v>
      </c>
      <c r="U829" s="299">
        <f t="shared" si="2"/>
        <v>0</v>
      </c>
      <c r="V829">
        <f>IF(AND($F829&gt;0,NOT(M829),Flexing),FlexPC,0)</f>
        <v>0</v>
      </c>
      <c r="W829">
        <f>IF(AND($F829&gt;0,NOT(N829),Flexing),FlexPC,0)</f>
        <v>0</v>
      </c>
      <c r="X829">
        <f>IF(AND($F829&gt;0,NOT(O829),Flexing),FlexPC,0)</f>
        <v>0</v>
      </c>
      <c r="Y829">
        <f>IF(AND($F829&gt;0,NOT(P829),Flexing),FlexPC,0)</f>
        <v>0</v>
      </c>
      <c r="AA829" s="209">
        <f t="shared" si="3"/>
        <v>828</v>
      </c>
    </row>
    <row r="830" ht="15.75" customHeight="1">
      <c r="A830" s="206" t="str">
        <f>+Declarations!A830&amp;""</f>
        <v/>
      </c>
      <c r="B830" t="str">
        <f>IF(LEN($A830),IF(LEN(Declarations!$B830)&gt;0,Declarations!$B830,"#"&amp;$A830),"")</f>
        <v/>
      </c>
      <c r="C830" s="209" t="str">
        <f t="array" ref="C830">IF(LEN(INDEX(DECLARATIONS,$AA830,3))&gt;0,INDEX(DECLARATIONS,$AA830,3),"...")</f>
        <v>...</v>
      </c>
      <c r="D830" s="209" t="str">
        <f t="shared" si="1"/>
        <v/>
      </c>
      <c r="E830" s="296" t="str">
        <f t="array" ref="E830">IF(ISNA($AA830),0,INDEX(DECLARATIONS,$AA830,5))</f>
        <v/>
      </c>
      <c r="F830" s="209" t="str">
        <f t="array" ref="F830">IF(ISNA($AA830),0,INDEX(DECLARATIONS,$AA830,7))</f>
        <v/>
      </c>
      <c r="G830" s="209" t="str">
        <f t="array" ref="G830">UPPER(IF(ISNA($AA830),"",INDEX(DECLARATIONS,$AA830,4)))</f>
        <v/>
      </c>
      <c r="H830" t="str">
        <f>IF(AND(A830&gt;0,ISTEXT(B830)),IF(SECNAME="YES",LEFT(B830&amp;" ",FIND(" ",B830&amp;" ")+2)&amp;IF(F830&gt;0," ("&amp;F830&amp;")",""),B830&amp;IF(F830&gt;0," ("&amp;F830&amp;")","")),"#"&amp;$A830)</f>
        <v/>
      </c>
      <c r="I830" s="209">
        <f>IF(LEN($A830)&gt;0,IF(LEN($J830)&gt;0,MATCH(J830,MatchNames,0),EventIndex),0)</f>
        <v>0</v>
      </c>
      <c r="J830" s="209" t="str">
        <f>IF(LEN($A830)&gt;0,IF(LEN(Declarations!$F830)&gt;0,Declarations!$F830,conftype),"")</f>
        <v/>
      </c>
      <c r="M830" s="297">
        <f>IF(ISNA(VLOOKUP($A830,SprintData,2,FALSE)),0,VLOOKUP($A830,SprintData,2,FALSE))</f>
        <v>0</v>
      </c>
      <c r="N830" s="297">
        <f>IF(ISNA(VLOOKUP($A830,JumpData,2,FALSE)),0,VLOOKUP($A830,JumpData,2,FALSE))</f>
        <v>0</v>
      </c>
      <c r="O830" s="297">
        <f>IF(ISNA(VLOOKUP($A830,RunData,2,FALSE)),0,VLOOKUP($A830,RunData,2,FALSE))</f>
        <v>0</v>
      </c>
      <c r="P830" s="297">
        <f>IF(ISNA(VLOOKUP($A830,ThrowData,2,FALSE)),0,VLOOKUP($A830,ThrowData,2,FALSE))</f>
        <v>0</v>
      </c>
      <c r="Q830" s="298">
        <f>IF(ISNA(VLOOKUP($A830,SprintData,4,FALSE)),0,VLOOKUP($A830,SprintData,4,FALSE))+V830</f>
        <v>0</v>
      </c>
      <c r="R830" s="298">
        <f>IF(ISNA(VLOOKUP($A830,JumpData,4,FALSE)),0,VLOOKUP($A830,JumpData,4,FALSE))+W830</f>
        <v>0</v>
      </c>
      <c r="S830" s="298">
        <f>IF(ISNA(VLOOKUP($A830,RunData,4,FALSE)),0,VLOOKUP($A830,RunData,4,FALSE))+X830</f>
        <v>0</v>
      </c>
      <c r="T830" s="298">
        <f>IF(ISNA(VLOOKUP($A830,ThrowData,4,FALSE)),0,VLOOKUP($A830,ThrowData,4,FALSE))+Y830</f>
        <v>0</v>
      </c>
      <c r="U830" s="299">
        <f t="shared" si="2"/>
        <v>0</v>
      </c>
      <c r="V830">
        <f>IF(AND($F830&gt;0,NOT(M830),Flexing),FlexPC,0)</f>
        <v>0</v>
      </c>
      <c r="W830">
        <f>IF(AND($F830&gt;0,NOT(N830),Flexing),FlexPC,0)</f>
        <v>0</v>
      </c>
      <c r="X830">
        <f>IF(AND($F830&gt;0,NOT(O830),Flexing),FlexPC,0)</f>
        <v>0</v>
      </c>
      <c r="Y830">
        <f>IF(AND($F830&gt;0,NOT(P830),Flexing),FlexPC,0)</f>
        <v>0</v>
      </c>
      <c r="AA830" s="209">
        <f t="shared" si="3"/>
        <v>829</v>
      </c>
    </row>
    <row r="831" ht="15.75" customHeight="1">
      <c r="A831" s="206" t="str">
        <f>+Declarations!A831&amp;""</f>
        <v/>
      </c>
      <c r="B831" t="str">
        <f>IF(LEN($A831),IF(LEN(Declarations!$B831)&gt;0,Declarations!$B831,"#"&amp;$A831),"")</f>
        <v/>
      </c>
      <c r="C831" s="209" t="str">
        <f t="array" ref="C831">IF(LEN(INDEX(DECLARATIONS,$AA831,3))&gt;0,INDEX(DECLARATIONS,$AA831,3),"...")</f>
        <v>...</v>
      </c>
      <c r="D831" s="209" t="str">
        <f t="shared" si="1"/>
        <v/>
      </c>
      <c r="E831" s="296" t="str">
        <f t="array" ref="E831">IF(ISNA($AA831),0,INDEX(DECLARATIONS,$AA831,5))</f>
        <v/>
      </c>
      <c r="F831" s="209" t="str">
        <f t="array" ref="F831">IF(ISNA($AA831),0,INDEX(DECLARATIONS,$AA831,7))</f>
        <v/>
      </c>
      <c r="G831" s="209" t="str">
        <f t="array" ref="G831">UPPER(IF(ISNA($AA831),"",INDEX(DECLARATIONS,$AA831,4)))</f>
        <v/>
      </c>
      <c r="H831" t="str">
        <f>IF(AND(A831&gt;0,ISTEXT(B831)),IF(SECNAME="YES",LEFT(B831&amp;" ",FIND(" ",B831&amp;" ")+2)&amp;IF(F831&gt;0," ("&amp;F831&amp;")",""),B831&amp;IF(F831&gt;0," ("&amp;F831&amp;")","")),"#"&amp;$A831)</f>
        <v/>
      </c>
      <c r="I831" s="209">
        <f>IF(LEN($A831)&gt;0,IF(LEN($J831)&gt;0,MATCH(J831,MatchNames,0),EventIndex),0)</f>
        <v>0</v>
      </c>
      <c r="J831" s="209" t="str">
        <f>IF(LEN($A831)&gt;0,IF(LEN(Declarations!$F831)&gt;0,Declarations!$F831,conftype),"")</f>
        <v/>
      </c>
      <c r="M831" s="297">
        <f>IF(ISNA(VLOOKUP($A831,SprintData,2,FALSE)),0,VLOOKUP($A831,SprintData,2,FALSE))</f>
        <v>0</v>
      </c>
      <c r="N831" s="297">
        <f>IF(ISNA(VLOOKUP($A831,JumpData,2,FALSE)),0,VLOOKUP($A831,JumpData,2,FALSE))</f>
        <v>0</v>
      </c>
      <c r="O831" s="297">
        <f>IF(ISNA(VLOOKUP($A831,RunData,2,FALSE)),0,VLOOKUP($A831,RunData,2,FALSE))</f>
        <v>0</v>
      </c>
      <c r="P831" s="297">
        <f>IF(ISNA(VLOOKUP($A831,ThrowData,2,FALSE)),0,VLOOKUP($A831,ThrowData,2,FALSE))</f>
        <v>0</v>
      </c>
      <c r="Q831" s="298">
        <f>IF(ISNA(VLOOKUP($A831,SprintData,4,FALSE)),0,VLOOKUP($A831,SprintData,4,FALSE))+V831</f>
        <v>0</v>
      </c>
      <c r="R831" s="298">
        <f>IF(ISNA(VLOOKUP($A831,JumpData,4,FALSE)),0,VLOOKUP($A831,JumpData,4,FALSE))+W831</f>
        <v>0</v>
      </c>
      <c r="S831" s="298">
        <f>IF(ISNA(VLOOKUP($A831,RunData,4,FALSE)),0,VLOOKUP($A831,RunData,4,FALSE))+X831</f>
        <v>0</v>
      </c>
      <c r="T831" s="298">
        <f>IF(ISNA(VLOOKUP($A831,ThrowData,4,FALSE)),0,VLOOKUP($A831,ThrowData,4,FALSE))+Y831</f>
        <v>0</v>
      </c>
      <c r="U831" s="299">
        <f t="shared" si="2"/>
        <v>0</v>
      </c>
      <c r="V831">
        <f>IF(AND($F831&gt;0,NOT(M831),Flexing),FlexPC,0)</f>
        <v>0</v>
      </c>
      <c r="W831">
        <f>IF(AND($F831&gt;0,NOT(N831),Flexing),FlexPC,0)</f>
        <v>0</v>
      </c>
      <c r="X831">
        <f>IF(AND($F831&gt;0,NOT(O831),Flexing),FlexPC,0)</f>
        <v>0</v>
      </c>
      <c r="Y831">
        <f>IF(AND($F831&gt;0,NOT(P831),Flexing),FlexPC,0)</f>
        <v>0</v>
      </c>
      <c r="AA831" s="209">
        <f t="shared" si="3"/>
        <v>830</v>
      </c>
    </row>
    <row r="832" ht="15.75" customHeight="1">
      <c r="A832" s="206" t="str">
        <f>+Declarations!A832&amp;""</f>
        <v/>
      </c>
      <c r="B832" t="str">
        <f>IF(LEN($A832),IF(LEN(Declarations!$B832)&gt;0,Declarations!$B832,"#"&amp;$A832),"")</f>
        <v/>
      </c>
      <c r="C832" s="209" t="str">
        <f t="array" ref="C832">IF(LEN(INDEX(DECLARATIONS,$AA832,3))&gt;0,INDEX(DECLARATIONS,$AA832,3),"...")</f>
        <v>...</v>
      </c>
      <c r="D832" s="209" t="str">
        <f t="shared" si="1"/>
        <v/>
      </c>
      <c r="E832" s="296" t="str">
        <f t="array" ref="E832">IF(ISNA($AA832),0,INDEX(DECLARATIONS,$AA832,5))</f>
        <v/>
      </c>
      <c r="F832" s="209" t="str">
        <f t="array" ref="F832">IF(ISNA($AA832),0,INDEX(DECLARATIONS,$AA832,7))</f>
        <v/>
      </c>
      <c r="G832" s="209" t="str">
        <f t="array" ref="G832">UPPER(IF(ISNA($AA832),"",INDEX(DECLARATIONS,$AA832,4)))</f>
        <v/>
      </c>
      <c r="H832" t="str">
        <f>IF(AND(A832&gt;0,ISTEXT(B832)),IF(SECNAME="YES",LEFT(B832&amp;" ",FIND(" ",B832&amp;" ")+2)&amp;IF(F832&gt;0," ("&amp;F832&amp;")",""),B832&amp;IF(F832&gt;0," ("&amp;F832&amp;")","")),"#"&amp;$A832)</f>
        <v/>
      </c>
      <c r="I832" s="209">
        <f>IF(LEN($A832)&gt;0,IF(LEN($J832)&gt;0,MATCH(J832,MatchNames,0),EventIndex),0)</f>
        <v>0</v>
      </c>
      <c r="J832" s="209" t="str">
        <f>IF(LEN($A832)&gt;0,IF(LEN(Declarations!$F832)&gt;0,Declarations!$F832,conftype),"")</f>
        <v/>
      </c>
      <c r="M832" s="297">
        <f>IF(ISNA(VLOOKUP($A832,SprintData,2,FALSE)),0,VLOOKUP($A832,SprintData,2,FALSE))</f>
        <v>0</v>
      </c>
      <c r="N832" s="297">
        <f>IF(ISNA(VLOOKUP($A832,JumpData,2,FALSE)),0,VLOOKUP($A832,JumpData,2,FALSE))</f>
        <v>0</v>
      </c>
      <c r="O832" s="297">
        <f>IF(ISNA(VLOOKUP($A832,RunData,2,FALSE)),0,VLOOKUP($A832,RunData,2,FALSE))</f>
        <v>0</v>
      </c>
      <c r="P832" s="297">
        <f>IF(ISNA(VLOOKUP($A832,ThrowData,2,FALSE)),0,VLOOKUP($A832,ThrowData,2,FALSE))</f>
        <v>0</v>
      </c>
      <c r="Q832" s="298">
        <f>IF(ISNA(VLOOKUP($A832,SprintData,4,FALSE)),0,VLOOKUP($A832,SprintData,4,FALSE))+V832</f>
        <v>0</v>
      </c>
      <c r="R832" s="298">
        <f>IF(ISNA(VLOOKUP($A832,JumpData,4,FALSE)),0,VLOOKUP($A832,JumpData,4,FALSE))+W832</f>
        <v>0</v>
      </c>
      <c r="S832" s="298">
        <f>IF(ISNA(VLOOKUP($A832,RunData,4,FALSE)),0,VLOOKUP($A832,RunData,4,FALSE))+X832</f>
        <v>0</v>
      </c>
      <c r="T832" s="298">
        <f>IF(ISNA(VLOOKUP($A832,ThrowData,4,FALSE)),0,VLOOKUP($A832,ThrowData,4,FALSE))+Y832</f>
        <v>0</v>
      </c>
      <c r="U832" s="299">
        <f t="shared" si="2"/>
        <v>0</v>
      </c>
      <c r="V832">
        <f>IF(AND($F832&gt;0,NOT(M832),Flexing),FlexPC,0)</f>
        <v>0</v>
      </c>
      <c r="W832">
        <f>IF(AND($F832&gt;0,NOT(N832),Flexing),FlexPC,0)</f>
        <v>0</v>
      </c>
      <c r="X832">
        <f>IF(AND($F832&gt;0,NOT(O832),Flexing),FlexPC,0)</f>
        <v>0</v>
      </c>
      <c r="Y832">
        <f>IF(AND($F832&gt;0,NOT(P832),Flexing),FlexPC,0)</f>
        <v>0</v>
      </c>
      <c r="AA832" s="209">
        <f t="shared" si="3"/>
        <v>831</v>
      </c>
    </row>
    <row r="833" ht="15.75" customHeight="1">
      <c r="A833" s="206" t="str">
        <f>+Declarations!A833&amp;""</f>
        <v/>
      </c>
      <c r="B833" t="str">
        <f>IF(LEN($A833),IF(LEN(Declarations!$B833)&gt;0,Declarations!$B833,"#"&amp;$A833),"")</f>
        <v/>
      </c>
      <c r="C833" s="209" t="str">
        <f t="array" ref="C833">IF(LEN(INDEX(DECLARATIONS,$AA833,3))&gt;0,INDEX(DECLARATIONS,$AA833,3),"...")</f>
        <v>...</v>
      </c>
      <c r="D833" s="209" t="str">
        <f t="shared" si="1"/>
        <v/>
      </c>
      <c r="E833" s="296" t="str">
        <f t="array" ref="E833">IF(ISNA($AA833),0,INDEX(DECLARATIONS,$AA833,5))</f>
        <v/>
      </c>
      <c r="F833" s="209" t="str">
        <f t="array" ref="F833">IF(ISNA($AA833),0,INDEX(DECLARATIONS,$AA833,7))</f>
        <v/>
      </c>
      <c r="G833" s="209" t="str">
        <f t="array" ref="G833">UPPER(IF(ISNA($AA833),"",INDEX(DECLARATIONS,$AA833,4)))</f>
        <v/>
      </c>
      <c r="H833" t="str">
        <f>IF(AND(A833&gt;0,ISTEXT(B833)),IF(SECNAME="YES",LEFT(B833&amp;" ",FIND(" ",B833&amp;" ")+2)&amp;IF(F833&gt;0," ("&amp;F833&amp;")",""),B833&amp;IF(F833&gt;0," ("&amp;F833&amp;")","")),"#"&amp;$A833)</f>
        <v/>
      </c>
      <c r="I833" s="209">
        <f>IF(LEN($A833)&gt;0,IF(LEN($J833)&gt;0,MATCH(J833,MatchNames,0),EventIndex),0)</f>
        <v>0</v>
      </c>
      <c r="J833" s="209" t="str">
        <f>IF(LEN($A833)&gt;0,IF(LEN(Declarations!$F833)&gt;0,Declarations!$F833,conftype),"")</f>
        <v/>
      </c>
      <c r="M833" s="297">
        <f>IF(ISNA(VLOOKUP($A833,SprintData,2,FALSE)),0,VLOOKUP($A833,SprintData,2,FALSE))</f>
        <v>0</v>
      </c>
      <c r="N833" s="297">
        <f>IF(ISNA(VLOOKUP($A833,JumpData,2,FALSE)),0,VLOOKUP($A833,JumpData,2,FALSE))</f>
        <v>0</v>
      </c>
      <c r="O833" s="297">
        <f>IF(ISNA(VLOOKUP($A833,RunData,2,FALSE)),0,VLOOKUP($A833,RunData,2,FALSE))</f>
        <v>0</v>
      </c>
      <c r="P833" s="297">
        <f>IF(ISNA(VLOOKUP($A833,ThrowData,2,FALSE)),0,VLOOKUP($A833,ThrowData,2,FALSE))</f>
        <v>0</v>
      </c>
      <c r="Q833" s="298">
        <f>IF(ISNA(VLOOKUP($A833,SprintData,4,FALSE)),0,VLOOKUP($A833,SprintData,4,FALSE))+V833</f>
        <v>0</v>
      </c>
      <c r="R833" s="298">
        <f>IF(ISNA(VLOOKUP($A833,JumpData,4,FALSE)),0,VLOOKUP($A833,JumpData,4,FALSE))+W833</f>
        <v>0</v>
      </c>
      <c r="S833" s="298">
        <f>IF(ISNA(VLOOKUP($A833,RunData,4,FALSE)),0,VLOOKUP($A833,RunData,4,FALSE))+X833</f>
        <v>0</v>
      </c>
      <c r="T833" s="298">
        <f>IF(ISNA(VLOOKUP($A833,ThrowData,4,FALSE)),0,VLOOKUP($A833,ThrowData,4,FALSE))+Y833</f>
        <v>0</v>
      </c>
      <c r="U833" s="299">
        <f t="shared" si="2"/>
        <v>0</v>
      </c>
      <c r="V833">
        <f>IF(AND($F833&gt;0,NOT(M833),Flexing),FlexPC,0)</f>
        <v>0</v>
      </c>
      <c r="W833">
        <f>IF(AND($F833&gt;0,NOT(N833),Flexing),FlexPC,0)</f>
        <v>0</v>
      </c>
      <c r="X833">
        <f>IF(AND($F833&gt;0,NOT(O833),Flexing),FlexPC,0)</f>
        <v>0</v>
      </c>
      <c r="Y833">
        <f>IF(AND($F833&gt;0,NOT(P833),Flexing),FlexPC,0)</f>
        <v>0</v>
      </c>
      <c r="AA833" s="209">
        <f t="shared" si="3"/>
        <v>832</v>
      </c>
    </row>
    <row r="834" ht="15.75" customHeight="1">
      <c r="A834" s="206" t="str">
        <f>+Declarations!A834&amp;""</f>
        <v/>
      </c>
      <c r="B834" t="str">
        <f>IF(LEN($A834),IF(LEN(Declarations!$B834)&gt;0,Declarations!$B834,"#"&amp;$A834),"")</f>
        <v/>
      </c>
      <c r="C834" s="209" t="str">
        <f t="array" ref="C834">IF(LEN(INDEX(DECLARATIONS,$AA834,3))&gt;0,INDEX(DECLARATIONS,$AA834,3),"...")</f>
        <v>...</v>
      </c>
      <c r="D834" s="209" t="str">
        <f t="shared" si="1"/>
        <v/>
      </c>
      <c r="E834" s="296" t="str">
        <f t="array" ref="E834">IF(ISNA($AA834),0,INDEX(DECLARATIONS,$AA834,5))</f>
        <v/>
      </c>
      <c r="F834" s="209" t="str">
        <f t="array" ref="F834">IF(ISNA($AA834),0,INDEX(DECLARATIONS,$AA834,7))</f>
        <v/>
      </c>
      <c r="G834" s="209" t="str">
        <f t="array" ref="G834">UPPER(IF(ISNA($AA834),"",INDEX(DECLARATIONS,$AA834,4)))</f>
        <v/>
      </c>
      <c r="H834" t="str">
        <f>IF(AND(A834&gt;0,ISTEXT(B834)),IF(SECNAME="YES",LEFT(B834&amp;" ",FIND(" ",B834&amp;" ")+2)&amp;IF(F834&gt;0," ("&amp;F834&amp;")",""),B834&amp;IF(F834&gt;0," ("&amp;F834&amp;")","")),"#"&amp;$A834)</f>
        <v/>
      </c>
      <c r="I834" s="209">
        <f>IF(LEN($A834)&gt;0,IF(LEN($J834)&gt;0,MATCH(J834,MatchNames,0),EventIndex),0)</f>
        <v>0</v>
      </c>
      <c r="J834" s="209" t="str">
        <f>IF(LEN($A834)&gt;0,IF(LEN(Declarations!$F834)&gt;0,Declarations!$F834,conftype),"")</f>
        <v/>
      </c>
      <c r="M834" s="297">
        <f>IF(ISNA(VLOOKUP($A834,SprintData,2,FALSE)),0,VLOOKUP($A834,SprintData,2,FALSE))</f>
        <v>0</v>
      </c>
      <c r="N834" s="297">
        <f>IF(ISNA(VLOOKUP($A834,JumpData,2,FALSE)),0,VLOOKUP($A834,JumpData,2,FALSE))</f>
        <v>0</v>
      </c>
      <c r="O834" s="297">
        <f>IF(ISNA(VLOOKUP($A834,RunData,2,FALSE)),0,VLOOKUP($A834,RunData,2,FALSE))</f>
        <v>0</v>
      </c>
      <c r="P834" s="297">
        <f>IF(ISNA(VLOOKUP($A834,ThrowData,2,FALSE)),0,VLOOKUP($A834,ThrowData,2,FALSE))</f>
        <v>0</v>
      </c>
      <c r="Q834" s="298">
        <f>IF(ISNA(VLOOKUP($A834,SprintData,4,FALSE)),0,VLOOKUP($A834,SprintData,4,FALSE))+V834</f>
        <v>0</v>
      </c>
      <c r="R834" s="298">
        <f>IF(ISNA(VLOOKUP($A834,JumpData,4,FALSE)),0,VLOOKUP($A834,JumpData,4,FALSE))+W834</f>
        <v>0</v>
      </c>
      <c r="S834" s="298">
        <f>IF(ISNA(VLOOKUP($A834,RunData,4,FALSE)),0,VLOOKUP($A834,RunData,4,FALSE))+X834</f>
        <v>0</v>
      </c>
      <c r="T834" s="298">
        <f>IF(ISNA(VLOOKUP($A834,ThrowData,4,FALSE)),0,VLOOKUP($A834,ThrowData,4,FALSE))+Y834</f>
        <v>0</v>
      </c>
      <c r="U834" s="299">
        <f t="shared" si="2"/>
        <v>0</v>
      </c>
      <c r="V834">
        <f>IF(AND($F834&gt;0,NOT(M834),Flexing),FlexPC,0)</f>
        <v>0</v>
      </c>
      <c r="W834">
        <f>IF(AND($F834&gt;0,NOT(N834),Flexing),FlexPC,0)</f>
        <v>0</v>
      </c>
      <c r="X834">
        <f>IF(AND($F834&gt;0,NOT(O834),Flexing),FlexPC,0)</f>
        <v>0</v>
      </c>
      <c r="Y834">
        <f>IF(AND($F834&gt;0,NOT(P834),Flexing),FlexPC,0)</f>
        <v>0</v>
      </c>
      <c r="AA834" s="209">
        <f t="shared" si="3"/>
        <v>833</v>
      </c>
    </row>
    <row r="835" ht="15.75" customHeight="1">
      <c r="A835" s="206" t="str">
        <f>+Declarations!A835&amp;""</f>
        <v/>
      </c>
      <c r="B835" t="str">
        <f>IF(LEN($A835),IF(LEN(Declarations!$B835)&gt;0,Declarations!$B835,"#"&amp;$A835),"")</f>
        <v/>
      </c>
      <c r="C835" s="209" t="str">
        <f t="array" ref="C835">IF(LEN(INDEX(DECLARATIONS,$AA835,3))&gt;0,INDEX(DECLARATIONS,$AA835,3),"...")</f>
        <v>...</v>
      </c>
      <c r="D835" s="209" t="str">
        <f t="shared" si="1"/>
        <v/>
      </c>
      <c r="E835" s="296" t="str">
        <f t="array" ref="E835">IF(ISNA($AA835),0,INDEX(DECLARATIONS,$AA835,5))</f>
        <v/>
      </c>
      <c r="F835" s="209" t="str">
        <f t="array" ref="F835">IF(ISNA($AA835),0,INDEX(DECLARATIONS,$AA835,7))</f>
        <v/>
      </c>
      <c r="G835" s="209" t="str">
        <f t="array" ref="G835">UPPER(IF(ISNA($AA835),"",INDEX(DECLARATIONS,$AA835,4)))</f>
        <v/>
      </c>
      <c r="H835" t="str">
        <f>IF(AND(A835&gt;0,ISTEXT(B835)),IF(SECNAME="YES",LEFT(B835&amp;" ",FIND(" ",B835&amp;" ")+2)&amp;IF(F835&gt;0," ("&amp;F835&amp;")",""),B835&amp;IF(F835&gt;0," ("&amp;F835&amp;")","")),"#"&amp;$A835)</f>
        <v/>
      </c>
      <c r="I835" s="209">
        <f>IF(LEN($A835)&gt;0,IF(LEN($J835)&gt;0,MATCH(J835,MatchNames,0),EventIndex),0)</f>
        <v>0</v>
      </c>
      <c r="J835" s="209" t="str">
        <f>IF(LEN($A835)&gt;0,IF(LEN(Declarations!$F835)&gt;0,Declarations!$F835,conftype),"")</f>
        <v/>
      </c>
      <c r="M835" s="297">
        <f>IF(ISNA(VLOOKUP($A835,SprintData,2,FALSE)),0,VLOOKUP($A835,SprintData,2,FALSE))</f>
        <v>0</v>
      </c>
      <c r="N835" s="297">
        <f>IF(ISNA(VLOOKUP($A835,JumpData,2,FALSE)),0,VLOOKUP($A835,JumpData,2,FALSE))</f>
        <v>0</v>
      </c>
      <c r="O835" s="297">
        <f>IF(ISNA(VLOOKUP($A835,RunData,2,FALSE)),0,VLOOKUP($A835,RunData,2,FALSE))</f>
        <v>0</v>
      </c>
      <c r="P835" s="297">
        <f>IF(ISNA(VLOOKUP($A835,ThrowData,2,FALSE)),0,VLOOKUP($A835,ThrowData,2,FALSE))</f>
        <v>0</v>
      </c>
      <c r="Q835" s="298">
        <f>IF(ISNA(VLOOKUP($A835,SprintData,4,FALSE)),0,VLOOKUP($A835,SprintData,4,FALSE))+V835</f>
        <v>0</v>
      </c>
      <c r="R835" s="298">
        <f>IF(ISNA(VLOOKUP($A835,JumpData,4,FALSE)),0,VLOOKUP($A835,JumpData,4,FALSE))+W835</f>
        <v>0</v>
      </c>
      <c r="S835" s="298">
        <f>IF(ISNA(VLOOKUP($A835,RunData,4,FALSE)),0,VLOOKUP($A835,RunData,4,FALSE))+X835</f>
        <v>0</v>
      </c>
      <c r="T835" s="298">
        <f>IF(ISNA(VLOOKUP($A835,ThrowData,4,FALSE)),0,VLOOKUP($A835,ThrowData,4,FALSE))+Y835</f>
        <v>0</v>
      </c>
      <c r="U835" s="299">
        <f t="shared" si="2"/>
        <v>0</v>
      </c>
      <c r="V835">
        <f>IF(AND($F835&gt;0,NOT(M835),Flexing),FlexPC,0)</f>
        <v>0</v>
      </c>
      <c r="W835">
        <f>IF(AND($F835&gt;0,NOT(N835),Flexing),FlexPC,0)</f>
        <v>0</v>
      </c>
      <c r="X835">
        <f>IF(AND($F835&gt;0,NOT(O835),Flexing),FlexPC,0)</f>
        <v>0</v>
      </c>
      <c r="Y835">
        <f>IF(AND($F835&gt;0,NOT(P835),Flexing),FlexPC,0)</f>
        <v>0</v>
      </c>
      <c r="AA835" s="209">
        <f t="shared" si="3"/>
        <v>834</v>
      </c>
    </row>
    <row r="836" ht="15.75" customHeight="1">
      <c r="A836" s="206" t="str">
        <f>+Declarations!A836&amp;""</f>
        <v/>
      </c>
      <c r="B836" t="str">
        <f>IF(LEN($A836),IF(LEN(Declarations!$B836)&gt;0,Declarations!$B836,"#"&amp;$A836),"")</f>
        <v/>
      </c>
      <c r="C836" s="209" t="str">
        <f t="array" ref="C836">IF(LEN(INDEX(DECLARATIONS,$AA836,3))&gt;0,INDEX(DECLARATIONS,$AA836,3),"...")</f>
        <v>...</v>
      </c>
      <c r="D836" s="209" t="str">
        <f t="shared" si="1"/>
        <v/>
      </c>
      <c r="E836" s="296" t="str">
        <f t="array" ref="E836">IF(ISNA($AA836),0,INDEX(DECLARATIONS,$AA836,5))</f>
        <v/>
      </c>
      <c r="F836" s="209" t="str">
        <f t="array" ref="F836">IF(ISNA($AA836),0,INDEX(DECLARATIONS,$AA836,7))</f>
        <v/>
      </c>
      <c r="G836" s="209" t="str">
        <f t="array" ref="G836">UPPER(IF(ISNA($AA836),"",INDEX(DECLARATIONS,$AA836,4)))</f>
        <v/>
      </c>
      <c r="H836" t="str">
        <f>IF(AND(A836&gt;0,ISTEXT(B836)),IF(SECNAME="YES",LEFT(B836&amp;" ",FIND(" ",B836&amp;" ")+2)&amp;IF(F836&gt;0," ("&amp;F836&amp;")",""),B836&amp;IF(F836&gt;0," ("&amp;F836&amp;")","")),"#"&amp;$A836)</f>
        <v/>
      </c>
      <c r="I836" s="209">
        <f>IF(LEN($A836)&gt;0,IF(LEN($J836)&gt;0,MATCH(J836,MatchNames,0),EventIndex),0)</f>
        <v>0</v>
      </c>
      <c r="J836" s="209" t="str">
        <f>IF(LEN($A836)&gt;0,IF(LEN(Declarations!$F836)&gt;0,Declarations!$F836,conftype),"")</f>
        <v/>
      </c>
      <c r="M836" s="297">
        <f>IF(ISNA(VLOOKUP($A836,SprintData,2,FALSE)),0,VLOOKUP($A836,SprintData,2,FALSE))</f>
        <v>0</v>
      </c>
      <c r="N836" s="297">
        <f>IF(ISNA(VLOOKUP($A836,JumpData,2,FALSE)),0,VLOOKUP($A836,JumpData,2,FALSE))</f>
        <v>0</v>
      </c>
      <c r="O836" s="297">
        <f>IF(ISNA(VLOOKUP($A836,RunData,2,FALSE)),0,VLOOKUP($A836,RunData,2,FALSE))</f>
        <v>0</v>
      </c>
      <c r="P836" s="297">
        <f>IF(ISNA(VLOOKUP($A836,ThrowData,2,FALSE)),0,VLOOKUP($A836,ThrowData,2,FALSE))</f>
        <v>0</v>
      </c>
      <c r="Q836" s="298">
        <f>IF(ISNA(VLOOKUP($A836,SprintData,4,FALSE)),0,VLOOKUP($A836,SprintData,4,FALSE))+V836</f>
        <v>0</v>
      </c>
      <c r="R836" s="298">
        <f>IF(ISNA(VLOOKUP($A836,JumpData,4,FALSE)),0,VLOOKUP($A836,JumpData,4,FALSE))+W836</f>
        <v>0</v>
      </c>
      <c r="S836" s="298">
        <f>IF(ISNA(VLOOKUP($A836,RunData,4,FALSE)),0,VLOOKUP($A836,RunData,4,FALSE))+X836</f>
        <v>0</v>
      </c>
      <c r="T836" s="298">
        <f>IF(ISNA(VLOOKUP($A836,ThrowData,4,FALSE)),0,VLOOKUP($A836,ThrowData,4,FALSE))+Y836</f>
        <v>0</v>
      </c>
      <c r="U836" s="299">
        <f t="shared" si="2"/>
        <v>0</v>
      </c>
      <c r="V836">
        <f>IF(AND($F836&gt;0,NOT(M836),Flexing),FlexPC,0)</f>
        <v>0</v>
      </c>
      <c r="W836">
        <f>IF(AND($F836&gt;0,NOT(N836),Flexing),FlexPC,0)</f>
        <v>0</v>
      </c>
      <c r="X836">
        <f>IF(AND($F836&gt;0,NOT(O836),Flexing),FlexPC,0)</f>
        <v>0</v>
      </c>
      <c r="Y836">
        <f>IF(AND($F836&gt;0,NOT(P836),Flexing),FlexPC,0)</f>
        <v>0</v>
      </c>
      <c r="AA836" s="209">
        <f t="shared" si="3"/>
        <v>835</v>
      </c>
    </row>
    <row r="837" ht="15.75" customHeight="1">
      <c r="A837" s="206" t="str">
        <f>+Declarations!A837&amp;""</f>
        <v/>
      </c>
      <c r="B837" t="str">
        <f>IF(LEN($A837),IF(LEN(Declarations!$B837)&gt;0,Declarations!$B837,"#"&amp;$A837),"")</f>
        <v/>
      </c>
      <c r="C837" s="209" t="str">
        <f t="array" ref="C837">IF(LEN(INDEX(DECLARATIONS,$AA837,3))&gt;0,INDEX(DECLARATIONS,$AA837,3),"...")</f>
        <v>...</v>
      </c>
      <c r="D837" s="209" t="str">
        <f t="shared" si="1"/>
        <v/>
      </c>
      <c r="E837" s="296" t="str">
        <f t="array" ref="E837">IF(ISNA($AA837),0,INDEX(DECLARATIONS,$AA837,5))</f>
        <v/>
      </c>
      <c r="F837" s="209" t="str">
        <f t="array" ref="F837">IF(ISNA($AA837),0,INDEX(DECLARATIONS,$AA837,7))</f>
        <v/>
      </c>
      <c r="G837" s="209" t="str">
        <f t="array" ref="G837">UPPER(IF(ISNA($AA837),"",INDEX(DECLARATIONS,$AA837,4)))</f>
        <v/>
      </c>
      <c r="H837" t="str">
        <f>IF(AND(A837&gt;0,ISTEXT(B837)),IF(SECNAME="YES",LEFT(B837&amp;" ",FIND(" ",B837&amp;" ")+2)&amp;IF(F837&gt;0," ("&amp;F837&amp;")",""),B837&amp;IF(F837&gt;0," ("&amp;F837&amp;")","")),"#"&amp;$A837)</f>
        <v/>
      </c>
      <c r="I837" s="209">
        <f>IF(LEN($A837)&gt;0,IF(LEN($J837)&gt;0,MATCH(J837,MatchNames,0),EventIndex),0)</f>
        <v>0</v>
      </c>
      <c r="J837" s="209" t="str">
        <f>IF(LEN($A837)&gt;0,IF(LEN(Declarations!$F837)&gt;0,Declarations!$F837,conftype),"")</f>
        <v/>
      </c>
      <c r="M837" s="297">
        <f>IF(ISNA(VLOOKUP($A837,SprintData,2,FALSE)),0,VLOOKUP($A837,SprintData,2,FALSE))</f>
        <v>0</v>
      </c>
      <c r="N837" s="297">
        <f>IF(ISNA(VLOOKUP($A837,JumpData,2,FALSE)),0,VLOOKUP($A837,JumpData,2,FALSE))</f>
        <v>0</v>
      </c>
      <c r="O837" s="297">
        <f>IF(ISNA(VLOOKUP($A837,RunData,2,FALSE)),0,VLOOKUP($A837,RunData,2,FALSE))</f>
        <v>0</v>
      </c>
      <c r="P837" s="297">
        <f>IF(ISNA(VLOOKUP($A837,ThrowData,2,FALSE)),0,VLOOKUP($A837,ThrowData,2,FALSE))</f>
        <v>0</v>
      </c>
      <c r="Q837" s="298">
        <f>IF(ISNA(VLOOKUP($A837,SprintData,4,FALSE)),0,VLOOKUP($A837,SprintData,4,FALSE))+V837</f>
        <v>0</v>
      </c>
      <c r="R837" s="298">
        <f>IF(ISNA(VLOOKUP($A837,JumpData,4,FALSE)),0,VLOOKUP($A837,JumpData,4,FALSE))+W837</f>
        <v>0</v>
      </c>
      <c r="S837" s="298">
        <f>IF(ISNA(VLOOKUP($A837,RunData,4,FALSE)),0,VLOOKUP($A837,RunData,4,FALSE))+X837</f>
        <v>0</v>
      </c>
      <c r="T837" s="298">
        <f>IF(ISNA(VLOOKUP($A837,ThrowData,4,FALSE)),0,VLOOKUP($A837,ThrowData,4,FALSE))+Y837</f>
        <v>0</v>
      </c>
      <c r="U837" s="299">
        <f t="shared" si="2"/>
        <v>0</v>
      </c>
      <c r="V837">
        <f>IF(AND($F837&gt;0,NOT(M837),Flexing),FlexPC,0)</f>
        <v>0</v>
      </c>
      <c r="W837">
        <f>IF(AND($F837&gt;0,NOT(N837),Flexing),FlexPC,0)</f>
        <v>0</v>
      </c>
      <c r="X837">
        <f>IF(AND($F837&gt;0,NOT(O837),Flexing),FlexPC,0)</f>
        <v>0</v>
      </c>
      <c r="Y837">
        <f>IF(AND($F837&gt;0,NOT(P837),Flexing),FlexPC,0)</f>
        <v>0</v>
      </c>
      <c r="AA837" s="209">
        <f t="shared" si="3"/>
        <v>836</v>
      </c>
    </row>
    <row r="838" ht="15.75" customHeight="1">
      <c r="A838" s="206" t="str">
        <f>+Declarations!A838&amp;""</f>
        <v/>
      </c>
      <c r="B838" t="str">
        <f>IF(LEN($A838),IF(LEN(Declarations!$B838)&gt;0,Declarations!$B838,"#"&amp;$A838),"")</f>
        <v/>
      </c>
      <c r="C838" s="209" t="str">
        <f t="array" ref="C838">IF(LEN(INDEX(DECLARATIONS,$AA838,3))&gt;0,INDEX(DECLARATIONS,$AA838,3),"...")</f>
        <v>...</v>
      </c>
      <c r="D838" s="209" t="str">
        <f t="shared" si="1"/>
        <v/>
      </c>
      <c r="E838" s="296" t="str">
        <f t="array" ref="E838">IF(ISNA($AA838),0,INDEX(DECLARATIONS,$AA838,5))</f>
        <v/>
      </c>
      <c r="F838" s="209" t="str">
        <f t="array" ref="F838">IF(ISNA($AA838),0,INDEX(DECLARATIONS,$AA838,7))</f>
        <v/>
      </c>
      <c r="G838" s="209" t="str">
        <f t="array" ref="G838">UPPER(IF(ISNA($AA838),"",INDEX(DECLARATIONS,$AA838,4)))</f>
        <v/>
      </c>
      <c r="H838" t="str">
        <f>IF(AND(A838&gt;0,ISTEXT(B838)),IF(SECNAME="YES",LEFT(B838&amp;" ",FIND(" ",B838&amp;" ")+2)&amp;IF(F838&gt;0," ("&amp;F838&amp;")",""),B838&amp;IF(F838&gt;0," ("&amp;F838&amp;")","")),"#"&amp;$A838)</f>
        <v/>
      </c>
      <c r="I838" s="209">
        <f>IF(LEN($A838)&gt;0,IF(LEN($J838)&gt;0,MATCH(J838,MatchNames,0),EventIndex),0)</f>
        <v>0</v>
      </c>
      <c r="J838" s="209" t="str">
        <f>IF(LEN($A838)&gt;0,IF(LEN(Declarations!$F838)&gt;0,Declarations!$F838,conftype),"")</f>
        <v/>
      </c>
      <c r="M838" s="297">
        <f>IF(ISNA(VLOOKUP($A838,SprintData,2,FALSE)),0,VLOOKUP($A838,SprintData,2,FALSE))</f>
        <v>0</v>
      </c>
      <c r="N838" s="297">
        <f>IF(ISNA(VLOOKUP($A838,JumpData,2,FALSE)),0,VLOOKUP($A838,JumpData,2,FALSE))</f>
        <v>0</v>
      </c>
      <c r="O838" s="297">
        <f>IF(ISNA(VLOOKUP($A838,RunData,2,FALSE)),0,VLOOKUP($A838,RunData,2,FALSE))</f>
        <v>0</v>
      </c>
      <c r="P838" s="297">
        <f>IF(ISNA(VLOOKUP($A838,ThrowData,2,FALSE)),0,VLOOKUP($A838,ThrowData,2,FALSE))</f>
        <v>0</v>
      </c>
      <c r="Q838" s="298">
        <f>IF(ISNA(VLOOKUP($A838,SprintData,4,FALSE)),0,VLOOKUP($A838,SprintData,4,FALSE))+V838</f>
        <v>0</v>
      </c>
      <c r="R838" s="298">
        <f>IF(ISNA(VLOOKUP($A838,JumpData,4,FALSE)),0,VLOOKUP($A838,JumpData,4,FALSE))+W838</f>
        <v>0</v>
      </c>
      <c r="S838" s="298">
        <f>IF(ISNA(VLOOKUP($A838,RunData,4,FALSE)),0,VLOOKUP($A838,RunData,4,FALSE))+X838</f>
        <v>0</v>
      </c>
      <c r="T838" s="298">
        <f>IF(ISNA(VLOOKUP($A838,ThrowData,4,FALSE)),0,VLOOKUP($A838,ThrowData,4,FALSE))+Y838</f>
        <v>0</v>
      </c>
      <c r="U838" s="299">
        <f t="shared" si="2"/>
        <v>0</v>
      </c>
      <c r="V838">
        <f>IF(AND($F838&gt;0,NOT(M838),Flexing),FlexPC,0)</f>
        <v>0</v>
      </c>
      <c r="W838">
        <f>IF(AND($F838&gt;0,NOT(N838),Flexing),FlexPC,0)</f>
        <v>0</v>
      </c>
      <c r="X838">
        <f>IF(AND($F838&gt;0,NOT(O838),Flexing),FlexPC,0)</f>
        <v>0</v>
      </c>
      <c r="Y838">
        <f>IF(AND($F838&gt;0,NOT(P838),Flexing),FlexPC,0)</f>
        <v>0</v>
      </c>
      <c r="AA838" s="209">
        <f t="shared" si="3"/>
        <v>837</v>
      </c>
    </row>
    <row r="839" ht="15.75" customHeight="1">
      <c r="A839" s="206" t="str">
        <f>+Declarations!A839&amp;""</f>
        <v/>
      </c>
      <c r="B839" t="str">
        <f>IF(LEN($A839),IF(LEN(Declarations!$B839)&gt;0,Declarations!$B839,"#"&amp;$A839),"")</f>
        <v/>
      </c>
      <c r="C839" s="209" t="str">
        <f t="array" ref="C839">IF(LEN(INDEX(DECLARATIONS,$AA839,3))&gt;0,INDEX(DECLARATIONS,$AA839,3),"...")</f>
        <v>...</v>
      </c>
      <c r="D839" s="209" t="str">
        <f t="shared" si="1"/>
        <v/>
      </c>
      <c r="E839" s="296" t="str">
        <f t="array" ref="E839">IF(ISNA($AA839),0,INDEX(DECLARATIONS,$AA839,5))</f>
        <v/>
      </c>
      <c r="F839" s="209" t="str">
        <f t="array" ref="F839">IF(ISNA($AA839),0,INDEX(DECLARATIONS,$AA839,7))</f>
        <v/>
      </c>
      <c r="G839" s="209" t="str">
        <f t="array" ref="G839">UPPER(IF(ISNA($AA839),"",INDEX(DECLARATIONS,$AA839,4)))</f>
        <v/>
      </c>
      <c r="H839" t="str">
        <f>IF(AND(A839&gt;0,ISTEXT(B839)),IF(SECNAME="YES",LEFT(B839&amp;" ",FIND(" ",B839&amp;" ")+2)&amp;IF(F839&gt;0," ("&amp;F839&amp;")",""),B839&amp;IF(F839&gt;0," ("&amp;F839&amp;")","")),"#"&amp;$A839)</f>
        <v/>
      </c>
      <c r="I839" s="209">
        <f>IF(LEN($A839)&gt;0,IF(LEN($J839)&gt;0,MATCH(J839,MatchNames,0),EventIndex),0)</f>
        <v>0</v>
      </c>
      <c r="J839" s="209" t="str">
        <f>IF(LEN($A839)&gt;0,IF(LEN(Declarations!$F839)&gt;0,Declarations!$F839,conftype),"")</f>
        <v/>
      </c>
      <c r="M839" s="297">
        <f>IF(ISNA(VLOOKUP($A839,SprintData,2,FALSE)),0,VLOOKUP($A839,SprintData,2,FALSE))</f>
        <v>0</v>
      </c>
      <c r="N839" s="297">
        <f>IF(ISNA(VLOOKUP($A839,JumpData,2,FALSE)),0,VLOOKUP($A839,JumpData,2,FALSE))</f>
        <v>0</v>
      </c>
      <c r="O839" s="297">
        <f>IF(ISNA(VLOOKUP($A839,RunData,2,FALSE)),0,VLOOKUP($A839,RunData,2,FALSE))</f>
        <v>0</v>
      </c>
      <c r="P839" s="297">
        <f>IF(ISNA(VLOOKUP($A839,ThrowData,2,FALSE)),0,VLOOKUP($A839,ThrowData,2,FALSE))</f>
        <v>0</v>
      </c>
      <c r="Q839" s="298">
        <f>IF(ISNA(VLOOKUP($A839,SprintData,4,FALSE)),0,VLOOKUP($A839,SprintData,4,FALSE))+V839</f>
        <v>0</v>
      </c>
      <c r="R839" s="298">
        <f>IF(ISNA(VLOOKUP($A839,JumpData,4,FALSE)),0,VLOOKUP($A839,JumpData,4,FALSE))+W839</f>
        <v>0</v>
      </c>
      <c r="S839" s="298">
        <f>IF(ISNA(VLOOKUP($A839,RunData,4,FALSE)),0,VLOOKUP($A839,RunData,4,FALSE))+X839</f>
        <v>0</v>
      </c>
      <c r="T839" s="298">
        <f>IF(ISNA(VLOOKUP($A839,ThrowData,4,FALSE)),0,VLOOKUP($A839,ThrowData,4,FALSE))+Y839</f>
        <v>0</v>
      </c>
      <c r="U839" s="299">
        <f t="shared" si="2"/>
        <v>0</v>
      </c>
      <c r="V839">
        <f>IF(AND($F839&gt;0,NOT(M839),Flexing),FlexPC,0)</f>
        <v>0</v>
      </c>
      <c r="W839">
        <f>IF(AND($F839&gt;0,NOT(N839),Flexing),FlexPC,0)</f>
        <v>0</v>
      </c>
      <c r="X839">
        <f>IF(AND($F839&gt;0,NOT(O839),Flexing),FlexPC,0)</f>
        <v>0</v>
      </c>
      <c r="Y839">
        <f>IF(AND($F839&gt;0,NOT(P839),Flexing),FlexPC,0)</f>
        <v>0</v>
      </c>
      <c r="AA839" s="209">
        <f t="shared" si="3"/>
        <v>838</v>
      </c>
    </row>
    <row r="840" ht="15.75" customHeight="1">
      <c r="A840" s="206" t="str">
        <f>+Declarations!A840&amp;""</f>
        <v/>
      </c>
      <c r="B840" t="str">
        <f>IF(LEN($A840),IF(LEN(Declarations!$B840)&gt;0,Declarations!$B840,"#"&amp;$A840),"")</f>
        <v/>
      </c>
      <c r="C840" s="209" t="str">
        <f t="array" ref="C840">IF(LEN(INDEX(DECLARATIONS,$AA840,3))&gt;0,INDEX(DECLARATIONS,$AA840,3),"...")</f>
        <v>...</v>
      </c>
      <c r="D840" s="209" t="str">
        <f t="shared" si="1"/>
        <v/>
      </c>
      <c r="E840" s="296" t="str">
        <f t="array" ref="E840">IF(ISNA($AA840),0,INDEX(DECLARATIONS,$AA840,5))</f>
        <v/>
      </c>
      <c r="F840" s="209" t="str">
        <f t="array" ref="F840">IF(ISNA($AA840),0,INDEX(DECLARATIONS,$AA840,7))</f>
        <v/>
      </c>
      <c r="G840" s="209" t="str">
        <f t="array" ref="G840">UPPER(IF(ISNA($AA840),"",INDEX(DECLARATIONS,$AA840,4)))</f>
        <v/>
      </c>
      <c r="H840" t="str">
        <f>IF(AND(A840&gt;0,ISTEXT(B840)),IF(SECNAME="YES",LEFT(B840&amp;" ",FIND(" ",B840&amp;" ")+2)&amp;IF(F840&gt;0," ("&amp;F840&amp;")",""),B840&amp;IF(F840&gt;0," ("&amp;F840&amp;")","")),"#"&amp;$A840)</f>
        <v/>
      </c>
      <c r="I840" s="209">
        <f>IF(LEN($A840)&gt;0,IF(LEN($J840)&gt;0,MATCH(J840,MatchNames,0),EventIndex),0)</f>
        <v>0</v>
      </c>
      <c r="J840" s="209" t="str">
        <f>IF(LEN($A840)&gt;0,IF(LEN(Declarations!$F840)&gt;0,Declarations!$F840,conftype),"")</f>
        <v/>
      </c>
      <c r="M840" s="297">
        <f>IF(ISNA(VLOOKUP($A840,SprintData,2,FALSE)),0,VLOOKUP($A840,SprintData,2,FALSE))</f>
        <v>0</v>
      </c>
      <c r="N840" s="297">
        <f>IF(ISNA(VLOOKUP($A840,JumpData,2,FALSE)),0,VLOOKUP($A840,JumpData,2,FALSE))</f>
        <v>0</v>
      </c>
      <c r="O840" s="297">
        <f>IF(ISNA(VLOOKUP($A840,RunData,2,FALSE)),0,VLOOKUP($A840,RunData,2,FALSE))</f>
        <v>0</v>
      </c>
      <c r="P840" s="297">
        <f>IF(ISNA(VLOOKUP($A840,ThrowData,2,FALSE)),0,VLOOKUP($A840,ThrowData,2,FALSE))</f>
        <v>0</v>
      </c>
      <c r="Q840" s="298">
        <f>IF(ISNA(VLOOKUP($A840,SprintData,4,FALSE)),0,VLOOKUP($A840,SprintData,4,FALSE))+V840</f>
        <v>0</v>
      </c>
      <c r="R840" s="298">
        <f>IF(ISNA(VLOOKUP($A840,JumpData,4,FALSE)),0,VLOOKUP($A840,JumpData,4,FALSE))+W840</f>
        <v>0</v>
      </c>
      <c r="S840" s="298">
        <f>IF(ISNA(VLOOKUP($A840,RunData,4,FALSE)),0,VLOOKUP($A840,RunData,4,FALSE))+X840</f>
        <v>0</v>
      </c>
      <c r="T840" s="298">
        <f>IF(ISNA(VLOOKUP($A840,ThrowData,4,FALSE)),0,VLOOKUP($A840,ThrowData,4,FALSE))+Y840</f>
        <v>0</v>
      </c>
      <c r="U840" s="299">
        <f t="shared" si="2"/>
        <v>0</v>
      </c>
      <c r="V840">
        <f>IF(AND($F840&gt;0,NOT(M840),Flexing),FlexPC,0)</f>
        <v>0</v>
      </c>
      <c r="W840">
        <f>IF(AND($F840&gt;0,NOT(N840),Flexing),FlexPC,0)</f>
        <v>0</v>
      </c>
      <c r="X840">
        <f>IF(AND($F840&gt;0,NOT(O840),Flexing),FlexPC,0)</f>
        <v>0</v>
      </c>
      <c r="Y840">
        <f>IF(AND($F840&gt;0,NOT(P840),Flexing),FlexPC,0)</f>
        <v>0</v>
      </c>
      <c r="AA840" s="209">
        <f t="shared" si="3"/>
        <v>839</v>
      </c>
    </row>
    <row r="841" ht="15.75" customHeight="1">
      <c r="A841" s="206" t="str">
        <f>+Declarations!A841&amp;""</f>
        <v/>
      </c>
      <c r="B841" t="str">
        <f>IF(LEN($A841),IF(LEN(Declarations!$B841)&gt;0,Declarations!$B841,"#"&amp;$A841),"")</f>
        <v/>
      </c>
      <c r="C841" s="209" t="str">
        <f t="array" ref="C841">IF(LEN(INDEX(DECLARATIONS,$AA841,3))&gt;0,INDEX(DECLARATIONS,$AA841,3),"...")</f>
        <v>...</v>
      </c>
      <c r="D841" s="209" t="str">
        <f t="shared" si="1"/>
        <v/>
      </c>
      <c r="E841" s="296" t="str">
        <f t="array" ref="E841">IF(ISNA($AA841),0,INDEX(DECLARATIONS,$AA841,5))</f>
        <v/>
      </c>
      <c r="F841" s="209" t="str">
        <f t="array" ref="F841">IF(ISNA($AA841),0,INDEX(DECLARATIONS,$AA841,7))</f>
        <v/>
      </c>
      <c r="G841" s="209" t="str">
        <f t="array" ref="G841">UPPER(IF(ISNA($AA841),"",INDEX(DECLARATIONS,$AA841,4)))</f>
        <v/>
      </c>
      <c r="H841" t="str">
        <f>IF(AND(A841&gt;0,ISTEXT(B841)),IF(SECNAME="YES",LEFT(B841&amp;" ",FIND(" ",B841&amp;" ")+2)&amp;IF(F841&gt;0," ("&amp;F841&amp;")",""),B841&amp;IF(F841&gt;0," ("&amp;F841&amp;")","")),"#"&amp;$A841)</f>
        <v/>
      </c>
      <c r="I841" s="209">
        <f>IF(LEN($A841)&gt;0,IF(LEN($J841)&gt;0,MATCH(J841,MatchNames,0),EventIndex),0)</f>
        <v>0</v>
      </c>
      <c r="J841" s="209" t="str">
        <f>IF(LEN($A841)&gt;0,IF(LEN(Declarations!$F841)&gt;0,Declarations!$F841,conftype),"")</f>
        <v/>
      </c>
      <c r="M841" s="297">
        <f>IF(ISNA(VLOOKUP($A841,SprintData,2,FALSE)),0,VLOOKUP($A841,SprintData,2,FALSE))</f>
        <v>0</v>
      </c>
      <c r="N841" s="297">
        <f>IF(ISNA(VLOOKUP($A841,JumpData,2,FALSE)),0,VLOOKUP($A841,JumpData,2,FALSE))</f>
        <v>0</v>
      </c>
      <c r="O841" s="297">
        <f>IF(ISNA(VLOOKUP($A841,RunData,2,FALSE)),0,VLOOKUP($A841,RunData,2,FALSE))</f>
        <v>0</v>
      </c>
      <c r="P841" s="297">
        <f>IF(ISNA(VLOOKUP($A841,ThrowData,2,FALSE)),0,VLOOKUP($A841,ThrowData,2,FALSE))</f>
        <v>0</v>
      </c>
      <c r="Q841" s="298">
        <f>IF(ISNA(VLOOKUP($A841,SprintData,4,FALSE)),0,VLOOKUP($A841,SprintData,4,FALSE))+V841</f>
        <v>0</v>
      </c>
      <c r="R841" s="298">
        <f>IF(ISNA(VLOOKUP($A841,JumpData,4,FALSE)),0,VLOOKUP($A841,JumpData,4,FALSE))+W841</f>
        <v>0</v>
      </c>
      <c r="S841" s="298">
        <f>IF(ISNA(VLOOKUP($A841,RunData,4,FALSE)),0,VLOOKUP($A841,RunData,4,FALSE))+X841</f>
        <v>0</v>
      </c>
      <c r="T841" s="298">
        <f>IF(ISNA(VLOOKUP($A841,ThrowData,4,FALSE)),0,VLOOKUP($A841,ThrowData,4,FALSE))+Y841</f>
        <v>0</v>
      </c>
      <c r="U841" s="299">
        <f t="shared" si="2"/>
        <v>0</v>
      </c>
      <c r="V841">
        <f>IF(AND($F841&gt;0,NOT(M841),Flexing),FlexPC,0)</f>
        <v>0</v>
      </c>
      <c r="W841">
        <f>IF(AND($F841&gt;0,NOT(N841),Flexing),FlexPC,0)</f>
        <v>0</v>
      </c>
      <c r="X841">
        <f>IF(AND($F841&gt;0,NOT(O841),Flexing),FlexPC,0)</f>
        <v>0</v>
      </c>
      <c r="Y841">
        <f>IF(AND($F841&gt;0,NOT(P841),Flexing),FlexPC,0)</f>
        <v>0</v>
      </c>
      <c r="AA841" s="209">
        <f t="shared" si="3"/>
        <v>840</v>
      </c>
    </row>
    <row r="842" ht="15.75" customHeight="1">
      <c r="A842" s="206" t="str">
        <f>+Declarations!A842&amp;""</f>
        <v/>
      </c>
      <c r="B842" t="str">
        <f>IF(LEN($A842),IF(LEN(Declarations!$B842)&gt;0,Declarations!$B842,"#"&amp;$A842),"")</f>
        <v/>
      </c>
      <c r="C842" s="209" t="str">
        <f t="array" ref="C842">IF(LEN(INDEX(DECLARATIONS,$AA842,3))&gt;0,INDEX(DECLARATIONS,$AA842,3),"...")</f>
        <v>...</v>
      </c>
      <c r="D842" s="209" t="str">
        <f t="shared" si="1"/>
        <v/>
      </c>
      <c r="E842" s="296" t="str">
        <f t="array" ref="E842">IF(ISNA($AA842),0,INDEX(DECLARATIONS,$AA842,5))</f>
        <v/>
      </c>
      <c r="F842" s="209" t="str">
        <f t="array" ref="F842">IF(ISNA($AA842),0,INDEX(DECLARATIONS,$AA842,7))</f>
        <v/>
      </c>
      <c r="G842" s="209" t="str">
        <f t="array" ref="G842">UPPER(IF(ISNA($AA842),"",INDEX(DECLARATIONS,$AA842,4)))</f>
        <v/>
      </c>
      <c r="H842" t="str">
        <f>IF(AND(A842&gt;0,ISTEXT(B842)),IF(SECNAME="YES",LEFT(B842&amp;" ",FIND(" ",B842&amp;" ")+2)&amp;IF(F842&gt;0," ("&amp;F842&amp;")",""),B842&amp;IF(F842&gt;0," ("&amp;F842&amp;")","")),"#"&amp;$A842)</f>
        <v/>
      </c>
      <c r="I842" s="209">
        <f>IF(LEN($A842)&gt;0,IF(LEN($J842)&gt;0,MATCH(J842,MatchNames,0),EventIndex),0)</f>
        <v>0</v>
      </c>
      <c r="J842" s="209" t="str">
        <f>IF(LEN($A842)&gt;0,IF(LEN(Declarations!$F842)&gt;0,Declarations!$F842,conftype),"")</f>
        <v/>
      </c>
      <c r="M842" s="297">
        <f>IF(ISNA(VLOOKUP($A842,SprintData,2,FALSE)),0,VLOOKUP($A842,SprintData,2,FALSE))</f>
        <v>0</v>
      </c>
      <c r="N842" s="297">
        <f>IF(ISNA(VLOOKUP($A842,JumpData,2,FALSE)),0,VLOOKUP($A842,JumpData,2,FALSE))</f>
        <v>0</v>
      </c>
      <c r="O842" s="297">
        <f>IF(ISNA(VLOOKUP($A842,RunData,2,FALSE)),0,VLOOKUP($A842,RunData,2,FALSE))</f>
        <v>0</v>
      </c>
      <c r="P842" s="297">
        <f>IF(ISNA(VLOOKUP($A842,ThrowData,2,FALSE)),0,VLOOKUP($A842,ThrowData,2,FALSE))</f>
        <v>0</v>
      </c>
      <c r="Q842" s="298">
        <f>IF(ISNA(VLOOKUP($A842,SprintData,4,FALSE)),0,VLOOKUP($A842,SprintData,4,FALSE))+V842</f>
        <v>0</v>
      </c>
      <c r="R842" s="298">
        <f>IF(ISNA(VLOOKUP($A842,JumpData,4,FALSE)),0,VLOOKUP($A842,JumpData,4,FALSE))+W842</f>
        <v>0</v>
      </c>
      <c r="S842" s="298">
        <f>IF(ISNA(VLOOKUP($A842,RunData,4,FALSE)),0,VLOOKUP($A842,RunData,4,FALSE))+X842</f>
        <v>0</v>
      </c>
      <c r="T842" s="298">
        <f>IF(ISNA(VLOOKUP($A842,ThrowData,4,FALSE)),0,VLOOKUP($A842,ThrowData,4,FALSE))+Y842</f>
        <v>0</v>
      </c>
      <c r="U842" s="299">
        <f t="shared" si="2"/>
        <v>0</v>
      </c>
      <c r="V842">
        <f>IF(AND($F842&gt;0,NOT(M842),Flexing),FlexPC,0)</f>
        <v>0</v>
      </c>
      <c r="W842">
        <f>IF(AND($F842&gt;0,NOT(N842),Flexing),FlexPC,0)</f>
        <v>0</v>
      </c>
      <c r="X842">
        <f>IF(AND($F842&gt;0,NOT(O842),Flexing),FlexPC,0)</f>
        <v>0</v>
      </c>
      <c r="Y842">
        <f>IF(AND($F842&gt;0,NOT(P842),Flexing),FlexPC,0)</f>
        <v>0</v>
      </c>
      <c r="AA842" s="209">
        <f t="shared" si="3"/>
        <v>841</v>
      </c>
    </row>
    <row r="843" ht="15.75" customHeight="1">
      <c r="A843" s="206" t="str">
        <f>+Declarations!A843&amp;""</f>
        <v/>
      </c>
      <c r="B843" t="str">
        <f>IF(LEN($A843),IF(LEN(Declarations!$B843)&gt;0,Declarations!$B843,"#"&amp;$A843),"")</f>
        <v/>
      </c>
      <c r="C843" s="209" t="str">
        <f t="array" ref="C843">IF(LEN(INDEX(DECLARATIONS,$AA843,3))&gt;0,INDEX(DECLARATIONS,$AA843,3),"...")</f>
        <v>...</v>
      </c>
      <c r="D843" s="209" t="str">
        <f t="shared" si="1"/>
        <v/>
      </c>
      <c r="E843" s="296" t="str">
        <f t="array" ref="E843">IF(ISNA($AA843),0,INDEX(DECLARATIONS,$AA843,5))</f>
        <v/>
      </c>
      <c r="F843" s="209" t="str">
        <f t="array" ref="F843">IF(ISNA($AA843),0,INDEX(DECLARATIONS,$AA843,7))</f>
        <v/>
      </c>
      <c r="G843" s="209" t="str">
        <f t="array" ref="G843">UPPER(IF(ISNA($AA843),"",INDEX(DECLARATIONS,$AA843,4)))</f>
        <v/>
      </c>
      <c r="H843" t="str">
        <f>IF(AND(A843&gt;0,ISTEXT(B843)),IF(SECNAME="YES",LEFT(B843&amp;" ",FIND(" ",B843&amp;" ")+2)&amp;IF(F843&gt;0," ("&amp;F843&amp;")",""),B843&amp;IF(F843&gt;0," ("&amp;F843&amp;")","")),"#"&amp;$A843)</f>
        <v/>
      </c>
      <c r="I843" s="209">
        <f>IF(LEN($A843)&gt;0,IF(LEN($J843)&gt;0,MATCH(J843,MatchNames,0),EventIndex),0)</f>
        <v>0</v>
      </c>
      <c r="J843" s="209" t="str">
        <f>IF(LEN($A843)&gt;0,IF(LEN(Declarations!$F843)&gt;0,Declarations!$F843,conftype),"")</f>
        <v/>
      </c>
      <c r="M843" s="297">
        <f>IF(ISNA(VLOOKUP($A843,SprintData,2,FALSE)),0,VLOOKUP($A843,SprintData,2,FALSE))</f>
        <v>0</v>
      </c>
      <c r="N843" s="297">
        <f>IF(ISNA(VLOOKUP($A843,JumpData,2,FALSE)),0,VLOOKUP($A843,JumpData,2,FALSE))</f>
        <v>0</v>
      </c>
      <c r="O843" s="297">
        <f>IF(ISNA(VLOOKUP($A843,RunData,2,FALSE)),0,VLOOKUP($A843,RunData,2,FALSE))</f>
        <v>0</v>
      </c>
      <c r="P843" s="297">
        <f>IF(ISNA(VLOOKUP($A843,ThrowData,2,FALSE)),0,VLOOKUP($A843,ThrowData,2,FALSE))</f>
        <v>0</v>
      </c>
      <c r="Q843" s="298">
        <f>IF(ISNA(VLOOKUP($A843,SprintData,4,FALSE)),0,VLOOKUP($A843,SprintData,4,FALSE))+V843</f>
        <v>0</v>
      </c>
      <c r="R843" s="298">
        <f>IF(ISNA(VLOOKUP($A843,JumpData,4,FALSE)),0,VLOOKUP($A843,JumpData,4,FALSE))+W843</f>
        <v>0</v>
      </c>
      <c r="S843" s="298">
        <f>IF(ISNA(VLOOKUP($A843,RunData,4,FALSE)),0,VLOOKUP($A843,RunData,4,FALSE))+X843</f>
        <v>0</v>
      </c>
      <c r="T843" s="298">
        <f>IF(ISNA(VLOOKUP($A843,ThrowData,4,FALSE)),0,VLOOKUP($A843,ThrowData,4,FALSE))+Y843</f>
        <v>0</v>
      </c>
      <c r="U843" s="299">
        <f t="shared" si="2"/>
        <v>0</v>
      </c>
      <c r="V843">
        <f>IF(AND($F843&gt;0,NOT(M843),Flexing),FlexPC,0)</f>
        <v>0</v>
      </c>
      <c r="W843">
        <f>IF(AND($F843&gt;0,NOT(N843),Flexing),FlexPC,0)</f>
        <v>0</v>
      </c>
      <c r="X843">
        <f>IF(AND($F843&gt;0,NOT(O843),Flexing),FlexPC,0)</f>
        <v>0</v>
      </c>
      <c r="Y843">
        <f>IF(AND($F843&gt;0,NOT(P843),Flexing),FlexPC,0)</f>
        <v>0</v>
      </c>
      <c r="AA843" s="209">
        <f t="shared" si="3"/>
        <v>842</v>
      </c>
    </row>
    <row r="844" ht="15.75" customHeight="1">
      <c r="A844" s="206" t="str">
        <f>+Declarations!A844&amp;""</f>
        <v/>
      </c>
      <c r="B844" t="str">
        <f>IF(LEN($A844),IF(LEN(Declarations!$B844)&gt;0,Declarations!$B844,"#"&amp;$A844),"")</f>
        <v/>
      </c>
      <c r="C844" s="209" t="str">
        <f t="array" ref="C844">IF(LEN(INDEX(DECLARATIONS,$AA844,3))&gt;0,INDEX(DECLARATIONS,$AA844,3),"...")</f>
        <v>...</v>
      </c>
      <c r="D844" s="209" t="str">
        <f t="shared" si="1"/>
        <v/>
      </c>
      <c r="E844" s="296" t="str">
        <f t="array" ref="E844">IF(ISNA($AA844),0,INDEX(DECLARATIONS,$AA844,5))</f>
        <v/>
      </c>
      <c r="F844" s="209" t="str">
        <f t="array" ref="F844">IF(ISNA($AA844),0,INDEX(DECLARATIONS,$AA844,7))</f>
        <v/>
      </c>
      <c r="G844" s="209" t="str">
        <f t="array" ref="G844">UPPER(IF(ISNA($AA844),"",INDEX(DECLARATIONS,$AA844,4)))</f>
        <v/>
      </c>
      <c r="H844" t="str">
        <f>IF(AND(A844&gt;0,ISTEXT(B844)),IF(SECNAME="YES",LEFT(B844&amp;" ",FIND(" ",B844&amp;" ")+2)&amp;IF(F844&gt;0," ("&amp;F844&amp;")",""),B844&amp;IF(F844&gt;0," ("&amp;F844&amp;")","")),"#"&amp;$A844)</f>
        <v/>
      </c>
      <c r="I844" s="209">
        <f>IF(LEN($A844)&gt;0,IF(LEN($J844)&gt;0,MATCH(J844,MatchNames,0),EventIndex),0)</f>
        <v>0</v>
      </c>
      <c r="J844" s="209" t="str">
        <f>IF(LEN($A844)&gt;0,IF(LEN(Declarations!$F844)&gt;0,Declarations!$F844,conftype),"")</f>
        <v/>
      </c>
      <c r="M844" s="297">
        <f>IF(ISNA(VLOOKUP($A844,SprintData,2,FALSE)),0,VLOOKUP($A844,SprintData,2,FALSE))</f>
        <v>0</v>
      </c>
      <c r="N844" s="297">
        <f>IF(ISNA(VLOOKUP($A844,JumpData,2,FALSE)),0,VLOOKUP($A844,JumpData,2,FALSE))</f>
        <v>0</v>
      </c>
      <c r="O844" s="297">
        <f>IF(ISNA(VLOOKUP($A844,RunData,2,FALSE)),0,VLOOKUP($A844,RunData,2,FALSE))</f>
        <v>0</v>
      </c>
      <c r="P844" s="297">
        <f>IF(ISNA(VLOOKUP($A844,ThrowData,2,FALSE)),0,VLOOKUP($A844,ThrowData,2,FALSE))</f>
        <v>0</v>
      </c>
      <c r="Q844" s="298">
        <f>IF(ISNA(VLOOKUP($A844,SprintData,4,FALSE)),0,VLOOKUP($A844,SprintData,4,FALSE))+V844</f>
        <v>0</v>
      </c>
      <c r="R844" s="298">
        <f>IF(ISNA(VLOOKUP($A844,JumpData,4,FALSE)),0,VLOOKUP($A844,JumpData,4,FALSE))+W844</f>
        <v>0</v>
      </c>
      <c r="S844" s="298">
        <f>IF(ISNA(VLOOKUP($A844,RunData,4,FALSE)),0,VLOOKUP($A844,RunData,4,FALSE))+X844</f>
        <v>0</v>
      </c>
      <c r="T844" s="298">
        <f>IF(ISNA(VLOOKUP($A844,ThrowData,4,FALSE)),0,VLOOKUP($A844,ThrowData,4,FALSE))+Y844</f>
        <v>0</v>
      </c>
      <c r="U844" s="299">
        <f t="shared" si="2"/>
        <v>0</v>
      </c>
      <c r="V844">
        <f>IF(AND($F844&gt;0,NOT(M844),Flexing),FlexPC,0)</f>
        <v>0</v>
      </c>
      <c r="W844">
        <f>IF(AND($F844&gt;0,NOT(N844),Flexing),FlexPC,0)</f>
        <v>0</v>
      </c>
      <c r="X844">
        <f>IF(AND($F844&gt;0,NOT(O844),Flexing),FlexPC,0)</f>
        <v>0</v>
      </c>
      <c r="Y844">
        <f>IF(AND($F844&gt;0,NOT(P844),Flexing),FlexPC,0)</f>
        <v>0</v>
      </c>
      <c r="AA844" s="209">
        <f t="shared" si="3"/>
        <v>843</v>
      </c>
    </row>
    <row r="845" ht="15.75" customHeight="1">
      <c r="A845" s="206" t="str">
        <f>+Declarations!A845&amp;""</f>
        <v/>
      </c>
      <c r="B845" t="str">
        <f>IF(LEN($A845),IF(LEN(Declarations!$B845)&gt;0,Declarations!$B845,"#"&amp;$A845),"")</f>
        <v/>
      </c>
      <c r="C845" s="209" t="str">
        <f t="array" ref="C845">IF(LEN(INDEX(DECLARATIONS,$AA845,3))&gt;0,INDEX(DECLARATIONS,$AA845,3),"...")</f>
        <v>...</v>
      </c>
      <c r="D845" s="209" t="str">
        <f t="shared" si="1"/>
        <v/>
      </c>
      <c r="E845" s="296" t="str">
        <f t="array" ref="E845">IF(ISNA($AA845),0,INDEX(DECLARATIONS,$AA845,5))</f>
        <v/>
      </c>
      <c r="F845" s="209" t="str">
        <f t="array" ref="F845">IF(ISNA($AA845),0,INDEX(DECLARATIONS,$AA845,7))</f>
        <v/>
      </c>
      <c r="G845" s="209" t="str">
        <f t="array" ref="G845">UPPER(IF(ISNA($AA845),"",INDEX(DECLARATIONS,$AA845,4)))</f>
        <v/>
      </c>
      <c r="H845" t="str">
        <f>IF(AND(A845&gt;0,ISTEXT(B845)),IF(SECNAME="YES",LEFT(B845&amp;" ",FIND(" ",B845&amp;" ")+2)&amp;IF(F845&gt;0," ("&amp;F845&amp;")",""),B845&amp;IF(F845&gt;0," ("&amp;F845&amp;")","")),"#"&amp;$A845)</f>
        <v/>
      </c>
      <c r="I845" s="209">
        <f>IF(LEN($A845)&gt;0,IF(LEN($J845)&gt;0,MATCH(J845,MatchNames,0),EventIndex),0)</f>
        <v>0</v>
      </c>
      <c r="J845" s="209" t="str">
        <f>IF(LEN($A845)&gt;0,IF(LEN(Declarations!$F845)&gt;0,Declarations!$F845,conftype),"")</f>
        <v/>
      </c>
      <c r="M845" s="297">
        <f>IF(ISNA(VLOOKUP($A845,SprintData,2,FALSE)),0,VLOOKUP($A845,SprintData,2,FALSE))</f>
        <v>0</v>
      </c>
      <c r="N845" s="297">
        <f>IF(ISNA(VLOOKUP($A845,JumpData,2,FALSE)),0,VLOOKUP($A845,JumpData,2,FALSE))</f>
        <v>0</v>
      </c>
      <c r="O845" s="297">
        <f>IF(ISNA(VLOOKUP($A845,RunData,2,FALSE)),0,VLOOKUP($A845,RunData,2,FALSE))</f>
        <v>0</v>
      </c>
      <c r="P845" s="297">
        <f>IF(ISNA(VLOOKUP($A845,ThrowData,2,FALSE)),0,VLOOKUP($A845,ThrowData,2,FALSE))</f>
        <v>0</v>
      </c>
      <c r="Q845" s="298">
        <f>IF(ISNA(VLOOKUP($A845,SprintData,4,FALSE)),0,VLOOKUP($A845,SprintData,4,FALSE))+V845</f>
        <v>0</v>
      </c>
      <c r="R845" s="298">
        <f>IF(ISNA(VLOOKUP($A845,JumpData,4,FALSE)),0,VLOOKUP($A845,JumpData,4,FALSE))+W845</f>
        <v>0</v>
      </c>
      <c r="S845" s="298">
        <f>IF(ISNA(VLOOKUP($A845,RunData,4,FALSE)),0,VLOOKUP($A845,RunData,4,FALSE))+X845</f>
        <v>0</v>
      </c>
      <c r="T845" s="298">
        <f>IF(ISNA(VLOOKUP($A845,ThrowData,4,FALSE)),0,VLOOKUP($A845,ThrowData,4,FALSE))+Y845</f>
        <v>0</v>
      </c>
      <c r="U845" s="299">
        <f t="shared" si="2"/>
        <v>0</v>
      </c>
      <c r="V845">
        <f>IF(AND($F845&gt;0,NOT(M845),Flexing),FlexPC,0)</f>
        <v>0</v>
      </c>
      <c r="W845">
        <f>IF(AND($F845&gt;0,NOT(N845),Flexing),FlexPC,0)</f>
        <v>0</v>
      </c>
      <c r="X845">
        <f>IF(AND($F845&gt;0,NOT(O845),Flexing),FlexPC,0)</f>
        <v>0</v>
      </c>
      <c r="Y845">
        <f>IF(AND($F845&gt;0,NOT(P845),Flexing),FlexPC,0)</f>
        <v>0</v>
      </c>
      <c r="AA845" s="209">
        <f t="shared" si="3"/>
        <v>844</v>
      </c>
    </row>
    <row r="846" ht="15.75" customHeight="1">
      <c r="A846" s="206" t="str">
        <f>+Declarations!A846&amp;""</f>
        <v/>
      </c>
      <c r="B846" t="str">
        <f>IF(LEN($A846),IF(LEN(Declarations!$B846)&gt;0,Declarations!$B846,"#"&amp;$A846),"")</f>
        <v/>
      </c>
      <c r="C846" s="209" t="str">
        <f t="array" ref="C846">IF(LEN(INDEX(DECLARATIONS,$AA846,3))&gt;0,INDEX(DECLARATIONS,$AA846,3),"...")</f>
        <v>...</v>
      </c>
      <c r="D846" s="209" t="str">
        <f t="shared" si="1"/>
        <v/>
      </c>
      <c r="E846" s="296" t="str">
        <f t="array" ref="E846">IF(ISNA($AA846),0,INDEX(DECLARATIONS,$AA846,5))</f>
        <v/>
      </c>
      <c r="F846" s="209" t="str">
        <f t="array" ref="F846">IF(ISNA($AA846),0,INDEX(DECLARATIONS,$AA846,7))</f>
        <v/>
      </c>
      <c r="G846" s="209" t="str">
        <f t="array" ref="G846">UPPER(IF(ISNA($AA846),"",INDEX(DECLARATIONS,$AA846,4)))</f>
        <v/>
      </c>
      <c r="H846" t="str">
        <f>IF(AND(A846&gt;0,ISTEXT(B846)),IF(SECNAME="YES",LEFT(B846&amp;" ",FIND(" ",B846&amp;" ")+2)&amp;IF(F846&gt;0," ("&amp;F846&amp;")",""),B846&amp;IF(F846&gt;0," ("&amp;F846&amp;")","")),"#"&amp;$A846)</f>
        <v/>
      </c>
      <c r="I846" s="209">
        <f>IF(LEN($A846)&gt;0,IF(LEN($J846)&gt;0,MATCH(J846,MatchNames,0),EventIndex),0)</f>
        <v>0</v>
      </c>
      <c r="J846" s="209" t="str">
        <f>IF(LEN($A846)&gt;0,IF(LEN(Declarations!$F846)&gt;0,Declarations!$F846,conftype),"")</f>
        <v/>
      </c>
      <c r="M846" s="297">
        <f>IF(ISNA(VLOOKUP($A846,SprintData,2,FALSE)),0,VLOOKUP($A846,SprintData,2,FALSE))</f>
        <v>0</v>
      </c>
      <c r="N846" s="297">
        <f>IF(ISNA(VLOOKUP($A846,JumpData,2,FALSE)),0,VLOOKUP($A846,JumpData,2,FALSE))</f>
        <v>0</v>
      </c>
      <c r="O846" s="297">
        <f>IF(ISNA(VLOOKUP($A846,RunData,2,FALSE)),0,VLOOKUP($A846,RunData,2,FALSE))</f>
        <v>0</v>
      </c>
      <c r="P846" s="297">
        <f>IF(ISNA(VLOOKUP($A846,ThrowData,2,FALSE)),0,VLOOKUP($A846,ThrowData,2,FALSE))</f>
        <v>0</v>
      </c>
      <c r="Q846" s="298">
        <f>IF(ISNA(VLOOKUP($A846,SprintData,4,FALSE)),0,VLOOKUP($A846,SprintData,4,FALSE))+V846</f>
        <v>0</v>
      </c>
      <c r="R846" s="298">
        <f>IF(ISNA(VLOOKUP($A846,JumpData,4,FALSE)),0,VLOOKUP($A846,JumpData,4,FALSE))+W846</f>
        <v>0</v>
      </c>
      <c r="S846" s="298">
        <f>IF(ISNA(VLOOKUP($A846,RunData,4,FALSE)),0,VLOOKUP($A846,RunData,4,FALSE))+X846</f>
        <v>0</v>
      </c>
      <c r="T846" s="298">
        <f>IF(ISNA(VLOOKUP($A846,ThrowData,4,FALSE)),0,VLOOKUP($A846,ThrowData,4,FALSE))+Y846</f>
        <v>0</v>
      </c>
      <c r="U846" s="299">
        <f t="shared" si="2"/>
        <v>0</v>
      </c>
      <c r="V846">
        <f>IF(AND($F846&gt;0,NOT(M846),Flexing),FlexPC,0)</f>
        <v>0</v>
      </c>
      <c r="W846">
        <f>IF(AND($F846&gt;0,NOT(N846),Flexing),FlexPC,0)</f>
        <v>0</v>
      </c>
      <c r="X846">
        <f>IF(AND($F846&gt;0,NOT(O846),Flexing),FlexPC,0)</f>
        <v>0</v>
      </c>
      <c r="Y846">
        <f>IF(AND($F846&gt;0,NOT(P846),Flexing),FlexPC,0)</f>
        <v>0</v>
      </c>
      <c r="AA846" s="209">
        <f t="shared" si="3"/>
        <v>845</v>
      </c>
    </row>
    <row r="847" ht="15.75" customHeight="1">
      <c r="A847" s="206" t="str">
        <f>+Declarations!A847&amp;""</f>
        <v/>
      </c>
      <c r="B847" t="str">
        <f>IF(LEN($A847),IF(LEN(Declarations!$B847)&gt;0,Declarations!$B847,"#"&amp;$A847),"")</f>
        <v/>
      </c>
      <c r="C847" s="209" t="str">
        <f t="array" ref="C847">IF(LEN(INDEX(DECLARATIONS,$AA847,3))&gt;0,INDEX(DECLARATIONS,$AA847,3),"...")</f>
        <v>...</v>
      </c>
      <c r="D847" s="209" t="str">
        <f t="shared" si="1"/>
        <v/>
      </c>
      <c r="E847" s="296" t="str">
        <f t="array" ref="E847">IF(ISNA($AA847),0,INDEX(DECLARATIONS,$AA847,5))</f>
        <v/>
      </c>
      <c r="F847" s="209" t="str">
        <f t="array" ref="F847">IF(ISNA($AA847),0,INDEX(DECLARATIONS,$AA847,7))</f>
        <v/>
      </c>
      <c r="G847" s="209" t="str">
        <f t="array" ref="G847">UPPER(IF(ISNA($AA847),"",INDEX(DECLARATIONS,$AA847,4)))</f>
        <v/>
      </c>
      <c r="H847" t="str">
        <f>IF(AND(A847&gt;0,ISTEXT(B847)),IF(SECNAME="YES",LEFT(B847&amp;" ",FIND(" ",B847&amp;" ")+2)&amp;IF(F847&gt;0," ("&amp;F847&amp;")",""),B847&amp;IF(F847&gt;0," ("&amp;F847&amp;")","")),"#"&amp;$A847)</f>
        <v/>
      </c>
      <c r="I847" s="209">
        <f>IF(LEN($A847)&gt;0,IF(LEN($J847)&gt;0,MATCH(J847,MatchNames,0),EventIndex),0)</f>
        <v>0</v>
      </c>
      <c r="J847" s="209" t="str">
        <f>IF(LEN($A847)&gt;0,IF(LEN(Declarations!$F847)&gt;0,Declarations!$F847,conftype),"")</f>
        <v/>
      </c>
      <c r="M847" s="297">
        <f>IF(ISNA(VLOOKUP($A847,SprintData,2,FALSE)),0,VLOOKUP($A847,SprintData,2,FALSE))</f>
        <v>0</v>
      </c>
      <c r="N847" s="297">
        <f>IF(ISNA(VLOOKUP($A847,JumpData,2,FALSE)),0,VLOOKUP($A847,JumpData,2,FALSE))</f>
        <v>0</v>
      </c>
      <c r="O847" s="297">
        <f>IF(ISNA(VLOOKUP($A847,RunData,2,FALSE)),0,VLOOKUP($A847,RunData,2,FALSE))</f>
        <v>0</v>
      </c>
      <c r="P847" s="297">
        <f>IF(ISNA(VLOOKUP($A847,ThrowData,2,FALSE)),0,VLOOKUP($A847,ThrowData,2,FALSE))</f>
        <v>0</v>
      </c>
      <c r="Q847" s="298">
        <f>IF(ISNA(VLOOKUP($A847,SprintData,4,FALSE)),0,VLOOKUP($A847,SprintData,4,FALSE))+V847</f>
        <v>0</v>
      </c>
      <c r="R847" s="298">
        <f>IF(ISNA(VLOOKUP($A847,JumpData,4,FALSE)),0,VLOOKUP($A847,JumpData,4,FALSE))+W847</f>
        <v>0</v>
      </c>
      <c r="S847" s="298">
        <f>IF(ISNA(VLOOKUP($A847,RunData,4,FALSE)),0,VLOOKUP($A847,RunData,4,FALSE))+X847</f>
        <v>0</v>
      </c>
      <c r="T847" s="298">
        <f>IF(ISNA(VLOOKUP($A847,ThrowData,4,FALSE)),0,VLOOKUP($A847,ThrowData,4,FALSE))+Y847</f>
        <v>0</v>
      </c>
      <c r="U847" s="299">
        <f t="shared" si="2"/>
        <v>0</v>
      </c>
      <c r="V847">
        <f>IF(AND($F847&gt;0,NOT(M847),Flexing),FlexPC,0)</f>
        <v>0</v>
      </c>
      <c r="W847">
        <f>IF(AND($F847&gt;0,NOT(N847),Flexing),FlexPC,0)</f>
        <v>0</v>
      </c>
      <c r="X847">
        <f>IF(AND($F847&gt;0,NOT(O847),Flexing),FlexPC,0)</f>
        <v>0</v>
      </c>
      <c r="Y847">
        <f>IF(AND($F847&gt;0,NOT(P847),Flexing),FlexPC,0)</f>
        <v>0</v>
      </c>
      <c r="AA847" s="209">
        <f t="shared" si="3"/>
        <v>846</v>
      </c>
    </row>
    <row r="848" ht="15.75" customHeight="1">
      <c r="A848" s="206" t="str">
        <f>+Declarations!A848&amp;""</f>
        <v/>
      </c>
      <c r="B848" t="str">
        <f>IF(LEN($A848),IF(LEN(Declarations!$B848)&gt;0,Declarations!$B848,"#"&amp;$A848),"")</f>
        <v/>
      </c>
      <c r="C848" s="209" t="str">
        <f t="array" ref="C848">IF(LEN(INDEX(DECLARATIONS,$AA848,3))&gt;0,INDEX(DECLARATIONS,$AA848,3),"...")</f>
        <v>...</v>
      </c>
      <c r="D848" s="209" t="str">
        <f t="shared" si="1"/>
        <v/>
      </c>
      <c r="E848" s="296" t="str">
        <f t="array" ref="E848">IF(ISNA($AA848),0,INDEX(DECLARATIONS,$AA848,5))</f>
        <v/>
      </c>
      <c r="F848" s="209" t="str">
        <f t="array" ref="F848">IF(ISNA($AA848),0,INDEX(DECLARATIONS,$AA848,7))</f>
        <v/>
      </c>
      <c r="G848" s="209" t="str">
        <f t="array" ref="G848">UPPER(IF(ISNA($AA848),"",INDEX(DECLARATIONS,$AA848,4)))</f>
        <v/>
      </c>
      <c r="H848" t="str">
        <f>IF(AND(A848&gt;0,ISTEXT(B848)),IF(SECNAME="YES",LEFT(B848&amp;" ",FIND(" ",B848&amp;" ")+2)&amp;IF(F848&gt;0," ("&amp;F848&amp;")",""),B848&amp;IF(F848&gt;0," ("&amp;F848&amp;")","")),"#"&amp;$A848)</f>
        <v/>
      </c>
      <c r="I848" s="209">
        <f>IF(LEN($A848)&gt;0,IF(LEN($J848)&gt;0,MATCH(J848,MatchNames,0),EventIndex),0)</f>
        <v>0</v>
      </c>
      <c r="J848" s="209" t="str">
        <f>IF(LEN($A848)&gt;0,IF(LEN(Declarations!$F848)&gt;0,Declarations!$F848,conftype),"")</f>
        <v/>
      </c>
      <c r="M848" s="297">
        <f>IF(ISNA(VLOOKUP($A848,SprintData,2,FALSE)),0,VLOOKUP($A848,SprintData,2,FALSE))</f>
        <v>0</v>
      </c>
      <c r="N848" s="297">
        <f>IF(ISNA(VLOOKUP($A848,JumpData,2,FALSE)),0,VLOOKUP($A848,JumpData,2,FALSE))</f>
        <v>0</v>
      </c>
      <c r="O848" s="297">
        <f>IF(ISNA(VLOOKUP($A848,RunData,2,FALSE)),0,VLOOKUP($A848,RunData,2,FALSE))</f>
        <v>0</v>
      </c>
      <c r="P848" s="297">
        <f>IF(ISNA(VLOOKUP($A848,ThrowData,2,FALSE)),0,VLOOKUP($A848,ThrowData,2,FALSE))</f>
        <v>0</v>
      </c>
      <c r="Q848" s="298">
        <f>IF(ISNA(VLOOKUP($A848,SprintData,4,FALSE)),0,VLOOKUP($A848,SprintData,4,FALSE))+V848</f>
        <v>0</v>
      </c>
      <c r="R848" s="298">
        <f>IF(ISNA(VLOOKUP($A848,JumpData,4,FALSE)),0,VLOOKUP($A848,JumpData,4,FALSE))+W848</f>
        <v>0</v>
      </c>
      <c r="S848" s="298">
        <f>IF(ISNA(VLOOKUP($A848,RunData,4,FALSE)),0,VLOOKUP($A848,RunData,4,FALSE))+X848</f>
        <v>0</v>
      </c>
      <c r="T848" s="298">
        <f>IF(ISNA(VLOOKUP($A848,ThrowData,4,FALSE)),0,VLOOKUP($A848,ThrowData,4,FALSE))+Y848</f>
        <v>0</v>
      </c>
      <c r="U848" s="299">
        <f t="shared" si="2"/>
        <v>0</v>
      </c>
      <c r="V848">
        <f>IF(AND($F848&gt;0,NOT(M848),Flexing),FlexPC,0)</f>
        <v>0</v>
      </c>
      <c r="W848">
        <f>IF(AND($F848&gt;0,NOT(N848),Flexing),FlexPC,0)</f>
        <v>0</v>
      </c>
      <c r="X848">
        <f>IF(AND($F848&gt;0,NOT(O848),Flexing),FlexPC,0)</f>
        <v>0</v>
      </c>
      <c r="Y848">
        <f>IF(AND($F848&gt;0,NOT(P848),Flexing),FlexPC,0)</f>
        <v>0</v>
      </c>
      <c r="AA848" s="209">
        <f t="shared" si="3"/>
        <v>847</v>
      </c>
    </row>
    <row r="849" ht="15.75" customHeight="1">
      <c r="A849" s="206" t="str">
        <f>+Declarations!A849&amp;""</f>
        <v/>
      </c>
      <c r="B849" t="str">
        <f>IF(LEN($A849),IF(LEN(Declarations!$B849)&gt;0,Declarations!$B849,"#"&amp;$A849),"")</f>
        <v/>
      </c>
      <c r="C849" s="209" t="str">
        <f t="array" ref="C849">IF(LEN(INDEX(DECLARATIONS,$AA849,3))&gt;0,INDEX(DECLARATIONS,$AA849,3),"...")</f>
        <v>...</v>
      </c>
      <c r="D849" s="209" t="str">
        <f t="shared" si="1"/>
        <v/>
      </c>
      <c r="E849" s="296" t="str">
        <f t="array" ref="E849">IF(ISNA($AA849),0,INDEX(DECLARATIONS,$AA849,5))</f>
        <v/>
      </c>
      <c r="F849" s="209" t="str">
        <f t="array" ref="F849">IF(ISNA($AA849),0,INDEX(DECLARATIONS,$AA849,7))</f>
        <v/>
      </c>
      <c r="G849" s="209" t="str">
        <f t="array" ref="G849">UPPER(IF(ISNA($AA849),"",INDEX(DECLARATIONS,$AA849,4)))</f>
        <v/>
      </c>
      <c r="H849" t="str">
        <f>IF(AND(A849&gt;0,ISTEXT(B849)),IF(SECNAME="YES",LEFT(B849&amp;" ",FIND(" ",B849&amp;" ")+2)&amp;IF(F849&gt;0," ("&amp;F849&amp;")",""),B849&amp;IF(F849&gt;0," ("&amp;F849&amp;")","")),"#"&amp;$A849)</f>
        <v/>
      </c>
      <c r="I849" s="209">
        <f>IF(LEN($A849)&gt;0,IF(LEN($J849)&gt;0,MATCH(J849,MatchNames,0),EventIndex),0)</f>
        <v>0</v>
      </c>
      <c r="J849" s="209" t="str">
        <f>IF(LEN($A849)&gt;0,IF(LEN(Declarations!$F849)&gt;0,Declarations!$F849,conftype),"")</f>
        <v/>
      </c>
      <c r="M849" s="297">
        <f>IF(ISNA(VLOOKUP($A849,SprintData,2,FALSE)),0,VLOOKUP($A849,SprintData,2,FALSE))</f>
        <v>0</v>
      </c>
      <c r="N849" s="297">
        <f>IF(ISNA(VLOOKUP($A849,JumpData,2,FALSE)),0,VLOOKUP($A849,JumpData,2,FALSE))</f>
        <v>0</v>
      </c>
      <c r="O849" s="297">
        <f>IF(ISNA(VLOOKUP($A849,RunData,2,FALSE)),0,VLOOKUP($A849,RunData,2,FALSE))</f>
        <v>0</v>
      </c>
      <c r="P849" s="297">
        <f>IF(ISNA(VLOOKUP($A849,ThrowData,2,FALSE)),0,VLOOKUP($A849,ThrowData,2,FALSE))</f>
        <v>0</v>
      </c>
      <c r="Q849" s="298">
        <f>IF(ISNA(VLOOKUP($A849,SprintData,4,FALSE)),0,VLOOKUP($A849,SprintData,4,FALSE))+V849</f>
        <v>0</v>
      </c>
      <c r="R849" s="298">
        <f>IF(ISNA(VLOOKUP($A849,JumpData,4,FALSE)),0,VLOOKUP($A849,JumpData,4,FALSE))+W849</f>
        <v>0</v>
      </c>
      <c r="S849" s="298">
        <f>IF(ISNA(VLOOKUP($A849,RunData,4,FALSE)),0,VLOOKUP($A849,RunData,4,FALSE))+X849</f>
        <v>0</v>
      </c>
      <c r="T849" s="298">
        <f>IF(ISNA(VLOOKUP($A849,ThrowData,4,FALSE)),0,VLOOKUP($A849,ThrowData,4,FALSE))+Y849</f>
        <v>0</v>
      </c>
      <c r="U849" s="299">
        <f t="shared" si="2"/>
        <v>0</v>
      </c>
      <c r="V849">
        <f>IF(AND($F849&gt;0,NOT(M849),Flexing),FlexPC,0)</f>
        <v>0</v>
      </c>
      <c r="W849">
        <f>IF(AND($F849&gt;0,NOT(N849),Flexing),FlexPC,0)</f>
        <v>0</v>
      </c>
      <c r="X849">
        <f>IF(AND($F849&gt;0,NOT(O849),Flexing),FlexPC,0)</f>
        <v>0</v>
      </c>
      <c r="Y849">
        <f>IF(AND($F849&gt;0,NOT(P849),Flexing),FlexPC,0)</f>
        <v>0</v>
      </c>
      <c r="AA849" s="209">
        <f t="shared" si="3"/>
        <v>848</v>
      </c>
    </row>
    <row r="850" ht="15.75" customHeight="1">
      <c r="A850" s="206" t="str">
        <f>+Declarations!A850&amp;""</f>
        <v/>
      </c>
      <c r="B850" t="str">
        <f>IF(LEN($A850),IF(LEN(Declarations!$B850)&gt;0,Declarations!$B850,"#"&amp;$A850),"")</f>
        <v/>
      </c>
      <c r="C850" s="209" t="str">
        <f t="array" ref="C850">IF(LEN(INDEX(DECLARATIONS,$AA850,3))&gt;0,INDEX(DECLARATIONS,$AA850,3),"...")</f>
        <v>...</v>
      </c>
      <c r="D850" s="209" t="str">
        <f t="shared" si="1"/>
        <v/>
      </c>
      <c r="E850" s="296" t="str">
        <f t="array" ref="E850">IF(ISNA($AA850),0,INDEX(DECLARATIONS,$AA850,5))</f>
        <v/>
      </c>
      <c r="F850" s="209" t="str">
        <f t="array" ref="F850">IF(ISNA($AA850),0,INDEX(DECLARATIONS,$AA850,7))</f>
        <v/>
      </c>
      <c r="G850" s="209" t="str">
        <f t="array" ref="G850">UPPER(IF(ISNA($AA850),"",INDEX(DECLARATIONS,$AA850,4)))</f>
        <v/>
      </c>
      <c r="H850" t="str">
        <f>IF(AND(A850&gt;0,ISTEXT(B850)),IF(SECNAME="YES",LEFT(B850&amp;" ",FIND(" ",B850&amp;" ")+2)&amp;IF(F850&gt;0," ("&amp;F850&amp;")",""),B850&amp;IF(F850&gt;0," ("&amp;F850&amp;")","")),"#"&amp;$A850)</f>
        <v/>
      </c>
      <c r="I850" s="209">
        <f>IF(LEN($A850)&gt;0,IF(LEN($J850)&gt;0,MATCH(J850,MatchNames,0),EventIndex),0)</f>
        <v>0</v>
      </c>
      <c r="J850" s="209" t="str">
        <f>IF(LEN($A850)&gt;0,IF(LEN(Declarations!$F850)&gt;0,Declarations!$F850,conftype),"")</f>
        <v/>
      </c>
      <c r="M850" s="297">
        <f>IF(ISNA(VLOOKUP($A850,SprintData,2,FALSE)),0,VLOOKUP($A850,SprintData,2,FALSE))</f>
        <v>0</v>
      </c>
      <c r="N850" s="297">
        <f>IF(ISNA(VLOOKUP($A850,JumpData,2,FALSE)),0,VLOOKUP($A850,JumpData,2,FALSE))</f>
        <v>0</v>
      </c>
      <c r="O850" s="297">
        <f>IF(ISNA(VLOOKUP($A850,RunData,2,FALSE)),0,VLOOKUP($A850,RunData,2,FALSE))</f>
        <v>0</v>
      </c>
      <c r="P850" s="297">
        <f>IF(ISNA(VLOOKUP($A850,ThrowData,2,FALSE)),0,VLOOKUP($A850,ThrowData,2,FALSE))</f>
        <v>0</v>
      </c>
      <c r="Q850" s="298">
        <f>IF(ISNA(VLOOKUP($A850,SprintData,4,FALSE)),0,VLOOKUP($A850,SprintData,4,FALSE))+V850</f>
        <v>0</v>
      </c>
      <c r="R850" s="298">
        <f>IF(ISNA(VLOOKUP($A850,JumpData,4,FALSE)),0,VLOOKUP($A850,JumpData,4,FALSE))+W850</f>
        <v>0</v>
      </c>
      <c r="S850" s="298">
        <f>IF(ISNA(VLOOKUP($A850,RunData,4,FALSE)),0,VLOOKUP($A850,RunData,4,FALSE))+X850</f>
        <v>0</v>
      </c>
      <c r="T850" s="298">
        <f>IF(ISNA(VLOOKUP($A850,ThrowData,4,FALSE)),0,VLOOKUP($A850,ThrowData,4,FALSE))+Y850</f>
        <v>0</v>
      </c>
      <c r="U850" s="299">
        <f t="shared" si="2"/>
        <v>0</v>
      </c>
      <c r="V850">
        <f>IF(AND($F850&gt;0,NOT(M850),Flexing),FlexPC,0)</f>
        <v>0</v>
      </c>
      <c r="W850">
        <f>IF(AND($F850&gt;0,NOT(N850),Flexing),FlexPC,0)</f>
        <v>0</v>
      </c>
      <c r="X850">
        <f>IF(AND($F850&gt;0,NOT(O850),Flexing),FlexPC,0)</f>
        <v>0</v>
      </c>
      <c r="Y850">
        <f>IF(AND($F850&gt;0,NOT(P850),Flexing),FlexPC,0)</f>
        <v>0</v>
      </c>
      <c r="AA850" s="209">
        <f t="shared" si="3"/>
        <v>849</v>
      </c>
    </row>
    <row r="851" ht="15.75" customHeight="1">
      <c r="A851" s="206" t="str">
        <f>+Declarations!A851&amp;""</f>
        <v/>
      </c>
      <c r="B851" t="str">
        <f>IF(LEN($A851),IF(LEN(Declarations!$B851)&gt;0,Declarations!$B851,"#"&amp;$A851),"")</f>
        <v/>
      </c>
      <c r="C851" s="209" t="str">
        <f t="array" ref="C851">IF(LEN(INDEX(DECLARATIONS,$AA851,3))&gt;0,INDEX(DECLARATIONS,$AA851,3),"...")</f>
        <v>...</v>
      </c>
      <c r="D851" s="209" t="str">
        <f t="shared" si="1"/>
        <v/>
      </c>
      <c r="E851" s="296" t="str">
        <f t="array" ref="E851">IF(ISNA($AA851),0,INDEX(DECLARATIONS,$AA851,5))</f>
        <v/>
      </c>
      <c r="F851" s="209" t="str">
        <f t="array" ref="F851">IF(ISNA($AA851),0,INDEX(DECLARATIONS,$AA851,7))</f>
        <v/>
      </c>
      <c r="G851" s="209" t="str">
        <f t="array" ref="G851">UPPER(IF(ISNA($AA851),"",INDEX(DECLARATIONS,$AA851,4)))</f>
        <v/>
      </c>
      <c r="H851" t="str">
        <f>IF(AND(A851&gt;0,ISTEXT(B851)),IF(SECNAME="YES",LEFT(B851&amp;" ",FIND(" ",B851&amp;" ")+2)&amp;IF(F851&gt;0," ("&amp;F851&amp;")",""),B851&amp;IF(F851&gt;0," ("&amp;F851&amp;")","")),"#"&amp;$A851)</f>
        <v/>
      </c>
      <c r="I851" s="209">
        <f>IF(LEN($A851)&gt;0,IF(LEN($J851)&gt;0,MATCH(J851,MatchNames,0),EventIndex),0)</f>
        <v>0</v>
      </c>
      <c r="J851" s="209" t="str">
        <f>IF(LEN($A851)&gt;0,IF(LEN(Declarations!$F851)&gt;0,Declarations!$F851,conftype),"")</f>
        <v/>
      </c>
      <c r="M851" s="297">
        <f>IF(ISNA(VLOOKUP($A851,SprintData,2,FALSE)),0,VLOOKUP($A851,SprintData,2,FALSE))</f>
        <v>0</v>
      </c>
      <c r="N851" s="297">
        <f>IF(ISNA(VLOOKUP($A851,JumpData,2,FALSE)),0,VLOOKUP($A851,JumpData,2,FALSE))</f>
        <v>0</v>
      </c>
      <c r="O851" s="297">
        <f>IF(ISNA(VLOOKUP($A851,RunData,2,FALSE)),0,VLOOKUP($A851,RunData,2,FALSE))</f>
        <v>0</v>
      </c>
      <c r="P851" s="297">
        <f>IF(ISNA(VLOOKUP($A851,ThrowData,2,FALSE)),0,VLOOKUP($A851,ThrowData,2,FALSE))</f>
        <v>0</v>
      </c>
      <c r="Q851" s="298">
        <f>IF(ISNA(VLOOKUP($A851,SprintData,4,FALSE)),0,VLOOKUP($A851,SprintData,4,FALSE))+V851</f>
        <v>0</v>
      </c>
      <c r="R851" s="298">
        <f>IF(ISNA(VLOOKUP($A851,JumpData,4,FALSE)),0,VLOOKUP($A851,JumpData,4,FALSE))+W851</f>
        <v>0</v>
      </c>
      <c r="S851" s="298">
        <f>IF(ISNA(VLOOKUP($A851,RunData,4,FALSE)),0,VLOOKUP($A851,RunData,4,FALSE))+X851</f>
        <v>0</v>
      </c>
      <c r="T851" s="298">
        <f>IF(ISNA(VLOOKUP($A851,ThrowData,4,FALSE)),0,VLOOKUP($A851,ThrowData,4,FALSE))+Y851</f>
        <v>0</v>
      </c>
      <c r="U851" s="299">
        <f t="shared" si="2"/>
        <v>0</v>
      </c>
      <c r="V851">
        <f>IF(AND($F851&gt;0,NOT(M851),Flexing),FlexPC,0)</f>
        <v>0</v>
      </c>
      <c r="W851">
        <f>IF(AND($F851&gt;0,NOT(N851),Flexing),FlexPC,0)</f>
        <v>0</v>
      </c>
      <c r="X851">
        <f>IF(AND($F851&gt;0,NOT(O851),Flexing),FlexPC,0)</f>
        <v>0</v>
      </c>
      <c r="Y851">
        <f>IF(AND($F851&gt;0,NOT(P851),Flexing),FlexPC,0)</f>
        <v>0</v>
      </c>
      <c r="AA851" s="209">
        <f t="shared" si="3"/>
        <v>850</v>
      </c>
    </row>
    <row r="852" ht="15.75" customHeight="1">
      <c r="A852" s="206" t="str">
        <f>+Declarations!A852&amp;""</f>
        <v/>
      </c>
      <c r="B852" t="str">
        <f>IF(LEN($A852),IF(LEN(Declarations!$B852)&gt;0,Declarations!$B852,"#"&amp;$A852),"")</f>
        <v/>
      </c>
      <c r="C852" s="209" t="str">
        <f t="array" ref="C852">IF(LEN(INDEX(DECLARATIONS,$AA852,3))&gt;0,INDEX(DECLARATIONS,$AA852,3),"...")</f>
        <v>...</v>
      </c>
      <c r="D852" s="209" t="str">
        <f t="shared" si="1"/>
        <v/>
      </c>
      <c r="E852" s="296" t="str">
        <f t="array" ref="E852">IF(ISNA($AA852),0,INDEX(DECLARATIONS,$AA852,5))</f>
        <v/>
      </c>
      <c r="F852" s="209" t="str">
        <f t="array" ref="F852">IF(ISNA($AA852),0,INDEX(DECLARATIONS,$AA852,7))</f>
        <v/>
      </c>
      <c r="G852" s="209" t="str">
        <f t="array" ref="G852">UPPER(IF(ISNA($AA852),"",INDEX(DECLARATIONS,$AA852,4)))</f>
        <v/>
      </c>
      <c r="H852" t="str">
        <f>IF(AND(A852&gt;0,ISTEXT(B852)),IF(SECNAME="YES",LEFT(B852&amp;" ",FIND(" ",B852&amp;" ")+2)&amp;IF(F852&gt;0," ("&amp;F852&amp;")",""),B852&amp;IF(F852&gt;0," ("&amp;F852&amp;")","")),"#"&amp;$A852)</f>
        <v/>
      </c>
      <c r="I852" s="209">
        <f>IF(LEN($A852)&gt;0,IF(LEN($J852)&gt;0,MATCH(J852,MatchNames,0),EventIndex),0)</f>
        <v>0</v>
      </c>
      <c r="J852" s="209" t="str">
        <f>IF(LEN($A852)&gt;0,IF(LEN(Declarations!$F852)&gt;0,Declarations!$F852,conftype),"")</f>
        <v/>
      </c>
      <c r="M852" s="297">
        <f>IF(ISNA(VLOOKUP($A852,SprintData,2,FALSE)),0,VLOOKUP($A852,SprintData,2,FALSE))</f>
        <v>0</v>
      </c>
      <c r="N852" s="297">
        <f>IF(ISNA(VLOOKUP($A852,JumpData,2,FALSE)),0,VLOOKUP($A852,JumpData,2,FALSE))</f>
        <v>0</v>
      </c>
      <c r="O852" s="297">
        <f>IF(ISNA(VLOOKUP($A852,RunData,2,FALSE)),0,VLOOKUP($A852,RunData,2,FALSE))</f>
        <v>0</v>
      </c>
      <c r="P852" s="297">
        <f>IF(ISNA(VLOOKUP($A852,ThrowData,2,FALSE)),0,VLOOKUP($A852,ThrowData,2,FALSE))</f>
        <v>0</v>
      </c>
      <c r="Q852" s="298">
        <f>IF(ISNA(VLOOKUP($A852,SprintData,4,FALSE)),0,VLOOKUP($A852,SprintData,4,FALSE))+V852</f>
        <v>0</v>
      </c>
      <c r="R852" s="298">
        <f>IF(ISNA(VLOOKUP($A852,JumpData,4,FALSE)),0,VLOOKUP($A852,JumpData,4,FALSE))+W852</f>
        <v>0</v>
      </c>
      <c r="S852" s="298">
        <f>IF(ISNA(VLOOKUP($A852,RunData,4,FALSE)),0,VLOOKUP($A852,RunData,4,FALSE))+X852</f>
        <v>0</v>
      </c>
      <c r="T852" s="298">
        <f>IF(ISNA(VLOOKUP($A852,ThrowData,4,FALSE)),0,VLOOKUP($A852,ThrowData,4,FALSE))+Y852</f>
        <v>0</v>
      </c>
      <c r="U852" s="299">
        <f t="shared" si="2"/>
        <v>0</v>
      </c>
      <c r="V852">
        <f>IF(AND($F852&gt;0,NOT(M852),Flexing),FlexPC,0)</f>
        <v>0</v>
      </c>
      <c r="W852">
        <f>IF(AND($F852&gt;0,NOT(N852),Flexing),FlexPC,0)</f>
        <v>0</v>
      </c>
      <c r="X852">
        <f>IF(AND($F852&gt;0,NOT(O852),Flexing),FlexPC,0)</f>
        <v>0</v>
      </c>
      <c r="Y852">
        <f>IF(AND($F852&gt;0,NOT(P852),Flexing),FlexPC,0)</f>
        <v>0</v>
      </c>
      <c r="AA852" s="209">
        <f t="shared" si="3"/>
        <v>851</v>
      </c>
    </row>
    <row r="853" ht="15.75" customHeight="1">
      <c r="A853" s="206" t="str">
        <f>+Declarations!A853&amp;""</f>
        <v/>
      </c>
      <c r="B853" t="str">
        <f>IF(LEN($A853),IF(LEN(Declarations!$B853)&gt;0,Declarations!$B853,"#"&amp;$A853),"")</f>
        <v/>
      </c>
      <c r="C853" s="209" t="str">
        <f t="array" ref="C853">IF(LEN(INDEX(DECLARATIONS,$AA853,3))&gt;0,INDEX(DECLARATIONS,$AA853,3),"...")</f>
        <v>...</v>
      </c>
      <c r="D853" s="209" t="str">
        <f t="shared" si="1"/>
        <v/>
      </c>
      <c r="E853" s="296" t="str">
        <f t="array" ref="E853">IF(ISNA($AA853),0,INDEX(DECLARATIONS,$AA853,5))</f>
        <v/>
      </c>
      <c r="F853" s="209" t="str">
        <f t="array" ref="F853">IF(ISNA($AA853),0,INDEX(DECLARATIONS,$AA853,7))</f>
        <v/>
      </c>
      <c r="G853" s="209" t="str">
        <f t="array" ref="G853">UPPER(IF(ISNA($AA853),"",INDEX(DECLARATIONS,$AA853,4)))</f>
        <v/>
      </c>
      <c r="H853" t="str">
        <f>IF(AND(A853&gt;0,ISTEXT(B853)),IF(SECNAME="YES",LEFT(B853&amp;" ",FIND(" ",B853&amp;" ")+2)&amp;IF(F853&gt;0," ("&amp;F853&amp;")",""),B853&amp;IF(F853&gt;0," ("&amp;F853&amp;")","")),"#"&amp;$A853)</f>
        <v/>
      </c>
      <c r="I853" s="209">
        <f>IF(LEN($A853)&gt;0,IF(LEN($J853)&gt;0,MATCH(J853,MatchNames,0),EventIndex),0)</f>
        <v>0</v>
      </c>
      <c r="J853" s="209" t="str">
        <f>IF(LEN($A853)&gt;0,IF(LEN(Declarations!$F853)&gt;0,Declarations!$F853,conftype),"")</f>
        <v/>
      </c>
      <c r="M853" s="297">
        <f>IF(ISNA(VLOOKUP($A853,SprintData,2,FALSE)),0,VLOOKUP($A853,SprintData,2,FALSE))</f>
        <v>0</v>
      </c>
      <c r="N853" s="297">
        <f>IF(ISNA(VLOOKUP($A853,JumpData,2,FALSE)),0,VLOOKUP($A853,JumpData,2,FALSE))</f>
        <v>0</v>
      </c>
      <c r="O853" s="297">
        <f>IF(ISNA(VLOOKUP($A853,RunData,2,FALSE)),0,VLOOKUP($A853,RunData,2,FALSE))</f>
        <v>0</v>
      </c>
      <c r="P853" s="297">
        <f>IF(ISNA(VLOOKUP($A853,ThrowData,2,FALSE)),0,VLOOKUP($A853,ThrowData,2,FALSE))</f>
        <v>0</v>
      </c>
      <c r="Q853" s="298">
        <f>IF(ISNA(VLOOKUP($A853,SprintData,4,FALSE)),0,VLOOKUP($A853,SprintData,4,FALSE))+V853</f>
        <v>0</v>
      </c>
      <c r="R853" s="298">
        <f>IF(ISNA(VLOOKUP($A853,JumpData,4,FALSE)),0,VLOOKUP($A853,JumpData,4,FALSE))+W853</f>
        <v>0</v>
      </c>
      <c r="S853" s="298">
        <f>IF(ISNA(VLOOKUP($A853,RunData,4,FALSE)),0,VLOOKUP($A853,RunData,4,FALSE))+X853</f>
        <v>0</v>
      </c>
      <c r="T853" s="298">
        <f>IF(ISNA(VLOOKUP($A853,ThrowData,4,FALSE)),0,VLOOKUP($A853,ThrowData,4,FALSE))+Y853</f>
        <v>0</v>
      </c>
      <c r="U853" s="299">
        <f t="shared" si="2"/>
        <v>0</v>
      </c>
      <c r="V853">
        <f>IF(AND($F853&gt;0,NOT(M853),Flexing),FlexPC,0)</f>
        <v>0</v>
      </c>
      <c r="W853">
        <f>IF(AND($F853&gt;0,NOT(N853),Flexing),FlexPC,0)</f>
        <v>0</v>
      </c>
      <c r="X853">
        <f>IF(AND($F853&gt;0,NOT(O853),Flexing),FlexPC,0)</f>
        <v>0</v>
      </c>
      <c r="Y853">
        <f>IF(AND($F853&gt;0,NOT(P853),Flexing),FlexPC,0)</f>
        <v>0</v>
      </c>
      <c r="AA853" s="209">
        <f t="shared" si="3"/>
        <v>852</v>
      </c>
    </row>
    <row r="854" ht="15.75" customHeight="1">
      <c r="A854" s="206" t="str">
        <f>+Declarations!A854&amp;""</f>
        <v/>
      </c>
      <c r="B854" t="str">
        <f>IF(LEN($A854),IF(LEN(Declarations!$B854)&gt;0,Declarations!$B854,"#"&amp;$A854),"")</f>
        <v/>
      </c>
      <c r="C854" s="209" t="str">
        <f t="array" ref="C854">IF(LEN(INDEX(DECLARATIONS,$AA854,3))&gt;0,INDEX(DECLARATIONS,$AA854,3),"...")</f>
        <v>...</v>
      </c>
      <c r="D854" s="209" t="str">
        <f t="shared" si="1"/>
        <v/>
      </c>
      <c r="E854" s="296" t="str">
        <f t="array" ref="E854">IF(ISNA($AA854),0,INDEX(DECLARATIONS,$AA854,5))</f>
        <v/>
      </c>
      <c r="F854" s="209" t="str">
        <f t="array" ref="F854">IF(ISNA($AA854),0,INDEX(DECLARATIONS,$AA854,7))</f>
        <v/>
      </c>
      <c r="G854" s="209" t="str">
        <f t="array" ref="G854">UPPER(IF(ISNA($AA854),"",INDEX(DECLARATIONS,$AA854,4)))</f>
        <v/>
      </c>
      <c r="H854" t="str">
        <f>IF(AND(A854&gt;0,ISTEXT(B854)),IF(SECNAME="YES",LEFT(B854&amp;" ",FIND(" ",B854&amp;" ")+2)&amp;IF(F854&gt;0," ("&amp;F854&amp;")",""),B854&amp;IF(F854&gt;0," ("&amp;F854&amp;")","")),"#"&amp;$A854)</f>
        <v/>
      </c>
      <c r="I854" s="209">
        <f>IF(LEN($A854)&gt;0,IF(LEN($J854)&gt;0,MATCH(J854,MatchNames,0),EventIndex),0)</f>
        <v>0</v>
      </c>
      <c r="J854" s="209" t="str">
        <f>IF(LEN($A854)&gt;0,IF(LEN(Declarations!$F854)&gt;0,Declarations!$F854,conftype),"")</f>
        <v/>
      </c>
      <c r="M854" s="297">
        <f>IF(ISNA(VLOOKUP($A854,SprintData,2,FALSE)),0,VLOOKUP($A854,SprintData,2,FALSE))</f>
        <v>0</v>
      </c>
      <c r="N854" s="297">
        <f>IF(ISNA(VLOOKUP($A854,JumpData,2,FALSE)),0,VLOOKUP($A854,JumpData,2,FALSE))</f>
        <v>0</v>
      </c>
      <c r="O854" s="297">
        <f>IF(ISNA(VLOOKUP($A854,RunData,2,FALSE)),0,VLOOKUP($A854,RunData,2,FALSE))</f>
        <v>0</v>
      </c>
      <c r="P854" s="297">
        <f>IF(ISNA(VLOOKUP($A854,ThrowData,2,FALSE)),0,VLOOKUP($A854,ThrowData,2,FALSE))</f>
        <v>0</v>
      </c>
      <c r="Q854" s="298">
        <f>IF(ISNA(VLOOKUP($A854,SprintData,4,FALSE)),0,VLOOKUP($A854,SprintData,4,FALSE))+V854</f>
        <v>0</v>
      </c>
      <c r="R854" s="298">
        <f>IF(ISNA(VLOOKUP($A854,JumpData,4,FALSE)),0,VLOOKUP($A854,JumpData,4,FALSE))+W854</f>
        <v>0</v>
      </c>
      <c r="S854" s="298">
        <f>IF(ISNA(VLOOKUP($A854,RunData,4,FALSE)),0,VLOOKUP($A854,RunData,4,FALSE))+X854</f>
        <v>0</v>
      </c>
      <c r="T854" s="298">
        <f>IF(ISNA(VLOOKUP($A854,ThrowData,4,FALSE)),0,VLOOKUP($A854,ThrowData,4,FALSE))+Y854</f>
        <v>0</v>
      </c>
      <c r="U854" s="299">
        <f t="shared" si="2"/>
        <v>0</v>
      </c>
      <c r="V854">
        <f>IF(AND($F854&gt;0,NOT(M854),Flexing),FlexPC,0)</f>
        <v>0</v>
      </c>
      <c r="W854">
        <f>IF(AND($F854&gt;0,NOT(N854),Flexing),FlexPC,0)</f>
        <v>0</v>
      </c>
      <c r="X854">
        <f>IF(AND($F854&gt;0,NOT(O854),Flexing),FlexPC,0)</f>
        <v>0</v>
      </c>
      <c r="Y854">
        <f>IF(AND($F854&gt;0,NOT(P854),Flexing),FlexPC,0)</f>
        <v>0</v>
      </c>
      <c r="AA854" s="209">
        <f t="shared" si="3"/>
        <v>853</v>
      </c>
    </row>
    <row r="855" ht="15.75" customHeight="1">
      <c r="A855" s="206" t="str">
        <f>+Declarations!A855&amp;""</f>
        <v/>
      </c>
      <c r="B855" t="str">
        <f>IF(LEN($A855),IF(LEN(Declarations!$B855)&gt;0,Declarations!$B855,"#"&amp;$A855),"")</f>
        <v/>
      </c>
      <c r="C855" s="209" t="str">
        <f t="array" ref="C855">IF(LEN(INDEX(DECLARATIONS,$AA855,3))&gt;0,INDEX(DECLARATIONS,$AA855,3),"...")</f>
        <v>...</v>
      </c>
      <c r="D855" s="209" t="str">
        <f t="shared" si="1"/>
        <v/>
      </c>
      <c r="E855" s="296" t="str">
        <f t="array" ref="E855">IF(ISNA($AA855),0,INDEX(DECLARATIONS,$AA855,5))</f>
        <v/>
      </c>
      <c r="F855" s="209" t="str">
        <f t="array" ref="F855">IF(ISNA($AA855),0,INDEX(DECLARATIONS,$AA855,7))</f>
        <v/>
      </c>
      <c r="G855" s="209" t="str">
        <f t="array" ref="G855">UPPER(IF(ISNA($AA855),"",INDEX(DECLARATIONS,$AA855,4)))</f>
        <v/>
      </c>
      <c r="H855" t="str">
        <f>IF(AND(A855&gt;0,ISTEXT(B855)),IF(SECNAME="YES",LEFT(B855&amp;" ",FIND(" ",B855&amp;" ")+2)&amp;IF(F855&gt;0," ("&amp;F855&amp;")",""),B855&amp;IF(F855&gt;0," ("&amp;F855&amp;")","")),"#"&amp;$A855)</f>
        <v/>
      </c>
      <c r="I855" s="209">
        <f>IF(LEN($A855)&gt;0,IF(LEN($J855)&gt;0,MATCH(J855,MatchNames,0),EventIndex),0)</f>
        <v>0</v>
      </c>
      <c r="J855" s="209" t="str">
        <f>IF(LEN($A855)&gt;0,IF(LEN(Declarations!$F855)&gt;0,Declarations!$F855,conftype),"")</f>
        <v/>
      </c>
      <c r="M855" s="297">
        <f>IF(ISNA(VLOOKUP($A855,SprintData,2,FALSE)),0,VLOOKUP($A855,SprintData,2,FALSE))</f>
        <v>0</v>
      </c>
      <c r="N855" s="297">
        <f>IF(ISNA(VLOOKUP($A855,JumpData,2,FALSE)),0,VLOOKUP($A855,JumpData,2,FALSE))</f>
        <v>0</v>
      </c>
      <c r="O855" s="297">
        <f>IF(ISNA(VLOOKUP($A855,RunData,2,FALSE)),0,VLOOKUP($A855,RunData,2,FALSE))</f>
        <v>0</v>
      </c>
      <c r="P855" s="297">
        <f>IF(ISNA(VLOOKUP($A855,ThrowData,2,FALSE)),0,VLOOKUP($A855,ThrowData,2,FALSE))</f>
        <v>0</v>
      </c>
      <c r="Q855" s="298">
        <f>IF(ISNA(VLOOKUP($A855,SprintData,4,FALSE)),0,VLOOKUP($A855,SprintData,4,FALSE))+V855</f>
        <v>0</v>
      </c>
      <c r="R855" s="298">
        <f>IF(ISNA(VLOOKUP($A855,JumpData,4,FALSE)),0,VLOOKUP($A855,JumpData,4,FALSE))+W855</f>
        <v>0</v>
      </c>
      <c r="S855" s="298">
        <f>IF(ISNA(VLOOKUP($A855,RunData,4,FALSE)),0,VLOOKUP($A855,RunData,4,FALSE))+X855</f>
        <v>0</v>
      </c>
      <c r="T855" s="298">
        <f>IF(ISNA(VLOOKUP($A855,ThrowData,4,FALSE)),0,VLOOKUP($A855,ThrowData,4,FALSE))+Y855</f>
        <v>0</v>
      </c>
      <c r="U855" s="299">
        <f t="shared" si="2"/>
        <v>0</v>
      </c>
      <c r="V855">
        <f>IF(AND($F855&gt;0,NOT(M855),Flexing),FlexPC,0)</f>
        <v>0</v>
      </c>
      <c r="W855">
        <f>IF(AND($F855&gt;0,NOT(N855),Flexing),FlexPC,0)</f>
        <v>0</v>
      </c>
      <c r="X855">
        <f>IF(AND($F855&gt;0,NOT(O855),Flexing),FlexPC,0)</f>
        <v>0</v>
      </c>
      <c r="Y855">
        <f>IF(AND($F855&gt;0,NOT(P855),Flexing),FlexPC,0)</f>
        <v>0</v>
      </c>
      <c r="AA855" s="209">
        <f t="shared" si="3"/>
        <v>854</v>
      </c>
    </row>
    <row r="856" ht="15.75" customHeight="1">
      <c r="A856" s="206" t="str">
        <f>+Declarations!A856&amp;""</f>
        <v/>
      </c>
      <c r="B856" t="str">
        <f>IF(LEN($A856),IF(LEN(Declarations!$B856)&gt;0,Declarations!$B856,"#"&amp;$A856),"")</f>
        <v/>
      </c>
      <c r="C856" s="209" t="str">
        <f t="array" ref="C856">IF(LEN(INDEX(DECLARATIONS,$AA856,3))&gt;0,INDEX(DECLARATIONS,$AA856,3),"...")</f>
        <v>...</v>
      </c>
      <c r="D856" s="209" t="str">
        <f t="shared" si="1"/>
        <v/>
      </c>
      <c r="E856" s="296" t="str">
        <f t="array" ref="E856">IF(ISNA($AA856),0,INDEX(DECLARATIONS,$AA856,5))</f>
        <v/>
      </c>
      <c r="F856" s="209" t="str">
        <f t="array" ref="F856">IF(ISNA($AA856),0,INDEX(DECLARATIONS,$AA856,7))</f>
        <v/>
      </c>
      <c r="G856" s="209" t="str">
        <f t="array" ref="G856">UPPER(IF(ISNA($AA856),"",INDEX(DECLARATIONS,$AA856,4)))</f>
        <v/>
      </c>
      <c r="H856" t="str">
        <f>IF(AND(A856&gt;0,ISTEXT(B856)),IF(SECNAME="YES",LEFT(B856&amp;" ",FIND(" ",B856&amp;" ")+2)&amp;IF(F856&gt;0," ("&amp;F856&amp;")",""),B856&amp;IF(F856&gt;0," ("&amp;F856&amp;")","")),"#"&amp;$A856)</f>
        <v/>
      </c>
      <c r="I856" s="209">
        <f>IF(LEN($A856)&gt;0,IF(LEN($J856)&gt;0,MATCH(J856,MatchNames,0),EventIndex),0)</f>
        <v>0</v>
      </c>
      <c r="J856" s="209" t="str">
        <f>IF(LEN($A856)&gt;0,IF(LEN(Declarations!$F856)&gt;0,Declarations!$F856,conftype),"")</f>
        <v/>
      </c>
      <c r="M856" s="297">
        <f>IF(ISNA(VLOOKUP($A856,SprintData,2,FALSE)),0,VLOOKUP($A856,SprintData,2,FALSE))</f>
        <v>0</v>
      </c>
      <c r="N856" s="297">
        <f>IF(ISNA(VLOOKUP($A856,JumpData,2,FALSE)),0,VLOOKUP($A856,JumpData,2,FALSE))</f>
        <v>0</v>
      </c>
      <c r="O856" s="297">
        <f>IF(ISNA(VLOOKUP($A856,RunData,2,FALSE)),0,VLOOKUP($A856,RunData,2,FALSE))</f>
        <v>0</v>
      </c>
      <c r="P856" s="297">
        <f>IF(ISNA(VLOOKUP($A856,ThrowData,2,FALSE)),0,VLOOKUP($A856,ThrowData,2,FALSE))</f>
        <v>0</v>
      </c>
      <c r="Q856" s="298">
        <f>IF(ISNA(VLOOKUP($A856,SprintData,4,FALSE)),0,VLOOKUP($A856,SprintData,4,FALSE))+V856</f>
        <v>0</v>
      </c>
      <c r="R856" s="298">
        <f>IF(ISNA(VLOOKUP($A856,JumpData,4,FALSE)),0,VLOOKUP($A856,JumpData,4,FALSE))+W856</f>
        <v>0</v>
      </c>
      <c r="S856" s="298">
        <f>IF(ISNA(VLOOKUP($A856,RunData,4,FALSE)),0,VLOOKUP($A856,RunData,4,FALSE))+X856</f>
        <v>0</v>
      </c>
      <c r="T856" s="298">
        <f>IF(ISNA(VLOOKUP($A856,ThrowData,4,FALSE)),0,VLOOKUP($A856,ThrowData,4,FALSE))+Y856</f>
        <v>0</v>
      </c>
      <c r="U856" s="299">
        <f t="shared" si="2"/>
        <v>0</v>
      </c>
      <c r="V856">
        <f>IF(AND($F856&gt;0,NOT(M856),Flexing),FlexPC,0)</f>
        <v>0</v>
      </c>
      <c r="W856">
        <f>IF(AND($F856&gt;0,NOT(N856),Flexing),FlexPC,0)</f>
        <v>0</v>
      </c>
      <c r="X856">
        <f>IF(AND($F856&gt;0,NOT(O856),Flexing),FlexPC,0)</f>
        <v>0</v>
      </c>
      <c r="Y856">
        <f>IF(AND($F856&gt;0,NOT(P856),Flexing),FlexPC,0)</f>
        <v>0</v>
      </c>
      <c r="AA856" s="209">
        <f t="shared" si="3"/>
        <v>855</v>
      </c>
    </row>
    <row r="857" ht="15.75" customHeight="1">
      <c r="A857" s="206" t="str">
        <f>+Declarations!A857&amp;""</f>
        <v/>
      </c>
      <c r="B857" t="str">
        <f>IF(LEN($A857),IF(LEN(Declarations!$B857)&gt;0,Declarations!$B857,"#"&amp;$A857),"")</f>
        <v/>
      </c>
      <c r="C857" s="209" t="str">
        <f t="array" ref="C857">IF(LEN(INDEX(DECLARATIONS,$AA857,3))&gt;0,INDEX(DECLARATIONS,$AA857,3),"...")</f>
        <v>...</v>
      </c>
      <c r="D857" s="209" t="str">
        <f t="shared" si="1"/>
        <v/>
      </c>
      <c r="E857" s="296" t="str">
        <f t="array" ref="E857">IF(ISNA($AA857),0,INDEX(DECLARATIONS,$AA857,5))</f>
        <v/>
      </c>
      <c r="F857" s="209" t="str">
        <f t="array" ref="F857">IF(ISNA($AA857),0,INDEX(DECLARATIONS,$AA857,7))</f>
        <v/>
      </c>
      <c r="G857" s="209" t="str">
        <f t="array" ref="G857">UPPER(IF(ISNA($AA857),"",INDEX(DECLARATIONS,$AA857,4)))</f>
        <v/>
      </c>
      <c r="H857" t="str">
        <f>IF(AND(A857&gt;0,ISTEXT(B857)),IF(SECNAME="YES",LEFT(B857&amp;" ",FIND(" ",B857&amp;" ")+2)&amp;IF(F857&gt;0," ("&amp;F857&amp;")",""),B857&amp;IF(F857&gt;0," ("&amp;F857&amp;")","")),"#"&amp;$A857)</f>
        <v/>
      </c>
      <c r="I857" s="209">
        <f>IF(LEN($A857)&gt;0,IF(LEN($J857)&gt;0,MATCH(J857,MatchNames,0),EventIndex),0)</f>
        <v>0</v>
      </c>
      <c r="J857" s="209" t="str">
        <f>IF(LEN($A857)&gt;0,IF(LEN(Declarations!$F857)&gt;0,Declarations!$F857,conftype),"")</f>
        <v/>
      </c>
      <c r="M857" s="297">
        <f>IF(ISNA(VLOOKUP($A857,SprintData,2,FALSE)),0,VLOOKUP($A857,SprintData,2,FALSE))</f>
        <v>0</v>
      </c>
      <c r="N857" s="297">
        <f>IF(ISNA(VLOOKUP($A857,JumpData,2,FALSE)),0,VLOOKUP($A857,JumpData,2,FALSE))</f>
        <v>0</v>
      </c>
      <c r="O857" s="297">
        <f>IF(ISNA(VLOOKUP($A857,RunData,2,FALSE)),0,VLOOKUP($A857,RunData,2,FALSE))</f>
        <v>0</v>
      </c>
      <c r="P857" s="297">
        <f>IF(ISNA(VLOOKUP($A857,ThrowData,2,FALSE)),0,VLOOKUP($A857,ThrowData,2,FALSE))</f>
        <v>0</v>
      </c>
      <c r="Q857" s="298">
        <f>IF(ISNA(VLOOKUP($A857,SprintData,4,FALSE)),0,VLOOKUP($A857,SprintData,4,FALSE))+V857</f>
        <v>0</v>
      </c>
      <c r="R857" s="298">
        <f>IF(ISNA(VLOOKUP($A857,JumpData,4,FALSE)),0,VLOOKUP($A857,JumpData,4,FALSE))+W857</f>
        <v>0</v>
      </c>
      <c r="S857" s="298">
        <f>IF(ISNA(VLOOKUP($A857,RunData,4,FALSE)),0,VLOOKUP($A857,RunData,4,FALSE))+X857</f>
        <v>0</v>
      </c>
      <c r="T857" s="298">
        <f>IF(ISNA(VLOOKUP($A857,ThrowData,4,FALSE)),0,VLOOKUP($A857,ThrowData,4,FALSE))+Y857</f>
        <v>0</v>
      </c>
      <c r="U857" s="299">
        <f t="shared" si="2"/>
        <v>0</v>
      </c>
      <c r="V857">
        <f>IF(AND($F857&gt;0,NOT(M857),Flexing),FlexPC,0)</f>
        <v>0</v>
      </c>
      <c r="W857">
        <f>IF(AND($F857&gt;0,NOT(N857),Flexing),FlexPC,0)</f>
        <v>0</v>
      </c>
      <c r="X857">
        <f>IF(AND($F857&gt;0,NOT(O857),Flexing),FlexPC,0)</f>
        <v>0</v>
      </c>
      <c r="Y857">
        <f>IF(AND($F857&gt;0,NOT(P857),Flexing),FlexPC,0)</f>
        <v>0</v>
      </c>
      <c r="AA857" s="209">
        <f t="shared" si="3"/>
        <v>856</v>
      </c>
    </row>
    <row r="858" ht="15.75" customHeight="1">
      <c r="A858" s="206" t="str">
        <f>+Declarations!A858&amp;""</f>
        <v/>
      </c>
      <c r="B858" t="str">
        <f>IF(LEN($A858),IF(LEN(Declarations!$B858)&gt;0,Declarations!$B858,"#"&amp;$A858),"")</f>
        <v/>
      </c>
      <c r="C858" s="209" t="str">
        <f t="array" ref="C858">IF(LEN(INDEX(DECLARATIONS,$AA858,3))&gt;0,INDEX(DECLARATIONS,$AA858,3),"...")</f>
        <v>...</v>
      </c>
      <c r="D858" s="209" t="str">
        <f t="shared" si="1"/>
        <v/>
      </c>
      <c r="E858" s="296" t="str">
        <f t="array" ref="E858">IF(ISNA($AA858),0,INDEX(DECLARATIONS,$AA858,5))</f>
        <v/>
      </c>
      <c r="F858" s="209" t="str">
        <f t="array" ref="F858">IF(ISNA($AA858),0,INDEX(DECLARATIONS,$AA858,7))</f>
        <v/>
      </c>
      <c r="G858" s="209" t="str">
        <f t="array" ref="G858">UPPER(IF(ISNA($AA858),"",INDEX(DECLARATIONS,$AA858,4)))</f>
        <v/>
      </c>
      <c r="H858" t="str">
        <f>IF(AND(A858&gt;0,ISTEXT(B858)),IF(SECNAME="YES",LEFT(B858&amp;" ",FIND(" ",B858&amp;" ")+2)&amp;IF(F858&gt;0," ("&amp;F858&amp;")",""),B858&amp;IF(F858&gt;0," ("&amp;F858&amp;")","")),"#"&amp;$A858)</f>
        <v/>
      </c>
      <c r="I858" s="209">
        <f>IF(LEN($A858)&gt;0,IF(LEN($J858)&gt;0,MATCH(J858,MatchNames,0),EventIndex),0)</f>
        <v>0</v>
      </c>
      <c r="J858" s="209" t="str">
        <f>IF(LEN($A858)&gt;0,IF(LEN(Declarations!$F858)&gt;0,Declarations!$F858,conftype),"")</f>
        <v/>
      </c>
      <c r="M858" s="297">
        <f>IF(ISNA(VLOOKUP($A858,SprintData,2,FALSE)),0,VLOOKUP($A858,SprintData,2,FALSE))</f>
        <v>0</v>
      </c>
      <c r="N858" s="297">
        <f>IF(ISNA(VLOOKUP($A858,JumpData,2,FALSE)),0,VLOOKUP($A858,JumpData,2,FALSE))</f>
        <v>0</v>
      </c>
      <c r="O858" s="297">
        <f>IF(ISNA(VLOOKUP($A858,RunData,2,FALSE)),0,VLOOKUP($A858,RunData,2,FALSE))</f>
        <v>0</v>
      </c>
      <c r="P858" s="297">
        <f>IF(ISNA(VLOOKUP($A858,ThrowData,2,FALSE)),0,VLOOKUP($A858,ThrowData,2,FALSE))</f>
        <v>0</v>
      </c>
      <c r="Q858" s="298">
        <f>IF(ISNA(VLOOKUP($A858,SprintData,4,FALSE)),0,VLOOKUP($A858,SprintData,4,FALSE))+V858</f>
        <v>0</v>
      </c>
      <c r="R858" s="298">
        <f>IF(ISNA(VLOOKUP($A858,JumpData,4,FALSE)),0,VLOOKUP($A858,JumpData,4,FALSE))+W858</f>
        <v>0</v>
      </c>
      <c r="S858" s="298">
        <f>IF(ISNA(VLOOKUP($A858,RunData,4,FALSE)),0,VLOOKUP($A858,RunData,4,FALSE))+X858</f>
        <v>0</v>
      </c>
      <c r="T858" s="298">
        <f>IF(ISNA(VLOOKUP($A858,ThrowData,4,FALSE)),0,VLOOKUP($A858,ThrowData,4,FALSE))+Y858</f>
        <v>0</v>
      </c>
      <c r="U858" s="299">
        <f t="shared" si="2"/>
        <v>0</v>
      </c>
      <c r="V858">
        <f>IF(AND($F858&gt;0,NOT(M858),Flexing),FlexPC,0)</f>
        <v>0</v>
      </c>
      <c r="W858">
        <f>IF(AND($F858&gt;0,NOT(N858),Flexing),FlexPC,0)</f>
        <v>0</v>
      </c>
      <c r="X858">
        <f>IF(AND($F858&gt;0,NOT(O858),Flexing),FlexPC,0)</f>
        <v>0</v>
      </c>
      <c r="Y858">
        <f>IF(AND($F858&gt;0,NOT(P858),Flexing),FlexPC,0)</f>
        <v>0</v>
      </c>
      <c r="AA858" s="209">
        <f t="shared" si="3"/>
        <v>857</v>
      </c>
    </row>
    <row r="859" ht="15.75" customHeight="1">
      <c r="A859" s="206" t="str">
        <f>+Declarations!A859&amp;""</f>
        <v/>
      </c>
      <c r="B859" t="str">
        <f>IF(LEN($A859),IF(LEN(Declarations!$B859)&gt;0,Declarations!$B859,"#"&amp;$A859),"")</f>
        <v/>
      </c>
      <c r="C859" s="209" t="str">
        <f t="array" ref="C859">IF(LEN(INDEX(DECLARATIONS,$AA859,3))&gt;0,INDEX(DECLARATIONS,$AA859,3),"...")</f>
        <v>...</v>
      </c>
      <c r="D859" s="209" t="str">
        <f t="shared" si="1"/>
        <v/>
      </c>
      <c r="E859" s="296" t="str">
        <f t="array" ref="E859">IF(ISNA($AA859),0,INDEX(DECLARATIONS,$AA859,5))</f>
        <v/>
      </c>
      <c r="F859" s="209" t="str">
        <f t="array" ref="F859">IF(ISNA($AA859),0,INDEX(DECLARATIONS,$AA859,7))</f>
        <v/>
      </c>
      <c r="G859" s="209" t="str">
        <f t="array" ref="G859">UPPER(IF(ISNA($AA859),"",INDEX(DECLARATIONS,$AA859,4)))</f>
        <v/>
      </c>
      <c r="H859" t="str">
        <f>IF(AND(A859&gt;0,ISTEXT(B859)),IF(SECNAME="YES",LEFT(B859&amp;" ",FIND(" ",B859&amp;" ")+2)&amp;IF(F859&gt;0," ("&amp;F859&amp;")",""),B859&amp;IF(F859&gt;0," ("&amp;F859&amp;")","")),"#"&amp;$A859)</f>
        <v/>
      </c>
      <c r="I859" s="209">
        <f>IF(LEN($A859)&gt;0,IF(LEN($J859)&gt;0,MATCH(J859,MatchNames,0),EventIndex),0)</f>
        <v>0</v>
      </c>
      <c r="J859" s="209" t="str">
        <f>IF(LEN($A859)&gt;0,IF(LEN(Declarations!$F859)&gt;0,Declarations!$F859,conftype),"")</f>
        <v/>
      </c>
      <c r="M859" s="297">
        <f>IF(ISNA(VLOOKUP($A859,SprintData,2,FALSE)),0,VLOOKUP($A859,SprintData,2,FALSE))</f>
        <v>0</v>
      </c>
      <c r="N859" s="297">
        <f>IF(ISNA(VLOOKUP($A859,JumpData,2,FALSE)),0,VLOOKUP($A859,JumpData,2,FALSE))</f>
        <v>0</v>
      </c>
      <c r="O859" s="297">
        <f>IF(ISNA(VLOOKUP($A859,RunData,2,FALSE)),0,VLOOKUP($A859,RunData,2,FALSE))</f>
        <v>0</v>
      </c>
      <c r="P859" s="297">
        <f>IF(ISNA(VLOOKUP($A859,ThrowData,2,FALSE)),0,VLOOKUP($A859,ThrowData,2,FALSE))</f>
        <v>0</v>
      </c>
      <c r="Q859" s="298">
        <f>IF(ISNA(VLOOKUP($A859,SprintData,4,FALSE)),0,VLOOKUP($A859,SprintData,4,FALSE))+V859</f>
        <v>0</v>
      </c>
      <c r="R859" s="298">
        <f>IF(ISNA(VLOOKUP($A859,JumpData,4,FALSE)),0,VLOOKUP($A859,JumpData,4,FALSE))+W859</f>
        <v>0</v>
      </c>
      <c r="S859" s="298">
        <f>IF(ISNA(VLOOKUP($A859,RunData,4,FALSE)),0,VLOOKUP($A859,RunData,4,FALSE))+X859</f>
        <v>0</v>
      </c>
      <c r="T859" s="298">
        <f>IF(ISNA(VLOOKUP($A859,ThrowData,4,FALSE)),0,VLOOKUP($A859,ThrowData,4,FALSE))+Y859</f>
        <v>0</v>
      </c>
      <c r="U859" s="299">
        <f t="shared" si="2"/>
        <v>0</v>
      </c>
      <c r="V859">
        <f>IF(AND($F859&gt;0,NOT(M859),Flexing),FlexPC,0)</f>
        <v>0</v>
      </c>
      <c r="W859">
        <f>IF(AND($F859&gt;0,NOT(N859),Flexing),FlexPC,0)</f>
        <v>0</v>
      </c>
      <c r="X859">
        <f>IF(AND($F859&gt;0,NOT(O859),Flexing),FlexPC,0)</f>
        <v>0</v>
      </c>
      <c r="Y859">
        <f>IF(AND($F859&gt;0,NOT(P859),Flexing),FlexPC,0)</f>
        <v>0</v>
      </c>
      <c r="AA859" s="209">
        <f t="shared" si="3"/>
        <v>858</v>
      </c>
    </row>
    <row r="860" ht="15.75" customHeight="1">
      <c r="A860" s="206" t="str">
        <f>+Declarations!A860&amp;""</f>
        <v/>
      </c>
      <c r="B860" t="str">
        <f>IF(LEN($A860),IF(LEN(Declarations!$B860)&gt;0,Declarations!$B860,"#"&amp;$A860),"")</f>
        <v/>
      </c>
      <c r="C860" s="209" t="str">
        <f t="array" ref="C860">IF(LEN(INDEX(DECLARATIONS,$AA860,3))&gt;0,INDEX(DECLARATIONS,$AA860,3),"...")</f>
        <v>...</v>
      </c>
      <c r="D860" s="209" t="str">
        <f t="shared" si="1"/>
        <v/>
      </c>
      <c r="E860" s="296" t="str">
        <f t="array" ref="E860">IF(ISNA($AA860),0,INDEX(DECLARATIONS,$AA860,5))</f>
        <v/>
      </c>
      <c r="F860" s="209" t="str">
        <f t="array" ref="F860">IF(ISNA($AA860),0,INDEX(DECLARATIONS,$AA860,7))</f>
        <v/>
      </c>
      <c r="G860" s="209" t="str">
        <f t="array" ref="G860">UPPER(IF(ISNA($AA860),"",INDEX(DECLARATIONS,$AA860,4)))</f>
        <v/>
      </c>
      <c r="H860" t="str">
        <f>IF(AND(A860&gt;0,ISTEXT(B860)),IF(SECNAME="YES",LEFT(B860&amp;" ",FIND(" ",B860&amp;" ")+2)&amp;IF(F860&gt;0," ("&amp;F860&amp;")",""),B860&amp;IF(F860&gt;0," ("&amp;F860&amp;")","")),"#"&amp;$A860)</f>
        <v/>
      </c>
      <c r="I860" s="209">
        <f>IF(LEN($A860)&gt;0,IF(LEN($J860)&gt;0,MATCH(J860,MatchNames,0),EventIndex),0)</f>
        <v>0</v>
      </c>
      <c r="J860" s="209" t="str">
        <f>IF(LEN($A860)&gt;0,IF(LEN(Declarations!$F860)&gt;0,Declarations!$F860,conftype),"")</f>
        <v/>
      </c>
      <c r="M860" s="297">
        <f>IF(ISNA(VLOOKUP($A860,SprintData,2,FALSE)),0,VLOOKUP($A860,SprintData,2,FALSE))</f>
        <v>0</v>
      </c>
      <c r="N860" s="297">
        <f>IF(ISNA(VLOOKUP($A860,JumpData,2,FALSE)),0,VLOOKUP($A860,JumpData,2,FALSE))</f>
        <v>0</v>
      </c>
      <c r="O860" s="297">
        <f>IF(ISNA(VLOOKUP($A860,RunData,2,FALSE)),0,VLOOKUP($A860,RunData,2,FALSE))</f>
        <v>0</v>
      </c>
      <c r="P860" s="297">
        <f>IF(ISNA(VLOOKUP($A860,ThrowData,2,FALSE)),0,VLOOKUP($A860,ThrowData,2,FALSE))</f>
        <v>0</v>
      </c>
      <c r="Q860" s="298">
        <f>IF(ISNA(VLOOKUP($A860,SprintData,4,FALSE)),0,VLOOKUP($A860,SprintData,4,FALSE))+V860</f>
        <v>0</v>
      </c>
      <c r="R860" s="298">
        <f>IF(ISNA(VLOOKUP($A860,JumpData,4,FALSE)),0,VLOOKUP($A860,JumpData,4,FALSE))+W860</f>
        <v>0</v>
      </c>
      <c r="S860" s="298">
        <f>IF(ISNA(VLOOKUP($A860,RunData,4,FALSE)),0,VLOOKUP($A860,RunData,4,FALSE))+X860</f>
        <v>0</v>
      </c>
      <c r="T860" s="298">
        <f>IF(ISNA(VLOOKUP($A860,ThrowData,4,FALSE)),0,VLOOKUP($A860,ThrowData,4,FALSE))+Y860</f>
        <v>0</v>
      </c>
      <c r="U860" s="299">
        <f t="shared" si="2"/>
        <v>0</v>
      </c>
      <c r="V860">
        <f>IF(AND($F860&gt;0,NOT(M860),Flexing),FlexPC,0)</f>
        <v>0</v>
      </c>
      <c r="W860">
        <f>IF(AND($F860&gt;0,NOT(N860),Flexing),FlexPC,0)</f>
        <v>0</v>
      </c>
      <c r="X860">
        <f>IF(AND($F860&gt;0,NOT(O860),Flexing),FlexPC,0)</f>
        <v>0</v>
      </c>
      <c r="Y860">
        <f>IF(AND($F860&gt;0,NOT(P860),Flexing),FlexPC,0)</f>
        <v>0</v>
      </c>
      <c r="AA860" s="209">
        <f t="shared" si="3"/>
        <v>859</v>
      </c>
    </row>
    <row r="861" ht="15.75" customHeight="1">
      <c r="A861" s="206" t="str">
        <f>+Declarations!A861&amp;""</f>
        <v/>
      </c>
      <c r="B861" t="str">
        <f>IF(LEN($A861),IF(LEN(Declarations!$B861)&gt;0,Declarations!$B861,"#"&amp;$A861),"")</f>
        <v/>
      </c>
      <c r="C861" s="209" t="str">
        <f t="array" ref="C861">IF(LEN(INDEX(DECLARATIONS,$AA861,3))&gt;0,INDEX(DECLARATIONS,$AA861,3),"...")</f>
        <v>...</v>
      </c>
      <c r="D861" s="209" t="str">
        <f t="shared" si="1"/>
        <v/>
      </c>
      <c r="E861" s="296" t="str">
        <f t="array" ref="E861">IF(ISNA($AA861),0,INDEX(DECLARATIONS,$AA861,5))</f>
        <v/>
      </c>
      <c r="F861" s="209" t="str">
        <f t="array" ref="F861">IF(ISNA($AA861),0,INDEX(DECLARATIONS,$AA861,7))</f>
        <v/>
      </c>
      <c r="G861" s="209" t="str">
        <f t="array" ref="G861">UPPER(IF(ISNA($AA861),"",INDEX(DECLARATIONS,$AA861,4)))</f>
        <v/>
      </c>
      <c r="H861" t="str">
        <f>IF(AND(A861&gt;0,ISTEXT(B861)),IF(SECNAME="YES",LEFT(B861&amp;" ",FIND(" ",B861&amp;" ")+2)&amp;IF(F861&gt;0," ("&amp;F861&amp;")",""),B861&amp;IF(F861&gt;0," ("&amp;F861&amp;")","")),"#"&amp;$A861)</f>
        <v/>
      </c>
      <c r="I861" s="209">
        <f>IF(LEN($A861)&gt;0,IF(LEN($J861)&gt;0,MATCH(J861,MatchNames,0),EventIndex),0)</f>
        <v>0</v>
      </c>
      <c r="J861" s="209" t="str">
        <f>IF(LEN($A861)&gt;0,IF(LEN(Declarations!$F861)&gt;0,Declarations!$F861,conftype),"")</f>
        <v/>
      </c>
      <c r="M861" s="297">
        <f>IF(ISNA(VLOOKUP($A861,SprintData,2,FALSE)),0,VLOOKUP($A861,SprintData,2,FALSE))</f>
        <v>0</v>
      </c>
      <c r="N861" s="297">
        <f>IF(ISNA(VLOOKUP($A861,JumpData,2,FALSE)),0,VLOOKUP($A861,JumpData,2,FALSE))</f>
        <v>0</v>
      </c>
      <c r="O861" s="297">
        <f>IF(ISNA(VLOOKUP($A861,RunData,2,FALSE)),0,VLOOKUP($A861,RunData,2,FALSE))</f>
        <v>0</v>
      </c>
      <c r="P861" s="297">
        <f>IF(ISNA(VLOOKUP($A861,ThrowData,2,FALSE)),0,VLOOKUP($A861,ThrowData,2,FALSE))</f>
        <v>0</v>
      </c>
      <c r="Q861" s="298">
        <f>IF(ISNA(VLOOKUP($A861,SprintData,4,FALSE)),0,VLOOKUP($A861,SprintData,4,FALSE))+V861</f>
        <v>0</v>
      </c>
      <c r="R861" s="298">
        <f>IF(ISNA(VLOOKUP($A861,JumpData,4,FALSE)),0,VLOOKUP($A861,JumpData,4,FALSE))+W861</f>
        <v>0</v>
      </c>
      <c r="S861" s="298">
        <f>IF(ISNA(VLOOKUP($A861,RunData,4,FALSE)),0,VLOOKUP($A861,RunData,4,FALSE))+X861</f>
        <v>0</v>
      </c>
      <c r="T861" s="298">
        <f>IF(ISNA(VLOOKUP($A861,ThrowData,4,FALSE)),0,VLOOKUP($A861,ThrowData,4,FALSE))+Y861</f>
        <v>0</v>
      </c>
      <c r="U861" s="299">
        <f t="shared" si="2"/>
        <v>0</v>
      </c>
      <c r="V861">
        <f>IF(AND($F861&gt;0,NOT(M861),Flexing),FlexPC,0)</f>
        <v>0</v>
      </c>
      <c r="W861">
        <f>IF(AND($F861&gt;0,NOT(N861),Flexing),FlexPC,0)</f>
        <v>0</v>
      </c>
      <c r="X861">
        <f>IF(AND($F861&gt;0,NOT(O861),Flexing),FlexPC,0)</f>
        <v>0</v>
      </c>
      <c r="Y861">
        <f>IF(AND($F861&gt;0,NOT(P861),Flexing),FlexPC,0)</f>
        <v>0</v>
      </c>
      <c r="AA861" s="209">
        <f t="shared" si="3"/>
        <v>860</v>
      </c>
    </row>
    <row r="862" ht="15.75" customHeight="1">
      <c r="A862" s="206" t="str">
        <f>+Declarations!A862&amp;""</f>
        <v/>
      </c>
      <c r="B862" t="str">
        <f>IF(LEN($A862),IF(LEN(Declarations!$B862)&gt;0,Declarations!$B862,"#"&amp;$A862),"")</f>
        <v/>
      </c>
      <c r="C862" s="209" t="str">
        <f t="array" ref="C862">IF(LEN(INDEX(DECLARATIONS,$AA862,3))&gt;0,INDEX(DECLARATIONS,$AA862,3),"...")</f>
        <v>...</v>
      </c>
      <c r="D862" s="209" t="str">
        <f t="shared" si="1"/>
        <v/>
      </c>
      <c r="E862" s="296" t="str">
        <f t="array" ref="E862">IF(ISNA($AA862),0,INDEX(DECLARATIONS,$AA862,5))</f>
        <v/>
      </c>
      <c r="F862" s="209" t="str">
        <f t="array" ref="F862">IF(ISNA($AA862),0,INDEX(DECLARATIONS,$AA862,7))</f>
        <v/>
      </c>
      <c r="G862" s="209" t="str">
        <f t="array" ref="G862">UPPER(IF(ISNA($AA862),"",INDEX(DECLARATIONS,$AA862,4)))</f>
        <v/>
      </c>
      <c r="H862" t="str">
        <f>IF(AND(A862&gt;0,ISTEXT(B862)),IF(SECNAME="YES",LEFT(B862&amp;" ",FIND(" ",B862&amp;" ")+2)&amp;IF(F862&gt;0," ("&amp;F862&amp;")",""),B862&amp;IF(F862&gt;0," ("&amp;F862&amp;")","")),"#"&amp;$A862)</f>
        <v/>
      </c>
      <c r="I862" s="209">
        <f>IF(LEN($A862)&gt;0,IF(LEN($J862)&gt;0,MATCH(J862,MatchNames,0),EventIndex),0)</f>
        <v>0</v>
      </c>
      <c r="J862" s="209" t="str">
        <f>IF(LEN($A862)&gt;0,IF(LEN(Declarations!$F862)&gt;0,Declarations!$F862,conftype),"")</f>
        <v/>
      </c>
      <c r="M862" s="297">
        <f>IF(ISNA(VLOOKUP($A862,SprintData,2,FALSE)),0,VLOOKUP($A862,SprintData,2,FALSE))</f>
        <v>0</v>
      </c>
      <c r="N862" s="297">
        <f>IF(ISNA(VLOOKUP($A862,JumpData,2,FALSE)),0,VLOOKUP($A862,JumpData,2,FALSE))</f>
        <v>0</v>
      </c>
      <c r="O862" s="297">
        <f>IF(ISNA(VLOOKUP($A862,RunData,2,FALSE)),0,VLOOKUP($A862,RunData,2,FALSE))</f>
        <v>0</v>
      </c>
      <c r="P862" s="297">
        <f>IF(ISNA(VLOOKUP($A862,ThrowData,2,FALSE)),0,VLOOKUP($A862,ThrowData,2,FALSE))</f>
        <v>0</v>
      </c>
      <c r="Q862" s="298">
        <f>IF(ISNA(VLOOKUP($A862,SprintData,4,FALSE)),0,VLOOKUP($A862,SprintData,4,FALSE))+V862</f>
        <v>0</v>
      </c>
      <c r="R862" s="298">
        <f>IF(ISNA(VLOOKUP($A862,JumpData,4,FALSE)),0,VLOOKUP($A862,JumpData,4,FALSE))+W862</f>
        <v>0</v>
      </c>
      <c r="S862" s="298">
        <f>IF(ISNA(VLOOKUP($A862,RunData,4,FALSE)),0,VLOOKUP($A862,RunData,4,FALSE))+X862</f>
        <v>0</v>
      </c>
      <c r="T862" s="298">
        <f>IF(ISNA(VLOOKUP($A862,ThrowData,4,FALSE)),0,VLOOKUP($A862,ThrowData,4,FALSE))+Y862</f>
        <v>0</v>
      </c>
      <c r="U862" s="299">
        <f t="shared" si="2"/>
        <v>0</v>
      </c>
      <c r="V862">
        <f>IF(AND($F862&gt;0,NOT(M862),Flexing),FlexPC,0)</f>
        <v>0</v>
      </c>
      <c r="W862">
        <f>IF(AND($F862&gt;0,NOT(N862),Flexing),FlexPC,0)</f>
        <v>0</v>
      </c>
      <c r="X862">
        <f>IF(AND($F862&gt;0,NOT(O862),Flexing),FlexPC,0)</f>
        <v>0</v>
      </c>
      <c r="Y862">
        <f>IF(AND($F862&gt;0,NOT(P862),Flexing),FlexPC,0)</f>
        <v>0</v>
      </c>
      <c r="AA862" s="209">
        <f t="shared" si="3"/>
        <v>861</v>
      </c>
    </row>
    <row r="863" ht="15.75" customHeight="1">
      <c r="A863" s="206" t="str">
        <f>+Declarations!A863&amp;""</f>
        <v/>
      </c>
      <c r="B863" t="str">
        <f>IF(LEN($A863),IF(LEN(Declarations!$B863)&gt;0,Declarations!$B863,"#"&amp;$A863),"")</f>
        <v/>
      </c>
      <c r="C863" s="209" t="str">
        <f t="array" ref="C863">IF(LEN(INDEX(DECLARATIONS,$AA863,3))&gt;0,INDEX(DECLARATIONS,$AA863,3),"...")</f>
        <v>...</v>
      </c>
      <c r="D863" s="209" t="str">
        <f t="shared" si="1"/>
        <v/>
      </c>
      <c r="E863" s="296" t="str">
        <f t="array" ref="E863">IF(ISNA($AA863),0,INDEX(DECLARATIONS,$AA863,5))</f>
        <v/>
      </c>
      <c r="F863" s="209" t="str">
        <f t="array" ref="F863">IF(ISNA($AA863),0,INDEX(DECLARATIONS,$AA863,7))</f>
        <v/>
      </c>
      <c r="G863" s="209" t="str">
        <f t="array" ref="G863">UPPER(IF(ISNA($AA863),"",INDEX(DECLARATIONS,$AA863,4)))</f>
        <v/>
      </c>
      <c r="H863" t="str">
        <f>IF(AND(A863&gt;0,ISTEXT(B863)),IF(SECNAME="YES",LEFT(B863&amp;" ",FIND(" ",B863&amp;" ")+2)&amp;IF(F863&gt;0," ("&amp;F863&amp;")",""),B863&amp;IF(F863&gt;0," ("&amp;F863&amp;")","")),"#"&amp;$A863)</f>
        <v/>
      </c>
      <c r="I863" s="209">
        <f>IF(LEN($A863)&gt;0,IF(LEN($J863)&gt;0,MATCH(J863,MatchNames,0),EventIndex),0)</f>
        <v>0</v>
      </c>
      <c r="J863" s="209" t="str">
        <f>IF(LEN($A863)&gt;0,IF(LEN(Declarations!$F863)&gt;0,Declarations!$F863,conftype),"")</f>
        <v/>
      </c>
      <c r="M863" s="297">
        <f>IF(ISNA(VLOOKUP($A863,SprintData,2,FALSE)),0,VLOOKUP($A863,SprintData,2,FALSE))</f>
        <v>0</v>
      </c>
      <c r="N863" s="297">
        <f>IF(ISNA(VLOOKUP($A863,JumpData,2,FALSE)),0,VLOOKUP($A863,JumpData,2,FALSE))</f>
        <v>0</v>
      </c>
      <c r="O863" s="297">
        <f>IF(ISNA(VLOOKUP($A863,RunData,2,FALSE)),0,VLOOKUP($A863,RunData,2,FALSE))</f>
        <v>0</v>
      </c>
      <c r="P863" s="297">
        <f>IF(ISNA(VLOOKUP($A863,ThrowData,2,FALSE)),0,VLOOKUP($A863,ThrowData,2,FALSE))</f>
        <v>0</v>
      </c>
      <c r="Q863" s="298">
        <f>IF(ISNA(VLOOKUP($A863,SprintData,4,FALSE)),0,VLOOKUP($A863,SprintData,4,FALSE))+V863</f>
        <v>0</v>
      </c>
      <c r="R863" s="298">
        <f>IF(ISNA(VLOOKUP($A863,JumpData,4,FALSE)),0,VLOOKUP($A863,JumpData,4,FALSE))+W863</f>
        <v>0</v>
      </c>
      <c r="S863" s="298">
        <f>IF(ISNA(VLOOKUP($A863,RunData,4,FALSE)),0,VLOOKUP($A863,RunData,4,FALSE))+X863</f>
        <v>0</v>
      </c>
      <c r="T863" s="298">
        <f>IF(ISNA(VLOOKUP($A863,ThrowData,4,FALSE)),0,VLOOKUP($A863,ThrowData,4,FALSE))+Y863</f>
        <v>0</v>
      </c>
      <c r="U863" s="299">
        <f t="shared" si="2"/>
        <v>0</v>
      </c>
      <c r="V863">
        <f>IF(AND($F863&gt;0,NOT(M863),Flexing),FlexPC,0)</f>
        <v>0</v>
      </c>
      <c r="W863">
        <f>IF(AND($F863&gt;0,NOT(N863),Flexing),FlexPC,0)</f>
        <v>0</v>
      </c>
      <c r="X863">
        <f>IF(AND($F863&gt;0,NOT(O863),Flexing),FlexPC,0)</f>
        <v>0</v>
      </c>
      <c r="Y863">
        <f>IF(AND($F863&gt;0,NOT(P863),Flexing),FlexPC,0)</f>
        <v>0</v>
      </c>
      <c r="AA863" s="209">
        <f t="shared" si="3"/>
        <v>862</v>
      </c>
    </row>
    <row r="864" ht="15.75" customHeight="1">
      <c r="A864" s="206" t="str">
        <f>+Declarations!A864&amp;""</f>
        <v/>
      </c>
      <c r="B864" t="str">
        <f>IF(LEN($A864),IF(LEN(Declarations!$B864)&gt;0,Declarations!$B864,"#"&amp;$A864),"")</f>
        <v/>
      </c>
      <c r="C864" s="209" t="str">
        <f t="array" ref="C864">IF(LEN(INDEX(DECLARATIONS,$AA864,3))&gt;0,INDEX(DECLARATIONS,$AA864,3),"...")</f>
        <v>...</v>
      </c>
      <c r="D864" s="209" t="str">
        <f t="shared" si="1"/>
        <v/>
      </c>
      <c r="E864" s="296" t="str">
        <f t="array" ref="E864">IF(ISNA($AA864),0,INDEX(DECLARATIONS,$AA864,5))</f>
        <v/>
      </c>
      <c r="F864" s="209" t="str">
        <f t="array" ref="F864">IF(ISNA($AA864),0,INDEX(DECLARATIONS,$AA864,7))</f>
        <v/>
      </c>
      <c r="G864" s="209" t="str">
        <f t="array" ref="G864">UPPER(IF(ISNA($AA864),"",INDEX(DECLARATIONS,$AA864,4)))</f>
        <v/>
      </c>
      <c r="H864" t="str">
        <f>IF(AND(A864&gt;0,ISTEXT(B864)),IF(SECNAME="YES",LEFT(B864&amp;" ",FIND(" ",B864&amp;" ")+2)&amp;IF(F864&gt;0," ("&amp;F864&amp;")",""),B864&amp;IF(F864&gt;0," ("&amp;F864&amp;")","")),"#"&amp;$A864)</f>
        <v/>
      </c>
      <c r="I864" s="209">
        <f>IF(LEN($A864)&gt;0,IF(LEN($J864)&gt;0,MATCH(J864,MatchNames,0),EventIndex),0)</f>
        <v>0</v>
      </c>
      <c r="J864" s="209" t="str">
        <f>IF(LEN($A864)&gt;0,IF(LEN(Declarations!$F864)&gt;0,Declarations!$F864,conftype),"")</f>
        <v/>
      </c>
      <c r="M864" s="297">
        <f>IF(ISNA(VLOOKUP($A864,SprintData,2,FALSE)),0,VLOOKUP($A864,SprintData,2,FALSE))</f>
        <v>0</v>
      </c>
      <c r="N864" s="297">
        <f>IF(ISNA(VLOOKUP($A864,JumpData,2,FALSE)),0,VLOOKUP($A864,JumpData,2,FALSE))</f>
        <v>0</v>
      </c>
      <c r="O864" s="297">
        <f>IF(ISNA(VLOOKUP($A864,RunData,2,FALSE)),0,VLOOKUP($A864,RunData,2,FALSE))</f>
        <v>0</v>
      </c>
      <c r="P864" s="297">
        <f>IF(ISNA(VLOOKUP($A864,ThrowData,2,FALSE)),0,VLOOKUP($A864,ThrowData,2,FALSE))</f>
        <v>0</v>
      </c>
      <c r="Q864" s="298">
        <f>IF(ISNA(VLOOKUP($A864,SprintData,4,FALSE)),0,VLOOKUP($A864,SprintData,4,FALSE))+V864</f>
        <v>0</v>
      </c>
      <c r="R864" s="298">
        <f>IF(ISNA(VLOOKUP($A864,JumpData,4,FALSE)),0,VLOOKUP($A864,JumpData,4,FALSE))+W864</f>
        <v>0</v>
      </c>
      <c r="S864" s="298">
        <f>IF(ISNA(VLOOKUP($A864,RunData,4,FALSE)),0,VLOOKUP($A864,RunData,4,FALSE))+X864</f>
        <v>0</v>
      </c>
      <c r="T864" s="298">
        <f>IF(ISNA(VLOOKUP($A864,ThrowData,4,FALSE)),0,VLOOKUP($A864,ThrowData,4,FALSE))+Y864</f>
        <v>0</v>
      </c>
      <c r="U864" s="299">
        <f t="shared" si="2"/>
        <v>0</v>
      </c>
      <c r="V864">
        <f>IF(AND($F864&gt;0,NOT(M864),Flexing),FlexPC,0)</f>
        <v>0</v>
      </c>
      <c r="W864">
        <f>IF(AND($F864&gt;0,NOT(N864),Flexing),FlexPC,0)</f>
        <v>0</v>
      </c>
      <c r="X864">
        <f>IF(AND($F864&gt;0,NOT(O864),Flexing),FlexPC,0)</f>
        <v>0</v>
      </c>
      <c r="Y864">
        <f>IF(AND($F864&gt;0,NOT(P864),Flexing),FlexPC,0)</f>
        <v>0</v>
      </c>
      <c r="AA864" s="209">
        <f t="shared" si="3"/>
        <v>863</v>
      </c>
    </row>
    <row r="865" ht="15.75" customHeight="1">
      <c r="A865" s="206" t="str">
        <f>+Declarations!A865&amp;""</f>
        <v/>
      </c>
      <c r="B865" t="str">
        <f>IF(LEN($A865),IF(LEN(Declarations!$B865)&gt;0,Declarations!$B865,"#"&amp;$A865),"")</f>
        <v/>
      </c>
      <c r="C865" s="209" t="str">
        <f t="array" ref="C865">IF(LEN(INDEX(DECLARATIONS,$AA865,3))&gt;0,INDEX(DECLARATIONS,$AA865,3),"...")</f>
        <v>...</v>
      </c>
      <c r="D865" s="209" t="str">
        <f t="shared" si="1"/>
        <v/>
      </c>
      <c r="E865" s="296" t="str">
        <f t="array" ref="E865">IF(ISNA($AA865),0,INDEX(DECLARATIONS,$AA865,5))</f>
        <v/>
      </c>
      <c r="F865" s="209" t="str">
        <f t="array" ref="F865">IF(ISNA($AA865),0,INDEX(DECLARATIONS,$AA865,7))</f>
        <v/>
      </c>
      <c r="G865" s="209" t="str">
        <f t="array" ref="G865">UPPER(IF(ISNA($AA865),"",INDEX(DECLARATIONS,$AA865,4)))</f>
        <v/>
      </c>
      <c r="H865" t="str">
        <f>IF(AND(A865&gt;0,ISTEXT(B865)),IF(SECNAME="YES",LEFT(B865&amp;" ",FIND(" ",B865&amp;" ")+2)&amp;IF(F865&gt;0," ("&amp;F865&amp;")",""),B865&amp;IF(F865&gt;0," ("&amp;F865&amp;")","")),"#"&amp;$A865)</f>
        <v/>
      </c>
      <c r="I865" s="209">
        <f>IF(LEN($A865)&gt;0,IF(LEN($J865)&gt;0,MATCH(J865,MatchNames,0),EventIndex),0)</f>
        <v>0</v>
      </c>
      <c r="J865" s="209" t="str">
        <f>IF(LEN($A865)&gt;0,IF(LEN(Declarations!$F865)&gt;0,Declarations!$F865,conftype),"")</f>
        <v/>
      </c>
      <c r="M865" s="297">
        <f>IF(ISNA(VLOOKUP($A865,SprintData,2,FALSE)),0,VLOOKUP($A865,SprintData,2,FALSE))</f>
        <v>0</v>
      </c>
      <c r="N865" s="297">
        <f>IF(ISNA(VLOOKUP($A865,JumpData,2,FALSE)),0,VLOOKUP($A865,JumpData,2,FALSE))</f>
        <v>0</v>
      </c>
      <c r="O865" s="297">
        <f>IF(ISNA(VLOOKUP($A865,RunData,2,FALSE)),0,VLOOKUP($A865,RunData,2,FALSE))</f>
        <v>0</v>
      </c>
      <c r="P865" s="297">
        <f>IF(ISNA(VLOOKUP($A865,ThrowData,2,FALSE)),0,VLOOKUP($A865,ThrowData,2,FALSE))</f>
        <v>0</v>
      </c>
      <c r="Q865" s="298">
        <f>IF(ISNA(VLOOKUP($A865,SprintData,4,FALSE)),0,VLOOKUP($A865,SprintData,4,FALSE))+V865</f>
        <v>0</v>
      </c>
      <c r="R865" s="298">
        <f>IF(ISNA(VLOOKUP($A865,JumpData,4,FALSE)),0,VLOOKUP($A865,JumpData,4,FALSE))+W865</f>
        <v>0</v>
      </c>
      <c r="S865" s="298">
        <f>IF(ISNA(VLOOKUP($A865,RunData,4,FALSE)),0,VLOOKUP($A865,RunData,4,FALSE))+X865</f>
        <v>0</v>
      </c>
      <c r="T865" s="298">
        <f>IF(ISNA(VLOOKUP($A865,ThrowData,4,FALSE)),0,VLOOKUP($A865,ThrowData,4,FALSE))+Y865</f>
        <v>0</v>
      </c>
      <c r="U865" s="299">
        <f t="shared" si="2"/>
        <v>0</v>
      </c>
      <c r="V865">
        <f>IF(AND($F865&gt;0,NOT(M865),Flexing),FlexPC,0)</f>
        <v>0</v>
      </c>
      <c r="W865">
        <f>IF(AND($F865&gt;0,NOT(N865),Flexing),FlexPC,0)</f>
        <v>0</v>
      </c>
      <c r="X865">
        <f>IF(AND($F865&gt;0,NOT(O865),Flexing),FlexPC,0)</f>
        <v>0</v>
      </c>
      <c r="Y865">
        <f>IF(AND($F865&gt;0,NOT(P865),Flexing),FlexPC,0)</f>
        <v>0</v>
      </c>
      <c r="AA865" s="209">
        <f t="shared" si="3"/>
        <v>864</v>
      </c>
    </row>
    <row r="866" ht="15.75" customHeight="1">
      <c r="A866" s="206" t="str">
        <f>+Declarations!A866&amp;""</f>
        <v/>
      </c>
      <c r="B866" t="str">
        <f>IF(LEN($A866),IF(LEN(Declarations!$B866)&gt;0,Declarations!$B866,"#"&amp;$A866),"")</f>
        <v/>
      </c>
      <c r="C866" s="209" t="str">
        <f t="array" ref="C866">IF(LEN(INDEX(DECLARATIONS,$AA866,3))&gt;0,INDEX(DECLARATIONS,$AA866,3),"...")</f>
        <v>...</v>
      </c>
      <c r="D866" s="209" t="str">
        <f t="shared" si="1"/>
        <v/>
      </c>
      <c r="E866" s="296" t="str">
        <f t="array" ref="E866">IF(ISNA($AA866),0,INDEX(DECLARATIONS,$AA866,5))</f>
        <v/>
      </c>
      <c r="F866" s="209" t="str">
        <f t="array" ref="F866">IF(ISNA($AA866),0,INDEX(DECLARATIONS,$AA866,7))</f>
        <v/>
      </c>
      <c r="G866" s="209" t="str">
        <f t="array" ref="G866">UPPER(IF(ISNA($AA866),"",INDEX(DECLARATIONS,$AA866,4)))</f>
        <v/>
      </c>
      <c r="H866" t="str">
        <f>IF(AND(A866&gt;0,ISTEXT(B866)),IF(SECNAME="YES",LEFT(B866&amp;" ",FIND(" ",B866&amp;" ")+2)&amp;IF(F866&gt;0," ("&amp;F866&amp;")",""),B866&amp;IF(F866&gt;0," ("&amp;F866&amp;")","")),"#"&amp;$A866)</f>
        <v/>
      </c>
      <c r="I866" s="209">
        <f>IF(LEN($A866)&gt;0,IF(LEN($J866)&gt;0,MATCH(J866,MatchNames,0),EventIndex),0)</f>
        <v>0</v>
      </c>
      <c r="J866" s="209" t="str">
        <f>IF(LEN($A866)&gt;0,IF(LEN(Declarations!$F866)&gt;0,Declarations!$F866,conftype),"")</f>
        <v/>
      </c>
      <c r="M866" s="297">
        <f>IF(ISNA(VLOOKUP($A866,SprintData,2,FALSE)),0,VLOOKUP($A866,SprintData,2,FALSE))</f>
        <v>0</v>
      </c>
      <c r="N866" s="297">
        <f>IF(ISNA(VLOOKUP($A866,JumpData,2,FALSE)),0,VLOOKUP($A866,JumpData,2,FALSE))</f>
        <v>0</v>
      </c>
      <c r="O866" s="297">
        <f>IF(ISNA(VLOOKUP($A866,RunData,2,FALSE)),0,VLOOKUP($A866,RunData,2,FALSE))</f>
        <v>0</v>
      </c>
      <c r="P866" s="297">
        <f>IF(ISNA(VLOOKUP($A866,ThrowData,2,FALSE)),0,VLOOKUP($A866,ThrowData,2,FALSE))</f>
        <v>0</v>
      </c>
      <c r="Q866" s="298">
        <f>IF(ISNA(VLOOKUP($A866,SprintData,4,FALSE)),0,VLOOKUP($A866,SprintData,4,FALSE))+V866</f>
        <v>0</v>
      </c>
      <c r="R866" s="298">
        <f>IF(ISNA(VLOOKUP($A866,JumpData,4,FALSE)),0,VLOOKUP($A866,JumpData,4,FALSE))+W866</f>
        <v>0</v>
      </c>
      <c r="S866" s="298">
        <f>IF(ISNA(VLOOKUP($A866,RunData,4,FALSE)),0,VLOOKUP($A866,RunData,4,FALSE))+X866</f>
        <v>0</v>
      </c>
      <c r="T866" s="298">
        <f>IF(ISNA(VLOOKUP($A866,ThrowData,4,FALSE)),0,VLOOKUP($A866,ThrowData,4,FALSE))+Y866</f>
        <v>0</v>
      </c>
      <c r="U866" s="299">
        <f t="shared" si="2"/>
        <v>0</v>
      </c>
      <c r="V866">
        <f>IF(AND($F866&gt;0,NOT(M866),Flexing),FlexPC,0)</f>
        <v>0</v>
      </c>
      <c r="W866">
        <f>IF(AND($F866&gt;0,NOT(N866),Flexing),FlexPC,0)</f>
        <v>0</v>
      </c>
      <c r="X866">
        <f>IF(AND($F866&gt;0,NOT(O866),Flexing),FlexPC,0)</f>
        <v>0</v>
      </c>
      <c r="Y866">
        <f>IF(AND($F866&gt;0,NOT(P866),Flexing),FlexPC,0)</f>
        <v>0</v>
      </c>
      <c r="AA866" s="209">
        <f t="shared" si="3"/>
        <v>865</v>
      </c>
    </row>
    <row r="867" ht="15.75" customHeight="1">
      <c r="A867" s="206" t="str">
        <f>+Declarations!A867&amp;""</f>
        <v/>
      </c>
      <c r="B867" t="str">
        <f>IF(LEN($A867),IF(LEN(Declarations!$B867)&gt;0,Declarations!$B867,"#"&amp;$A867),"")</f>
        <v/>
      </c>
      <c r="C867" s="209" t="str">
        <f t="array" ref="C867">IF(LEN(INDEX(DECLARATIONS,$AA867,3))&gt;0,INDEX(DECLARATIONS,$AA867,3),"...")</f>
        <v>...</v>
      </c>
      <c r="D867" s="209" t="str">
        <f t="shared" si="1"/>
        <v/>
      </c>
      <c r="E867" s="296" t="str">
        <f t="array" ref="E867">IF(ISNA($AA867),0,INDEX(DECLARATIONS,$AA867,5))</f>
        <v/>
      </c>
      <c r="F867" s="209" t="str">
        <f t="array" ref="F867">IF(ISNA($AA867),0,INDEX(DECLARATIONS,$AA867,7))</f>
        <v/>
      </c>
      <c r="G867" s="209" t="str">
        <f t="array" ref="G867">UPPER(IF(ISNA($AA867),"",INDEX(DECLARATIONS,$AA867,4)))</f>
        <v/>
      </c>
      <c r="H867" t="str">
        <f>IF(AND(A867&gt;0,ISTEXT(B867)),IF(SECNAME="YES",LEFT(B867&amp;" ",FIND(" ",B867&amp;" ")+2)&amp;IF(F867&gt;0," ("&amp;F867&amp;")",""),B867&amp;IF(F867&gt;0," ("&amp;F867&amp;")","")),"#"&amp;$A867)</f>
        <v/>
      </c>
      <c r="I867" s="209">
        <f>IF(LEN($A867)&gt;0,IF(LEN($J867)&gt;0,MATCH(J867,MatchNames,0),EventIndex),0)</f>
        <v>0</v>
      </c>
      <c r="J867" s="209" t="str">
        <f>IF(LEN($A867)&gt;0,IF(LEN(Declarations!$F867)&gt;0,Declarations!$F867,conftype),"")</f>
        <v/>
      </c>
      <c r="M867" s="297">
        <f>IF(ISNA(VLOOKUP($A867,SprintData,2,FALSE)),0,VLOOKUP($A867,SprintData,2,FALSE))</f>
        <v>0</v>
      </c>
      <c r="N867" s="297">
        <f>IF(ISNA(VLOOKUP($A867,JumpData,2,FALSE)),0,VLOOKUP($A867,JumpData,2,FALSE))</f>
        <v>0</v>
      </c>
      <c r="O867" s="297">
        <f>IF(ISNA(VLOOKUP($A867,RunData,2,FALSE)),0,VLOOKUP($A867,RunData,2,FALSE))</f>
        <v>0</v>
      </c>
      <c r="P867" s="297">
        <f>IF(ISNA(VLOOKUP($A867,ThrowData,2,FALSE)),0,VLOOKUP($A867,ThrowData,2,FALSE))</f>
        <v>0</v>
      </c>
      <c r="Q867" s="298">
        <f>IF(ISNA(VLOOKUP($A867,SprintData,4,FALSE)),0,VLOOKUP($A867,SprintData,4,FALSE))+V867</f>
        <v>0</v>
      </c>
      <c r="R867" s="298">
        <f>IF(ISNA(VLOOKUP($A867,JumpData,4,FALSE)),0,VLOOKUP($A867,JumpData,4,FALSE))+W867</f>
        <v>0</v>
      </c>
      <c r="S867" s="298">
        <f>IF(ISNA(VLOOKUP($A867,RunData,4,FALSE)),0,VLOOKUP($A867,RunData,4,FALSE))+X867</f>
        <v>0</v>
      </c>
      <c r="T867" s="298">
        <f>IF(ISNA(VLOOKUP($A867,ThrowData,4,FALSE)),0,VLOOKUP($A867,ThrowData,4,FALSE))+Y867</f>
        <v>0</v>
      </c>
      <c r="U867" s="299">
        <f t="shared" si="2"/>
        <v>0</v>
      </c>
      <c r="V867">
        <f>IF(AND($F867&gt;0,NOT(M867),Flexing),FlexPC,0)</f>
        <v>0</v>
      </c>
      <c r="W867">
        <f>IF(AND($F867&gt;0,NOT(N867),Flexing),FlexPC,0)</f>
        <v>0</v>
      </c>
      <c r="X867">
        <f>IF(AND($F867&gt;0,NOT(O867),Flexing),FlexPC,0)</f>
        <v>0</v>
      </c>
      <c r="Y867">
        <f>IF(AND($F867&gt;0,NOT(P867),Flexing),FlexPC,0)</f>
        <v>0</v>
      </c>
      <c r="AA867" s="209">
        <f t="shared" si="3"/>
        <v>866</v>
      </c>
    </row>
    <row r="868" ht="15.75" customHeight="1">
      <c r="A868" s="206" t="str">
        <f>+Declarations!A868&amp;""</f>
        <v/>
      </c>
      <c r="B868" t="str">
        <f>IF(LEN($A868),IF(LEN(Declarations!$B868)&gt;0,Declarations!$B868,"#"&amp;$A868),"")</f>
        <v/>
      </c>
      <c r="C868" s="209" t="str">
        <f t="array" ref="C868">IF(LEN(INDEX(DECLARATIONS,$AA868,3))&gt;0,INDEX(DECLARATIONS,$AA868,3),"...")</f>
        <v>...</v>
      </c>
      <c r="D868" s="209" t="str">
        <f t="shared" si="1"/>
        <v/>
      </c>
      <c r="E868" s="296" t="str">
        <f t="array" ref="E868">IF(ISNA($AA868),0,INDEX(DECLARATIONS,$AA868,5))</f>
        <v/>
      </c>
      <c r="F868" s="209" t="str">
        <f t="array" ref="F868">IF(ISNA($AA868),0,INDEX(DECLARATIONS,$AA868,7))</f>
        <v/>
      </c>
      <c r="G868" s="209" t="str">
        <f t="array" ref="G868">UPPER(IF(ISNA($AA868),"",INDEX(DECLARATIONS,$AA868,4)))</f>
        <v/>
      </c>
      <c r="H868" t="str">
        <f>IF(AND(A868&gt;0,ISTEXT(B868)),IF(SECNAME="YES",LEFT(B868&amp;" ",FIND(" ",B868&amp;" ")+2)&amp;IF(F868&gt;0," ("&amp;F868&amp;")",""),B868&amp;IF(F868&gt;0," ("&amp;F868&amp;")","")),"#"&amp;$A868)</f>
        <v/>
      </c>
      <c r="I868" s="209">
        <f>IF(LEN($A868)&gt;0,IF(LEN($J868)&gt;0,MATCH(J868,MatchNames,0),EventIndex),0)</f>
        <v>0</v>
      </c>
      <c r="J868" s="209" t="str">
        <f>IF(LEN($A868)&gt;0,IF(LEN(Declarations!$F868)&gt;0,Declarations!$F868,conftype),"")</f>
        <v/>
      </c>
      <c r="M868" s="297">
        <f>IF(ISNA(VLOOKUP($A868,SprintData,2,FALSE)),0,VLOOKUP($A868,SprintData,2,FALSE))</f>
        <v>0</v>
      </c>
      <c r="N868" s="297">
        <f>IF(ISNA(VLOOKUP($A868,JumpData,2,FALSE)),0,VLOOKUP($A868,JumpData,2,FALSE))</f>
        <v>0</v>
      </c>
      <c r="O868" s="297">
        <f>IF(ISNA(VLOOKUP($A868,RunData,2,FALSE)),0,VLOOKUP($A868,RunData,2,FALSE))</f>
        <v>0</v>
      </c>
      <c r="P868" s="297">
        <f>IF(ISNA(VLOOKUP($A868,ThrowData,2,FALSE)),0,VLOOKUP($A868,ThrowData,2,FALSE))</f>
        <v>0</v>
      </c>
      <c r="Q868" s="298">
        <f>IF(ISNA(VLOOKUP($A868,SprintData,4,FALSE)),0,VLOOKUP($A868,SprintData,4,FALSE))+V868</f>
        <v>0</v>
      </c>
      <c r="R868" s="298">
        <f>IF(ISNA(VLOOKUP($A868,JumpData,4,FALSE)),0,VLOOKUP($A868,JumpData,4,FALSE))+W868</f>
        <v>0</v>
      </c>
      <c r="S868" s="298">
        <f>IF(ISNA(VLOOKUP($A868,RunData,4,FALSE)),0,VLOOKUP($A868,RunData,4,FALSE))+X868</f>
        <v>0</v>
      </c>
      <c r="T868" s="298">
        <f>IF(ISNA(VLOOKUP($A868,ThrowData,4,FALSE)),0,VLOOKUP($A868,ThrowData,4,FALSE))+Y868</f>
        <v>0</v>
      </c>
      <c r="U868" s="299">
        <f t="shared" si="2"/>
        <v>0</v>
      </c>
      <c r="V868">
        <f>IF(AND($F868&gt;0,NOT(M868),Flexing),FlexPC,0)</f>
        <v>0</v>
      </c>
      <c r="W868">
        <f>IF(AND($F868&gt;0,NOT(N868),Flexing),FlexPC,0)</f>
        <v>0</v>
      </c>
      <c r="X868">
        <f>IF(AND($F868&gt;0,NOT(O868),Flexing),FlexPC,0)</f>
        <v>0</v>
      </c>
      <c r="Y868">
        <f>IF(AND($F868&gt;0,NOT(P868),Flexing),FlexPC,0)</f>
        <v>0</v>
      </c>
      <c r="AA868" s="209">
        <f t="shared" si="3"/>
        <v>867</v>
      </c>
    </row>
    <row r="869" ht="15.75" customHeight="1">
      <c r="A869" s="206" t="str">
        <f>+Declarations!A869&amp;""</f>
        <v/>
      </c>
      <c r="B869" t="str">
        <f>IF(LEN($A869),IF(LEN(Declarations!$B869)&gt;0,Declarations!$B869,"#"&amp;$A869),"")</f>
        <v/>
      </c>
      <c r="C869" s="209" t="str">
        <f t="array" ref="C869">IF(LEN(INDEX(DECLARATIONS,$AA869,3))&gt;0,INDEX(DECLARATIONS,$AA869,3),"...")</f>
        <v>...</v>
      </c>
      <c r="D869" s="209" t="str">
        <f t="shared" si="1"/>
        <v/>
      </c>
      <c r="E869" s="296" t="str">
        <f t="array" ref="E869">IF(ISNA($AA869),0,INDEX(DECLARATIONS,$AA869,5))</f>
        <v/>
      </c>
      <c r="F869" s="209" t="str">
        <f t="array" ref="F869">IF(ISNA($AA869),0,INDEX(DECLARATIONS,$AA869,7))</f>
        <v/>
      </c>
      <c r="G869" s="209" t="str">
        <f t="array" ref="G869">UPPER(IF(ISNA($AA869),"",INDEX(DECLARATIONS,$AA869,4)))</f>
        <v/>
      </c>
      <c r="H869" t="str">
        <f>IF(AND(A869&gt;0,ISTEXT(B869)),IF(SECNAME="YES",LEFT(B869&amp;" ",FIND(" ",B869&amp;" ")+2)&amp;IF(F869&gt;0," ("&amp;F869&amp;")",""),B869&amp;IF(F869&gt;0," ("&amp;F869&amp;")","")),"#"&amp;$A869)</f>
        <v/>
      </c>
      <c r="I869" s="209">
        <f>IF(LEN($A869)&gt;0,IF(LEN($J869)&gt;0,MATCH(J869,MatchNames,0),EventIndex),0)</f>
        <v>0</v>
      </c>
      <c r="J869" s="209" t="str">
        <f>IF(LEN($A869)&gt;0,IF(LEN(Declarations!$F869)&gt;0,Declarations!$F869,conftype),"")</f>
        <v/>
      </c>
      <c r="M869" s="297">
        <f>IF(ISNA(VLOOKUP($A869,SprintData,2,FALSE)),0,VLOOKUP($A869,SprintData,2,FALSE))</f>
        <v>0</v>
      </c>
      <c r="N869" s="297">
        <f>IF(ISNA(VLOOKUP($A869,JumpData,2,FALSE)),0,VLOOKUP($A869,JumpData,2,FALSE))</f>
        <v>0</v>
      </c>
      <c r="O869" s="297">
        <f>IF(ISNA(VLOOKUP($A869,RunData,2,FALSE)),0,VLOOKUP($A869,RunData,2,FALSE))</f>
        <v>0</v>
      </c>
      <c r="P869" s="297">
        <f>IF(ISNA(VLOOKUP($A869,ThrowData,2,FALSE)),0,VLOOKUP($A869,ThrowData,2,FALSE))</f>
        <v>0</v>
      </c>
      <c r="Q869" s="298">
        <f>IF(ISNA(VLOOKUP($A869,SprintData,4,FALSE)),0,VLOOKUP($A869,SprintData,4,FALSE))+V869</f>
        <v>0</v>
      </c>
      <c r="R869" s="298">
        <f>IF(ISNA(VLOOKUP($A869,JumpData,4,FALSE)),0,VLOOKUP($A869,JumpData,4,FALSE))+W869</f>
        <v>0</v>
      </c>
      <c r="S869" s="298">
        <f>IF(ISNA(VLOOKUP($A869,RunData,4,FALSE)),0,VLOOKUP($A869,RunData,4,FALSE))+X869</f>
        <v>0</v>
      </c>
      <c r="T869" s="298">
        <f>IF(ISNA(VLOOKUP($A869,ThrowData,4,FALSE)),0,VLOOKUP($A869,ThrowData,4,FALSE))+Y869</f>
        <v>0</v>
      </c>
      <c r="U869" s="299">
        <f t="shared" si="2"/>
        <v>0</v>
      </c>
      <c r="V869">
        <f>IF(AND($F869&gt;0,NOT(M869),Flexing),FlexPC,0)</f>
        <v>0</v>
      </c>
      <c r="W869">
        <f>IF(AND($F869&gt;0,NOT(N869),Flexing),FlexPC,0)</f>
        <v>0</v>
      </c>
      <c r="X869">
        <f>IF(AND($F869&gt;0,NOT(O869),Flexing),FlexPC,0)</f>
        <v>0</v>
      </c>
      <c r="Y869">
        <f>IF(AND($F869&gt;0,NOT(P869),Flexing),FlexPC,0)</f>
        <v>0</v>
      </c>
      <c r="AA869" s="209">
        <f t="shared" si="3"/>
        <v>868</v>
      </c>
    </row>
    <row r="870" ht="15.75" customHeight="1">
      <c r="A870" s="206" t="str">
        <f>+Declarations!A870&amp;""</f>
        <v/>
      </c>
      <c r="B870" t="str">
        <f>IF(LEN($A870),IF(LEN(Declarations!$B870)&gt;0,Declarations!$B870,"#"&amp;$A870),"")</f>
        <v/>
      </c>
      <c r="C870" s="209" t="str">
        <f t="array" ref="C870">IF(LEN(INDEX(DECLARATIONS,$AA870,3))&gt;0,INDEX(DECLARATIONS,$AA870,3),"...")</f>
        <v>...</v>
      </c>
      <c r="D870" s="209" t="str">
        <f t="shared" si="1"/>
        <v/>
      </c>
      <c r="E870" s="296" t="str">
        <f t="array" ref="E870">IF(ISNA($AA870),0,INDEX(DECLARATIONS,$AA870,5))</f>
        <v/>
      </c>
      <c r="F870" s="209" t="str">
        <f t="array" ref="F870">IF(ISNA($AA870),0,INDEX(DECLARATIONS,$AA870,7))</f>
        <v/>
      </c>
      <c r="G870" s="209" t="str">
        <f t="array" ref="G870">UPPER(IF(ISNA($AA870),"",INDEX(DECLARATIONS,$AA870,4)))</f>
        <v/>
      </c>
      <c r="H870" t="str">
        <f>IF(AND(A870&gt;0,ISTEXT(B870)),IF(SECNAME="YES",LEFT(B870&amp;" ",FIND(" ",B870&amp;" ")+2)&amp;IF(F870&gt;0," ("&amp;F870&amp;")",""),B870&amp;IF(F870&gt;0," ("&amp;F870&amp;")","")),"#"&amp;$A870)</f>
        <v/>
      </c>
      <c r="I870" s="209">
        <f>IF(LEN($A870)&gt;0,IF(LEN($J870)&gt;0,MATCH(J870,MatchNames,0),EventIndex),0)</f>
        <v>0</v>
      </c>
      <c r="J870" s="209" t="str">
        <f>IF(LEN($A870)&gt;0,IF(LEN(Declarations!$F870)&gt;0,Declarations!$F870,conftype),"")</f>
        <v/>
      </c>
      <c r="M870" s="297">
        <f>IF(ISNA(VLOOKUP($A870,SprintData,2,FALSE)),0,VLOOKUP($A870,SprintData,2,FALSE))</f>
        <v>0</v>
      </c>
      <c r="N870" s="297">
        <f>IF(ISNA(VLOOKUP($A870,JumpData,2,FALSE)),0,VLOOKUP($A870,JumpData,2,FALSE))</f>
        <v>0</v>
      </c>
      <c r="O870" s="297">
        <f>IF(ISNA(VLOOKUP($A870,RunData,2,FALSE)),0,VLOOKUP($A870,RunData,2,FALSE))</f>
        <v>0</v>
      </c>
      <c r="P870" s="297">
        <f>IF(ISNA(VLOOKUP($A870,ThrowData,2,FALSE)),0,VLOOKUP($A870,ThrowData,2,FALSE))</f>
        <v>0</v>
      </c>
      <c r="Q870" s="298">
        <f>IF(ISNA(VLOOKUP($A870,SprintData,4,FALSE)),0,VLOOKUP($A870,SprintData,4,FALSE))+V870</f>
        <v>0</v>
      </c>
      <c r="R870" s="298">
        <f>IF(ISNA(VLOOKUP($A870,JumpData,4,FALSE)),0,VLOOKUP($A870,JumpData,4,FALSE))+W870</f>
        <v>0</v>
      </c>
      <c r="S870" s="298">
        <f>IF(ISNA(VLOOKUP($A870,RunData,4,FALSE)),0,VLOOKUP($A870,RunData,4,FALSE))+X870</f>
        <v>0</v>
      </c>
      <c r="T870" s="298">
        <f>IF(ISNA(VLOOKUP($A870,ThrowData,4,FALSE)),0,VLOOKUP($A870,ThrowData,4,FALSE))+Y870</f>
        <v>0</v>
      </c>
      <c r="U870" s="299">
        <f t="shared" si="2"/>
        <v>0</v>
      </c>
      <c r="V870">
        <f>IF(AND($F870&gt;0,NOT(M870),Flexing),FlexPC,0)</f>
        <v>0</v>
      </c>
      <c r="W870">
        <f>IF(AND($F870&gt;0,NOT(N870),Flexing),FlexPC,0)</f>
        <v>0</v>
      </c>
      <c r="X870">
        <f>IF(AND($F870&gt;0,NOT(O870),Flexing),FlexPC,0)</f>
        <v>0</v>
      </c>
      <c r="Y870">
        <f>IF(AND($F870&gt;0,NOT(P870),Flexing),FlexPC,0)</f>
        <v>0</v>
      </c>
      <c r="AA870" s="209">
        <f t="shared" si="3"/>
        <v>869</v>
      </c>
    </row>
    <row r="871" ht="15.75" customHeight="1">
      <c r="A871" s="206" t="str">
        <f>+Declarations!A871&amp;""</f>
        <v/>
      </c>
      <c r="B871" t="str">
        <f>IF(LEN($A871),IF(LEN(Declarations!$B871)&gt;0,Declarations!$B871,"#"&amp;$A871),"")</f>
        <v/>
      </c>
      <c r="C871" s="209" t="str">
        <f t="array" ref="C871">IF(LEN(INDEX(DECLARATIONS,$AA871,3))&gt;0,INDEX(DECLARATIONS,$AA871,3),"...")</f>
        <v>...</v>
      </c>
      <c r="D871" s="209" t="str">
        <f t="shared" si="1"/>
        <v/>
      </c>
      <c r="E871" s="296" t="str">
        <f t="array" ref="E871">IF(ISNA($AA871),0,INDEX(DECLARATIONS,$AA871,5))</f>
        <v/>
      </c>
      <c r="F871" s="209" t="str">
        <f t="array" ref="F871">IF(ISNA($AA871),0,INDEX(DECLARATIONS,$AA871,7))</f>
        <v/>
      </c>
      <c r="G871" s="209" t="str">
        <f t="array" ref="G871">UPPER(IF(ISNA($AA871),"",INDEX(DECLARATIONS,$AA871,4)))</f>
        <v/>
      </c>
      <c r="H871" t="str">
        <f>IF(AND(A871&gt;0,ISTEXT(B871)),IF(SECNAME="YES",LEFT(B871&amp;" ",FIND(" ",B871&amp;" ")+2)&amp;IF(F871&gt;0," ("&amp;F871&amp;")",""),B871&amp;IF(F871&gt;0," ("&amp;F871&amp;")","")),"#"&amp;$A871)</f>
        <v/>
      </c>
      <c r="I871" s="209">
        <f>IF(LEN($A871)&gt;0,IF(LEN($J871)&gt;0,MATCH(J871,MatchNames,0),EventIndex),0)</f>
        <v>0</v>
      </c>
      <c r="J871" s="209" t="str">
        <f>IF(LEN($A871)&gt;0,IF(LEN(Declarations!$F871)&gt;0,Declarations!$F871,conftype),"")</f>
        <v/>
      </c>
      <c r="M871" s="297">
        <f>IF(ISNA(VLOOKUP($A871,SprintData,2,FALSE)),0,VLOOKUP($A871,SprintData,2,FALSE))</f>
        <v>0</v>
      </c>
      <c r="N871" s="297">
        <f>IF(ISNA(VLOOKUP($A871,JumpData,2,FALSE)),0,VLOOKUP($A871,JumpData,2,FALSE))</f>
        <v>0</v>
      </c>
      <c r="O871" s="297">
        <f>IF(ISNA(VLOOKUP($A871,RunData,2,FALSE)),0,VLOOKUP($A871,RunData,2,FALSE))</f>
        <v>0</v>
      </c>
      <c r="P871" s="297">
        <f>IF(ISNA(VLOOKUP($A871,ThrowData,2,FALSE)),0,VLOOKUP($A871,ThrowData,2,FALSE))</f>
        <v>0</v>
      </c>
      <c r="Q871" s="298">
        <f>IF(ISNA(VLOOKUP($A871,SprintData,4,FALSE)),0,VLOOKUP($A871,SprintData,4,FALSE))+V871</f>
        <v>0</v>
      </c>
      <c r="R871" s="298">
        <f>IF(ISNA(VLOOKUP($A871,JumpData,4,FALSE)),0,VLOOKUP($A871,JumpData,4,FALSE))+W871</f>
        <v>0</v>
      </c>
      <c r="S871" s="298">
        <f>IF(ISNA(VLOOKUP($A871,RunData,4,FALSE)),0,VLOOKUP($A871,RunData,4,FALSE))+X871</f>
        <v>0</v>
      </c>
      <c r="T871" s="298">
        <f>IF(ISNA(VLOOKUP($A871,ThrowData,4,FALSE)),0,VLOOKUP($A871,ThrowData,4,FALSE))+Y871</f>
        <v>0</v>
      </c>
      <c r="U871" s="299">
        <f t="shared" si="2"/>
        <v>0</v>
      </c>
      <c r="V871">
        <f>IF(AND($F871&gt;0,NOT(M871),Flexing),FlexPC,0)</f>
        <v>0</v>
      </c>
      <c r="W871">
        <f>IF(AND($F871&gt;0,NOT(N871),Flexing),FlexPC,0)</f>
        <v>0</v>
      </c>
      <c r="X871">
        <f>IF(AND($F871&gt;0,NOT(O871),Flexing),FlexPC,0)</f>
        <v>0</v>
      </c>
      <c r="Y871">
        <f>IF(AND($F871&gt;0,NOT(P871),Flexing),FlexPC,0)</f>
        <v>0</v>
      </c>
      <c r="AA871" s="209">
        <f t="shared" si="3"/>
        <v>870</v>
      </c>
    </row>
    <row r="872" ht="15.75" customHeight="1">
      <c r="A872" s="206" t="str">
        <f>+Declarations!A872&amp;""</f>
        <v/>
      </c>
      <c r="B872" t="str">
        <f>IF(LEN($A872),IF(LEN(Declarations!$B872)&gt;0,Declarations!$B872,"#"&amp;$A872),"")</f>
        <v/>
      </c>
      <c r="C872" s="209" t="str">
        <f t="array" ref="C872">IF(LEN(INDEX(DECLARATIONS,$AA872,3))&gt;0,INDEX(DECLARATIONS,$AA872,3),"...")</f>
        <v>...</v>
      </c>
      <c r="D872" s="209" t="str">
        <f t="shared" si="1"/>
        <v/>
      </c>
      <c r="E872" s="296" t="str">
        <f t="array" ref="E872">IF(ISNA($AA872),0,INDEX(DECLARATIONS,$AA872,5))</f>
        <v/>
      </c>
      <c r="F872" s="209" t="str">
        <f t="array" ref="F872">IF(ISNA($AA872),0,INDEX(DECLARATIONS,$AA872,7))</f>
        <v/>
      </c>
      <c r="G872" s="209" t="str">
        <f t="array" ref="G872">UPPER(IF(ISNA($AA872),"",INDEX(DECLARATIONS,$AA872,4)))</f>
        <v/>
      </c>
      <c r="H872" t="str">
        <f>IF(AND(A872&gt;0,ISTEXT(B872)),IF(SECNAME="YES",LEFT(B872&amp;" ",FIND(" ",B872&amp;" ")+2)&amp;IF(F872&gt;0," ("&amp;F872&amp;")",""),B872&amp;IF(F872&gt;0," ("&amp;F872&amp;")","")),"#"&amp;$A872)</f>
        <v/>
      </c>
      <c r="I872" s="209">
        <f>IF(LEN($A872)&gt;0,IF(LEN($J872)&gt;0,MATCH(J872,MatchNames,0),EventIndex),0)</f>
        <v>0</v>
      </c>
      <c r="J872" s="209" t="str">
        <f>IF(LEN($A872)&gt;0,IF(LEN(Declarations!$F872)&gt;0,Declarations!$F872,conftype),"")</f>
        <v/>
      </c>
      <c r="M872" s="297">
        <f>IF(ISNA(VLOOKUP($A872,SprintData,2,FALSE)),0,VLOOKUP($A872,SprintData,2,FALSE))</f>
        <v>0</v>
      </c>
      <c r="N872" s="297">
        <f>IF(ISNA(VLOOKUP($A872,JumpData,2,FALSE)),0,VLOOKUP($A872,JumpData,2,FALSE))</f>
        <v>0</v>
      </c>
      <c r="O872" s="297">
        <f>IF(ISNA(VLOOKUP($A872,RunData,2,FALSE)),0,VLOOKUP($A872,RunData,2,FALSE))</f>
        <v>0</v>
      </c>
      <c r="P872" s="297">
        <f>IF(ISNA(VLOOKUP($A872,ThrowData,2,FALSE)),0,VLOOKUP($A872,ThrowData,2,FALSE))</f>
        <v>0</v>
      </c>
      <c r="Q872" s="298">
        <f>IF(ISNA(VLOOKUP($A872,SprintData,4,FALSE)),0,VLOOKUP($A872,SprintData,4,FALSE))+V872</f>
        <v>0</v>
      </c>
      <c r="R872" s="298">
        <f>IF(ISNA(VLOOKUP($A872,JumpData,4,FALSE)),0,VLOOKUP($A872,JumpData,4,FALSE))+W872</f>
        <v>0</v>
      </c>
      <c r="S872" s="298">
        <f>IF(ISNA(VLOOKUP($A872,RunData,4,FALSE)),0,VLOOKUP($A872,RunData,4,FALSE))+X872</f>
        <v>0</v>
      </c>
      <c r="T872" s="298">
        <f>IF(ISNA(VLOOKUP($A872,ThrowData,4,FALSE)),0,VLOOKUP($A872,ThrowData,4,FALSE))+Y872</f>
        <v>0</v>
      </c>
      <c r="U872" s="299">
        <f t="shared" si="2"/>
        <v>0</v>
      </c>
      <c r="V872">
        <f>IF(AND($F872&gt;0,NOT(M872),Flexing),FlexPC,0)</f>
        <v>0</v>
      </c>
      <c r="W872">
        <f>IF(AND($F872&gt;0,NOT(N872),Flexing),FlexPC,0)</f>
        <v>0</v>
      </c>
      <c r="X872">
        <f>IF(AND($F872&gt;0,NOT(O872),Flexing),FlexPC,0)</f>
        <v>0</v>
      </c>
      <c r="Y872">
        <f>IF(AND($F872&gt;0,NOT(P872),Flexing),FlexPC,0)</f>
        <v>0</v>
      </c>
      <c r="AA872" s="209">
        <f t="shared" si="3"/>
        <v>871</v>
      </c>
    </row>
    <row r="873" ht="15.75" customHeight="1">
      <c r="A873" s="206" t="str">
        <f>+Declarations!A873&amp;""</f>
        <v/>
      </c>
      <c r="B873" t="str">
        <f>IF(LEN($A873),IF(LEN(Declarations!$B873)&gt;0,Declarations!$B873,"#"&amp;$A873),"")</f>
        <v/>
      </c>
      <c r="C873" s="209" t="str">
        <f t="array" ref="C873">IF(LEN(INDEX(DECLARATIONS,$AA873,3))&gt;0,INDEX(DECLARATIONS,$AA873,3),"...")</f>
        <v>...</v>
      </c>
      <c r="D873" s="209" t="str">
        <f t="shared" si="1"/>
        <v/>
      </c>
      <c r="E873" s="296" t="str">
        <f t="array" ref="E873">IF(ISNA($AA873),0,INDEX(DECLARATIONS,$AA873,5))</f>
        <v/>
      </c>
      <c r="F873" s="209" t="str">
        <f t="array" ref="F873">IF(ISNA($AA873),0,INDEX(DECLARATIONS,$AA873,7))</f>
        <v/>
      </c>
      <c r="G873" s="209" t="str">
        <f t="array" ref="G873">UPPER(IF(ISNA($AA873),"",INDEX(DECLARATIONS,$AA873,4)))</f>
        <v/>
      </c>
      <c r="H873" t="str">
        <f>IF(AND(A873&gt;0,ISTEXT(B873)),IF(SECNAME="YES",LEFT(B873&amp;" ",FIND(" ",B873&amp;" ")+2)&amp;IF(F873&gt;0," ("&amp;F873&amp;")",""),B873&amp;IF(F873&gt;0," ("&amp;F873&amp;")","")),"#"&amp;$A873)</f>
        <v/>
      </c>
      <c r="I873" s="209">
        <f>IF(LEN($A873)&gt;0,IF(LEN($J873)&gt;0,MATCH(J873,MatchNames,0),EventIndex),0)</f>
        <v>0</v>
      </c>
      <c r="J873" s="209" t="str">
        <f>IF(LEN($A873)&gt;0,IF(LEN(Declarations!$F873)&gt;0,Declarations!$F873,conftype),"")</f>
        <v/>
      </c>
      <c r="M873" s="297">
        <f>IF(ISNA(VLOOKUP($A873,SprintData,2,FALSE)),0,VLOOKUP($A873,SprintData,2,FALSE))</f>
        <v>0</v>
      </c>
      <c r="N873" s="297">
        <f>IF(ISNA(VLOOKUP($A873,JumpData,2,FALSE)),0,VLOOKUP($A873,JumpData,2,FALSE))</f>
        <v>0</v>
      </c>
      <c r="O873" s="297">
        <f>IF(ISNA(VLOOKUP($A873,RunData,2,FALSE)),0,VLOOKUP($A873,RunData,2,FALSE))</f>
        <v>0</v>
      </c>
      <c r="P873" s="297">
        <f>IF(ISNA(VLOOKUP($A873,ThrowData,2,FALSE)),0,VLOOKUP($A873,ThrowData,2,FALSE))</f>
        <v>0</v>
      </c>
      <c r="Q873" s="298">
        <f>IF(ISNA(VLOOKUP($A873,SprintData,4,FALSE)),0,VLOOKUP($A873,SprintData,4,FALSE))+V873</f>
        <v>0</v>
      </c>
      <c r="R873" s="298">
        <f>IF(ISNA(VLOOKUP($A873,JumpData,4,FALSE)),0,VLOOKUP($A873,JumpData,4,FALSE))+W873</f>
        <v>0</v>
      </c>
      <c r="S873" s="298">
        <f>IF(ISNA(VLOOKUP($A873,RunData,4,FALSE)),0,VLOOKUP($A873,RunData,4,FALSE))+X873</f>
        <v>0</v>
      </c>
      <c r="T873" s="298">
        <f>IF(ISNA(VLOOKUP($A873,ThrowData,4,FALSE)),0,VLOOKUP($A873,ThrowData,4,FALSE))+Y873</f>
        <v>0</v>
      </c>
      <c r="U873" s="299">
        <f t="shared" si="2"/>
        <v>0</v>
      </c>
      <c r="V873">
        <f>IF(AND($F873&gt;0,NOT(M873),Flexing),FlexPC,0)</f>
        <v>0</v>
      </c>
      <c r="W873">
        <f>IF(AND($F873&gt;0,NOT(N873),Flexing),FlexPC,0)</f>
        <v>0</v>
      </c>
      <c r="X873">
        <f>IF(AND($F873&gt;0,NOT(O873),Flexing),FlexPC,0)</f>
        <v>0</v>
      </c>
      <c r="Y873">
        <f>IF(AND($F873&gt;0,NOT(P873),Flexing),FlexPC,0)</f>
        <v>0</v>
      </c>
      <c r="AA873" s="209">
        <f t="shared" si="3"/>
        <v>872</v>
      </c>
    </row>
    <row r="874" ht="15.75" customHeight="1">
      <c r="A874" s="206" t="str">
        <f>+Declarations!A874&amp;""</f>
        <v/>
      </c>
      <c r="B874" t="str">
        <f>IF(LEN($A874),IF(LEN(Declarations!$B874)&gt;0,Declarations!$B874,"#"&amp;$A874),"")</f>
        <v/>
      </c>
      <c r="C874" s="209" t="str">
        <f t="array" ref="C874">IF(LEN(INDEX(DECLARATIONS,$AA874,3))&gt;0,INDEX(DECLARATIONS,$AA874,3),"...")</f>
        <v>...</v>
      </c>
      <c r="D874" s="209" t="str">
        <f t="shared" si="1"/>
        <v/>
      </c>
      <c r="E874" s="296" t="str">
        <f t="array" ref="E874">IF(ISNA($AA874),0,INDEX(DECLARATIONS,$AA874,5))</f>
        <v/>
      </c>
      <c r="F874" s="209" t="str">
        <f t="array" ref="F874">IF(ISNA($AA874),0,INDEX(DECLARATIONS,$AA874,7))</f>
        <v/>
      </c>
      <c r="G874" s="209" t="str">
        <f t="array" ref="G874">UPPER(IF(ISNA($AA874),"",INDEX(DECLARATIONS,$AA874,4)))</f>
        <v/>
      </c>
      <c r="H874" t="str">
        <f>IF(AND(A874&gt;0,ISTEXT(B874)),IF(SECNAME="YES",LEFT(B874&amp;" ",FIND(" ",B874&amp;" ")+2)&amp;IF(F874&gt;0," ("&amp;F874&amp;")",""),B874&amp;IF(F874&gt;0," ("&amp;F874&amp;")","")),"#"&amp;$A874)</f>
        <v/>
      </c>
      <c r="I874" s="209">
        <f>IF(LEN($A874)&gt;0,IF(LEN($J874)&gt;0,MATCH(J874,MatchNames,0),EventIndex),0)</f>
        <v>0</v>
      </c>
      <c r="J874" s="209" t="str">
        <f>IF(LEN($A874)&gt;0,IF(LEN(Declarations!$F874)&gt;0,Declarations!$F874,conftype),"")</f>
        <v/>
      </c>
      <c r="M874" s="297">
        <f>IF(ISNA(VLOOKUP($A874,SprintData,2,FALSE)),0,VLOOKUP($A874,SprintData,2,FALSE))</f>
        <v>0</v>
      </c>
      <c r="N874" s="297">
        <f>IF(ISNA(VLOOKUP($A874,JumpData,2,FALSE)),0,VLOOKUP($A874,JumpData,2,FALSE))</f>
        <v>0</v>
      </c>
      <c r="O874" s="297">
        <f>IF(ISNA(VLOOKUP($A874,RunData,2,FALSE)),0,VLOOKUP($A874,RunData,2,FALSE))</f>
        <v>0</v>
      </c>
      <c r="P874" s="297">
        <f>IF(ISNA(VLOOKUP($A874,ThrowData,2,FALSE)),0,VLOOKUP($A874,ThrowData,2,FALSE))</f>
        <v>0</v>
      </c>
      <c r="Q874" s="298">
        <f>IF(ISNA(VLOOKUP($A874,SprintData,4,FALSE)),0,VLOOKUP($A874,SprintData,4,FALSE))+V874</f>
        <v>0</v>
      </c>
      <c r="R874" s="298">
        <f>IF(ISNA(VLOOKUP($A874,JumpData,4,FALSE)),0,VLOOKUP($A874,JumpData,4,FALSE))+W874</f>
        <v>0</v>
      </c>
      <c r="S874" s="298">
        <f>IF(ISNA(VLOOKUP($A874,RunData,4,FALSE)),0,VLOOKUP($A874,RunData,4,FALSE))+X874</f>
        <v>0</v>
      </c>
      <c r="T874" s="298">
        <f>IF(ISNA(VLOOKUP($A874,ThrowData,4,FALSE)),0,VLOOKUP($A874,ThrowData,4,FALSE))+Y874</f>
        <v>0</v>
      </c>
      <c r="U874" s="299">
        <f t="shared" si="2"/>
        <v>0</v>
      </c>
      <c r="V874">
        <f>IF(AND($F874&gt;0,NOT(M874),Flexing),FlexPC,0)</f>
        <v>0</v>
      </c>
      <c r="W874">
        <f>IF(AND($F874&gt;0,NOT(N874),Flexing),FlexPC,0)</f>
        <v>0</v>
      </c>
      <c r="X874">
        <f>IF(AND($F874&gt;0,NOT(O874),Flexing),FlexPC,0)</f>
        <v>0</v>
      </c>
      <c r="Y874">
        <f>IF(AND($F874&gt;0,NOT(P874),Flexing),FlexPC,0)</f>
        <v>0</v>
      </c>
      <c r="AA874" s="209">
        <f t="shared" si="3"/>
        <v>873</v>
      </c>
    </row>
    <row r="875" ht="15.75" customHeight="1">
      <c r="A875" s="206" t="str">
        <f>+Declarations!A875&amp;""</f>
        <v/>
      </c>
      <c r="B875" t="str">
        <f>IF(LEN($A875),IF(LEN(Declarations!$B875)&gt;0,Declarations!$B875,"#"&amp;$A875),"")</f>
        <v/>
      </c>
      <c r="C875" s="209" t="str">
        <f t="array" ref="C875">IF(LEN(INDEX(DECLARATIONS,$AA875,3))&gt;0,INDEX(DECLARATIONS,$AA875,3),"...")</f>
        <v>...</v>
      </c>
      <c r="D875" s="209" t="str">
        <f t="shared" si="1"/>
        <v/>
      </c>
      <c r="E875" s="296" t="str">
        <f t="array" ref="E875">IF(ISNA($AA875),0,INDEX(DECLARATIONS,$AA875,5))</f>
        <v/>
      </c>
      <c r="F875" s="209" t="str">
        <f t="array" ref="F875">IF(ISNA($AA875),0,INDEX(DECLARATIONS,$AA875,7))</f>
        <v/>
      </c>
      <c r="G875" s="209" t="str">
        <f t="array" ref="G875">UPPER(IF(ISNA($AA875),"",INDEX(DECLARATIONS,$AA875,4)))</f>
        <v/>
      </c>
      <c r="H875" t="str">
        <f>IF(AND(A875&gt;0,ISTEXT(B875)),IF(SECNAME="YES",LEFT(B875&amp;" ",FIND(" ",B875&amp;" ")+2)&amp;IF(F875&gt;0," ("&amp;F875&amp;")",""),B875&amp;IF(F875&gt;0," ("&amp;F875&amp;")","")),"#"&amp;$A875)</f>
        <v/>
      </c>
      <c r="I875" s="209">
        <f>IF(LEN($A875)&gt;0,IF(LEN($J875)&gt;0,MATCH(J875,MatchNames,0),EventIndex),0)</f>
        <v>0</v>
      </c>
      <c r="J875" s="209" t="str">
        <f>IF(LEN($A875)&gt;0,IF(LEN(Declarations!$F875)&gt;0,Declarations!$F875,conftype),"")</f>
        <v/>
      </c>
      <c r="M875" s="297">
        <f>IF(ISNA(VLOOKUP($A875,SprintData,2,FALSE)),0,VLOOKUP($A875,SprintData,2,FALSE))</f>
        <v>0</v>
      </c>
      <c r="N875" s="297">
        <f>IF(ISNA(VLOOKUP($A875,JumpData,2,FALSE)),0,VLOOKUP($A875,JumpData,2,FALSE))</f>
        <v>0</v>
      </c>
      <c r="O875" s="297">
        <f>IF(ISNA(VLOOKUP($A875,RunData,2,FALSE)),0,VLOOKUP($A875,RunData,2,FALSE))</f>
        <v>0</v>
      </c>
      <c r="P875" s="297">
        <f>IF(ISNA(VLOOKUP($A875,ThrowData,2,FALSE)),0,VLOOKUP($A875,ThrowData,2,FALSE))</f>
        <v>0</v>
      </c>
      <c r="Q875" s="298">
        <f>IF(ISNA(VLOOKUP($A875,SprintData,4,FALSE)),0,VLOOKUP($A875,SprintData,4,FALSE))+V875</f>
        <v>0</v>
      </c>
      <c r="R875" s="298">
        <f>IF(ISNA(VLOOKUP($A875,JumpData,4,FALSE)),0,VLOOKUP($A875,JumpData,4,FALSE))+W875</f>
        <v>0</v>
      </c>
      <c r="S875" s="298">
        <f>IF(ISNA(VLOOKUP($A875,RunData,4,FALSE)),0,VLOOKUP($A875,RunData,4,FALSE))+X875</f>
        <v>0</v>
      </c>
      <c r="T875" s="298">
        <f>IF(ISNA(VLOOKUP($A875,ThrowData,4,FALSE)),0,VLOOKUP($A875,ThrowData,4,FALSE))+Y875</f>
        <v>0</v>
      </c>
      <c r="U875" s="299">
        <f t="shared" si="2"/>
        <v>0</v>
      </c>
      <c r="V875">
        <f>IF(AND($F875&gt;0,NOT(M875),Flexing),FlexPC,0)</f>
        <v>0</v>
      </c>
      <c r="W875">
        <f>IF(AND($F875&gt;0,NOT(N875),Flexing),FlexPC,0)</f>
        <v>0</v>
      </c>
      <c r="X875">
        <f>IF(AND($F875&gt;0,NOT(O875),Flexing),FlexPC,0)</f>
        <v>0</v>
      </c>
      <c r="Y875">
        <f>IF(AND($F875&gt;0,NOT(P875),Flexing),FlexPC,0)</f>
        <v>0</v>
      </c>
      <c r="AA875" s="209">
        <f t="shared" si="3"/>
        <v>874</v>
      </c>
    </row>
    <row r="876" ht="15.75" customHeight="1">
      <c r="A876" s="206" t="str">
        <f>+Declarations!A876&amp;""</f>
        <v/>
      </c>
      <c r="B876" t="str">
        <f>IF(LEN($A876),IF(LEN(Declarations!$B876)&gt;0,Declarations!$B876,"#"&amp;$A876),"")</f>
        <v/>
      </c>
      <c r="C876" s="209" t="str">
        <f t="array" ref="C876">IF(LEN(INDEX(DECLARATIONS,$AA876,3))&gt;0,INDEX(DECLARATIONS,$AA876,3),"...")</f>
        <v>...</v>
      </c>
      <c r="D876" s="209" t="str">
        <f t="shared" si="1"/>
        <v/>
      </c>
      <c r="E876" s="296" t="str">
        <f t="array" ref="E876">IF(ISNA($AA876),0,INDEX(DECLARATIONS,$AA876,5))</f>
        <v/>
      </c>
      <c r="F876" s="209" t="str">
        <f t="array" ref="F876">IF(ISNA($AA876),0,INDEX(DECLARATIONS,$AA876,7))</f>
        <v/>
      </c>
      <c r="G876" s="209" t="str">
        <f t="array" ref="G876">UPPER(IF(ISNA($AA876),"",INDEX(DECLARATIONS,$AA876,4)))</f>
        <v/>
      </c>
      <c r="H876" t="str">
        <f>IF(AND(A876&gt;0,ISTEXT(B876)),IF(SECNAME="YES",LEFT(B876&amp;" ",FIND(" ",B876&amp;" ")+2)&amp;IF(F876&gt;0," ("&amp;F876&amp;")",""),B876&amp;IF(F876&gt;0," ("&amp;F876&amp;")","")),"#"&amp;$A876)</f>
        <v/>
      </c>
      <c r="I876" s="209">
        <f>IF(LEN($A876)&gt;0,IF(LEN($J876)&gt;0,MATCH(J876,MatchNames,0),EventIndex),0)</f>
        <v>0</v>
      </c>
      <c r="J876" s="209" t="str">
        <f>IF(LEN($A876)&gt;0,IF(LEN(Declarations!$F876)&gt;0,Declarations!$F876,conftype),"")</f>
        <v/>
      </c>
      <c r="M876" s="297">
        <f>IF(ISNA(VLOOKUP($A876,SprintData,2,FALSE)),0,VLOOKUP($A876,SprintData,2,FALSE))</f>
        <v>0</v>
      </c>
      <c r="N876" s="297">
        <f>IF(ISNA(VLOOKUP($A876,JumpData,2,FALSE)),0,VLOOKUP($A876,JumpData,2,FALSE))</f>
        <v>0</v>
      </c>
      <c r="O876" s="297">
        <f>IF(ISNA(VLOOKUP($A876,RunData,2,FALSE)),0,VLOOKUP($A876,RunData,2,FALSE))</f>
        <v>0</v>
      </c>
      <c r="P876" s="297">
        <f>IF(ISNA(VLOOKUP($A876,ThrowData,2,FALSE)),0,VLOOKUP($A876,ThrowData,2,FALSE))</f>
        <v>0</v>
      </c>
      <c r="Q876" s="298">
        <f>IF(ISNA(VLOOKUP($A876,SprintData,4,FALSE)),0,VLOOKUP($A876,SprintData,4,FALSE))+V876</f>
        <v>0</v>
      </c>
      <c r="R876" s="298">
        <f>IF(ISNA(VLOOKUP($A876,JumpData,4,FALSE)),0,VLOOKUP($A876,JumpData,4,FALSE))+W876</f>
        <v>0</v>
      </c>
      <c r="S876" s="298">
        <f>IF(ISNA(VLOOKUP($A876,RunData,4,FALSE)),0,VLOOKUP($A876,RunData,4,FALSE))+X876</f>
        <v>0</v>
      </c>
      <c r="T876" s="298">
        <f>IF(ISNA(VLOOKUP($A876,ThrowData,4,FALSE)),0,VLOOKUP($A876,ThrowData,4,FALSE))+Y876</f>
        <v>0</v>
      </c>
      <c r="U876" s="299">
        <f t="shared" si="2"/>
        <v>0</v>
      </c>
      <c r="V876">
        <f>IF(AND($F876&gt;0,NOT(M876),Flexing),FlexPC,0)</f>
        <v>0</v>
      </c>
      <c r="W876">
        <f>IF(AND($F876&gt;0,NOT(N876),Flexing),FlexPC,0)</f>
        <v>0</v>
      </c>
      <c r="X876">
        <f>IF(AND($F876&gt;0,NOT(O876),Flexing),FlexPC,0)</f>
        <v>0</v>
      </c>
      <c r="Y876">
        <f>IF(AND($F876&gt;0,NOT(P876),Flexing),FlexPC,0)</f>
        <v>0</v>
      </c>
      <c r="AA876" s="209">
        <f t="shared" si="3"/>
        <v>875</v>
      </c>
    </row>
    <row r="877" ht="15.75" customHeight="1">
      <c r="A877" s="206" t="str">
        <f>+Declarations!A877&amp;""</f>
        <v/>
      </c>
      <c r="B877" t="str">
        <f>IF(LEN($A877),IF(LEN(Declarations!$B877)&gt;0,Declarations!$B877,"#"&amp;$A877),"")</f>
        <v/>
      </c>
      <c r="C877" s="209" t="str">
        <f t="array" ref="C877">IF(LEN(INDEX(DECLARATIONS,$AA877,3))&gt;0,INDEX(DECLARATIONS,$AA877,3),"...")</f>
        <v>...</v>
      </c>
      <c r="D877" s="209" t="str">
        <f t="shared" si="1"/>
        <v/>
      </c>
      <c r="E877" s="296" t="str">
        <f t="array" ref="E877">IF(ISNA($AA877),0,INDEX(DECLARATIONS,$AA877,5))</f>
        <v/>
      </c>
      <c r="F877" s="209" t="str">
        <f t="array" ref="F877">IF(ISNA($AA877),0,INDEX(DECLARATIONS,$AA877,7))</f>
        <v/>
      </c>
      <c r="G877" s="209" t="str">
        <f t="array" ref="G877">UPPER(IF(ISNA($AA877),"",INDEX(DECLARATIONS,$AA877,4)))</f>
        <v/>
      </c>
      <c r="H877" t="str">
        <f>IF(AND(A877&gt;0,ISTEXT(B877)),IF(SECNAME="YES",LEFT(B877&amp;" ",FIND(" ",B877&amp;" ")+2)&amp;IF(F877&gt;0," ("&amp;F877&amp;")",""),B877&amp;IF(F877&gt;0," ("&amp;F877&amp;")","")),"#"&amp;$A877)</f>
        <v/>
      </c>
      <c r="I877" s="209">
        <f>IF(LEN($A877)&gt;0,IF(LEN($J877)&gt;0,MATCH(J877,MatchNames,0),EventIndex),0)</f>
        <v>0</v>
      </c>
      <c r="J877" s="209" t="str">
        <f>IF(LEN($A877)&gt;0,IF(LEN(Declarations!$F877)&gt;0,Declarations!$F877,conftype),"")</f>
        <v/>
      </c>
      <c r="M877" s="297">
        <f>IF(ISNA(VLOOKUP($A877,SprintData,2,FALSE)),0,VLOOKUP($A877,SprintData,2,FALSE))</f>
        <v>0</v>
      </c>
      <c r="N877" s="297">
        <f>IF(ISNA(VLOOKUP($A877,JumpData,2,FALSE)),0,VLOOKUP($A877,JumpData,2,FALSE))</f>
        <v>0</v>
      </c>
      <c r="O877" s="297">
        <f>IF(ISNA(VLOOKUP($A877,RunData,2,FALSE)),0,VLOOKUP($A877,RunData,2,FALSE))</f>
        <v>0</v>
      </c>
      <c r="P877" s="297">
        <f>IF(ISNA(VLOOKUP($A877,ThrowData,2,FALSE)),0,VLOOKUP($A877,ThrowData,2,FALSE))</f>
        <v>0</v>
      </c>
      <c r="Q877" s="298">
        <f>IF(ISNA(VLOOKUP($A877,SprintData,4,FALSE)),0,VLOOKUP($A877,SprintData,4,FALSE))+V877</f>
        <v>0</v>
      </c>
      <c r="R877" s="298">
        <f>IF(ISNA(VLOOKUP($A877,JumpData,4,FALSE)),0,VLOOKUP($A877,JumpData,4,FALSE))+W877</f>
        <v>0</v>
      </c>
      <c r="S877" s="298">
        <f>IF(ISNA(VLOOKUP($A877,RunData,4,FALSE)),0,VLOOKUP($A877,RunData,4,FALSE))+X877</f>
        <v>0</v>
      </c>
      <c r="T877" s="298">
        <f>IF(ISNA(VLOOKUP($A877,ThrowData,4,FALSE)),0,VLOOKUP($A877,ThrowData,4,FALSE))+Y877</f>
        <v>0</v>
      </c>
      <c r="U877" s="299">
        <f t="shared" si="2"/>
        <v>0</v>
      </c>
      <c r="V877">
        <f>IF(AND($F877&gt;0,NOT(M877),Flexing),FlexPC,0)</f>
        <v>0</v>
      </c>
      <c r="W877">
        <f>IF(AND($F877&gt;0,NOT(N877),Flexing),FlexPC,0)</f>
        <v>0</v>
      </c>
      <c r="X877">
        <f>IF(AND($F877&gt;0,NOT(O877),Flexing),FlexPC,0)</f>
        <v>0</v>
      </c>
      <c r="Y877">
        <f>IF(AND($F877&gt;0,NOT(P877),Flexing),FlexPC,0)</f>
        <v>0</v>
      </c>
      <c r="AA877" s="209">
        <f t="shared" si="3"/>
        <v>876</v>
      </c>
    </row>
    <row r="878" ht="15.75" customHeight="1">
      <c r="A878" s="206" t="str">
        <f>+Declarations!A878&amp;""</f>
        <v/>
      </c>
      <c r="B878" t="str">
        <f>IF(LEN($A878),IF(LEN(Declarations!$B878)&gt;0,Declarations!$B878,"#"&amp;$A878),"")</f>
        <v/>
      </c>
      <c r="C878" s="209" t="str">
        <f t="array" ref="C878">IF(LEN(INDEX(DECLARATIONS,$AA878,3))&gt;0,INDEX(DECLARATIONS,$AA878,3),"...")</f>
        <v>...</v>
      </c>
      <c r="D878" s="209" t="str">
        <f t="shared" si="1"/>
        <v/>
      </c>
      <c r="E878" s="296" t="str">
        <f t="array" ref="E878">IF(ISNA($AA878),0,INDEX(DECLARATIONS,$AA878,5))</f>
        <v/>
      </c>
      <c r="F878" s="209" t="str">
        <f t="array" ref="F878">IF(ISNA($AA878),0,INDEX(DECLARATIONS,$AA878,7))</f>
        <v/>
      </c>
      <c r="G878" s="209" t="str">
        <f t="array" ref="G878">UPPER(IF(ISNA($AA878),"",INDEX(DECLARATIONS,$AA878,4)))</f>
        <v/>
      </c>
      <c r="H878" t="str">
        <f>IF(AND(A878&gt;0,ISTEXT(B878)),IF(SECNAME="YES",LEFT(B878&amp;" ",FIND(" ",B878&amp;" ")+2)&amp;IF(F878&gt;0," ("&amp;F878&amp;")",""),B878&amp;IF(F878&gt;0," ("&amp;F878&amp;")","")),"#"&amp;$A878)</f>
        <v/>
      </c>
      <c r="I878" s="209">
        <f>IF(LEN($A878)&gt;0,IF(LEN($J878)&gt;0,MATCH(J878,MatchNames,0),EventIndex),0)</f>
        <v>0</v>
      </c>
      <c r="J878" s="209" t="str">
        <f>IF(LEN($A878)&gt;0,IF(LEN(Declarations!$F878)&gt;0,Declarations!$F878,conftype),"")</f>
        <v/>
      </c>
      <c r="M878" s="297">
        <f>IF(ISNA(VLOOKUP($A878,SprintData,2,FALSE)),0,VLOOKUP($A878,SprintData,2,FALSE))</f>
        <v>0</v>
      </c>
      <c r="N878" s="297">
        <f>IF(ISNA(VLOOKUP($A878,JumpData,2,FALSE)),0,VLOOKUP($A878,JumpData,2,FALSE))</f>
        <v>0</v>
      </c>
      <c r="O878" s="297">
        <f>IF(ISNA(VLOOKUP($A878,RunData,2,FALSE)),0,VLOOKUP($A878,RunData,2,FALSE))</f>
        <v>0</v>
      </c>
      <c r="P878" s="297">
        <f>IF(ISNA(VLOOKUP($A878,ThrowData,2,FALSE)),0,VLOOKUP($A878,ThrowData,2,FALSE))</f>
        <v>0</v>
      </c>
      <c r="Q878" s="298">
        <f>IF(ISNA(VLOOKUP($A878,SprintData,4,FALSE)),0,VLOOKUP($A878,SprintData,4,FALSE))+V878</f>
        <v>0</v>
      </c>
      <c r="R878" s="298">
        <f>IF(ISNA(VLOOKUP($A878,JumpData,4,FALSE)),0,VLOOKUP($A878,JumpData,4,FALSE))+W878</f>
        <v>0</v>
      </c>
      <c r="S878" s="298">
        <f>IF(ISNA(VLOOKUP($A878,RunData,4,FALSE)),0,VLOOKUP($A878,RunData,4,FALSE))+X878</f>
        <v>0</v>
      </c>
      <c r="T878" s="298">
        <f>IF(ISNA(VLOOKUP($A878,ThrowData,4,FALSE)),0,VLOOKUP($A878,ThrowData,4,FALSE))+Y878</f>
        <v>0</v>
      </c>
      <c r="U878" s="299">
        <f t="shared" si="2"/>
        <v>0</v>
      </c>
      <c r="V878">
        <f>IF(AND($F878&gt;0,NOT(M878),Flexing),FlexPC,0)</f>
        <v>0</v>
      </c>
      <c r="W878">
        <f>IF(AND($F878&gt;0,NOT(N878),Flexing),FlexPC,0)</f>
        <v>0</v>
      </c>
      <c r="X878">
        <f>IF(AND($F878&gt;0,NOT(O878),Flexing),FlexPC,0)</f>
        <v>0</v>
      </c>
      <c r="Y878">
        <f>IF(AND($F878&gt;0,NOT(P878),Flexing),FlexPC,0)</f>
        <v>0</v>
      </c>
      <c r="AA878" s="209">
        <f t="shared" si="3"/>
        <v>877</v>
      </c>
    </row>
    <row r="879" ht="15.75" customHeight="1">
      <c r="A879" s="206" t="str">
        <f>+Declarations!A879&amp;""</f>
        <v/>
      </c>
      <c r="B879" t="str">
        <f>IF(LEN($A879),IF(LEN(Declarations!$B879)&gt;0,Declarations!$B879,"#"&amp;$A879),"")</f>
        <v/>
      </c>
      <c r="C879" s="209" t="str">
        <f t="array" ref="C879">IF(LEN(INDEX(DECLARATIONS,$AA879,3))&gt;0,INDEX(DECLARATIONS,$AA879,3),"...")</f>
        <v>...</v>
      </c>
      <c r="D879" s="209" t="str">
        <f t="shared" si="1"/>
        <v/>
      </c>
      <c r="E879" s="296" t="str">
        <f t="array" ref="E879">IF(ISNA($AA879),0,INDEX(DECLARATIONS,$AA879,5))</f>
        <v/>
      </c>
      <c r="F879" s="209" t="str">
        <f t="array" ref="F879">IF(ISNA($AA879),0,INDEX(DECLARATIONS,$AA879,7))</f>
        <v/>
      </c>
      <c r="G879" s="209" t="str">
        <f t="array" ref="G879">UPPER(IF(ISNA($AA879),"",INDEX(DECLARATIONS,$AA879,4)))</f>
        <v/>
      </c>
      <c r="H879" t="str">
        <f>IF(AND(A879&gt;0,ISTEXT(B879)),IF(SECNAME="YES",LEFT(B879&amp;" ",FIND(" ",B879&amp;" ")+2)&amp;IF(F879&gt;0," ("&amp;F879&amp;")",""),B879&amp;IF(F879&gt;0," ("&amp;F879&amp;")","")),"#"&amp;$A879)</f>
        <v/>
      </c>
      <c r="I879" s="209">
        <f>IF(LEN($A879)&gt;0,IF(LEN($J879)&gt;0,MATCH(J879,MatchNames,0),EventIndex),0)</f>
        <v>0</v>
      </c>
      <c r="J879" s="209" t="str">
        <f>IF(LEN($A879)&gt;0,IF(LEN(Declarations!$F879)&gt;0,Declarations!$F879,conftype),"")</f>
        <v/>
      </c>
      <c r="M879" s="297">
        <f>IF(ISNA(VLOOKUP($A879,SprintData,2,FALSE)),0,VLOOKUP($A879,SprintData,2,FALSE))</f>
        <v>0</v>
      </c>
      <c r="N879" s="297">
        <f>IF(ISNA(VLOOKUP($A879,JumpData,2,FALSE)),0,VLOOKUP($A879,JumpData,2,FALSE))</f>
        <v>0</v>
      </c>
      <c r="O879" s="297">
        <f>IF(ISNA(VLOOKUP($A879,RunData,2,FALSE)),0,VLOOKUP($A879,RunData,2,FALSE))</f>
        <v>0</v>
      </c>
      <c r="P879" s="297">
        <f>IF(ISNA(VLOOKUP($A879,ThrowData,2,FALSE)),0,VLOOKUP($A879,ThrowData,2,FALSE))</f>
        <v>0</v>
      </c>
      <c r="Q879" s="298">
        <f>IF(ISNA(VLOOKUP($A879,SprintData,4,FALSE)),0,VLOOKUP($A879,SprintData,4,FALSE))+V879</f>
        <v>0</v>
      </c>
      <c r="R879" s="298">
        <f>IF(ISNA(VLOOKUP($A879,JumpData,4,FALSE)),0,VLOOKUP($A879,JumpData,4,FALSE))+W879</f>
        <v>0</v>
      </c>
      <c r="S879" s="298">
        <f>IF(ISNA(VLOOKUP($A879,RunData,4,FALSE)),0,VLOOKUP($A879,RunData,4,FALSE))+X879</f>
        <v>0</v>
      </c>
      <c r="T879" s="298">
        <f>IF(ISNA(VLOOKUP($A879,ThrowData,4,FALSE)),0,VLOOKUP($A879,ThrowData,4,FALSE))+Y879</f>
        <v>0</v>
      </c>
      <c r="U879" s="299">
        <f t="shared" si="2"/>
        <v>0</v>
      </c>
      <c r="V879">
        <f>IF(AND($F879&gt;0,NOT(M879),Flexing),FlexPC,0)</f>
        <v>0</v>
      </c>
      <c r="W879">
        <f>IF(AND($F879&gt;0,NOT(N879),Flexing),FlexPC,0)</f>
        <v>0</v>
      </c>
      <c r="X879">
        <f>IF(AND($F879&gt;0,NOT(O879),Flexing),FlexPC,0)</f>
        <v>0</v>
      </c>
      <c r="Y879">
        <f>IF(AND($F879&gt;0,NOT(P879),Flexing),FlexPC,0)</f>
        <v>0</v>
      </c>
      <c r="AA879" s="209">
        <f t="shared" si="3"/>
        <v>878</v>
      </c>
    </row>
    <row r="880" ht="15.75" customHeight="1">
      <c r="A880" s="206" t="str">
        <f>+Declarations!A880&amp;""</f>
        <v/>
      </c>
      <c r="B880" t="str">
        <f>IF(LEN($A880),IF(LEN(Declarations!$B880)&gt;0,Declarations!$B880,"#"&amp;$A880),"")</f>
        <v/>
      </c>
      <c r="C880" s="209" t="str">
        <f t="array" ref="C880">IF(LEN(INDEX(DECLARATIONS,$AA880,3))&gt;0,INDEX(DECLARATIONS,$AA880,3),"...")</f>
        <v>...</v>
      </c>
      <c r="D880" s="209" t="str">
        <f t="shared" si="1"/>
        <v/>
      </c>
      <c r="E880" s="296" t="str">
        <f t="array" ref="E880">IF(ISNA($AA880),0,INDEX(DECLARATIONS,$AA880,5))</f>
        <v/>
      </c>
      <c r="F880" s="209" t="str">
        <f t="array" ref="F880">IF(ISNA($AA880),0,INDEX(DECLARATIONS,$AA880,7))</f>
        <v/>
      </c>
      <c r="G880" s="209" t="str">
        <f t="array" ref="G880">UPPER(IF(ISNA($AA880),"",INDEX(DECLARATIONS,$AA880,4)))</f>
        <v/>
      </c>
      <c r="H880" t="str">
        <f>IF(AND(A880&gt;0,ISTEXT(B880)),IF(SECNAME="YES",LEFT(B880&amp;" ",FIND(" ",B880&amp;" ")+2)&amp;IF(F880&gt;0," ("&amp;F880&amp;")",""),B880&amp;IF(F880&gt;0," ("&amp;F880&amp;")","")),"#"&amp;$A880)</f>
        <v/>
      </c>
      <c r="I880" s="209">
        <f>IF(LEN($A880)&gt;0,IF(LEN($J880)&gt;0,MATCH(J880,MatchNames,0),EventIndex),0)</f>
        <v>0</v>
      </c>
      <c r="J880" s="209" t="str">
        <f>IF(LEN($A880)&gt;0,IF(LEN(Declarations!$F880)&gt;0,Declarations!$F880,conftype),"")</f>
        <v/>
      </c>
      <c r="M880" s="297">
        <f>IF(ISNA(VLOOKUP($A880,SprintData,2,FALSE)),0,VLOOKUP($A880,SprintData,2,FALSE))</f>
        <v>0</v>
      </c>
      <c r="N880" s="297">
        <f>IF(ISNA(VLOOKUP($A880,JumpData,2,FALSE)),0,VLOOKUP($A880,JumpData,2,FALSE))</f>
        <v>0</v>
      </c>
      <c r="O880" s="297">
        <f>IF(ISNA(VLOOKUP($A880,RunData,2,FALSE)),0,VLOOKUP($A880,RunData,2,FALSE))</f>
        <v>0</v>
      </c>
      <c r="P880" s="297">
        <f>IF(ISNA(VLOOKUP($A880,ThrowData,2,FALSE)),0,VLOOKUP($A880,ThrowData,2,FALSE))</f>
        <v>0</v>
      </c>
      <c r="Q880" s="298">
        <f>IF(ISNA(VLOOKUP($A880,SprintData,4,FALSE)),0,VLOOKUP($A880,SprintData,4,FALSE))+V880</f>
        <v>0</v>
      </c>
      <c r="R880" s="298">
        <f>IF(ISNA(VLOOKUP($A880,JumpData,4,FALSE)),0,VLOOKUP($A880,JumpData,4,FALSE))+W880</f>
        <v>0</v>
      </c>
      <c r="S880" s="298">
        <f>IF(ISNA(VLOOKUP($A880,RunData,4,FALSE)),0,VLOOKUP($A880,RunData,4,FALSE))+X880</f>
        <v>0</v>
      </c>
      <c r="T880" s="298">
        <f>IF(ISNA(VLOOKUP($A880,ThrowData,4,FALSE)),0,VLOOKUP($A880,ThrowData,4,FALSE))+Y880</f>
        <v>0</v>
      </c>
      <c r="U880" s="299">
        <f t="shared" si="2"/>
        <v>0</v>
      </c>
      <c r="V880">
        <f>IF(AND($F880&gt;0,NOT(M880),Flexing),FlexPC,0)</f>
        <v>0</v>
      </c>
      <c r="W880">
        <f>IF(AND($F880&gt;0,NOT(N880),Flexing),FlexPC,0)</f>
        <v>0</v>
      </c>
      <c r="X880">
        <f>IF(AND($F880&gt;0,NOT(O880),Flexing),FlexPC,0)</f>
        <v>0</v>
      </c>
      <c r="Y880">
        <f>IF(AND($F880&gt;0,NOT(P880),Flexing),FlexPC,0)</f>
        <v>0</v>
      </c>
      <c r="AA880" s="209">
        <f t="shared" si="3"/>
        <v>879</v>
      </c>
    </row>
    <row r="881" ht="15.75" customHeight="1">
      <c r="A881" s="206" t="str">
        <f>+Declarations!A881&amp;""</f>
        <v/>
      </c>
      <c r="B881" t="str">
        <f>IF(LEN($A881),IF(LEN(Declarations!$B881)&gt;0,Declarations!$B881,"#"&amp;$A881),"")</f>
        <v/>
      </c>
      <c r="C881" s="209" t="str">
        <f t="array" ref="C881">IF(LEN(INDEX(DECLARATIONS,$AA881,3))&gt;0,INDEX(DECLARATIONS,$AA881,3),"...")</f>
        <v>...</v>
      </c>
      <c r="D881" s="209" t="str">
        <f t="shared" si="1"/>
        <v/>
      </c>
      <c r="E881" s="296" t="str">
        <f t="array" ref="E881">IF(ISNA($AA881),0,INDEX(DECLARATIONS,$AA881,5))</f>
        <v/>
      </c>
      <c r="F881" s="209" t="str">
        <f t="array" ref="F881">IF(ISNA($AA881),0,INDEX(DECLARATIONS,$AA881,7))</f>
        <v/>
      </c>
      <c r="G881" s="209" t="str">
        <f t="array" ref="G881">UPPER(IF(ISNA($AA881),"",INDEX(DECLARATIONS,$AA881,4)))</f>
        <v/>
      </c>
      <c r="H881" t="str">
        <f>IF(AND(A881&gt;0,ISTEXT(B881)),IF(SECNAME="YES",LEFT(B881&amp;" ",FIND(" ",B881&amp;" ")+2)&amp;IF(F881&gt;0," ("&amp;F881&amp;")",""),B881&amp;IF(F881&gt;0," ("&amp;F881&amp;")","")),"#"&amp;$A881)</f>
        <v/>
      </c>
      <c r="I881" s="209">
        <f>IF(LEN($A881)&gt;0,IF(LEN($J881)&gt;0,MATCH(J881,MatchNames,0),EventIndex),0)</f>
        <v>0</v>
      </c>
      <c r="J881" s="209" t="str">
        <f>IF(LEN($A881)&gt;0,IF(LEN(Declarations!$F881)&gt;0,Declarations!$F881,conftype),"")</f>
        <v/>
      </c>
      <c r="M881" s="297">
        <f>IF(ISNA(VLOOKUP($A881,SprintData,2,FALSE)),0,VLOOKUP($A881,SprintData,2,FALSE))</f>
        <v>0</v>
      </c>
      <c r="N881" s="297">
        <f>IF(ISNA(VLOOKUP($A881,JumpData,2,FALSE)),0,VLOOKUP($A881,JumpData,2,FALSE))</f>
        <v>0</v>
      </c>
      <c r="O881" s="297">
        <f>IF(ISNA(VLOOKUP($A881,RunData,2,FALSE)),0,VLOOKUP($A881,RunData,2,FALSE))</f>
        <v>0</v>
      </c>
      <c r="P881" s="297">
        <f>IF(ISNA(VLOOKUP($A881,ThrowData,2,FALSE)),0,VLOOKUP($A881,ThrowData,2,FALSE))</f>
        <v>0</v>
      </c>
      <c r="Q881" s="298">
        <f>IF(ISNA(VLOOKUP($A881,SprintData,4,FALSE)),0,VLOOKUP($A881,SprintData,4,FALSE))+V881</f>
        <v>0</v>
      </c>
      <c r="R881" s="298">
        <f>IF(ISNA(VLOOKUP($A881,JumpData,4,FALSE)),0,VLOOKUP($A881,JumpData,4,FALSE))+W881</f>
        <v>0</v>
      </c>
      <c r="S881" s="298">
        <f>IF(ISNA(VLOOKUP($A881,RunData,4,FALSE)),0,VLOOKUP($A881,RunData,4,FALSE))+X881</f>
        <v>0</v>
      </c>
      <c r="T881" s="298">
        <f>IF(ISNA(VLOOKUP($A881,ThrowData,4,FALSE)),0,VLOOKUP($A881,ThrowData,4,FALSE))+Y881</f>
        <v>0</v>
      </c>
      <c r="U881" s="299">
        <f t="shared" si="2"/>
        <v>0</v>
      </c>
      <c r="V881">
        <f>IF(AND($F881&gt;0,NOT(M881),Flexing),FlexPC,0)</f>
        <v>0</v>
      </c>
      <c r="W881">
        <f>IF(AND($F881&gt;0,NOT(N881),Flexing),FlexPC,0)</f>
        <v>0</v>
      </c>
      <c r="X881">
        <f>IF(AND($F881&gt;0,NOT(O881),Flexing),FlexPC,0)</f>
        <v>0</v>
      </c>
      <c r="Y881">
        <f>IF(AND($F881&gt;0,NOT(P881),Flexing),FlexPC,0)</f>
        <v>0</v>
      </c>
      <c r="AA881" s="209">
        <f t="shared" si="3"/>
        <v>880</v>
      </c>
    </row>
    <row r="882" ht="15.75" customHeight="1">
      <c r="A882" s="206" t="str">
        <f>+Declarations!A882&amp;""</f>
        <v/>
      </c>
      <c r="B882" t="str">
        <f>IF(LEN($A882),IF(LEN(Declarations!$B882)&gt;0,Declarations!$B882,"#"&amp;$A882),"")</f>
        <v/>
      </c>
      <c r="C882" s="209" t="str">
        <f t="array" ref="C882">IF(LEN(INDEX(DECLARATIONS,$AA882,3))&gt;0,INDEX(DECLARATIONS,$AA882,3),"...")</f>
        <v>...</v>
      </c>
      <c r="D882" s="209" t="str">
        <f t="shared" si="1"/>
        <v/>
      </c>
      <c r="E882" s="296" t="str">
        <f t="array" ref="E882">IF(ISNA($AA882),0,INDEX(DECLARATIONS,$AA882,5))</f>
        <v/>
      </c>
      <c r="F882" s="209" t="str">
        <f t="array" ref="F882">IF(ISNA($AA882),0,INDEX(DECLARATIONS,$AA882,7))</f>
        <v/>
      </c>
      <c r="G882" s="209" t="str">
        <f t="array" ref="G882">UPPER(IF(ISNA($AA882),"",INDEX(DECLARATIONS,$AA882,4)))</f>
        <v/>
      </c>
      <c r="H882" t="str">
        <f>IF(AND(A882&gt;0,ISTEXT(B882)),IF(SECNAME="YES",LEFT(B882&amp;" ",FIND(" ",B882&amp;" ")+2)&amp;IF(F882&gt;0," ("&amp;F882&amp;")",""),B882&amp;IF(F882&gt;0," ("&amp;F882&amp;")","")),"#"&amp;$A882)</f>
        <v/>
      </c>
      <c r="I882" s="209">
        <f>IF(LEN($A882)&gt;0,IF(LEN($J882)&gt;0,MATCH(J882,MatchNames,0),EventIndex),0)</f>
        <v>0</v>
      </c>
      <c r="J882" s="209" t="str">
        <f>IF(LEN($A882)&gt;0,IF(LEN(Declarations!$F882)&gt;0,Declarations!$F882,conftype),"")</f>
        <v/>
      </c>
      <c r="M882" s="297">
        <f>IF(ISNA(VLOOKUP($A882,SprintData,2,FALSE)),0,VLOOKUP($A882,SprintData,2,FALSE))</f>
        <v>0</v>
      </c>
      <c r="N882" s="297">
        <f>IF(ISNA(VLOOKUP($A882,JumpData,2,FALSE)),0,VLOOKUP($A882,JumpData,2,FALSE))</f>
        <v>0</v>
      </c>
      <c r="O882" s="297">
        <f>IF(ISNA(VLOOKUP($A882,RunData,2,FALSE)),0,VLOOKUP($A882,RunData,2,FALSE))</f>
        <v>0</v>
      </c>
      <c r="P882" s="297">
        <f>IF(ISNA(VLOOKUP($A882,ThrowData,2,FALSE)),0,VLOOKUP($A882,ThrowData,2,FALSE))</f>
        <v>0</v>
      </c>
      <c r="Q882" s="298">
        <f>IF(ISNA(VLOOKUP($A882,SprintData,4,FALSE)),0,VLOOKUP($A882,SprintData,4,FALSE))+V882</f>
        <v>0</v>
      </c>
      <c r="R882" s="298">
        <f>IF(ISNA(VLOOKUP($A882,JumpData,4,FALSE)),0,VLOOKUP($A882,JumpData,4,FALSE))+W882</f>
        <v>0</v>
      </c>
      <c r="S882" s="298">
        <f>IF(ISNA(VLOOKUP($A882,RunData,4,FALSE)),0,VLOOKUP($A882,RunData,4,FALSE))+X882</f>
        <v>0</v>
      </c>
      <c r="T882" s="298">
        <f>IF(ISNA(VLOOKUP($A882,ThrowData,4,FALSE)),0,VLOOKUP($A882,ThrowData,4,FALSE))+Y882</f>
        <v>0</v>
      </c>
      <c r="U882" s="299">
        <f t="shared" si="2"/>
        <v>0</v>
      </c>
      <c r="V882">
        <f>IF(AND($F882&gt;0,NOT(M882),Flexing),FlexPC,0)</f>
        <v>0</v>
      </c>
      <c r="W882">
        <f>IF(AND($F882&gt;0,NOT(N882),Flexing),FlexPC,0)</f>
        <v>0</v>
      </c>
      <c r="X882">
        <f>IF(AND($F882&gt;0,NOT(O882),Flexing),FlexPC,0)</f>
        <v>0</v>
      </c>
      <c r="Y882">
        <f>IF(AND($F882&gt;0,NOT(P882),Flexing),FlexPC,0)</f>
        <v>0</v>
      </c>
      <c r="AA882" s="209">
        <f t="shared" si="3"/>
        <v>881</v>
      </c>
    </row>
    <row r="883" ht="15.75" customHeight="1">
      <c r="A883" s="206" t="str">
        <f>+Declarations!A883&amp;""</f>
        <v/>
      </c>
      <c r="B883" t="str">
        <f>IF(LEN($A883),IF(LEN(Declarations!$B883)&gt;0,Declarations!$B883,"#"&amp;$A883),"")</f>
        <v/>
      </c>
      <c r="C883" s="209" t="str">
        <f t="array" ref="C883">IF(LEN(INDEX(DECLARATIONS,$AA883,3))&gt;0,INDEX(DECLARATIONS,$AA883,3),"...")</f>
        <v>...</v>
      </c>
      <c r="D883" s="209" t="str">
        <f t="shared" si="1"/>
        <v/>
      </c>
      <c r="E883" s="296" t="str">
        <f t="array" ref="E883">IF(ISNA($AA883),0,INDEX(DECLARATIONS,$AA883,5))</f>
        <v/>
      </c>
      <c r="F883" s="209" t="str">
        <f t="array" ref="F883">IF(ISNA($AA883),0,INDEX(DECLARATIONS,$AA883,7))</f>
        <v/>
      </c>
      <c r="G883" s="209" t="str">
        <f t="array" ref="G883">UPPER(IF(ISNA($AA883),"",INDEX(DECLARATIONS,$AA883,4)))</f>
        <v/>
      </c>
      <c r="H883" t="str">
        <f>IF(AND(A883&gt;0,ISTEXT(B883)),IF(SECNAME="YES",LEFT(B883&amp;" ",FIND(" ",B883&amp;" ")+2)&amp;IF(F883&gt;0," ("&amp;F883&amp;")",""),B883&amp;IF(F883&gt;0," ("&amp;F883&amp;")","")),"#"&amp;$A883)</f>
        <v/>
      </c>
      <c r="I883" s="209">
        <f>IF(LEN($A883)&gt;0,IF(LEN($J883)&gt;0,MATCH(J883,MatchNames,0),EventIndex),0)</f>
        <v>0</v>
      </c>
      <c r="J883" s="209" t="str">
        <f>IF(LEN($A883)&gt;0,IF(LEN(Declarations!$F883)&gt;0,Declarations!$F883,conftype),"")</f>
        <v/>
      </c>
      <c r="M883" s="297">
        <f>IF(ISNA(VLOOKUP($A883,SprintData,2,FALSE)),0,VLOOKUP($A883,SprintData,2,FALSE))</f>
        <v>0</v>
      </c>
      <c r="N883" s="297">
        <f>IF(ISNA(VLOOKUP($A883,JumpData,2,FALSE)),0,VLOOKUP($A883,JumpData,2,FALSE))</f>
        <v>0</v>
      </c>
      <c r="O883" s="297">
        <f>IF(ISNA(VLOOKUP($A883,RunData,2,FALSE)),0,VLOOKUP($A883,RunData,2,FALSE))</f>
        <v>0</v>
      </c>
      <c r="P883" s="297">
        <f>IF(ISNA(VLOOKUP($A883,ThrowData,2,FALSE)),0,VLOOKUP($A883,ThrowData,2,FALSE))</f>
        <v>0</v>
      </c>
      <c r="Q883" s="298">
        <f>IF(ISNA(VLOOKUP($A883,SprintData,4,FALSE)),0,VLOOKUP($A883,SprintData,4,FALSE))+V883</f>
        <v>0</v>
      </c>
      <c r="R883" s="298">
        <f>IF(ISNA(VLOOKUP($A883,JumpData,4,FALSE)),0,VLOOKUP($A883,JumpData,4,FALSE))+W883</f>
        <v>0</v>
      </c>
      <c r="S883" s="298">
        <f>IF(ISNA(VLOOKUP($A883,RunData,4,FALSE)),0,VLOOKUP($A883,RunData,4,FALSE))+X883</f>
        <v>0</v>
      </c>
      <c r="T883" s="298">
        <f>IF(ISNA(VLOOKUP($A883,ThrowData,4,FALSE)),0,VLOOKUP($A883,ThrowData,4,FALSE))+Y883</f>
        <v>0</v>
      </c>
      <c r="U883" s="299">
        <f t="shared" si="2"/>
        <v>0</v>
      </c>
      <c r="V883">
        <f>IF(AND($F883&gt;0,NOT(M883),Flexing),FlexPC,0)</f>
        <v>0</v>
      </c>
      <c r="W883">
        <f>IF(AND($F883&gt;0,NOT(N883),Flexing),FlexPC,0)</f>
        <v>0</v>
      </c>
      <c r="X883">
        <f>IF(AND($F883&gt;0,NOT(O883),Flexing),FlexPC,0)</f>
        <v>0</v>
      </c>
      <c r="Y883">
        <f>IF(AND($F883&gt;0,NOT(P883),Flexing),FlexPC,0)</f>
        <v>0</v>
      </c>
      <c r="AA883" s="209">
        <f t="shared" si="3"/>
        <v>882</v>
      </c>
    </row>
    <row r="884" ht="15.75" customHeight="1">
      <c r="A884" s="206" t="str">
        <f>+Declarations!A884&amp;""</f>
        <v/>
      </c>
      <c r="B884" t="str">
        <f>IF(LEN($A884),IF(LEN(Declarations!$B884)&gt;0,Declarations!$B884,"#"&amp;$A884),"")</f>
        <v/>
      </c>
      <c r="C884" s="209" t="str">
        <f t="array" ref="C884">IF(LEN(INDEX(DECLARATIONS,$AA884,3))&gt;0,INDEX(DECLARATIONS,$AA884,3),"...")</f>
        <v>...</v>
      </c>
      <c r="D884" s="209" t="str">
        <f t="shared" si="1"/>
        <v/>
      </c>
      <c r="E884" s="296" t="str">
        <f t="array" ref="E884">IF(ISNA($AA884),0,INDEX(DECLARATIONS,$AA884,5))</f>
        <v/>
      </c>
      <c r="F884" s="209" t="str">
        <f t="array" ref="F884">IF(ISNA($AA884),0,INDEX(DECLARATIONS,$AA884,7))</f>
        <v/>
      </c>
      <c r="G884" s="209" t="str">
        <f t="array" ref="G884">UPPER(IF(ISNA($AA884),"",INDEX(DECLARATIONS,$AA884,4)))</f>
        <v/>
      </c>
      <c r="H884" t="str">
        <f>IF(AND(A884&gt;0,ISTEXT(B884)),IF(SECNAME="YES",LEFT(B884&amp;" ",FIND(" ",B884&amp;" ")+2)&amp;IF(F884&gt;0," ("&amp;F884&amp;")",""),B884&amp;IF(F884&gt;0," ("&amp;F884&amp;")","")),"#"&amp;$A884)</f>
        <v/>
      </c>
      <c r="I884" s="209">
        <f>IF(LEN($A884)&gt;0,IF(LEN($J884)&gt;0,MATCH(J884,MatchNames,0),EventIndex),0)</f>
        <v>0</v>
      </c>
      <c r="J884" s="209" t="str">
        <f>IF(LEN($A884)&gt;0,IF(LEN(Declarations!$F884)&gt;0,Declarations!$F884,conftype),"")</f>
        <v/>
      </c>
      <c r="M884" s="297">
        <f>IF(ISNA(VLOOKUP($A884,SprintData,2,FALSE)),0,VLOOKUP($A884,SprintData,2,FALSE))</f>
        <v>0</v>
      </c>
      <c r="N884" s="297">
        <f>IF(ISNA(VLOOKUP($A884,JumpData,2,FALSE)),0,VLOOKUP($A884,JumpData,2,FALSE))</f>
        <v>0</v>
      </c>
      <c r="O884" s="297">
        <f>IF(ISNA(VLOOKUP($A884,RunData,2,FALSE)),0,VLOOKUP($A884,RunData,2,FALSE))</f>
        <v>0</v>
      </c>
      <c r="P884" s="297">
        <f>IF(ISNA(VLOOKUP($A884,ThrowData,2,FALSE)),0,VLOOKUP($A884,ThrowData,2,FALSE))</f>
        <v>0</v>
      </c>
      <c r="Q884" s="298">
        <f>IF(ISNA(VLOOKUP($A884,SprintData,4,FALSE)),0,VLOOKUP($A884,SprintData,4,FALSE))+V884</f>
        <v>0</v>
      </c>
      <c r="R884" s="298">
        <f>IF(ISNA(VLOOKUP($A884,JumpData,4,FALSE)),0,VLOOKUP($A884,JumpData,4,FALSE))+W884</f>
        <v>0</v>
      </c>
      <c r="S884" s="298">
        <f>IF(ISNA(VLOOKUP($A884,RunData,4,FALSE)),0,VLOOKUP($A884,RunData,4,FALSE))+X884</f>
        <v>0</v>
      </c>
      <c r="T884" s="298">
        <f>IF(ISNA(VLOOKUP($A884,ThrowData,4,FALSE)),0,VLOOKUP($A884,ThrowData,4,FALSE))+Y884</f>
        <v>0</v>
      </c>
      <c r="U884" s="299">
        <f t="shared" si="2"/>
        <v>0</v>
      </c>
      <c r="V884">
        <f>IF(AND($F884&gt;0,NOT(M884),Flexing),FlexPC,0)</f>
        <v>0</v>
      </c>
      <c r="W884">
        <f>IF(AND($F884&gt;0,NOT(N884),Flexing),FlexPC,0)</f>
        <v>0</v>
      </c>
      <c r="X884">
        <f>IF(AND($F884&gt;0,NOT(O884),Flexing),FlexPC,0)</f>
        <v>0</v>
      </c>
      <c r="Y884">
        <f>IF(AND($F884&gt;0,NOT(P884),Flexing),FlexPC,0)</f>
        <v>0</v>
      </c>
      <c r="AA884" s="209">
        <f t="shared" si="3"/>
        <v>883</v>
      </c>
    </row>
    <row r="885" ht="15.75" customHeight="1">
      <c r="A885" s="206" t="str">
        <f>+Declarations!A885&amp;""</f>
        <v/>
      </c>
      <c r="B885" t="str">
        <f>IF(LEN($A885),IF(LEN(Declarations!$B885)&gt;0,Declarations!$B885,"#"&amp;$A885),"")</f>
        <v/>
      </c>
      <c r="C885" s="209" t="str">
        <f t="array" ref="C885">IF(LEN(INDEX(DECLARATIONS,$AA885,3))&gt;0,INDEX(DECLARATIONS,$AA885,3),"...")</f>
        <v>...</v>
      </c>
      <c r="D885" s="209" t="str">
        <f t="shared" si="1"/>
        <v/>
      </c>
      <c r="E885" s="296" t="str">
        <f t="array" ref="E885">IF(ISNA($AA885),0,INDEX(DECLARATIONS,$AA885,5))</f>
        <v/>
      </c>
      <c r="F885" s="209" t="str">
        <f t="array" ref="F885">IF(ISNA($AA885),0,INDEX(DECLARATIONS,$AA885,7))</f>
        <v/>
      </c>
      <c r="G885" s="209" t="str">
        <f t="array" ref="G885">UPPER(IF(ISNA($AA885),"",INDEX(DECLARATIONS,$AA885,4)))</f>
        <v/>
      </c>
      <c r="H885" t="str">
        <f>IF(AND(A885&gt;0,ISTEXT(B885)),IF(SECNAME="YES",LEFT(B885&amp;" ",FIND(" ",B885&amp;" ")+2)&amp;IF(F885&gt;0," ("&amp;F885&amp;")",""),B885&amp;IF(F885&gt;0," ("&amp;F885&amp;")","")),"#"&amp;$A885)</f>
        <v/>
      </c>
      <c r="I885" s="209">
        <f>IF(LEN($A885)&gt;0,IF(LEN($J885)&gt;0,MATCH(J885,MatchNames,0),EventIndex),0)</f>
        <v>0</v>
      </c>
      <c r="J885" s="209" t="str">
        <f>IF(LEN($A885)&gt;0,IF(LEN(Declarations!$F885)&gt;0,Declarations!$F885,conftype),"")</f>
        <v/>
      </c>
      <c r="M885" s="297">
        <f>IF(ISNA(VLOOKUP($A885,SprintData,2,FALSE)),0,VLOOKUP($A885,SprintData,2,FALSE))</f>
        <v>0</v>
      </c>
      <c r="N885" s="297">
        <f>IF(ISNA(VLOOKUP($A885,JumpData,2,FALSE)),0,VLOOKUP($A885,JumpData,2,FALSE))</f>
        <v>0</v>
      </c>
      <c r="O885" s="297">
        <f>IF(ISNA(VLOOKUP($A885,RunData,2,FALSE)),0,VLOOKUP($A885,RunData,2,FALSE))</f>
        <v>0</v>
      </c>
      <c r="P885" s="297">
        <f>IF(ISNA(VLOOKUP($A885,ThrowData,2,FALSE)),0,VLOOKUP($A885,ThrowData,2,FALSE))</f>
        <v>0</v>
      </c>
      <c r="Q885" s="298">
        <f>IF(ISNA(VLOOKUP($A885,SprintData,4,FALSE)),0,VLOOKUP($A885,SprintData,4,FALSE))+V885</f>
        <v>0</v>
      </c>
      <c r="R885" s="298">
        <f>IF(ISNA(VLOOKUP($A885,JumpData,4,FALSE)),0,VLOOKUP($A885,JumpData,4,FALSE))+W885</f>
        <v>0</v>
      </c>
      <c r="S885" s="298">
        <f>IF(ISNA(VLOOKUP($A885,RunData,4,FALSE)),0,VLOOKUP($A885,RunData,4,FALSE))+X885</f>
        <v>0</v>
      </c>
      <c r="T885" s="298">
        <f>IF(ISNA(VLOOKUP($A885,ThrowData,4,FALSE)),0,VLOOKUP($A885,ThrowData,4,FALSE))+Y885</f>
        <v>0</v>
      </c>
      <c r="U885" s="299">
        <f t="shared" si="2"/>
        <v>0</v>
      </c>
      <c r="V885">
        <f>IF(AND($F885&gt;0,NOT(M885),Flexing),FlexPC,0)</f>
        <v>0</v>
      </c>
      <c r="W885">
        <f>IF(AND($F885&gt;0,NOT(N885),Flexing),FlexPC,0)</f>
        <v>0</v>
      </c>
      <c r="X885">
        <f>IF(AND($F885&gt;0,NOT(O885),Flexing),FlexPC,0)</f>
        <v>0</v>
      </c>
      <c r="Y885">
        <f>IF(AND($F885&gt;0,NOT(P885),Flexing),FlexPC,0)</f>
        <v>0</v>
      </c>
      <c r="AA885" s="209">
        <f t="shared" si="3"/>
        <v>884</v>
      </c>
    </row>
    <row r="886" ht="15.75" customHeight="1">
      <c r="A886" s="206" t="str">
        <f>+Declarations!A886&amp;""</f>
        <v/>
      </c>
      <c r="B886" t="str">
        <f>IF(LEN($A886),IF(LEN(Declarations!$B886)&gt;0,Declarations!$B886,"#"&amp;$A886),"")</f>
        <v/>
      </c>
      <c r="C886" s="209" t="str">
        <f t="array" ref="C886">IF(LEN(INDEX(DECLARATIONS,$AA886,3))&gt;0,INDEX(DECLARATIONS,$AA886,3),"...")</f>
        <v>...</v>
      </c>
      <c r="D886" s="209" t="str">
        <f t="shared" si="1"/>
        <v/>
      </c>
      <c r="E886" s="296" t="str">
        <f t="array" ref="E886">IF(ISNA($AA886),0,INDEX(DECLARATIONS,$AA886,5))</f>
        <v/>
      </c>
      <c r="F886" s="209" t="str">
        <f t="array" ref="F886">IF(ISNA($AA886),0,INDEX(DECLARATIONS,$AA886,7))</f>
        <v/>
      </c>
      <c r="G886" s="209" t="str">
        <f t="array" ref="G886">UPPER(IF(ISNA($AA886),"",INDEX(DECLARATIONS,$AA886,4)))</f>
        <v/>
      </c>
      <c r="H886" t="str">
        <f>IF(AND(A886&gt;0,ISTEXT(B886)),IF(SECNAME="YES",LEFT(B886&amp;" ",FIND(" ",B886&amp;" ")+2)&amp;IF(F886&gt;0," ("&amp;F886&amp;")",""),B886&amp;IF(F886&gt;0," ("&amp;F886&amp;")","")),"#"&amp;$A886)</f>
        <v/>
      </c>
      <c r="I886" s="209">
        <f>IF(LEN($A886)&gt;0,IF(LEN($J886)&gt;0,MATCH(J886,MatchNames,0),EventIndex),0)</f>
        <v>0</v>
      </c>
      <c r="J886" s="209" t="str">
        <f>IF(LEN($A886)&gt;0,IF(LEN(Declarations!$F886)&gt;0,Declarations!$F886,conftype),"")</f>
        <v/>
      </c>
      <c r="M886" s="297">
        <f>IF(ISNA(VLOOKUP($A886,SprintData,2,FALSE)),0,VLOOKUP($A886,SprintData,2,FALSE))</f>
        <v>0</v>
      </c>
      <c r="N886" s="297">
        <f>IF(ISNA(VLOOKUP($A886,JumpData,2,FALSE)),0,VLOOKUP($A886,JumpData,2,FALSE))</f>
        <v>0</v>
      </c>
      <c r="O886" s="297">
        <f>IF(ISNA(VLOOKUP($A886,RunData,2,FALSE)),0,VLOOKUP($A886,RunData,2,FALSE))</f>
        <v>0</v>
      </c>
      <c r="P886" s="297">
        <f>IF(ISNA(VLOOKUP($A886,ThrowData,2,FALSE)),0,VLOOKUP($A886,ThrowData,2,FALSE))</f>
        <v>0</v>
      </c>
      <c r="Q886" s="298">
        <f>IF(ISNA(VLOOKUP($A886,SprintData,4,FALSE)),0,VLOOKUP($A886,SprintData,4,FALSE))+V886</f>
        <v>0</v>
      </c>
      <c r="R886" s="298">
        <f>IF(ISNA(VLOOKUP($A886,JumpData,4,FALSE)),0,VLOOKUP($A886,JumpData,4,FALSE))+W886</f>
        <v>0</v>
      </c>
      <c r="S886" s="298">
        <f>IF(ISNA(VLOOKUP($A886,RunData,4,FALSE)),0,VLOOKUP($A886,RunData,4,FALSE))+X886</f>
        <v>0</v>
      </c>
      <c r="T886" s="298">
        <f>IF(ISNA(VLOOKUP($A886,ThrowData,4,FALSE)),0,VLOOKUP($A886,ThrowData,4,FALSE))+Y886</f>
        <v>0</v>
      </c>
      <c r="U886" s="299">
        <f t="shared" si="2"/>
        <v>0</v>
      </c>
      <c r="V886">
        <f>IF(AND($F886&gt;0,NOT(M886),Flexing),FlexPC,0)</f>
        <v>0</v>
      </c>
      <c r="W886">
        <f>IF(AND($F886&gt;0,NOT(N886),Flexing),FlexPC,0)</f>
        <v>0</v>
      </c>
      <c r="X886">
        <f>IF(AND($F886&gt;0,NOT(O886),Flexing),FlexPC,0)</f>
        <v>0</v>
      </c>
      <c r="Y886">
        <f>IF(AND($F886&gt;0,NOT(P886),Flexing),FlexPC,0)</f>
        <v>0</v>
      </c>
      <c r="AA886" s="209">
        <f t="shared" si="3"/>
        <v>885</v>
      </c>
    </row>
    <row r="887" ht="15.75" customHeight="1">
      <c r="A887" s="206" t="str">
        <f>+Declarations!A887&amp;""</f>
        <v/>
      </c>
      <c r="B887" t="str">
        <f>IF(LEN($A887),IF(LEN(Declarations!$B887)&gt;0,Declarations!$B887,"#"&amp;$A887),"")</f>
        <v/>
      </c>
      <c r="C887" s="209" t="str">
        <f t="array" ref="C887">IF(LEN(INDEX(DECLARATIONS,$AA887,3))&gt;0,INDEX(DECLARATIONS,$AA887,3),"...")</f>
        <v>...</v>
      </c>
      <c r="D887" s="209" t="str">
        <f t="shared" si="1"/>
        <v/>
      </c>
      <c r="E887" s="296" t="str">
        <f t="array" ref="E887">IF(ISNA($AA887),0,INDEX(DECLARATIONS,$AA887,5))</f>
        <v/>
      </c>
      <c r="F887" s="209" t="str">
        <f t="array" ref="F887">IF(ISNA($AA887),0,INDEX(DECLARATIONS,$AA887,7))</f>
        <v/>
      </c>
      <c r="G887" s="209" t="str">
        <f t="array" ref="G887">UPPER(IF(ISNA($AA887),"",INDEX(DECLARATIONS,$AA887,4)))</f>
        <v/>
      </c>
      <c r="H887" t="str">
        <f>IF(AND(A887&gt;0,ISTEXT(B887)),IF(SECNAME="YES",LEFT(B887&amp;" ",FIND(" ",B887&amp;" ")+2)&amp;IF(F887&gt;0," ("&amp;F887&amp;")",""),B887&amp;IF(F887&gt;0," ("&amp;F887&amp;")","")),"#"&amp;$A887)</f>
        <v/>
      </c>
      <c r="I887" s="209">
        <f>IF(LEN($A887)&gt;0,IF(LEN($J887)&gt;0,MATCH(J887,MatchNames,0),EventIndex),0)</f>
        <v>0</v>
      </c>
      <c r="J887" s="209" t="str">
        <f>IF(LEN($A887)&gt;0,IF(LEN(Declarations!$F887)&gt;0,Declarations!$F887,conftype),"")</f>
        <v/>
      </c>
      <c r="M887" s="297">
        <f>IF(ISNA(VLOOKUP($A887,SprintData,2,FALSE)),0,VLOOKUP($A887,SprintData,2,FALSE))</f>
        <v>0</v>
      </c>
      <c r="N887" s="297">
        <f>IF(ISNA(VLOOKUP($A887,JumpData,2,FALSE)),0,VLOOKUP($A887,JumpData,2,FALSE))</f>
        <v>0</v>
      </c>
      <c r="O887" s="297">
        <f>IF(ISNA(VLOOKUP($A887,RunData,2,FALSE)),0,VLOOKUP($A887,RunData,2,FALSE))</f>
        <v>0</v>
      </c>
      <c r="P887" s="297">
        <f>IF(ISNA(VLOOKUP($A887,ThrowData,2,FALSE)),0,VLOOKUP($A887,ThrowData,2,FALSE))</f>
        <v>0</v>
      </c>
      <c r="Q887" s="298">
        <f>IF(ISNA(VLOOKUP($A887,SprintData,4,FALSE)),0,VLOOKUP($A887,SprintData,4,FALSE))+V887</f>
        <v>0</v>
      </c>
      <c r="R887" s="298">
        <f>IF(ISNA(VLOOKUP($A887,JumpData,4,FALSE)),0,VLOOKUP($A887,JumpData,4,FALSE))+W887</f>
        <v>0</v>
      </c>
      <c r="S887" s="298">
        <f>IF(ISNA(VLOOKUP($A887,RunData,4,FALSE)),0,VLOOKUP($A887,RunData,4,FALSE))+X887</f>
        <v>0</v>
      </c>
      <c r="T887" s="298">
        <f>IF(ISNA(VLOOKUP($A887,ThrowData,4,FALSE)),0,VLOOKUP($A887,ThrowData,4,FALSE))+Y887</f>
        <v>0</v>
      </c>
      <c r="U887" s="299">
        <f t="shared" si="2"/>
        <v>0</v>
      </c>
      <c r="V887">
        <f>IF(AND($F887&gt;0,NOT(M887),Flexing),FlexPC,0)</f>
        <v>0</v>
      </c>
      <c r="W887">
        <f>IF(AND($F887&gt;0,NOT(N887),Flexing),FlexPC,0)</f>
        <v>0</v>
      </c>
      <c r="X887">
        <f>IF(AND($F887&gt;0,NOT(O887),Flexing),FlexPC,0)</f>
        <v>0</v>
      </c>
      <c r="Y887">
        <f>IF(AND($F887&gt;0,NOT(P887),Flexing),FlexPC,0)</f>
        <v>0</v>
      </c>
      <c r="AA887" s="209">
        <f t="shared" si="3"/>
        <v>886</v>
      </c>
    </row>
    <row r="888" ht="15.75" customHeight="1">
      <c r="A888" s="206" t="str">
        <f>+Declarations!A888&amp;""</f>
        <v/>
      </c>
      <c r="B888" t="str">
        <f>IF(LEN($A888),IF(LEN(Declarations!$B888)&gt;0,Declarations!$B888,"#"&amp;$A888),"")</f>
        <v/>
      </c>
      <c r="C888" s="209" t="str">
        <f t="array" ref="C888">IF(LEN(INDEX(DECLARATIONS,$AA888,3))&gt;0,INDEX(DECLARATIONS,$AA888,3),"...")</f>
        <v>...</v>
      </c>
      <c r="D888" s="209" t="str">
        <f t="shared" si="1"/>
        <v/>
      </c>
      <c r="E888" s="296" t="str">
        <f t="array" ref="E888">IF(ISNA($AA888),0,INDEX(DECLARATIONS,$AA888,5))</f>
        <v/>
      </c>
      <c r="F888" s="209" t="str">
        <f t="array" ref="F888">IF(ISNA($AA888),0,INDEX(DECLARATIONS,$AA888,7))</f>
        <v/>
      </c>
      <c r="G888" s="209" t="str">
        <f t="array" ref="G888">UPPER(IF(ISNA($AA888),"",INDEX(DECLARATIONS,$AA888,4)))</f>
        <v/>
      </c>
      <c r="H888" t="str">
        <f>IF(AND(A888&gt;0,ISTEXT(B888)),IF(SECNAME="YES",LEFT(B888&amp;" ",FIND(" ",B888&amp;" ")+2)&amp;IF(F888&gt;0," ("&amp;F888&amp;")",""),B888&amp;IF(F888&gt;0," ("&amp;F888&amp;")","")),"#"&amp;$A888)</f>
        <v/>
      </c>
      <c r="I888" s="209">
        <f>IF(LEN($A888)&gt;0,IF(LEN($J888)&gt;0,MATCH(J888,MatchNames,0),EventIndex),0)</f>
        <v>0</v>
      </c>
      <c r="J888" s="209" t="str">
        <f>IF(LEN($A888)&gt;0,IF(LEN(Declarations!$F888)&gt;0,Declarations!$F888,conftype),"")</f>
        <v/>
      </c>
      <c r="M888" s="297">
        <f>IF(ISNA(VLOOKUP($A888,SprintData,2,FALSE)),0,VLOOKUP($A888,SprintData,2,FALSE))</f>
        <v>0</v>
      </c>
      <c r="N888" s="297">
        <f>IF(ISNA(VLOOKUP($A888,JumpData,2,FALSE)),0,VLOOKUP($A888,JumpData,2,FALSE))</f>
        <v>0</v>
      </c>
      <c r="O888" s="297">
        <f>IF(ISNA(VLOOKUP($A888,RunData,2,FALSE)),0,VLOOKUP($A888,RunData,2,FALSE))</f>
        <v>0</v>
      </c>
      <c r="P888" s="297">
        <f>IF(ISNA(VLOOKUP($A888,ThrowData,2,FALSE)),0,VLOOKUP($A888,ThrowData,2,FALSE))</f>
        <v>0</v>
      </c>
      <c r="Q888" s="298">
        <f>IF(ISNA(VLOOKUP($A888,SprintData,4,FALSE)),0,VLOOKUP($A888,SprintData,4,FALSE))+V888</f>
        <v>0</v>
      </c>
      <c r="R888" s="298">
        <f>IF(ISNA(VLOOKUP($A888,JumpData,4,FALSE)),0,VLOOKUP($A888,JumpData,4,FALSE))+W888</f>
        <v>0</v>
      </c>
      <c r="S888" s="298">
        <f>IF(ISNA(VLOOKUP($A888,RunData,4,FALSE)),0,VLOOKUP($A888,RunData,4,FALSE))+X888</f>
        <v>0</v>
      </c>
      <c r="T888" s="298">
        <f>IF(ISNA(VLOOKUP($A888,ThrowData,4,FALSE)),0,VLOOKUP($A888,ThrowData,4,FALSE))+Y888</f>
        <v>0</v>
      </c>
      <c r="U888" s="299">
        <f t="shared" si="2"/>
        <v>0</v>
      </c>
      <c r="V888">
        <f>IF(AND($F888&gt;0,NOT(M888),Flexing),FlexPC,0)</f>
        <v>0</v>
      </c>
      <c r="W888">
        <f>IF(AND($F888&gt;0,NOT(N888),Flexing),FlexPC,0)</f>
        <v>0</v>
      </c>
      <c r="X888">
        <f>IF(AND($F888&gt;0,NOT(O888),Flexing),FlexPC,0)</f>
        <v>0</v>
      </c>
      <c r="Y888">
        <f>IF(AND($F888&gt;0,NOT(P888),Flexing),FlexPC,0)</f>
        <v>0</v>
      </c>
      <c r="AA888" s="209">
        <f t="shared" si="3"/>
        <v>887</v>
      </c>
    </row>
    <row r="889" ht="15.75" customHeight="1">
      <c r="A889" s="206" t="str">
        <f>+Declarations!A889&amp;""</f>
        <v/>
      </c>
      <c r="B889" t="str">
        <f>IF(LEN($A889),IF(LEN(Declarations!$B889)&gt;0,Declarations!$B889,"#"&amp;$A889),"")</f>
        <v/>
      </c>
      <c r="C889" s="209" t="str">
        <f t="array" ref="C889">IF(LEN(INDEX(DECLARATIONS,$AA889,3))&gt;0,INDEX(DECLARATIONS,$AA889,3),"...")</f>
        <v>...</v>
      </c>
      <c r="D889" s="209" t="str">
        <f t="shared" si="1"/>
        <v/>
      </c>
      <c r="E889" s="296" t="str">
        <f t="array" ref="E889">IF(ISNA($AA889),0,INDEX(DECLARATIONS,$AA889,5))</f>
        <v/>
      </c>
      <c r="F889" s="209" t="str">
        <f t="array" ref="F889">IF(ISNA($AA889),0,INDEX(DECLARATIONS,$AA889,7))</f>
        <v/>
      </c>
      <c r="G889" s="209" t="str">
        <f t="array" ref="G889">UPPER(IF(ISNA($AA889),"",INDEX(DECLARATIONS,$AA889,4)))</f>
        <v/>
      </c>
      <c r="H889" t="str">
        <f>IF(AND(A889&gt;0,ISTEXT(B889)),IF(SECNAME="YES",LEFT(B889&amp;" ",FIND(" ",B889&amp;" ")+2)&amp;IF(F889&gt;0," ("&amp;F889&amp;")",""),B889&amp;IF(F889&gt;0," ("&amp;F889&amp;")","")),"#"&amp;$A889)</f>
        <v/>
      </c>
      <c r="I889" s="209">
        <f>IF(LEN($A889)&gt;0,IF(LEN($J889)&gt;0,MATCH(J889,MatchNames,0),EventIndex),0)</f>
        <v>0</v>
      </c>
      <c r="J889" s="209" t="str">
        <f>IF(LEN($A889)&gt;0,IF(LEN(Declarations!$F889)&gt;0,Declarations!$F889,conftype),"")</f>
        <v/>
      </c>
      <c r="M889" s="297">
        <f>IF(ISNA(VLOOKUP($A889,SprintData,2,FALSE)),0,VLOOKUP($A889,SprintData,2,FALSE))</f>
        <v>0</v>
      </c>
      <c r="N889" s="297">
        <f>IF(ISNA(VLOOKUP($A889,JumpData,2,FALSE)),0,VLOOKUP($A889,JumpData,2,FALSE))</f>
        <v>0</v>
      </c>
      <c r="O889" s="297">
        <f>IF(ISNA(VLOOKUP($A889,RunData,2,FALSE)),0,VLOOKUP($A889,RunData,2,FALSE))</f>
        <v>0</v>
      </c>
      <c r="P889" s="297">
        <f>IF(ISNA(VLOOKUP($A889,ThrowData,2,FALSE)),0,VLOOKUP($A889,ThrowData,2,FALSE))</f>
        <v>0</v>
      </c>
      <c r="Q889" s="298">
        <f>IF(ISNA(VLOOKUP($A889,SprintData,4,FALSE)),0,VLOOKUP($A889,SprintData,4,FALSE))+V889</f>
        <v>0</v>
      </c>
      <c r="R889" s="298">
        <f>IF(ISNA(VLOOKUP($A889,JumpData,4,FALSE)),0,VLOOKUP($A889,JumpData,4,FALSE))+W889</f>
        <v>0</v>
      </c>
      <c r="S889" s="298">
        <f>IF(ISNA(VLOOKUP($A889,RunData,4,FALSE)),0,VLOOKUP($A889,RunData,4,FALSE))+X889</f>
        <v>0</v>
      </c>
      <c r="T889" s="298">
        <f>IF(ISNA(VLOOKUP($A889,ThrowData,4,FALSE)),0,VLOOKUP($A889,ThrowData,4,FALSE))+Y889</f>
        <v>0</v>
      </c>
      <c r="U889" s="299">
        <f t="shared" si="2"/>
        <v>0</v>
      </c>
      <c r="V889">
        <f>IF(AND($F889&gt;0,NOT(M889),Flexing),FlexPC,0)</f>
        <v>0</v>
      </c>
      <c r="W889">
        <f>IF(AND($F889&gt;0,NOT(N889),Flexing),FlexPC,0)</f>
        <v>0</v>
      </c>
      <c r="X889">
        <f>IF(AND($F889&gt;0,NOT(O889),Flexing),FlexPC,0)</f>
        <v>0</v>
      </c>
      <c r="Y889">
        <f>IF(AND($F889&gt;0,NOT(P889),Flexing),FlexPC,0)</f>
        <v>0</v>
      </c>
      <c r="AA889" s="209">
        <f t="shared" si="3"/>
        <v>888</v>
      </c>
    </row>
    <row r="890" ht="15.75" customHeight="1">
      <c r="A890" s="206" t="str">
        <f>+Declarations!A890&amp;""</f>
        <v/>
      </c>
      <c r="B890" t="str">
        <f>IF(LEN($A890),IF(LEN(Declarations!$B890)&gt;0,Declarations!$B890,"#"&amp;$A890),"")</f>
        <v/>
      </c>
      <c r="C890" s="209" t="str">
        <f t="array" ref="C890">IF(LEN(INDEX(DECLARATIONS,$AA890,3))&gt;0,INDEX(DECLARATIONS,$AA890,3),"...")</f>
        <v>...</v>
      </c>
      <c r="D890" s="209" t="str">
        <f t="shared" si="1"/>
        <v/>
      </c>
      <c r="E890" s="296" t="str">
        <f t="array" ref="E890">IF(ISNA($AA890),0,INDEX(DECLARATIONS,$AA890,5))</f>
        <v/>
      </c>
      <c r="F890" s="209" t="str">
        <f t="array" ref="F890">IF(ISNA($AA890),0,INDEX(DECLARATIONS,$AA890,7))</f>
        <v/>
      </c>
      <c r="G890" s="209" t="str">
        <f t="array" ref="G890">UPPER(IF(ISNA($AA890),"",INDEX(DECLARATIONS,$AA890,4)))</f>
        <v/>
      </c>
      <c r="H890" t="str">
        <f>IF(AND(A890&gt;0,ISTEXT(B890)),IF(SECNAME="YES",LEFT(B890&amp;" ",FIND(" ",B890&amp;" ")+2)&amp;IF(F890&gt;0," ("&amp;F890&amp;")",""),B890&amp;IF(F890&gt;0," ("&amp;F890&amp;")","")),"#"&amp;$A890)</f>
        <v/>
      </c>
      <c r="I890" s="209">
        <f>IF(LEN($A890)&gt;0,IF(LEN($J890)&gt;0,MATCH(J890,MatchNames,0),EventIndex),0)</f>
        <v>0</v>
      </c>
      <c r="J890" s="209" t="str">
        <f>IF(LEN($A890)&gt;0,IF(LEN(Declarations!$F890)&gt;0,Declarations!$F890,conftype),"")</f>
        <v/>
      </c>
      <c r="M890" s="297">
        <f>IF(ISNA(VLOOKUP($A890,SprintData,2,FALSE)),0,VLOOKUP($A890,SprintData,2,FALSE))</f>
        <v>0</v>
      </c>
      <c r="N890" s="297">
        <f>IF(ISNA(VLOOKUP($A890,JumpData,2,FALSE)),0,VLOOKUP($A890,JumpData,2,FALSE))</f>
        <v>0</v>
      </c>
      <c r="O890" s="297">
        <f>IF(ISNA(VLOOKUP($A890,RunData,2,FALSE)),0,VLOOKUP($A890,RunData,2,FALSE))</f>
        <v>0</v>
      </c>
      <c r="P890" s="297">
        <f>IF(ISNA(VLOOKUP($A890,ThrowData,2,FALSE)),0,VLOOKUP($A890,ThrowData,2,FALSE))</f>
        <v>0</v>
      </c>
      <c r="Q890" s="298">
        <f>IF(ISNA(VLOOKUP($A890,SprintData,4,FALSE)),0,VLOOKUP($A890,SprintData,4,FALSE))+V890</f>
        <v>0</v>
      </c>
      <c r="R890" s="298">
        <f>IF(ISNA(VLOOKUP($A890,JumpData,4,FALSE)),0,VLOOKUP($A890,JumpData,4,FALSE))+W890</f>
        <v>0</v>
      </c>
      <c r="S890" s="298">
        <f>IF(ISNA(VLOOKUP($A890,RunData,4,FALSE)),0,VLOOKUP($A890,RunData,4,FALSE))+X890</f>
        <v>0</v>
      </c>
      <c r="T890" s="298">
        <f>IF(ISNA(VLOOKUP($A890,ThrowData,4,FALSE)),0,VLOOKUP($A890,ThrowData,4,FALSE))+Y890</f>
        <v>0</v>
      </c>
      <c r="U890" s="299">
        <f t="shared" si="2"/>
        <v>0</v>
      </c>
      <c r="V890">
        <f>IF(AND($F890&gt;0,NOT(M890),Flexing),FlexPC,0)</f>
        <v>0</v>
      </c>
      <c r="W890">
        <f>IF(AND($F890&gt;0,NOT(N890),Flexing),FlexPC,0)</f>
        <v>0</v>
      </c>
      <c r="X890">
        <f>IF(AND($F890&gt;0,NOT(O890),Flexing),FlexPC,0)</f>
        <v>0</v>
      </c>
      <c r="Y890">
        <f>IF(AND($F890&gt;0,NOT(P890),Flexing),FlexPC,0)</f>
        <v>0</v>
      </c>
      <c r="AA890" s="209">
        <f t="shared" si="3"/>
        <v>889</v>
      </c>
    </row>
    <row r="891" ht="15.75" customHeight="1">
      <c r="A891" s="206" t="str">
        <f>+Declarations!A891&amp;""</f>
        <v/>
      </c>
      <c r="B891" t="str">
        <f>IF(LEN($A891),IF(LEN(Declarations!$B891)&gt;0,Declarations!$B891,"#"&amp;$A891),"")</f>
        <v/>
      </c>
      <c r="C891" s="209" t="str">
        <f t="array" ref="C891">IF(LEN(INDEX(DECLARATIONS,$AA891,3))&gt;0,INDEX(DECLARATIONS,$AA891,3),"...")</f>
        <v>...</v>
      </c>
      <c r="D891" s="209" t="str">
        <f t="shared" si="1"/>
        <v/>
      </c>
      <c r="E891" s="296" t="str">
        <f t="array" ref="E891">IF(ISNA($AA891),0,INDEX(DECLARATIONS,$AA891,5))</f>
        <v/>
      </c>
      <c r="F891" s="209" t="str">
        <f t="array" ref="F891">IF(ISNA($AA891),0,INDEX(DECLARATIONS,$AA891,7))</f>
        <v/>
      </c>
      <c r="G891" s="209" t="str">
        <f t="array" ref="G891">UPPER(IF(ISNA($AA891),"",INDEX(DECLARATIONS,$AA891,4)))</f>
        <v/>
      </c>
      <c r="H891" t="str">
        <f>IF(AND(A891&gt;0,ISTEXT(B891)),IF(SECNAME="YES",LEFT(B891&amp;" ",FIND(" ",B891&amp;" ")+2)&amp;IF(F891&gt;0," ("&amp;F891&amp;")",""),B891&amp;IF(F891&gt;0," ("&amp;F891&amp;")","")),"#"&amp;$A891)</f>
        <v/>
      </c>
      <c r="I891" s="209">
        <f>IF(LEN($A891)&gt;0,IF(LEN($J891)&gt;0,MATCH(J891,MatchNames,0),EventIndex),0)</f>
        <v>0</v>
      </c>
      <c r="J891" s="209" t="str">
        <f>IF(LEN($A891)&gt;0,IF(LEN(Declarations!$F891)&gt;0,Declarations!$F891,conftype),"")</f>
        <v/>
      </c>
      <c r="M891" s="297">
        <f>IF(ISNA(VLOOKUP($A891,SprintData,2,FALSE)),0,VLOOKUP($A891,SprintData,2,FALSE))</f>
        <v>0</v>
      </c>
      <c r="N891" s="297">
        <f>IF(ISNA(VLOOKUP($A891,JumpData,2,FALSE)),0,VLOOKUP($A891,JumpData,2,FALSE))</f>
        <v>0</v>
      </c>
      <c r="O891" s="297">
        <f>IF(ISNA(VLOOKUP($A891,RunData,2,FALSE)),0,VLOOKUP($A891,RunData,2,FALSE))</f>
        <v>0</v>
      </c>
      <c r="P891" s="297">
        <f>IF(ISNA(VLOOKUP($A891,ThrowData,2,FALSE)),0,VLOOKUP($A891,ThrowData,2,FALSE))</f>
        <v>0</v>
      </c>
      <c r="Q891" s="298">
        <f>IF(ISNA(VLOOKUP($A891,SprintData,4,FALSE)),0,VLOOKUP($A891,SprintData,4,FALSE))+V891</f>
        <v>0</v>
      </c>
      <c r="R891" s="298">
        <f>IF(ISNA(VLOOKUP($A891,JumpData,4,FALSE)),0,VLOOKUP($A891,JumpData,4,FALSE))+W891</f>
        <v>0</v>
      </c>
      <c r="S891" s="298">
        <f>IF(ISNA(VLOOKUP($A891,RunData,4,FALSE)),0,VLOOKUP($A891,RunData,4,FALSE))+X891</f>
        <v>0</v>
      </c>
      <c r="T891" s="298">
        <f>IF(ISNA(VLOOKUP($A891,ThrowData,4,FALSE)),0,VLOOKUP($A891,ThrowData,4,FALSE))+Y891</f>
        <v>0</v>
      </c>
      <c r="U891" s="299">
        <f t="shared" si="2"/>
        <v>0</v>
      </c>
      <c r="V891">
        <f>IF(AND($F891&gt;0,NOT(M891),Flexing),FlexPC,0)</f>
        <v>0</v>
      </c>
      <c r="W891">
        <f>IF(AND($F891&gt;0,NOT(N891),Flexing),FlexPC,0)</f>
        <v>0</v>
      </c>
      <c r="X891">
        <f>IF(AND($F891&gt;0,NOT(O891),Flexing),FlexPC,0)</f>
        <v>0</v>
      </c>
      <c r="Y891">
        <f>IF(AND($F891&gt;0,NOT(P891),Flexing),FlexPC,0)</f>
        <v>0</v>
      </c>
      <c r="AA891" s="209">
        <f t="shared" si="3"/>
        <v>890</v>
      </c>
    </row>
    <row r="892" ht="15.75" customHeight="1">
      <c r="A892" s="206" t="str">
        <f>+Declarations!A892&amp;""</f>
        <v/>
      </c>
      <c r="B892" t="str">
        <f>IF(LEN($A892),IF(LEN(Declarations!$B892)&gt;0,Declarations!$B892,"#"&amp;$A892),"")</f>
        <v/>
      </c>
      <c r="C892" s="209" t="str">
        <f t="array" ref="C892">IF(LEN(INDEX(DECLARATIONS,$AA892,3))&gt;0,INDEX(DECLARATIONS,$AA892,3),"...")</f>
        <v>...</v>
      </c>
      <c r="D892" s="209" t="str">
        <f t="shared" si="1"/>
        <v/>
      </c>
      <c r="E892" s="296" t="str">
        <f t="array" ref="E892">IF(ISNA($AA892),0,INDEX(DECLARATIONS,$AA892,5))</f>
        <v/>
      </c>
      <c r="F892" s="209" t="str">
        <f t="array" ref="F892">IF(ISNA($AA892),0,INDEX(DECLARATIONS,$AA892,7))</f>
        <v/>
      </c>
      <c r="G892" s="209" t="str">
        <f t="array" ref="G892">UPPER(IF(ISNA($AA892),"",INDEX(DECLARATIONS,$AA892,4)))</f>
        <v/>
      </c>
      <c r="H892" t="str">
        <f>IF(AND(A892&gt;0,ISTEXT(B892)),IF(SECNAME="YES",LEFT(B892&amp;" ",FIND(" ",B892&amp;" ")+2)&amp;IF(F892&gt;0," ("&amp;F892&amp;")",""),B892&amp;IF(F892&gt;0," ("&amp;F892&amp;")","")),"#"&amp;$A892)</f>
        <v/>
      </c>
      <c r="I892" s="209">
        <f>IF(LEN($A892)&gt;0,IF(LEN($J892)&gt;0,MATCH(J892,MatchNames,0),EventIndex),0)</f>
        <v>0</v>
      </c>
      <c r="J892" s="209" t="str">
        <f>IF(LEN($A892)&gt;0,IF(LEN(Declarations!$F892)&gt;0,Declarations!$F892,conftype),"")</f>
        <v/>
      </c>
      <c r="M892" s="297">
        <f>IF(ISNA(VLOOKUP($A892,SprintData,2,FALSE)),0,VLOOKUP($A892,SprintData,2,FALSE))</f>
        <v>0</v>
      </c>
      <c r="N892" s="297">
        <f>IF(ISNA(VLOOKUP($A892,JumpData,2,FALSE)),0,VLOOKUP($A892,JumpData,2,FALSE))</f>
        <v>0</v>
      </c>
      <c r="O892" s="297">
        <f>IF(ISNA(VLOOKUP($A892,RunData,2,FALSE)),0,VLOOKUP($A892,RunData,2,FALSE))</f>
        <v>0</v>
      </c>
      <c r="P892" s="297">
        <f>IF(ISNA(VLOOKUP($A892,ThrowData,2,FALSE)),0,VLOOKUP($A892,ThrowData,2,FALSE))</f>
        <v>0</v>
      </c>
      <c r="Q892" s="298">
        <f>IF(ISNA(VLOOKUP($A892,SprintData,4,FALSE)),0,VLOOKUP($A892,SprintData,4,FALSE))+V892</f>
        <v>0</v>
      </c>
      <c r="R892" s="298">
        <f>IF(ISNA(VLOOKUP($A892,JumpData,4,FALSE)),0,VLOOKUP($A892,JumpData,4,FALSE))+W892</f>
        <v>0</v>
      </c>
      <c r="S892" s="298">
        <f>IF(ISNA(VLOOKUP($A892,RunData,4,FALSE)),0,VLOOKUP($A892,RunData,4,FALSE))+X892</f>
        <v>0</v>
      </c>
      <c r="T892" s="298">
        <f>IF(ISNA(VLOOKUP($A892,ThrowData,4,FALSE)),0,VLOOKUP($A892,ThrowData,4,FALSE))+Y892</f>
        <v>0</v>
      </c>
      <c r="U892" s="299">
        <f t="shared" si="2"/>
        <v>0</v>
      </c>
      <c r="V892">
        <f>IF(AND($F892&gt;0,NOT(M892),Flexing),FlexPC,0)</f>
        <v>0</v>
      </c>
      <c r="W892">
        <f>IF(AND($F892&gt;0,NOT(N892),Flexing),FlexPC,0)</f>
        <v>0</v>
      </c>
      <c r="X892">
        <f>IF(AND($F892&gt;0,NOT(O892),Flexing),FlexPC,0)</f>
        <v>0</v>
      </c>
      <c r="Y892">
        <f>IF(AND($F892&gt;0,NOT(P892),Flexing),FlexPC,0)</f>
        <v>0</v>
      </c>
      <c r="AA892" s="209">
        <f t="shared" si="3"/>
        <v>891</v>
      </c>
    </row>
    <row r="893" ht="15.75" customHeight="1">
      <c r="A893" s="206" t="str">
        <f>+Declarations!A893&amp;""</f>
        <v/>
      </c>
      <c r="B893" t="str">
        <f>IF(LEN($A893),IF(LEN(Declarations!$B893)&gt;0,Declarations!$B893,"#"&amp;$A893),"")</f>
        <v/>
      </c>
      <c r="C893" s="209" t="str">
        <f t="array" ref="C893">IF(LEN(INDEX(DECLARATIONS,$AA893,3))&gt;0,INDEX(DECLARATIONS,$AA893,3),"...")</f>
        <v>...</v>
      </c>
      <c r="D893" s="209" t="str">
        <f t="shared" si="1"/>
        <v/>
      </c>
      <c r="E893" s="296" t="str">
        <f t="array" ref="E893">IF(ISNA($AA893),0,INDEX(DECLARATIONS,$AA893,5))</f>
        <v/>
      </c>
      <c r="F893" s="209" t="str">
        <f t="array" ref="F893">IF(ISNA($AA893),0,INDEX(DECLARATIONS,$AA893,7))</f>
        <v/>
      </c>
      <c r="G893" s="209" t="str">
        <f t="array" ref="G893">UPPER(IF(ISNA($AA893),"",INDEX(DECLARATIONS,$AA893,4)))</f>
        <v/>
      </c>
      <c r="H893" t="str">
        <f>IF(AND(A893&gt;0,ISTEXT(B893)),IF(SECNAME="YES",LEFT(B893&amp;" ",FIND(" ",B893&amp;" ")+2)&amp;IF(F893&gt;0," ("&amp;F893&amp;")",""),B893&amp;IF(F893&gt;0," ("&amp;F893&amp;")","")),"#"&amp;$A893)</f>
        <v/>
      </c>
      <c r="I893" s="209">
        <f>IF(LEN($A893)&gt;0,IF(LEN($J893)&gt;0,MATCH(J893,MatchNames,0),EventIndex),0)</f>
        <v>0</v>
      </c>
      <c r="J893" s="209" t="str">
        <f>IF(LEN($A893)&gt;0,IF(LEN(Declarations!$F893)&gt;0,Declarations!$F893,conftype),"")</f>
        <v/>
      </c>
      <c r="M893" s="297">
        <f>IF(ISNA(VLOOKUP($A893,SprintData,2,FALSE)),0,VLOOKUP($A893,SprintData,2,FALSE))</f>
        <v>0</v>
      </c>
      <c r="N893" s="297">
        <f>IF(ISNA(VLOOKUP($A893,JumpData,2,FALSE)),0,VLOOKUP($A893,JumpData,2,FALSE))</f>
        <v>0</v>
      </c>
      <c r="O893" s="297">
        <f>IF(ISNA(VLOOKUP($A893,RunData,2,FALSE)),0,VLOOKUP($A893,RunData,2,FALSE))</f>
        <v>0</v>
      </c>
      <c r="P893" s="297">
        <f>IF(ISNA(VLOOKUP($A893,ThrowData,2,FALSE)),0,VLOOKUP($A893,ThrowData,2,FALSE))</f>
        <v>0</v>
      </c>
      <c r="Q893" s="298">
        <f>IF(ISNA(VLOOKUP($A893,SprintData,4,FALSE)),0,VLOOKUP($A893,SprintData,4,FALSE))+V893</f>
        <v>0</v>
      </c>
      <c r="R893" s="298">
        <f>IF(ISNA(VLOOKUP($A893,JumpData,4,FALSE)),0,VLOOKUP($A893,JumpData,4,FALSE))+W893</f>
        <v>0</v>
      </c>
      <c r="S893" s="298">
        <f>IF(ISNA(VLOOKUP($A893,RunData,4,FALSE)),0,VLOOKUP($A893,RunData,4,FALSE))+X893</f>
        <v>0</v>
      </c>
      <c r="T893" s="298">
        <f>IF(ISNA(VLOOKUP($A893,ThrowData,4,FALSE)),0,VLOOKUP($A893,ThrowData,4,FALSE))+Y893</f>
        <v>0</v>
      </c>
      <c r="U893" s="299">
        <f t="shared" si="2"/>
        <v>0</v>
      </c>
      <c r="V893">
        <f>IF(AND($F893&gt;0,NOT(M893),Flexing),FlexPC,0)</f>
        <v>0</v>
      </c>
      <c r="W893">
        <f>IF(AND($F893&gt;0,NOT(N893),Flexing),FlexPC,0)</f>
        <v>0</v>
      </c>
      <c r="X893">
        <f>IF(AND($F893&gt;0,NOT(O893),Flexing),FlexPC,0)</f>
        <v>0</v>
      </c>
      <c r="Y893">
        <f>IF(AND($F893&gt;0,NOT(P893),Flexing),FlexPC,0)</f>
        <v>0</v>
      </c>
      <c r="AA893" s="209">
        <f t="shared" si="3"/>
        <v>892</v>
      </c>
    </row>
    <row r="894" ht="15.75" customHeight="1">
      <c r="A894" s="206" t="str">
        <f>+Declarations!A894&amp;""</f>
        <v/>
      </c>
      <c r="B894" t="str">
        <f>IF(LEN($A894),IF(LEN(Declarations!$B894)&gt;0,Declarations!$B894,"#"&amp;$A894),"")</f>
        <v/>
      </c>
      <c r="C894" s="209" t="str">
        <f t="array" ref="C894">IF(LEN(INDEX(DECLARATIONS,$AA894,3))&gt;0,INDEX(DECLARATIONS,$AA894,3),"...")</f>
        <v>...</v>
      </c>
      <c r="D894" s="209" t="str">
        <f t="shared" si="1"/>
        <v/>
      </c>
      <c r="E894" s="296" t="str">
        <f t="array" ref="E894">IF(ISNA($AA894),0,INDEX(DECLARATIONS,$AA894,5))</f>
        <v/>
      </c>
      <c r="F894" s="209" t="str">
        <f t="array" ref="F894">IF(ISNA($AA894),0,INDEX(DECLARATIONS,$AA894,7))</f>
        <v/>
      </c>
      <c r="G894" s="209" t="str">
        <f t="array" ref="G894">UPPER(IF(ISNA($AA894),"",INDEX(DECLARATIONS,$AA894,4)))</f>
        <v/>
      </c>
      <c r="H894" t="str">
        <f>IF(AND(A894&gt;0,ISTEXT(B894)),IF(SECNAME="YES",LEFT(B894&amp;" ",FIND(" ",B894&amp;" ")+2)&amp;IF(F894&gt;0," ("&amp;F894&amp;")",""),B894&amp;IF(F894&gt;0," ("&amp;F894&amp;")","")),"#"&amp;$A894)</f>
        <v/>
      </c>
      <c r="I894" s="209">
        <f>IF(LEN($A894)&gt;0,IF(LEN($J894)&gt;0,MATCH(J894,MatchNames,0),EventIndex),0)</f>
        <v>0</v>
      </c>
      <c r="J894" s="209" t="str">
        <f>IF(LEN($A894)&gt;0,IF(LEN(Declarations!$F894)&gt;0,Declarations!$F894,conftype),"")</f>
        <v/>
      </c>
      <c r="M894" s="297">
        <f>IF(ISNA(VLOOKUP($A894,SprintData,2,FALSE)),0,VLOOKUP($A894,SprintData,2,FALSE))</f>
        <v>0</v>
      </c>
      <c r="N894" s="297">
        <f>IF(ISNA(VLOOKUP($A894,JumpData,2,FALSE)),0,VLOOKUP($A894,JumpData,2,FALSE))</f>
        <v>0</v>
      </c>
      <c r="O894" s="297">
        <f>IF(ISNA(VLOOKUP($A894,RunData,2,FALSE)),0,VLOOKUP($A894,RunData,2,FALSE))</f>
        <v>0</v>
      </c>
      <c r="P894" s="297">
        <f>IF(ISNA(VLOOKUP($A894,ThrowData,2,FALSE)),0,VLOOKUP($A894,ThrowData,2,FALSE))</f>
        <v>0</v>
      </c>
      <c r="Q894" s="298">
        <f>IF(ISNA(VLOOKUP($A894,SprintData,4,FALSE)),0,VLOOKUP($A894,SprintData,4,FALSE))+V894</f>
        <v>0</v>
      </c>
      <c r="R894" s="298">
        <f>IF(ISNA(VLOOKUP($A894,JumpData,4,FALSE)),0,VLOOKUP($A894,JumpData,4,FALSE))+W894</f>
        <v>0</v>
      </c>
      <c r="S894" s="298">
        <f>IF(ISNA(VLOOKUP($A894,RunData,4,FALSE)),0,VLOOKUP($A894,RunData,4,FALSE))+X894</f>
        <v>0</v>
      </c>
      <c r="T894" s="298">
        <f>IF(ISNA(VLOOKUP($A894,ThrowData,4,FALSE)),0,VLOOKUP($A894,ThrowData,4,FALSE))+Y894</f>
        <v>0</v>
      </c>
      <c r="U894" s="299">
        <f t="shared" si="2"/>
        <v>0</v>
      </c>
      <c r="V894">
        <f>IF(AND($F894&gt;0,NOT(M894),Flexing),FlexPC,0)</f>
        <v>0</v>
      </c>
      <c r="W894">
        <f>IF(AND($F894&gt;0,NOT(N894),Flexing),FlexPC,0)</f>
        <v>0</v>
      </c>
      <c r="X894">
        <f>IF(AND($F894&gt;0,NOT(O894),Flexing),FlexPC,0)</f>
        <v>0</v>
      </c>
      <c r="Y894">
        <f>IF(AND($F894&gt;0,NOT(P894),Flexing),FlexPC,0)</f>
        <v>0</v>
      </c>
      <c r="AA894" s="209">
        <f t="shared" si="3"/>
        <v>893</v>
      </c>
    </row>
    <row r="895" ht="15.75" customHeight="1">
      <c r="A895" s="206" t="str">
        <f>+Declarations!A895&amp;""</f>
        <v/>
      </c>
      <c r="B895" t="str">
        <f>IF(LEN($A895),IF(LEN(Declarations!$B895)&gt;0,Declarations!$B895,"#"&amp;$A895),"")</f>
        <v/>
      </c>
      <c r="C895" s="209" t="str">
        <f t="array" ref="C895">IF(LEN(INDEX(DECLARATIONS,$AA895,3))&gt;0,INDEX(DECLARATIONS,$AA895,3),"...")</f>
        <v>...</v>
      </c>
      <c r="D895" s="209" t="str">
        <f t="shared" si="1"/>
        <v/>
      </c>
      <c r="E895" s="296" t="str">
        <f t="array" ref="E895">IF(ISNA($AA895),0,INDEX(DECLARATIONS,$AA895,5))</f>
        <v/>
      </c>
      <c r="F895" s="209" t="str">
        <f t="array" ref="F895">IF(ISNA($AA895),0,INDEX(DECLARATIONS,$AA895,7))</f>
        <v/>
      </c>
      <c r="G895" s="209" t="str">
        <f t="array" ref="G895">UPPER(IF(ISNA($AA895),"",INDEX(DECLARATIONS,$AA895,4)))</f>
        <v/>
      </c>
      <c r="H895" t="str">
        <f>IF(AND(A895&gt;0,ISTEXT(B895)),IF(SECNAME="YES",LEFT(B895&amp;" ",FIND(" ",B895&amp;" ")+2)&amp;IF(F895&gt;0," ("&amp;F895&amp;")",""),B895&amp;IF(F895&gt;0," ("&amp;F895&amp;")","")),"#"&amp;$A895)</f>
        <v/>
      </c>
      <c r="I895" s="209">
        <f>IF(LEN($A895)&gt;0,IF(LEN($J895)&gt;0,MATCH(J895,MatchNames,0),EventIndex),0)</f>
        <v>0</v>
      </c>
      <c r="J895" s="209" t="str">
        <f>IF(LEN($A895)&gt;0,IF(LEN(Declarations!$F895)&gt;0,Declarations!$F895,conftype),"")</f>
        <v/>
      </c>
      <c r="M895" s="297">
        <f>IF(ISNA(VLOOKUP($A895,SprintData,2,FALSE)),0,VLOOKUP($A895,SprintData,2,FALSE))</f>
        <v>0</v>
      </c>
      <c r="N895" s="297">
        <f>IF(ISNA(VLOOKUP($A895,JumpData,2,FALSE)),0,VLOOKUP($A895,JumpData,2,FALSE))</f>
        <v>0</v>
      </c>
      <c r="O895" s="297">
        <f>IF(ISNA(VLOOKUP($A895,RunData,2,FALSE)),0,VLOOKUP($A895,RunData,2,FALSE))</f>
        <v>0</v>
      </c>
      <c r="P895" s="297">
        <f>IF(ISNA(VLOOKUP($A895,ThrowData,2,FALSE)),0,VLOOKUP($A895,ThrowData,2,FALSE))</f>
        <v>0</v>
      </c>
      <c r="Q895" s="298">
        <f>IF(ISNA(VLOOKUP($A895,SprintData,4,FALSE)),0,VLOOKUP($A895,SprintData,4,FALSE))+V895</f>
        <v>0</v>
      </c>
      <c r="R895" s="298">
        <f>IF(ISNA(VLOOKUP($A895,JumpData,4,FALSE)),0,VLOOKUP($A895,JumpData,4,FALSE))+W895</f>
        <v>0</v>
      </c>
      <c r="S895" s="298">
        <f>IF(ISNA(VLOOKUP($A895,RunData,4,FALSE)),0,VLOOKUP($A895,RunData,4,FALSE))+X895</f>
        <v>0</v>
      </c>
      <c r="T895" s="298">
        <f>IF(ISNA(VLOOKUP($A895,ThrowData,4,FALSE)),0,VLOOKUP($A895,ThrowData,4,FALSE))+Y895</f>
        <v>0</v>
      </c>
      <c r="U895" s="299">
        <f t="shared" si="2"/>
        <v>0</v>
      </c>
      <c r="V895">
        <f>IF(AND($F895&gt;0,NOT(M895),Flexing),FlexPC,0)</f>
        <v>0</v>
      </c>
      <c r="W895">
        <f>IF(AND($F895&gt;0,NOT(N895),Flexing),FlexPC,0)</f>
        <v>0</v>
      </c>
      <c r="X895">
        <f>IF(AND($F895&gt;0,NOT(O895),Flexing),FlexPC,0)</f>
        <v>0</v>
      </c>
      <c r="Y895">
        <f>IF(AND($F895&gt;0,NOT(P895),Flexing),FlexPC,0)</f>
        <v>0</v>
      </c>
      <c r="AA895" s="209">
        <f t="shared" si="3"/>
        <v>894</v>
      </c>
    </row>
    <row r="896" ht="15.75" customHeight="1">
      <c r="A896" s="206" t="str">
        <f>+Declarations!A896&amp;""</f>
        <v/>
      </c>
      <c r="B896" t="str">
        <f>IF(LEN($A896),IF(LEN(Declarations!$B896)&gt;0,Declarations!$B896,"#"&amp;$A896),"")</f>
        <v/>
      </c>
      <c r="C896" s="209" t="str">
        <f t="array" ref="C896">IF(LEN(INDEX(DECLARATIONS,$AA896,3))&gt;0,INDEX(DECLARATIONS,$AA896,3),"...")</f>
        <v>...</v>
      </c>
      <c r="D896" s="209" t="str">
        <f t="shared" si="1"/>
        <v/>
      </c>
      <c r="E896" s="296" t="str">
        <f t="array" ref="E896">IF(ISNA($AA896),0,INDEX(DECLARATIONS,$AA896,5))</f>
        <v/>
      </c>
      <c r="F896" s="209" t="str">
        <f t="array" ref="F896">IF(ISNA($AA896),0,INDEX(DECLARATIONS,$AA896,7))</f>
        <v/>
      </c>
      <c r="G896" s="209" t="str">
        <f t="array" ref="G896">UPPER(IF(ISNA($AA896),"",INDEX(DECLARATIONS,$AA896,4)))</f>
        <v/>
      </c>
      <c r="H896" t="str">
        <f>IF(AND(A896&gt;0,ISTEXT(B896)),IF(SECNAME="YES",LEFT(B896&amp;" ",FIND(" ",B896&amp;" ")+2)&amp;IF(F896&gt;0," ("&amp;F896&amp;")",""),B896&amp;IF(F896&gt;0," ("&amp;F896&amp;")","")),"#"&amp;$A896)</f>
        <v/>
      </c>
      <c r="I896" s="209">
        <f>IF(LEN($A896)&gt;0,IF(LEN($J896)&gt;0,MATCH(J896,MatchNames,0),EventIndex),0)</f>
        <v>0</v>
      </c>
      <c r="J896" s="209" t="str">
        <f>IF(LEN($A896)&gt;0,IF(LEN(Declarations!$F896)&gt;0,Declarations!$F896,conftype),"")</f>
        <v/>
      </c>
      <c r="M896" s="297">
        <f>IF(ISNA(VLOOKUP($A896,SprintData,2,FALSE)),0,VLOOKUP($A896,SprintData,2,FALSE))</f>
        <v>0</v>
      </c>
      <c r="N896" s="297">
        <f>IF(ISNA(VLOOKUP($A896,JumpData,2,FALSE)),0,VLOOKUP($A896,JumpData,2,FALSE))</f>
        <v>0</v>
      </c>
      <c r="O896" s="297">
        <f>IF(ISNA(VLOOKUP($A896,RunData,2,FALSE)),0,VLOOKUP($A896,RunData,2,FALSE))</f>
        <v>0</v>
      </c>
      <c r="P896" s="297">
        <f>IF(ISNA(VLOOKUP($A896,ThrowData,2,FALSE)),0,VLOOKUP($A896,ThrowData,2,FALSE))</f>
        <v>0</v>
      </c>
      <c r="Q896" s="298">
        <f>IF(ISNA(VLOOKUP($A896,SprintData,4,FALSE)),0,VLOOKUP($A896,SprintData,4,FALSE))+V896</f>
        <v>0</v>
      </c>
      <c r="R896" s="298">
        <f>IF(ISNA(VLOOKUP($A896,JumpData,4,FALSE)),0,VLOOKUP($A896,JumpData,4,FALSE))+W896</f>
        <v>0</v>
      </c>
      <c r="S896" s="298">
        <f>IF(ISNA(VLOOKUP($A896,RunData,4,FALSE)),0,VLOOKUP($A896,RunData,4,FALSE))+X896</f>
        <v>0</v>
      </c>
      <c r="T896" s="298">
        <f>IF(ISNA(VLOOKUP($A896,ThrowData,4,FALSE)),0,VLOOKUP($A896,ThrowData,4,FALSE))+Y896</f>
        <v>0</v>
      </c>
      <c r="U896" s="299">
        <f t="shared" si="2"/>
        <v>0</v>
      </c>
      <c r="V896">
        <f>IF(AND($F896&gt;0,NOT(M896),Flexing),FlexPC,0)</f>
        <v>0</v>
      </c>
      <c r="W896">
        <f>IF(AND($F896&gt;0,NOT(N896),Flexing),FlexPC,0)</f>
        <v>0</v>
      </c>
      <c r="X896">
        <f>IF(AND($F896&gt;0,NOT(O896),Flexing),FlexPC,0)</f>
        <v>0</v>
      </c>
      <c r="Y896">
        <f>IF(AND($F896&gt;0,NOT(P896),Flexing),FlexPC,0)</f>
        <v>0</v>
      </c>
      <c r="AA896" s="209">
        <f t="shared" si="3"/>
        <v>895</v>
      </c>
    </row>
    <row r="897" ht="15.75" customHeight="1">
      <c r="A897" s="206" t="str">
        <f>+Declarations!A897&amp;""</f>
        <v/>
      </c>
      <c r="B897" t="str">
        <f>IF(LEN($A897),IF(LEN(Declarations!$B897)&gt;0,Declarations!$B897,"#"&amp;$A897),"")</f>
        <v/>
      </c>
      <c r="C897" s="209" t="str">
        <f t="array" ref="C897">IF(LEN(INDEX(DECLARATIONS,$AA897,3))&gt;0,INDEX(DECLARATIONS,$AA897,3),"...")</f>
        <v>...</v>
      </c>
      <c r="D897" s="209" t="str">
        <f t="shared" si="1"/>
        <v/>
      </c>
      <c r="E897" s="296" t="str">
        <f t="array" ref="E897">IF(ISNA($AA897),0,INDEX(DECLARATIONS,$AA897,5))</f>
        <v/>
      </c>
      <c r="F897" s="209" t="str">
        <f t="array" ref="F897">IF(ISNA($AA897),0,INDEX(DECLARATIONS,$AA897,7))</f>
        <v/>
      </c>
      <c r="G897" s="209" t="str">
        <f t="array" ref="G897">UPPER(IF(ISNA($AA897),"",INDEX(DECLARATIONS,$AA897,4)))</f>
        <v/>
      </c>
      <c r="H897" t="str">
        <f>IF(AND(A897&gt;0,ISTEXT(B897)),IF(SECNAME="YES",LEFT(B897&amp;" ",FIND(" ",B897&amp;" ")+2)&amp;IF(F897&gt;0," ("&amp;F897&amp;")",""),B897&amp;IF(F897&gt;0," ("&amp;F897&amp;")","")),"#"&amp;$A897)</f>
        <v/>
      </c>
      <c r="I897" s="209">
        <f>IF(LEN($A897)&gt;0,IF(LEN($J897)&gt;0,MATCH(J897,MatchNames,0),EventIndex),0)</f>
        <v>0</v>
      </c>
      <c r="J897" s="209" t="str">
        <f>IF(LEN($A897)&gt;0,IF(LEN(Declarations!$F897)&gt;0,Declarations!$F897,conftype),"")</f>
        <v/>
      </c>
      <c r="M897" s="297">
        <f>IF(ISNA(VLOOKUP($A897,SprintData,2,FALSE)),0,VLOOKUP($A897,SprintData,2,FALSE))</f>
        <v>0</v>
      </c>
      <c r="N897" s="297">
        <f>IF(ISNA(VLOOKUP($A897,JumpData,2,FALSE)),0,VLOOKUP($A897,JumpData,2,FALSE))</f>
        <v>0</v>
      </c>
      <c r="O897" s="297">
        <f>IF(ISNA(VLOOKUP($A897,RunData,2,FALSE)),0,VLOOKUP($A897,RunData,2,FALSE))</f>
        <v>0</v>
      </c>
      <c r="P897" s="297">
        <f>IF(ISNA(VLOOKUP($A897,ThrowData,2,FALSE)),0,VLOOKUP($A897,ThrowData,2,FALSE))</f>
        <v>0</v>
      </c>
      <c r="Q897" s="298">
        <f>IF(ISNA(VLOOKUP($A897,SprintData,4,FALSE)),0,VLOOKUP($A897,SprintData,4,FALSE))+V897</f>
        <v>0</v>
      </c>
      <c r="R897" s="298">
        <f>IF(ISNA(VLOOKUP($A897,JumpData,4,FALSE)),0,VLOOKUP($A897,JumpData,4,FALSE))+W897</f>
        <v>0</v>
      </c>
      <c r="S897" s="298">
        <f>IF(ISNA(VLOOKUP($A897,RunData,4,FALSE)),0,VLOOKUP($A897,RunData,4,FALSE))+X897</f>
        <v>0</v>
      </c>
      <c r="T897" s="298">
        <f>IF(ISNA(VLOOKUP($A897,ThrowData,4,FALSE)),0,VLOOKUP($A897,ThrowData,4,FALSE))+Y897</f>
        <v>0</v>
      </c>
      <c r="U897" s="299">
        <f t="shared" si="2"/>
        <v>0</v>
      </c>
      <c r="V897">
        <f>IF(AND($F897&gt;0,NOT(M897),Flexing),FlexPC,0)</f>
        <v>0</v>
      </c>
      <c r="W897">
        <f>IF(AND($F897&gt;0,NOT(N897),Flexing),FlexPC,0)</f>
        <v>0</v>
      </c>
      <c r="X897">
        <f>IF(AND($F897&gt;0,NOT(O897),Flexing),FlexPC,0)</f>
        <v>0</v>
      </c>
      <c r="Y897">
        <f>IF(AND($F897&gt;0,NOT(P897),Flexing),FlexPC,0)</f>
        <v>0</v>
      </c>
      <c r="AA897" s="209">
        <f t="shared" si="3"/>
        <v>896</v>
      </c>
    </row>
    <row r="898" ht="15.75" customHeight="1">
      <c r="A898" s="206" t="str">
        <f>+Declarations!A898&amp;""</f>
        <v/>
      </c>
      <c r="B898" t="str">
        <f>IF(LEN($A898),IF(LEN(Declarations!$B898)&gt;0,Declarations!$B898,"#"&amp;$A898),"")</f>
        <v/>
      </c>
      <c r="C898" s="209" t="str">
        <f t="array" ref="C898">IF(LEN(INDEX(DECLARATIONS,$AA898,3))&gt;0,INDEX(DECLARATIONS,$AA898,3),"...")</f>
        <v>...</v>
      </c>
      <c r="D898" s="209" t="str">
        <f t="shared" si="1"/>
        <v/>
      </c>
      <c r="E898" s="296" t="str">
        <f t="array" ref="E898">IF(ISNA($AA898),0,INDEX(DECLARATIONS,$AA898,5))</f>
        <v/>
      </c>
      <c r="F898" s="209" t="str">
        <f t="array" ref="F898">IF(ISNA($AA898),0,INDEX(DECLARATIONS,$AA898,7))</f>
        <v/>
      </c>
      <c r="G898" s="209" t="str">
        <f t="array" ref="G898">UPPER(IF(ISNA($AA898),"",INDEX(DECLARATIONS,$AA898,4)))</f>
        <v/>
      </c>
      <c r="H898" t="str">
        <f>IF(AND(A898&gt;0,ISTEXT(B898)),IF(SECNAME="YES",LEFT(B898&amp;" ",FIND(" ",B898&amp;" ")+2)&amp;IF(F898&gt;0," ("&amp;F898&amp;")",""),B898&amp;IF(F898&gt;0," ("&amp;F898&amp;")","")),"#"&amp;$A898)</f>
        <v/>
      </c>
      <c r="I898" s="209">
        <f>IF(LEN($A898)&gt;0,IF(LEN($J898)&gt;0,MATCH(J898,MatchNames,0),EventIndex),0)</f>
        <v>0</v>
      </c>
      <c r="J898" s="209" t="str">
        <f>IF(LEN($A898)&gt;0,IF(LEN(Declarations!$F898)&gt;0,Declarations!$F898,conftype),"")</f>
        <v/>
      </c>
      <c r="M898" s="297">
        <f>IF(ISNA(VLOOKUP($A898,SprintData,2,FALSE)),0,VLOOKUP($A898,SprintData,2,FALSE))</f>
        <v>0</v>
      </c>
      <c r="N898" s="297">
        <f>IF(ISNA(VLOOKUP($A898,JumpData,2,FALSE)),0,VLOOKUP($A898,JumpData,2,FALSE))</f>
        <v>0</v>
      </c>
      <c r="O898" s="297">
        <f>IF(ISNA(VLOOKUP($A898,RunData,2,FALSE)),0,VLOOKUP($A898,RunData,2,FALSE))</f>
        <v>0</v>
      </c>
      <c r="P898" s="297">
        <f>IF(ISNA(VLOOKUP($A898,ThrowData,2,FALSE)),0,VLOOKUP($A898,ThrowData,2,FALSE))</f>
        <v>0</v>
      </c>
      <c r="Q898" s="298">
        <f>IF(ISNA(VLOOKUP($A898,SprintData,4,FALSE)),0,VLOOKUP($A898,SprintData,4,FALSE))+V898</f>
        <v>0</v>
      </c>
      <c r="R898" s="298">
        <f>IF(ISNA(VLOOKUP($A898,JumpData,4,FALSE)),0,VLOOKUP($A898,JumpData,4,FALSE))+W898</f>
        <v>0</v>
      </c>
      <c r="S898" s="298">
        <f>IF(ISNA(VLOOKUP($A898,RunData,4,FALSE)),0,VLOOKUP($A898,RunData,4,FALSE))+X898</f>
        <v>0</v>
      </c>
      <c r="T898" s="298">
        <f>IF(ISNA(VLOOKUP($A898,ThrowData,4,FALSE)),0,VLOOKUP($A898,ThrowData,4,FALSE))+Y898</f>
        <v>0</v>
      </c>
      <c r="U898" s="299">
        <f t="shared" si="2"/>
        <v>0</v>
      </c>
      <c r="V898">
        <f>IF(AND($F898&gt;0,NOT(M898),Flexing),FlexPC,0)</f>
        <v>0</v>
      </c>
      <c r="W898">
        <f>IF(AND($F898&gt;0,NOT(N898),Flexing),FlexPC,0)</f>
        <v>0</v>
      </c>
      <c r="X898">
        <f>IF(AND($F898&gt;0,NOT(O898),Flexing),FlexPC,0)</f>
        <v>0</v>
      </c>
      <c r="Y898">
        <f>IF(AND($F898&gt;0,NOT(P898),Flexing),FlexPC,0)</f>
        <v>0</v>
      </c>
      <c r="AA898" s="209">
        <f t="shared" si="3"/>
        <v>897</v>
      </c>
    </row>
    <row r="899" ht="15.75" customHeight="1">
      <c r="A899" s="206" t="str">
        <f>+Declarations!A899&amp;""</f>
        <v/>
      </c>
      <c r="B899" t="str">
        <f>IF(LEN($A899),IF(LEN(Declarations!$B899)&gt;0,Declarations!$B899,"#"&amp;$A899),"")</f>
        <v/>
      </c>
      <c r="C899" s="209" t="str">
        <f t="array" ref="C899">IF(LEN(INDEX(DECLARATIONS,$AA899,3))&gt;0,INDEX(DECLARATIONS,$AA899,3),"...")</f>
        <v>...</v>
      </c>
      <c r="D899" s="209" t="str">
        <f t="shared" si="1"/>
        <v/>
      </c>
      <c r="E899" s="296" t="str">
        <f t="array" ref="E899">IF(ISNA($AA899),0,INDEX(DECLARATIONS,$AA899,5))</f>
        <v/>
      </c>
      <c r="F899" s="209" t="str">
        <f t="array" ref="F899">IF(ISNA($AA899),0,INDEX(DECLARATIONS,$AA899,7))</f>
        <v/>
      </c>
      <c r="G899" s="209" t="str">
        <f t="array" ref="G899">UPPER(IF(ISNA($AA899),"",INDEX(DECLARATIONS,$AA899,4)))</f>
        <v/>
      </c>
      <c r="H899" t="str">
        <f>IF(AND(A899&gt;0,ISTEXT(B899)),IF(SECNAME="YES",LEFT(B899&amp;" ",FIND(" ",B899&amp;" ")+2)&amp;IF(F899&gt;0," ("&amp;F899&amp;")",""),B899&amp;IF(F899&gt;0," ("&amp;F899&amp;")","")),"#"&amp;$A899)</f>
        <v/>
      </c>
      <c r="I899" s="209">
        <f>IF(LEN($A899)&gt;0,IF(LEN($J899)&gt;0,MATCH(J899,MatchNames,0),EventIndex),0)</f>
        <v>0</v>
      </c>
      <c r="J899" s="209" t="str">
        <f>IF(LEN($A899)&gt;0,IF(LEN(Declarations!$F899)&gt;0,Declarations!$F899,conftype),"")</f>
        <v/>
      </c>
      <c r="M899" s="297">
        <f>IF(ISNA(VLOOKUP($A899,SprintData,2,FALSE)),0,VLOOKUP($A899,SprintData,2,FALSE))</f>
        <v>0</v>
      </c>
      <c r="N899" s="297">
        <f>IF(ISNA(VLOOKUP($A899,JumpData,2,FALSE)),0,VLOOKUP($A899,JumpData,2,FALSE))</f>
        <v>0</v>
      </c>
      <c r="O899" s="297">
        <f>IF(ISNA(VLOOKUP($A899,RunData,2,FALSE)),0,VLOOKUP($A899,RunData,2,FALSE))</f>
        <v>0</v>
      </c>
      <c r="P899" s="297">
        <f>IF(ISNA(VLOOKUP($A899,ThrowData,2,FALSE)),0,VLOOKUP($A899,ThrowData,2,FALSE))</f>
        <v>0</v>
      </c>
      <c r="Q899" s="298">
        <f>IF(ISNA(VLOOKUP($A899,SprintData,4,FALSE)),0,VLOOKUP($A899,SprintData,4,FALSE))+V899</f>
        <v>0</v>
      </c>
      <c r="R899" s="298">
        <f>IF(ISNA(VLOOKUP($A899,JumpData,4,FALSE)),0,VLOOKUP($A899,JumpData,4,FALSE))+W899</f>
        <v>0</v>
      </c>
      <c r="S899" s="298">
        <f>IF(ISNA(VLOOKUP($A899,RunData,4,FALSE)),0,VLOOKUP($A899,RunData,4,FALSE))+X899</f>
        <v>0</v>
      </c>
      <c r="T899" s="298">
        <f>IF(ISNA(VLOOKUP($A899,ThrowData,4,FALSE)),0,VLOOKUP($A899,ThrowData,4,FALSE))+Y899</f>
        <v>0</v>
      </c>
      <c r="U899" s="299">
        <f t="shared" si="2"/>
        <v>0</v>
      </c>
      <c r="V899">
        <f>IF(AND($F899&gt;0,NOT(M899),Flexing),FlexPC,0)</f>
        <v>0</v>
      </c>
      <c r="W899">
        <f>IF(AND($F899&gt;0,NOT(N899),Flexing),FlexPC,0)</f>
        <v>0</v>
      </c>
      <c r="X899">
        <f>IF(AND($F899&gt;0,NOT(O899),Flexing),FlexPC,0)</f>
        <v>0</v>
      </c>
      <c r="Y899">
        <f>IF(AND($F899&gt;0,NOT(P899),Flexing),FlexPC,0)</f>
        <v>0</v>
      </c>
      <c r="AA899" s="209">
        <f t="shared" si="3"/>
        <v>898</v>
      </c>
    </row>
    <row r="900" ht="15.75" customHeight="1">
      <c r="A900" s="206" t="str">
        <f>+Declarations!A900&amp;""</f>
        <v/>
      </c>
      <c r="B900" t="str">
        <f>IF(LEN($A900),IF(LEN(Declarations!$B900)&gt;0,Declarations!$B900,"#"&amp;$A900),"")</f>
        <v/>
      </c>
      <c r="C900" s="209" t="str">
        <f t="array" ref="C900">IF(LEN(INDEX(DECLARATIONS,$AA900,3))&gt;0,INDEX(DECLARATIONS,$AA900,3),"...")</f>
        <v>...</v>
      </c>
      <c r="D900" s="209" t="str">
        <f t="shared" si="1"/>
        <v/>
      </c>
      <c r="E900" s="296" t="str">
        <f t="array" ref="E900">IF(ISNA($AA900),0,INDEX(DECLARATIONS,$AA900,5))</f>
        <v/>
      </c>
      <c r="F900" s="209" t="str">
        <f t="array" ref="F900">IF(ISNA($AA900),0,INDEX(DECLARATIONS,$AA900,7))</f>
        <v/>
      </c>
      <c r="G900" s="209" t="str">
        <f t="array" ref="G900">UPPER(IF(ISNA($AA900),"",INDEX(DECLARATIONS,$AA900,4)))</f>
        <v/>
      </c>
      <c r="H900" t="str">
        <f>IF(AND(A900&gt;0,ISTEXT(B900)),IF(SECNAME="YES",LEFT(B900&amp;" ",FIND(" ",B900&amp;" ")+2)&amp;IF(F900&gt;0," ("&amp;F900&amp;")",""),B900&amp;IF(F900&gt;0," ("&amp;F900&amp;")","")),"#"&amp;$A900)</f>
        <v/>
      </c>
      <c r="I900" s="209">
        <f>IF(LEN($A900)&gt;0,IF(LEN($J900)&gt;0,MATCH(J900,MatchNames,0),EventIndex),0)</f>
        <v>0</v>
      </c>
      <c r="J900" s="209" t="str">
        <f>IF(LEN($A900)&gt;0,IF(LEN(Declarations!$F900)&gt;0,Declarations!$F900,conftype),"")</f>
        <v/>
      </c>
      <c r="M900" s="297">
        <f>IF(ISNA(VLOOKUP($A900,SprintData,2,FALSE)),0,VLOOKUP($A900,SprintData,2,FALSE))</f>
        <v>0</v>
      </c>
      <c r="N900" s="297">
        <f>IF(ISNA(VLOOKUP($A900,JumpData,2,FALSE)),0,VLOOKUP($A900,JumpData,2,FALSE))</f>
        <v>0</v>
      </c>
      <c r="O900" s="297">
        <f>IF(ISNA(VLOOKUP($A900,RunData,2,FALSE)),0,VLOOKUP($A900,RunData,2,FALSE))</f>
        <v>0</v>
      </c>
      <c r="P900" s="297">
        <f>IF(ISNA(VLOOKUP($A900,ThrowData,2,FALSE)),0,VLOOKUP($A900,ThrowData,2,FALSE))</f>
        <v>0</v>
      </c>
      <c r="Q900" s="298">
        <f>IF(ISNA(VLOOKUP($A900,SprintData,4,FALSE)),0,VLOOKUP($A900,SprintData,4,FALSE))+V900</f>
        <v>0</v>
      </c>
      <c r="R900" s="298">
        <f>IF(ISNA(VLOOKUP($A900,JumpData,4,FALSE)),0,VLOOKUP($A900,JumpData,4,FALSE))+W900</f>
        <v>0</v>
      </c>
      <c r="S900" s="298">
        <f>IF(ISNA(VLOOKUP($A900,RunData,4,FALSE)),0,VLOOKUP($A900,RunData,4,FALSE))+X900</f>
        <v>0</v>
      </c>
      <c r="T900" s="298">
        <f>IF(ISNA(VLOOKUP($A900,ThrowData,4,FALSE)),0,VLOOKUP($A900,ThrowData,4,FALSE))+Y900</f>
        <v>0</v>
      </c>
      <c r="U900" s="299">
        <f t="shared" si="2"/>
        <v>0</v>
      </c>
      <c r="V900">
        <f>IF(AND($F900&gt;0,NOT(M900),Flexing),FlexPC,0)</f>
        <v>0</v>
      </c>
      <c r="W900">
        <f>IF(AND($F900&gt;0,NOT(N900),Flexing),FlexPC,0)</f>
        <v>0</v>
      </c>
      <c r="X900">
        <f>IF(AND($F900&gt;0,NOT(O900),Flexing),FlexPC,0)</f>
        <v>0</v>
      </c>
      <c r="Y900">
        <f>IF(AND($F900&gt;0,NOT(P900),Flexing),FlexPC,0)</f>
        <v>0</v>
      </c>
      <c r="AA900" s="209">
        <f t="shared" si="3"/>
        <v>899</v>
      </c>
    </row>
    <row r="901" ht="15.75" customHeight="1">
      <c r="A901" s="206" t="str">
        <f>+Declarations!A901&amp;""</f>
        <v/>
      </c>
      <c r="B901" t="str">
        <f>IF(LEN($A901),IF(LEN(Declarations!$B901)&gt;0,Declarations!$B901,"#"&amp;$A901),"")</f>
        <v/>
      </c>
      <c r="C901" s="209" t="str">
        <f t="array" ref="C901">IF(LEN(INDEX(DECLARATIONS,$AA901,3))&gt;0,INDEX(DECLARATIONS,$AA901,3),"...")</f>
        <v>...</v>
      </c>
      <c r="D901" s="209" t="str">
        <f t="shared" si="1"/>
        <v/>
      </c>
      <c r="E901" s="296" t="str">
        <f t="array" ref="E901">IF(ISNA($AA901),0,INDEX(DECLARATIONS,$AA901,5))</f>
        <v/>
      </c>
      <c r="F901" s="209" t="str">
        <f t="array" ref="F901">IF(ISNA($AA901),0,INDEX(DECLARATIONS,$AA901,7))</f>
        <v/>
      </c>
      <c r="G901" s="209" t="str">
        <f t="array" ref="G901">UPPER(IF(ISNA($AA901),"",INDEX(DECLARATIONS,$AA901,4)))</f>
        <v/>
      </c>
      <c r="H901" t="str">
        <f>IF(AND(A901&gt;0,ISTEXT(B901)),IF(SECNAME="YES",LEFT(B901&amp;" ",FIND(" ",B901&amp;" ")+2)&amp;IF(F901&gt;0," ("&amp;F901&amp;")",""),B901&amp;IF(F901&gt;0," ("&amp;F901&amp;")","")),"#"&amp;$A901)</f>
        <v/>
      </c>
      <c r="I901" s="209">
        <f>IF(LEN($A901)&gt;0,IF(LEN($J901)&gt;0,MATCH(J901,MatchNames,0),EventIndex),0)</f>
        <v>0</v>
      </c>
      <c r="J901" s="209" t="str">
        <f>IF(LEN($A901)&gt;0,IF(LEN(Declarations!$F901)&gt;0,Declarations!$F901,conftype),"")</f>
        <v/>
      </c>
      <c r="M901" s="297">
        <f>IF(ISNA(VLOOKUP($A901,SprintData,2,FALSE)),0,VLOOKUP($A901,SprintData,2,FALSE))</f>
        <v>0</v>
      </c>
      <c r="N901" s="297">
        <f>IF(ISNA(VLOOKUP($A901,JumpData,2,FALSE)),0,VLOOKUP($A901,JumpData,2,FALSE))</f>
        <v>0</v>
      </c>
      <c r="O901" s="297">
        <f>IF(ISNA(VLOOKUP($A901,RunData,2,FALSE)),0,VLOOKUP($A901,RunData,2,FALSE))</f>
        <v>0</v>
      </c>
      <c r="P901" s="297">
        <f>IF(ISNA(VLOOKUP($A901,ThrowData,2,FALSE)),0,VLOOKUP($A901,ThrowData,2,FALSE))</f>
        <v>0</v>
      </c>
      <c r="Q901" s="298">
        <f>IF(ISNA(VLOOKUP($A901,SprintData,4,FALSE)),0,VLOOKUP($A901,SprintData,4,FALSE))+V901</f>
        <v>0</v>
      </c>
      <c r="R901" s="298">
        <f>IF(ISNA(VLOOKUP($A901,JumpData,4,FALSE)),0,VLOOKUP($A901,JumpData,4,FALSE))+W901</f>
        <v>0</v>
      </c>
      <c r="S901" s="298">
        <f>IF(ISNA(VLOOKUP($A901,RunData,4,FALSE)),0,VLOOKUP($A901,RunData,4,FALSE))+X901</f>
        <v>0</v>
      </c>
      <c r="T901" s="298">
        <f>IF(ISNA(VLOOKUP($A901,ThrowData,4,FALSE)),0,VLOOKUP($A901,ThrowData,4,FALSE))+Y901</f>
        <v>0</v>
      </c>
      <c r="U901" s="299">
        <f t="shared" si="2"/>
        <v>0</v>
      </c>
      <c r="V901">
        <f>IF(AND($F901&gt;0,NOT(M901),Flexing),FlexPC,0)</f>
        <v>0</v>
      </c>
      <c r="W901">
        <f>IF(AND($F901&gt;0,NOT(N901),Flexing),FlexPC,0)</f>
        <v>0</v>
      </c>
      <c r="X901">
        <f>IF(AND($F901&gt;0,NOT(O901),Flexing),FlexPC,0)</f>
        <v>0</v>
      </c>
      <c r="Y901">
        <f>IF(AND($F901&gt;0,NOT(P901),Flexing),FlexPC,0)</f>
        <v>0</v>
      </c>
      <c r="AA901" s="209">
        <f t="shared" si="3"/>
        <v>900</v>
      </c>
    </row>
    <row r="902" ht="15.75" customHeight="1">
      <c r="A902" s="206" t="str">
        <f>+Declarations!A902&amp;""</f>
        <v/>
      </c>
      <c r="B902" t="str">
        <f>IF(LEN($A902),IF(LEN(Declarations!$B902)&gt;0,Declarations!$B902,"#"&amp;$A902),"")</f>
        <v/>
      </c>
      <c r="C902" s="209" t="str">
        <f t="array" ref="C902">IF(LEN(INDEX(DECLARATIONS,$AA902,3))&gt;0,INDEX(DECLARATIONS,$AA902,3),"...")</f>
        <v>...</v>
      </c>
      <c r="D902" s="209" t="str">
        <f t="shared" si="1"/>
        <v/>
      </c>
      <c r="E902" s="296" t="str">
        <f t="array" ref="E902">IF(ISNA($AA902),0,INDEX(DECLARATIONS,$AA902,5))</f>
        <v/>
      </c>
      <c r="F902" s="209" t="str">
        <f t="array" ref="F902">IF(ISNA($AA902),0,INDEX(DECLARATIONS,$AA902,7))</f>
        <v/>
      </c>
      <c r="G902" s="209" t="str">
        <f t="array" ref="G902">UPPER(IF(ISNA($AA902),"",INDEX(DECLARATIONS,$AA902,4)))</f>
        <v/>
      </c>
      <c r="H902" t="str">
        <f>IF(AND(A902&gt;0,ISTEXT(B902)),IF(SECNAME="YES",LEFT(B902&amp;" ",FIND(" ",B902&amp;" ")+2)&amp;IF(F902&gt;0," ("&amp;F902&amp;")",""),B902&amp;IF(F902&gt;0," ("&amp;F902&amp;")","")),"#"&amp;$A902)</f>
        <v/>
      </c>
      <c r="I902" s="209">
        <f>IF(LEN($A902)&gt;0,IF(LEN($J902)&gt;0,MATCH(J902,MatchNames,0),EventIndex),0)</f>
        <v>0</v>
      </c>
      <c r="J902" s="209" t="str">
        <f>IF(LEN($A902)&gt;0,IF(LEN(Declarations!$F902)&gt;0,Declarations!$F902,conftype),"")</f>
        <v/>
      </c>
      <c r="M902" s="297">
        <f>IF(ISNA(VLOOKUP($A902,SprintData,2,FALSE)),0,VLOOKUP($A902,SprintData,2,FALSE))</f>
        <v>0</v>
      </c>
      <c r="N902" s="297">
        <f>IF(ISNA(VLOOKUP($A902,JumpData,2,FALSE)),0,VLOOKUP($A902,JumpData,2,FALSE))</f>
        <v>0</v>
      </c>
      <c r="O902" s="297">
        <f>IF(ISNA(VLOOKUP($A902,RunData,2,FALSE)),0,VLOOKUP($A902,RunData,2,FALSE))</f>
        <v>0</v>
      </c>
      <c r="P902" s="297">
        <f>IF(ISNA(VLOOKUP($A902,ThrowData,2,FALSE)),0,VLOOKUP($A902,ThrowData,2,FALSE))</f>
        <v>0</v>
      </c>
      <c r="Q902" s="298">
        <f>IF(ISNA(VLOOKUP($A902,SprintData,4,FALSE)),0,VLOOKUP($A902,SprintData,4,FALSE))+V902</f>
        <v>0</v>
      </c>
      <c r="R902" s="298">
        <f>IF(ISNA(VLOOKUP($A902,JumpData,4,FALSE)),0,VLOOKUP($A902,JumpData,4,FALSE))+W902</f>
        <v>0</v>
      </c>
      <c r="S902" s="298">
        <f>IF(ISNA(VLOOKUP($A902,RunData,4,FALSE)),0,VLOOKUP($A902,RunData,4,FALSE))+X902</f>
        <v>0</v>
      </c>
      <c r="T902" s="298">
        <f>IF(ISNA(VLOOKUP($A902,ThrowData,4,FALSE)),0,VLOOKUP($A902,ThrowData,4,FALSE))+Y902</f>
        <v>0</v>
      </c>
      <c r="U902" s="299">
        <f t="shared" si="2"/>
        <v>0</v>
      </c>
      <c r="V902">
        <f>IF(AND($F902&gt;0,NOT(M902),Flexing),FlexPC,0)</f>
        <v>0</v>
      </c>
      <c r="W902">
        <f>IF(AND($F902&gt;0,NOT(N902),Flexing),FlexPC,0)</f>
        <v>0</v>
      </c>
      <c r="X902">
        <f>IF(AND($F902&gt;0,NOT(O902),Flexing),FlexPC,0)</f>
        <v>0</v>
      </c>
      <c r="Y902">
        <f>IF(AND($F902&gt;0,NOT(P902),Flexing),FlexPC,0)</f>
        <v>0</v>
      </c>
      <c r="AA902" s="209">
        <f t="shared" si="3"/>
        <v>901</v>
      </c>
    </row>
    <row r="903" ht="15.75" customHeight="1">
      <c r="A903" s="206" t="str">
        <f>+Declarations!A903&amp;""</f>
        <v/>
      </c>
      <c r="B903" t="str">
        <f>IF(LEN($A903),IF(LEN(Declarations!$B903)&gt;0,Declarations!$B903,"#"&amp;$A903),"")</f>
        <v/>
      </c>
      <c r="C903" s="209" t="str">
        <f t="array" ref="C903">IF(LEN(INDEX(DECLARATIONS,$AA903,3))&gt;0,INDEX(DECLARATIONS,$AA903,3),"...")</f>
        <v>...</v>
      </c>
      <c r="D903" s="209" t="str">
        <f t="shared" si="1"/>
        <v/>
      </c>
      <c r="E903" s="296" t="str">
        <f t="array" ref="E903">IF(ISNA($AA903),0,INDEX(DECLARATIONS,$AA903,5))</f>
        <v/>
      </c>
      <c r="F903" s="209" t="str">
        <f t="array" ref="F903">IF(ISNA($AA903),0,INDEX(DECLARATIONS,$AA903,7))</f>
        <v/>
      </c>
      <c r="G903" s="209" t="str">
        <f t="array" ref="G903">UPPER(IF(ISNA($AA903),"",INDEX(DECLARATIONS,$AA903,4)))</f>
        <v/>
      </c>
      <c r="H903" t="str">
        <f>IF(AND(A903&gt;0,ISTEXT(B903)),IF(SECNAME="YES",LEFT(B903&amp;" ",FIND(" ",B903&amp;" ")+2)&amp;IF(F903&gt;0," ("&amp;F903&amp;")",""),B903&amp;IF(F903&gt;0," ("&amp;F903&amp;")","")),"#"&amp;$A903)</f>
        <v/>
      </c>
      <c r="I903" s="209">
        <f>IF(LEN($A903)&gt;0,IF(LEN($J903)&gt;0,MATCH(J903,MatchNames,0),EventIndex),0)</f>
        <v>0</v>
      </c>
      <c r="J903" s="209" t="str">
        <f>IF(LEN($A903)&gt;0,IF(LEN(Declarations!$F903)&gt;0,Declarations!$F903,conftype),"")</f>
        <v/>
      </c>
      <c r="M903" s="297">
        <f>IF(ISNA(VLOOKUP($A903,SprintData,2,FALSE)),0,VLOOKUP($A903,SprintData,2,FALSE))</f>
        <v>0</v>
      </c>
      <c r="N903" s="297">
        <f>IF(ISNA(VLOOKUP($A903,JumpData,2,FALSE)),0,VLOOKUP($A903,JumpData,2,FALSE))</f>
        <v>0</v>
      </c>
      <c r="O903" s="297">
        <f>IF(ISNA(VLOOKUP($A903,RunData,2,FALSE)),0,VLOOKUP($A903,RunData,2,FALSE))</f>
        <v>0</v>
      </c>
      <c r="P903" s="297">
        <f>IF(ISNA(VLOOKUP($A903,ThrowData,2,FALSE)),0,VLOOKUP($A903,ThrowData,2,FALSE))</f>
        <v>0</v>
      </c>
      <c r="Q903" s="298">
        <f>IF(ISNA(VLOOKUP($A903,SprintData,4,FALSE)),0,VLOOKUP($A903,SprintData,4,FALSE))+V903</f>
        <v>0</v>
      </c>
      <c r="R903" s="298">
        <f>IF(ISNA(VLOOKUP($A903,JumpData,4,FALSE)),0,VLOOKUP($A903,JumpData,4,FALSE))+W903</f>
        <v>0</v>
      </c>
      <c r="S903" s="298">
        <f>IF(ISNA(VLOOKUP($A903,RunData,4,FALSE)),0,VLOOKUP($A903,RunData,4,FALSE))+X903</f>
        <v>0</v>
      </c>
      <c r="T903" s="298">
        <f>IF(ISNA(VLOOKUP($A903,ThrowData,4,FALSE)),0,VLOOKUP($A903,ThrowData,4,FALSE))+Y903</f>
        <v>0</v>
      </c>
      <c r="U903" s="299">
        <f t="shared" si="2"/>
        <v>0</v>
      </c>
      <c r="V903">
        <f>IF(AND($F903&gt;0,NOT(M903),Flexing),FlexPC,0)</f>
        <v>0</v>
      </c>
      <c r="W903">
        <f>IF(AND($F903&gt;0,NOT(N903),Flexing),FlexPC,0)</f>
        <v>0</v>
      </c>
      <c r="X903">
        <f>IF(AND($F903&gt;0,NOT(O903),Flexing),FlexPC,0)</f>
        <v>0</v>
      </c>
      <c r="Y903">
        <f>IF(AND($F903&gt;0,NOT(P903),Flexing),FlexPC,0)</f>
        <v>0</v>
      </c>
      <c r="AA903" s="209">
        <f t="shared" si="3"/>
        <v>902</v>
      </c>
    </row>
    <row r="904" ht="15.75" customHeight="1">
      <c r="A904" s="206" t="str">
        <f>+Declarations!A904&amp;""</f>
        <v/>
      </c>
      <c r="B904" t="str">
        <f>IF(LEN($A904),IF(LEN(Declarations!$B904)&gt;0,Declarations!$B904,"#"&amp;$A904),"")</f>
        <v/>
      </c>
      <c r="C904" s="209" t="str">
        <f t="array" ref="C904">IF(LEN(INDEX(DECLARATIONS,$AA904,3))&gt;0,INDEX(DECLARATIONS,$AA904,3),"...")</f>
        <v>...</v>
      </c>
      <c r="D904" s="209" t="str">
        <f t="shared" si="1"/>
        <v/>
      </c>
      <c r="E904" s="296" t="str">
        <f t="array" ref="E904">IF(ISNA($AA904),0,INDEX(DECLARATIONS,$AA904,5))</f>
        <v/>
      </c>
      <c r="F904" s="209" t="str">
        <f t="array" ref="F904">IF(ISNA($AA904),0,INDEX(DECLARATIONS,$AA904,7))</f>
        <v/>
      </c>
      <c r="G904" s="209" t="str">
        <f t="array" ref="G904">UPPER(IF(ISNA($AA904),"",INDEX(DECLARATIONS,$AA904,4)))</f>
        <v/>
      </c>
      <c r="H904" t="str">
        <f>IF(AND(A904&gt;0,ISTEXT(B904)),IF(SECNAME="YES",LEFT(B904&amp;" ",FIND(" ",B904&amp;" ")+2)&amp;IF(F904&gt;0," ("&amp;F904&amp;")",""),B904&amp;IF(F904&gt;0," ("&amp;F904&amp;")","")),"#"&amp;$A904)</f>
        <v/>
      </c>
      <c r="I904" s="209">
        <f>IF(LEN($A904)&gt;0,IF(LEN($J904)&gt;0,MATCH(J904,MatchNames,0),EventIndex),0)</f>
        <v>0</v>
      </c>
      <c r="J904" s="209" t="str">
        <f>IF(LEN($A904)&gt;0,IF(LEN(Declarations!$F904)&gt;0,Declarations!$F904,conftype),"")</f>
        <v/>
      </c>
      <c r="M904" s="297">
        <f>IF(ISNA(VLOOKUP($A904,SprintData,2,FALSE)),0,VLOOKUP($A904,SprintData,2,FALSE))</f>
        <v>0</v>
      </c>
      <c r="N904" s="297">
        <f>IF(ISNA(VLOOKUP($A904,JumpData,2,FALSE)),0,VLOOKUP($A904,JumpData,2,FALSE))</f>
        <v>0</v>
      </c>
      <c r="O904" s="297">
        <f>IF(ISNA(VLOOKUP($A904,RunData,2,FALSE)),0,VLOOKUP($A904,RunData,2,FALSE))</f>
        <v>0</v>
      </c>
      <c r="P904" s="297">
        <f>IF(ISNA(VLOOKUP($A904,ThrowData,2,FALSE)),0,VLOOKUP($A904,ThrowData,2,FALSE))</f>
        <v>0</v>
      </c>
      <c r="Q904" s="298">
        <f>IF(ISNA(VLOOKUP($A904,SprintData,4,FALSE)),0,VLOOKUP($A904,SprintData,4,FALSE))+V904</f>
        <v>0</v>
      </c>
      <c r="R904" s="298">
        <f>IF(ISNA(VLOOKUP($A904,JumpData,4,FALSE)),0,VLOOKUP($A904,JumpData,4,FALSE))+W904</f>
        <v>0</v>
      </c>
      <c r="S904" s="298">
        <f>IF(ISNA(VLOOKUP($A904,RunData,4,FALSE)),0,VLOOKUP($A904,RunData,4,FALSE))+X904</f>
        <v>0</v>
      </c>
      <c r="T904" s="298">
        <f>IF(ISNA(VLOOKUP($A904,ThrowData,4,FALSE)),0,VLOOKUP($A904,ThrowData,4,FALSE))+Y904</f>
        <v>0</v>
      </c>
      <c r="U904" s="299">
        <f t="shared" si="2"/>
        <v>0</v>
      </c>
      <c r="V904">
        <f>IF(AND($F904&gt;0,NOT(M904),Flexing),FlexPC,0)</f>
        <v>0</v>
      </c>
      <c r="W904">
        <f>IF(AND($F904&gt;0,NOT(N904),Flexing),FlexPC,0)</f>
        <v>0</v>
      </c>
      <c r="X904">
        <f>IF(AND($F904&gt;0,NOT(O904),Flexing),FlexPC,0)</f>
        <v>0</v>
      </c>
      <c r="Y904">
        <f>IF(AND($F904&gt;0,NOT(P904),Flexing),FlexPC,0)</f>
        <v>0</v>
      </c>
      <c r="AA904" s="209">
        <f t="shared" si="3"/>
        <v>903</v>
      </c>
    </row>
    <row r="905" ht="15.75" customHeight="1">
      <c r="A905" s="206" t="str">
        <f>+Declarations!A905&amp;""</f>
        <v/>
      </c>
      <c r="B905" t="str">
        <f>IF(LEN($A905),IF(LEN(Declarations!$B905)&gt;0,Declarations!$B905,"#"&amp;$A905),"")</f>
        <v/>
      </c>
      <c r="C905" s="209" t="str">
        <f t="array" ref="C905">IF(LEN(INDEX(DECLARATIONS,$AA905,3))&gt;0,INDEX(DECLARATIONS,$AA905,3),"...")</f>
        <v>...</v>
      </c>
      <c r="D905" s="209" t="str">
        <f t="shared" si="1"/>
        <v/>
      </c>
      <c r="E905" s="296" t="str">
        <f t="array" ref="E905">IF(ISNA($AA905),0,INDEX(DECLARATIONS,$AA905,5))</f>
        <v/>
      </c>
      <c r="F905" s="209" t="str">
        <f t="array" ref="F905">IF(ISNA($AA905),0,INDEX(DECLARATIONS,$AA905,7))</f>
        <v/>
      </c>
      <c r="G905" s="209" t="str">
        <f t="array" ref="G905">UPPER(IF(ISNA($AA905),"",INDEX(DECLARATIONS,$AA905,4)))</f>
        <v/>
      </c>
      <c r="H905" t="str">
        <f>IF(AND(A905&gt;0,ISTEXT(B905)),IF(SECNAME="YES",LEFT(B905&amp;" ",FIND(" ",B905&amp;" ")+2)&amp;IF(F905&gt;0," ("&amp;F905&amp;")",""),B905&amp;IF(F905&gt;0," ("&amp;F905&amp;")","")),"#"&amp;$A905)</f>
        <v/>
      </c>
      <c r="I905" s="209">
        <f>IF(LEN($A905)&gt;0,IF(LEN($J905)&gt;0,MATCH(J905,MatchNames,0),EventIndex),0)</f>
        <v>0</v>
      </c>
      <c r="J905" s="209" t="str">
        <f>IF(LEN($A905)&gt;0,IF(LEN(Declarations!$F905)&gt;0,Declarations!$F905,conftype),"")</f>
        <v/>
      </c>
      <c r="M905" s="297">
        <f>IF(ISNA(VLOOKUP($A905,SprintData,2,FALSE)),0,VLOOKUP($A905,SprintData,2,FALSE))</f>
        <v>0</v>
      </c>
      <c r="N905" s="297">
        <f>IF(ISNA(VLOOKUP($A905,JumpData,2,FALSE)),0,VLOOKUP($A905,JumpData,2,FALSE))</f>
        <v>0</v>
      </c>
      <c r="O905" s="297">
        <f>IF(ISNA(VLOOKUP($A905,RunData,2,FALSE)),0,VLOOKUP($A905,RunData,2,FALSE))</f>
        <v>0</v>
      </c>
      <c r="P905" s="297">
        <f>IF(ISNA(VLOOKUP($A905,ThrowData,2,FALSE)),0,VLOOKUP($A905,ThrowData,2,FALSE))</f>
        <v>0</v>
      </c>
      <c r="Q905" s="298">
        <f>IF(ISNA(VLOOKUP($A905,SprintData,4,FALSE)),0,VLOOKUP($A905,SprintData,4,FALSE))+V905</f>
        <v>0</v>
      </c>
      <c r="R905" s="298">
        <f>IF(ISNA(VLOOKUP($A905,JumpData,4,FALSE)),0,VLOOKUP($A905,JumpData,4,FALSE))+W905</f>
        <v>0</v>
      </c>
      <c r="S905" s="298">
        <f>IF(ISNA(VLOOKUP($A905,RunData,4,FALSE)),0,VLOOKUP($A905,RunData,4,FALSE))+X905</f>
        <v>0</v>
      </c>
      <c r="T905" s="298">
        <f>IF(ISNA(VLOOKUP($A905,ThrowData,4,FALSE)),0,VLOOKUP($A905,ThrowData,4,FALSE))+Y905</f>
        <v>0</v>
      </c>
      <c r="U905" s="299">
        <f t="shared" si="2"/>
        <v>0</v>
      </c>
      <c r="V905">
        <f>IF(AND($F905&gt;0,NOT(M905),Flexing),FlexPC,0)</f>
        <v>0</v>
      </c>
      <c r="W905">
        <f>IF(AND($F905&gt;0,NOT(N905),Flexing),FlexPC,0)</f>
        <v>0</v>
      </c>
      <c r="X905">
        <f>IF(AND($F905&gt;0,NOT(O905),Flexing),FlexPC,0)</f>
        <v>0</v>
      </c>
      <c r="Y905">
        <f>IF(AND($F905&gt;0,NOT(P905),Flexing),FlexPC,0)</f>
        <v>0</v>
      </c>
      <c r="AA905" s="209">
        <f t="shared" si="3"/>
        <v>904</v>
      </c>
    </row>
    <row r="906" ht="15.75" customHeight="1">
      <c r="A906" s="206" t="str">
        <f>+Declarations!A906&amp;""</f>
        <v/>
      </c>
      <c r="B906" t="str">
        <f>IF(LEN($A906),IF(LEN(Declarations!$B906)&gt;0,Declarations!$B906,"#"&amp;$A906),"")</f>
        <v/>
      </c>
      <c r="C906" s="209" t="str">
        <f t="array" ref="C906">IF(LEN(INDEX(DECLARATIONS,$AA906,3))&gt;0,INDEX(DECLARATIONS,$AA906,3),"...")</f>
        <v>...</v>
      </c>
      <c r="D906" s="209" t="str">
        <f t="shared" si="1"/>
        <v/>
      </c>
      <c r="E906" s="296" t="str">
        <f t="array" ref="E906">IF(ISNA($AA906),0,INDEX(DECLARATIONS,$AA906,5))</f>
        <v/>
      </c>
      <c r="F906" s="209" t="str">
        <f t="array" ref="F906">IF(ISNA($AA906),0,INDEX(DECLARATIONS,$AA906,7))</f>
        <v/>
      </c>
      <c r="G906" s="209" t="str">
        <f t="array" ref="G906">UPPER(IF(ISNA($AA906),"",INDEX(DECLARATIONS,$AA906,4)))</f>
        <v/>
      </c>
      <c r="H906" t="str">
        <f>IF(AND(A906&gt;0,ISTEXT(B906)),IF(SECNAME="YES",LEFT(B906&amp;" ",FIND(" ",B906&amp;" ")+2)&amp;IF(F906&gt;0," ("&amp;F906&amp;")",""),B906&amp;IF(F906&gt;0," ("&amp;F906&amp;")","")),"#"&amp;$A906)</f>
        <v/>
      </c>
      <c r="I906" s="209">
        <f>IF(LEN($A906)&gt;0,IF(LEN($J906)&gt;0,MATCH(J906,MatchNames,0),EventIndex),0)</f>
        <v>0</v>
      </c>
      <c r="J906" s="209" t="str">
        <f>IF(LEN($A906)&gt;0,IF(LEN(Declarations!$F906)&gt;0,Declarations!$F906,conftype),"")</f>
        <v/>
      </c>
      <c r="M906" s="297">
        <f>IF(ISNA(VLOOKUP($A906,SprintData,2,FALSE)),0,VLOOKUP($A906,SprintData,2,FALSE))</f>
        <v>0</v>
      </c>
      <c r="N906" s="297">
        <f>IF(ISNA(VLOOKUP($A906,JumpData,2,FALSE)),0,VLOOKUP($A906,JumpData,2,FALSE))</f>
        <v>0</v>
      </c>
      <c r="O906" s="297">
        <f>IF(ISNA(VLOOKUP($A906,RunData,2,FALSE)),0,VLOOKUP($A906,RunData,2,FALSE))</f>
        <v>0</v>
      </c>
      <c r="P906" s="297">
        <f>IF(ISNA(VLOOKUP($A906,ThrowData,2,FALSE)),0,VLOOKUP($A906,ThrowData,2,FALSE))</f>
        <v>0</v>
      </c>
      <c r="Q906" s="298">
        <f>IF(ISNA(VLOOKUP($A906,SprintData,4,FALSE)),0,VLOOKUP($A906,SprintData,4,FALSE))+V906</f>
        <v>0</v>
      </c>
      <c r="R906" s="298">
        <f>IF(ISNA(VLOOKUP($A906,JumpData,4,FALSE)),0,VLOOKUP($A906,JumpData,4,FALSE))+W906</f>
        <v>0</v>
      </c>
      <c r="S906" s="298">
        <f>IF(ISNA(VLOOKUP($A906,RunData,4,FALSE)),0,VLOOKUP($A906,RunData,4,FALSE))+X906</f>
        <v>0</v>
      </c>
      <c r="T906" s="298">
        <f>IF(ISNA(VLOOKUP($A906,ThrowData,4,FALSE)),0,VLOOKUP($A906,ThrowData,4,FALSE))+Y906</f>
        <v>0</v>
      </c>
      <c r="U906" s="299">
        <f t="shared" si="2"/>
        <v>0</v>
      </c>
      <c r="V906">
        <f>IF(AND($F906&gt;0,NOT(M906),Flexing),FlexPC,0)</f>
        <v>0</v>
      </c>
      <c r="W906">
        <f>IF(AND($F906&gt;0,NOT(N906),Flexing),FlexPC,0)</f>
        <v>0</v>
      </c>
      <c r="X906">
        <f>IF(AND($F906&gt;0,NOT(O906),Flexing),FlexPC,0)</f>
        <v>0</v>
      </c>
      <c r="Y906">
        <f>IF(AND($F906&gt;0,NOT(P906),Flexing),FlexPC,0)</f>
        <v>0</v>
      </c>
      <c r="AA906" s="209">
        <f t="shared" si="3"/>
        <v>905</v>
      </c>
    </row>
    <row r="907" ht="15.75" customHeight="1">
      <c r="A907" s="206" t="str">
        <f>+Declarations!A907&amp;""</f>
        <v/>
      </c>
      <c r="B907" t="str">
        <f>IF(LEN($A907),IF(LEN(Declarations!$B907)&gt;0,Declarations!$B907,"#"&amp;$A907),"")</f>
        <v/>
      </c>
      <c r="C907" s="209" t="str">
        <f t="array" ref="C907">IF(LEN(INDEX(DECLARATIONS,$AA907,3))&gt;0,INDEX(DECLARATIONS,$AA907,3),"...")</f>
        <v>...</v>
      </c>
      <c r="D907" s="209" t="str">
        <f t="shared" si="1"/>
        <v/>
      </c>
      <c r="E907" s="296" t="str">
        <f t="array" ref="E907">IF(ISNA($AA907),0,INDEX(DECLARATIONS,$AA907,5))</f>
        <v/>
      </c>
      <c r="F907" s="209" t="str">
        <f t="array" ref="F907">IF(ISNA($AA907),0,INDEX(DECLARATIONS,$AA907,7))</f>
        <v/>
      </c>
      <c r="G907" s="209" t="str">
        <f t="array" ref="G907">UPPER(IF(ISNA($AA907),"",INDEX(DECLARATIONS,$AA907,4)))</f>
        <v/>
      </c>
      <c r="H907" t="str">
        <f>IF(AND(A907&gt;0,ISTEXT(B907)),IF(SECNAME="YES",LEFT(B907&amp;" ",FIND(" ",B907&amp;" ")+2)&amp;IF(F907&gt;0," ("&amp;F907&amp;")",""),B907&amp;IF(F907&gt;0," ("&amp;F907&amp;")","")),"#"&amp;$A907)</f>
        <v/>
      </c>
      <c r="I907" s="209">
        <f>IF(LEN($A907)&gt;0,IF(LEN($J907)&gt;0,MATCH(J907,MatchNames,0),EventIndex),0)</f>
        <v>0</v>
      </c>
      <c r="J907" s="209" t="str">
        <f>IF(LEN($A907)&gt;0,IF(LEN(Declarations!$F907)&gt;0,Declarations!$F907,conftype),"")</f>
        <v/>
      </c>
      <c r="M907" s="297">
        <f>IF(ISNA(VLOOKUP($A907,SprintData,2,FALSE)),0,VLOOKUP($A907,SprintData,2,FALSE))</f>
        <v>0</v>
      </c>
      <c r="N907" s="297">
        <f>IF(ISNA(VLOOKUP($A907,JumpData,2,FALSE)),0,VLOOKUP($A907,JumpData,2,FALSE))</f>
        <v>0</v>
      </c>
      <c r="O907" s="297">
        <f>IF(ISNA(VLOOKUP($A907,RunData,2,FALSE)),0,VLOOKUP($A907,RunData,2,FALSE))</f>
        <v>0</v>
      </c>
      <c r="P907" s="297">
        <f>IF(ISNA(VLOOKUP($A907,ThrowData,2,FALSE)),0,VLOOKUP($A907,ThrowData,2,FALSE))</f>
        <v>0</v>
      </c>
      <c r="Q907" s="298">
        <f>IF(ISNA(VLOOKUP($A907,SprintData,4,FALSE)),0,VLOOKUP($A907,SprintData,4,FALSE))+V907</f>
        <v>0</v>
      </c>
      <c r="R907" s="298">
        <f>IF(ISNA(VLOOKUP($A907,JumpData,4,FALSE)),0,VLOOKUP($A907,JumpData,4,FALSE))+W907</f>
        <v>0</v>
      </c>
      <c r="S907" s="298">
        <f>IF(ISNA(VLOOKUP($A907,RunData,4,FALSE)),0,VLOOKUP($A907,RunData,4,FALSE))+X907</f>
        <v>0</v>
      </c>
      <c r="T907" s="298">
        <f>IF(ISNA(VLOOKUP($A907,ThrowData,4,FALSE)),0,VLOOKUP($A907,ThrowData,4,FALSE))+Y907</f>
        <v>0</v>
      </c>
      <c r="U907" s="299">
        <f t="shared" si="2"/>
        <v>0</v>
      </c>
      <c r="V907">
        <f>IF(AND($F907&gt;0,NOT(M907),Flexing),FlexPC,0)</f>
        <v>0</v>
      </c>
      <c r="W907">
        <f>IF(AND($F907&gt;0,NOT(N907),Flexing),FlexPC,0)</f>
        <v>0</v>
      </c>
      <c r="X907">
        <f>IF(AND($F907&gt;0,NOT(O907),Flexing),FlexPC,0)</f>
        <v>0</v>
      </c>
      <c r="Y907">
        <f>IF(AND($F907&gt;0,NOT(P907),Flexing),FlexPC,0)</f>
        <v>0</v>
      </c>
      <c r="AA907" s="209">
        <f t="shared" si="3"/>
        <v>906</v>
      </c>
    </row>
    <row r="908" ht="15.75" customHeight="1">
      <c r="A908" s="206" t="str">
        <f>+Declarations!A908&amp;""</f>
        <v/>
      </c>
      <c r="B908" t="str">
        <f>IF(LEN($A908),IF(LEN(Declarations!$B908)&gt;0,Declarations!$B908,"#"&amp;$A908),"")</f>
        <v/>
      </c>
      <c r="C908" s="209" t="str">
        <f t="array" ref="C908">IF(LEN(INDEX(DECLARATIONS,$AA908,3))&gt;0,INDEX(DECLARATIONS,$AA908,3),"...")</f>
        <v>...</v>
      </c>
      <c r="D908" s="209" t="str">
        <f t="shared" si="1"/>
        <v/>
      </c>
      <c r="E908" s="296" t="str">
        <f t="array" ref="E908">IF(ISNA($AA908),0,INDEX(DECLARATIONS,$AA908,5))</f>
        <v/>
      </c>
      <c r="F908" s="209" t="str">
        <f t="array" ref="F908">IF(ISNA($AA908),0,INDEX(DECLARATIONS,$AA908,7))</f>
        <v/>
      </c>
      <c r="G908" s="209" t="str">
        <f t="array" ref="G908">UPPER(IF(ISNA($AA908),"",INDEX(DECLARATIONS,$AA908,4)))</f>
        <v/>
      </c>
      <c r="H908" t="str">
        <f>IF(AND(A908&gt;0,ISTEXT(B908)),IF(SECNAME="YES",LEFT(B908&amp;" ",FIND(" ",B908&amp;" ")+2)&amp;IF(F908&gt;0," ("&amp;F908&amp;")",""),B908&amp;IF(F908&gt;0," ("&amp;F908&amp;")","")),"#"&amp;$A908)</f>
        <v/>
      </c>
      <c r="I908" s="209">
        <f>IF(LEN($A908)&gt;0,IF(LEN($J908)&gt;0,MATCH(J908,MatchNames,0),EventIndex),0)</f>
        <v>0</v>
      </c>
      <c r="J908" s="209" t="str">
        <f>IF(LEN($A908)&gt;0,IF(LEN(Declarations!$F908)&gt;0,Declarations!$F908,conftype),"")</f>
        <v/>
      </c>
      <c r="M908" s="297">
        <f>IF(ISNA(VLOOKUP($A908,SprintData,2,FALSE)),0,VLOOKUP($A908,SprintData,2,FALSE))</f>
        <v>0</v>
      </c>
      <c r="N908" s="297">
        <f>IF(ISNA(VLOOKUP($A908,JumpData,2,FALSE)),0,VLOOKUP($A908,JumpData,2,FALSE))</f>
        <v>0</v>
      </c>
      <c r="O908" s="297">
        <f>IF(ISNA(VLOOKUP($A908,RunData,2,FALSE)),0,VLOOKUP($A908,RunData,2,FALSE))</f>
        <v>0</v>
      </c>
      <c r="P908" s="297">
        <f>IF(ISNA(VLOOKUP($A908,ThrowData,2,FALSE)),0,VLOOKUP($A908,ThrowData,2,FALSE))</f>
        <v>0</v>
      </c>
      <c r="Q908" s="298">
        <f>IF(ISNA(VLOOKUP($A908,SprintData,4,FALSE)),0,VLOOKUP($A908,SprintData,4,FALSE))+V908</f>
        <v>0</v>
      </c>
      <c r="R908" s="298">
        <f>IF(ISNA(VLOOKUP($A908,JumpData,4,FALSE)),0,VLOOKUP($A908,JumpData,4,FALSE))+W908</f>
        <v>0</v>
      </c>
      <c r="S908" s="298">
        <f>IF(ISNA(VLOOKUP($A908,RunData,4,FALSE)),0,VLOOKUP($A908,RunData,4,FALSE))+X908</f>
        <v>0</v>
      </c>
      <c r="T908" s="298">
        <f>IF(ISNA(VLOOKUP($A908,ThrowData,4,FALSE)),0,VLOOKUP($A908,ThrowData,4,FALSE))+Y908</f>
        <v>0</v>
      </c>
      <c r="U908" s="299">
        <f t="shared" si="2"/>
        <v>0</v>
      </c>
      <c r="V908">
        <f>IF(AND($F908&gt;0,NOT(M908),Flexing),FlexPC,0)</f>
        <v>0</v>
      </c>
      <c r="W908">
        <f>IF(AND($F908&gt;0,NOT(N908),Flexing),FlexPC,0)</f>
        <v>0</v>
      </c>
      <c r="X908">
        <f>IF(AND($F908&gt;0,NOT(O908),Flexing),FlexPC,0)</f>
        <v>0</v>
      </c>
      <c r="Y908">
        <f>IF(AND($F908&gt;0,NOT(P908),Flexing),FlexPC,0)</f>
        <v>0</v>
      </c>
      <c r="AA908" s="209">
        <f t="shared" si="3"/>
        <v>907</v>
      </c>
    </row>
    <row r="909" ht="15.75" customHeight="1">
      <c r="A909" s="206" t="str">
        <f>+Declarations!A909&amp;""</f>
        <v/>
      </c>
      <c r="B909" t="str">
        <f>IF(LEN($A909),IF(LEN(Declarations!$B909)&gt;0,Declarations!$B909,"#"&amp;$A909),"")</f>
        <v/>
      </c>
      <c r="C909" s="209" t="str">
        <f t="array" ref="C909">IF(LEN(INDEX(DECLARATIONS,$AA909,3))&gt;0,INDEX(DECLARATIONS,$AA909,3),"...")</f>
        <v>...</v>
      </c>
      <c r="D909" s="209" t="str">
        <f t="shared" si="1"/>
        <v/>
      </c>
      <c r="E909" s="296" t="str">
        <f t="array" ref="E909">IF(ISNA($AA909),0,INDEX(DECLARATIONS,$AA909,5))</f>
        <v/>
      </c>
      <c r="F909" s="209" t="str">
        <f t="array" ref="F909">IF(ISNA($AA909),0,INDEX(DECLARATIONS,$AA909,7))</f>
        <v/>
      </c>
      <c r="G909" s="209" t="str">
        <f t="array" ref="G909">UPPER(IF(ISNA($AA909),"",INDEX(DECLARATIONS,$AA909,4)))</f>
        <v/>
      </c>
      <c r="H909" t="str">
        <f>IF(AND(A909&gt;0,ISTEXT(B909)),IF(SECNAME="YES",LEFT(B909&amp;" ",FIND(" ",B909&amp;" ")+2)&amp;IF(F909&gt;0," ("&amp;F909&amp;")",""),B909&amp;IF(F909&gt;0," ("&amp;F909&amp;")","")),"#"&amp;$A909)</f>
        <v/>
      </c>
      <c r="I909" s="209">
        <f>IF(LEN($A909)&gt;0,IF(LEN($J909)&gt;0,MATCH(J909,MatchNames,0),EventIndex),0)</f>
        <v>0</v>
      </c>
      <c r="J909" s="209" t="str">
        <f>IF(LEN($A909)&gt;0,IF(LEN(Declarations!$F909)&gt;0,Declarations!$F909,conftype),"")</f>
        <v/>
      </c>
      <c r="M909" s="297">
        <f>IF(ISNA(VLOOKUP($A909,SprintData,2,FALSE)),0,VLOOKUP($A909,SprintData,2,FALSE))</f>
        <v>0</v>
      </c>
      <c r="N909" s="297">
        <f>IF(ISNA(VLOOKUP($A909,JumpData,2,FALSE)),0,VLOOKUP($A909,JumpData,2,FALSE))</f>
        <v>0</v>
      </c>
      <c r="O909" s="297">
        <f>IF(ISNA(VLOOKUP($A909,RunData,2,FALSE)),0,VLOOKUP($A909,RunData,2,FALSE))</f>
        <v>0</v>
      </c>
      <c r="P909" s="297">
        <f>IF(ISNA(VLOOKUP($A909,ThrowData,2,FALSE)),0,VLOOKUP($A909,ThrowData,2,FALSE))</f>
        <v>0</v>
      </c>
      <c r="Q909" s="298">
        <f>IF(ISNA(VLOOKUP($A909,SprintData,4,FALSE)),0,VLOOKUP($A909,SprintData,4,FALSE))+V909</f>
        <v>0</v>
      </c>
      <c r="R909" s="298">
        <f>IF(ISNA(VLOOKUP($A909,JumpData,4,FALSE)),0,VLOOKUP($A909,JumpData,4,FALSE))+W909</f>
        <v>0</v>
      </c>
      <c r="S909" s="298">
        <f>IF(ISNA(VLOOKUP($A909,RunData,4,FALSE)),0,VLOOKUP($A909,RunData,4,FALSE))+X909</f>
        <v>0</v>
      </c>
      <c r="T909" s="298">
        <f>IF(ISNA(VLOOKUP($A909,ThrowData,4,FALSE)),0,VLOOKUP($A909,ThrowData,4,FALSE))+Y909</f>
        <v>0</v>
      </c>
      <c r="U909" s="299">
        <f t="shared" si="2"/>
        <v>0</v>
      </c>
      <c r="V909">
        <f>IF(AND($F909&gt;0,NOT(M909),Flexing),FlexPC,0)</f>
        <v>0</v>
      </c>
      <c r="W909">
        <f>IF(AND($F909&gt;0,NOT(N909),Flexing),FlexPC,0)</f>
        <v>0</v>
      </c>
      <c r="X909">
        <f>IF(AND($F909&gt;0,NOT(O909),Flexing),FlexPC,0)</f>
        <v>0</v>
      </c>
      <c r="Y909">
        <f>IF(AND($F909&gt;0,NOT(P909),Flexing),FlexPC,0)</f>
        <v>0</v>
      </c>
      <c r="AA909" s="209">
        <f t="shared" si="3"/>
        <v>908</v>
      </c>
    </row>
    <row r="910" ht="15.75" customHeight="1">
      <c r="A910" s="206" t="str">
        <f>+Declarations!A910&amp;""</f>
        <v/>
      </c>
      <c r="B910" t="str">
        <f>IF(LEN($A910),IF(LEN(Declarations!$B910)&gt;0,Declarations!$B910,"#"&amp;$A910),"")</f>
        <v/>
      </c>
      <c r="C910" s="209" t="str">
        <f t="array" ref="C910">IF(LEN(INDEX(DECLARATIONS,$AA910,3))&gt;0,INDEX(DECLARATIONS,$AA910,3),"...")</f>
        <v>...</v>
      </c>
      <c r="D910" s="209" t="str">
        <f t="shared" si="1"/>
        <v/>
      </c>
      <c r="E910" s="296" t="str">
        <f t="array" ref="E910">IF(ISNA($AA910),0,INDEX(DECLARATIONS,$AA910,5))</f>
        <v/>
      </c>
      <c r="F910" s="209" t="str">
        <f t="array" ref="F910">IF(ISNA($AA910),0,INDEX(DECLARATIONS,$AA910,7))</f>
        <v/>
      </c>
      <c r="G910" s="209" t="str">
        <f t="array" ref="G910">UPPER(IF(ISNA($AA910),"",INDEX(DECLARATIONS,$AA910,4)))</f>
        <v/>
      </c>
      <c r="H910" t="str">
        <f>IF(AND(A910&gt;0,ISTEXT(B910)),IF(SECNAME="YES",LEFT(B910&amp;" ",FIND(" ",B910&amp;" ")+2)&amp;IF(F910&gt;0," ("&amp;F910&amp;")",""),B910&amp;IF(F910&gt;0," ("&amp;F910&amp;")","")),"#"&amp;$A910)</f>
        <v/>
      </c>
      <c r="I910" s="209">
        <f>IF(LEN($A910)&gt;0,IF(LEN($J910)&gt;0,MATCH(J910,MatchNames,0),EventIndex),0)</f>
        <v>0</v>
      </c>
      <c r="J910" s="209" t="str">
        <f>IF(LEN($A910)&gt;0,IF(LEN(Declarations!$F910)&gt;0,Declarations!$F910,conftype),"")</f>
        <v/>
      </c>
      <c r="M910" s="297">
        <f>IF(ISNA(VLOOKUP($A910,SprintData,2,FALSE)),0,VLOOKUP($A910,SprintData,2,FALSE))</f>
        <v>0</v>
      </c>
      <c r="N910" s="297">
        <f>IF(ISNA(VLOOKUP($A910,JumpData,2,FALSE)),0,VLOOKUP($A910,JumpData,2,FALSE))</f>
        <v>0</v>
      </c>
      <c r="O910" s="297">
        <f>IF(ISNA(VLOOKUP($A910,RunData,2,FALSE)),0,VLOOKUP($A910,RunData,2,FALSE))</f>
        <v>0</v>
      </c>
      <c r="P910" s="297">
        <f>IF(ISNA(VLOOKUP($A910,ThrowData,2,FALSE)),0,VLOOKUP($A910,ThrowData,2,FALSE))</f>
        <v>0</v>
      </c>
      <c r="Q910" s="298">
        <f>IF(ISNA(VLOOKUP($A910,SprintData,4,FALSE)),0,VLOOKUP($A910,SprintData,4,FALSE))+V910</f>
        <v>0</v>
      </c>
      <c r="R910" s="298">
        <f>IF(ISNA(VLOOKUP($A910,JumpData,4,FALSE)),0,VLOOKUP($A910,JumpData,4,FALSE))+W910</f>
        <v>0</v>
      </c>
      <c r="S910" s="298">
        <f>IF(ISNA(VLOOKUP($A910,RunData,4,FALSE)),0,VLOOKUP($A910,RunData,4,FALSE))+X910</f>
        <v>0</v>
      </c>
      <c r="T910" s="298">
        <f>IF(ISNA(VLOOKUP($A910,ThrowData,4,FALSE)),0,VLOOKUP($A910,ThrowData,4,FALSE))+Y910</f>
        <v>0</v>
      </c>
      <c r="U910" s="299">
        <f t="shared" si="2"/>
        <v>0</v>
      </c>
      <c r="V910">
        <f>IF(AND($F910&gt;0,NOT(M910),Flexing),FlexPC,0)</f>
        <v>0</v>
      </c>
      <c r="W910">
        <f>IF(AND($F910&gt;0,NOT(N910),Flexing),FlexPC,0)</f>
        <v>0</v>
      </c>
      <c r="X910">
        <f>IF(AND($F910&gt;0,NOT(O910),Flexing),FlexPC,0)</f>
        <v>0</v>
      </c>
      <c r="Y910">
        <f>IF(AND($F910&gt;0,NOT(P910),Flexing),FlexPC,0)</f>
        <v>0</v>
      </c>
      <c r="AA910" s="209">
        <f t="shared" si="3"/>
        <v>909</v>
      </c>
    </row>
    <row r="911" ht="15.75" customHeight="1">
      <c r="A911" s="206" t="str">
        <f>+Declarations!A911&amp;""</f>
        <v/>
      </c>
      <c r="B911" t="str">
        <f>IF(LEN($A911),IF(LEN(Declarations!$B911)&gt;0,Declarations!$B911,"#"&amp;$A911),"")</f>
        <v/>
      </c>
      <c r="C911" s="209" t="str">
        <f t="array" ref="C911">IF(LEN(INDEX(DECLARATIONS,$AA911,3))&gt;0,INDEX(DECLARATIONS,$AA911,3),"...")</f>
        <v>...</v>
      </c>
      <c r="D911" s="209" t="str">
        <f t="shared" si="1"/>
        <v/>
      </c>
      <c r="E911" s="296" t="str">
        <f t="array" ref="E911">IF(ISNA($AA911),0,INDEX(DECLARATIONS,$AA911,5))</f>
        <v/>
      </c>
      <c r="F911" s="209" t="str">
        <f t="array" ref="F911">IF(ISNA($AA911),0,INDEX(DECLARATIONS,$AA911,7))</f>
        <v/>
      </c>
      <c r="G911" s="209" t="str">
        <f t="array" ref="G911">UPPER(IF(ISNA($AA911),"",INDEX(DECLARATIONS,$AA911,4)))</f>
        <v/>
      </c>
      <c r="H911" t="str">
        <f>IF(AND(A911&gt;0,ISTEXT(B911)),IF(SECNAME="YES",LEFT(B911&amp;" ",FIND(" ",B911&amp;" ")+2)&amp;IF(F911&gt;0," ("&amp;F911&amp;")",""),B911&amp;IF(F911&gt;0," ("&amp;F911&amp;")","")),"#"&amp;$A911)</f>
        <v/>
      </c>
      <c r="I911" s="209">
        <f>IF(LEN($A911)&gt;0,IF(LEN($J911)&gt;0,MATCH(J911,MatchNames,0),EventIndex),0)</f>
        <v>0</v>
      </c>
      <c r="J911" s="209" t="str">
        <f>IF(LEN($A911)&gt;0,IF(LEN(Declarations!$F911)&gt;0,Declarations!$F911,conftype),"")</f>
        <v/>
      </c>
      <c r="M911" s="297">
        <f>IF(ISNA(VLOOKUP($A911,SprintData,2,FALSE)),0,VLOOKUP($A911,SprintData,2,FALSE))</f>
        <v>0</v>
      </c>
      <c r="N911" s="297">
        <f>IF(ISNA(VLOOKUP($A911,JumpData,2,FALSE)),0,VLOOKUP($A911,JumpData,2,FALSE))</f>
        <v>0</v>
      </c>
      <c r="O911" s="297">
        <f>IF(ISNA(VLOOKUP($A911,RunData,2,FALSE)),0,VLOOKUP($A911,RunData,2,FALSE))</f>
        <v>0</v>
      </c>
      <c r="P911" s="297">
        <f>IF(ISNA(VLOOKUP($A911,ThrowData,2,FALSE)),0,VLOOKUP($A911,ThrowData,2,FALSE))</f>
        <v>0</v>
      </c>
      <c r="Q911" s="298">
        <f>IF(ISNA(VLOOKUP($A911,SprintData,4,FALSE)),0,VLOOKUP($A911,SprintData,4,FALSE))+V911</f>
        <v>0</v>
      </c>
      <c r="R911" s="298">
        <f>IF(ISNA(VLOOKUP($A911,JumpData,4,FALSE)),0,VLOOKUP($A911,JumpData,4,FALSE))+W911</f>
        <v>0</v>
      </c>
      <c r="S911" s="298">
        <f>IF(ISNA(VLOOKUP($A911,RunData,4,FALSE)),0,VLOOKUP($A911,RunData,4,FALSE))+X911</f>
        <v>0</v>
      </c>
      <c r="T911" s="298">
        <f>IF(ISNA(VLOOKUP($A911,ThrowData,4,FALSE)),0,VLOOKUP($A911,ThrowData,4,FALSE))+Y911</f>
        <v>0</v>
      </c>
      <c r="U911" s="299">
        <f t="shared" si="2"/>
        <v>0</v>
      </c>
      <c r="V911">
        <f>IF(AND($F911&gt;0,NOT(M911),Flexing),FlexPC,0)</f>
        <v>0</v>
      </c>
      <c r="W911">
        <f>IF(AND($F911&gt;0,NOT(N911),Flexing),FlexPC,0)</f>
        <v>0</v>
      </c>
      <c r="X911">
        <f>IF(AND($F911&gt;0,NOT(O911),Flexing),FlexPC,0)</f>
        <v>0</v>
      </c>
      <c r="Y911">
        <f>IF(AND($F911&gt;0,NOT(P911),Flexing),FlexPC,0)</f>
        <v>0</v>
      </c>
      <c r="AA911" s="209">
        <f t="shared" si="3"/>
        <v>910</v>
      </c>
    </row>
    <row r="912" ht="15.75" customHeight="1">
      <c r="A912" s="206" t="str">
        <f>+Declarations!A912&amp;""</f>
        <v/>
      </c>
      <c r="B912" t="str">
        <f>IF(LEN($A912),IF(LEN(Declarations!$B912)&gt;0,Declarations!$B912,"#"&amp;$A912),"")</f>
        <v/>
      </c>
      <c r="C912" s="209" t="str">
        <f t="array" ref="C912">IF(LEN(INDEX(DECLARATIONS,$AA912,3))&gt;0,INDEX(DECLARATIONS,$AA912,3),"...")</f>
        <v>...</v>
      </c>
      <c r="D912" s="209" t="str">
        <f t="shared" si="1"/>
        <v/>
      </c>
      <c r="E912" s="296" t="str">
        <f t="array" ref="E912">IF(ISNA($AA912),0,INDEX(DECLARATIONS,$AA912,5))</f>
        <v/>
      </c>
      <c r="F912" s="209" t="str">
        <f t="array" ref="F912">IF(ISNA($AA912),0,INDEX(DECLARATIONS,$AA912,7))</f>
        <v/>
      </c>
      <c r="G912" s="209" t="str">
        <f t="array" ref="G912">UPPER(IF(ISNA($AA912),"",INDEX(DECLARATIONS,$AA912,4)))</f>
        <v/>
      </c>
      <c r="H912" t="str">
        <f>IF(AND(A912&gt;0,ISTEXT(B912)),IF(SECNAME="YES",LEFT(B912&amp;" ",FIND(" ",B912&amp;" ")+2)&amp;IF(F912&gt;0," ("&amp;F912&amp;")",""),B912&amp;IF(F912&gt;0," ("&amp;F912&amp;")","")),"#"&amp;$A912)</f>
        <v/>
      </c>
      <c r="I912" s="209">
        <f>IF(LEN($A912)&gt;0,IF(LEN($J912)&gt;0,MATCH(J912,MatchNames,0),EventIndex),0)</f>
        <v>0</v>
      </c>
      <c r="J912" s="209" t="str">
        <f>IF(LEN($A912)&gt;0,IF(LEN(Declarations!$F912)&gt;0,Declarations!$F912,conftype),"")</f>
        <v/>
      </c>
      <c r="M912" s="297">
        <f>IF(ISNA(VLOOKUP($A912,SprintData,2,FALSE)),0,VLOOKUP($A912,SprintData,2,FALSE))</f>
        <v>0</v>
      </c>
      <c r="N912" s="297">
        <f>IF(ISNA(VLOOKUP($A912,JumpData,2,FALSE)),0,VLOOKUP($A912,JumpData,2,FALSE))</f>
        <v>0</v>
      </c>
      <c r="O912" s="297">
        <f>IF(ISNA(VLOOKUP($A912,RunData,2,FALSE)),0,VLOOKUP($A912,RunData,2,FALSE))</f>
        <v>0</v>
      </c>
      <c r="P912" s="297">
        <f>IF(ISNA(VLOOKUP($A912,ThrowData,2,FALSE)),0,VLOOKUP($A912,ThrowData,2,FALSE))</f>
        <v>0</v>
      </c>
      <c r="Q912" s="298">
        <f>IF(ISNA(VLOOKUP($A912,SprintData,4,FALSE)),0,VLOOKUP($A912,SprintData,4,FALSE))+V912</f>
        <v>0</v>
      </c>
      <c r="R912" s="298">
        <f>IF(ISNA(VLOOKUP($A912,JumpData,4,FALSE)),0,VLOOKUP($A912,JumpData,4,FALSE))+W912</f>
        <v>0</v>
      </c>
      <c r="S912" s="298">
        <f>IF(ISNA(VLOOKUP($A912,RunData,4,FALSE)),0,VLOOKUP($A912,RunData,4,FALSE))+X912</f>
        <v>0</v>
      </c>
      <c r="T912" s="298">
        <f>IF(ISNA(VLOOKUP($A912,ThrowData,4,FALSE)),0,VLOOKUP($A912,ThrowData,4,FALSE))+Y912</f>
        <v>0</v>
      </c>
      <c r="U912" s="299">
        <f t="shared" si="2"/>
        <v>0</v>
      </c>
      <c r="V912">
        <f>IF(AND($F912&gt;0,NOT(M912),Flexing),FlexPC,0)</f>
        <v>0</v>
      </c>
      <c r="W912">
        <f>IF(AND($F912&gt;0,NOT(N912),Flexing),FlexPC,0)</f>
        <v>0</v>
      </c>
      <c r="X912">
        <f>IF(AND($F912&gt;0,NOT(O912),Flexing),FlexPC,0)</f>
        <v>0</v>
      </c>
      <c r="Y912">
        <f>IF(AND($F912&gt;0,NOT(P912),Flexing),FlexPC,0)</f>
        <v>0</v>
      </c>
      <c r="AA912" s="209">
        <f t="shared" si="3"/>
        <v>911</v>
      </c>
    </row>
    <row r="913" ht="15.75" customHeight="1">
      <c r="A913" s="206" t="str">
        <f>+Declarations!A913&amp;""</f>
        <v/>
      </c>
      <c r="B913" t="str">
        <f>IF(LEN($A913),IF(LEN(Declarations!$B913)&gt;0,Declarations!$B913,"#"&amp;$A913),"")</f>
        <v/>
      </c>
      <c r="C913" s="209" t="str">
        <f t="array" ref="C913">IF(LEN(INDEX(DECLARATIONS,$AA913,3))&gt;0,INDEX(DECLARATIONS,$AA913,3),"...")</f>
        <v>...</v>
      </c>
      <c r="D913" s="209" t="str">
        <f t="shared" si="1"/>
        <v/>
      </c>
      <c r="E913" s="296" t="str">
        <f t="array" ref="E913">IF(ISNA($AA913),0,INDEX(DECLARATIONS,$AA913,5))</f>
        <v/>
      </c>
      <c r="F913" s="209" t="str">
        <f t="array" ref="F913">IF(ISNA($AA913),0,INDEX(DECLARATIONS,$AA913,7))</f>
        <v/>
      </c>
      <c r="G913" s="209" t="str">
        <f t="array" ref="G913">UPPER(IF(ISNA($AA913),"",INDEX(DECLARATIONS,$AA913,4)))</f>
        <v/>
      </c>
      <c r="H913" t="str">
        <f>IF(AND(A913&gt;0,ISTEXT(B913)),IF(SECNAME="YES",LEFT(B913&amp;" ",FIND(" ",B913&amp;" ")+2)&amp;IF(F913&gt;0," ("&amp;F913&amp;")",""),B913&amp;IF(F913&gt;0," ("&amp;F913&amp;")","")),"#"&amp;$A913)</f>
        <v/>
      </c>
      <c r="I913" s="209">
        <f>IF(LEN($A913)&gt;0,IF(LEN($J913)&gt;0,MATCH(J913,MatchNames,0),EventIndex),0)</f>
        <v>0</v>
      </c>
      <c r="J913" s="209" t="str">
        <f>IF(LEN($A913)&gt;0,IF(LEN(Declarations!$F913)&gt;0,Declarations!$F913,conftype),"")</f>
        <v/>
      </c>
      <c r="M913" s="297">
        <f>IF(ISNA(VLOOKUP($A913,SprintData,2,FALSE)),0,VLOOKUP($A913,SprintData,2,FALSE))</f>
        <v>0</v>
      </c>
      <c r="N913" s="297">
        <f>IF(ISNA(VLOOKUP($A913,JumpData,2,FALSE)),0,VLOOKUP($A913,JumpData,2,FALSE))</f>
        <v>0</v>
      </c>
      <c r="O913" s="297">
        <f>IF(ISNA(VLOOKUP($A913,RunData,2,FALSE)),0,VLOOKUP($A913,RunData,2,FALSE))</f>
        <v>0</v>
      </c>
      <c r="P913" s="297">
        <f>IF(ISNA(VLOOKUP($A913,ThrowData,2,FALSE)),0,VLOOKUP($A913,ThrowData,2,FALSE))</f>
        <v>0</v>
      </c>
      <c r="Q913" s="298">
        <f>IF(ISNA(VLOOKUP($A913,SprintData,4,FALSE)),0,VLOOKUP($A913,SprintData,4,FALSE))+V913</f>
        <v>0</v>
      </c>
      <c r="R913" s="298">
        <f>IF(ISNA(VLOOKUP($A913,JumpData,4,FALSE)),0,VLOOKUP($A913,JumpData,4,FALSE))+W913</f>
        <v>0</v>
      </c>
      <c r="S913" s="298">
        <f>IF(ISNA(VLOOKUP($A913,RunData,4,FALSE)),0,VLOOKUP($A913,RunData,4,FALSE))+X913</f>
        <v>0</v>
      </c>
      <c r="T913" s="298">
        <f>IF(ISNA(VLOOKUP($A913,ThrowData,4,FALSE)),0,VLOOKUP($A913,ThrowData,4,FALSE))+Y913</f>
        <v>0</v>
      </c>
      <c r="U913" s="299">
        <f t="shared" si="2"/>
        <v>0</v>
      </c>
      <c r="V913">
        <f>IF(AND($F913&gt;0,NOT(M913),Flexing),FlexPC,0)</f>
        <v>0</v>
      </c>
      <c r="W913">
        <f>IF(AND($F913&gt;0,NOT(N913),Flexing),FlexPC,0)</f>
        <v>0</v>
      </c>
      <c r="X913">
        <f>IF(AND($F913&gt;0,NOT(O913),Flexing),FlexPC,0)</f>
        <v>0</v>
      </c>
      <c r="Y913">
        <f>IF(AND($F913&gt;0,NOT(P913),Flexing),FlexPC,0)</f>
        <v>0</v>
      </c>
      <c r="AA913" s="209">
        <f t="shared" si="3"/>
        <v>912</v>
      </c>
    </row>
    <row r="914" ht="15.75" customHeight="1">
      <c r="A914" s="206" t="str">
        <f>+Declarations!A914&amp;""</f>
        <v/>
      </c>
      <c r="B914" t="str">
        <f>IF(LEN($A914),IF(LEN(Declarations!$B914)&gt;0,Declarations!$B914,"#"&amp;$A914),"")</f>
        <v/>
      </c>
      <c r="C914" s="209" t="str">
        <f t="array" ref="C914">IF(LEN(INDEX(DECLARATIONS,$AA914,3))&gt;0,INDEX(DECLARATIONS,$AA914,3),"...")</f>
        <v>...</v>
      </c>
      <c r="D914" s="209" t="str">
        <f t="shared" si="1"/>
        <v/>
      </c>
      <c r="E914" s="296" t="str">
        <f t="array" ref="E914">IF(ISNA($AA914),0,INDEX(DECLARATIONS,$AA914,5))</f>
        <v/>
      </c>
      <c r="F914" s="209" t="str">
        <f t="array" ref="F914">IF(ISNA($AA914),0,INDEX(DECLARATIONS,$AA914,7))</f>
        <v/>
      </c>
      <c r="G914" s="209" t="str">
        <f t="array" ref="G914">UPPER(IF(ISNA($AA914),"",INDEX(DECLARATIONS,$AA914,4)))</f>
        <v/>
      </c>
      <c r="H914" t="str">
        <f>IF(AND(A914&gt;0,ISTEXT(B914)),IF(SECNAME="YES",LEFT(B914&amp;" ",FIND(" ",B914&amp;" ")+2)&amp;IF(F914&gt;0," ("&amp;F914&amp;")",""),B914&amp;IF(F914&gt;0," ("&amp;F914&amp;")","")),"#"&amp;$A914)</f>
        <v/>
      </c>
      <c r="I914" s="209">
        <f>IF(LEN($A914)&gt;0,IF(LEN($J914)&gt;0,MATCH(J914,MatchNames,0),EventIndex),0)</f>
        <v>0</v>
      </c>
      <c r="J914" s="209" t="str">
        <f>IF(LEN($A914)&gt;0,IF(LEN(Declarations!$F914)&gt;0,Declarations!$F914,conftype),"")</f>
        <v/>
      </c>
      <c r="M914" s="297">
        <f>IF(ISNA(VLOOKUP($A914,SprintData,2,FALSE)),0,VLOOKUP($A914,SprintData,2,FALSE))</f>
        <v>0</v>
      </c>
      <c r="N914" s="297">
        <f>IF(ISNA(VLOOKUP($A914,JumpData,2,FALSE)),0,VLOOKUP($A914,JumpData,2,FALSE))</f>
        <v>0</v>
      </c>
      <c r="O914" s="297">
        <f>IF(ISNA(VLOOKUP($A914,RunData,2,FALSE)),0,VLOOKUP($A914,RunData,2,FALSE))</f>
        <v>0</v>
      </c>
      <c r="P914" s="297">
        <f>IF(ISNA(VLOOKUP($A914,ThrowData,2,FALSE)),0,VLOOKUP($A914,ThrowData,2,FALSE))</f>
        <v>0</v>
      </c>
      <c r="Q914" s="298">
        <f>IF(ISNA(VLOOKUP($A914,SprintData,4,FALSE)),0,VLOOKUP($A914,SprintData,4,FALSE))+V914</f>
        <v>0</v>
      </c>
      <c r="R914" s="298">
        <f>IF(ISNA(VLOOKUP($A914,JumpData,4,FALSE)),0,VLOOKUP($A914,JumpData,4,FALSE))+W914</f>
        <v>0</v>
      </c>
      <c r="S914" s="298">
        <f>IF(ISNA(VLOOKUP($A914,RunData,4,FALSE)),0,VLOOKUP($A914,RunData,4,FALSE))+X914</f>
        <v>0</v>
      </c>
      <c r="T914" s="298">
        <f>IF(ISNA(VLOOKUP($A914,ThrowData,4,FALSE)),0,VLOOKUP($A914,ThrowData,4,FALSE))+Y914</f>
        <v>0</v>
      </c>
      <c r="U914" s="299">
        <f t="shared" si="2"/>
        <v>0</v>
      </c>
      <c r="V914">
        <f>IF(AND($F914&gt;0,NOT(M914),Flexing),FlexPC,0)</f>
        <v>0</v>
      </c>
      <c r="W914">
        <f>IF(AND($F914&gt;0,NOT(N914),Flexing),FlexPC,0)</f>
        <v>0</v>
      </c>
      <c r="X914">
        <f>IF(AND($F914&gt;0,NOT(O914),Flexing),FlexPC,0)</f>
        <v>0</v>
      </c>
      <c r="Y914">
        <f>IF(AND($F914&gt;0,NOT(P914),Flexing),FlexPC,0)</f>
        <v>0</v>
      </c>
      <c r="AA914" s="209">
        <f t="shared" si="3"/>
        <v>913</v>
      </c>
    </row>
    <row r="915" ht="15.75" customHeight="1">
      <c r="A915" s="206" t="str">
        <f>+Declarations!A915&amp;""</f>
        <v/>
      </c>
      <c r="B915" t="str">
        <f>IF(LEN($A915),IF(LEN(Declarations!$B915)&gt;0,Declarations!$B915,"#"&amp;$A915),"")</f>
        <v/>
      </c>
      <c r="C915" s="209" t="str">
        <f t="array" ref="C915">IF(LEN(INDEX(DECLARATIONS,$AA915,3))&gt;0,INDEX(DECLARATIONS,$AA915,3),"...")</f>
        <v>...</v>
      </c>
      <c r="D915" s="209" t="str">
        <f t="shared" si="1"/>
        <v/>
      </c>
      <c r="E915" s="296" t="str">
        <f t="array" ref="E915">IF(ISNA($AA915),0,INDEX(DECLARATIONS,$AA915,5))</f>
        <v/>
      </c>
      <c r="F915" s="209" t="str">
        <f t="array" ref="F915">IF(ISNA($AA915),0,INDEX(DECLARATIONS,$AA915,7))</f>
        <v/>
      </c>
      <c r="G915" s="209" t="str">
        <f t="array" ref="G915">UPPER(IF(ISNA($AA915),"",INDEX(DECLARATIONS,$AA915,4)))</f>
        <v/>
      </c>
      <c r="H915" t="str">
        <f>IF(AND(A915&gt;0,ISTEXT(B915)),IF(SECNAME="YES",LEFT(B915&amp;" ",FIND(" ",B915&amp;" ")+2)&amp;IF(F915&gt;0," ("&amp;F915&amp;")",""),B915&amp;IF(F915&gt;0," ("&amp;F915&amp;")","")),"#"&amp;$A915)</f>
        <v/>
      </c>
      <c r="I915" s="209">
        <f>IF(LEN($A915)&gt;0,IF(LEN($J915)&gt;0,MATCH(J915,MatchNames,0),EventIndex),0)</f>
        <v>0</v>
      </c>
      <c r="J915" s="209" t="str">
        <f>IF(LEN($A915)&gt;0,IF(LEN(Declarations!$F915)&gt;0,Declarations!$F915,conftype),"")</f>
        <v/>
      </c>
      <c r="M915" s="297">
        <f>IF(ISNA(VLOOKUP($A915,SprintData,2,FALSE)),0,VLOOKUP($A915,SprintData,2,FALSE))</f>
        <v>0</v>
      </c>
      <c r="N915" s="297">
        <f>IF(ISNA(VLOOKUP($A915,JumpData,2,FALSE)),0,VLOOKUP($A915,JumpData,2,FALSE))</f>
        <v>0</v>
      </c>
      <c r="O915" s="297">
        <f>IF(ISNA(VLOOKUP($A915,RunData,2,FALSE)),0,VLOOKUP($A915,RunData,2,FALSE))</f>
        <v>0</v>
      </c>
      <c r="P915" s="297">
        <f>IF(ISNA(VLOOKUP($A915,ThrowData,2,FALSE)),0,VLOOKUP($A915,ThrowData,2,FALSE))</f>
        <v>0</v>
      </c>
      <c r="Q915" s="298">
        <f>IF(ISNA(VLOOKUP($A915,SprintData,4,FALSE)),0,VLOOKUP($A915,SprintData,4,FALSE))+V915</f>
        <v>0</v>
      </c>
      <c r="R915" s="298">
        <f>IF(ISNA(VLOOKUP($A915,JumpData,4,FALSE)),0,VLOOKUP($A915,JumpData,4,FALSE))+W915</f>
        <v>0</v>
      </c>
      <c r="S915" s="298">
        <f>IF(ISNA(VLOOKUP($A915,RunData,4,FALSE)),0,VLOOKUP($A915,RunData,4,FALSE))+X915</f>
        <v>0</v>
      </c>
      <c r="T915" s="298">
        <f>IF(ISNA(VLOOKUP($A915,ThrowData,4,FALSE)),0,VLOOKUP($A915,ThrowData,4,FALSE))+Y915</f>
        <v>0</v>
      </c>
      <c r="U915" s="299">
        <f t="shared" si="2"/>
        <v>0</v>
      </c>
      <c r="V915">
        <f>IF(AND($F915&gt;0,NOT(M915),Flexing),FlexPC,0)</f>
        <v>0</v>
      </c>
      <c r="W915">
        <f>IF(AND($F915&gt;0,NOT(N915),Flexing),FlexPC,0)</f>
        <v>0</v>
      </c>
      <c r="X915">
        <f>IF(AND($F915&gt;0,NOT(O915),Flexing),FlexPC,0)</f>
        <v>0</v>
      </c>
      <c r="Y915">
        <f>IF(AND($F915&gt;0,NOT(P915),Flexing),FlexPC,0)</f>
        <v>0</v>
      </c>
      <c r="AA915" s="209">
        <f t="shared" si="3"/>
        <v>914</v>
      </c>
    </row>
    <row r="916" ht="15.75" customHeight="1">
      <c r="A916" s="206" t="str">
        <f>+Declarations!A916&amp;""</f>
        <v/>
      </c>
      <c r="B916" t="str">
        <f>IF(LEN($A916),IF(LEN(Declarations!$B916)&gt;0,Declarations!$B916,"#"&amp;$A916),"")</f>
        <v/>
      </c>
      <c r="C916" s="209" t="str">
        <f t="array" ref="C916">IF(LEN(INDEX(DECLARATIONS,$AA916,3))&gt;0,INDEX(DECLARATIONS,$AA916,3),"...")</f>
        <v>...</v>
      </c>
      <c r="D916" s="209" t="str">
        <f t="shared" si="1"/>
        <v/>
      </c>
      <c r="E916" s="296" t="str">
        <f t="array" ref="E916">IF(ISNA($AA916),0,INDEX(DECLARATIONS,$AA916,5))</f>
        <v/>
      </c>
      <c r="F916" s="209" t="str">
        <f t="array" ref="F916">IF(ISNA($AA916),0,INDEX(DECLARATIONS,$AA916,7))</f>
        <v/>
      </c>
      <c r="G916" s="209" t="str">
        <f t="array" ref="G916">UPPER(IF(ISNA($AA916),"",INDEX(DECLARATIONS,$AA916,4)))</f>
        <v/>
      </c>
      <c r="H916" t="str">
        <f>IF(AND(A916&gt;0,ISTEXT(B916)),IF(SECNAME="YES",LEFT(B916&amp;" ",FIND(" ",B916&amp;" ")+2)&amp;IF(F916&gt;0," ("&amp;F916&amp;")",""),B916&amp;IF(F916&gt;0," ("&amp;F916&amp;")","")),"#"&amp;$A916)</f>
        <v/>
      </c>
      <c r="I916" s="209">
        <f>IF(LEN($A916)&gt;0,IF(LEN($J916)&gt;0,MATCH(J916,MatchNames,0),EventIndex),0)</f>
        <v>0</v>
      </c>
      <c r="J916" s="209" t="str">
        <f>IF(LEN($A916)&gt;0,IF(LEN(Declarations!$F916)&gt;0,Declarations!$F916,conftype),"")</f>
        <v/>
      </c>
      <c r="M916" s="297">
        <f>IF(ISNA(VLOOKUP($A916,SprintData,2,FALSE)),0,VLOOKUP($A916,SprintData,2,FALSE))</f>
        <v>0</v>
      </c>
      <c r="N916" s="297">
        <f>IF(ISNA(VLOOKUP($A916,JumpData,2,FALSE)),0,VLOOKUP($A916,JumpData,2,FALSE))</f>
        <v>0</v>
      </c>
      <c r="O916" s="297">
        <f>IF(ISNA(VLOOKUP($A916,RunData,2,FALSE)),0,VLOOKUP($A916,RunData,2,FALSE))</f>
        <v>0</v>
      </c>
      <c r="P916" s="297">
        <f>IF(ISNA(VLOOKUP($A916,ThrowData,2,FALSE)),0,VLOOKUP($A916,ThrowData,2,FALSE))</f>
        <v>0</v>
      </c>
      <c r="Q916" s="298">
        <f>IF(ISNA(VLOOKUP($A916,SprintData,4,FALSE)),0,VLOOKUP($A916,SprintData,4,FALSE))+V916</f>
        <v>0</v>
      </c>
      <c r="R916" s="298">
        <f>IF(ISNA(VLOOKUP($A916,JumpData,4,FALSE)),0,VLOOKUP($A916,JumpData,4,FALSE))+W916</f>
        <v>0</v>
      </c>
      <c r="S916" s="298">
        <f>IF(ISNA(VLOOKUP($A916,RunData,4,FALSE)),0,VLOOKUP($A916,RunData,4,FALSE))+X916</f>
        <v>0</v>
      </c>
      <c r="T916" s="298">
        <f>IF(ISNA(VLOOKUP($A916,ThrowData,4,FALSE)),0,VLOOKUP($A916,ThrowData,4,FALSE))+Y916</f>
        <v>0</v>
      </c>
      <c r="U916" s="299">
        <f t="shared" si="2"/>
        <v>0</v>
      </c>
      <c r="V916">
        <f>IF(AND($F916&gt;0,NOT(M916),Flexing),FlexPC,0)</f>
        <v>0</v>
      </c>
      <c r="W916">
        <f>IF(AND($F916&gt;0,NOT(N916),Flexing),FlexPC,0)</f>
        <v>0</v>
      </c>
      <c r="X916">
        <f>IF(AND($F916&gt;0,NOT(O916),Flexing),FlexPC,0)</f>
        <v>0</v>
      </c>
      <c r="Y916">
        <f>IF(AND($F916&gt;0,NOT(P916),Flexing),FlexPC,0)</f>
        <v>0</v>
      </c>
      <c r="AA916" s="209">
        <f t="shared" si="3"/>
        <v>915</v>
      </c>
    </row>
    <row r="917" ht="15.75" customHeight="1">
      <c r="A917" s="206" t="str">
        <f>+Declarations!A917&amp;""</f>
        <v/>
      </c>
      <c r="B917" t="str">
        <f>IF(LEN($A917),IF(LEN(Declarations!$B917)&gt;0,Declarations!$B917,"#"&amp;$A917),"")</f>
        <v/>
      </c>
      <c r="C917" s="209" t="str">
        <f t="array" ref="C917">IF(LEN(INDEX(DECLARATIONS,$AA917,3))&gt;0,INDEX(DECLARATIONS,$AA917,3),"...")</f>
        <v>...</v>
      </c>
      <c r="D917" s="209" t="str">
        <f t="shared" si="1"/>
        <v/>
      </c>
      <c r="E917" s="296" t="str">
        <f t="array" ref="E917">IF(ISNA($AA917),0,INDEX(DECLARATIONS,$AA917,5))</f>
        <v/>
      </c>
      <c r="F917" s="209" t="str">
        <f t="array" ref="F917">IF(ISNA($AA917),0,INDEX(DECLARATIONS,$AA917,7))</f>
        <v/>
      </c>
      <c r="G917" s="209" t="str">
        <f t="array" ref="G917">UPPER(IF(ISNA($AA917),"",INDEX(DECLARATIONS,$AA917,4)))</f>
        <v/>
      </c>
      <c r="H917" t="str">
        <f>IF(AND(A917&gt;0,ISTEXT(B917)),IF(SECNAME="YES",LEFT(B917&amp;" ",FIND(" ",B917&amp;" ")+2)&amp;IF(F917&gt;0," ("&amp;F917&amp;")",""),B917&amp;IF(F917&gt;0," ("&amp;F917&amp;")","")),"#"&amp;$A917)</f>
        <v/>
      </c>
      <c r="I917" s="209">
        <f>IF(LEN($A917)&gt;0,IF(LEN($J917)&gt;0,MATCH(J917,MatchNames,0),EventIndex),0)</f>
        <v>0</v>
      </c>
      <c r="J917" s="209" t="str">
        <f>IF(LEN($A917)&gt;0,IF(LEN(Declarations!$F917)&gt;0,Declarations!$F917,conftype),"")</f>
        <v/>
      </c>
      <c r="M917" s="297">
        <f>IF(ISNA(VLOOKUP($A917,SprintData,2,FALSE)),0,VLOOKUP($A917,SprintData,2,FALSE))</f>
        <v>0</v>
      </c>
      <c r="N917" s="297">
        <f>IF(ISNA(VLOOKUP($A917,JumpData,2,FALSE)),0,VLOOKUP($A917,JumpData,2,FALSE))</f>
        <v>0</v>
      </c>
      <c r="O917" s="297">
        <f>IF(ISNA(VLOOKUP($A917,RunData,2,FALSE)),0,VLOOKUP($A917,RunData,2,FALSE))</f>
        <v>0</v>
      </c>
      <c r="P917" s="297">
        <f>IF(ISNA(VLOOKUP($A917,ThrowData,2,FALSE)),0,VLOOKUP($A917,ThrowData,2,FALSE))</f>
        <v>0</v>
      </c>
      <c r="Q917" s="298">
        <f>IF(ISNA(VLOOKUP($A917,SprintData,4,FALSE)),0,VLOOKUP($A917,SprintData,4,FALSE))+V917</f>
        <v>0</v>
      </c>
      <c r="R917" s="298">
        <f>IF(ISNA(VLOOKUP($A917,JumpData,4,FALSE)),0,VLOOKUP($A917,JumpData,4,FALSE))+W917</f>
        <v>0</v>
      </c>
      <c r="S917" s="298">
        <f>IF(ISNA(VLOOKUP($A917,RunData,4,FALSE)),0,VLOOKUP($A917,RunData,4,FALSE))+X917</f>
        <v>0</v>
      </c>
      <c r="T917" s="298">
        <f>IF(ISNA(VLOOKUP($A917,ThrowData,4,FALSE)),0,VLOOKUP($A917,ThrowData,4,FALSE))+Y917</f>
        <v>0</v>
      </c>
      <c r="U917" s="299">
        <f t="shared" si="2"/>
        <v>0</v>
      </c>
      <c r="V917">
        <f>IF(AND($F917&gt;0,NOT(M917),Flexing),FlexPC,0)</f>
        <v>0</v>
      </c>
      <c r="W917">
        <f>IF(AND($F917&gt;0,NOT(N917),Flexing),FlexPC,0)</f>
        <v>0</v>
      </c>
      <c r="X917">
        <f>IF(AND($F917&gt;0,NOT(O917),Flexing),FlexPC,0)</f>
        <v>0</v>
      </c>
      <c r="Y917">
        <f>IF(AND($F917&gt;0,NOT(P917),Flexing),FlexPC,0)</f>
        <v>0</v>
      </c>
      <c r="AA917" s="209">
        <f t="shared" si="3"/>
        <v>916</v>
      </c>
    </row>
    <row r="918" ht="15.75" customHeight="1">
      <c r="A918" s="206" t="str">
        <f>+Declarations!A918&amp;""</f>
        <v/>
      </c>
      <c r="B918" t="str">
        <f>IF(LEN($A918),IF(LEN(Declarations!$B918)&gt;0,Declarations!$B918,"#"&amp;$A918),"")</f>
        <v/>
      </c>
      <c r="C918" s="209" t="str">
        <f t="array" ref="C918">IF(LEN(INDEX(DECLARATIONS,$AA918,3))&gt;0,INDEX(DECLARATIONS,$AA918,3),"...")</f>
        <v>...</v>
      </c>
      <c r="D918" s="209" t="str">
        <f t="shared" si="1"/>
        <v/>
      </c>
      <c r="E918" s="296" t="str">
        <f t="array" ref="E918">IF(ISNA($AA918),0,INDEX(DECLARATIONS,$AA918,5))</f>
        <v/>
      </c>
      <c r="F918" s="209" t="str">
        <f t="array" ref="F918">IF(ISNA($AA918),0,INDEX(DECLARATIONS,$AA918,7))</f>
        <v/>
      </c>
      <c r="G918" s="209" t="str">
        <f t="array" ref="G918">UPPER(IF(ISNA($AA918),"",INDEX(DECLARATIONS,$AA918,4)))</f>
        <v/>
      </c>
      <c r="H918" t="str">
        <f>IF(AND(A918&gt;0,ISTEXT(B918)),IF(SECNAME="YES",LEFT(B918&amp;" ",FIND(" ",B918&amp;" ")+2)&amp;IF(F918&gt;0," ("&amp;F918&amp;")",""),B918&amp;IF(F918&gt;0," ("&amp;F918&amp;")","")),"#"&amp;$A918)</f>
        <v/>
      </c>
      <c r="I918" s="209">
        <f>IF(LEN($A918)&gt;0,IF(LEN($J918)&gt;0,MATCH(J918,MatchNames,0),EventIndex),0)</f>
        <v>0</v>
      </c>
      <c r="J918" s="209" t="str">
        <f>IF(LEN($A918)&gt;0,IF(LEN(Declarations!$F918)&gt;0,Declarations!$F918,conftype),"")</f>
        <v/>
      </c>
      <c r="M918" s="297">
        <f>IF(ISNA(VLOOKUP($A918,SprintData,2,FALSE)),0,VLOOKUP($A918,SprintData,2,FALSE))</f>
        <v>0</v>
      </c>
      <c r="N918" s="297">
        <f>IF(ISNA(VLOOKUP($A918,JumpData,2,FALSE)),0,VLOOKUP($A918,JumpData,2,FALSE))</f>
        <v>0</v>
      </c>
      <c r="O918" s="297">
        <f>IF(ISNA(VLOOKUP($A918,RunData,2,FALSE)),0,VLOOKUP($A918,RunData,2,FALSE))</f>
        <v>0</v>
      </c>
      <c r="P918" s="297">
        <f>IF(ISNA(VLOOKUP($A918,ThrowData,2,FALSE)),0,VLOOKUP($A918,ThrowData,2,FALSE))</f>
        <v>0</v>
      </c>
      <c r="Q918" s="298">
        <f>IF(ISNA(VLOOKUP($A918,SprintData,4,FALSE)),0,VLOOKUP($A918,SprintData,4,FALSE))+V918</f>
        <v>0</v>
      </c>
      <c r="R918" s="298">
        <f>IF(ISNA(VLOOKUP($A918,JumpData,4,FALSE)),0,VLOOKUP($A918,JumpData,4,FALSE))+W918</f>
        <v>0</v>
      </c>
      <c r="S918" s="298">
        <f>IF(ISNA(VLOOKUP($A918,RunData,4,FALSE)),0,VLOOKUP($A918,RunData,4,FALSE))+X918</f>
        <v>0</v>
      </c>
      <c r="T918" s="298">
        <f>IF(ISNA(VLOOKUP($A918,ThrowData,4,FALSE)),0,VLOOKUP($A918,ThrowData,4,FALSE))+Y918</f>
        <v>0</v>
      </c>
      <c r="U918" s="299">
        <f t="shared" si="2"/>
        <v>0</v>
      </c>
      <c r="V918">
        <f>IF(AND($F918&gt;0,NOT(M918),Flexing),FlexPC,0)</f>
        <v>0</v>
      </c>
      <c r="W918">
        <f>IF(AND($F918&gt;0,NOT(N918),Flexing),FlexPC,0)</f>
        <v>0</v>
      </c>
      <c r="X918">
        <f>IF(AND($F918&gt;0,NOT(O918),Flexing),FlexPC,0)</f>
        <v>0</v>
      </c>
      <c r="Y918">
        <f>IF(AND($F918&gt;0,NOT(P918),Flexing),FlexPC,0)</f>
        <v>0</v>
      </c>
      <c r="AA918" s="209">
        <f t="shared" si="3"/>
        <v>917</v>
      </c>
    </row>
    <row r="919" ht="15.75" customHeight="1">
      <c r="A919" s="206" t="str">
        <f>+Declarations!A919&amp;""</f>
        <v/>
      </c>
      <c r="B919" t="str">
        <f>IF(LEN($A919),IF(LEN(Declarations!$B919)&gt;0,Declarations!$B919,"#"&amp;$A919),"")</f>
        <v/>
      </c>
      <c r="C919" s="209" t="str">
        <f t="array" ref="C919">IF(LEN(INDEX(DECLARATIONS,$AA919,3))&gt;0,INDEX(DECLARATIONS,$AA919,3),"...")</f>
        <v>...</v>
      </c>
      <c r="D919" s="209" t="str">
        <f t="shared" si="1"/>
        <v/>
      </c>
      <c r="E919" s="296" t="str">
        <f t="array" ref="E919">IF(ISNA($AA919),0,INDEX(DECLARATIONS,$AA919,5))</f>
        <v/>
      </c>
      <c r="F919" s="209" t="str">
        <f t="array" ref="F919">IF(ISNA($AA919),0,INDEX(DECLARATIONS,$AA919,7))</f>
        <v/>
      </c>
      <c r="G919" s="209" t="str">
        <f t="array" ref="G919">UPPER(IF(ISNA($AA919),"",INDEX(DECLARATIONS,$AA919,4)))</f>
        <v/>
      </c>
      <c r="H919" t="str">
        <f>IF(AND(A919&gt;0,ISTEXT(B919)),IF(SECNAME="YES",LEFT(B919&amp;" ",FIND(" ",B919&amp;" ")+2)&amp;IF(F919&gt;0," ("&amp;F919&amp;")",""),B919&amp;IF(F919&gt;0," ("&amp;F919&amp;")","")),"#"&amp;$A919)</f>
        <v/>
      </c>
      <c r="I919" s="209">
        <f>IF(LEN($A919)&gt;0,IF(LEN($J919)&gt;0,MATCH(J919,MatchNames,0),EventIndex),0)</f>
        <v>0</v>
      </c>
      <c r="J919" s="209" t="str">
        <f>IF(LEN($A919)&gt;0,IF(LEN(Declarations!$F919)&gt;0,Declarations!$F919,conftype),"")</f>
        <v/>
      </c>
      <c r="M919" s="297">
        <f>IF(ISNA(VLOOKUP($A919,SprintData,2,FALSE)),0,VLOOKUP($A919,SprintData,2,FALSE))</f>
        <v>0</v>
      </c>
      <c r="N919" s="297">
        <f>IF(ISNA(VLOOKUP($A919,JumpData,2,FALSE)),0,VLOOKUP($A919,JumpData,2,FALSE))</f>
        <v>0</v>
      </c>
      <c r="O919" s="297">
        <f>IF(ISNA(VLOOKUP($A919,RunData,2,FALSE)),0,VLOOKUP($A919,RunData,2,FALSE))</f>
        <v>0</v>
      </c>
      <c r="P919" s="297">
        <f>IF(ISNA(VLOOKUP($A919,ThrowData,2,FALSE)),0,VLOOKUP($A919,ThrowData,2,FALSE))</f>
        <v>0</v>
      </c>
      <c r="Q919" s="298">
        <f>IF(ISNA(VLOOKUP($A919,SprintData,4,FALSE)),0,VLOOKUP($A919,SprintData,4,FALSE))+V919</f>
        <v>0</v>
      </c>
      <c r="R919" s="298">
        <f>IF(ISNA(VLOOKUP($A919,JumpData,4,FALSE)),0,VLOOKUP($A919,JumpData,4,FALSE))+W919</f>
        <v>0</v>
      </c>
      <c r="S919" s="298">
        <f>IF(ISNA(VLOOKUP($A919,RunData,4,FALSE)),0,VLOOKUP($A919,RunData,4,FALSE))+X919</f>
        <v>0</v>
      </c>
      <c r="T919" s="298">
        <f>IF(ISNA(VLOOKUP($A919,ThrowData,4,FALSE)),0,VLOOKUP($A919,ThrowData,4,FALSE))+Y919</f>
        <v>0</v>
      </c>
      <c r="U919" s="299">
        <f t="shared" si="2"/>
        <v>0</v>
      </c>
      <c r="V919">
        <f>IF(AND($F919&gt;0,NOT(M919),Flexing),FlexPC,0)</f>
        <v>0</v>
      </c>
      <c r="W919">
        <f>IF(AND($F919&gt;0,NOT(N919),Flexing),FlexPC,0)</f>
        <v>0</v>
      </c>
      <c r="X919">
        <f>IF(AND($F919&gt;0,NOT(O919),Flexing),FlexPC,0)</f>
        <v>0</v>
      </c>
      <c r="Y919">
        <f>IF(AND($F919&gt;0,NOT(P919),Flexing),FlexPC,0)</f>
        <v>0</v>
      </c>
      <c r="AA919" s="209">
        <f t="shared" si="3"/>
        <v>918</v>
      </c>
    </row>
    <row r="920" ht="15.75" customHeight="1">
      <c r="A920" s="206" t="str">
        <f>+Declarations!A920&amp;""</f>
        <v/>
      </c>
      <c r="B920" t="str">
        <f>IF(LEN($A920),IF(LEN(Declarations!$B920)&gt;0,Declarations!$B920,"#"&amp;$A920),"")</f>
        <v/>
      </c>
      <c r="C920" s="209" t="str">
        <f t="array" ref="C920">IF(LEN(INDEX(DECLARATIONS,$AA920,3))&gt;0,INDEX(DECLARATIONS,$AA920,3),"...")</f>
        <v>...</v>
      </c>
      <c r="D920" s="209" t="str">
        <f t="shared" si="1"/>
        <v/>
      </c>
      <c r="E920" s="296" t="str">
        <f t="array" ref="E920">IF(ISNA($AA920),0,INDEX(DECLARATIONS,$AA920,5))</f>
        <v/>
      </c>
      <c r="F920" s="209" t="str">
        <f t="array" ref="F920">IF(ISNA($AA920),0,INDEX(DECLARATIONS,$AA920,7))</f>
        <v/>
      </c>
      <c r="G920" s="209" t="str">
        <f t="array" ref="G920">UPPER(IF(ISNA($AA920),"",INDEX(DECLARATIONS,$AA920,4)))</f>
        <v/>
      </c>
      <c r="H920" t="str">
        <f>IF(AND(A920&gt;0,ISTEXT(B920)),IF(SECNAME="YES",LEFT(B920&amp;" ",FIND(" ",B920&amp;" ")+2)&amp;IF(F920&gt;0," ("&amp;F920&amp;")",""),B920&amp;IF(F920&gt;0," ("&amp;F920&amp;")","")),"#"&amp;$A920)</f>
        <v/>
      </c>
      <c r="I920" s="209">
        <f>IF(LEN($A920)&gt;0,IF(LEN($J920)&gt;0,MATCH(J920,MatchNames,0),EventIndex),0)</f>
        <v>0</v>
      </c>
      <c r="J920" s="209" t="str">
        <f>IF(LEN($A920)&gt;0,IF(LEN(Declarations!$F920)&gt;0,Declarations!$F920,conftype),"")</f>
        <v/>
      </c>
      <c r="M920" s="297">
        <f>IF(ISNA(VLOOKUP($A920,SprintData,2,FALSE)),0,VLOOKUP($A920,SprintData,2,FALSE))</f>
        <v>0</v>
      </c>
      <c r="N920" s="297">
        <f>IF(ISNA(VLOOKUP($A920,JumpData,2,FALSE)),0,VLOOKUP($A920,JumpData,2,FALSE))</f>
        <v>0</v>
      </c>
      <c r="O920" s="297">
        <f>IF(ISNA(VLOOKUP($A920,RunData,2,FALSE)),0,VLOOKUP($A920,RunData,2,FALSE))</f>
        <v>0</v>
      </c>
      <c r="P920" s="297">
        <f>IF(ISNA(VLOOKUP($A920,ThrowData,2,FALSE)),0,VLOOKUP($A920,ThrowData,2,FALSE))</f>
        <v>0</v>
      </c>
      <c r="Q920" s="298">
        <f>IF(ISNA(VLOOKUP($A920,SprintData,4,FALSE)),0,VLOOKUP($A920,SprintData,4,FALSE))+V920</f>
        <v>0</v>
      </c>
      <c r="R920" s="298">
        <f>IF(ISNA(VLOOKUP($A920,JumpData,4,FALSE)),0,VLOOKUP($A920,JumpData,4,FALSE))+W920</f>
        <v>0</v>
      </c>
      <c r="S920" s="298">
        <f>IF(ISNA(VLOOKUP($A920,RunData,4,FALSE)),0,VLOOKUP($A920,RunData,4,FALSE))+X920</f>
        <v>0</v>
      </c>
      <c r="T920" s="298">
        <f>IF(ISNA(VLOOKUP($A920,ThrowData,4,FALSE)),0,VLOOKUP($A920,ThrowData,4,FALSE))+Y920</f>
        <v>0</v>
      </c>
      <c r="U920" s="299">
        <f t="shared" si="2"/>
        <v>0</v>
      </c>
      <c r="V920">
        <f>IF(AND($F920&gt;0,NOT(M920),Flexing),FlexPC,0)</f>
        <v>0</v>
      </c>
      <c r="W920">
        <f>IF(AND($F920&gt;0,NOT(N920),Flexing),FlexPC,0)</f>
        <v>0</v>
      </c>
      <c r="X920">
        <f>IF(AND($F920&gt;0,NOT(O920),Flexing),FlexPC,0)</f>
        <v>0</v>
      </c>
      <c r="Y920">
        <f>IF(AND($F920&gt;0,NOT(P920),Flexing),FlexPC,0)</f>
        <v>0</v>
      </c>
      <c r="AA920" s="209">
        <f t="shared" si="3"/>
        <v>919</v>
      </c>
    </row>
    <row r="921" ht="15.75" customHeight="1">
      <c r="A921" s="206" t="str">
        <f>+Declarations!A921&amp;""</f>
        <v/>
      </c>
      <c r="B921" t="str">
        <f>IF(LEN($A921),IF(LEN(Declarations!$B921)&gt;0,Declarations!$B921,"#"&amp;$A921),"")</f>
        <v/>
      </c>
      <c r="C921" s="209" t="str">
        <f t="array" ref="C921">IF(LEN(INDEX(DECLARATIONS,$AA921,3))&gt;0,INDEX(DECLARATIONS,$AA921,3),"...")</f>
        <v>...</v>
      </c>
      <c r="D921" s="209" t="str">
        <f t="shared" si="1"/>
        <v/>
      </c>
      <c r="E921" s="296" t="str">
        <f t="array" ref="E921">IF(ISNA($AA921),0,INDEX(DECLARATIONS,$AA921,5))</f>
        <v/>
      </c>
      <c r="F921" s="209" t="str">
        <f t="array" ref="F921">IF(ISNA($AA921),0,INDEX(DECLARATIONS,$AA921,7))</f>
        <v/>
      </c>
      <c r="G921" s="209" t="str">
        <f t="array" ref="G921">UPPER(IF(ISNA($AA921),"",INDEX(DECLARATIONS,$AA921,4)))</f>
        <v/>
      </c>
      <c r="H921" t="str">
        <f>IF(AND(A921&gt;0,ISTEXT(B921)),IF(SECNAME="YES",LEFT(B921&amp;" ",FIND(" ",B921&amp;" ")+2)&amp;IF(F921&gt;0," ("&amp;F921&amp;")",""),B921&amp;IF(F921&gt;0," ("&amp;F921&amp;")","")),"#"&amp;$A921)</f>
        <v/>
      </c>
      <c r="I921" s="209">
        <f>IF(LEN($A921)&gt;0,IF(LEN($J921)&gt;0,MATCH(J921,MatchNames,0),EventIndex),0)</f>
        <v>0</v>
      </c>
      <c r="J921" s="209" t="str">
        <f>IF(LEN($A921)&gt;0,IF(LEN(Declarations!$F921)&gt;0,Declarations!$F921,conftype),"")</f>
        <v/>
      </c>
      <c r="M921" s="297">
        <f>IF(ISNA(VLOOKUP($A921,SprintData,2,FALSE)),0,VLOOKUP($A921,SprintData,2,FALSE))</f>
        <v>0</v>
      </c>
      <c r="N921" s="297">
        <f>IF(ISNA(VLOOKUP($A921,JumpData,2,FALSE)),0,VLOOKUP($A921,JumpData,2,FALSE))</f>
        <v>0</v>
      </c>
      <c r="O921" s="297">
        <f>IF(ISNA(VLOOKUP($A921,RunData,2,FALSE)),0,VLOOKUP($A921,RunData,2,FALSE))</f>
        <v>0</v>
      </c>
      <c r="P921" s="297">
        <f>IF(ISNA(VLOOKUP($A921,ThrowData,2,FALSE)),0,VLOOKUP($A921,ThrowData,2,FALSE))</f>
        <v>0</v>
      </c>
      <c r="Q921" s="298">
        <f>IF(ISNA(VLOOKUP($A921,SprintData,4,FALSE)),0,VLOOKUP($A921,SprintData,4,FALSE))+V921</f>
        <v>0</v>
      </c>
      <c r="R921" s="298">
        <f>IF(ISNA(VLOOKUP($A921,JumpData,4,FALSE)),0,VLOOKUP($A921,JumpData,4,FALSE))+W921</f>
        <v>0</v>
      </c>
      <c r="S921" s="298">
        <f>IF(ISNA(VLOOKUP($A921,RunData,4,FALSE)),0,VLOOKUP($A921,RunData,4,FALSE))+X921</f>
        <v>0</v>
      </c>
      <c r="T921" s="298">
        <f>IF(ISNA(VLOOKUP($A921,ThrowData,4,FALSE)),0,VLOOKUP($A921,ThrowData,4,FALSE))+Y921</f>
        <v>0</v>
      </c>
      <c r="U921" s="299">
        <f t="shared" si="2"/>
        <v>0</v>
      </c>
      <c r="V921">
        <f>IF(AND($F921&gt;0,NOT(M921),Flexing),FlexPC,0)</f>
        <v>0</v>
      </c>
      <c r="W921">
        <f>IF(AND($F921&gt;0,NOT(N921),Flexing),FlexPC,0)</f>
        <v>0</v>
      </c>
      <c r="X921">
        <f>IF(AND($F921&gt;0,NOT(O921),Flexing),FlexPC,0)</f>
        <v>0</v>
      </c>
      <c r="Y921">
        <f>IF(AND($F921&gt;0,NOT(P921),Flexing),FlexPC,0)</f>
        <v>0</v>
      </c>
      <c r="AA921" s="209">
        <f t="shared" si="3"/>
        <v>920</v>
      </c>
    </row>
    <row r="922" ht="15.75" customHeight="1">
      <c r="A922" s="206" t="str">
        <f>+Declarations!A922&amp;""</f>
        <v/>
      </c>
      <c r="B922" t="str">
        <f>IF(LEN($A922),IF(LEN(Declarations!$B922)&gt;0,Declarations!$B922,"#"&amp;$A922),"")</f>
        <v/>
      </c>
      <c r="C922" s="209" t="str">
        <f t="array" ref="C922">IF(LEN(INDEX(DECLARATIONS,$AA922,3))&gt;0,INDEX(DECLARATIONS,$AA922,3),"...")</f>
        <v>...</v>
      </c>
      <c r="D922" s="209" t="str">
        <f t="shared" si="1"/>
        <v/>
      </c>
      <c r="E922" s="296" t="str">
        <f t="array" ref="E922">IF(ISNA($AA922),0,INDEX(DECLARATIONS,$AA922,5))</f>
        <v/>
      </c>
      <c r="F922" s="209" t="str">
        <f t="array" ref="F922">IF(ISNA($AA922),0,INDEX(DECLARATIONS,$AA922,7))</f>
        <v/>
      </c>
      <c r="G922" s="209" t="str">
        <f t="array" ref="G922">UPPER(IF(ISNA($AA922),"",INDEX(DECLARATIONS,$AA922,4)))</f>
        <v/>
      </c>
      <c r="H922" t="str">
        <f>IF(AND(A922&gt;0,ISTEXT(B922)),IF(SECNAME="YES",LEFT(B922&amp;" ",FIND(" ",B922&amp;" ")+2)&amp;IF(F922&gt;0," ("&amp;F922&amp;")",""),B922&amp;IF(F922&gt;0," ("&amp;F922&amp;")","")),"#"&amp;$A922)</f>
        <v/>
      </c>
      <c r="I922" s="209">
        <f>IF(LEN($A922)&gt;0,IF(LEN($J922)&gt;0,MATCH(J922,MatchNames,0),EventIndex),0)</f>
        <v>0</v>
      </c>
      <c r="J922" s="209" t="str">
        <f>IF(LEN($A922)&gt;0,IF(LEN(Declarations!$F922)&gt;0,Declarations!$F922,conftype),"")</f>
        <v/>
      </c>
      <c r="M922" s="297">
        <f>IF(ISNA(VLOOKUP($A922,SprintData,2,FALSE)),0,VLOOKUP($A922,SprintData,2,FALSE))</f>
        <v>0</v>
      </c>
      <c r="N922" s="297">
        <f>IF(ISNA(VLOOKUP($A922,JumpData,2,FALSE)),0,VLOOKUP($A922,JumpData,2,FALSE))</f>
        <v>0</v>
      </c>
      <c r="O922" s="297">
        <f>IF(ISNA(VLOOKUP($A922,RunData,2,FALSE)),0,VLOOKUP($A922,RunData,2,FALSE))</f>
        <v>0</v>
      </c>
      <c r="P922" s="297">
        <f>IF(ISNA(VLOOKUP($A922,ThrowData,2,FALSE)),0,VLOOKUP($A922,ThrowData,2,FALSE))</f>
        <v>0</v>
      </c>
      <c r="Q922" s="298">
        <f>IF(ISNA(VLOOKUP($A922,SprintData,4,FALSE)),0,VLOOKUP($A922,SprintData,4,FALSE))+V922</f>
        <v>0</v>
      </c>
      <c r="R922" s="298">
        <f>IF(ISNA(VLOOKUP($A922,JumpData,4,FALSE)),0,VLOOKUP($A922,JumpData,4,FALSE))+W922</f>
        <v>0</v>
      </c>
      <c r="S922" s="298">
        <f>IF(ISNA(VLOOKUP($A922,RunData,4,FALSE)),0,VLOOKUP($A922,RunData,4,FALSE))+X922</f>
        <v>0</v>
      </c>
      <c r="T922" s="298">
        <f>IF(ISNA(VLOOKUP($A922,ThrowData,4,FALSE)),0,VLOOKUP($A922,ThrowData,4,FALSE))+Y922</f>
        <v>0</v>
      </c>
      <c r="U922" s="299">
        <f t="shared" si="2"/>
        <v>0</v>
      </c>
      <c r="V922">
        <f>IF(AND($F922&gt;0,NOT(M922),Flexing),FlexPC,0)</f>
        <v>0</v>
      </c>
      <c r="W922">
        <f>IF(AND($F922&gt;0,NOT(N922),Flexing),FlexPC,0)</f>
        <v>0</v>
      </c>
      <c r="X922">
        <f>IF(AND($F922&gt;0,NOT(O922),Flexing),FlexPC,0)</f>
        <v>0</v>
      </c>
      <c r="Y922">
        <f>IF(AND($F922&gt;0,NOT(P922),Flexing),FlexPC,0)</f>
        <v>0</v>
      </c>
      <c r="AA922" s="209">
        <f t="shared" si="3"/>
        <v>921</v>
      </c>
    </row>
    <row r="923" ht="15.75" customHeight="1">
      <c r="A923" s="206" t="str">
        <f>+Declarations!A923&amp;""</f>
        <v/>
      </c>
      <c r="B923" t="str">
        <f>IF(LEN($A923),IF(LEN(Declarations!$B923)&gt;0,Declarations!$B923,"#"&amp;$A923),"")</f>
        <v/>
      </c>
      <c r="C923" s="209" t="str">
        <f t="array" ref="C923">IF(LEN(INDEX(DECLARATIONS,$AA923,3))&gt;0,INDEX(DECLARATIONS,$AA923,3),"...")</f>
        <v>...</v>
      </c>
      <c r="D923" s="209" t="str">
        <f t="shared" si="1"/>
        <v/>
      </c>
      <c r="E923" s="296" t="str">
        <f t="array" ref="E923">IF(ISNA($AA923),0,INDEX(DECLARATIONS,$AA923,5))</f>
        <v/>
      </c>
      <c r="F923" s="209" t="str">
        <f t="array" ref="F923">IF(ISNA($AA923),0,INDEX(DECLARATIONS,$AA923,7))</f>
        <v/>
      </c>
      <c r="G923" s="209" t="str">
        <f t="array" ref="G923">UPPER(IF(ISNA($AA923),"",INDEX(DECLARATIONS,$AA923,4)))</f>
        <v/>
      </c>
      <c r="H923" t="str">
        <f>IF(AND(A923&gt;0,ISTEXT(B923)),IF(SECNAME="YES",LEFT(B923&amp;" ",FIND(" ",B923&amp;" ")+2)&amp;IF(F923&gt;0," ("&amp;F923&amp;")",""),B923&amp;IF(F923&gt;0," ("&amp;F923&amp;")","")),"#"&amp;$A923)</f>
        <v/>
      </c>
      <c r="I923" s="209">
        <f>IF(LEN($A923)&gt;0,IF(LEN($J923)&gt;0,MATCH(J923,MatchNames,0),EventIndex),0)</f>
        <v>0</v>
      </c>
      <c r="J923" s="209" t="str">
        <f>IF(LEN($A923)&gt;0,IF(LEN(Declarations!$F923)&gt;0,Declarations!$F923,conftype),"")</f>
        <v/>
      </c>
      <c r="M923" s="297">
        <f>IF(ISNA(VLOOKUP($A923,SprintData,2,FALSE)),0,VLOOKUP($A923,SprintData,2,FALSE))</f>
        <v>0</v>
      </c>
      <c r="N923" s="297">
        <f>IF(ISNA(VLOOKUP($A923,JumpData,2,FALSE)),0,VLOOKUP($A923,JumpData,2,FALSE))</f>
        <v>0</v>
      </c>
      <c r="O923" s="297">
        <f>IF(ISNA(VLOOKUP($A923,RunData,2,FALSE)),0,VLOOKUP($A923,RunData,2,FALSE))</f>
        <v>0</v>
      </c>
      <c r="P923" s="297">
        <f>IF(ISNA(VLOOKUP($A923,ThrowData,2,FALSE)),0,VLOOKUP($A923,ThrowData,2,FALSE))</f>
        <v>0</v>
      </c>
      <c r="Q923" s="298">
        <f>IF(ISNA(VLOOKUP($A923,SprintData,4,FALSE)),0,VLOOKUP($A923,SprintData,4,FALSE))+V923</f>
        <v>0</v>
      </c>
      <c r="R923" s="298">
        <f>IF(ISNA(VLOOKUP($A923,JumpData,4,FALSE)),0,VLOOKUP($A923,JumpData,4,FALSE))+W923</f>
        <v>0</v>
      </c>
      <c r="S923" s="298">
        <f>IF(ISNA(VLOOKUP($A923,RunData,4,FALSE)),0,VLOOKUP($A923,RunData,4,FALSE))+X923</f>
        <v>0</v>
      </c>
      <c r="T923" s="298">
        <f>IF(ISNA(VLOOKUP($A923,ThrowData,4,FALSE)),0,VLOOKUP($A923,ThrowData,4,FALSE))+Y923</f>
        <v>0</v>
      </c>
      <c r="U923" s="299">
        <f t="shared" si="2"/>
        <v>0</v>
      </c>
      <c r="V923">
        <f>IF(AND($F923&gt;0,NOT(M923),Flexing),FlexPC,0)</f>
        <v>0</v>
      </c>
      <c r="W923">
        <f>IF(AND($F923&gt;0,NOT(N923),Flexing),FlexPC,0)</f>
        <v>0</v>
      </c>
      <c r="X923">
        <f>IF(AND($F923&gt;0,NOT(O923),Flexing),FlexPC,0)</f>
        <v>0</v>
      </c>
      <c r="Y923">
        <f>IF(AND($F923&gt;0,NOT(P923),Flexing),FlexPC,0)</f>
        <v>0</v>
      </c>
      <c r="AA923" s="209">
        <f t="shared" si="3"/>
        <v>922</v>
      </c>
    </row>
    <row r="924" ht="15.75" customHeight="1">
      <c r="A924" s="206" t="str">
        <f>+Declarations!A924&amp;""</f>
        <v/>
      </c>
      <c r="B924" t="str">
        <f>IF(LEN($A924),IF(LEN(Declarations!$B924)&gt;0,Declarations!$B924,"#"&amp;$A924),"")</f>
        <v/>
      </c>
      <c r="C924" s="209" t="str">
        <f t="array" ref="C924">IF(LEN(INDEX(DECLARATIONS,$AA924,3))&gt;0,INDEX(DECLARATIONS,$AA924,3),"...")</f>
        <v>...</v>
      </c>
      <c r="D924" s="209" t="str">
        <f t="shared" si="1"/>
        <v/>
      </c>
      <c r="E924" s="296" t="str">
        <f t="array" ref="E924">IF(ISNA($AA924),0,INDEX(DECLARATIONS,$AA924,5))</f>
        <v/>
      </c>
      <c r="F924" s="209" t="str">
        <f t="array" ref="F924">IF(ISNA($AA924),0,INDEX(DECLARATIONS,$AA924,7))</f>
        <v/>
      </c>
      <c r="G924" s="209" t="str">
        <f t="array" ref="G924">UPPER(IF(ISNA($AA924),"",INDEX(DECLARATIONS,$AA924,4)))</f>
        <v/>
      </c>
      <c r="H924" t="str">
        <f>IF(AND(A924&gt;0,ISTEXT(B924)),IF(SECNAME="YES",LEFT(B924&amp;" ",FIND(" ",B924&amp;" ")+2)&amp;IF(F924&gt;0," ("&amp;F924&amp;")",""),B924&amp;IF(F924&gt;0," ("&amp;F924&amp;")","")),"#"&amp;$A924)</f>
        <v/>
      </c>
      <c r="I924" s="209">
        <f>IF(LEN($A924)&gt;0,IF(LEN($J924)&gt;0,MATCH(J924,MatchNames,0),EventIndex),0)</f>
        <v>0</v>
      </c>
      <c r="J924" s="209" t="str">
        <f>IF(LEN($A924)&gt;0,IF(LEN(Declarations!$F924)&gt;0,Declarations!$F924,conftype),"")</f>
        <v/>
      </c>
      <c r="M924" s="297">
        <f>IF(ISNA(VLOOKUP($A924,SprintData,2,FALSE)),0,VLOOKUP($A924,SprintData,2,FALSE))</f>
        <v>0</v>
      </c>
      <c r="N924" s="297">
        <f>IF(ISNA(VLOOKUP($A924,JumpData,2,FALSE)),0,VLOOKUP($A924,JumpData,2,FALSE))</f>
        <v>0</v>
      </c>
      <c r="O924" s="297">
        <f>IF(ISNA(VLOOKUP($A924,RunData,2,FALSE)),0,VLOOKUP($A924,RunData,2,FALSE))</f>
        <v>0</v>
      </c>
      <c r="P924" s="297">
        <f>IF(ISNA(VLOOKUP($A924,ThrowData,2,FALSE)),0,VLOOKUP($A924,ThrowData,2,FALSE))</f>
        <v>0</v>
      </c>
      <c r="Q924" s="298">
        <f>IF(ISNA(VLOOKUP($A924,SprintData,4,FALSE)),0,VLOOKUP($A924,SprintData,4,FALSE))+V924</f>
        <v>0</v>
      </c>
      <c r="R924" s="298">
        <f>IF(ISNA(VLOOKUP($A924,JumpData,4,FALSE)),0,VLOOKUP($A924,JumpData,4,FALSE))+W924</f>
        <v>0</v>
      </c>
      <c r="S924" s="298">
        <f>IF(ISNA(VLOOKUP($A924,RunData,4,FALSE)),0,VLOOKUP($A924,RunData,4,FALSE))+X924</f>
        <v>0</v>
      </c>
      <c r="T924" s="298">
        <f>IF(ISNA(VLOOKUP($A924,ThrowData,4,FALSE)),0,VLOOKUP($A924,ThrowData,4,FALSE))+Y924</f>
        <v>0</v>
      </c>
      <c r="U924" s="299">
        <f t="shared" si="2"/>
        <v>0</v>
      </c>
      <c r="V924">
        <f>IF(AND($F924&gt;0,NOT(M924),Flexing),FlexPC,0)</f>
        <v>0</v>
      </c>
      <c r="W924">
        <f>IF(AND($F924&gt;0,NOT(N924),Flexing),FlexPC,0)</f>
        <v>0</v>
      </c>
      <c r="X924">
        <f>IF(AND($F924&gt;0,NOT(O924),Flexing),FlexPC,0)</f>
        <v>0</v>
      </c>
      <c r="Y924">
        <f>IF(AND($F924&gt;0,NOT(P924),Flexing),FlexPC,0)</f>
        <v>0</v>
      </c>
      <c r="AA924" s="209">
        <f t="shared" si="3"/>
        <v>923</v>
      </c>
    </row>
    <row r="925" ht="15.75" customHeight="1">
      <c r="A925" s="206" t="str">
        <f>+Declarations!A925&amp;""</f>
        <v/>
      </c>
      <c r="B925" t="str">
        <f>IF(LEN($A925),IF(LEN(Declarations!$B925)&gt;0,Declarations!$B925,"#"&amp;$A925),"")</f>
        <v/>
      </c>
      <c r="C925" s="209" t="str">
        <f t="array" ref="C925">IF(LEN(INDEX(DECLARATIONS,$AA925,3))&gt;0,INDEX(DECLARATIONS,$AA925,3),"...")</f>
        <v>...</v>
      </c>
      <c r="D925" s="209" t="str">
        <f t="shared" si="1"/>
        <v/>
      </c>
      <c r="E925" s="296" t="str">
        <f t="array" ref="E925">IF(ISNA($AA925),0,INDEX(DECLARATIONS,$AA925,5))</f>
        <v/>
      </c>
      <c r="F925" s="209" t="str">
        <f t="array" ref="F925">IF(ISNA($AA925),0,INDEX(DECLARATIONS,$AA925,7))</f>
        <v/>
      </c>
      <c r="G925" s="209" t="str">
        <f t="array" ref="G925">UPPER(IF(ISNA($AA925),"",INDEX(DECLARATIONS,$AA925,4)))</f>
        <v/>
      </c>
      <c r="H925" t="str">
        <f>IF(AND(A925&gt;0,ISTEXT(B925)),IF(SECNAME="YES",LEFT(B925&amp;" ",FIND(" ",B925&amp;" ")+2)&amp;IF(F925&gt;0," ("&amp;F925&amp;")",""),B925&amp;IF(F925&gt;0," ("&amp;F925&amp;")","")),"#"&amp;$A925)</f>
        <v/>
      </c>
      <c r="I925" s="209">
        <f>IF(LEN($A925)&gt;0,IF(LEN($J925)&gt;0,MATCH(J925,MatchNames,0),EventIndex),0)</f>
        <v>0</v>
      </c>
      <c r="J925" s="209" t="str">
        <f>IF(LEN($A925)&gt;0,IF(LEN(Declarations!$F925)&gt;0,Declarations!$F925,conftype),"")</f>
        <v/>
      </c>
      <c r="M925" s="297">
        <f>IF(ISNA(VLOOKUP($A925,SprintData,2,FALSE)),0,VLOOKUP($A925,SprintData,2,FALSE))</f>
        <v>0</v>
      </c>
      <c r="N925" s="297">
        <f>IF(ISNA(VLOOKUP($A925,JumpData,2,FALSE)),0,VLOOKUP($A925,JumpData,2,FALSE))</f>
        <v>0</v>
      </c>
      <c r="O925" s="297">
        <f>IF(ISNA(VLOOKUP($A925,RunData,2,FALSE)),0,VLOOKUP($A925,RunData,2,FALSE))</f>
        <v>0</v>
      </c>
      <c r="P925" s="297">
        <f>IF(ISNA(VLOOKUP($A925,ThrowData,2,FALSE)),0,VLOOKUP($A925,ThrowData,2,FALSE))</f>
        <v>0</v>
      </c>
      <c r="Q925" s="298">
        <f>IF(ISNA(VLOOKUP($A925,SprintData,4,FALSE)),0,VLOOKUP($A925,SprintData,4,FALSE))+V925</f>
        <v>0</v>
      </c>
      <c r="R925" s="298">
        <f>IF(ISNA(VLOOKUP($A925,JumpData,4,FALSE)),0,VLOOKUP($A925,JumpData,4,FALSE))+W925</f>
        <v>0</v>
      </c>
      <c r="S925" s="298">
        <f>IF(ISNA(VLOOKUP($A925,RunData,4,FALSE)),0,VLOOKUP($A925,RunData,4,FALSE))+X925</f>
        <v>0</v>
      </c>
      <c r="T925" s="298">
        <f>IF(ISNA(VLOOKUP($A925,ThrowData,4,FALSE)),0,VLOOKUP($A925,ThrowData,4,FALSE))+Y925</f>
        <v>0</v>
      </c>
      <c r="U925" s="299">
        <f t="shared" si="2"/>
        <v>0</v>
      </c>
      <c r="V925">
        <f>IF(AND($F925&gt;0,NOT(M925),Flexing),FlexPC,0)</f>
        <v>0</v>
      </c>
      <c r="W925">
        <f>IF(AND($F925&gt;0,NOT(N925),Flexing),FlexPC,0)</f>
        <v>0</v>
      </c>
      <c r="X925">
        <f>IF(AND($F925&gt;0,NOT(O925),Flexing),FlexPC,0)</f>
        <v>0</v>
      </c>
      <c r="Y925">
        <f>IF(AND($F925&gt;0,NOT(P925),Flexing),FlexPC,0)</f>
        <v>0</v>
      </c>
      <c r="AA925" s="209">
        <f t="shared" si="3"/>
        <v>924</v>
      </c>
    </row>
    <row r="926" ht="15.75" customHeight="1">
      <c r="A926" s="206" t="str">
        <f>+Declarations!A926&amp;""</f>
        <v/>
      </c>
      <c r="B926" t="str">
        <f>IF(LEN($A926),IF(LEN(Declarations!$B926)&gt;0,Declarations!$B926,"#"&amp;$A926),"")</f>
        <v/>
      </c>
      <c r="C926" s="209" t="str">
        <f t="array" ref="C926">IF(LEN(INDEX(DECLARATIONS,$AA926,3))&gt;0,INDEX(DECLARATIONS,$AA926,3),"...")</f>
        <v>...</v>
      </c>
      <c r="D926" s="209" t="str">
        <f t="shared" si="1"/>
        <v/>
      </c>
      <c r="E926" s="296" t="str">
        <f t="array" ref="E926">IF(ISNA($AA926),0,INDEX(DECLARATIONS,$AA926,5))</f>
        <v/>
      </c>
      <c r="F926" s="209" t="str">
        <f t="array" ref="F926">IF(ISNA($AA926),0,INDEX(DECLARATIONS,$AA926,7))</f>
        <v/>
      </c>
      <c r="G926" s="209" t="str">
        <f t="array" ref="G926">UPPER(IF(ISNA($AA926),"",INDEX(DECLARATIONS,$AA926,4)))</f>
        <v/>
      </c>
      <c r="H926" t="str">
        <f>IF(AND(A926&gt;0,ISTEXT(B926)),IF(SECNAME="YES",LEFT(B926&amp;" ",FIND(" ",B926&amp;" ")+2)&amp;IF(F926&gt;0," ("&amp;F926&amp;")",""),B926&amp;IF(F926&gt;0," ("&amp;F926&amp;")","")),"#"&amp;$A926)</f>
        <v/>
      </c>
      <c r="I926" s="209">
        <f>IF(LEN($A926)&gt;0,IF(LEN($J926)&gt;0,MATCH(J926,MatchNames,0),EventIndex),0)</f>
        <v>0</v>
      </c>
      <c r="J926" s="209" t="str">
        <f>IF(LEN($A926)&gt;0,IF(LEN(Declarations!$F926)&gt;0,Declarations!$F926,conftype),"")</f>
        <v/>
      </c>
      <c r="M926" s="297">
        <f>IF(ISNA(VLOOKUP($A926,SprintData,2,FALSE)),0,VLOOKUP($A926,SprintData,2,FALSE))</f>
        <v>0</v>
      </c>
      <c r="N926" s="297">
        <f>IF(ISNA(VLOOKUP($A926,JumpData,2,FALSE)),0,VLOOKUP($A926,JumpData,2,FALSE))</f>
        <v>0</v>
      </c>
      <c r="O926" s="297">
        <f>IF(ISNA(VLOOKUP($A926,RunData,2,FALSE)),0,VLOOKUP($A926,RunData,2,FALSE))</f>
        <v>0</v>
      </c>
      <c r="P926" s="297">
        <f>IF(ISNA(VLOOKUP($A926,ThrowData,2,FALSE)),0,VLOOKUP($A926,ThrowData,2,FALSE))</f>
        <v>0</v>
      </c>
      <c r="Q926" s="298">
        <f>IF(ISNA(VLOOKUP($A926,SprintData,4,FALSE)),0,VLOOKUP($A926,SprintData,4,FALSE))+V926</f>
        <v>0</v>
      </c>
      <c r="R926" s="298">
        <f>IF(ISNA(VLOOKUP($A926,JumpData,4,FALSE)),0,VLOOKUP($A926,JumpData,4,FALSE))+W926</f>
        <v>0</v>
      </c>
      <c r="S926" s="298">
        <f>IF(ISNA(VLOOKUP($A926,RunData,4,FALSE)),0,VLOOKUP($A926,RunData,4,FALSE))+X926</f>
        <v>0</v>
      </c>
      <c r="T926" s="298">
        <f>IF(ISNA(VLOOKUP($A926,ThrowData,4,FALSE)),0,VLOOKUP($A926,ThrowData,4,FALSE))+Y926</f>
        <v>0</v>
      </c>
      <c r="U926" s="299">
        <f t="shared" si="2"/>
        <v>0</v>
      </c>
      <c r="V926">
        <f>IF(AND($F926&gt;0,NOT(M926),Flexing),FlexPC,0)</f>
        <v>0</v>
      </c>
      <c r="W926">
        <f>IF(AND($F926&gt;0,NOT(N926),Flexing),FlexPC,0)</f>
        <v>0</v>
      </c>
      <c r="X926">
        <f>IF(AND($F926&gt;0,NOT(O926),Flexing),FlexPC,0)</f>
        <v>0</v>
      </c>
      <c r="Y926">
        <f>IF(AND($F926&gt;0,NOT(P926),Flexing),FlexPC,0)</f>
        <v>0</v>
      </c>
      <c r="AA926" s="209">
        <f t="shared" si="3"/>
        <v>925</v>
      </c>
    </row>
    <row r="927" ht="15.75" customHeight="1">
      <c r="A927" s="206" t="str">
        <f>+Declarations!A927&amp;""</f>
        <v/>
      </c>
      <c r="B927" t="str">
        <f>IF(LEN($A927),IF(LEN(Declarations!$B927)&gt;0,Declarations!$B927,"#"&amp;$A927),"")</f>
        <v/>
      </c>
      <c r="C927" s="209" t="str">
        <f t="array" ref="C927">IF(LEN(INDEX(DECLARATIONS,$AA927,3))&gt;0,INDEX(DECLARATIONS,$AA927,3),"...")</f>
        <v>...</v>
      </c>
      <c r="D927" s="209" t="str">
        <f t="shared" si="1"/>
        <v/>
      </c>
      <c r="E927" s="296" t="str">
        <f t="array" ref="E927">IF(ISNA($AA927),0,INDEX(DECLARATIONS,$AA927,5))</f>
        <v/>
      </c>
      <c r="F927" s="209" t="str">
        <f t="array" ref="F927">IF(ISNA($AA927),0,INDEX(DECLARATIONS,$AA927,7))</f>
        <v/>
      </c>
      <c r="G927" s="209" t="str">
        <f t="array" ref="G927">UPPER(IF(ISNA($AA927),"",INDEX(DECLARATIONS,$AA927,4)))</f>
        <v/>
      </c>
      <c r="H927" t="str">
        <f>IF(AND(A927&gt;0,ISTEXT(B927)),IF(SECNAME="YES",LEFT(B927&amp;" ",FIND(" ",B927&amp;" ")+2)&amp;IF(F927&gt;0," ("&amp;F927&amp;")",""),B927&amp;IF(F927&gt;0," ("&amp;F927&amp;")","")),"#"&amp;$A927)</f>
        <v/>
      </c>
      <c r="I927" s="209">
        <f>IF(LEN($A927)&gt;0,IF(LEN($J927)&gt;0,MATCH(J927,MatchNames,0),EventIndex),0)</f>
        <v>0</v>
      </c>
      <c r="J927" s="209" t="str">
        <f>IF(LEN($A927)&gt;0,IF(LEN(Declarations!$F927)&gt;0,Declarations!$F927,conftype),"")</f>
        <v/>
      </c>
      <c r="M927" s="297">
        <f>IF(ISNA(VLOOKUP($A927,SprintData,2,FALSE)),0,VLOOKUP($A927,SprintData,2,FALSE))</f>
        <v>0</v>
      </c>
      <c r="N927" s="297">
        <f>IF(ISNA(VLOOKUP($A927,JumpData,2,FALSE)),0,VLOOKUP($A927,JumpData,2,FALSE))</f>
        <v>0</v>
      </c>
      <c r="O927" s="297">
        <f>IF(ISNA(VLOOKUP($A927,RunData,2,FALSE)),0,VLOOKUP($A927,RunData,2,FALSE))</f>
        <v>0</v>
      </c>
      <c r="P927" s="297">
        <f>IF(ISNA(VLOOKUP($A927,ThrowData,2,FALSE)),0,VLOOKUP($A927,ThrowData,2,FALSE))</f>
        <v>0</v>
      </c>
      <c r="Q927" s="298">
        <f>IF(ISNA(VLOOKUP($A927,SprintData,4,FALSE)),0,VLOOKUP($A927,SprintData,4,FALSE))+V927</f>
        <v>0</v>
      </c>
      <c r="R927" s="298">
        <f>IF(ISNA(VLOOKUP($A927,JumpData,4,FALSE)),0,VLOOKUP($A927,JumpData,4,FALSE))+W927</f>
        <v>0</v>
      </c>
      <c r="S927" s="298">
        <f>IF(ISNA(VLOOKUP($A927,RunData,4,FALSE)),0,VLOOKUP($A927,RunData,4,FALSE))+X927</f>
        <v>0</v>
      </c>
      <c r="T927" s="298">
        <f>IF(ISNA(VLOOKUP($A927,ThrowData,4,FALSE)),0,VLOOKUP($A927,ThrowData,4,FALSE))+Y927</f>
        <v>0</v>
      </c>
      <c r="U927" s="299">
        <f t="shared" si="2"/>
        <v>0</v>
      </c>
      <c r="V927">
        <f>IF(AND($F927&gt;0,NOT(M927),Flexing),FlexPC,0)</f>
        <v>0</v>
      </c>
      <c r="W927">
        <f>IF(AND($F927&gt;0,NOT(N927),Flexing),FlexPC,0)</f>
        <v>0</v>
      </c>
      <c r="X927">
        <f>IF(AND($F927&gt;0,NOT(O927),Flexing),FlexPC,0)</f>
        <v>0</v>
      </c>
      <c r="Y927">
        <f>IF(AND($F927&gt;0,NOT(P927),Flexing),FlexPC,0)</f>
        <v>0</v>
      </c>
      <c r="AA927" s="209">
        <f t="shared" si="3"/>
        <v>926</v>
      </c>
    </row>
    <row r="928" ht="15.75" customHeight="1">
      <c r="A928" s="206" t="str">
        <f>+Declarations!A928&amp;""</f>
        <v/>
      </c>
      <c r="B928" t="str">
        <f>IF(LEN($A928),IF(LEN(Declarations!$B928)&gt;0,Declarations!$B928,"#"&amp;$A928),"")</f>
        <v/>
      </c>
      <c r="C928" s="209" t="str">
        <f t="array" ref="C928">IF(LEN(INDEX(DECLARATIONS,$AA928,3))&gt;0,INDEX(DECLARATIONS,$AA928,3),"...")</f>
        <v>...</v>
      </c>
      <c r="D928" s="209" t="str">
        <f t="shared" si="1"/>
        <v/>
      </c>
      <c r="E928" s="296" t="str">
        <f t="array" ref="E928">IF(ISNA($AA928),0,INDEX(DECLARATIONS,$AA928,5))</f>
        <v/>
      </c>
      <c r="F928" s="209" t="str">
        <f t="array" ref="F928">IF(ISNA($AA928),0,INDEX(DECLARATIONS,$AA928,7))</f>
        <v/>
      </c>
      <c r="G928" s="209" t="str">
        <f t="array" ref="G928">UPPER(IF(ISNA($AA928),"",INDEX(DECLARATIONS,$AA928,4)))</f>
        <v/>
      </c>
      <c r="H928" t="str">
        <f>IF(AND(A928&gt;0,ISTEXT(B928)),IF(SECNAME="YES",LEFT(B928&amp;" ",FIND(" ",B928&amp;" ")+2)&amp;IF(F928&gt;0," ("&amp;F928&amp;")",""),B928&amp;IF(F928&gt;0," ("&amp;F928&amp;")","")),"#"&amp;$A928)</f>
        <v/>
      </c>
      <c r="I928" s="209">
        <f>IF(LEN($A928)&gt;0,IF(LEN($J928)&gt;0,MATCH(J928,MatchNames,0),EventIndex),0)</f>
        <v>0</v>
      </c>
      <c r="J928" s="209" t="str">
        <f>IF(LEN($A928)&gt;0,IF(LEN(Declarations!$F928)&gt;0,Declarations!$F928,conftype),"")</f>
        <v/>
      </c>
      <c r="M928" s="297">
        <f>IF(ISNA(VLOOKUP($A928,SprintData,2,FALSE)),0,VLOOKUP($A928,SprintData,2,FALSE))</f>
        <v>0</v>
      </c>
      <c r="N928" s="297">
        <f>IF(ISNA(VLOOKUP($A928,JumpData,2,FALSE)),0,VLOOKUP($A928,JumpData,2,FALSE))</f>
        <v>0</v>
      </c>
      <c r="O928" s="297">
        <f>IF(ISNA(VLOOKUP($A928,RunData,2,FALSE)),0,VLOOKUP($A928,RunData,2,FALSE))</f>
        <v>0</v>
      </c>
      <c r="P928" s="297">
        <f>IF(ISNA(VLOOKUP($A928,ThrowData,2,FALSE)),0,VLOOKUP($A928,ThrowData,2,FALSE))</f>
        <v>0</v>
      </c>
      <c r="Q928" s="298">
        <f>IF(ISNA(VLOOKUP($A928,SprintData,4,FALSE)),0,VLOOKUP($A928,SprintData,4,FALSE))+V928</f>
        <v>0</v>
      </c>
      <c r="R928" s="298">
        <f>IF(ISNA(VLOOKUP($A928,JumpData,4,FALSE)),0,VLOOKUP($A928,JumpData,4,FALSE))+W928</f>
        <v>0</v>
      </c>
      <c r="S928" s="298">
        <f>IF(ISNA(VLOOKUP($A928,RunData,4,FALSE)),0,VLOOKUP($A928,RunData,4,FALSE))+X928</f>
        <v>0</v>
      </c>
      <c r="T928" s="298">
        <f>IF(ISNA(VLOOKUP($A928,ThrowData,4,FALSE)),0,VLOOKUP($A928,ThrowData,4,FALSE))+Y928</f>
        <v>0</v>
      </c>
      <c r="U928" s="299">
        <f t="shared" si="2"/>
        <v>0</v>
      </c>
      <c r="V928">
        <f>IF(AND($F928&gt;0,NOT(M928),Flexing),FlexPC,0)</f>
        <v>0</v>
      </c>
      <c r="W928">
        <f>IF(AND($F928&gt;0,NOT(N928),Flexing),FlexPC,0)</f>
        <v>0</v>
      </c>
      <c r="X928">
        <f>IF(AND($F928&gt;0,NOT(O928),Flexing),FlexPC,0)</f>
        <v>0</v>
      </c>
      <c r="Y928">
        <f>IF(AND($F928&gt;0,NOT(P928),Flexing),FlexPC,0)</f>
        <v>0</v>
      </c>
      <c r="AA928" s="209">
        <f t="shared" si="3"/>
        <v>927</v>
      </c>
    </row>
    <row r="929" ht="15.75" customHeight="1">
      <c r="A929" s="206" t="str">
        <f>+Declarations!A929&amp;""</f>
        <v/>
      </c>
      <c r="B929" t="str">
        <f>IF(LEN($A929),IF(LEN(Declarations!$B929)&gt;0,Declarations!$B929,"#"&amp;$A929),"")</f>
        <v/>
      </c>
      <c r="C929" s="209" t="str">
        <f t="array" ref="C929">IF(LEN(INDEX(DECLARATIONS,$AA929,3))&gt;0,INDEX(DECLARATIONS,$AA929,3),"...")</f>
        <v>...</v>
      </c>
      <c r="D929" s="209" t="str">
        <f t="shared" si="1"/>
        <v/>
      </c>
      <c r="E929" s="296" t="str">
        <f t="array" ref="E929">IF(ISNA($AA929),0,INDEX(DECLARATIONS,$AA929,5))</f>
        <v/>
      </c>
      <c r="F929" s="209" t="str">
        <f t="array" ref="F929">IF(ISNA($AA929),0,INDEX(DECLARATIONS,$AA929,7))</f>
        <v/>
      </c>
      <c r="G929" s="209" t="str">
        <f t="array" ref="G929">UPPER(IF(ISNA($AA929),"",INDEX(DECLARATIONS,$AA929,4)))</f>
        <v/>
      </c>
      <c r="H929" t="str">
        <f>IF(AND(A929&gt;0,ISTEXT(B929)),IF(SECNAME="YES",LEFT(B929&amp;" ",FIND(" ",B929&amp;" ")+2)&amp;IF(F929&gt;0," ("&amp;F929&amp;")",""),B929&amp;IF(F929&gt;0," ("&amp;F929&amp;")","")),"#"&amp;$A929)</f>
        <v/>
      </c>
      <c r="I929" s="209">
        <f>IF(LEN($A929)&gt;0,IF(LEN($J929)&gt;0,MATCH(J929,MatchNames,0),EventIndex),0)</f>
        <v>0</v>
      </c>
      <c r="J929" s="209" t="str">
        <f>IF(LEN($A929)&gt;0,IF(LEN(Declarations!$F929)&gt;0,Declarations!$F929,conftype),"")</f>
        <v/>
      </c>
      <c r="M929" s="297">
        <f>IF(ISNA(VLOOKUP($A929,SprintData,2,FALSE)),0,VLOOKUP($A929,SprintData,2,FALSE))</f>
        <v>0</v>
      </c>
      <c r="N929" s="297">
        <f>IF(ISNA(VLOOKUP($A929,JumpData,2,FALSE)),0,VLOOKUP($A929,JumpData,2,FALSE))</f>
        <v>0</v>
      </c>
      <c r="O929" s="297">
        <f>IF(ISNA(VLOOKUP($A929,RunData,2,FALSE)),0,VLOOKUP($A929,RunData,2,FALSE))</f>
        <v>0</v>
      </c>
      <c r="P929" s="297">
        <f>IF(ISNA(VLOOKUP($A929,ThrowData,2,FALSE)),0,VLOOKUP($A929,ThrowData,2,FALSE))</f>
        <v>0</v>
      </c>
      <c r="Q929" s="298">
        <f>IF(ISNA(VLOOKUP($A929,SprintData,4,FALSE)),0,VLOOKUP($A929,SprintData,4,FALSE))+V929</f>
        <v>0</v>
      </c>
      <c r="R929" s="298">
        <f>IF(ISNA(VLOOKUP($A929,JumpData,4,FALSE)),0,VLOOKUP($A929,JumpData,4,FALSE))+W929</f>
        <v>0</v>
      </c>
      <c r="S929" s="298">
        <f>IF(ISNA(VLOOKUP($A929,RunData,4,FALSE)),0,VLOOKUP($A929,RunData,4,FALSE))+X929</f>
        <v>0</v>
      </c>
      <c r="T929" s="298">
        <f>IF(ISNA(VLOOKUP($A929,ThrowData,4,FALSE)),0,VLOOKUP($A929,ThrowData,4,FALSE))+Y929</f>
        <v>0</v>
      </c>
      <c r="U929" s="299">
        <f t="shared" si="2"/>
        <v>0</v>
      </c>
      <c r="V929">
        <f>IF(AND($F929&gt;0,NOT(M929),Flexing),FlexPC,0)</f>
        <v>0</v>
      </c>
      <c r="W929">
        <f>IF(AND($F929&gt;0,NOT(N929),Flexing),FlexPC,0)</f>
        <v>0</v>
      </c>
      <c r="X929">
        <f>IF(AND($F929&gt;0,NOT(O929),Flexing),FlexPC,0)</f>
        <v>0</v>
      </c>
      <c r="Y929">
        <f>IF(AND($F929&gt;0,NOT(P929),Flexing),FlexPC,0)</f>
        <v>0</v>
      </c>
      <c r="AA929" s="209">
        <f t="shared" si="3"/>
        <v>928</v>
      </c>
    </row>
    <row r="930" ht="15.75" customHeight="1">
      <c r="A930" s="206" t="str">
        <f>+Declarations!A930&amp;""</f>
        <v/>
      </c>
      <c r="B930" t="str">
        <f>IF(LEN($A930),IF(LEN(Declarations!$B930)&gt;0,Declarations!$B930,"#"&amp;$A930),"")</f>
        <v/>
      </c>
      <c r="C930" s="209" t="str">
        <f t="array" ref="C930">IF(LEN(INDEX(DECLARATIONS,$AA930,3))&gt;0,INDEX(DECLARATIONS,$AA930,3),"...")</f>
        <v>...</v>
      </c>
      <c r="D930" s="209" t="str">
        <f t="shared" si="1"/>
        <v/>
      </c>
      <c r="E930" s="296" t="str">
        <f t="array" ref="E930">IF(ISNA($AA930),0,INDEX(DECLARATIONS,$AA930,5))</f>
        <v/>
      </c>
      <c r="F930" s="209" t="str">
        <f t="array" ref="F930">IF(ISNA($AA930),0,INDEX(DECLARATIONS,$AA930,7))</f>
        <v/>
      </c>
      <c r="G930" s="209" t="str">
        <f t="array" ref="G930">UPPER(IF(ISNA($AA930),"",INDEX(DECLARATIONS,$AA930,4)))</f>
        <v/>
      </c>
      <c r="H930" t="str">
        <f>IF(AND(A930&gt;0,ISTEXT(B930)),IF(SECNAME="YES",LEFT(B930&amp;" ",FIND(" ",B930&amp;" ")+2)&amp;IF(F930&gt;0," ("&amp;F930&amp;")",""),B930&amp;IF(F930&gt;0," ("&amp;F930&amp;")","")),"#"&amp;$A930)</f>
        <v/>
      </c>
      <c r="I930" s="209">
        <f>IF(LEN($A930)&gt;0,IF(LEN($J930)&gt;0,MATCH(J930,MatchNames,0),EventIndex),0)</f>
        <v>0</v>
      </c>
      <c r="J930" s="209" t="str">
        <f>IF(LEN($A930)&gt;0,IF(LEN(Declarations!$F930)&gt;0,Declarations!$F930,conftype),"")</f>
        <v/>
      </c>
      <c r="M930" s="297">
        <f>IF(ISNA(VLOOKUP($A930,SprintData,2,FALSE)),0,VLOOKUP($A930,SprintData,2,FALSE))</f>
        <v>0</v>
      </c>
      <c r="N930" s="297">
        <f>IF(ISNA(VLOOKUP($A930,JumpData,2,FALSE)),0,VLOOKUP($A930,JumpData,2,FALSE))</f>
        <v>0</v>
      </c>
      <c r="O930" s="297">
        <f>IF(ISNA(VLOOKUP($A930,RunData,2,FALSE)),0,VLOOKUP($A930,RunData,2,FALSE))</f>
        <v>0</v>
      </c>
      <c r="P930" s="297">
        <f>IF(ISNA(VLOOKUP($A930,ThrowData,2,FALSE)),0,VLOOKUP($A930,ThrowData,2,FALSE))</f>
        <v>0</v>
      </c>
      <c r="Q930" s="298">
        <f>IF(ISNA(VLOOKUP($A930,SprintData,4,FALSE)),0,VLOOKUP($A930,SprintData,4,FALSE))+V930</f>
        <v>0</v>
      </c>
      <c r="R930" s="298">
        <f>IF(ISNA(VLOOKUP($A930,JumpData,4,FALSE)),0,VLOOKUP($A930,JumpData,4,FALSE))+W930</f>
        <v>0</v>
      </c>
      <c r="S930" s="298">
        <f>IF(ISNA(VLOOKUP($A930,RunData,4,FALSE)),0,VLOOKUP($A930,RunData,4,FALSE))+X930</f>
        <v>0</v>
      </c>
      <c r="T930" s="298">
        <f>IF(ISNA(VLOOKUP($A930,ThrowData,4,FALSE)),0,VLOOKUP($A930,ThrowData,4,FALSE))+Y930</f>
        <v>0</v>
      </c>
      <c r="U930" s="299">
        <f t="shared" si="2"/>
        <v>0</v>
      </c>
      <c r="V930">
        <f>IF(AND($F930&gt;0,NOT(M930),Flexing),FlexPC,0)</f>
        <v>0</v>
      </c>
      <c r="W930">
        <f>IF(AND($F930&gt;0,NOT(N930),Flexing),FlexPC,0)</f>
        <v>0</v>
      </c>
      <c r="X930">
        <f>IF(AND($F930&gt;0,NOT(O930),Flexing),FlexPC,0)</f>
        <v>0</v>
      </c>
      <c r="Y930">
        <f>IF(AND($F930&gt;0,NOT(P930),Flexing),FlexPC,0)</f>
        <v>0</v>
      </c>
      <c r="AA930" s="209">
        <f t="shared" si="3"/>
        <v>929</v>
      </c>
    </row>
    <row r="931" ht="15.75" customHeight="1">
      <c r="A931" s="206" t="str">
        <f>+Declarations!A931&amp;""</f>
        <v/>
      </c>
      <c r="B931" t="str">
        <f>IF(LEN($A931),IF(LEN(Declarations!$B931)&gt;0,Declarations!$B931,"#"&amp;$A931),"")</f>
        <v/>
      </c>
      <c r="C931" s="209" t="str">
        <f t="array" ref="C931">IF(LEN(INDEX(DECLARATIONS,$AA931,3))&gt;0,INDEX(DECLARATIONS,$AA931,3),"...")</f>
        <v>...</v>
      </c>
      <c r="D931" s="209" t="str">
        <f t="shared" si="1"/>
        <v/>
      </c>
      <c r="E931" s="296" t="str">
        <f t="array" ref="E931">IF(ISNA($AA931),0,INDEX(DECLARATIONS,$AA931,5))</f>
        <v/>
      </c>
      <c r="F931" s="209" t="str">
        <f t="array" ref="F931">IF(ISNA($AA931),0,INDEX(DECLARATIONS,$AA931,7))</f>
        <v/>
      </c>
      <c r="G931" s="209" t="str">
        <f t="array" ref="G931">UPPER(IF(ISNA($AA931),"",INDEX(DECLARATIONS,$AA931,4)))</f>
        <v/>
      </c>
      <c r="H931" t="str">
        <f>IF(AND(A931&gt;0,ISTEXT(B931)),IF(SECNAME="YES",LEFT(B931&amp;" ",FIND(" ",B931&amp;" ")+2)&amp;IF(F931&gt;0," ("&amp;F931&amp;")",""),B931&amp;IF(F931&gt;0," ("&amp;F931&amp;")","")),"#"&amp;$A931)</f>
        <v/>
      </c>
      <c r="I931" s="209">
        <f>IF(LEN($A931)&gt;0,IF(LEN($J931)&gt;0,MATCH(J931,MatchNames,0),EventIndex),0)</f>
        <v>0</v>
      </c>
      <c r="J931" s="209" t="str">
        <f>IF(LEN($A931)&gt;0,IF(LEN(Declarations!$F931)&gt;0,Declarations!$F931,conftype),"")</f>
        <v/>
      </c>
      <c r="M931" s="297">
        <f>IF(ISNA(VLOOKUP($A931,SprintData,2,FALSE)),0,VLOOKUP($A931,SprintData,2,FALSE))</f>
        <v>0</v>
      </c>
      <c r="N931" s="297">
        <f>IF(ISNA(VLOOKUP($A931,JumpData,2,FALSE)),0,VLOOKUP($A931,JumpData,2,FALSE))</f>
        <v>0</v>
      </c>
      <c r="O931" s="297">
        <f>IF(ISNA(VLOOKUP($A931,RunData,2,FALSE)),0,VLOOKUP($A931,RunData,2,FALSE))</f>
        <v>0</v>
      </c>
      <c r="P931" s="297">
        <f>IF(ISNA(VLOOKUP($A931,ThrowData,2,FALSE)),0,VLOOKUP($A931,ThrowData,2,FALSE))</f>
        <v>0</v>
      </c>
      <c r="Q931" s="298">
        <f>IF(ISNA(VLOOKUP($A931,SprintData,4,FALSE)),0,VLOOKUP($A931,SprintData,4,FALSE))+V931</f>
        <v>0</v>
      </c>
      <c r="R931" s="298">
        <f>IF(ISNA(VLOOKUP($A931,JumpData,4,FALSE)),0,VLOOKUP($A931,JumpData,4,FALSE))+W931</f>
        <v>0</v>
      </c>
      <c r="S931" s="298">
        <f>IF(ISNA(VLOOKUP($A931,RunData,4,FALSE)),0,VLOOKUP($A931,RunData,4,FALSE))+X931</f>
        <v>0</v>
      </c>
      <c r="T931" s="298">
        <f>IF(ISNA(VLOOKUP($A931,ThrowData,4,FALSE)),0,VLOOKUP($A931,ThrowData,4,FALSE))+Y931</f>
        <v>0</v>
      </c>
      <c r="U931" s="299">
        <f t="shared" si="2"/>
        <v>0</v>
      </c>
      <c r="V931">
        <f>IF(AND($F931&gt;0,NOT(M931),Flexing),FlexPC,0)</f>
        <v>0</v>
      </c>
      <c r="W931">
        <f>IF(AND($F931&gt;0,NOT(N931),Flexing),FlexPC,0)</f>
        <v>0</v>
      </c>
      <c r="X931">
        <f>IF(AND($F931&gt;0,NOT(O931),Flexing),FlexPC,0)</f>
        <v>0</v>
      </c>
      <c r="Y931">
        <f>IF(AND($F931&gt;0,NOT(P931),Flexing),FlexPC,0)</f>
        <v>0</v>
      </c>
      <c r="AA931" s="209">
        <f t="shared" si="3"/>
        <v>930</v>
      </c>
    </row>
    <row r="932" ht="15.75" customHeight="1">
      <c r="A932" s="206" t="str">
        <f>+Declarations!A932&amp;""</f>
        <v/>
      </c>
      <c r="B932" t="str">
        <f>IF(LEN($A932),IF(LEN(Declarations!$B932)&gt;0,Declarations!$B932,"#"&amp;$A932),"")</f>
        <v/>
      </c>
      <c r="C932" s="209" t="str">
        <f t="array" ref="C932">IF(LEN(INDEX(DECLARATIONS,$AA932,3))&gt;0,INDEX(DECLARATIONS,$AA932,3),"...")</f>
        <v>...</v>
      </c>
      <c r="D932" s="209" t="str">
        <f t="shared" si="1"/>
        <v/>
      </c>
      <c r="E932" s="296" t="str">
        <f t="array" ref="E932">IF(ISNA($AA932),0,INDEX(DECLARATIONS,$AA932,5))</f>
        <v/>
      </c>
      <c r="F932" s="209" t="str">
        <f t="array" ref="F932">IF(ISNA($AA932),0,INDEX(DECLARATIONS,$AA932,7))</f>
        <v/>
      </c>
      <c r="G932" s="209" t="str">
        <f t="array" ref="G932">UPPER(IF(ISNA($AA932),"",INDEX(DECLARATIONS,$AA932,4)))</f>
        <v/>
      </c>
      <c r="H932" t="str">
        <f>IF(AND(A932&gt;0,ISTEXT(B932)),IF(SECNAME="YES",LEFT(B932&amp;" ",FIND(" ",B932&amp;" ")+2)&amp;IF(F932&gt;0," ("&amp;F932&amp;")",""),B932&amp;IF(F932&gt;0," ("&amp;F932&amp;")","")),"#"&amp;$A932)</f>
        <v/>
      </c>
      <c r="I932" s="209">
        <f>IF(LEN($A932)&gt;0,IF(LEN($J932)&gt;0,MATCH(J932,MatchNames,0),EventIndex),0)</f>
        <v>0</v>
      </c>
      <c r="J932" s="209" t="str">
        <f>IF(LEN($A932)&gt;0,IF(LEN(Declarations!$F932)&gt;0,Declarations!$F932,conftype),"")</f>
        <v/>
      </c>
      <c r="M932" s="297">
        <f>IF(ISNA(VLOOKUP($A932,SprintData,2,FALSE)),0,VLOOKUP($A932,SprintData,2,FALSE))</f>
        <v>0</v>
      </c>
      <c r="N932" s="297">
        <f>IF(ISNA(VLOOKUP($A932,JumpData,2,FALSE)),0,VLOOKUP($A932,JumpData,2,FALSE))</f>
        <v>0</v>
      </c>
      <c r="O932" s="297">
        <f>IF(ISNA(VLOOKUP($A932,RunData,2,FALSE)),0,VLOOKUP($A932,RunData,2,FALSE))</f>
        <v>0</v>
      </c>
      <c r="P932" s="297">
        <f>IF(ISNA(VLOOKUP($A932,ThrowData,2,FALSE)),0,VLOOKUP($A932,ThrowData,2,FALSE))</f>
        <v>0</v>
      </c>
      <c r="Q932" s="298">
        <f>IF(ISNA(VLOOKUP($A932,SprintData,4,FALSE)),0,VLOOKUP($A932,SprintData,4,FALSE))+V932</f>
        <v>0</v>
      </c>
      <c r="R932" s="298">
        <f>IF(ISNA(VLOOKUP($A932,JumpData,4,FALSE)),0,VLOOKUP($A932,JumpData,4,FALSE))+W932</f>
        <v>0</v>
      </c>
      <c r="S932" s="298">
        <f>IF(ISNA(VLOOKUP($A932,RunData,4,FALSE)),0,VLOOKUP($A932,RunData,4,FALSE))+X932</f>
        <v>0</v>
      </c>
      <c r="T932" s="298">
        <f>IF(ISNA(VLOOKUP($A932,ThrowData,4,FALSE)),0,VLOOKUP($A932,ThrowData,4,FALSE))+Y932</f>
        <v>0</v>
      </c>
      <c r="U932" s="299">
        <f t="shared" si="2"/>
        <v>0</v>
      </c>
      <c r="V932">
        <f>IF(AND($F932&gt;0,NOT(M932),Flexing),FlexPC,0)</f>
        <v>0</v>
      </c>
      <c r="W932">
        <f>IF(AND($F932&gt;0,NOT(N932),Flexing),FlexPC,0)</f>
        <v>0</v>
      </c>
      <c r="X932">
        <f>IF(AND($F932&gt;0,NOT(O932),Flexing),FlexPC,0)</f>
        <v>0</v>
      </c>
      <c r="Y932">
        <f>IF(AND($F932&gt;0,NOT(P932),Flexing),FlexPC,0)</f>
        <v>0</v>
      </c>
      <c r="AA932" s="209">
        <f t="shared" si="3"/>
        <v>931</v>
      </c>
    </row>
    <row r="933" ht="15.75" customHeight="1">
      <c r="A933" s="206" t="str">
        <f>+Declarations!A933&amp;""</f>
        <v/>
      </c>
      <c r="B933" t="str">
        <f>IF(LEN($A933),IF(LEN(Declarations!$B933)&gt;0,Declarations!$B933,"#"&amp;$A933),"")</f>
        <v/>
      </c>
      <c r="C933" s="209" t="str">
        <f t="array" ref="C933">IF(LEN(INDEX(DECLARATIONS,$AA933,3))&gt;0,INDEX(DECLARATIONS,$AA933,3),"...")</f>
        <v>...</v>
      </c>
      <c r="D933" s="209" t="str">
        <f t="shared" si="1"/>
        <v/>
      </c>
      <c r="E933" s="296" t="str">
        <f t="array" ref="E933">IF(ISNA($AA933),0,INDEX(DECLARATIONS,$AA933,5))</f>
        <v/>
      </c>
      <c r="F933" s="209" t="str">
        <f t="array" ref="F933">IF(ISNA($AA933),0,INDEX(DECLARATIONS,$AA933,7))</f>
        <v/>
      </c>
      <c r="G933" s="209" t="str">
        <f t="array" ref="G933">UPPER(IF(ISNA($AA933),"",INDEX(DECLARATIONS,$AA933,4)))</f>
        <v/>
      </c>
      <c r="H933" t="str">
        <f>IF(AND(A933&gt;0,ISTEXT(B933)),IF(SECNAME="YES",LEFT(B933&amp;" ",FIND(" ",B933&amp;" ")+2)&amp;IF(F933&gt;0," ("&amp;F933&amp;")",""),B933&amp;IF(F933&gt;0," ("&amp;F933&amp;")","")),"#"&amp;$A933)</f>
        <v/>
      </c>
      <c r="I933" s="209">
        <f>IF(LEN($A933)&gt;0,IF(LEN($J933)&gt;0,MATCH(J933,MatchNames,0),EventIndex),0)</f>
        <v>0</v>
      </c>
      <c r="J933" s="209" t="str">
        <f>IF(LEN($A933)&gt;0,IF(LEN(Declarations!$F933)&gt;0,Declarations!$F933,conftype),"")</f>
        <v/>
      </c>
      <c r="M933" s="297">
        <f>IF(ISNA(VLOOKUP($A933,SprintData,2,FALSE)),0,VLOOKUP($A933,SprintData,2,FALSE))</f>
        <v>0</v>
      </c>
      <c r="N933" s="297">
        <f>IF(ISNA(VLOOKUP($A933,JumpData,2,FALSE)),0,VLOOKUP($A933,JumpData,2,FALSE))</f>
        <v>0</v>
      </c>
      <c r="O933" s="297">
        <f>IF(ISNA(VLOOKUP($A933,RunData,2,FALSE)),0,VLOOKUP($A933,RunData,2,FALSE))</f>
        <v>0</v>
      </c>
      <c r="P933" s="297">
        <f>IF(ISNA(VLOOKUP($A933,ThrowData,2,FALSE)),0,VLOOKUP($A933,ThrowData,2,FALSE))</f>
        <v>0</v>
      </c>
      <c r="Q933" s="298">
        <f>IF(ISNA(VLOOKUP($A933,SprintData,4,FALSE)),0,VLOOKUP($A933,SprintData,4,FALSE))+V933</f>
        <v>0</v>
      </c>
      <c r="R933" s="298">
        <f>IF(ISNA(VLOOKUP($A933,JumpData,4,FALSE)),0,VLOOKUP($A933,JumpData,4,FALSE))+W933</f>
        <v>0</v>
      </c>
      <c r="S933" s="298">
        <f>IF(ISNA(VLOOKUP($A933,RunData,4,FALSE)),0,VLOOKUP($A933,RunData,4,FALSE))+X933</f>
        <v>0</v>
      </c>
      <c r="T933" s="298">
        <f>IF(ISNA(VLOOKUP($A933,ThrowData,4,FALSE)),0,VLOOKUP($A933,ThrowData,4,FALSE))+Y933</f>
        <v>0</v>
      </c>
      <c r="U933" s="299">
        <f t="shared" si="2"/>
        <v>0</v>
      </c>
      <c r="V933">
        <f>IF(AND($F933&gt;0,NOT(M933),Flexing),FlexPC,0)</f>
        <v>0</v>
      </c>
      <c r="W933">
        <f>IF(AND($F933&gt;0,NOT(N933),Flexing),FlexPC,0)</f>
        <v>0</v>
      </c>
      <c r="X933">
        <f>IF(AND($F933&gt;0,NOT(O933),Flexing),FlexPC,0)</f>
        <v>0</v>
      </c>
      <c r="Y933">
        <f>IF(AND($F933&gt;0,NOT(P933),Flexing),FlexPC,0)</f>
        <v>0</v>
      </c>
      <c r="AA933" s="209">
        <f t="shared" si="3"/>
        <v>932</v>
      </c>
    </row>
    <row r="934" ht="15.75" customHeight="1">
      <c r="A934" s="206" t="str">
        <f>+Declarations!A934&amp;""</f>
        <v/>
      </c>
      <c r="B934" t="str">
        <f>IF(LEN($A934),IF(LEN(Declarations!$B934)&gt;0,Declarations!$B934,"#"&amp;$A934),"")</f>
        <v/>
      </c>
      <c r="C934" s="209" t="str">
        <f t="array" ref="C934">IF(LEN(INDEX(DECLARATIONS,$AA934,3))&gt;0,INDEX(DECLARATIONS,$AA934,3),"...")</f>
        <v>...</v>
      </c>
      <c r="D934" s="209" t="str">
        <f t="shared" si="1"/>
        <v/>
      </c>
      <c r="E934" s="296" t="str">
        <f t="array" ref="E934">IF(ISNA($AA934),0,INDEX(DECLARATIONS,$AA934,5))</f>
        <v/>
      </c>
      <c r="F934" s="209" t="str">
        <f t="array" ref="F934">IF(ISNA($AA934),0,INDEX(DECLARATIONS,$AA934,7))</f>
        <v/>
      </c>
      <c r="G934" s="209" t="str">
        <f t="array" ref="G934">UPPER(IF(ISNA($AA934),"",INDEX(DECLARATIONS,$AA934,4)))</f>
        <v/>
      </c>
      <c r="H934" t="str">
        <f>IF(AND(A934&gt;0,ISTEXT(B934)),IF(SECNAME="YES",LEFT(B934&amp;" ",FIND(" ",B934&amp;" ")+2)&amp;IF(F934&gt;0," ("&amp;F934&amp;")",""),B934&amp;IF(F934&gt;0," ("&amp;F934&amp;")","")),"#"&amp;$A934)</f>
        <v/>
      </c>
      <c r="I934" s="209">
        <f>IF(LEN($A934)&gt;0,IF(LEN($J934)&gt;0,MATCH(J934,MatchNames,0),EventIndex),0)</f>
        <v>0</v>
      </c>
      <c r="J934" s="209" t="str">
        <f>IF(LEN($A934)&gt;0,IF(LEN(Declarations!$F934)&gt;0,Declarations!$F934,conftype),"")</f>
        <v/>
      </c>
      <c r="M934" s="297">
        <f>IF(ISNA(VLOOKUP($A934,SprintData,2,FALSE)),0,VLOOKUP($A934,SprintData,2,FALSE))</f>
        <v>0</v>
      </c>
      <c r="N934" s="297">
        <f>IF(ISNA(VLOOKUP($A934,JumpData,2,FALSE)),0,VLOOKUP($A934,JumpData,2,FALSE))</f>
        <v>0</v>
      </c>
      <c r="O934" s="297">
        <f>IF(ISNA(VLOOKUP($A934,RunData,2,FALSE)),0,VLOOKUP($A934,RunData,2,FALSE))</f>
        <v>0</v>
      </c>
      <c r="P934" s="297">
        <f>IF(ISNA(VLOOKUP($A934,ThrowData,2,FALSE)),0,VLOOKUP($A934,ThrowData,2,FALSE))</f>
        <v>0</v>
      </c>
      <c r="Q934" s="298">
        <f>IF(ISNA(VLOOKUP($A934,SprintData,4,FALSE)),0,VLOOKUP($A934,SprintData,4,FALSE))+V934</f>
        <v>0</v>
      </c>
      <c r="R934" s="298">
        <f>IF(ISNA(VLOOKUP($A934,JumpData,4,FALSE)),0,VLOOKUP($A934,JumpData,4,FALSE))+W934</f>
        <v>0</v>
      </c>
      <c r="S934" s="298">
        <f>IF(ISNA(VLOOKUP($A934,RunData,4,FALSE)),0,VLOOKUP($A934,RunData,4,FALSE))+X934</f>
        <v>0</v>
      </c>
      <c r="T934" s="298">
        <f>IF(ISNA(VLOOKUP($A934,ThrowData,4,FALSE)),0,VLOOKUP($A934,ThrowData,4,FALSE))+Y934</f>
        <v>0</v>
      </c>
      <c r="U934" s="299">
        <f t="shared" si="2"/>
        <v>0</v>
      </c>
      <c r="V934">
        <f>IF(AND($F934&gt;0,NOT(M934),Flexing),FlexPC,0)</f>
        <v>0</v>
      </c>
      <c r="W934">
        <f>IF(AND($F934&gt;0,NOT(N934),Flexing),FlexPC,0)</f>
        <v>0</v>
      </c>
      <c r="X934">
        <f>IF(AND($F934&gt;0,NOT(O934),Flexing),FlexPC,0)</f>
        <v>0</v>
      </c>
      <c r="Y934">
        <f>IF(AND($F934&gt;0,NOT(P934),Flexing),FlexPC,0)</f>
        <v>0</v>
      </c>
      <c r="AA934" s="209">
        <f t="shared" si="3"/>
        <v>933</v>
      </c>
    </row>
    <row r="935" ht="15.75" customHeight="1">
      <c r="A935" s="206" t="str">
        <f>+Declarations!A935&amp;""</f>
        <v/>
      </c>
      <c r="B935" t="str">
        <f>IF(LEN($A935),IF(LEN(Declarations!$B935)&gt;0,Declarations!$B935,"#"&amp;$A935),"")</f>
        <v/>
      </c>
      <c r="C935" s="209" t="str">
        <f t="array" ref="C935">IF(LEN(INDEX(DECLARATIONS,$AA935,3))&gt;0,INDEX(DECLARATIONS,$AA935,3),"...")</f>
        <v>...</v>
      </c>
      <c r="D935" s="209" t="str">
        <f t="shared" si="1"/>
        <v/>
      </c>
      <c r="E935" s="296" t="str">
        <f t="array" ref="E935">IF(ISNA($AA935),0,INDEX(DECLARATIONS,$AA935,5))</f>
        <v/>
      </c>
      <c r="F935" s="209" t="str">
        <f t="array" ref="F935">IF(ISNA($AA935),0,INDEX(DECLARATIONS,$AA935,7))</f>
        <v/>
      </c>
      <c r="G935" s="209" t="str">
        <f t="array" ref="G935">UPPER(IF(ISNA($AA935),"",INDEX(DECLARATIONS,$AA935,4)))</f>
        <v/>
      </c>
      <c r="H935" t="str">
        <f>IF(AND(A935&gt;0,ISTEXT(B935)),IF(SECNAME="YES",LEFT(B935&amp;" ",FIND(" ",B935&amp;" ")+2)&amp;IF(F935&gt;0," ("&amp;F935&amp;")",""),B935&amp;IF(F935&gt;0," ("&amp;F935&amp;")","")),"#"&amp;$A935)</f>
        <v/>
      </c>
      <c r="I935" s="209">
        <f>IF(LEN($A935)&gt;0,IF(LEN($J935)&gt;0,MATCH(J935,MatchNames,0),EventIndex),0)</f>
        <v>0</v>
      </c>
      <c r="J935" s="209" t="str">
        <f>IF(LEN($A935)&gt;0,IF(LEN(Declarations!$F935)&gt;0,Declarations!$F935,conftype),"")</f>
        <v/>
      </c>
      <c r="M935" s="297">
        <f>IF(ISNA(VLOOKUP($A935,SprintData,2,FALSE)),0,VLOOKUP($A935,SprintData,2,FALSE))</f>
        <v>0</v>
      </c>
      <c r="N935" s="297">
        <f>IF(ISNA(VLOOKUP($A935,JumpData,2,FALSE)),0,VLOOKUP($A935,JumpData,2,FALSE))</f>
        <v>0</v>
      </c>
      <c r="O935" s="297">
        <f>IF(ISNA(VLOOKUP($A935,RunData,2,FALSE)),0,VLOOKUP($A935,RunData,2,FALSE))</f>
        <v>0</v>
      </c>
      <c r="P935" s="297">
        <f>IF(ISNA(VLOOKUP($A935,ThrowData,2,FALSE)),0,VLOOKUP($A935,ThrowData,2,FALSE))</f>
        <v>0</v>
      </c>
      <c r="Q935" s="298">
        <f>IF(ISNA(VLOOKUP($A935,SprintData,4,FALSE)),0,VLOOKUP($A935,SprintData,4,FALSE))+V935</f>
        <v>0</v>
      </c>
      <c r="R935" s="298">
        <f>IF(ISNA(VLOOKUP($A935,JumpData,4,FALSE)),0,VLOOKUP($A935,JumpData,4,FALSE))+W935</f>
        <v>0</v>
      </c>
      <c r="S935" s="298">
        <f>IF(ISNA(VLOOKUP($A935,RunData,4,FALSE)),0,VLOOKUP($A935,RunData,4,FALSE))+X935</f>
        <v>0</v>
      </c>
      <c r="T935" s="298">
        <f>IF(ISNA(VLOOKUP($A935,ThrowData,4,FALSE)),0,VLOOKUP($A935,ThrowData,4,FALSE))+Y935</f>
        <v>0</v>
      </c>
      <c r="U935" s="299">
        <f t="shared" si="2"/>
        <v>0</v>
      </c>
      <c r="V935">
        <f>IF(AND($F935&gt;0,NOT(M935),Flexing),FlexPC,0)</f>
        <v>0</v>
      </c>
      <c r="W935">
        <f>IF(AND($F935&gt;0,NOT(N935),Flexing),FlexPC,0)</f>
        <v>0</v>
      </c>
      <c r="X935">
        <f>IF(AND($F935&gt;0,NOT(O935),Flexing),FlexPC,0)</f>
        <v>0</v>
      </c>
      <c r="Y935">
        <f>IF(AND($F935&gt;0,NOT(P935),Flexing),FlexPC,0)</f>
        <v>0</v>
      </c>
      <c r="AA935" s="209">
        <f t="shared" si="3"/>
        <v>934</v>
      </c>
    </row>
    <row r="936" ht="15.75" customHeight="1">
      <c r="A936" s="206" t="str">
        <f>+Declarations!A936&amp;""</f>
        <v/>
      </c>
      <c r="B936" t="str">
        <f>IF(LEN($A936),IF(LEN(Declarations!$B936)&gt;0,Declarations!$B936,"#"&amp;$A936),"")</f>
        <v/>
      </c>
      <c r="C936" s="209" t="str">
        <f t="array" ref="C936">IF(LEN(INDEX(DECLARATIONS,$AA936,3))&gt;0,INDEX(DECLARATIONS,$AA936,3),"...")</f>
        <v>...</v>
      </c>
      <c r="D936" s="209" t="str">
        <f t="shared" si="1"/>
        <v/>
      </c>
      <c r="E936" s="296" t="str">
        <f t="array" ref="E936">IF(ISNA($AA936),0,INDEX(DECLARATIONS,$AA936,5))</f>
        <v/>
      </c>
      <c r="F936" s="209" t="str">
        <f t="array" ref="F936">IF(ISNA($AA936),0,INDEX(DECLARATIONS,$AA936,7))</f>
        <v/>
      </c>
      <c r="G936" s="209" t="str">
        <f t="array" ref="G936">UPPER(IF(ISNA($AA936),"",INDEX(DECLARATIONS,$AA936,4)))</f>
        <v/>
      </c>
      <c r="H936" t="str">
        <f>IF(AND(A936&gt;0,ISTEXT(B936)),IF(SECNAME="YES",LEFT(B936&amp;" ",FIND(" ",B936&amp;" ")+2)&amp;IF(F936&gt;0," ("&amp;F936&amp;")",""),B936&amp;IF(F936&gt;0," ("&amp;F936&amp;")","")),"#"&amp;$A936)</f>
        <v/>
      </c>
      <c r="I936" s="209">
        <f>IF(LEN($A936)&gt;0,IF(LEN($J936)&gt;0,MATCH(J936,MatchNames,0),EventIndex),0)</f>
        <v>0</v>
      </c>
      <c r="J936" s="209" t="str">
        <f>IF(LEN($A936)&gt;0,IF(LEN(Declarations!$F936)&gt;0,Declarations!$F936,conftype),"")</f>
        <v/>
      </c>
      <c r="M936" s="297">
        <f>IF(ISNA(VLOOKUP($A936,SprintData,2,FALSE)),0,VLOOKUP($A936,SprintData,2,FALSE))</f>
        <v>0</v>
      </c>
      <c r="N936" s="297">
        <f>IF(ISNA(VLOOKUP($A936,JumpData,2,FALSE)),0,VLOOKUP($A936,JumpData,2,FALSE))</f>
        <v>0</v>
      </c>
      <c r="O936" s="297">
        <f>IF(ISNA(VLOOKUP($A936,RunData,2,FALSE)),0,VLOOKUP($A936,RunData,2,FALSE))</f>
        <v>0</v>
      </c>
      <c r="P936" s="297">
        <f>IF(ISNA(VLOOKUP($A936,ThrowData,2,FALSE)),0,VLOOKUP($A936,ThrowData,2,FALSE))</f>
        <v>0</v>
      </c>
      <c r="Q936" s="298">
        <f>IF(ISNA(VLOOKUP($A936,SprintData,4,FALSE)),0,VLOOKUP($A936,SprintData,4,FALSE))+V936</f>
        <v>0</v>
      </c>
      <c r="R936" s="298">
        <f>IF(ISNA(VLOOKUP($A936,JumpData,4,FALSE)),0,VLOOKUP($A936,JumpData,4,FALSE))+W936</f>
        <v>0</v>
      </c>
      <c r="S936" s="298">
        <f>IF(ISNA(VLOOKUP($A936,RunData,4,FALSE)),0,VLOOKUP($A936,RunData,4,FALSE))+X936</f>
        <v>0</v>
      </c>
      <c r="T936" s="298">
        <f>IF(ISNA(VLOOKUP($A936,ThrowData,4,FALSE)),0,VLOOKUP($A936,ThrowData,4,FALSE))+Y936</f>
        <v>0</v>
      </c>
      <c r="U936" s="299">
        <f t="shared" si="2"/>
        <v>0</v>
      </c>
      <c r="V936">
        <f>IF(AND($F936&gt;0,NOT(M936),Flexing),FlexPC,0)</f>
        <v>0</v>
      </c>
      <c r="W936">
        <f>IF(AND($F936&gt;0,NOT(N936),Flexing),FlexPC,0)</f>
        <v>0</v>
      </c>
      <c r="X936">
        <f>IF(AND($F936&gt;0,NOT(O936),Flexing),FlexPC,0)</f>
        <v>0</v>
      </c>
      <c r="Y936">
        <f>IF(AND($F936&gt;0,NOT(P936),Flexing),FlexPC,0)</f>
        <v>0</v>
      </c>
      <c r="AA936" s="209">
        <f t="shared" si="3"/>
        <v>935</v>
      </c>
    </row>
    <row r="937" ht="15.75" customHeight="1">
      <c r="A937" s="206" t="str">
        <f>+Declarations!A937&amp;""</f>
        <v/>
      </c>
      <c r="B937" t="str">
        <f>IF(LEN($A937),IF(LEN(Declarations!$B937)&gt;0,Declarations!$B937,"#"&amp;$A937),"")</f>
        <v/>
      </c>
      <c r="C937" s="209" t="str">
        <f t="array" ref="C937">IF(LEN(INDEX(DECLARATIONS,$AA937,3))&gt;0,INDEX(DECLARATIONS,$AA937,3),"...")</f>
        <v>...</v>
      </c>
      <c r="D937" s="209" t="str">
        <f t="shared" si="1"/>
        <v/>
      </c>
      <c r="E937" s="296" t="str">
        <f t="array" ref="E937">IF(ISNA($AA937),0,INDEX(DECLARATIONS,$AA937,5))</f>
        <v/>
      </c>
      <c r="F937" s="209" t="str">
        <f t="array" ref="F937">IF(ISNA($AA937),0,INDEX(DECLARATIONS,$AA937,7))</f>
        <v/>
      </c>
      <c r="G937" s="209" t="str">
        <f t="array" ref="G937">UPPER(IF(ISNA($AA937),"",INDEX(DECLARATIONS,$AA937,4)))</f>
        <v/>
      </c>
      <c r="H937" t="str">
        <f>IF(AND(A937&gt;0,ISTEXT(B937)),IF(SECNAME="YES",LEFT(B937&amp;" ",FIND(" ",B937&amp;" ")+2)&amp;IF(F937&gt;0," ("&amp;F937&amp;")",""),B937&amp;IF(F937&gt;0," ("&amp;F937&amp;")","")),"#"&amp;$A937)</f>
        <v/>
      </c>
      <c r="I937" s="209">
        <f>IF(LEN($A937)&gt;0,IF(LEN($J937)&gt;0,MATCH(J937,MatchNames,0),EventIndex),0)</f>
        <v>0</v>
      </c>
      <c r="J937" s="209" t="str">
        <f>IF(LEN($A937)&gt;0,IF(LEN(Declarations!$F937)&gt;0,Declarations!$F937,conftype),"")</f>
        <v/>
      </c>
      <c r="M937" s="297">
        <f>IF(ISNA(VLOOKUP($A937,SprintData,2,FALSE)),0,VLOOKUP($A937,SprintData,2,FALSE))</f>
        <v>0</v>
      </c>
      <c r="N937" s="297">
        <f>IF(ISNA(VLOOKUP($A937,JumpData,2,FALSE)),0,VLOOKUP($A937,JumpData,2,FALSE))</f>
        <v>0</v>
      </c>
      <c r="O937" s="297">
        <f>IF(ISNA(VLOOKUP($A937,RunData,2,FALSE)),0,VLOOKUP($A937,RunData,2,FALSE))</f>
        <v>0</v>
      </c>
      <c r="P937" s="297">
        <f>IF(ISNA(VLOOKUP($A937,ThrowData,2,FALSE)),0,VLOOKUP($A937,ThrowData,2,FALSE))</f>
        <v>0</v>
      </c>
      <c r="Q937" s="298">
        <f>IF(ISNA(VLOOKUP($A937,SprintData,4,FALSE)),0,VLOOKUP($A937,SprintData,4,FALSE))+V937</f>
        <v>0</v>
      </c>
      <c r="R937" s="298">
        <f>IF(ISNA(VLOOKUP($A937,JumpData,4,FALSE)),0,VLOOKUP($A937,JumpData,4,FALSE))+W937</f>
        <v>0</v>
      </c>
      <c r="S937" s="298">
        <f>IF(ISNA(VLOOKUP($A937,RunData,4,FALSE)),0,VLOOKUP($A937,RunData,4,FALSE))+X937</f>
        <v>0</v>
      </c>
      <c r="T937" s="298">
        <f>IF(ISNA(VLOOKUP($A937,ThrowData,4,FALSE)),0,VLOOKUP($A937,ThrowData,4,FALSE))+Y937</f>
        <v>0</v>
      </c>
      <c r="U937" s="299">
        <f t="shared" si="2"/>
        <v>0</v>
      </c>
      <c r="V937">
        <f>IF(AND($F937&gt;0,NOT(M937),Flexing),FlexPC,0)</f>
        <v>0</v>
      </c>
      <c r="W937">
        <f>IF(AND($F937&gt;0,NOT(N937),Flexing),FlexPC,0)</f>
        <v>0</v>
      </c>
      <c r="X937">
        <f>IF(AND($F937&gt;0,NOT(O937),Flexing),FlexPC,0)</f>
        <v>0</v>
      </c>
      <c r="Y937">
        <f>IF(AND($F937&gt;0,NOT(P937),Flexing),FlexPC,0)</f>
        <v>0</v>
      </c>
      <c r="AA937" s="209">
        <f t="shared" si="3"/>
        <v>936</v>
      </c>
    </row>
    <row r="938" ht="15.75" customHeight="1">
      <c r="A938" s="206" t="str">
        <f>+Declarations!A938&amp;""</f>
        <v/>
      </c>
      <c r="B938" t="str">
        <f>IF(LEN($A938),IF(LEN(Declarations!$B938)&gt;0,Declarations!$B938,"#"&amp;$A938),"")</f>
        <v/>
      </c>
      <c r="C938" s="209" t="str">
        <f t="array" ref="C938">IF(LEN(INDEX(DECLARATIONS,$AA938,3))&gt;0,INDEX(DECLARATIONS,$AA938,3),"...")</f>
        <v>...</v>
      </c>
      <c r="D938" s="209" t="str">
        <f t="shared" si="1"/>
        <v/>
      </c>
      <c r="E938" s="296" t="str">
        <f t="array" ref="E938">IF(ISNA($AA938),0,INDEX(DECLARATIONS,$AA938,5))</f>
        <v/>
      </c>
      <c r="F938" s="209" t="str">
        <f t="array" ref="F938">IF(ISNA($AA938),0,INDEX(DECLARATIONS,$AA938,7))</f>
        <v/>
      </c>
      <c r="G938" s="209" t="str">
        <f t="array" ref="G938">UPPER(IF(ISNA($AA938),"",INDEX(DECLARATIONS,$AA938,4)))</f>
        <v/>
      </c>
      <c r="H938" t="str">
        <f>IF(AND(A938&gt;0,ISTEXT(B938)),IF(SECNAME="YES",LEFT(B938&amp;" ",FIND(" ",B938&amp;" ")+2)&amp;IF(F938&gt;0," ("&amp;F938&amp;")",""),B938&amp;IF(F938&gt;0," ("&amp;F938&amp;")","")),"#"&amp;$A938)</f>
        <v/>
      </c>
      <c r="I938" s="209">
        <f>IF(LEN($A938)&gt;0,IF(LEN($J938)&gt;0,MATCH(J938,MatchNames,0),EventIndex),0)</f>
        <v>0</v>
      </c>
      <c r="J938" s="209" t="str">
        <f>IF(LEN($A938)&gt;0,IF(LEN(Declarations!$F938)&gt;0,Declarations!$F938,conftype),"")</f>
        <v/>
      </c>
      <c r="M938" s="297">
        <f>IF(ISNA(VLOOKUP($A938,SprintData,2,FALSE)),0,VLOOKUP($A938,SprintData,2,FALSE))</f>
        <v>0</v>
      </c>
      <c r="N938" s="297">
        <f>IF(ISNA(VLOOKUP($A938,JumpData,2,FALSE)),0,VLOOKUP($A938,JumpData,2,FALSE))</f>
        <v>0</v>
      </c>
      <c r="O938" s="297">
        <f>IF(ISNA(VLOOKUP($A938,RunData,2,FALSE)),0,VLOOKUP($A938,RunData,2,FALSE))</f>
        <v>0</v>
      </c>
      <c r="P938" s="297">
        <f>IF(ISNA(VLOOKUP($A938,ThrowData,2,FALSE)),0,VLOOKUP($A938,ThrowData,2,FALSE))</f>
        <v>0</v>
      </c>
      <c r="Q938" s="298">
        <f>IF(ISNA(VLOOKUP($A938,SprintData,4,FALSE)),0,VLOOKUP($A938,SprintData,4,FALSE))+V938</f>
        <v>0</v>
      </c>
      <c r="R938" s="298">
        <f>IF(ISNA(VLOOKUP($A938,JumpData,4,FALSE)),0,VLOOKUP($A938,JumpData,4,FALSE))+W938</f>
        <v>0</v>
      </c>
      <c r="S938" s="298">
        <f>IF(ISNA(VLOOKUP($A938,RunData,4,FALSE)),0,VLOOKUP($A938,RunData,4,FALSE))+X938</f>
        <v>0</v>
      </c>
      <c r="T938" s="298">
        <f>IF(ISNA(VLOOKUP($A938,ThrowData,4,FALSE)),0,VLOOKUP($A938,ThrowData,4,FALSE))+Y938</f>
        <v>0</v>
      </c>
      <c r="U938" s="299">
        <f t="shared" si="2"/>
        <v>0</v>
      </c>
      <c r="V938">
        <f>IF(AND($F938&gt;0,NOT(M938),Flexing),FlexPC,0)</f>
        <v>0</v>
      </c>
      <c r="W938">
        <f>IF(AND($F938&gt;0,NOT(N938),Flexing),FlexPC,0)</f>
        <v>0</v>
      </c>
      <c r="X938">
        <f>IF(AND($F938&gt;0,NOT(O938),Flexing),FlexPC,0)</f>
        <v>0</v>
      </c>
      <c r="Y938">
        <f>IF(AND($F938&gt;0,NOT(P938),Flexing),FlexPC,0)</f>
        <v>0</v>
      </c>
      <c r="AA938" s="209">
        <f t="shared" si="3"/>
        <v>937</v>
      </c>
    </row>
    <row r="939" ht="15.75" customHeight="1">
      <c r="A939" s="206" t="str">
        <f>+Declarations!A939&amp;""</f>
        <v/>
      </c>
      <c r="B939" t="str">
        <f>IF(LEN($A939),IF(LEN(Declarations!$B939)&gt;0,Declarations!$B939,"#"&amp;$A939),"")</f>
        <v/>
      </c>
      <c r="C939" s="209" t="str">
        <f t="array" ref="C939">IF(LEN(INDEX(DECLARATIONS,$AA939,3))&gt;0,INDEX(DECLARATIONS,$AA939,3),"...")</f>
        <v>...</v>
      </c>
      <c r="D939" s="209" t="str">
        <f t="shared" si="1"/>
        <v/>
      </c>
      <c r="E939" s="296" t="str">
        <f t="array" ref="E939">IF(ISNA($AA939),0,INDEX(DECLARATIONS,$AA939,5))</f>
        <v/>
      </c>
      <c r="F939" s="209" t="str">
        <f t="array" ref="F939">IF(ISNA($AA939),0,INDEX(DECLARATIONS,$AA939,7))</f>
        <v/>
      </c>
      <c r="G939" s="209" t="str">
        <f t="array" ref="G939">UPPER(IF(ISNA($AA939),"",INDEX(DECLARATIONS,$AA939,4)))</f>
        <v/>
      </c>
      <c r="H939" t="str">
        <f>IF(AND(A939&gt;0,ISTEXT(B939)),IF(SECNAME="YES",LEFT(B939&amp;" ",FIND(" ",B939&amp;" ")+2)&amp;IF(F939&gt;0," ("&amp;F939&amp;")",""),B939&amp;IF(F939&gt;0," ("&amp;F939&amp;")","")),"#"&amp;$A939)</f>
        <v/>
      </c>
      <c r="I939" s="209">
        <f>IF(LEN($A939)&gt;0,IF(LEN($J939)&gt;0,MATCH(J939,MatchNames,0),EventIndex),0)</f>
        <v>0</v>
      </c>
      <c r="J939" s="209" t="str">
        <f>IF(LEN($A939)&gt;0,IF(LEN(Declarations!$F939)&gt;0,Declarations!$F939,conftype),"")</f>
        <v/>
      </c>
      <c r="M939" s="297">
        <f>IF(ISNA(VLOOKUP($A939,SprintData,2,FALSE)),0,VLOOKUP($A939,SprintData,2,FALSE))</f>
        <v>0</v>
      </c>
      <c r="N939" s="297">
        <f>IF(ISNA(VLOOKUP($A939,JumpData,2,FALSE)),0,VLOOKUP($A939,JumpData,2,FALSE))</f>
        <v>0</v>
      </c>
      <c r="O939" s="297">
        <f>IF(ISNA(VLOOKUP($A939,RunData,2,FALSE)),0,VLOOKUP($A939,RunData,2,FALSE))</f>
        <v>0</v>
      </c>
      <c r="P939" s="297">
        <f>IF(ISNA(VLOOKUP($A939,ThrowData,2,FALSE)),0,VLOOKUP($A939,ThrowData,2,FALSE))</f>
        <v>0</v>
      </c>
      <c r="Q939" s="298">
        <f>IF(ISNA(VLOOKUP($A939,SprintData,4,FALSE)),0,VLOOKUP($A939,SprintData,4,FALSE))+V939</f>
        <v>0</v>
      </c>
      <c r="R939" s="298">
        <f>IF(ISNA(VLOOKUP($A939,JumpData,4,FALSE)),0,VLOOKUP($A939,JumpData,4,FALSE))+W939</f>
        <v>0</v>
      </c>
      <c r="S939" s="298">
        <f>IF(ISNA(VLOOKUP($A939,RunData,4,FALSE)),0,VLOOKUP($A939,RunData,4,FALSE))+X939</f>
        <v>0</v>
      </c>
      <c r="T939" s="298">
        <f>IF(ISNA(VLOOKUP($A939,ThrowData,4,FALSE)),0,VLOOKUP($A939,ThrowData,4,FALSE))+Y939</f>
        <v>0</v>
      </c>
      <c r="U939" s="299">
        <f t="shared" si="2"/>
        <v>0</v>
      </c>
      <c r="V939">
        <f>IF(AND($F939&gt;0,NOT(M939),Flexing),FlexPC,0)</f>
        <v>0</v>
      </c>
      <c r="W939">
        <f>IF(AND($F939&gt;0,NOT(N939),Flexing),FlexPC,0)</f>
        <v>0</v>
      </c>
      <c r="X939">
        <f>IF(AND($F939&gt;0,NOT(O939),Flexing),FlexPC,0)</f>
        <v>0</v>
      </c>
      <c r="Y939">
        <f>IF(AND($F939&gt;0,NOT(P939),Flexing),FlexPC,0)</f>
        <v>0</v>
      </c>
      <c r="AA939" s="209">
        <f t="shared" si="3"/>
        <v>938</v>
      </c>
    </row>
    <row r="940" ht="15.75" customHeight="1">
      <c r="A940" s="206" t="str">
        <f>+Declarations!A940&amp;""</f>
        <v/>
      </c>
      <c r="B940" t="str">
        <f>IF(LEN($A940),IF(LEN(Declarations!$B940)&gt;0,Declarations!$B940,"#"&amp;$A940),"")</f>
        <v/>
      </c>
      <c r="C940" s="209" t="str">
        <f t="array" ref="C940">IF(LEN(INDEX(DECLARATIONS,$AA940,3))&gt;0,INDEX(DECLARATIONS,$AA940,3),"...")</f>
        <v>...</v>
      </c>
      <c r="D940" s="209" t="str">
        <f t="shared" si="1"/>
        <v/>
      </c>
      <c r="E940" s="296" t="str">
        <f t="array" ref="E940">IF(ISNA($AA940),0,INDEX(DECLARATIONS,$AA940,5))</f>
        <v/>
      </c>
      <c r="F940" s="209" t="str">
        <f t="array" ref="F940">IF(ISNA($AA940),0,INDEX(DECLARATIONS,$AA940,7))</f>
        <v/>
      </c>
      <c r="G940" s="209" t="str">
        <f t="array" ref="G940">UPPER(IF(ISNA($AA940),"",INDEX(DECLARATIONS,$AA940,4)))</f>
        <v/>
      </c>
      <c r="H940" t="str">
        <f>IF(AND(A940&gt;0,ISTEXT(B940)),IF(SECNAME="YES",LEFT(B940&amp;" ",FIND(" ",B940&amp;" ")+2)&amp;IF(F940&gt;0," ("&amp;F940&amp;")",""),B940&amp;IF(F940&gt;0," ("&amp;F940&amp;")","")),"#"&amp;$A940)</f>
        <v/>
      </c>
      <c r="I940" s="209">
        <f>IF(LEN($A940)&gt;0,IF(LEN($J940)&gt;0,MATCH(J940,MatchNames,0),EventIndex),0)</f>
        <v>0</v>
      </c>
      <c r="J940" s="209" t="str">
        <f>IF(LEN($A940)&gt;0,IF(LEN(Declarations!$F940)&gt;0,Declarations!$F940,conftype),"")</f>
        <v/>
      </c>
      <c r="M940" s="297">
        <f>IF(ISNA(VLOOKUP($A940,SprintData,2,FALSE)),0,VLOOKUP($A940,SprintData,2,FALSE))</f>
        <v>0</v>
      </c>
      <c r="N940" s="297">
        <f>IF(ISNA(VLOOKUP($A940,JumpData,2,FALSE)),0,VLOOKUP($A940,JumpData,2,FALSE))</f>
        <v>0</v>
      </c>
      <c r="O940" s="297">
        <f>IF(ISNA(VLOOKUP($A940,RunData,2,FALSE)),0,VLOOKUP($A940,RunData,2,FALSE))</f>
        <v>0</v>
      </c>
      <c r="P940" s="297">
        <f>IF(ISNA(VLOOKUP($A940,ThrowData,2,FALSE)),0,VLOOKUP($A940,ThrowData,2,FALSE))</f>
        <v>0</v>
      </c>
      <c r="Q940" s="298">
        <f>IF(ISNA(VLOOKUP($A940,SprintData,4,FALSE)),0,VLOOKUP($A940,SprintData,4,FALSE))+V940</f>
        <v>0</v>
      </c>
      <c r="R940" s="298">
        <f>IF(ISNA(VLOOKUP($A940,JumpData,4,FALSE)),0,VLOOKUP($A940,JumpData,4,FALSE))+W940</f>
        <v>0</v>
      </c>
      <c r="S940" s="298">
        <f>IF(ISNA(VLOOKUP($A940,RunData,4,FALSE)),0,VLOOKUP($A940,RunData,4,FALSE))+X940</f>
        <v>0</v>
      </c>
      <c r="T940" s="298">
        <f>IF(ISNA(VLOOKUP($A940,ThrowData,4,FALSE)),0,VLOOKUP($A940,ThrowData,4,FALSE))+Y940</f>
        <v>0</v>
      </c>
      <c r="U940" s="299">
        <f t="shared" si="2"/>
        <v>0</v>
      </c>
      <c r="V940">
        <f>IF(AND($F940&gt;0,NOT(M940),Flexing),FlexPC,0)</f>
        <v>0</v>
      </c>
      <c r="W940">
        <f>IF(AND($F940&gt;0,NOT(N940),Flexing),FlexPC,0)</f>
        <v>0</v>
      </c>
      <c r="X940">
        <f>IF(AND($F940&gt;0,NOT(O940),Flexing),FlexPC,0)</f>
        <v>0</v>
      </c>
      <c r="Y940">
        <f>IF(AND($F940&gt;0,NOT(P940),Flexing),FlexPC,0)</f>
        <v>0</v>
      </c>
      <c r="AA940" s="209">
        <f t="shared" si="3"/>
        <v>939</v>
      </c>
    </row>
    <row r="941" ht="15.75" customHeight="1">
      <c r="A941" s="206" t="str">
        <f>+Declarations!A941&amp;""</f>
        <v/>
      </c>
      <c r="B941" t="str">
        <f>IF(LEN($A941),IF(LEN(Declarations!$B941)&gt;0,Declarations!$B941,"#"&amp;$A941),"")</f>
        <v/>
      </c>
      <c r="C941" s="209" t="str">
        <f t="array" ref="C941">IF(LEN(INDEX(DECLARATIONS,$AA941,3))&gt;0,INDEX(DECLARATIONS,$AA941,3),"...")</f>
        <v>...</v>
      </c>
      <c r="D941" s="209" t="str">
        <f t="shared" si="1"/>
        <v/>
      </c>
      <c r="E941" s="296" t="str">
        <f t="array" ref="E941">IF(ISNA($AA941),0,INDEX(DECLARATIONS,$AA941,5))</f>
        <v/>
      </c>
      <c r="F941" s="209" t="str">
        <f t="array" ref="F941">IF(ISNA($AA941),0,INDEX(DECLARATIONS,$AA941,7))</f>
        <v/>
      </c>
      <c r="G941" s="209" t="str">
        <f t="array" ref="G941">UPPER(IF(ISNA($AA941),"",INDEX(DECLARATIONS,$AA941,4)))</f>
        <v/>
      </c>
      <c r="H941" t="str">
        <f>IF(AND(A941&gt;0,ISTEXT(B941)),IF(SECNAME="YES",LEFT(B941&amp;" ",FIND(" ",B941&amp;" ")+2)&amp;IF(F941&gt;0," ("&amp;F941&amp;")",""),B941&amp;IF(F941&gt;0," ("&amp;F941&amp;")","")),"#"&amp;$A941)</f>
        <v/>
      </c>
      <c r="I941" s="209">
        <f>IF(LEN($A941)&gt;0,IF(LEN($J941)&gt;0,MATCH(J941,MatchNames,0),EventIndex),0)</f>
        <v>0</v>
      </c>
      <c r="J941" s="209" t="str">
        <f>IF(LEN($A941)&gt;0,IF(LEN(Declarations!$F941)&gt;0,Declarations!$F941,conftype),"")</f>
        <v/>
      </c>
      <c r="M941" s="297">
        <f>IF(ISNA(VLOOKUP($A941,SprintData,2,FALSE)),0,VLOOKUP($A941,SprintData,2,FALSE))</f>
        <v>0</v>
      </c>
      <c r="N941" s="297">
        <f>IF(ISNA(VLOOKUP($A941,JumpData,2,FALSE)),0,VLOOKUP($A941,JumpData,2,FALSE))</f>
        <v>0</v>
      </c>
      <c r="O941" s="297">
        <f>IF(ISNA(VLOOKUP($A941,RunData,2,FALSE)),0,VLOOKUP($A941,RunData,2,FALSE))</f>
        <v>0</v>
      </c>
      <c r="P941" s="297">
        <f>IF(ISNA(VLOOKUP($A941,ThrowData,2,FALSE)),0,VLOOKUP($A941,ThrowData,2,FALSE))</f>
        <v>0</v>
      </c>
      <c r="Q941" s="298">
        <f>IF(ISNA(VLOOKUP($A941,SprintData,4,FALSE)),0,VLOOKUP($A941,SprintData,4,FALSE))+V941</f>
        <v>0</v>
      </c>
      <c r="R941" s="298">
        <f>IF(ISNA(VLOOKUP($A941,JumpData,4,FALSE)),0,VLOOKUP($A941,JumpData,4,FALSE))+W941</f>
        <v>0</v>
      </c>
      <c r="S941" s="298">
        <f>IF(ISNA(VLOOKUP($A941,RunData,4,FALSE)),0,VLOOKUP($A941,RunData,4,FALSE))+X941</f>
        <v>0</v>
      </c>
      <c r="T941" s="298">
        <f>IF(ISNA(VLOOKUP($A941,ThrowData,4,FALSE)),0,VLOOKUP($A941,ThrowData,4,FALSE))+Y941</f>
        <v>0</v>
      </c>
      <c r="U941" s="299">
        <f t="shared" si="2"/>
        <v>0</v>
      </c>
      <c r="V941">
        <f>IF(AND($F941&gt;0,NOT(M941),Flexing),FlexPC,0)</f>
        <v>0</v>
      </c>
      <c r="W941">
        <f>IF(AND($F941&gt;0,NOT(N941),Flexing),FlexPC,0)</f>
        <v>0</v>
      </c>
      <c r="X941">
        <f>IF(AND($F941&gt;0,NOT(O941),Flexing),FlexPC,0)</f>
        <v>0</v>
      </c>
      <c r="Y941">
        <f>IF(AND($F941&gt;0,NOT(P941),Flexing),FlexPC,0)</f>
        <v>0</v>
      </c>
      <c r="AA941" s="209">
        <f t="shared" si="3"/>
        <v>940</v>
      </c>
    </row>
    <row r="942" ht="15.75" customHeight="1">
      <c r="A942" s="206" t="str">
        <f>+Declarations!A942&amp;""</f>
        <v/>
      </c>
      <c r="B942" t="str">
        <f>IF(LEN($A942),IF(LEN(Declarations!$B942)&gt;0,Declarations!$B942,"#"&amp;$A942),"")</f>
        <v/>
      </c>
      <c r="C942" s="209" t="str">
        <f t="array" ref="C942">IF(LEN(INDEX(DECLARATIONS,$AA942,3))&gt;0,INDEX(DECLARATIONS,$AA942,3),"...")</f>
        <v>...</v>
      </c>
      <c r="D942" s="209" t="str">
        <f t="shared" si="1"/>
        <v/>
      </c>
      <c r="E942" s="296" t="str">
        <f t="array" ref="E942">IF(ISNA($AA942),0,INDEX(DECLARATIONS,$AA942,5))</f>
        <v/>
      </c>
      <c r="F942" s="209" t="str">
        <f t="array" ref="F942">IF(ISNA($AA942),0,INDEX(DECLARATIONS,$AA942,7))</f>
        <v/>
      </c>
      <c r="G942" s="209" t="str">
        <f t="array" ref="G942">UPPER(IF(ISNA($AA942),"",INDEX(DECLARATIONS,$AA942,4)))</f>
        <v/>
      </c>
      <c r="H942" t="str">
        <f>IF(AND(A942&gt;0,ISTEXT(B942)),IF(SECNAME="YES",LEFT(B942&amp;" ",FIND(" ",B942&amp;" ")+2)&amp;IF(F942&gt;0," ("&amp;F942&amp;")",""),B942&amp;IF(F942&gt;0," ("&amp;F942&amp;")","")),"#"&amp;$A942)</f>
        <v/>
      </c>
      <c r="I942" s="209">
        <f>IF(LEN($A942)&gt;0,IF(LEN($J942)&gt;0,MATCH(J942,MatchNames,0),EventIndex),0)</f>
        <v>0</v>
      </c>
      <c r="J942" s="209" t="str">
        <f>IF(LEN($A942)&gt;0,IF(LEN(Declarations!$F942)&gt;0,Declarations!$F942,conftype),"")</f>
        <v/>
      </c>
      <c r="M942" s="297">
        <f>IF(ISNA(VLOOKUP($A942,SprintData,2,FALSE)),0,VLOOKUP($A942,SprintData,2,FALSE))</f>
        <v>0</v>
      </c>
      <c r="N942" s="297">
        <f>IF(ISNA(VLOOKUP($A942,JumpData,2,FALSE)),0,VLOOKUP($A942,JumpData,2,FALSE))</f>
        <v>0</v>
      </c>
      <c r="O942" s="297">
        <f>IF(ISNA(VLOOKUP($A942,RunData,2,FALSE)),0,VLOOKUP($A942,RunData,2,FALSE))</f>
        <v>0</v>
      </c>
      <c r="P942" s="297">
        <f>IF(ISNA(VLOOKUP($A942,ThrowData,2,FALSE)),0,VLOOKUP($A942,ThrowData,2,FALSE))</f>
        <v>0</v>
      </c>
      <c r="Q942" s="298">
        <f>IF(ISNA(VLOOKUP($A942,SprintData,4,FALSE)),0,VLOOKUP($A942,SprintData,4,FALSE))+V942</f>
        <v>0</v>
      </c>
      <c r="R942" s="298">
        <f>IF(ISNA(VLOOKUP($A942,JumpData,4,FALSE)),0,VLOOKUP($A942,JumpData,4,FALSE))+W942</f>
        <v>0</v>
      </c>
      <c r="S942" s="298">
        <f>IF(ISNA(VLOOKUP($A942,RunData,4,FALSE)),0,VLOOKUP($A942,RunData,4,FALSE))+X942</f>
        <v>0</v>
      </c>
      <c r="T942" s="298">
        <f>IF(ISNA(VLOOKUP($A942,ThrowData,4,FALSE)),0,VLOOKUP($A942,ThrowData,4,FALSE))+Y942</f>
        <v>0</v>
      </c>
      <c r="U942" s="299">
        <f t="shared" si="2"/>
        <v>0</v>
      </c>
      <c r="V942">
        <f>IF(AND($F942&gt;0,NOT(M942),Flexing),FlexPC,0)</f>
        <v>0</v>
      </c>
      <c r="W942">
        <f>IF(AND($F942&gt;0,NOT(N942),Flexing),FlexPC,0)</f>
        <v>0</v>
      </c>
      <c r="X942">
        <f>IF(AND($F942&gt;0,NOT(O942),Flexing),FlexPC,0)</f>
        <v>0</v>
      </c>
      <c r="Y942">
        <f>IF(AND($F942&gt;0,NOT(P942),Flexing),FlexPC,0)</f>
        <v>0</v>
      </c>
      <c r="AA942" s="209">
        <f t="shared" si="3"/>
        <v>941</v>
      </c>
    </row>
    <row r="943" ht="15.75" customHeight="1">
      <c r="A943" s="206" t="str">
        <f>+Declarations!A943&amp;""</f>
        <v/>
      </c>
      <c r="B943" t="str">
        <f>IF(LEN($A943),IF(LEN(Declarations!$B943)&gt;0,Declarations!$B943,"#"&amp;$A943),"")</f>
        <v/>
      </c>
      <c r="C943" s="209" t="str">
        <f t="array" ref="C943">IF(LEN(INDEX(DECLARATIONS,$AA943,3))&gt;0,INDEX(DECLARATIONS,$AA943,3),"...")</f>
        <v>...</v>
      </c>
      <c r="D943" s="209" t="str">
        <f t="shared" si="1"/>
        <v/>
      </c>
      <c r="E943" s="296" t="str">
        <f t="array" ref="E943">IF(ISNA($AA943),0,INDEX(DECLARATIONS,$AA943,5))</f>
        <v/>
      </c>
      <c r="F943" s="209" t="str">
        <f t="array" ref="F943">IF(ISNA($AA943),0,INDEX(DECLARATIONS,$AA943,7))</f>
        <v/>
      </c>
      <c r="G943" s="209" t="str">
        <f t="array" ref="G943">UPPER(IF(ISNA($AA943),"",INDEX(DECLARATIONS,$AA943,4)))</f>
        <v/>
      </c>
      <c r="H943" t="str">
        <f>IF(AND(A943&gt;0,ISTEXT(B943)),IF(SECNAME="YES",LEFT(B943&amp;" ",FIND(" ",B943&amp;" ")+2)&amp;IF(F943&gt;0," ("&amp;F943&amp;")",""),B943&amp;IF(F943&gt;0," ("&amp;F943&amp;")","")),"#"&amp;$A943)</f>
        <v/>
      </c>
      <c r="I943" s="209">
        <f>IF(LEN($A943)&gt;0,IF(LEN($J943)&gt;0,MATCH(J943,MatchNames,0),EventIndex),0)</f>
        <v>0</v>
      </c>
      <c r="J943" s="209" t="str">
        <f>IF(LEN($A943)&gt;0,IF(LEN(Declarations!$F943)&gt;0,Declarations!$F943,conftype),"")</f>
        <v/>
      </c>
      <c r="M943" s="297">
        <f>IF(ISNA(VLOOKUP($A943,SprintData,2,FALSE)),0,VLOOKUP($A943,SprintData,2,FALSE))</f>
        <v>0</v>
      </c>
      <c r="N943" s="297">
        <f>IF(ISNA(VLOOKUP($A943,JumpData,2,FALSE)),0,VLOOKUP($A943,JumpData,2,FALSE))</f>
        <v>0</v>
      </c>
      <c r="O943" s="297">
        <f>IF(ISNA(VLOOKUP($A943,RunData,2,FALSE)),0,VLOOKUP($A943,RunData,2,FALSE))</f>
        <v>0</v>
      </c>
      <c r="P943" s="297">
        <f>IF(ISNA(VLOOKUP($A943,ThrowData,2,FALSE)),0,VLOOKUP($A943,ThrowData,2,FALSE))</f>
        <v>0</v>
      </c>
      <c r="Q943" s="298">
        <f>IF(ISNA(VLOOKUP($A943,SprintData,4,FALSE)),0,VLOOKUP($A943,SprintData,4,FALSE))+V943</f>
        <v>0</v>
      </c>
      <c r="R943" s="298">
        <f>IF(ISNA(VLOOKUP($A943,JumpData,4,FALSE)),0,VLOOKUP($A943,JumpData,4,FALSE))+W943</f>
        <v>0</v>
      </c>
      <c r="S943" s="298">
        <f>IF(ISNA(VLOOKUP($A943,RunData,4,FALSE)),0,VLOOKUP($A943,RunData,4,FALSE))+X943</f>
        <v>0</v>
      </c>
      <c r="T943" s="298">
        <f>IF(ISNA(VLOOKUP($A943,ThrowData,4,FALSE)),0,VLOOKUP($A943,ThrowData,4,FALSE))+Y943</f>
        <v>0</v>
      </c>
      <c r="U943" s="299">
        <f t="shared" si="2"/>
        <v>0</v>
      </c>
      <c r="V943">
        <f>IF(AND($F943&gt;0,NOT(M943),Flexing),FlexPC,0)</f>
        <v>0</v>
      </c>
      <c r="W943">
        <f>IF(AND($F943&gt;0,NOT(N943),Flexing),FlexPC,0)</f>
        <v>0</v>
      </c>
      <c r="X943">
        <f>IF(AND($F943&gt;0,NOT(O943),Flexing),FlexPC,0)</f>
        <v>0</v>
      </c>
      <c r="Y943">
        <f>IF(AND($F943&gt;0,NOT(P943),Flexing),FlexPC,0)</f>
        <v>0</v>
      </c>
      <c r="AA943" s="209">
        <f t="shared" si="3"/>
        <v>942</v>
      </c>
    </row>
    <row r="944" ht="15.75" customHeight="1">
      <c r="A944" s="206" t="str">
        <f>+Declarations!A944&amp;""</f>
        <v/>
      </c>
      <c r="B944" t="str">
        <f>IF(LEN($A944),IF(LEN(Declarations!$B944)&gt;0,Declarations!$B944,"#"&amp;$A944),"")</f>
        <v/>
      </c>
      <c r="C944" s="209" t="str">
        <f t="array" ref="C944">IF(LEN(INDEX(DECLARATIONS,$AA944,3))&gt;0,INDEX(DECLARATIONS,$AA944,3),"...")</f>
        <v>...</v>
      </c>
      <c r="D944" s="209" t="str">
        <f t="shared" si="1"/>
        <v/>
      </c>
      <c r="E944" s="296" t="str">
        <f t="array" ref="E944">IF(ISNA($AA944),0,INDEX(DECLARATIONS,$AA944,5))</f>
        <v/>
      </c>
      <c r="F944" s="209" t="str">
        <f t="array" ref="F944">IF(ISNA($AA944),0,INDEX(DECLARATIONS,$AA944,7))</f>
        <v/>
      </c>
      <c r="G944" s="209" t="str">
        <f t="array" ref="G944">UPPER(IF(ISNA($AA944),"",INDEX(DECLARATIONS,$AA944,4)))</f>
        <v/>
      </c>
      <c r="H944" t="str">
        <f>IF(AND(A944&gt;0,ISTEXT(B944)),IF(SECNAME="YES",LEFT(B944&amp;" ",FIND(" ",B944&amp;" ")+2)&amp;IF(F944&gt;0," ("&amp;F944&amp;")",""),B944&amp;IF(F944&gt;0," ("&amp;F944&amp;")","")),"#"&amp;$A944)</f>
        <v/>
      </c>
      <c r="I944" s="209">
        <f>IF(LEN($A944)&gt;0,IF(LEN($J944)&gt;0,MATCH(J944,MatchNames,0),EventIndex),0)</f>
        <v>0</v>
      </c>
      <c r="J944" s="209" t="str">
        <f>IF(LEN($A944)&gt;0,IF(LEN(Declarations!$F944)&gt;0,Declarations!$F944,conftype),"")</f>
        <v/>
      </c>
      <c r="M944" s="297">
        <f>IF(ISNA(VLOOKUP($A944,SprintData,2,FALSE)),0,VLOOKUP($A944,SprintData,2,FALSE))</f>
        <v>0</v>
      </c>
      <c r="N944" s="297">
        <f>IF(ISNA(VLOOKUP($A944,JumpData,2,FALSE)),0,VLOOKUP($A944,JumpData,2,FALSE))</f>
        <v>0</v>
      </c>
      <c r="O944" s="297">
        <f>IF(ISNA(VLOOKUP($A944,RunData,2,FALSE)),0,VLOOKUP($A944,RunData,2,FALSE))</f>
        <v>0</v>
      </c>
      <c r="P944" s="297">
        <f>IF(ISNA(VLOOKUP($A944,ThrowData,2,FALSE)),0,VLOOKUP($A944,ThrowData,2,FALSE))</f>
        <v>0</v>
      </c>
      <c r="Q944" s="298">
        <f>IF(ISNA(VLOOKUP($A944,SprintData,4,FALSE)),0,VLOOKUP($A944,SprintData,4,FALSE))+V944</f>
        <v>0</v>
      </c>
      <c r="R944" s="298">
        <f>IF(ISNA(VLOOKUP($A944,JumpData,4,FALSE)),0,VLOOKUP($A944,JumpData,4,FALSE))+W944</f>
        <v>0</v>
      </c>
      <c r="S944" s="298">
        <f>IF(ISNA(VLOOKUP($A944,RunData,4,FALSE)),0,VLOOKUP($A944,RunData,4,FALSE))+X944</f>
        <v>0</v>
      </c>
      <c r="T944" s="298">
        <f>IF(ISNA(VLOOKUP($A944,ThrowData,4,FALSE)),0,VLOOKUP($A944,ThrowData,4,FALSE))+Y944</f>
        <v>0</v>
      </c>
      <c r="U944" s="299">
        <f t="shared" si="2"/>
        <v>0</v>
      </c>
      <c r="V944">
        <f>IF(AND($F944&gt;0,NOT(M944),Flexing),FlexPC,0)</f>
        <v>0</v>
      </c>
      <c r="W944">
        <f>IF(AND($F944&gt;0,NOT(N944),Flexing),FlexPC,0)</f>
        <v>0</v>
      </c>
      <c r="X944">
        <f>IF(AND($F944&gt;0,NOT(O944),Flexing),FlexPC,0)</f>
        <v>0</v>
      </c>
      <c r="Y944">
        <f>IF(AND($F944&gt;0,NOT(P944),Flexing),FlexPC,0)</f>
        <v>0</v>
      </c>
      <c r="AA944" s="209">
        <f t="shared" si="3"/>
        <v>943</v>
      </c>
    </row>
    <row r="945" ht="15.75" customHeight="1">
      <c r="A945" s="206" t="str">
        <f>+Declarations!A945&amp;""</f>
        <v/>
      </c>
      <c r="B945" t="str">
        <f>IF(LEN($A945),IF(LEN(Declarations!$B945)&gt;0,Declarations!$B945,"#"&amp;$A945),"")</f>
        <v/>
      </c>
      <c r="C945" s="209" t="str">
        <f t="array" ref="C945">IF(LEN(INDEX(DECLARATIONS,$AA945,3))&gt;0,INDEX(DECLARATIONS,$AA945,3),"...")</f>
        <v>...</v>
      </c>
      <c r="D945" s="209" t="str">
        <f t="shared" si="1"/>
        <v/>
      </c>
      <c r="E945" s="296" t="str">
        <f t="array" ref="E945">IF(ISNA($AA945),0,INDEX(DECLARATIONS,$AA945,5))</f>
        <v/>
      </c>
      <c r="F945" s="209" t="str">
        <f t="array" ref="F945">IF(ISNA($AA945),0,INDEX(DECLARATIONS,$AA945,7))</f>
        <v/>
      </c>
      <c r="G945" s="209" t="str">
        <f t="array" ref="G945">UPPER(IF(ISNA($AA945),"",INDEX(DECLARATIONS,$AA945,4)))</f>
        <v/>
      </c>
      <c r="H945" t="str">
        <f>IF(AND(A945&gt;0,ISTEXT(B945)),IF(SECNAME="YES",LEFT(B945&amp;" ",FIND(" ",B945&amp;" ")+2)&amp;IF(F945&gt;0," ("&amp;F945&amp;")",""),B945&amp;IF(F945&gt;0," ("&amp;F945&amp;")","")),"#"&amp;$A945)</f>
        <v/>
      </c>
      <c r="I945" s="209">
        <f>IF(LEN($A945)&gt;0,IF(LEN($J945)&gt;0,MATCH(J945,MatchNames,0),EventIndex),0)</f>
        <v>0</v>
      </c>
      <c r="J945" s="209" t="str">
        <f>IF(LEN($A945)&gt;0,IF(LEN(Declarations!$F945)&gt;0,Declarations!$F945,conftype),"")</f>
        <v/>
      </c>
      <c r="M945" s="297">
        <f>IF(ISNA(VLOOKUP($A945,SprintData,2,FALSE)),0,VLOOKUP($A945,SprintData,2,FALSE))</f>
        <v>0</v>
      </c>
      <c r="N945" s="297">
        <f>IF(ISNA(VLOOKUP($A945,JumpData,2,FALSE)),0,VLOOKUP($A945,JumpData,2,FALSE))</f>
        <v>0</v>
      </c>
      <c r="O945" s="297">
        <f>IF(ISNA(VLOOKUP($A945,RunData,2,FALSE)),0,VLOOKUP($A945,RunData,2,FALSE))</f>
        <v>0</v>
      </c>
      <c r="P945" s="297">
        <f>IF(ISNA(VLOOKUP($A945,ThrowData,2,FALSE)),0,VLOOKUP($A945,ThrowData,2,FALSE))</f>
        <v>0</v>
      </c>
      <c r="Q945" s="298">
        <f>IF(ISNA(VLOOKUP($A945,SprintData,4,FALSE)),0,VLOOKUP($A945,SprintData,4,FALSE))+V945</f>
        <v>0</v>
      </c>
      <c r="R945" s="298">
        <f>IF(ISNA(VLOOKUP($A945,JumpData,4,FALSE)),0,VLOOKUP($A945,JumpData,4,FALSE))+W945</f>
        <v>0</v>
      </c>
      <c r="S945" s="298">
        <f>IF(ISNA(VLOOKUP($A945,RunData,4,FALSE)),0,VLOOKUP($A945,RunData,4,FALSE))+X945</f>
        <v>0</v>
      </c>
      <c r="T945" s="298">
        <f>IF(ISNA(VLOOKUP($A945,ThrowData,4,FALSE)),0,VLOOKUP($A945,ThrowData,4,FALSE))+Y945</f>
        <v>0</v>
      </c>
      <c r="U945" s="299">
        <f t="shared" si="2"/>
        <v>0</v>
      </c>
      <c r="V945">
        <f>IF(AND($F945&gt;0,NOT(M945),Flexing),FlexPC,0)</f>
        <v>0</v>
      </c>
      <c r="W945">
        <f>IF(AND($F945&gt;0,NOT(N945),Flexing),FlexPC,0)</f>
        <v>0</v>
      </c>
      <c r="X945">
        <f>IF(AND($F945&gt;0,NOT(O945),Flexing),FlexPC,0)</f>
        <v>0</v>
      </c>
      <c r="Y945">
        <f>IF(AND($F945&gt;0,NOT(P945),Flexing),FlexPC,0)</f>
        <v>0</v>
      </c>
      <c r="AA945" s="209">
        <f t="shared" si="3"/>
        <v>944</v>
      </c>
    </row>
    <row r="946" ht="15.75" customHeight="1">
      <c r="A946" s="206" t="str">
        <f>+Declarations!A946&amp;""</f>
        <v/>
      </c>
      <c r="B946" t="str">
        <f>IF(LEN($A946),IF(LEN(Declarations!$B946)&gt;0,Declarations!$B946,"#"&amp;$A946),"")</f>
        <v/>
      </c>
      <c r="C946" s="209" t="str">
        <f t="array" ref="C946">IF(LEN(INDEX(DECLARATIONS,$AA946,3))&gt;0,INDEX(DECLARATIONS,$AA946,3),"...")</f>
        <v>...</v>
      </c>
      <c r="D946" s="209" t="str">
        <f t="shared" si="1"/>
        <v/>
      </c>
      <c r="E946" s="296" t="str">
        <f t="array" ref="E946">IF(ISNA($AA946),0,INDEX(DECLARATIONS,$AA946,5))</f>
        <v/>
      </c>
      <c r="F946" s="209" t="str">
        <f t="array" ref="F946">IF(ISNA($AA946),0,INDEX(DECLARATIONS,$AA946,7))</f>
        <v/>
      </c>
      <c r="G946" s="209" t="str">
        <f t="array" ref="G946">UPPER(IF(ISNA($AA946),"",INDEX(DECLARATIONS,$AA946,4)))</f>
        <v/>
      </c>
      <c r="H946" t="str">
        <f>IF(AND(A946&gt;0,ISTEXT(B946)),IF(SECNAME="YES",LEFT(B946&amp;" ",FIND(" ",B946&amp;" ")+2)&amp;IF(F946&gt;0," ("&amp;F946&amp;")",""),B946&amp;IF(F946&gt;0," ("&amp;F946&amp;")","")),"#"&amp;$A946)</f>
        <v/>
      </c>
      <c r="I946" s="209">
        <f>IF(LEN($A946)&gt;0,IF(LEN($J946)&gt;0,MATCH(J946,MatchNames,0),EventIndex),0)</f>
        <v>0</v>
      </c>
      <c r="J946" s="209" t="str">
        <f>IF(LEN($A946)&gt;0,IF(LEN(Declarations!$F946)&gt;0,Declarations!$F946,conftype),"")</f>
        <v/>
      </c>
      <c r="M946" s="297">
        <f>IF(ISNA(VLOOKUP($A946,SprintData,2,FALSE)),0,VLOOKUP($A946,SprintData,2,FALSE))</f>
        <v>0</v>
      </c>
      <c r="N946" s="297">
        <f>IF(ISNA(VLOOKUP($A946,JumpData,2,FALSE)),0,VLOOKUP($A946,JumpData,2,FALSE))</f>
        <v>0</v>
      </c>
      <c r="O946" s="297">
        <f>IF(ISNA(VLOOKUP($A946,RunData,2,FALSE)),0,VLOOKUP($A946,RunData,2,FALSE))</f>
        <v>0</v>
      </c>
      <c r="P946" s="297">
        <f>IF(ISNA(VLOOKUP($A946,ThrowData,2,FALSE)),0,VLOOKUP($A946,ThrowData,2,FALSE))</f>
        <v>0</v>
      </c>
      <c r="Q946" s="298">
        <f>IF(ISNA(VLOOKUP($A946,SprintData,4,FALSE)),0,VLOOKUP($A946,SprintData,4,FALSE))+V946</f>
        <v>0</v>
      </c>
      <c r="R946" s="298">
        <f>IF(ISNA(VLOOKUP($A946,JumpData,4,FALSE)),0,VLOOKUP($A946,JumpData,4,FALSE))+W946</f>
        <v>0</v>
      </c>
      <c r="S946" s="298">
        <f>IF(ISNA(VLOOKUP($A946,RunData,4,FALSE)),0,VLOOKUP($A946,RunData,4,FALSE))+X946</f>
        <v>0</v>
      </c>
      <c r="T946" s="298">
        <f>IF(ISNA(VLOOKUP($A946,ThrowData,4,FALSE)),0,VLOOKUP($A946,ThrowData,4,FALSE))+Y946</f>
        <v>0</v>
      </c>
      <c r="U946" s="299">
        <f t="shared" si="2"/>
        <v>0</v>
      </c>
      <c r="V946">
        <f>IF(AND($F946&gt;0,NOT(M946),Flexing),FlexPC,0)</f>
        <v>0</v>
      </c>
      <c r="W946">
        <f>IF(AND($F946&gt;0,NOT(N946),Flexing),FlexPC,0)</f>
        <v>0</v>
      </c>
      <c r="X946">
        <f>IF(AND($F946&gt;0,NOT(O946),Flexing),FlexPC,0)</f>
        <v>0</v>
      </c>
      <c r="Y946">
        <f>IF(AND($F946&gt;0,NOT(P946),Flexing),FlexPC,0)</f>
        <v>0</v>
      </c>
      <c r="AA946" s="209">
        <f t="shared" si="3"/>
        <v>945</v>
      </c>
    </row>
    <row r="947" ht="15.75" customHeight="1">
      <c r="A947" s="206" t="str">
        <f>+Declarations!A947&amp;""</f>
        <v/>
      </c>
      <c r="B947" t="str">
        <f>IF(LEN($A947),IF(LEN(Declarations!$B947)&gt;0,Declarations!$B947,"#"&amp;$A947),"")</f>
        <v/>
      </c>
      <c r="C947" s="209" t="str">
        <f t="array" ref="C947">IF(LEN(INDEX(DECLARATIONS,$AA947,3))&gt;0,INDEX(DECLARATIONS,$AA947,3),"...")</f>
        <v>...</v>
      </c>
      <c r="D947" s="209" t="str">
        <f t="shared" si="1"/>
        <v/>
      </c>
      <c r="E947" s="296" t="str">
        <f t="array" ref="E947">IF(ISNA($AA947),0,INDEX(DECLARATIONS,$AA947,5))</f>
        <v/>
      </c>
      <c r="F947" s="209" t="str">
        <f t="array" ref="F947">IF(ISNA($AA947),0,INDEX(DECLARATIONS,$AA947,7))</f>
        <v/>
      </c>
      <c r="G947" s="209" t="str">
        <f t="array" ref="G947">UPPER(IF(ISNA($AA947),"",INDEX(DECLARATIONS,$AA947,4)))</f>
        <v/>
      </c>
      <c r="H947" t="str">
        <f>IF(AND(A947&gt;0,ISTEXT(B947)),IF(SECNAME="YES",LEFT(B947&amp;" ",FIND(" ",B947&amp;" ")+2)&amp;IF(F947&gt;0," ("&amp;F947&amp;")",""),B947&amp;IF(F947&gt;0," ("&amp;F947&amp;")","")),"#"&amp;$A947)</f>
        <v/>
      </c>
      <c r="I947" s="209">
        <f>IF(LEN($A947)&gt;0,IF(LEN($J947)&gt;0,MATCH(J947,MatchNames,0),EventIndex),0)</f>
        <v>0</v>
      </c>
      <c r="J947" s="209" t="str">
        <f>IF(LEN($A947)&gt;0,IF(LEN(Declarations!$F947)&gt;0,Declarations!$F947,conftype),"")</f>
        <v/>
      </c>
      <c r="M947" s="297">
        <f>IF(ISNA(VLOOKUP($A947,SprintData,2,FALSE)),0,VLOOKUP($A947,SprintData,2,FALSE))</f>
        <v>0</v>
      </c>
      <c r="N947" s="297">
        <f>IF(ISNA(VLOOKUP($A947,JumpData,2,FALSE)),0,VLOOKUP($A947,JumpData,2,FALSE))</f>
        <v>0</v>
      </c>
      <c r="O947" s="297">
        <f>IF(ISNA(VLOOKUP($A947,RunData,2,FALSE)),0,VLOOKUP($A947,RunData,2,FALSE))</f>
        <v>0</v>
      </c>
      <c r="P947" s="297">
        <f>IF(ISNA(VLOOKUP($A947,ThrowData,2,FALSE)),0,VLOOKUP($A947,ThrowData,2,FALSE))</f>
        <v>0</v>
      </c>
      <c r="Q947" s="298">
        <f>IF(ISNA(VLOOKUP($A947,SprintData,4,FALSE)),0,VLOOKUP($A947,SprintData,4,FALSE))+V947</f>
        <v>0</v>
      </c>
      <c r="R947" s="298">
        <f>IF(ISNA(VLOOKUP($A947,JumpData,4,FALSE)),0,VLOOKUP($A947,JumpData,4,FALSE))+W947</f>
        <v>0</v>
      </c>
      <c r="S947" s="298">
        <f>IF(ISNA(VLOOKUP($A947,RunData,4,FALSE)),0,VLOOKUP($A947,RunData,4,FALSE))+X947</f>
        <v>0</v>
      </c>
      <c r="T947" s="298">
        <f>IF(ISNA(VLOOKUP($A947,ThrowData,4,FALSE)),0,VLOOKUP($A947,ThrowData,4,FALSE))+Y947</f>
        <v>0</v>
      </c>
      <c r="U947" s="299">
        <f t="shared" si="2"/>
        <v>0</v>
      </c>
      <c r="V947">
        <f>IF(AND($F947&gt;0,NOT(M947),Flexing),FlexPC,0)</f>
        <v>0</v>
      </c>
      <c r="W947">
        <f>IF(AND($F947&gt;0,NOT(N947),Flexing),FlexPC,0)</f>
        <v>0</v>
      </c>
      <c r="X947">
        <f>IF(AND($F947&gt;0,NOT(O947),Flexing),FlexPC,0)</f>
        <v>0</v>
      </c>
      <c r="Y947">
        <f>IF(AND($F947&gt;0,NOT(P947),Flexing),FlexPC,0)</f>
        <v>0</v>
      </c>
      <c r="AA947" s="209">
        <f t="shared" si="3"/>
        <v>946</v>
      </c>
    </row>
    <row r="948" ht="15.75" customHeight="1">
      <c r="A948" s="206" t="str">
        <f>+Declarations!A948&amp;""</f>
        <v/>
      </c>
      <c r="B948" t="str">
        <f>IF(LEN($A948),IF(LEN(Declarations!$B948)&gt;0,Declarations!$B948,"#"&amp;$A948),"")</f>
        <v/>
      </c>
      <c r="C948" s="209" t="str">
        <f t="array" ref="C948">IF(LEN(INDEX(DECLARATIONS,$AA948,3))&gt;0,INDEX(DECLARATIONS,$AA948,3),"...")</f>
        <v>...</v>
      </c>
      <c r="D948" s="209" t="str">
        <f t="shared" si="1"/>
        <v/>
      </c>
      <c r="E948" s="296" t="str">
        <f t="array" ref="E948">IF(ISNA($AA948),0,INDEX(DECLARATIONS,$AA948,5))</f>
        <v/>
      </c>
      <c r="F948" s="209" t="str">
        <f t="array" ref="F948">IF(ISNA($AA948),0,INDEX(DECLARATIONS,$AA948,7))</f>
        <v/>
      </c>
      <c r="G948" s="209" t="str">
        <f t="array" ref="G948">UPPER(IF(ISNA($AA948),"",INDEX(DECLARATIONS,$AA948,4)))</f>
        <v/>
      </c>
      <c r="H948" t="str">
        <f>IF(AND(A948&gt;0,ISTEXT(B948)),IF(SECNAME="YES",LEFT(B948&amp;" ",FIND(" ",B948&amp;" ")+2)&amp;IF(F948&gt;0," ("&amp;F948&amp;")",""),B948&amp;IF(F948&gt;0," ("&amp;F948&amp;")","")),"#"&amp;$A948)</f>
        <v/>
      </c>
      <c r="I948" s="209">
        <f>IF(LEN($A948)&gt;0,IF(LEN($J948)&gt;0,MATCH(J948,MatchNames,0),EventIndex),0)</f>
        <v>0</v>
      </c>
      <c r="J948" s="209" t="str">
        <f>IF(LEN($A948)&gt;0,IF(LEN(Declarations!$F948)&gt;0,Declarations!$F948,conftype),"")</f>
        <v/>
      </c>
      <c r="M948" s="297">
        <f>IF(ISNA(VLOOKUP($A948,SprintData,2,FALSE)),0,VLOOKUP($A948,SprintData,2,FALSE))</f>
        <v>0</v>
      </c>
      <c r="N948" s="297">
        <f>IF(ISNA(VLOOKUP($A948,JumpData,2,FALSE)),0,VLOOKUP($A948,JumpData,2,FALSE))</f>
        <v>0</v>
      </c>
      <c r="O948" s="297">
        <f>IF(ISNA(VLOOKUP($A948,RunData,2,FALSE)),0,VLOOKUP($A948,RunData,2,FALSE))</f>
        <v>0</v>
      </c>
      <c r="P948" s="297">
        <f>IF(ISNA(VLOOKUP($A948,ThrowData,2,FALSE)),0,VLOOKUP($A948,ThrowData,2,FALSE))</f>
        <v>0</v>
      </c>
      <c r="Q948" s="298">
        <f>IF(ISNA(VLOOKUP($A948,SprintData,4,FALSE)),0,VLOOKUP($A948,SprintData,4,FALSE))+V948</f>
        <v>0</v>
      </c>
      <c r="R948" s="298">
        <f>IF(ISNA(VLOOKUP($A948,JumpData,4,FALSE)),0,VLOOKUP($A948,JumpData,4,FALSE))+W948</f>
        <v>0</v>
      </c>
      <c r="S948" s="298">
        <f>IF(ISNA(VLOOKUP($A948,RunData,4,FALSE)),0,VLOOKUP($A948,RunData,4,FALSE))+X948</f>
        <v>0</v>
      </c>
      <c r="T948" s="298">
        <f>IF(ISNA(VLOOKUP($A948,ThrowData,4,FALSE)),0,VLOOKUP($A948,ThrowData,4,FALSE))+Y948</f>
        <v>0</v>
      </c>
      <c r="U948" s="299">
        <f t="shared" si="2"/>
        <v>0</v>
      </c>
      <c r="V948">
        <f>IF(AND($F948&gt;0,NOT(M948),Flexing),FlexPC,0)</f>
        <v>0</v>
      </c>
      <c r="W948">
        <f>IF(AND($F948&gt;0,NOT(N948),Flexing),FlexPC,0)</f>
        <v>0</v>
      </c>
      <c r="X948">
        <f>IF(AND($F948&gt;0,NOT(O948),Flexing),FlexPC,0)</f>
        <v>0</v>
      </c>
      <c r="Y948">
        <f>IF(AND($F948&gt;0,NOT(P948),Flexing),FlexPC,0)</f>
        <v>0</v>
      </c>
      <c r="AA948" s="209">
        <f t="shared" si="3"/>
        <v>947</v>
      </c>
    </row>
    <row r="949" ht="15.75" customHeight="1">
      <c r="A949" s="206" t="str">
        <f>+Declarations!A949&amp;""</f>
        <v/>
      </c>
      <c r="B949" t="str">
        <f>IF(LEN($A949),IF(LEN(Declarations!$B949)&gt;0,Declarations!$B949,"#"&amp;$A949),"")</f>
        <v/>
      </c>
      <c r="C949" s="209" t="str">
        <f t="array" ref="C949">IF(LEN(INDEX(DECLARATIONS,$AA949,3))&gt;0,INDEX(DECLARATIONS,$AA949,3),"...")</f>
        <v>...</v>
      </c>
      <c r="D949" s="209" t="str">
        <f t="shared" si="1"/>
        <v/>
      </c>
      <c r="E949" s="296" t="str">
        <f t="array" ref="E949">IF(ISNA($AA949),0,INDEX(DECLARATIONS,$AA949,5))</f>
        <v/>
      </c>
      <c r="F949" s="209" t="str">
        <f t="array" ref="F949">IF(ISNA($AA949),0,INDEX(DECLARATIONS,$AA949,7))</f>
        <v/>
      </c>
      <c r="G949" s="209" t="str">
        <f t="array" ref="G949">UPPER(IF(ISNA($AA949),"",INDEX(DECLARATIONS,$AA949,4)))</f>
        <v/>
      </c>
      <c r="H949" t="str">
        <f>IF(AND(A949&gt;0,ISTEXT(B949)),IF(SECNAME="YES",LEFT(B949&amp;" ",FIND(" ",B949&amp;" ")+2)&amp;IF(F949&gt;0," ("&amp;F949&amp;")",""),B949&amp;IF(F949&gt;0," ("&amp;F949&amp;")","")),"#"&amp;$A949)</f>
        <v/>
      </c>
      <c r="I949" s="209">
        <f>IF(LEN($A949)&gt;0,IF(LEN($J949)&gt;0,MATCH(J949,MatchNames,0),EventIndex),0)</f>
        <v>0</v>
      </c>
      <c r="J949" s="209" t="str">
        <f>IF(LEN($A949)&gt;0,IF(LEN(Declarations!$F949)&gt;0,Declarations!$F949,conftype),"")</f>
        <v/>
      </c>
      <c r="M949" s="297">
        <f>IF(ISNA(VLOOKUP($A949,SprintData,2,FALSE)),0,VLOOKUP($A949,SprintData,2,FALSE))</f>
        <v>0</v>
      </c>
      <c r="N949" s="297">
        <f>IF(ISNA(VLOOKUP($A949,JumpData,2,FALSE)),0,VLOOKUP($A949,JumpData,2,FALSE))</f>
        <v>0</v>
      </c>
      <c r="O949" s="297">
        <f>IF(ISNA(VLOOKUP($A949,RunData,2,FALSE)),0,VLOOKUP($A949,RunData,2,FALSE))</f>
        <v>0</v>
      </c>
      <c r="P949" s="297">
        <f>IF(ISNA(VLOOKUP($A949,ThrowData,2,FALSE)),0,VLOOKUP($A949,ThrowData,2,FALSE))</f>
        <v>0</v>
      </c>
      <c r="Q949" s="298">
        <f>IF(ISNA(VLOOKUP($A949,SprintData,4,FALSE)),0,VLOOKUP($A949,SprintData,4,FALSE))+V949</f>
        <v>0</v>
      </c>
      <c r="R949" s="298">
        <f>IF(ISNA(VLOOKUP($A949,JumpData,4,FALSE)),0,VLOOKUP($A949,JumpData,4,FALSE))+W949</f>
        <v>0</v>
      </c>
      <c r="S949" s="298">
        <f>IF(ISNA(VLOOKUP($A949,RunData,4,FALSE)),0,VLOOKUP($A949,RunData,4,FALSE))+X949</f>
        <v>0</v>
      </c>
      <c r="T949" s="298">
        <f>IF(ISNA(VLOOKUP($A949,ThrowData,4,FALSE)),0,VLOOKUP($A949,ThrowData,4,FALSE))+Y949</f>
        <v>0</v>
      </c>
      <c r="U949" s="299">
        <f t="shared" si="2"/>
        <v>0</v>
      </c>
      <c r="V949">
        <f>IF(AND($F949&gt;0,NOT(M949),Flexing),FlexPC,0)</f>
        <v>0</v>
      </c>
      <c r="W949">
        <f>IF(AND($F949&gt;0,NOT(N949),Flexing),FlexPC,0)</f>
        <v>0</v>
      </c>
      <c r="X949">
        <f>IF(AND($F949&gt;0,NOT(O949),Flexing),FlexPC,0)</f>
        <v>0</v>
      </c>
      <c r="Y949">
        <f>IF(AND($F949&gt;0,NOT(P949),Flexing),FlexPC,0)</f>
        <v>0</v>
      </c>
      <c r="AA949" s="209">
        <f t="shared" si="3"/>
        <v>948</v>
      </c>
    </row>
    <row r="950" ht="15.75" customHeight="1">
      <c r="A950" s="206" t="str">
        <f>+Declarations!A950&amp;""</f>
        <v/>
      </c>
      <c r="B950" t="str">
        <f>IF(LEN($A950),IF(LEN(Declarations!$B950)&gt;0,Declarations!$B950,"#"&amp;$A950),"")</f>
        <v/>
      </c>
      <c r="C950" s="209" t="str">
        <f t="array" ref="C950">IF(LEN(INDEX(DECLARATIONS,$AA950,3))&gt;0,INDEX(DECLARATIONS,$AA950,3),"...")</f>
        <v>...</v>
      </c>
      <c r="D950" s="209" t="str">
        <f t="shared" si="1"/>
        <v/>
      </c>
      <c r="E950" s="296" t="str">
        <f t="array" ref="E950">IF(ISNA($AA950),0,INDEX(DECLARATIONS,$AA950,5))</f>
        <v/>
      </c>
      <c r="F950" s="209" t="str">
        <f t="array" ref="F950">IF(ISNA($AA950),0,INDEX(DECLARATIONS,$AA950,7))</f>
        <v/>
      </c>
      <c r="G950" s="209" t="str">
        <f t="array" ref="G950">UPPER(IF(ISNA($AA950),"",INDEX(DECLARATIONS,$AA950,4)))</f>
        <v/>
      </c>
      <c r="H950" t="str">
        <f>IF(AND(A950&gt;0,ISTEXT(B950)),IF(SECNAME="YES",LEFT(B950&amp;" ",FIND(" ",B950&amp;" ")+2)&amp;IF(F950&gt;0," ("&amp;F950&amp;")",""),B950&amp;IF(F950&gt;0," ("&amp;F950&amp;")","")),"#"&amp;$A950)</f>
        <v/>
      </c>
      <c r="I950" s="209">
        <f>IF(LEN($A950)&gt;0,IF(LEN($J950)&gt;0,MATCH(J950,MatchNames,0),EventIndex),0)</f>
        <v>0</v>
      </c>
      <c r="J950" s="209" t="str">
        <f>IF(LEN($A950)&gt;0,IF(LEN(Declarations!$F950)&gt;0,Declarations!$F950,conftype),"")</f>
        <v/>
      </c>
      <c r="M950" s="297">
        <f>IF(ISNA(VLOOKUP($A950,SprintData,2,FALSE)),0,VLOOKUP($A950,SprintData,2,FALSE))</f>
        <v>0</v>
      </c>
      <c r="N950" s="297">
        <f>IF(ISNA(VLOOKUP($A950,JumpData,2,FALSE)),0,VLOOKUP($A950,JumpData,2,FALSE))</f>
        <v>0</v>
      </c>
      <c r="O950" s="297">
        <f>IF(ISNA(VLOOKUP($A950,RunData,2,FALSE)),0,VLOOKUP($A950,RunData,2,FALSE))</f>
        <v>0</v>
      </c>
      <c r="P950" s="297">
        <f>IF(ISNA(VLOOKUP($A950,ThrowData,2,FALSE)),0,VLOOKUP($A950,ThrowData,2,FALSE))</f>
        <v>0</v>
      </c>
      <c r="Q950" s="298">
        <f>IF(ISNA(VLOOKUP($A950,SprintData,4,FALSE)),0,VLOOKUP($A950,SprintData,4,FALSE))+V950</f>
        <v>0</v>
      </c>
      <c r="R950" s="298">
        <f>IF(ISNA(VLOOKUP($A950,JumpData,4,FALSE)),0,VLOOKUP($A950,JumpData,4,FALSE))+W950</f>
        <v>0</v>
      </c>
      <c r="S950" s="298">
        <f>IF(ISNA(VLOOKUP($A950,RunData,4,FALSE)),0,VLOOKUP($A950,RunData,4,FALSE))+X950</f>
        <v>0</v>
      </c>
      <c r="T950" s="298">
        <f>IF(ISNA(VLOOKUP($A950,ThrowData,4,FALSE)),0,VLOOKUP($A950,ThrowData,4,FALSE))+Y950</f>
        <v>0</v>
      </c>
      <c r="U950" s="299">
        <f t="shared" si="2"/>
        <v>0</v>
      </c>
      <c r="V950">
        <f>IF(AND($F950&gt;0,NOT(M950),Flexing),FlexPC,0)</f>
        <v>0</v>
      </c>
      <c r="W950">
        <f>IF(AND($F950&gt;0,NOT(N950),Flexing),FlexPC,0)</f>
        <v>0</v>
      </c>
      <c r="X950">
        <f>IF(AND($F950&gt;0,NOT(O950),Flexing),FlexPC,0)</f>
        <v>0</v>
      </c>
      <c r="Y950">
        <f>IF(AND($F950&gt;0,NOT(P950),Flexing),FlexPC,0)</f>
        <v>0</v>
      </c>
      <c r="AA950" s="209">
        <f t="shared" si="3"/>
        <v>949</v>
      </c>
    </row>
    <row r="951" ht="15.75" customHeight="1">
      <c r="A951" s="206" t="str">
        <f>+Declarations!A951&amp;""</f>
        <v/>
      </c>
      <c r="B951" t="str">
        <f>IF(LEN($A951),IF(LEN(Declarations!$B951)&gt;0,Declarations!$B951,"#"&amp;$A951),"")</f>
        <v/>
      </c>
      <c r="C951" s="209" t="str">
        <f t="array" ref="C951">IF(LEN(INDEX(DECLARATIONS,$AA951,3))&gt;0,INDEX(DECLARATIONS,$AA951,3),"...")</f>
        <v>...</v>
      </c>
      <c r="D951" s="209" t="str">
        <f t="shared" si="1"/>
        <v/>
      </c>
      <c r="E951" s="296" t="str">
        <f t="array" ref="E951">IF(ISNA($AA951),0,INDEX(DECLARATIONS,$AA951,5))</f>
        <v/>
      </c>
      <c r="F951" s="209" t="str">
        <f t="array" ref="F951">IF(ISNA($AA951),0,INDEX(DECLARATIONS,$AA951,7))</f>
        <v/>
      </c>
      <c r="G951" s="209" t="str">
        <f t="array" ref="G951">UPPER(IF(ISNA($AA951),"",INDEX(DECLARATIONS,$AA951,4)))</f>
        <v/>
      </c>
      <c r="H951" t="str">
        <f>IF(AND(A951&gt;0,ISTEXT(B951)),IF(SECNAME="YES",LEFT(B951&amp;" ",FIND(" ",B951&amp;" ")+2)&amp;IF(F951&gt;0," ("&amp;F951&amp;")",""),B951&amp;IF(F951&gt;0," ("&amp;F951&amp;")","")),"#"&amp;$A951)</f>
        <v/>
      </c>
      <c r="I951" s="209">
        <f>IF(LEN($A951)&gt;0,IF(LEN($J951)&gt;0,MATCH(J951,MatchNames,0),EventIndex),0)</f>
        <v>0</v>
      </c>
      <c r="J951" s="209" t="str">
        <f>IF(LEN($A951)&gt;0,IF(LEN(Declarations!$F951)&gt;0,Declarations!$F951,conftype),"")</f>
        <v/>
      </c>
      <c r="M951" s="297">
        <f>IF(ISNA(VLOOKUP($A951,SprintData,2,FALSE)),0,VLOOKUP($A951,SprintData,2,FALSE))</f>
        <v>0</v>
      </c>
      <c r="N951" s="297">
        <f>IF(ISNA(VLOOKUP($A951,JumpData,2,FALSE)),0,VLOOKUP($A951,JumpData,2,FALSE))</f>
        <v>0</v>
      </c>
      <c r="O951" s="297">
        <f>IF(ISNA(VLOOKUP($A951,RunData,2,FALSE)),0,VLOOKUP($A951,RunData,2,FALSE))</f>
        <v>0</v>
      </c>
      <c r="P951" s="297">
        <f>IF(ISNA(VLOOKUP($A951,ThrowData,2,FALSE)),0,VLOOKUP($A951,ThrowData,2,FALSE))</f>
        <v>0</v>
      </c>
      <c r="Q951" s="298">
        <f>IF(ISNA(VLOOKUP($A951,SprintData,4,FALSE)),0,VLOOKUP($A951,SprintData,4,FALSE))+V951</f>
        <v>0</v>
      </c>
      <c r="R951" s="298">
        <f>IF(ISNA(VLOOKUP($A951,JumpData,4,FALSE)),0,VLOOKUP($A951,JumpData,4,FALSE))+W951</f>
        <v>0</v>
      </c>
      <c r="S951" s="298">
        <f>IF(ISNA(VLOOKUP($A951,RunData,4,FALSE)),0,VLOOKUP($A951,RunData,4,FALSE))+X951</f>
        <v>0</v>
      </c>
      <c r="T951" s="298">
        <f>IF(ISNA(VLOOKUP($A951,ThrowData,4,FALSE)),0,VLOOKUP($A951,ThrowData,4,FALSE))+Y951</f>
        <v>0</v>
      </c>
      <c r="U951" s="299">
        <f t="shared" si="2"/>
        <v>0</v>
      </c>
      <c r="V951">
        <f>IF(AND($F951&gt;0,NOT(M951),Flexing),FlexPC,0)</f>
        <v>0</v>
      </c>
      <c r="W951">
        <f>IF(AND($F951&gt;0,NOT(N951),Flexing),FlexPC,0)</f>
        <v>0</v>
      </c>
      <c r="X951">
        <f>IF(AND($F951&gt;0,NOT(O951),Flexing),FlexPC,0)</f>
        <v>0</v>
      </c>
      <c r="Y951">
        <f>IF(AND($F951&gt;0,NOT(P951),Flexing),FlexPC,0)</f>
        <v>0</v>
      </c>
      <c r="AA951" s="209">
        <f t="shared" si="3"/>
        <v>950</v>
      </c>
    </row>
    <row r="952" ht="15.75" customHeight="1">
      <c r="A952" s="206" t="str">
        <f>+Declarations!A952&amp;""</f>
        <v/>
      </c>
      <c r="B952" t="str">
        <f>IF(LEN($A952),IF(LEN(Declarations!$B952)&gt;0,Declarations!$B952,"#"&amp;$A952),"")</f>
        <v/>
      </c>
      <c r="C952" s="209" t="str">
        <f t="array" ref="C952">IF(LEN(INDEX(DECLARATIONS,$AA952,3))&gt;0,INDEX(DECLARATIONS,$AA952,3),"...")</f>
        <v>...</v>
      </c>
      <c r="D952" s="209" t="str">
        <f t="shared" si="1"/>
        <v/>
      </c>
      <c r="E952" s="296" t="str">
        <f t="array" ref="E952">IF(ISNA($AA952),0,INDEX(DECLARATIONS,$AA952,5))</f>
        <v/>
      </c>
      <c r="F952" s="209" t="str">
        <f t="array" ref="F952">IF(ISNA($AA952),0,INDEX(DECLARATIONS,$AA952,7))</f>
        <v/>
      </c>
      <c r="G952" s="209" t="str">
        <f t="array" ref="G952">UPPER(IF(ISNA($AA952),"",INDEX(DECLARATIONS,$AA952,4)))</f>
        <v/>
      </c>
      <c r="H952" t="str">
        <f>IF(AND(A952&gt;0,ISTEXT(B952)),IF(SECNAME="YES",LEFT(B952&amp;" ",FIND(" ",B952&amp;" ")+2)&amp;IF(F952&gt;0," ("&amp;F952&amp;")",""),B952&amp;IF(F952&gt;0," ("&amp;F952&amp;")","")),"#"&amp;$A952)</f>
        <v/>
      </c>
      <c r="I952" s="209">
        <f>IF(LEN($A952)&gt;0,IF(LEN($J952)&gt;0,MATCH(J952,MatchNames,0),EventIndex),0)</f>
        <v>0</v>
      </c>
      <c r="J952" s="209" t="str">
        <f>IF(LEN($A952)&gt;0,IF(LEN(Declarations!$F952)&gt;0,Declarations!$F952,conftype),"")</f>
        <v/>
      </c>
      <c r="M952" s="297">
        <f>IF(ISNA(VLOOKUP($A952,SprintData,2,FALSE)),0,VLOOKUP($A952,SprintData,2,FALSE))</f>
        <v>0</v>
      </c>
      <c r="N952" s="297">
        <f>IF(ISNA(VLOOKUP($A952,JumpData,2,FALSE)),0,VLOOKUP($A952,JumpData,2,FALSE))</f>
        <v>0</v>
      </c>
      <c r="O952" s="297">
        <f>IF(ISNA(VLOOKUP($A952,RunData,2,FALSE)),0,VLOOKUP($A952,RunData,2,FALSE))</f>
        <v>0</v>
      </c>
      <c r="P952" s="297">
        <f>IF(ISNA(VLOOKUP($A952,ThrowData,2,FALSE)),0,VLOOKUP($A952,ThrowData,2,FALSE))</f>
        <v>0</v>
      </c>
      <c r="Q952" s="298">
        <f>IF(ISNA(VLOOKUP($A952,SprintData,4,FALSE)),0,VLOOKUP($A952,SprintData,4,FALSE))+V952</f>
        <v>0</v>
      </c>
      <c r="R952" s="298">
        <f>IF(ISNA(VLOOKUP($A952,JumpData,4,FALSE)),0,VLOOKUP($A952,JumpData,4,FALSE))+W952</f>
        <v>0</v>
      </c>
      <c r="S952" s="298">
        <f>IF(ISNA(VLOOKUP($A952,RunData,4,FALSE)),0,VLOOKUP($A952,RunData,4,FALSE))+X952</f>
        <v>0</v>
      </c>
      <c r="T952" s="298">
        <f>IF(ISNA(VLOOKUP($A952,ThrowData,4,FALSE)),0,VLOOKUP($A952,ThrowData,4,FALSE))+Y952</f>
        <v>0</v>
      </c>
      <c r="U952" s="299">
        <f t="shared" si="2"/>
        <v>0</v>
      </c>
      <c r="V952">
        <f>IF(AND($F952&gt;0,NOT(M952),Flexing),FlexPC,0)</f>
        <v>0</v>
      </c>
      <c r="W952">
        <f>IF(AND($F952&gt;0,NOT(N952),Flexing),FlexPC,0)</f>
        <v>0</v>
      </c>
      <c r="X952">
        <f>IF(AND($F952&gt;0,NOT(O952),Flexing),FlexPC,0)</f>
        <v>0</v>
      </c>
      <c r="Y952">
        <f>IF(AND($F952&gt;0,NOT(P952),Flexing),FlexPC,0)</f>
        <v>0</v>
      </c>
      <c r="AA952" s="209">
        <f t="shared" si="3"/>
        <v>951</v>
      </c>
    </row>
    <row r="953" ht="15.75" customHeight="1">
      <c r="A953" s="206" t="str">
        <f>+Declarations!A953&amp;""</f>
        <v/>
      </c>
      <c r="B953" t="str">
        <f>IF(LEN($A953),IF(LEN(Declarations!$B953)&gt;0,Declarations!$B953,"#"&amp;$A953),"")</f>
        <v/>
      </c>
      <c r="C953" s="209" t="str">
        <f t="array" ref="C953">IF(LEN(INDEX(DECLARATIONS,$AA953,3))&gt;0,INDEX(DECLARATIONS,$AA953,3),"...")</f>
        <v>...</v>
      </c>
      <c r="D953" s="209" t="str">
        <f t="shared" si="1"/>
        <v/>
      </c>
      <c r="E953" s="296" t="str">
        <f t="array" ref="E953">IF(ISNA($AA953),0,INDEX(DECLARATIONS,$AA953,5))</f>
        <v/>
      </c>
      <c r="F953" s="209" t="str">
        <f t="array" ref="F953">IF(ISNA($AA953),0,INDEX(DECLARATIONS,$AA953,7))</f>
        <v/>
      </c>
      <c r="G953" s="209" t="str">
        <f t="array" ref="G953">UPPER(IF(ISNA($AA953),"",INDEX(DECLARATIONS,$AA953,4)))</f>
        <v/>
      </c>
      <c r="H953" t="str">
        <f>IF(AND(A953&gt;0,ISTEXT(B953)),IF(SECNAME="YES",LEFT(B953&amp;" ",FIND(" ",B953&amp;" ")+2)&amp;IF(F953&gt;0," ("&amp;F953&amp;")",""),B953&amp;IF(F953&gt;0," ("&amp;F953&amp;")","")),"#"&amp;$A953)</f>
        <v/>
      </c>
      <c r="I953" s="209">
        <f>IF(LEN($A953)&gt;0,IF(LEN($J953)&gt;0,MATCH(J953,MatchNames,0),EventIndex),0)</f>
        <v>0</v>
      </c>
      <c r="J953" s="209" t="str">
        <f>IF(LEN($A953)&gt;0,IF(LEN(Declarations!$F953)&gt;0,Declarations!$F953,conftype),"")</f>
        <v/>
      </c>
      <c r="M953" s="297">
        <f>IF(ISNA(VLOOKUP($A953,SprintData,2,FALSE)),0,VLOOKUP($A953,SprintData,2,FALSE))</f>
        <v>0</v>
      </c>
      <c r="N953" s="297">
        <f>IF(ISNA(VLOOKUP($A953,JumpData,2,FALSE)),0,VLOOKUP($A953,JumpData,2,FALSE))</f>
        <v>0</v>
      </c>
      <c r="O953" s="297">
        <f>IF(ISNA(VLOOKUP($A953,RunData,2,FALSE)),0,VLOOKUP($A953,RunData,2,FALSE))</f>
        <v>0</v>
      </c>
      <c r="P953" s="297">
        <f>IF(ISNA(VLOOKUP($A953,ThrowData,2,FALSE)),0,VLOOKUP($A953,ThrowData,2,FALSE))</f>
        <v>0</v>
      </c>
      <c r="Q953" s="298">
        <f>IF(ISNA(VLOOKUP($A953,SprintData,4,FALSE)),0,VLOOKUP($A953,SprintData,4,FALSE))+V953</f>
        <v>0</v>
      </c>
      <c r="R953" s="298">
        <f>IF(ISNA(VLOOKUP($A953,JumpData,4,FALSE)),0,VLOOKUP($A953,JumpData,4,FALSE))+W953</f>
        <v>0</v>
      </c>
      <c r="S953" s="298">
        <f>IF(ISNA(VLOOKUP($A953,RunData,4,FALSE)),0,VLOOKUP($A953,RunData,4,FALSE))+X953</f>
        <v>0</v>
      </c>
      <c r="T953" s="298">
        <f>IF(ISNA(VLOOKUP($A953,ThrowData,4,FALSE)),0,VLOOKUP($A953,ThrowData,4,FALSE))+Y953</f>
        <v>0</v>
      </c>
      <c r="U953" s="299">
        <f t="shared" si="2"/>
        <v>0</v>
      </c>
      <c r="V953">
        <f>IF(AND($F953&gt;0,NOT(M953),Flexing),FlexPC,0)</f>
        <v>0</v>
      </c>
      <c r="W953">
        <f>IF(AND($F953&gt;0,NOT(N953),Flexing),FlexPC,0)</f>
        <v>0</v>
      </c>
      <c r="X953">
        <f>IF(AND($F953&gt;0,NOT(O953),Flexing),FlexPC,0)</f>
        <v>0</v>
      </c>
      <c r="Y953">
        <f>IF(AND($F953&gt;0,NOT(P953),Flexing),FlexPC,0)</f>
        <v>0</v>
      </c>
      <c r="AA953" s="209">
        <f t="shared" si="3"/>
        <v>952</v>
      </c>
    </row>
    <row r="954" ht="15.75" customHeight="1">
      <c r="A954" s="206" t="str">
        <f>+Declarations!A954&amp;""</f>
        <v/>
      </c>
      <c r="B954" t="str">
        <f>IF(LEN($A954),IF(LEN(Declarations!$B954)&gt;0,Declarations!$B954,"#"&amp;$A954),"")</f>
        <v/>
      </c>
      <c r="C954" s="209" t="str">
        <f t="array" ref="C954">IF(LEN(INDEX(DECLARATIONS,$AA954,3))&gt;0,INDEX(DECLARATIONS,$AA954,3),"...")</f>
        <v>...</v>
      </c>
      <c r="D954" s="209" t="str">
        <f t="shared" si="1"/>
        <v/>
      </c>
      <c r="E954" s="296" t="str">
        <f t="array" ref="E954">IF(ISNA($AA954),0,INDEX(DECLARATIONS,$AA954,5))</f>
        <v/>
      </c>
      <c r="F954" s="209" t="str">
        <f t="array" ref="F954">IF(ISNA($AA954),0,INDEX(DECLARATIONS,$AA954,7))</f>
        <v/>
      </c>
      <c r="G954" s="209" t="str">
        <f t="array" ref="G954">UPPER(IF(ISNA($AA954),"",INDEX(DECLARATIONS,$AA954,4)))</f>
        <v/>
      </c>
      <c r="H954" t="str">
        <f>IF(AND(A954&gt;0,ISTEXT(B954)),IF(SECNAME="YES",LEFT(B954&amp;" ",FIND(" ",B954&amp;" ")+2)&amp;IF(F954&gt;0," ("&amp;F954&amp;")",""),B954&amp;IF(F954&gt;0," ("&amp;F954&amp;")","")),"#"&amp;$A954)</f>
        <v/>
      </c>
      <c r="I954" s="209">
        <f>IF(LEN($A954)&gt;0,IF(LEN($J954)&gt;0,MATCH(J954,MatchNames,0),EventIndex),0)</f>
        <v>0</v>
      </c>
      <c r="J954" s="209" t="str">
        <f>IF(LEN($A954)&gt;0,IF(LEN(Declarations!$F954)&gt;0,Declarations!$F954,conftype),"")</f>
        <v/>
      </c>
      <c r="M954" s="297">
        <f>IF(ISNA(VLOOKUP($A954,SprintData,2,FALSE)),0,VLOOKUP($A954,SprintData,2,FALSE))</f>
        <v>0</v>
      </c>
      <c r="N954" s="297">
        <f>IF(ISNA(VLOOKUP($A954,JumpData,2,FALSE)),0,VLOOKUP($A954,JumpData,2,FALSE))</f>
        <v>0</v>
      </c>
      <c r="O954" s="297">
        <f>IF(ISNA(VLOOKUP($A954,RunData,2,FALSE)),0,VLOOKUP($A954,RunData,2,FALSE))</f>
        <v>0</v>
      </c>
      <c r="P954" s="297">
        <f>IF(ISNA(VLOOKUP($A954,ThrowData,2,FALSE)),0,VLOOKUP($A954,ThrowData,2,FALSE))</f>
        <v>0</v>
      </c>
      <c r="Q954" s="298">
        <f>IF(ISNA(VLOOKUP($A954,SprintData,4,FALSE)),0,VLOOKUP($A954,SprintData,4,FALSE))+V954</f>
        <v>0</v>
      </c>
      <c r="R954" s="298">
        <f>IF(ISNA(VLOOKUP($A954,JumpData,4,FALSE)),0,VLOOKUP($A954,JumpData,4,FALSE))+W954</f>
        <v>0</v>
      </c>
      <c r="S954" s="298">
        <f>IF(ISNA(VLOOKUP($A954,RunData,4,FALSE)),0,VLOOKUP($A954,RunData,4,FALSE))+X954</f>
        <v>0</v>
      </c>
      <c r="T954" s="298">
        <f>IF(ISNA(VLOOKUP($A954,ThrowData,4,FALSE)),0,VLOOKUP($A954,ThrowData,4,FALSE))+Y954</f>
        <v>0</v>
      </c>
      <c r="U954" s="299">
        <f t="shared" si="2"/>
        <v>0</v>
      </c>
      <c r="V954">
        <f>IF(AND($F954&gt;0,NOT(M954),Flexing),FlexPC,0)</f>
        <v>0</v>
      </c>
      <c r="W954">
        <f>IF(AND($F954&gt;0,NOT(N954),Flexing),FlexPC,0)</f>
        <v>0</v>
      </c>
      <c r="X954">
        <f>IF(AND($F954&gt;0,NOT(O954),Flexing),FlexPC,0)</f>
        <v>0</v>
      </c>
      <c r="Y954">
        <f>IF(AND($F954&gt;0,NOT(P954),Flexing),FlexPC,0)</f>
        <v>0</v>
      </c>
      <c r="AA954" s="209">
        <f t="shared" si="3"/>
        <v>953</v>
      </c>
    </row>
    <row r="955" ht="15.75" customHeight="1">
      <c r="A955" s="206" t="str">
        <f>+Declarations!A955&amp;""</f>
        <v/>
      </c>
      <c r="B955" t="str">
        <f>IF(LEN($A955),IF(LEN(Declarations!$B955)&gt;0,Declarations!$B955,"#"&amp;$A955),"")</f>
        <v/>
      </c>
      <c r="C955" s="209" t="str">
        <f t="array" ref="C955">IF(LEN(INDEX(DECLARATIONS,$AA955,3))&gt;0,INDEX(DECLARATIONS,$AA955,3),"...")</f>
        <v>...</v>
      </c>
      <c r="D955" s="209" t="str">
        <f t="shared" si="1"/>
        <v/>
      </c>
      <c r="E955" s="296" t="str">
        <f t="array" ref="E955">IF(ISNA($AA955),0,INDEX(DECLARATIONS,$AA955,5))</f>
        <v/>
      </c>
      <c r="F955" s="209" t="str">
        <f t="array" ref="F955">IF(ISNA($AA955),0,INDEX(DECLARATIONS,$AA955,7))</f>
        <v/>
      </c>
      <c r="G955" s="209" t="str">
        <f t="array" ref="G955">UPPER(IF(ISNA($AA955),"",INDEX(DECLARATIONS,$AA955,4)))</f>
        <v/>
      </c>
      <c r="H955" t="str">
        <f>IF(AND(A955&gt;0,ISTEXT(B955)),IF(SECNAME="YES",LEFT(B955&amp;" ",FIND(" ",B955&amp;" ")+2)&amp;IF(F955&gt;0," ("&amp;F955&amp;")",""),B955&amp;IF(F955&gt;0," ("&amp;F955&amp;")","")),"#"&amp;$A955)</f>
        <v/>
      </c>
      <c r="I955" s="209">
        <f>IF(LEN($A955)&gt;0,IF(LEN($J955)&gt;0,MATCH(J955,MatchNames,0),EventIndex),0)</f>
        <v>0</v>
      </c>
      <c r="J955" s="209" t="str">
        <f>IF(LEN($A955)&gt;0,IF(LEN(Declarations!$F955)&gt;0,Declarations!$F955,conftype),"")</f>
        <v/>
      </c>
      <c r="M955" s="297">
        <f>IF(ISNA(VLOOKUP($A955,SprintData,2,FALSE)),0,VLOOKUP($A955,SprintData,2,FALSE))</f>
        <v>0</v>
      </c>
      <c r="N955" s="297">
        <f>IF(ISNA(VLOOKUP($A955,JumpData,2,FALSE)),0,VLOOKUP($A955,JumpData,2,FALSE))</f>
        <v>0</v>
      </c>
      <c r="O955" s="297">
        <f>IF(ISNA(VLOOKUP($A955,RunData,2,FALSE)),0,VLOOKUP($A955,RunData,2,FALSE))</f>
        <v>0</v>
      </c>
      <c r="P955" s="297">
        <f>IF(ISNA(VLOOKUP($A955,ThrowData,2,FALSE)),0,VLOOKUP($A955,ThrowData,2,FALSE))</f>
        <v>0</v>
      </c>
      <c r="Q955" s="298">
        <f>IF(ISNA(VLOOKUP($A955,SprintData,4,FALSE)),0,VLOOKUP($A955,SprintData,4,FALSE))+V955</f>
        <v>0</v>
      </c>
      <c r="R955" s="298">
        <f>IF(ISNA(VLOOKUP($A955,JumpData,4,FALSE)),0,VLOOKUP($A955,JumpData,4,FALSE))+W955</f>
        <v>0</v>
      </c>
      <c r="S955" s="298">
        <f>IF(ISNA(VLOOKUP($A955,RunData,4,FALSE)),0,VLOOKUP($A955,RunData,4,FALSE))+X955</f>
        <v>0</v>
      </c>
      <c r="T955" s="298">
        <f>IF(ISNA(VLOOKUP($A955,ThrowData,4,FALSE)),0,VLOOKUP($A955,ThrowData,4,FALSE))+Y955</f>
        <v>0</v>
      </c>
      <c r="U955" s="299">
        <f t="shared" si="2"/>
        <v>0</v>
      </c>
      <c r="V955">
        <f>IF(AND($F955&gt;0,NOT(M955),Flexing),FlexPC,0)</f>
        <v>0</v>
      </c>
      <c r="W955">
        <f>IF(AND($F955&gt;0,NOT(N955),Flexing),FlexPC,0)</f>
        <v>0</v>
      </c>
      <c r="X955">
        <f>IF(AND($F955&gt;0,NOT(O955),Flexing),FlexPC,0)</f>
        <v>0</v>
      </c>
      <c r="Y955">
        <f>IF(AND($F955&gt;0,NOT(P955),Flexing),FlexPC,0)</f>
        <v>0</v>
      </c>
      <c r="AA955" s="209">
        <f t="shared" si="3"/>
        <v>954</v>
      </c>
    </row>
    <row r="956" ht="15.75" customHeight="1">
      <c r="A956" s="206" t="str">
        <f>+Declarations!A956&amp;""</f>
        <v/>
      </c>
      <c r="B956" t="str">
        <f>IF(LEN($A956),IF(LEN(Declarations!$B956)&gt;0,Declarations!$B956,"#"&amp;$A956),"")</f>
        <v/>
      </c>
      <c r="C956" s="209" t="str">
        <f t="array" ref="C956">IF(LEN(INDEX(DECLARATIONS,$AA956,3))&gt;0,INDEX(DECLARATIONS,$AA956,3),"...")</f>
        <v>...</v>
      </c>
      <c r="D956" s="209" t="str">
        <f t="shared" si="1"/>
        <v/>
      </c>
      <c r="E956" s="296" t="str">
        <f t="array" ref="E956">IF(ISNA($AA956),0,INDEX(DECLARATIONS,$AA956,5))</f>
        <v/>
      </c>
      <c r="F956" s="209" t="str">
        <f t="array" ref="F956">IF(ISNA($AA956),0,INDEX(DECLARATIONS,$AA956,7))</f>
        <v/>
      </c>
      <c r="G956" s="209" t="str">
        <f t="array" ref="G956">UPPER(IF(ISNA($AA956),"",INDEX(DECLARATIONS,$AA956,4)))</f>
        <v/>
      </c>
      <c r="H956" t="str">
        <f>IF(AND(A956&gt;0,ISTEXT(B956)),IF(SECNAME="YES",LEFT(B956&amp;" ",FIND(" ",B956&amp;" ")+2)&amp;IF(F956&gt;0," ("&amp;F956&amp;")",""),B956&amp;IF(F956&gt;0," ("&amp;F956&amp;")","")),"#"&amp;$A956)</f>
        <v/>
      </c>
      <c r="I956" s="209">
        <f>IF(LEN($A956)&gt;0,IF(LEN($J956)&gt;0,MATCH(J956,MatchNames,0),EventIndex),0)</f>
        <v>0</v>
      </c>
      <c r="J956" s="209" t="str">
        <f>IF(LEN($A956)&gt;0,IF(LEN(Declarations!$F956)&gt;0,Declarations!$F956,conftype),"")</f>
        <v/>
      </c>
      <c r="M956" s="297">
        <f>IF(ISNA(VLOOKUP($A956,SprintData,2,FALSE)),0,VLOOKUP($A956,SprintData,2,FALSE))</f>
        <v>0</v>
      </c>
      <c r="N956" s="297">
        <f>IF(ISNA(VLOOKUP($A956,JumpData,2,FALSE)),0,VLOOKUP($A956,JumpData,2,FALSE))</f>
        <v>0</v>
      </c>
      <c r="O956" s="297">
        <f>IF(ISNA(VLOOKUP($A956,RunData,2,FALSE)),0,VLOOKUP($A956,RunData,2,FALSE))</f>
        <v>0</v>
      </c>
      <c r="P956" s="297">
        <f>IF(ISNA(VLOOKUP($A956,ThrowData,2,FALSE)),0,VLOOKUP($A956,ThrowData,2,FALSE))</f>
        <v>0</v>
      </c>
      <c r="Q956" s="298">
        <f>IF(ISNA(VLOOKUP($A956,SprintData,4,FALSE)),0,VLOOKUP($A956,SprintData,4,FALSE))+V956</f>
        <v>0</v>
      </c>
      <c r="R956" s="298">
        <f>IF(ISNA(VLOOKUP($A956,JumpData,4,FALSE)),0,VLOOKUP($A956,JumpData,4,FALSE))+W956</f>
        <v>0</v>
      </c>
      <c r="S956" s="298">
        <f>IF(ISNA(VLOOKUP($A956,RunData,4,FALSE)),0,VLOOKUP($A956,RunData,4,FALSE))+X956</f>
        <v>0</v>
      </c>
      <c r="T956" s="298">
        <f>IF(ISNA(VLOOKUP($A956,ThrowData,4,FALSE)),0,VLOOKUP($A956,ThrowData,4,FALSE))+Y956</f>
        <v>0</v>
      </c>
      <c r="U956" s="299">
        <f t="shared" si="2"/>
        <v>0</v>
      </c>
      <c r="V956">
        <f>IF(AND($F956&gt;0,NOT(M956),Flexing),FlexPC,0)</f>
        <v>0</v>
      </c>
      <c r="W956">
        <f>IF(AND($F956&gt;0,NOT(N956),Flexing),FlexPC,0)</f>
        <v>0</v>
      </c>
      <c r="X956">
        <f>IF(AND($F956&gt;0,NOT(O956),Flexing),FlexPC,0)</f>
        <v>0</v>
      </c>
      <c r="Y956">
        <f>IF(AND($F956&gt;0,NOT(P956),Flexing),FlexPC,0)</f>
        <v>0</v>
      </c>
      <c r="AA956" s="209">
        <f t="shared" si="3"/>
        <v>955</v>
      </c>
    </row>
    <row r="957" ht="15.75" customHeight="1">
      <c r="A957" s="206" t="str">
        <f>+Declarations!A957&amp;""</f>
        <v/>
      </c>
      <c r="B957" t="str">
        <f>IF(LEN($A957),IF(LEN(Declarations!$B957)&gt;0,Declarations!$B957,"#"&amp;$A957),"")</f>
        <v/>
      </c>
      <c r="C957" s="209" t="str">
        <f t="array" ref="C957">IF(LEN(INDEX(DECLARATIONS,$AA957,3))&gt;0,INDEX(DECLARATIONS,$AA957,3),"...")</f>
        <v>...</v>
      </c>
      <c r="D957" s="209" t="str">
        <f t="shared" si="1"/>
        <v/>
      </c>
      <c r="E957" s="296" t="str">
        <f t="array" ref="E957">IF(ISNA($AA957),0,INDEX(DECLARATIONS,$AA957,5))</f>
        <v/>
      </c>
      <c r="F957" s="209" t="str">
        <f t="array" ref="F957">IF(ISNA($AA957),0,INDEX(DECLARATIONS,$AA957,7))</f>
        <v/>
      </c>
      <c r="G957" s="209" t="str">
        <f t="array" ref="G957">UPPER(IF(ISNA($AA957),"",INDEX(DECLARATIONS,$AA957,4)))</f>
        <v/>
      </c>
      <c r="H957" t="str">
        <f>IF(AND(A957&gt;0,ISTEXT(B957)),IF(SECNAME="YES",LEFT(B957&amp;" ",FIND(" ",B957&amp;" ")+2)&amp;IF(F957&gt;0," ("&amp;F957&amp;")",""),B957&amp;IF(F957&gt;0," ("&amp;F957&amp;")","")),"#"&amp;$A957)</f>
        <v/>
      </c>
      <c r="I957" s="209">
        <f>IF(LEN($A957)&gt;0,IF(LEN($J957)&gt;0,MATCH(J957,MatchNames,0),EventIndex),0)</f>
        <v>0</v>
      </c>
      <c r="J957" s="209" t="str">
        <f>IF(LEN($A957)&gt;0,IF(LEN(Declarations!$F957)&gt;0,Declarations!$F957,conftype),"")</f>
        <v/>
      </c>
      <c r="M957" s="297">
        <f>IF(ISNA(VLOOKUP($A957,SprintData,2,FALSE)),0,VLOOKUP($A957,SprintData,2,FALSE))</f>
        <v>0</v>
      </c>
      <c r="N957" s="297">
        <f>IF(ISNA(VLOOKUP($A957,JumpData,2,FALSE)),0,VLOOKUP($A957,JumpData,2,FALSE))</f>
        <v>0</v>
      </c>
      <c r="O957" s="297">
        <f>IF(ISNA(VLOOKUP($A957,RunData,2,FALSE)),0,VLOOKUP($A957,RunData,2,FALSE))</f>
        <v>0</v>
      </c>
      <c r="P957" s="297">
        <f>IF(ISNA(VLOOKUP($A957,ThrowData,2,FALSE)),0,VLOOKUP($A957,ThrowData,2,FALSE))</f>
        <v>0</v>
      </c>
      <c r="Q957" s="298">
        <f>IF(ISNA(VLOOKUP($A957,SprintData,4,FALSE)),0,VLOOKUP($A957,SprintData,4,FALSE))+V957</f>
        <v>0</v>
      </c>
      <c r="R957" s="298">
        <f>IF(ISNA(VLOOKUP($A957,JumpData,4,FALSE)),0,VLOOKUP($A957,JumpData,4,FALSE))+W957</f>
        <v>0</v>
      </c>
      <c r="S957" s="298">
        <f>IF(ISNA(VLOOKUP($A957,RunData,4,FALSE)),0,VLOOKUP($A957,RunData,4,FALSE))+X957</f>
        <v>0</v>
      </c>
      <c r="T957" s="298">
        <f>IF(ISNA(VLOOKUP($A957,ThrowData,4,FALSE)),0,VLOOKUP($A957,ThrowData,4,FALSE))+Y957</f>
        <v>0</v>
      </c>
      <c r="U957" s="299">
        <f t="shared" si="2"/>
        <v>0</v>
      </c>
      <c r="V957">
        <f>IF(AND($F957&gt;0,NOT(M957),Flexing),FlexPC,0)</f>
        <v>0</v>
      </c>
      <c r="W957">
        <f>IF(AND($F957&gt;0,NOT(N957),Flexing),FlexPC,0)</f>
        <v>0</v>
      </c>
      <c r="X957">
        <f>IF(AND($F957&gt;0,NOT(O957),Flexing),FlexPC,0)</f>
        <v>0</v>
      </c>
      <c r="Y957">
        <f>IF(AND($F957&gt;0,NOT(P957),Flexing),FlexPC,0)</f>
        <v>0</v>
      </c>
      <c r="AA957" s="209">
        <f t="shared" si="3"/>
        <v>956</v>
      </c>
    </row>
    <row r="958" ht="15.75" customHeight="1">
      <c r="A958" s="206" t="str">
        <f>+Declarations!A958&amp;""</f>
        <v/>
      </c>
      <c r="B958" t="str">
        <f>IF(LEN($A958),IF(LEN(Declarations!$B958)&gt;0,Declarations!$B958,"#"&amp;$A958),"")</f>
        <v/>
      </c>
      <c r="C958" s="209" t="str">
        <f t="array" ref="C958">IF(LEN(INDEX(DECLARATIONS,$AA958,3))&gt;0,INDEX(DECLARATIONS,$AA958,3),"...")</f>
        <v>...</v>
      </c>
      <c r="D958" s="209" t="str">
        <f t="shared" si="1"/>
        <v/>
      </c>
      <c r="E958" s="296" t="str">
        <f t="array" ref="E958">IF(ISNA($AA958),0,INDEX(DECLARATIONS,$AA958,5))</f>
        <v/>
      </c>
      <c r="F958" s="209" t="str">
        <f t="array" ref="F958">IF(ISNA($AA958),0,INDEX(DECLARATIONS,$AA958,7))</f>
        <v/>
      </c>
      <c r="G958" s="209" t="str">
        <f t="array" ref="G958">UPPER(IF(ISNA($AA958),"",INDEX(DECLARATIONS,$AA958,4)))</f>
        <v/>
      </c>
      <c r="H958" t="str">
        <f>IF(AND(A958&gt;0,ISTEXT(B958)),IF(SECNAME="YES",LEFT(B958&amp;" ",FIND(" ",B958&amp;" ")+2)&amp;IF(F958&gt;0," ("&amp;F958&amp;")",""),B958&amp;IF(F958&gt;0," ("&amp;F958&amp;")","")),"#"&amp;$A958)</f>
        <v/>
      </c>
      <c r="I958" s="209">
        <f>IF(LEN($A958)&gt;0,IF(LEN($J958)&gt;0,MATCH(J958,MatchNames,0),EventIndex),0)</f>
        <v>0</v>
      </c>
      <c r="J958" s="209" t="str">
        <f>IF(LEN($A958)&gt;0,IF(LEN(Declarations!$F958)&gt;0,Declarations!$F958,conftype),"")</f>
        <v/>
      </c>
      <c r="M958" s="297">
        <f>IF(ISNA(VLOOKUP($A958,SprintData,2,FALSE)),0,VLOOKUP($A958,SprintData,2,FALSE))</f>
        <v>0</v>
      </c>
      <c r="N958" s="297">
        <f>IF(ISNA(VLOOKUP($A958,JumpData,2,FALSE)),0,VLOOKUP($A958,JumpData,2,FALSE))</f>
        <v>0</v>
      </c>
      <c r="O958" s="297">
        <f>IF(ISNA(VLOOKUP($A958,RunData,2,FALSE)),0,VLOOKUP($A958,RunData,2,FALSE))</f>
        <v>0</v>
      </c>
      <c r="P958" s="297">
        <f>IF(ISNA(VLOOKUP($A958,ThrowData,2,FALSE)),0,VLOOKUP($A958,ThrowData,2,FALSE))</f>
        <v>0</v>
      </c>
      <c r="Q958" s="298">
        <f>IF(ISNA(VLOOKUP($A958,SprintData,4,FALSE)),0,VLOOKUP($A958,SprintData,4,FALSE))+V958</f>
        <v>0</v>
      </c>
      <c r="R958" s="298">
        <f>IF(ISNA(VLOOKUP($A958,JumpData,4,FALSE)),0,VLOOKUP($A958,JumpData,4,FALSE))+W958</f>
        <v>0</v>
      </c>
      <c r="S958" s="298">
        <f>IF(ISNA(VLOOKUP($A958,RunData,4,FALSE)),0,VLOOKUP($A958,RunData,4,FALSE))+X958</f>
        <v>0</v>
      </c>
      <c r="T958" s="298">
        <f>IF(ISNA(VLOOKUP($A958,ThrowData,4,FALSE)),0,VLOOKUP($A958,ThrowData,4,FALSE))+Y958</f>
        <v>0</v>
      </c>
      <c r="U958" s="299">
        <f t="shared" si="2"/>
        <v>0</v>
      </c>
      <c r="V958">
        <f>IF(AND($F958&gt;0,NOT(M958),Flexing),FlexPC,0)</f>
        <v>0</v>
      </c>
      <c r="W958">
        <f>IF(AND($F958&gt;0,NOT(N958),Flexing),FlexPC,0)</f>
        <v>0</v>
      </c>
      <c r="X958">
        <f>IF(AND($F958&gt;0,NOT(O958),Flexing),FlexPC,0)</f>
        <v>0</v>
      </c>
      <c r="Y958">
        <f>IF(AND($F958&gt;0,NOT(P958),Flexing),FlexPC,0)</f>
        <v>0</v>
      </c>
      <c r="AA958" s="209">
        <f t="shared" si="3"/>
        <v>957</v>
      </c>
    </row>
    <row r="959" ht="15.75" customHeight="1">
      <c r="A959" s="206" t="str">
        <f>+Declarations!A959&amp;""</f>
        <v/>
      </c>
      <c r="B959" t="str">
        <f>IF(LEN($A959),IF(LEN(Declarations!$B959)&gt;0,Declarations!$B959,"#"&amp;$A959),"")</f>
        <v/>
      </c>
      <c r="C959" s="209" t="str">
        <f t="array" ref="C959">IF(LEN(INDEX(DECLARATIONS,$AA959,3))&gt;0,INDEX(DECLARATIONS,$AA959,3),"...")</f>
        <v>...</v>
      </c>
      <c r="D959" s="209" t="str">
        <f t="shared" si="1"/>
        <v/>
      </c>
      <c r="E959" s="296" t="str">
        <f t="array" ref="E959">IF(ISNA($AA959),0,INDEX(DECLARATIONS,$AA959,5))</f>
        <v/>
      </c>
      <c r="F959" s="209" t="str">
        <f t="array" ref="F959">IF(ISNA($AA959),0,INDEX(DECLARATIONS,$AA959,7))</f>
        <v/>
      </c>
      <c r="G959" s="209" t="str">
        <f t="array" ref="G959">UPPER(IF(ISNA($AA959),"",INDEX(DECLARATIONS,$AA959,4)))</f>
        <v/>
      </c>
      <c r="H959" t="str">
        <f>IF(AND(A959&gt;0,ISTEXT(B959)),IF(SECNAME="YES",LEFT(B959&amp;" ",FIND(" ",B959&amp;" ")+2)&amp;IF(F959&gt;0," ("&amp;F959&amp;")",""),B959&amp;IF(F959&gt;0," ("&amp;F959&amp;")","")),"#"&amp;$A959)</f>
        <v/>
      </c>
      <c r="I959" s="209">
        <f>IF(LEN($A959)&gt;0,IF(LEN($J959)&gt;0,MATCH(J959,MatchNames,0),EventIndex),0)</f>
        <v>0</v>
      </c>
      <c r="J959" s="209" t="str">
        <f>IF(LEN($A959)&gt;0,IF(LEN(Declarations!$F959)&gt;0,Declarations!$F959,conftype),"")</f>
        <v/>
      </c>
      <c r="M959" s="297">
        <f>IF(ISNA(VLOOKUP($A959,SprintData,2,FALSE)),0,VLOOKUP($A959,SprintData,2,FALSE))</f>
        <v>0</v>
      </c>
      <c r="N959" s="297">
        <f>IF(ISNA(VLOOKUP($A959,JumpData,2,FALSE)),0,VLOOKUP($A959,JumpData,2,FALSE))</f>
        <v>0</v>
      </c>
      <c r="O959" s="297">
        <f>IF(ISNA(VLOOKUP($A959,RunData,2,FALSE)),0,VLOOKUP($A959,RunData,2,FALSE))</f>
        <v>0</v>
      </c>
      <c r="P959" s="297">
        <f>IF(ISNA(VLOOKUP($A959,ThrowData,2,FALSE)),0,VLOOKUP($A959,ThrowData,2,FALSE))</f>
        <v>0</v>
      </c>
      <c r="Q959" s="298">
        <f>IF(ISNA(VLOOKUP($A959,SprintData,4,FALSE)),0,VLOOKUP($A959,SprintData,4,FALSE))+V959</f>
        <v>0</v>
      </c>
      <c r="R959" s="298">
        <f>IF(ISNA(VLOOKUP($A959,JumpData,4,FALSE)),0,VLOOKUP($A959,JumpData,4,FALSE))+W959</f>
        <v>0</v>
      </c>
      <c r="S959" s="298">
        <f>IF(ISNA(VLOOKUP($A959,RunData,4,FALSE)),0,VLOOKUP($A959,RunData,4,FALSE))+X959</f>
        <v>0</v>
      </c>
      <c r="T959" s="298">
        <f>IF(ISNA(VLOOKUP($A959,ThrowData,4,FALSE)),0,VLOOKUP($A959,ThrowData,4,FALSE))+Y959</f>
        <v>0</v>
      </c>
      <c r="U959" s="299">
        <f t="shared" si="2"/>
        <v>0</v>
      </c>
      <c r="V959">
        <f>IF(AND($F959&gt;0,NOT(M959),Flexing),FlexPC,0)</f>
        <v>0</v>
      </c>
      <c r="W959">
        <f>IF(AND($F959&gt;0,NOT(N959),Flexing),FlexPC,0)</f>
        <v>0</v>
      </c>
      <c r="X959">
        <f>IF(AND($F959&gt;0,NOT(O959),Flexing),FlexPC,0)</f>
        <v>0</v>
      </c>
      <c r="Y959">
        <f>IF(AND($F959&gt;0,NOT(P959),Flexing),FlexPC,0)</f>
        <v>0</v>
      </c>
      <c r="AA959" s="209">
        <f t="shared" si="3"/>
        <v>958</v>
      </c>
    </row>
    <row r="960" ht="15.75" customHeight="1">
      <c r="A960" s="206" t="str">
        <f>+Declarations!A960&amp;""</f>
        <v/>
      </c>
      <c r="B960" t="str">
        <f>IF(LEN($A960),IF(LEN(Declarations!$B960)&gt;0,Declarations!$B960,"#"&amp;$A960),"")</f>
        <v/>
      </c>
      <c r="C960" s="209" t="str">
        <f t="array" ref="C960">IF(LEN(INDEX(DECLARATIONS,$AA960,3))&gt;0,INDEX(DECLARATIONS,$AA960,3),"...")</f>
        <v>...</v>
      </c>
      <c r="D960" s="209" t="str">
        <f t="shared" si="1"/>
        <v/>
      </c>
      <c r="E960" s="296" t="str">
        <f t="array" ref="E960">IF(ISNA($AA960),0,INDEX(DECLARATIONS,$AA960,5))</f>
        <v/>
      </c>
      <c r="F960" s="209" t="str">
        <f t="array" ref="F960">IF(ISNA($AA960),0,INDEX(DECLARATIONS,$AA960,7))</f>
        <v/>
      </c>
      <c r="G960" s="209" t="str">
        <f t="array" ref="G960">UPPER(IF(ISNA($AA960),"",INDEX(DECLARATIONS,$AA960,4)))</f>
        <v/>
      </c>
      <c r="H960" t="str">
        <f>IF(AND(A960&gt;0,ISTEXT(B960)),IF(SECNAME="YES",LEFT(B960&amp;" ",FIND(" ",B960&amp;" ")+2)&amp;IF(F960&gt;0," ("&amp;F960&amp;")",""),B960&amp;IF(F960&gt;0," ("&amp;F960&amp;")","")),"#"&amp;$A960)</f>
        <v/>
      </c>
      <c r="I960" s="209">
        <f>IF(LEN($A960)&gt;0,IF(LEN($J960)&gt;0,MATCH(J960,MatchNames,0),EventIndex),0)</f>
        <v>0</v>
      </c>
      <c r="J960" s="209" t="str">
        <f>IF(LEN($A960)&gt;0,IF(LEN(Declarations!$F960)&gt;0,Declarations!$F960,conftype),"")</f>
        <v/>
      </c>
      <c r="M960" s="297">
        <f>IF(ISNA(VLOOKUP($A960,SprintData,2,FALSE)),0,VLOOKUP($A960,SprintData,2,FALSE))</f>
        <v>0</v>
      </c>
      <c r="N960" s="297">
        <f>IF(ISNA(VLOOKUP($A960,JumpData,2,FALSE)),0,VLOOKUP($A960,JumpData,2,FALSE))</f>
        <v>0</v>
      </c>
      <c r="O960" s="297">
        <f>IF(ISNA(VLOOKUP($A960,RunData,2,FALSE)),0,VLOOKUP($A960,RunData,2,FALSE))</f>
        <v>0</v>
      </c>
      <c r="P960" s="297">
        <f>IF(ISNA(VLOOKUP($A960,ThrowData,2,FALSE)),0,VLOOKUP($A960,ThrowData,2,FALSE))</f>
        <v>0</v>
      </c>
      <c r="Q960" s="298">
        <f>IF(ISNA(VLOOKUP($A960,SprintData,4,FALSE)),0,VLOOKUP($A960,SprintData,4,FALSE))+V960</f>
        <v>0</v>
      </c>
      <c r="R960" s="298">
        <f>IF(ISNA(VLOOKUP($A960,JumpData,4,FALSE)),0,VLOOKUP($A960,JumpData,4,FALSE))+W960</f>
        <v>0</v>
      </c>
      <c r="S960" s="298">
        <f>IF(ISNA(VLOOKUP($A960,RunData,4,FALSE)),0,VLOOKUP($A960,RunData,4,FALSE))+X960</f>
        <v>0</v>
      </c>
      <c r="T960" s="298">
        <f>IF(ISNA(VLOOKUP($A960,ThrowData,4,FALSE)),0,VLOOKUP($A960,ThrowData,4,FALSE))+Y960</f>
        <v>0</v>
      </c>
      <c r="U960" s="299">
        <f t="shared" si="2"/>
        <v>0</v>
      </c>
      <c r="V960">
        <f>IF(AND($F960&gt;0,NOT(M960),Flexing),FlexPC,0)</f>
        <v>0</v>
      </c>
      <c r="W960">
        <f>IF(AND($F960&gt;0,NOT(N960),Flexing),FlexPC,0)</f>
        <v>0</v>
      </c>
      <c r="X960">
        <f>IF(AND($F960&gt;0,NOT(O960),Flexing),FlexPC,0)</f>
        <v>0</v>
      </c>
      <c r="Y960">
        <f>IF(AND($F960&gt;0,NOT(P960),Flexing),FlexPC,0)</f>
        <v>0</v>
      </c>
      <c r="AA960" s="209">
        <f t="shared" si="3"/>
        <v>959</v>
      </c>
    </row>
    <row r="961" ht="15.75" customHeight="1">
      <c r="A961" s="206" t="str">
        <f>+Declarations!A961&amp;""</f>
        <v/>
      </c>
      <c r="B961" t="str">
        <f>IF(LEN($A961),IF(LEN(Declarations!$B961)&gt;0,Declarations!$B961,"#"&amp;$A961),"")</f>
        <v/>
      </c>
      <c r="C961" s="209" t="str">
        <f t="array" ref="C961">IF(LEN(INDEX(DECLARATIONS,$AA961,3))&gt;0,INDEX(DECLARATIONS,$AA961,3),"...")</f>
        <v>...</v>
      </c>
      <c r="D961" s="209" t="str">
        <f t="shared" si="1"/>
        <v/>
      </c>
      <c r="E961" s="296" t="str">
        <f t="array" ref="E961">IF(ISNA($AA961),0,INDEX(DECLARATIONS,$AA961,5))</f>
        <v/>
      </c>
      <c r="F961" s="209" t="str">
        <f t="array" ref="F961">IF(ISNA($AA961),0,INDEX(DECLARATIONS,$AA961,7))</f>
        <v/>
      </c>
      <c r="G961" s="209" t="str">
        <f t="array" ref="G961">UPPER(IF(ISNA($AA961),"",INDEX(DECLARATIONS,$AA961,4)))</f>
        <v/>
      </c>
      <c r="H961" t="str">
        <f>IF(AND(A961&gt;0,ISTEXT(B961)),IF(SECNAME="YES",LEFT(B961&amp;" ",FIND(" ",B961&amp;" ")+2)&amp;IF(F961&gt;0," ("&amp;F961&amp;")",""),B961&amp;IF(F961&gt;0," ("&amp;F961&amp;")","")),"#"&amp;$A961)</f>
        <v/>
      </c>
      <c r="I961" s="209">
        <f>IF(LEN($A961)&gt;0,IF(LEN($J961)&gt;0,MATCH(J961,MatchNames,0),EventIndex),0)</f>
        <v>0</v>
      </c>
      <c r="J961" s="209" t="str">
        <f>IF(LEN($A961)&gt;0,IF(LEN(Declarations!$F961)&gt;0,Declarations!$F961,conftype),"")</f>
        <v/>
      </c>
      <c r="M961" s="297">
        <f>IF(ISNA(VLOOKUP($A961,SprintData,2,FALSE)),0,VLOOKUP($A961,SprintData,2,FALSE))</f>
        <v>0</v>
      </c>
      <c r="N961" s="297">
        <f>IF(ISNA(VLOOKUP($A961,JumpData,2,FALSE)),0,VLOOKUP($A961,JumpData,2,FALSE))</f>
        <v>0</v>
      </c>
      <c r="O961" s="297">
        <f>IF(ISNA(VLOOKUP($A961,RunData,2,FALSE)),0,VLOOKUP($A961,RunData,2,FALSE))</f>
        <v>0</v>
      </c>
      <c r="P961" s="297">
        <f>IF(ISNA(VLOOKUP($A961,ThrowData,2,FALSE)),0,VLOOKUP($A961,ThrowData,2,FALSE))</f>
        <v>0</v>
      </c>
      <c r="Q961" s="298">
        <f>IF(ISNA(VLOOKUP($A961,SprintData,4,FALSE)),0,VLOOKUP($A961,SprintData,4,FALSE))+V961</f>
        <v>0</v>
      </c>
      <c r="R961" s="298">
        <f>IF(ISNA(VLOOKUP($A961,JumpData,4,FALSE)),0,VLOOKUP($A961,JumpData,4,FALSE))+W961</f>
        <v>0</v>
      </c>
      <c r="S961" s="298">
        <f>IF(ISNA(VLOOKUP($A961,RunData,4,FALSE)),0,VLOOKUP($A961,RunData,4,FALSE))+X961</f>
        <v>0</v>
      </c>
      <c r="T961" s="298">
        <f>IF(ISNA(VLOOKUP($A961,ThrowData,4,FALSE)),0,VLOOKUP($A961,ThrowData,4,FALSE))+Y961</f>
        <v>0</v>
      </c>
      <c r="U961" s="299">
        <f t="shared" si="2"/>
        <v>0</v>
      </c>
      <c r="V961">
        <f>IF(AND($F961&gt;0,NOT(M961),Flexing),FlexPC,0)</f>
        <v>0</v>
      </c>
      <c r="W961">
        <f>IF(AND($F961&gt;0,NOT(N961),Flexing),FlexPC,0)</f>
        <v>0</v>
      </c>
      <c r="X961">
        <f>IF(AND($F961&gt;0,NOT(O961),Flexing),FlexPC,0)</f>
        <v>0</v>
      </c>
      <c r="Y961">
        <f>IF(AND($F961&gt;0,NOT(P961),Flexing),FlexPC,0)</f>
        <v>0</v>
      </c>
      <c r="AA961" s="209">
        <f t="shared" si="3"/>
        <v>960</v>
      </c>
    </row>
    <row r="962" ht="15.75" customHeight="1">
      <c r="A962" s="206" t="str">
        <f>+Declarations!A962&amp;""</f>
        <v/>
      </c>
      <c r="B962" t="str">
        <f>IF(LEN($A962),IF(LEN(Declarations!$B962)&gt;0,Declarations!$B962,"#"&amp;$A962),"")</f>
        <v/>
      </c>
      <c r="C962" s="209" t="str">
        <f t="array" ref="C962">IF(LEN(INDEX(DECLARATIONS,$AA962,3))&gt;0,INDEX(DECLARATIONS,$AA962,3),"...")</f>
        <v>...</v>
      </c>
      <c r="D962" s="209" t="str">
        <f t="shared" si="1"/>
        <v/>
      </c>
      <c r="E962" s="296" t="str">
        <f t="array" ref="E962">IF(ISNA($AA962),0,INDEX(DECLARATIONS,$AA962,5))</f>
        <v/>
      </c>
      <c r="F962" s="209" t="str">
        <f t="array" ref="F962">IF(ISNA($AA962),0,INDEX(DECLARATIONS,$AA962,7))</f>
        <v/>
      </c>
      <c r="G962" s="209" t="str">
        <f t="array" ref="G962">UPPER(IF(ISNA($AA962),"",INDEX(DECLARATIONS,$AA962,4)))</f>
        <v/>
      </c>
      <c r="H962" t="str">
        <f>IF(AND(A962&gt;0,ISTEXT(B962)),IF(SECNAME="YES",LEFT(B962&amp;" ",FIND(" ",B962&amp;" ")+2)&amp;IF(F962&gt;0," ("&amp;F962&amp;")",""),B962&amp;IF(F962&gt;0," ("&amp;F962&amp;")","")),"#"&amp;$A962)</f>
        <v/>
      </c>
      <c r="I962" s="209">
        <f>IF(LEN($A962)&gt;0,IF(LEN($J962)&gt;0,MATCH(J962,MatchNames,0),EventIndex),0)</f>
        <v>0</v>
      </c>
      <c r="J962" s="209" t="str">
        <f>IF(LEN($A962)&gt;0,IF(LEN(Declarations!$F962)&gt;0,Declarations!$F962,conftype),"")</f>
        <v/>
      </c>
      <c r="M962" s="297">
        <f>IF(ISNA(VLOOKUP($A962,SprintData,2,FALSE)),0,VLOOKUP($A962,SprintData,2,FALSE))</f>
        <v>0</v>
      </c>
      <c r="N962" s="297">
        <f>IF(ISNA(VLOOKUP($A962,JumpData,2,FALSE)),0,VLOOKUP($A962,JumpData,2,FALSE))</f>
        <v>0</v>
      </c>
      <c r="O962" s="297">
        <f>IF(ISNA(VLOOKUP($A962,RunData,2,FALSE)),0,VLOOKUP($A962,RunData,2,FALSE))</f>
        <v>0</v>
      </c>
      <c r="P962" s="297">
        <f>IF(ISNA(VLOOKUP($A962,ThrowData,2,FALSE)),0,VLOOKUP($A962,ThrowData,2,FALSE))</f>
        <v>0</v>
      </c>
      <c r="Q962" s="298">
        <f>IF(ISNA(VLOOKUP($A962,SprintData,4,FALSE)),0,VLOOKUP($A962,SprintData,4,FALSE))+V962</f>
        <v>0</v>
      </c>
      <c r="R962" s="298">
        <f>IF(ISNA(VLOOKUP($A962,JumpData,4,FALSE)),0,VLOOKUP($A962,JumpData,4,FALSE))+W962</f>
        <v>0</v>
      </c>
      <c r="S962" s="298">
        <f>IF(ISNA(VLOOKUP($A962,RunData,4,FALSE)),0,VLOOKUP($A962,RunData,4,FALSE))+X962</f>
        <v>0</v>
      </c>
      <c r="T962" s="298">
        <f>IF(ISNA(VLOOKUP($A962,ThrowData,4,FALSE)),0,VLOOKUP($A962,ThrowData,4,FALSE))+Y962</f>
        <v>0</v>
      </c>
      <c r="U962" s="299">
        <f t="shared" si="2"/>
        <v>0</v>
      </c>
      <c r="V962">
        <f>IF(AND($F962&gt;0,NOT(M962),Flexing),FlexPC,0)</f>
        <v>0</v>
      </c>
      <c r="W962">
        <f>IF(AND($F962&gt;0,NOT(N962),Flexing),FlexPC,0)</f>
        <v>0</v>
      </c>
      <c r="X962">
        <f>IF(AND($F962&gt;0,NOT(O962),Flexing),FlexPC,0)</f>
        <v>0</v>
      </c>
      <c r="Y962">
        <f>IF(AND($F962&gt;0,NOT(P962),Flexing),FlexPC,0)</f>
        <v>0</v>
      </c>
      <c r="AA962" s="209">
        <f t="shared" si="3"/>
        <v>961</v>
      </c>
    </row>
    <row r="963" ht="15.75" customHeight="1">
      <c r="A963" s="206" t="str">
        <f>+Declarations!A963&amp;""</f>
        <v/>
      </c>
      <c r="B963" t="str">
        <f>IF(LEN($A963),IF(LEN(Declarations!$B963)&gt;0,Declarations!$B963,"#"&amp;$A963),"")</f>
        <v/>
      </c>
      <c r="C963" s="209" t="str">
        <f t="array" ref="C963">IF(LEN(INDEX(DECLARATIONS,$AA963,3))&gt;0,INDEX(DECLARATIONS,$AA963,3),"...")</f>
        <v>...</v>
      </c>
      <c r="D963" s="209" t="str">
        <f t="shared" si="1"/>
        <v/>
      </c>
      <c r="E963" s="296" t="str">
        <f t="array" ref="E963">IF(ISNA($AA963),0,INDEX(DECLARATIONS,$AA963,5))</f>
        <v/>
      </c>
      <c r="F963" s="209" t="str">
        <f t="array" ref="F963">IF(ISNA($AA963),0,INDEX(DECLARATIONS,$AA963,7))</f>
        <v/>
      </c>
      <c r="G963" s="209" t="str">
        <f t="array" ref="G963">UPPER(IF(ISNA($AA963),"",INDEX(DECLARATIONS,$AA963,4)))</f>
        <v/>
      </c>
      <c r="H963" t="str">
        <f>IF(AND(A963&gt;0,ISTEXT(B963)),IF(SECNAME="YES",LEFT(B963&amp;" ",FIND(" ",B963&amp;" ")+2)&amp;IF(F963&gt;0," ("&amp;F963&amp;")",""),B963&amp;IF(F963&gt;0," ("&amp;F963&amp;")","")),"#"&amp;$A963)</f>
        <v/>
      </c>
      <c r="I963" s="209">
        <f>IF(LEN($A963)&gt;0,IF(LEN($J963)&gt;0,MATCH(J963,MatchNames,0),EventIndex),0)</f>
        <v>0</v>
      </c>
      <c r="J963" s="209" t="str">
        <f>IF(LEN($A963)&gt;0,IF(LEN(Declarations!$F963)&gt;0,Declarations!$F963,conftype),"")</f>
        <v/>
      </c>
      <c r="M963" s="297">
        <f>IF(ISNA(VLOOKUP($A963,SprintData,2,FALSE)),0,VLOOKUP($A963,SprintData,2,FALSE))</f>
        <v>0</v>
      </c>
      <c r="N963" s="297">
        <f>IF(ISNA(VLOOKUP($A963,JumpData,2,FALSE)),0,VLOOKUP($A963,JumpData,2,FALSE))</f>
        <v>0</v>
      </c>
      <c r="O963" s="297">
        <f>IF(ISNA(VLOOKUP($A963,RunData,2,FALSE)),0,VLOOKUP($A963,RunData,2,FALSE))</f>
        <v>0</v>
      </c>
      <c r="P963" s="297">
        <f>IF(ISNA(VLOOKUP($A963,ThrowData,2,FALSE)),0,VLOOKUP($A963,ThrowData,2,FALSE))</f>
        <v>0</v>
      </c>
      <c r="Q963" s="298">
        <f>IF(ISNA(VLOOKUP($A963,SprintData,4,FALSE)),0,VLOOKUP($A963,SprintData,4,FALSE))+V963</f>
        <v>0</v>
      </c>
      <c r="R963" s="298">
        <f>IF(ISNA(VLOOKUP($A963,JumpData,4,FALSE)),0,VLOOKUP($A963,JumpData,4,FALSE))+W963</f>
        <v>0</v>
      </c>
      <c r="S963" s="298">
        <f>IF(ISNA(VLOOKUP($A963,RunData,4,FALSE)),0,VLOOKUP($A963,RunData,4,FALSE))+X963</f>
        <v>0</v>
      </c>
      <c r="T963" s="298">
        <f>IF(ISNA(VLOOKUP($A963,ThrowData,4,FALSE)),0,VLOOKUP($A963,ThrowData,4,FALSE))+Y963</f>
        <v>0</v>
      </c>
      <c r="U963" s="299">
        <f t="shared" si="2"/>
        <v>0</v>
      </c>
      <c r="V963">
        <f>IF(AND($F963&gt;0,NOT(M963),Flexing),FlexPC,0)</f>
        <v>0</v>
      </c>
      <c r="W963">
        <f>IF(AND($F963&gt;0,NOT(N963),Flexing),FlexPC,0)</f>
        <v>0</v>
      </c>
      <c r="X963">
        <f>IF(AND($F963&gt;0,NOT(O963),Flexing),FlexPC,0)</f>
        <v>0</v>
      </c>
      <c r="Y963">
        <f>IF(AND($F963&gt;0,NOT(P963),Flexing),FlexPC,0)</f>
        <v>0</v>
      </c>
      <c r="AA963" s="209">
        <f t="shared" si="3"/>
        <v>962</v>
      </c>
    </row>
    <row r="964" ht="15.75" customHeight="1">
      <c r="A964" s="206" t="str">
        <f>+Declarations!A964&amp;""</f>
        <v/>
      </c>
      <c r="B964" t="str">
        <f>IF(LEN($A964),IF(LEN(Declarations!$B964)&gt;0,Declarations!$B964,"#"&amp;$A964),"")</f>
        <v/>
      </c>
      <c r="C964" s="209" t="str">
        <f t="array" ref="C964">IF(LEN(INDEX(DECLARATIONS,$AA964,3))&gt;0,INDEX(DECLARATIONS,$AA964,3),"...")</f>
        <v>...</v>
      </c>
      <c r="D964" s="209" t="str">
        <f t="shared" si="1"/>
        <v/>
      </c>
      <c r="E964" s="296" t="str">
        <f t="array" ref="E964">IF(ISNA($AA964),0,INDEX(DECLARATIONS,$AA964,5))</f>
        <v/>
      </c>
      <c r="F964" s="209" t="str">
        <f t="array" ref="F964">IF(ISNA($AA964),0,INDEX(DECLARATIONS,$AA964,7))</f>
        <v/>
      </c>
      <c r="G964" s="209" t="str">
        <f t="array" ref="G964">UPPER(IF(ISNA($AA964),"",INDEX(DECLARATIONS,$AA964,4)))</f>
        <v/>
      </c>
      <c r="H964" t="str">
        <f>IF(AND(A964&gt;0,ISTEXT(B964)),IF(SECNAME="YES",LEFT(B964&amp;" ",FIND(" ",B964&amp;" ")+2)&amp;IF(F964&gt;0," ("&amp;F964&amp;")",""),B964&amp;IF(F964&gt;0," ("&amp;F964&amp;")","")),"#"&amp;$A964)</f>
        <v/>
      </c>
      <c r="I964" s="209">
        <f>IF(LEN($A964)&gt;0,IF(LEN($J964)&gt;0,MATCH(J964,MatchNames,0),EventIndex),0)</f>
        <v>0</v>
      </c>
      <c r="J964" s="209" t="str">
        <f>IF(LEN($A964)&gt;0,IF(LEN(Declarations!$F964)&gt;0,Declarations!$F964,conftype),"")</f>
        <v/>
      </c>
      <c r="M964" s="297">
        <f>IF(ISNA(VLOOKUP($A964,SprintData,2,FALSE)),0,VLOOKUP($A964,SprintData,2,FALSE))</f>
        <v>0</v>
      </c>
      <c r="N964" s="297">
        <f>IF(ISNA(VLOOKUP($A964,JumpData,2,FALSE)),0,VLOOKUP($A964,JumpData,2,FALSE))</f>
        <v>0</v>
      </c>
      <c r="O964" s="297">
        <f>IF(ISNA(VLOOKUP($A964,RunData,2,FALSE)),0,VLOOKUP($A964,RunData,2,FALSE))</f>
        <v>0</v>
      </c>
      <c r="P964" s="297">
        <f>IF(ISNA(VLOOKUP($A964,ThrowData,2,FALSE)),0,VLOOKUP($A964,ThrowData,2,FALSE))</f>
        <v>0</v>
      </c>
      <c r="Q964" s="298">
        <f>IF(ISNA(VLOOKUP($A964,SprintData,4,FALSE)),0,VLOOKUP($A964,SprintData,4,FALSE))+V964</f>
        <v>0</v>
      </c>
      <c r="R964" s="298">
        <f>IF(ISNA(VLOOKUP($A964,JumpData,4,FALSE)),0,VLOOKUP($A964,JumpData,4,FALSE))+W964</f>
        <v>0</v>
      </c>
      <c r="S964" s="298">
        <f>IF(ISNA(VLOOKUP($A964,RunData,4,FALSE)),0,VLOOKUP($A964,RunData,4,FALSE))+X964</f>
        <v>0</v>
      </c>
      <c r="T964" s="298">
        <f>IF(ISNA(VLOOKUP($A964,ThrowData,4,FALSE)),0,VLOOKUP($A964,ThrowData,4,FALSE))+Y964</f>
        <v>0</v>
      </c>
      <c r="U964" s="299">
        <f t="shared" si="2"/>
        <v>0</v>
      </c>
      <c r="V964">
        <f>IF(AND($F964&gt;0,NOT(M964),Flexing),FlexPC,0)</f>
        <v>0</v>
      </c>
      <c r="W964">
        <f>IF(AND($F964&gt;0,NOT(N964),Flexing),FlexPC,0)</f>
        <v>0</v>
      </c>
      <c r="X964">
        <f>IF(AND($F964&gt;0,NOT(O964),Flexing),FlexPC,0)</f>
        <v>0</v>
      </c>
      <c r="Y964">
        <f>IF(AND($F964&gt;0,NOT(P964),Flexing),FlexPC,0)</f>
        <v>0</v>
      </c>
      <c r="AA964" s="209">
        <f t="shared" si="3"/>
        <v>963</v>
      </c>
    </row>
    <row r="965" ht="15.75" customHeight="1">
      <c r="A965" s="206" t="str">
        <f>+Declarations!A965&amp;""</f>
        <v/>
      </c>
      <c r="B965" t="str">
        <f>IF(LEN($A965),IF(LEN(Declarations!$B965)&gt;0,Declarations!$B965,"#"&amp;$A965),"")</f>
        <v/>
      </c>
      <c r="C965" s="209" t="str">
        <f t="array" ref="C965">IF(LEN(INDEX(DECLARATIONS,$AA965,3))&gt;0,INDEX(DECLARATIONS,$AA965,3),"...")</f>
        <v>...</v>
      </c>
      <c r="D965" s="209" t="str">
        <f t="shared" si="1"/>
        <v/>
      </c>
      <c r="E965" s="296" t="str">
        <f t="array" ref="E965">IF(ISNA($AA965),0,INDEX(DECLARATIONS,$AA965,5))</f>
        <v/>
      </c>
      <c r="F965" s="209" t="str">
        <f t="array" ref="F965">IF(ISNA($AA965),0,INDEX(DECLARATIONS,$AA965,7))</f>
        <v/>
      </c>
      <c r="G965" s="209" t="str">
        <f t="array" ref="G965">UPPER(IF(ISNA($AA965),"",INDEX(DECLARATIONS,$AA965,4)))</f>
        <v/>
      </c>
      <c r="H965" t="str">
        <f>IF(AND(A965&gt;0,ISTEXT(B965)),IF(SECNAME="YES",LEFT(B965&amp;" ",FIND(" ",B965&amp;" ")+2)&amp;IF(F965&gt;0," ("&amp;F965&amp;")",""),B965&amp;IF(F965&gt;0," ("&amp;F965&amp;")","")),"#"&amp;$A965)</f>
        <v/>
      </c>
      <c r="I965" s="209">
        <f>IF(LEN($A965)&gt;0,IF(LEN($J965)&gt;0,MATCH(J965,MatchNames,0),EventIndex),0)</f>
        <v>0</v>
      </c>
      <c r="J965" s="209" t="str">
        <f>IF(LEN($A965)&gt;0,IF(LEN(Declarations!$F965)&gt;0,Declarations!$F965,conftype),"")</f>
        <v/>
      </c>
      <c r="M965" s="297">
        <f>IF(ISNA(VLOOKUP($A965,SprintData,2,FALSE)),0,VLOOKUP($A965,SprintData,2,FALSE))</f>
        <v>0</v>
      </c>
      <c r="N965" s="297">
        <f>IF(ISNA(VLOOKUP($A965,JumpData,2,FALSE)),0,VLOOKUP($A965,JumpData,2,FALSE))</f>
        <v>0</v>
      </c>
      <c r="O965" s="297">
        <f>IF(ISNA(VLOOKUP($A965,RunData,2,FALSE)),0,VLOOKUP($A965,RunData,2,FALSE))</f>
        <v>0</v>
      </c>
      <c r="P965" s="297">
        <f>IF(ISNA(VLOOKUP($A965,ThrowData,2,FALSE)),0,VLOOKUP($A965,ThrowData,2,FALSE))</f>
        <v>0</v>
      </c>
      <c r="Q965" s="298">
        <f>IF(ISNA(VLOOKUP($A965,SprintData,4,FALSE)),0,VLOOKUP($A965,SprintData,4,FALSE))+V965</f>
        <v>0</v>
      </c>
      <c r="R965" s="298">
        <f>IF(ISNA(VLOOKUP($A965,JumpData,4,FALSE)),0,VLOOKUP($A965,JumpData,4,FALSE))+W965</f>
        <v>0</v>
      </c>
      <c r="S965" s="298">
        <f>IF(ISNA(VLOOKUP($A965,RunData,4,FALSE)),0,VLOOKUP($A965,RunData,4,FALSE))+X965</f>
        <v>0</v>
      </c>
      <c r="T965" s="298">
        <f>IF(ISNA(VLOOKUP($A965,ThrowData,4,FALSE)),0,VLOOKUP($A965,ThrowData,4,FALSE))+Y965</f>
        <v>0</v>
      </c>
      <c r="U965" s="299">
        <f t="shared" si="2"/>
        <v>0</v>
      </c>
      <c r="V965">
        <f>IF(AND($F965&gt;0,NOT(M965),Flexing),FlexPC,0)</f>
        <v>0</v>
      </c>
      <c r="W965">
        <f>IF(AND($F965&gt;0,NOT(N965),Flexing),FlexPC,0)</f>
        <v>0</v>
      </c>
      <c r="X965">
        <f>IF(AND($F965&gt;0,NOT(O965),Flexing),FlexPC,0)</f>
        <v>0</v>
      </c>
      <c r="Y965">
        <f>IF(AND($F965&gt;0,NOT(P965),Flexing),FlexPC,0)</f>
        <v>0</v>
      </c>
      <c r="AA965" s="209">
        <f t="shared" si="3"/>
        <v>964</v>
      </c>
    </row>
    <row r="966" ht="15.75" customHeight="1">
      <c r="A966" s="206" t="str">
        <f>+Declarations!A966&amp;""</f>
        <v/>
      </c>
      <c r="B966" t="str">
        <f>IF(LEN($A966),IF(LEN(Declarations!$B966)&gt;0,Declarations!$B966,"#"&amp;$A966),"")</f>
        <v/>
      </c>
      <c r="C966" s="209" t="str">
        <f t="array" ref="C966">IF(LEN(INDEX(DECLARATIONS,$AA966,3))&gt;0,INDEX(DECLARATIONS,$AA966,3),"...")</f>
        <v>...</v>
      </c>
      <c r="D966" s="209" t="str">
        <f t="shared" si="1"/>
        <v/>
      </c>
      <c r="E966" s="296" t="str">
        <f t="array" ref="E966">IF(ISNA($AA966),0,INDEX(DECLARATIONS,$AA966,5))</f>
        <v/>
      </c>
      <c r="F966" s="209" t="str">
        <f t="array" ref="F966">IF(ISNA($AA966),0,INDEX(DECLARATIONS,$AA966,7))</f>
        <v/>
      </c>
      <c r="G966" s="209" t="str">
        <f t="array" ref="G966">UPPER(IF(ISNA($AA966),"",INDEX(DECLARATIONS,$AA966,4)))</f>
        <v/>
      </c>
      <c r="H966" t="str">
        <f>IF(AND(A966&gt;0,ISTEXT(B966)),IF(SECNAME="YES",LEFT(B966&amp;" ",FIND(" ",B966&amp;" ")+2)&amp;IF(F966&gt;0," ("&amp;F966&amp;")",""),B966&amp;IF(F966&gt;0," ("&amp;F966&amp;")","")),"#"&amp;$A966)</f>
        <v/>
      </c>
      <c r="I966" s="209">
        <f>IF(LEN($A966)&gt;0,IF(LEN($J966)&gt;0,MATCH(J966,MatchNames,0),EventIndex),0)</f>
        <v>0</v>
      </c>
      <c r="J966" s="209" t="str">
        <f>IF(LEN($A966)&gt;0,IF(LEN(Declarations!$F966)&gt;0,Declarations!$F966,conftype),"")</f>
        <v/>
      </c>
      <c r="M966" s="297">
        <f>IF(ISNA(VLOOKUP($A966,SprintData,2,FALSE)),0,VLOOKUP($A966,SprintData,2,FALSE))</f>
        <v>0</v>
      </c>
      <c r="N966" s="297">
        <f>IF(ISNA(VLOOKUP($A966,JumpData,2,FALSE)),0,VLOOKUP($A966,JumpData,2,FALSE))</f>
        <v>0</v>
      </c>
      <c r="O966" s="297">
        <f>IF(ISNA(VLOOKUP($A966,RunData,2,FALSE)),0,VLOOKUP($A966,RunData,2,FALSE))</f>
        <v>0</v>
      </c>
      <c r="P966" s="297">
        <f>IF(ISNA(VLOOKUP($A966,ThrowData,2,FALSE)),0,VLOOKUP($A966,ThrowData,2,FALSE))</f>
        <v>0</v>
      </c>
      <c r="Q966" s="298">
        <f>IF(ISNA(VLOOKUP($A966,SprintData,4,FALSE)),0,VLOOKUP($A966,SprintData,4,FALSE))+V966</f>
        <v>0</v>
      </c>
      <c r="R966" s="298">
        <f>IF(ISNA(VLOOKUP($A966,JumpData,4,FALSE)),0,VLOOKUP($A966,JumpData,4,FALSE))+W966</f>
        <v>0</v>
      </c>
      <c r="S966" s="298">
        <f>IF(ISNA(VLOOKUP($A966,RunData,4,FALSE)),0,VLOOKUP($A966,RunData,4,FALSE))+X966</f>
        <v>0</v>
      </c>
      <c r="T966" s="298">
        <f>IF(ISNA(VLOOKUP($A966,ThrowData,4,FALSE)),0,VLOOKUP($A966,ThrowData,4,FALSE))+Y966</f>
        <v>0</v>
      </c>
      <c r="U966" s="299">
        <f t="shared" si="2"/>
        <v>0</v>
      </c>
      <c r="V966">
        <f>IF(AND($F966&gt;0,NOT(M966),Flexing),FlexPC,0)</f>
        <v>0</v>
      </c>
      <c r="W966">
        <f>IF(AND($F966&gt;0,NOT(N966),Flexing),FlexPC,0)</f>
        <v>0</v>
      </c>
      <c r="X966">
        <f>IF(AND($F966&gt;0,NOT(O966),Flexing),FlexPC,0)</f>
        <v>0</v>
      </c>
      <c r="Y966">
        <f>IF(AND($F966&gt;0,NOT(P966),Flexing),FlexPC,0)</f>
        <v>0</v>
      </c>
      <c r="AA966" s="209">
        <f t="shared" si="3"/>
        <v>965</v>
      </c>
    </row>
    <row r="967" ht="15.75" customHeight="1">
      <c r="A967" s="206" t="str">
        <f>+Declarations!A967&amp;""</f>
        <v/>
      </c>
      <c r="B967" t="str">
        <f>IF(LEN($A967),IF(LEN(Declarations!$B967)&gt;0,Declarations!$B967,"#"&amp;$A967),"")</f>
        <v/>
      </c>
      <c r="C967" s="209" t="str">
        <f t="array" ref="C967">IF(LEN(INDEX(DECLARATIONS,$AA967,3))&gt;0,INDEX(DECLARATIONS,$AA967,3),"...")</f>
        <v>...</v>
      </c>
      <c r="D967" s="209" t="str">
        <f t="shared" si="1"/>
        <v/>
      </c>
      <c r="E967" s="296" t="str">
        <f t="array" ref="E967">IF(ISNA($AA967),0,INDEX(DECLARATIONS,$AA967,5))</f>
        <v/>
      </c>
      <c r="F967" s="209" t="str">
        <f t="array" ref="F967">IF(ISNA($AA967),0,INDEX(DECLARATIONS,$AA967,7))</f>
        <v/>
      </c>
      <c r="G967" s="209" t="str">
        <f t="array" ref="G967">UPPER(IF(ISNA($AA967),"",INDEX(DECLARATIONS,$AA967,4)))</f>
        <v/>
      </c>
      <c r="H967" t="str">
        <f>IF(AND(A967&gt;0,ISTEXT(B967)),IF(SECNAME="YES",LEFT(B967&amp;" ",FIND(" ",B967&amp;" ")+2)&amp;IF(F967&gt;0," ("&amp;F967&amp;")",""),B967&amp;IF(F967&gt;0," ("&amp;F967&amp;")","")),"#"&amp;$A967)</f>
        <v/>
      </c>
      <c r="I967" s="209">
        <f>IF(LEN($A967)&gt;0,IF(LEN($J967)&gt;0,MATCH(J967,MatchNames,0),EventIndex),0)</f>
        <v>0</v>
      </c>
      <c r="J967" s="209" t="str">
        <f>IF(LEN($A967)&gt;0,IF(LEN(Declarations!$F967)&gt;0,Declarations!$F967,conftype),"")</f>
        <v/>
      </c>
      <c r="M967" s="297">
        <f>IF(ISNA(VLOOKUP($A967,SprintData,2,FALSE)),0,VLOOKUP($A967,SprintData,2,FALSE))</f>
        <v>0</v>
      </c>
      <c r="N967" s="297">
        <f>IF(ISNA(VLOOKUP($A967,JumpData,2,FALSE)),0,VLOOKUP($A967,JumpData,2,FALSE))</f>
        <v>0</v>
      </c>
      <c r="O967" s="297">
        <f>IF(ISNA(VLOOKUP($A967,RunData,2,FALSE)),0,VLOOKUP($A967,RunData,2,FALSE))</f>
        <v>0</v>
      </c>
      <c r="P967" s="297">
        <f>IF(ISNA(VLOOKUP($A967,ThrowData,2,FALSE)),0,VLOOKUP($A967,ThrowData,2,FALSE))</f>
        <v>0</v>
      </c>
      <c r="Q967" s="298">
        <f>IF(ISNA(VLOOKUP($A967,SprintData,4,FALSE)),0,VLOOKUP($A967,SprintData,4,FALSE))+V967</f>
        <v>0</v>
      </c>
      <c r="R967" s="298">
        <f>IF(ISNA(VLOOKUP($A967,JumpData,4,FALSE)),0,VLOOKUP($A967,JumpData,4,FALSE))+W967</f>
        <v>0</v>
      </c>
      <c r="S967" s="298">
        <f>IF(ISNA(VLOOKUP($A967,RunData,4,FALSE)),0,VLOOKUP($A967,RunData,4,FALSE))+X967</f>
        <v>0</v>
      </c>
      <c r="T967" s="298">
        <f>IF(ISNA(VLOOKUP($A967,ThrowData,4,FALSE)),0,VLOOKUP($A967,ThrowData,4,FALSE))+Y967</f>
        <v>0</v>
      </c>
      <c r="U967" s="299">
        <f t="shared" si="2"/>
        <v>0</v>
      </c>
      <c r="V967">
        <f>IF(AND($F967&gt;0,NOT(M967),Flexing),FlexPC,0)</f>
        <v>0</v>
      </c>
      <c r="W967">
        <f>IF(AND($F967&gt;0,NOT(N967),Flexing),FlexPC,0)</f>
        <v>0</v>
      </c>
      <c r="X967">
        <f>IF(AND($F967&gt;0,NOT(O967),Flexing),FlexPC,0)</f>
        <v>0</v>
      </c>
      <c r="Y967">
        <f>IF(AND($F967&gt;0,NOT(P967),Flexing),FlexPC,0)</f>
        <v>0</v>
      </c>
      <c r="AA967" s="209">
        <f t="shared" si="3"/>
        <v>966</v>
      </c>
    </row>
    <row r="968" ht="15.75" customHeight="1">
      <c r="A968" s="206" t="str">
        <f>+Declarations!A968&amp;""</f>
        <v/>
      </c>
      <c r="B968" t="str">
        <f>IF(LEN($A968),IF(LEN(Declarations!$B968)&gt;0,Declarations!$B968,"#"&amp;$A968),"")</f>
        <v/>
      </c>
      <c r="C968" s="209" t="str">
        <f t="array" ref="C968">IF(LEN(INDEX(DECLARATIONS,$AA968,3))&gt;0,INDEX(DECLARATIONS,$AA968,3),"...")</f>
        <v>...</v>
      </c>
      <c r="D968" s="209" t="str">
        <f t="shared" si="1"/>
        <v/>
      </c>
      <c r="E968" s="296" t="str">
        <f t="array" ref="E968">IF(ISNA($AA968),0,INDEX(DECLARATIONS,$AA968,5))</f>
        <v/>
      </c>
      <c r="F968" s="209" t="str">
        <f t="array" ref="F968">IF(ISNA($AA968),0,INDEX(DECLARATIONS,$AA968,7))</f>
        <v/>
      </c>
      <c r="G968" s="209" t="str">
        <f t="array" ref="G968">UPPER(IF(ISNA($AA968),"",INDEX(DECLARATIONS,$AA968,4)))</f>
        <v/>
      </c>
      <c r="H968" t="str">
        <f>IF(AND(A968&gt;0,ISTEXT(B968)),IF(SECNAME="YES",LEFT(B968&amp;" ",FIND(" ",B968&amp;" ")+2)&amp;IF(F968&gt;0," ("&amp;F968&amp;")",""),B968&amp;IF(F968&gt;0," ("&amp;F968&amp;")","")),"#"&amp;$A968)</f>
        <v/>
      </c>
      <c r="I968" s="209">
        <f>IF(LEN($A968)&gt;0,IF(LEN($J968)&gt;0,MATCH(J968,MatchNames,0),EventIndex),0)</f>
        <v>0</v>
      </c>
      <c r="J968" s="209" t="str">
        <f>IF(LEN($A968)&gt;0,IF(LEN(Declarations!$F968)&gt;0,Declarations!$F968,conftype),"")</f>
        <v/>
      </c>
      <c r="M968" s="297">
        <f>IF(ISNA(VLOOKUP($A968,SprintData,2,FALSE)),0,VLOOKUP($A968,SprintData,2,FALSE))</f>
        <v>0</v>
      </c>
      <c r="N968" s="297">
        <f>IF(ISNA(VLOOKUP($A968,JumpData,2,FALSE)),0,VLOOKUP($A968,JumpData,2,FALSE))</f>
        <v>0</v>
      </c>
      <c r="O968" s="297">
        <f>IF(ISNA(VLOOKUP($A968,RunData,2,FALSE)),0,VLOOKUP($A968,RunData,2,FALSE))</f>
        <v>0</v>
      </c>
      <c r="P968" s="297">
        <f>IF(ISNA(VLOOKUP($A968,ThrowData,2,FALSE)),0,VLOOKUP($A968,ThrowData,2,FALSE))</f>
        <v>0</v>
      </c>
      <c r="Q968" s="298">
        <f>IF(ISNA(VLOOKUP($A968,SprintData,4,FALSE)),0,VLOOKUP($A968,SprintData,4,FALSE))+V968</f>
        <v>0</v>
      </c>
      <c r="R968" s="298">
        <f>IF(ISNA(VLOOKUP($A968,JumpData,4,FALSE)),0,VLOOKUP($A968,JumpData,4,FALSE))+W968</f>
        <v>0</v>
      </c>
      <c r="S968" s="298">
        <f>IF(ISNA(VLOOKUP($A968,RunData,4,FALSE)),0,VLOOKUP($A968,RunData,4,FALSE))+X968</f>
        <v>0</v>
      </c>
      <c r="T968" s="298">
        <f>IF(ISNA(VLOOKUP($A968,ThrowData,4,FALSE)),0,VLOOKUP($A968,ThrowData,4,FALSE))+Y968</f>
        <v>0</v>
      </c>
      <c r="U968" s="299">
        <f t="shared" si="2"/>
        <v>0</v>
      </c>
      <c r="V968">
        <f>IF(AND($F968&gt;0,NOT(M968),Flexing),FlexPC,0)</f>
        <v>0</v>
      </c>
      <c r="W968">
        <f>IF(AND($F968&gt;0,NOT(N968),Flexing),FlexPC,0)</f>
        <v>0</v>
      </c>
      <c r="X968">
        <f>IF(AND($F968&gt;0,NOT(O968),Flexing),FlexPC,0)</f>
        <v>0</v>
      </c>
      <c r="Y968">
        <f>IF(AND($F968&gt;0,NOT(P968),Flexing),FlexPC,0)</f>
        <v>0</v>
      </c>
      <c r="AA968" s="209">
        <f t="shared" si="3"/>
        <v>967</v>
      </c>
    </row>
    <row r="969" ht="15.75" customHeight="1">
      <c r="A969" s="206" t="str">
        <f>+Declarations!A969&amp;""</f>
        <v/>
      </c>
      <c r="B969" t="str">
        <f>IF(LEN($A969),IF(LEN(Declarations!$B969)&gt;0,Declarations!$B969,"#"&amp;$A969),"")</f>
        <v/>
      </c>
      <c r="C969" s="209" t="str">
        <f t="array" ref="C969">IF(LEN(INDEX(DECLARATIONS,$AA969,3))&gt;0,INDEX(DECLARATIONS,$AA969,3),"...")</f>
        <v>...</v>
      </c>
      <c r="D969" s="209" t="str">
        <f t="shared" si="1"/>
        <v/>
      </c>
      <c r="E969" s="296" t="str">
        <f t="array" ref="E969">IF(ISNA($AA969),0,INDEX(DECLARATIONS,$AA969,5))</f>
        <v/>
      </c>
      <c r="F969" s="209" t="str">
        <f t="array" ref="F969">IF(ISNA($AA969),0,INDEX(DECLARATIONS,$AA969,7))</f>
        <v/>
      </c>
      <c r="G969" s="209" t="str">
        <f t="array" ref="G969">UPPER(IF(ISNA($AA969),"",INDEX(DECLARATIONS,$AA969,4)))</f>
        <v/>
      </c>
      <c r="H969" t="str">
        <f>IF(AND(A969&gt;0,ISTEXT(B969)),IF(SECNAME="YES",LEFT(B969&amp;" ",FIND(" ",B969&amp;" ")+2)&amp;IF(F969&gt;0," ("&amp;F969&amp;")",""),B969&amp;IF(F969&gt;0," ("&amp;F969&amp;")","")),"#"&amp;$A969)</f>
        <v/>
      </c>
      <c r="I969" s="209">
        <f>IF(LEN($A969)&gt;0,IF(LEN($J969)&gt;0,MATCH(J969,MatchNames,0),EventIndex),0)</f>
        <v>0</v>
      </c>
      <c r="J969" s="209" t="str">
        <f>IF(LEN($A969)&gt;0,IF(LEN(Declarations!$F969)&gt;0,Declarations!$F969,conftype),"")</f>
        <v/>
      </c>
      <c r="M969" s="297">
        <f>IF(ISNA(VLOOKUP($A969,SprintData,2,FALSE)),0,VLOOKUP($A969,SprintData,2,FALSE))</f>
        <v>0</v>
      </c>
      <c r="N969" s="297">
        <f>IF(ISNA(VLOOKUP($A969,JumpData,2,FALSE)),0,VLOOKUP($A969,JumpData,2,FALSE))</f>
        <v>0</v>
      </c>
      <c r="O969" s="297">
        <f>IF(ISNA(VLOOKUP($A969,RunData,2,FALSE)),0,VLOOKUP($A969,RunData,2,FALSE))</f>
        <v>0</v>
      </c>
      <c r="P969" s="297">
        <f>IF(ISNA(VLOOKUP($A969,ThrowData,2,FALSE)),0,VLOOKUP($A969,ThrowData,2,FALSE))</f>
        <v>0</v>
      </c>
      <c r="Q969" s="298">
        <f>IF(ISNA(VLOOKUP($A969,SprintData,4,FALSE)),0,VLOOKUP($A969,SprintData,4,FALSE))+V969</f>
        <v>0</v>
      </c>
      <c r="R969" s="298">
        <f>IF(ISNA(VLOOKUP($A969,JumpData,4,FALSE)),0,VLOOKUP($A969,JumpData,4,FALSE))+W969</f>
        <v>0</v>
      </c>
      <c r="S969" s="298">
        <f>IF(ISNA(VLOOKUP($A969,RunData,4,FALSE)),0,VLOOKUP($A969,RunData,4,FALSE))+X969</f>
        <v>0</v>
      </c>
      <c r="T969" s="298">
        <f>IF(ISNA(VLOOKUP($A969,ThrowData,4,FALSE)),0,VLOOKUP($A969,ThrowData,4,FALSE))+Y969</f>
        <v>0</v>
      </c>
      <c r="U969" s="299">
        <f t="shared" si="2"/>
        <v>0</v>
      </c>
      <c r="V969">
        <f>IF(AND($F969&gt;0,NOT(M969),Flexing),FlexPC,0)</f>
        <v>0</v>
      </c>
      <c r="W969">
        <f>IF(AND($F969&gt;0,NOT(N969),Flexing),FlexPC,0)</f>
        <v>0</v>
      </c>
      <c r="X969">
        <f>IF(AND($F969&gt;0,NOT(O969),Flexing),FlexPC,0)</f>
        <v>0</v>
      </c>
      <c r="Y969">
        <f>IF(AND($F969&gt;0,NOT(P969),Flexing),FlexPC,0)</f>
        <v>0</v>
      </c>
      <c r="AA969" s="209">
        <f t="shared" si="3"/>
        <v>968</v>
      </c>
    </row>
    <row r="970" ht="15.75" customHeight="1">
      <c r="A970" s="206" t="str">
        <f>+Declarations!A970&amp;""</f>
        <v/>
      </c>
      <c r="B970" t="str">
        <f>IF(LEN($A970),IF(LEN(Declarations!$B970)&gt;0,Declarations!$B970,"#"&amp;$A970),"")</f>
        <v/>
      </c>
      <c r="C970" s="209" t="str">
        <f t="array" ref="C970">IF(LEN(INDEX(DECLARATIONS,$AA970,3))&gt;0,INDEX(DECLARATIONS,$AA970,3),"...")</f>
        <v>...</v>
      </c>
      <c r="D970" s="209" t="str">
        <f t="shared" si="1"/>
        <v/>
      </c>
      <c r="E970" s="296" t="str">
        <f t="array" ref="E970">IF(ISNA($AA970),0,INDEX(DECLARATIONS,$AA970,5))</f>
        <v/>
      </c>
      <c r="F970" s="209" t="str">
        <f t="array" ref="F970">IF(ISNA($AA970),0,INDEX(DECLARATIONS,$AA970,7))</f>
        <v/>
      </c>
      <c r="G970" s="209" t="str">
        <f t="array" ref="G970">UPPER(IF(ISNA($AA970),"",INDEX(DECLARATIONS,$AA970,4)))</f>
        <v/>
      </c>
      <c r="H970" t="str">
        <f>IF(AND(A970&gt;0,ISTEXT(B970)),IF(SECNAME="YES",LEFT(B970&amp;" ",FIND(" ",B970&amp;" ")+2)&amp;IF(F970&gt;0," ("&amp;F970&amp;")",""),B970&amp;IF(F970&gt;0," ("&amp;F970&amp;")","")),"#"&amp;$A970)</f>
        <v/>
      </c>
      <c r="I970" s="209">
        <f>IF(LEN($A970)&gt;0,IF(LEN($J970)&gt;0,MATCH(J970,MatchNames,0),EventIndex),0)</f>
        <v>0</v>
      </c>
      <c r="J970" s="209" t="str">
        <f>IF(LEN($A970)&gt;0,IF(LEN(Declarations!$F970)&gt;0,Declarations!$F970,conftype),"")</f>
        <v/>
      </c>
      <c r="M970" s="297">
        <f>IF(ISNA(VLOOKUP($A970,SprintData,2,FALSE)),0,VLOOKUP($A970,SprintData,2,FALSE))</f>
        <v>0</v>
      </c>
      <c r="N970" s="297">
        <f>IF(ISNA(VLOOKUP($A970,JumpData,2,FALSE)),0,VLOOKUP($A970,JumpData,2,FALSE))</f>
        <v>0</v>
      </c>
      <c r="O970" s="297">
        <f>IF(ISNA(VLOOKUP($A970,RunData,2,FALSE)),0,VLOOKUP($A970,RunData,2,FALSE))</f>
        <v>0</v>
      </c>
      <c r="P970" s="297">
        <f>IF(ISNA(VLOOKUP($A970,ThrowData,2,FALSE)),0,VLOOKUP($A970,ThrowData,2,FALSE))</f>
        <v>0</v>
      </c>
      <c r="Q970" s="298">
        <f>IF(ISNA(VLOOKUP($A970,SprintData,4,FALSE)),0,VLOOKUP($A970,SprintData,4,FALSE))+V970</f>
        <v>0</v>
      </c>
      <c r="R970" s="298">
        <f>IF(ISNA(VLOOKUP($A970,JumpData,4,FALSE)),0,VLOOKUP($A970,JumpData,4,FALSE))+W970</f>
        <v>0</v>
      </c>
      <c r="S970" s="298">
        <f>IF(ISNA(VLOOKUP($A970,RunData,4,FALSE)),0,VLOOKUP($A970,RunData,4,FALSE))+X970</f>
        <v>0</v>
      </c>
      <c r="T970" s="298">
        <f>IF(ISNA(VLOOKUP($A970,ThrowData,4,FALSE)),0,VLOOKUP($A970,ThrowData,4,FALSE))+Y970</f>
        <v>0</v>
      </c>
      <c r="U970" s="299">
        <f t="shared" si="2"/>
        <v>0</v>
      </c>
      <c r="V970">
        <f>IF(AND($F970&gt;0,NOT(M970),Flexing),FlexPC,0)</f>
        <v>0</v>
      </c>
      <c r="W970">
        <f>IF(AND($F970&gt;0,NOT(N970),Flexing),FlexPC,0)</f>
        <v>0</v>
      </c>
      <c r="X970">
        <f>IF(AND($F970&gt;0,NOT(O970),Flexing),FlexPC,0)</f>
        <v>0</v>
      </c>
      <c r="Y970">
        <f>IF(AND($F970&gt;0,NOT(P970),Flexing),FlexPC,0)</f>
        <v>0</v>
      </c>
      <c r="AA970" s="209">
        <f t="shared" si="3"/>
        <v>969</v>
      </c>
    </row>
    <row r="971" ht="15.75" customHeight="1">
      <c r="A971" s="206" t="str">
        <f>+Declarations!A971&amp;""</f>
        <v/>
      </c>
      <c r="B971" t="str">
        <f>IF(LEN($A971),IF(LEN(Declarations!$B971)&gt;0,Declarations!$B971,"#"&amp;$A971),"")</f>
        <v/>
      </c>
      <c r="C971" s="209" t="str">
        <f t="array" ref="C971">IF(LEN(INDEX(DECLARATIONS,$AA971,3))&gt;0,INDEX(DECLARATIONS,$AA971,3),"...")</f>
        <v>...</v>
      </c>
      <c r="D971" s="209" t="str">
        <f t="shared" si="1"/>
        <v/>
      </c>
      <c r="E971" s="296" t="str">
        <f t="array" ref="E971">IF(ISNA($AA971),0,INDEX(DECLARATIONS,$AA971,5))</f>
        <v/>
      </c>
      <c r="F971" s="209" t="str">
        <f t="array" ref="F971">IF(ISNA($AA971),0,INDEX(DECLARATIONS,$AA971,7))</f>
        <v/>
      </c>
      <c r="G971" s="209" t="str">
        <f t="array" ref="G971">UPPER(IF(ISNA($AA971),"",INDEX(DECLARATIONS,$AA971,4)))</f>
        <v/>
      </c>
      <c r="H971" t="str">
        <f>IF(AND(A971&gt;0,ISTEXT(B971)),IF(SECNAME="YES",LEFT(B971&amp;" ",FIND(" ",B971&amp;" ")+2)&amp;IF(F971&gt;0," ("&amp;F971&amp;")",""),B971&amp;IF(F971&gt;0," ("&amp;F971&amp;")","")),"#"&amp;$A971)</f>
        <v/>
      </c>
      <c r="I971" s="209">
        <f>IF(LEN($A971)&gt;0,IF(LEN($J971)&gt;0,MATCH(J971,MatchNames,0),EventIndex),0)</f>
        <v>0</v>
      </c>
      <c r="J971" s="209" t="str">
        <f>IF(LEN($A971)&gt;0,IF(LEN(Declarations!$F971)&gt;0,Declarations!$F971,conftype),"")</f>
        <v/>
      </c>
      <c r="M971" s="297">
        <f>IF(ISNA(VLOOKUP($A971,SprintData,2,FALSE)),0,VLOOKUP($A971,SprintData,2,FALSE))</f>
        <v>0</v>
      </c>
      <c r="N971" s="297">
        <f>IF(ISNA(VLOOKUP($A971,JumpData,2,FALSE)),0,VLOOKUP($A971,JumpData,2,FALSE))</f>
        <v>0</v>
      </c>
      <c r="O971" s="297">
        <f>IF(ISNA(VLOOKUP($A971,RunData,2,FALSE)),0,VLOOKUP($A971,RunData,2,FALSE))</f>
        <v>0</v>
      </c>
      <c r="P971" s="297">
        <f>IF(ISNA(VLOOKUP($A971,ThrowData,2,FALSE)),0,VLOOKUP($A971,ThrowData,2,FALSE))</f>
        <v>0</v>
      </c>
      <c r="Q971" s="298">
        <f>IF(ISNA(VLOOKUP($A971,SprintData,4,FALSE)),0,VLOOKUP($A971,SprintData,4,FALSE))+V971</f>
        <v>0</v>
      </c>
      <c r="R971" s="298">
        <f>IF(ISNA(VLOOKUP($A971,JumpData,4,FALSE)),0,VLOOKUP($A971,JumpData,4,FALSE))+W971</f>
        <v>0</v>
      </c>
      <c r="S971" s="298">
        <f>IF(ISNA(VLOOKUP($A971,RunData,4,FALSE)),0,VLOOKUP($A971,RunData,4,FALSE))+X971</f>
        <v>0</v>
      </c>
      <c r="T971" s="298">
        <f>IF(ISNA(VLOOKUP($A971,ThrowData,4,FALSE)),0,VLOOKUP($A971,ThrowData,4,FALSE))+Y971</f>
        <v>0</v>
      </c>
      <c r="U971" s="299">
        <f t="shared" si="2"/>
        <v>0</v>
      </c>
      <c r="V971">
        <f>IF(AND($F971&gt;0,NOT(M971),Flexing),FlexPC,0)</f>
        <v>0</v>
      </c>
      <c r="W971">
        <f>IF(AND($F971&gt;0,NOT(N971),Flexing),FlexPC,0)</f>
        <v>0</v>
      </c>
      <c r="X971">
        <f>IF(AND($F971&gt;0,NOT(O971),Flexing),FlexPC,0)</f>
        <v>0</v>
      </c>
      <c r="Y971">
        <f>IF(AND($F971&gt;0,NOT(P971),Flexing),FlexPC,0)</f>
        <v>0</v>
      </c>
      <c r="AA971" s="209">
        <f t="shared" si="3"/>
        <v>970</v>
      </c>
    </row>
    <row r="972" ht="15.75" customHeight="1">
      <c r="A972" s="206" t="str">
        <f>+Declarations!A972&amp;""</f>
        <v/>
      </c>
      <c r="B972" t="str">
        <f>IF(LEN($A972),IF(LEN(Declarations!$B972)&gt;0,Declarations!$B972,"#"&amp;$A972),"")</f>
        <v/>
      </c>
      <c r="C972" s="209" t="str">
        <f t="array" ref="C972">IF(LEN(INDEX(DECLARATIONS,$AA972,3))&gt;0,INDEX(DECLARATIONS,$AA972,3),"...")</f>
        <v>...</v>
      </c>
      <c r="D972" s="209" t="str">
        <f t="shared" si="1"/>
        <v/>
      </c>
      <c r="E972" s="296" t="str">
        <f t="array" ref="E972">IF(ISNA($AA972),0,INDEX(DECLARATIONS,$AA972,5))</f>
        <v/>
      </c>
      <c r="F972" s="209" t="str">
        <f t="array" ref="F972">IF(ISNA($AA972),0,INDEX(DECLARATIONS,$AA972,7))</f>
        <v/>
      </c>
      <c r="G972" s="209" t="str">
        <f t="array" ref="G972">UPPER(IF(ISNA($AA972),"",INDEX(DECLARATIONS,$AA972,4)))</f>
        <v/>
      </c>
      <c r="H972" t="str">
        <f>IF(AND(A972&gt;0,ISTEXT(B972)),IF(SECNAME="YES",LEFT(B972&amp;" ",FIND(" ",B972&amp;" ")+2)&amp;IF(F972&gt;0," ("&amp;F972&amp;")",""),B972&amp;IF(F972&gt;0," ("&amp;F972&amp;")","")),"#"&amp;$A972)</f>
        <v/>
      </c>
      <c r="I972" s="209">
        <f>IF(LEN($A972)&gt;0,IF(LEN($J972)&gt;0,MATCH(J972,MatchNames,0),EventIndex),0)</f>
        <v>0</v>
      </c>
      <c r="J972" s="209" t="str">
        <f>IF(LEN($A972)&gt;0,IF(LEN(Declarations!$F972)&gt;0,Declarations!$F972,conftype),"")</f>
        <v/>
      </c>
      <c r="M972" s="297">
        <f>IF(ISNA(VLOOKUP($A972,SprintData,2,FALSE)),0,VLOOKUP($A972,SprintData,2,FALSE))</f>
        <v>0</v>
      </c>
      <c r="N972" s="297">
        <f>IF(ISNA(VLOOKUP($A972,JumpData,2,FALSE)),0,VLOOKUP($A972,JumpData,2,FALSE))</f>
        <v>0</v>
      </c>
      <c r="O972" s="297">
        <f>IF(ISNA(VLOOKUP($A972,RunData,2,FALSE)),0,VLOOKUP($A972,RunData,2,FALSE))</f>
        <v>0</v>
      </c>
      <c r="P972" s="297">
        <f>IF(ISNA(VLOOKUP($A972,ThrowData,2,FALSE)),0,VLOOKUP($A972,ThrowData,2,FALSE))</f>
        <v>0</v>
      </c>
      <c r="Q972" s="298">
        <f>IF(ISNA(VLOOKUP($A972,SprintData,4,FALSE)),0,VLOOKUP($A972,SprintData,4,FALSE))+V972</f>
        <v>0</v>
      </c>
      <c r="R972" s="298">
        <f>IF(ISNA(VLOOKUP($A972,JumpData,4,FALSE)),0,VLOOKUP($A972,JumpData,4,FALSE))+W972</f>
        <v>0</v>
      </c>
      <c r="S972" s="298">
        <f>IF(ISNA(VLOOKUP($A972,RunData,4,FALSE)),0,VLOOKUP($A972,RunData,4,FALSE))+X972</f>
        <v>0</v>
      </c>
      <c r="T972" s="298">
        <f>IF(ISNA(VLOOKUP($A972,ThrowData,4,FALSE)),0,VLOOKUP($A972,ThrowData,4,FALSE))+Y972</f>
        <v>0</v>
      </c>
      <c r="U972" s="299">
        <f t="shared" si="2"/>
        <v>0</v>
      </c>
      <c r="V972">
        <f>IF(AND($F972&gt;0,NOT(M972),Flexing),FlexPC,0)</f>
        <v>0</v>
      </c>
      <c r="W972">
        <f>IF(AND($F972&gt;0,NOT(N972),Flexing),FlexPC,0)</f>
        <v>0</v>
      </c>
      <c r="X972">
        <f>IF(AND($F972&gt;0,NOT(O972),Flexing),FlexPC,0)</f>
        <v>0</v>
      </c>
      <c r="Y972">
        <f>IF(AND($F972&gt;0,NOT(P972),Flexing),FlexPC,0)</f>
        <v>0</v>
      </c>
      <c r="AA972" s="209">
        <f t="shared" si="3"/>
        <v>971</v>
      </c>
    </row>
    <row r="973" ht="15.75" customHeight="1">
      <c r="A973" s="206" t="str">
        <f>+Declarations!A973&amp;""</f>
        <v/>
      </c>
      <c r="B973" t="str">
        <f>IF(LEN($A973),IF(LEN(Declarations!$B973)&gt;0,Declarations!$B973,"#"&amp;$A973),"")</f>
        <v/>
      </c>
      <c r="C973" s="209" t="str">
        <f t="array" ref="C973">IF(LEN(INDEX(DECLARATIONS,$AA973,3))&gt;0,INDEX(DECLARATIONS,$AA973,3),"...")</f>
        <v>...</v>
      </c>
      <c r="D973" s="209" t="str">
        <f t="shared" si="1"/>
        <v/>
      </c>
      <c r="E973" s="296" t="str">
        <f t="array" ref="E973">IF(ISNA($AA973),0,INDEX(DECLARATIONS,$AA973,5))</f>
        <v/>
      </c>
      <c r="F973" s="209" t="str">
        <f t="array" ref="F973">IF(ISNA($AA973),0,INDEX(DECLARATIONS,$AA973,7))</f>
        <v/>
      </c>
      <c r="G973" s="209" t="str">
        <f t="array" ref="G973">UPPER(IF(ISNA($AA973),"",INDEX(DECLARATIONS,$AA973,4)))</f>
        <v/>
      </c>
      <c r="H973" t="str">
        <f>IF(AND(A973&gt;0,ISTEXT(B973)),IF(SECNAME="YES",LEFT(B973&amp;" ",FIND(" ",B973&amp;" ")+2)&amp;IF(F973&gt;0," ("&amp;F973&amp;")",""),B973&amp;IF(F973&gt;0," ("&amp;F973&amp;")","")),"#"&amp;$A973)</f>
        <v/>
      </c>
      <c r="I973" s="209">
        <f>IF(LEN($A973)&gt;0,IF(LEN($J973)&gt;0,MATCH(J973,MatchNames,0),EventIndex),0)</f>
        <v>0</v>
      </c>
      <c r="J973" s="209" t="str">
        <f>IF(LEN($A973)&gt;0,IF(LEN(Declarations!$F973)&gt;0,Declarations!$F973,conftype),"")</f>
        <v/>
      </c>
      <c r="M973" s="297">
        <f>IF(ISNA(VLOOKUP($A973,SprintData,2,FALSE)),0,VLOOKUP($A973,SprintData,2,FALSE))</f>
        <v>0</v>
      </c>
      <c r="N973" s="297">
        <f>IF(ISNA(VLOOKUP($A973,JumpData,2,FALSE)),0,VLOOKUP($A973,JumpData,2,FALSE))</f>
        <v>0</v>
      </c>
      <c r="O973" s="297">
        <f>IF(ISNA(VLOOKUP($A973,RunData,2,FALSE)),0,VLOOKUP($A973,RunData,2,FALSE))</f>
        <v>0</v>
      </c>
      <c r="P973" s="297">
        <f>IF(ISNA(VLOOKUP($A973,ThrowData,2,FALSE)),0,VLOOKUP($A973,ThrowData,2,FALSE))</f>
        <v>0</v>
      </c>
      <c r="Q973" s="298">
        <f>IF(ISNA(VLOOKUP($A973,SprintData,4,FALSE)),0,VLOOKUP($A973,SprintData,4,FALSE))+V973</f>
        <v>0</v>
      </c>
      <c r="R973" s="298">
        <f>IF(ISNA(VLOOKUP($A973,JumpData,4,FALSE)),0,VLOOKUP($A973,JumpData,4,FALSE))+W973</f>
        <v>0</v>
      </c>
      <c r="S973" s="298">
        <f>IF(ISNA(VLOOKUP($A973,RunData,4,FALSE)),0,VLOOKUP($A973,RunData,4,FALSE))+X973</f>
        <v>0</v>
      </c>
      <c r="T973" s="298">
        <f>IF(ISNA(VLOOKUP($A973,ThrowData,4,FALSE)),0,VLOOKUP($A973,ThrowData,4,FALSE))+Y973</f>
        <v>0</v>
      </c>
      <c r="U973" s="299">
        <f t="shared" si="2"/>
        <v>0</v>
      </c>
      <c r="V973">
        <f>IF(AND($F973&gt;0,NOT(M973),Flexing),FlexPC,0)</f>
        <v>0</v>
      </c>
      <c r="W973">
        <f>IF(AND($F973&gt;0,NOT(N973),Flexing),FlexPC,0)</f>
        <v>0</v>
      </c>
      <c r="X973">
        <f>IF(AND($F973&gt;0,NOT(O973),Flexing),FlexPC,0)</f>
        <v>0</v>
      </c>
      <c r="Y973">
        <f>IF(AND($F973&gt;0,NOT(P973),Flexing),FlexPC,0)</f>
        <v>0</v>
      </c>
      <c r="AA973" s="209">
        <f t="shared" si="3"/>
        <v>972</v>
      </c>
    </row>
    <row r="974" ht="15.75" customHeight="1">
      <c r="A974" s="206" t="str">
        <f>+Declarations!A974&amp;""</f>
        <v/>
      </c>
      <c r="B974" t="str">
        <f>IF(LEN($A974),IF(LEN(Declarations!$B974)&gt;0,Declarations!$B974,"#"&amp;$A974),"")</f>
        <v/>
      </c>
      <c r="C974" s="209" t="str">
        <f t="array" ref="C974">IF(LEN(INDEX(DECLARATIONS,$AA974,3))&gt;0,INDEX(DECLARATIONS,$AA974,3),"...")</f>
        <v>...</v>
      </c>
      <c r="D974" s="209" t="str">
        <f t="shared" si="1"/>
        <v/>
      </c>
      <c r="E974" s="296" t="str">
        <f t="array" ref="E974">IF(ISNA($AA974),0,INDEX(DECLARATIONS,$AA974,5))</f>
        <v/>
      </c>
      <c r="F974" s="209" t="str">
        <f t="array" ref="F974">IF(ISNA($AA974),0,INDEX(DECLARATIONS,$AA974,7))</f>
        <v/>
      </c>
      <c r="G974" s="209" t="str">
        <f t="array" ref="G974">UPPER(IF(ISNA($AA974),"",INDEX(DECLARATIONS,$AA974,4)))</f>
        <v/>
      </c>
      <c r="H974" t="str">
        <f>IF(AND(A974&gt;0,ISTEXT(B974)),IF(SECNAME="YES",LEFT(B974&amp;" ",FIND(" ",B974&amp;" ")+2)&amp;IF(F974&gt;0," ("&amp;F974&amp;")",""),B974&amp;IF(F974&gt;0," ("&amp;F974&amp;")","")),"#"&amp;$A974)</f>
        <v/>
      </c>
      <c r="I974" s="209">
        <f>IF(LEN($A974)&gt;0,IF(LEN($J974)&gt;0,MATCH(J974,MatchNames,0),EventIndex),0)</f>
        <v>0</v>
      </c>
      <c r="J974" s="209" t="str">
        <f>IF(LEN($A974)&gt;0,IF(LEN(Declarations!$F974)&gt;0,Declarations!$F974,conftype),"")</f>
        <v/>
      </c>
      <c r="M974" s="297">
        <f>IF(ISNA(VLOOKUP($A974,SprintData,2,FALSE)),0,VLOOKUP($A974,SprintData,2,FALSE))</f>
        <v>0</v>
      </c>
      <c r="N974" s="297">
        <f>IF(ISNA(VLOOKUP($A974,JumpData,2,FALSE)),0,VLOOKUP($A974,JumpData,2,FALSE))</f>
        <v>0</v>
      </c>
      <c r="O974" s="297">
        <f>IF(ISNA(VLOOKUP($A974,RunData,2,FALSE)),0,VLOOKUP($A974,RunData,2,FALSE))</f>
        <v>0</v>
      </c>
      <c r="P974" s="297">
        <f>IF(ISNA(VLOOKUP($A974,ThrowData,2,FALSE)),0,VLOOKUP($A974,ThrowData,2,FALSE))</f>
        <v>0</v>
      </c>
      <c r="Q974" s="298">
        <f>IF(ISNA(VLOOKUP($A974,SprintData,4,FALSE)),0,VLOOKUP($A974,SprintData,4,FALSE))+V974</f>
        <v>0</v>
      </c>
      <c r="R974" s="298">
        <f>IF(ISNA(VLOOKUP($A974,JumpData,4,FALSE)),0,VLOOKUP($A974,JumpData,4,FALSE))+W974</f>
        <v>0</v>
      </c>
      <c r="S974" s="298">
        <f>IF(ISNA(VLOOKUP($A974,RunData,4,FALSE)),0,VLOOKUP($A974,RunData,4,FALSE))+X974</f>
        <v>0</v>
      </c>
      <c r="T974" s="298">
        <f>IF(ISNA(VLOOKUP($A974,ThrowData,4,FALSE)),0,VLOOKUP($A974,ThrowData,4,FALSE))+Y974</f>
        <v>0</v>
      </c>
      <c r="U974" s="299">
        <f t="shared" si="2"/>
        <v>0</v>
      </c>
      <c r="V974">
        <f>IF(AND($F974&gt;0,NOT(M974),Flexing),FlexPC,0)</f>
        <v>0</v>
      </c>
      <c r="W974">
        <f>IF(AND($F974&gt;0,NOT(N974),Flexing),FlexPC,0)</f>
        <v>0</v>
      </c>
      <c r="X974">
        <f>IF(AND($F974&gt;0,NOT(O974),Flexing),FlexPC,0)</f>
        <v>0</v>
      </c>
      <c r="Y974">
        <f>IF(AND($F974&gt;0,NOT(P974),Flexing),FlexPC,0)</f>
        <v>0</v>
      </c>
      <c r="AA974" s="209">
        <f t="shared" si="3"/>
        <v>973</v>
      </c>
    </row>
    <row r="975" ht="15.75" customHeight="1">
      <c r="A975" s="206" t="str">
        <f>+Declarations!A975&amp;""</f>
        <v/>
      </c>
      <c r="B975" t="str">
        <f>IF(LEN($A975),IF(LEN(Declarations!$B975)&gt;0,Declarations!$B975,"#"&amp;$A975),"")</f>
        <v/>
      </c>
      <c r="C975" s="209" t="str">
        <f t="array" ref="C975">IF(LEN(INDEX(DECLARATIONS,$AA975,3))&gt;0,INDEX(DECLARATIONS,$AA975,3),"...")</f>
        <v>...</v>
      </c>
      <c r="D975" s="209" t="str">
        <f t="shared" si="1"/>
        <v/>
      </c>
      <c r="E975" s="296" t="str">
        <f t="array" ref="E975">IF(ISNA($AA975),0,INDEX(DECLARATIONS,$AA975,5))</f>
        <v/>
      </c>
      <c r="F975" s="209" t="str">
        <f t="array" ref="F975">IF(ISNA($AA975),0,INDEX(DECLARATIONS,$AA975,7))</f>
        <v/>
      </c>
      <c r="G975" s="209" t="str">
        <f t="array" ref="G975">UPPER(IF(ISNA($AA975),"",INDEX(DECLARATIONS,$AA975,4)))</f>
        <v/>
      </c>
      <c r="H975" t="str">
        <f>IF(AND(A975&gt;0,ISTEXT(B975)),IF(SECNAME="YES",LEFT(B975&amp;" ",FIND(" ",B975&amp;" ")+2)&amp;IF(F975&gt;0," ("&amp;F975&amp;")",""),B975&amp;IF(F975&gt;0," ("&amp;F975&amp;")","")),"#"&amp;$A975)</f>
        <v/>
      </c>
      <c r="I975" s="209">
        <f>IF(LEN($A975)&gt;0,IF(LEN($J975)&gt;0,MATCH(J975,MatchNames,0),EventIndex),0)</f>
        <v>0</v>
      </c>
      <c r="J975" s="209" t="str">
        <f>IF(LEN($A975)&gt;0,IF(LEN(Declarations!$F975)&gt;0,Declarations!$F975,conftype),"")</f>
        <v/>
      </c>
      <c r="M975" s="297">
        <f>IF(ISNA(VLOOKUP($A975,SprintData,2,FALSE)),0,VLOOKUP($A975,SprintData,2,FALSE))</f>
        <v>0</v>
      </c>
      <c r="N975" s="297">
        <f>IF(ISNA(VLOOKUP($A975,JumpData,2,FALSE)),0,VLOOKUP($A975,JumpData,2,FALSE))</f>
        <v>0</v>
      </c>
      <c r="O975" s="297">
        <f>IF(ISNA(VLOOKUP($A975,RunData,2,FALSE)),0,VLOOKUP($A975,RunData,2,FALSE))</f>
        <v>0</v>
      </c>
      <c r="P975" s="297">
        <f>IF(ISNA(VLOOKUP($A975,ThrowData,2,FALSE)),0,VLOOKUP($A975,ThrowData,2,FALSE))</f>
        <v>0</v>
      </c>
      <c r="Q975" s="298">
        <f>IF(ISNA(VLOOKUP($A975,SprintData,4,FALSE)),0,VLOOKUP($A975,SprintData,4,FALSE))+V975</f>
        <v>0</v>
      </c>
      <c r="R975" s="298">
        <f>IF(ISNA(VLOOKUP($A975,JumpData,4,FALSE)),0,VLOOKUP($A975,JumpData,4,FALSE))+W975</f>
        <v>0</v>
      </c>
      <c r="S975" s="298">
        <f>IF(ISNA(VLOOKUP($A975,RunData,4,FALSE)),0,VLOOKUP($A975,RunData,4,FALSE))+X975</f>
        <v>0</v>
      </c>
      <c r="T975" s="298">
        <f>IF(ISNA(VLOOKUP($A975,ThrowData,4,FALSE)),0,VLOOKUP($A975,ThrowData,4,FALSE))+Y975</f>
        <v>0</v>
      </c>
      <c r="U975" s="299">
        <f t="shared" si="2"/>
        <v>0</v>
      </c>
      <c r="V975">
        <f>IF(AND($F975&gt;0,NOT(M975),Flexing),FlexPC,0)</f>
        <v>0</v>
      </c>
      <c r="W975">
        <f>IF(AND($F975&gt;0,NOT(N975),Flexing),FlexPC,0)</f>
        <v>0</v>
      </c>
      <c r="X975">
        <f>IF(AND($F975&gt;0,NOT(O975),Flexing),FlexPC,0)</f>
        <v>0</v>
      </c>
      <c r="Y975">
        <f>IF(AND($F975&gt;0,NOT(P975),Flexing),FlexPC,0)</f>
        <v>0</v>
      </c>
      <c r="AA975" s="209">
        <f t="shared" si="3"/>
        <v>974</v>
      </c>
    </row>
    <row r="976" ht="15.75" customHeight="1">
      <c r="A976" s="206" t="str">
        <f>+Declarations!A976&amp;""</f>
        <v/>
      </c>
      <c r="B976" t="str">
        <f>IF(LEN($A976),IF(LEN(Declarations!$B976)&gt;0,Declarations!$B976,"#"&amp;$A976),"")</f>
        <v/>
      </c>
      <c r="C976" s="209" t="str">
        <f t="array" ref="C976">IF(LEN(INDEX(DECLARATIONS,$AA976,3))&gt;0,INDEX(DECLARATIONS,$AA976,3),"...")</f>
        <v>...</v>
      </c>
      <c r="D976" s="209" t="str">
        <f t="shared" si="1"/>
        <v/>
      </c>
      <c r="E976" s="296" t="str">
        <f t="array" ref="E976">IF(ISNA($AA976),0,INDEX(DECLARATIONS,$AA976,5))</f>
        <v/>
      </c>
      <c r="F976" s="209" t="str">
        <f t="array" ref="F976">IF(ISNA($AA976),0,INDEX(DECLARATIONS,$AA976,7))</f>
        <v/>
      </c>
      <c r="G976" s="209" t="str">
        <f t="array" ref="G976">UPPER(IF(ISNA($AA976),"",INDEX(DECLARATIONS,$AA976,4)))</f>
        <v/>
      </c>
      <c r="H976" t="str">
        <f>IF(AND(A976&gt;0,ISTEXT(B976)),IF(SECNAME="YES",LEFT(B976&amp;" ",FIND(" ",B976&amp;" ")+2)&amp;IF(F976&gt;0," ("&amp;F976&amp;")",""),B976&amp;IF(F976&gt;0," ("&amp;F976&amp;")","")),"#"&amp;$A976)</f>
        <v/>
      </c>
      <c r="I976" s="209">
        <f>IF(LEN($A976)&gt;0,IF(LEN($J976)&gt;0,MATCH(J976,MatchNames,0),EventIndex),0)</f>
        <v>0</v>
      </c>
      <c r="J976" s="209" t="str">
        <f>IF(LEN($A976)&gt;0,IF(LEN(Declarations!$F976)&gt;0,Declarations!$F976,conftype),"")</f>
        <v/>
      </c>
      <c r="M976" s="297">
        <f>IF(ISNA(VLOOKUP($A976,SprintData,2,FALSE)),0,VLOOKUP($A976,SprintData,2,FALSE))</f>
        <v>0</v>
      </c>
      <c r="N976" s="297">
        <f>IF(ISNA(VLOOKUP($A976,JumpData,2,FALSE)),0,VLOOKUP($A976,JumpData,2,FALSE))</f>
        <v>0</v>
      </c>
      <c r="O976" s="297">
        <f>IF(ISNA(VLOOKUP($A976,RunData,2,FALSE)),0,VLOOKUP($A976,RunData,2,FALSE))</f>
        <v>0</v>
      </c>
      <c r="P976" s="297">
        <f>IF(ISNA(VLOOKUP($A976,ThrowData,2,FALSE)),0,VLOOKUP($A976,ThrowData,2,FALSE))</f>
        <v>0</v>
      </c>
      <c r="Q976" s="298">
        <f>IF(ISNA(VLOOKUP($A976,SprintData,4,FALSE)),0,VLOOKUP($A976,SprintData,4,FALSE))+V976</f>
        <v>0</v>
      </c>
      <c r="R976" s="298">
        <f>IF(ISNA(VLOOKUP($A976,JumpData,4,FALSE)),0,VLOOKUP($A976,JumpData,4,FALSE))+W976</f>
        <v>0</v>
      </c>
      <c r="S976" s="298">
        <f>IF(ISNA(VLOOKUP($A976,RunData,4,FALSE)),0,VLOOKUP($A976,RunData,4,FALSE))+X976</f>
        <v>0</v>
      </c>
      <c r="T976" s="298">
        <f>IF(ISNA(VLOOKUP($A976,ThrowData,4,FALSE)),0,VLOOKUP($A976,ThrowData,4,FALSE))+Y976</f>
        <v>0</v>
      </c>
      <c r="U976" s="299">
        <f t="shared" si="2"/>
        <v>0</v>
      </c>
      <c r="V976">
        <f>IF(AND($F976&gt;0,NOT(M976),Flexing),FlexPC,0)</f>
        <v>0</v>
      </c>
      <c r="W976">
        <f>IF(AND($F976&gt;0,NOT(N976),Flexing),FlexPC,0)</f>
        <v>0</v>
      </c>
      <c r="X976">
        <f>IF(AND($F976&gt;0,NOT(O976),Flexing),FlexPC,0)</f>
        <v>0</v>
      </c>
      <c r="Y976">
        <f>IF(AND($F976&gt;0,NOT(P976),Flexing),FlexPC,0)</f>
        <v>0</v>
      </c>
      <c r="AA976" s="209">
        <f t="shared" si="3"/>
        <v>975</v>
      </c>
    </row>
    <row r="977" ht="15.75" customHeight="1">
      <c r="A977" s="206" t="str">
        <f>+Declarations!A977&amp;""</f>
        <v/>
      </c>
      <c r="B977" t="str">
        <f>IF(LEN($A977),IF(LEN(Declarations!$B977)&gt;0,Declarations!$B977,"#"&amp;$A977),"")</f>
        <v/>
      </c>
      <c r="C977" s="209" t="str">
        <f t="array" ref="C977">IF(LEN(INDEX(DECLARATIONS,$AA977,3))&gt;0,INDEX(DECLARATIONS,$AA977,3),"...")</f>
        <v>...</v>
      </c>
      <c r="D977" s="209" t="str">
        <f t="shared" si="1"/>
        <v/>
      </c>
      <c r="E977" s="296" t="str">
        <f t="array" ref="E977">IF(ISNA($AA977),0,INDEX(DECLARATIONS,$AA977,5))</f>
        <v/>
      </c>
      <c r="F977" s="209" t="str">
        <f t="array" ref="F977">IF(ISNA($AA977),0,INDEX(DECLARATIONS,$AA977,7))</f>
        <v/>
      </c>
      <c r="G977" s="209" t="str">
        <f t="array" ref="G977">UPPER(IF(ISNA($AA977),"",INDEX(DECLARATIONS,$AA977,4)))</f>
        <v/>
      </c>
      <c r="H977" t="str">
        <f>IF(AND(A977&gt;0,ISTEXT(B977)),IF(SECNAME="YES",LEFT(B977&amp;" ",FIND(" ",B977&amp;" ")+2)&amp;IF(F977&gt;0," ("&amp;F977&amp;")",""),B977&amp;IF(F977&gt;0," ("&amp;F977&amp;")","")),"#"&amp;$A977)</f>
        <v/>
      </c>
      <c r="I977" s="209">
        <f>IF(LEN($A977)&gt;0,IF(LEN($J977)&gt;0,MATCH(J977,MatchNames,0),EventIndex),0)</f>
        <v>0</v>
      </c>
      <c r="J977" s="209" t="str">
        <f>IF(LEN($A977)&gt;0,IF(LEN(Declarations!$F977)&gt;0,Declarations!$F977,conftype),"")</f>
        <v/>
      </c>
      <c r="M977" s="297">
        <f>IF(ISNA(VLOOKUP($A977,SprintData,2,FALSE)),0,VLOOKUP($A977,SprintData,2,FALSE))</f>
        <v>0</v>
      </c>
      <c r="N977" s="297">
        <f>IF(ISNA(VLOOKUP($A977,JumpData,2,FALSE)),0,VLOOKUP($A977,JumpData,2,FALSE))</f>
        <v>0</v>
      </c>
      <c r="O977" s="297">
        <f>IF(ISNA(VLOOKUP($A977,RunData,2,FALSE)),0,VLOOKUP($A977,RunData,2,FALSE))</f>
        <v>0</v>
      </c>
      <c r="P977" s="297">
        <f>IF(ISNA(VLOOKUP($A977,ThrowData,2,FALSE)),0,VLOOKUP($A977,ThrowData,2,FALSE))</f>
        <v>0</v>
      </c>
      <c r="Q977" s="298">
        <f>IF(ISNA(VLOOKUP($A977,SprintData,4,FALSE)),0,VLOOKUP($A977,SprintData,4,FALSE))+V977</f>
        <v>0</v>
      </c>
      <c r="R977" s="298">
        <f>IF(ISNA(VLOOKUP($A977,JumpData,4,FALSE)),0,VLOOKUP($A977,JumpData,4,FALSE))+W977</f>
        <v>0</v>
      </c>
      <c r="S977" s="298">
        <f>IF(ISNA(VLOOKUP($A977,RunData,4,FALSE)),0,VLOOKUP($A977,RunData,4,FALSE))+X977</f>
        <v>0</v>
      </c>
      <c r="T977" s="298">
        <f>IF(ISNA(VLOOKUP($A977,ThrowData,4,FALSE)),0,VLOOKUP($A977,ThrowData,4,FALSE))+Y977</f>
        <v>0</v>
      </c>
      <c r="U977" s="299">
        <f t="shared" si="2"/>
        <v>0</v>
      </c>
      <c r="V977">
        <f>IF(AND($F977&gt;0,NOT(M977),Flexing),FlexPC,0)</f>
        <v>0</v>
      </c>
      <c r="W977">
        <f>IF(AND($F977&gt;0,NOT(N977),Flexing),FlexPC,0)</f>
        <v>0</v>
      </c>
      <c r="X977">
        <f>IF(AND($F977&gt;0,NOT(O977),Flexing),FlexPC,0)</f>
        <v>0</v>
      </c>
      <c r="Y977">
        <f>IF(AND($F977&gt;0,NOT(P977),Flexing),FlexPC,0)</f>
        <v>0</v>
      </c>
      <c r="AA977" s="209">
        <f t="shared" si="3"/>
        <v>976</v>
      </c>
    </row>
    <row r="978" ht="15.75" customHeight="1">
      <c r="A978" s="206" t="str">
        <f>+Declarations!A978&amp;""</f>
        <v/>
      </c>
      <c r="B978" t="str">
        <f>IF(LEN($A978),IF(LEN(Declarations!$B978)&gt;0,Declarations!$B978,"#"&amp;$A978),"")</f>
        <v/>
      </c>
      <c r="C978" s="209" t="str">
        <f t="array" ref="C978">IF(LEN(INDEX(DECLARATIONS,$AA978,3))&gt;0,INDEX(DECLARATIONS,$AA978,3),"...")</f>
        <v>...</v>
      </c>
      <c r="D978" s="209" t="str">
        <f t="shared" si="1"/>
        <v/>
      </c>
      <c r="E978" s="296" t="str">
        <f t="array" ref="E978">IF(ISNA($AA978),0,INDEX(DECLARATIONS,$AA978,5))</f>
        <v/>
      </c>
      <c r="F978" s="209" t="str">
        <f t="array" ref="F978">IF(ISNA($AA978),0,INDEX(DECLARATIONS,$AA978,7))</f>
        <v/>
      </c>
      <c r="G978" s="209" t="str">
        <f t="array" ref="G978">UPPER(IF(ISNA($AA978),"",INDEX(DECLARATIONS,$AA978,4)))</f>
        <v/>
      </c>
      <c r="H978" t="str">
        <f>IF(AND(A978&gt;0,ISTEXT(B978)),IF(SECNAME="YES",LEFT(B978&amp;" ",FIND(" ",B978&amp;" ")+2)&amp;IF(F978&gt;0," ("&amp;F978&amp;")",""),B978&amp;IF(F978&gt;0," ("&amp;F978&amp;")","")),"#"&amp;$A978)</f>
        <v/>
      </c>
      <c r="I978" s="209">
        <f>IF(LEN($A978)&gt;0,IF(LEN($J978)&gt;0,MATCH(J978,MatchNames,0),EventIndex),0)</f>
        <v>0</v>
      </c>
      <c r="J978" s="209" t="str">
        <f>IF(LEN($A978)&gt;0,IF(LEN(Declarations!$F978)&gt;0,Declarations!$F978,conftype),"")</f>
        <v/>
      </c>
      <c r="M978" s="297">
        <f>IF(ISNA(VLOOKUP($A978,SprintData,2,FALSE)),0,VLOOKUP($A978,SprintData,2,FALSE))</f>
        <v>0</v>
      </c>
      <c r="N978" s="297">
        <f>IF(ISNA(VLOOKUP($A978,JumpData,2,FALSE)),0,VLOOKUP($A978,JumpData,2,FALSE))</f>
        <v>0</v>
      </c>
      <c r="O978" s="297">
        <f>IF(ISNA(VLOOKUP($A978,RunData,2,FALSE)),0,VLOOKUP($A978,RunData,2,FALSE))</f>
        <v>0</v>
      </c>
      <c r="P978" s="297">
        <f>IF(ISNA(VLOOKUP($A978,ThrowData,2,FALSE)),0,VLOOKUP($A978,ThrowData,2,FALSE))</f>
        <v>0</v>
      </c>
      <c r="Q978" s="298">
        <f>IF(ISNA(VLOOKUP($A978,SprintData,4,FALSE)),0,VLOOKUP($A978,SprintData,4,FALSE))+V978</f>
        <v>0</v>
      </c>
      <c r="R978" s="298">
        <f>IF(ISNA(VLOOKUP($A978,JumpData,4,FALSE)),0,VLOOKUP($A978,JumpData,4,FALSE))+W978</f>
        <v>0</v>
      </c>
      <c r="S978" s="298">
        <f>IF(ISNA(VLOOKUP($A978,RunData,4,FALSE)),0,VLOOKUP($A978,RunData,4,FALSE))+X978</f>
        <v>0</v>
      </c>
      <c r="T978" s="298">
        <f>IF(ISNA(VLOOKUP($A978,ThrowData,4,FALSE)),0,VLOOKUP($A978,ThrowData,4,FALSE))+Y978</f>
        <v>0</v>
      </c>
      <c r="U978" s="299">
        <f t="shared" si="2"/>
        <v>0</v>
      </c>
      <c r="V978">
        <f>IF(AND($F978&gt;0,NOT(M978),Flexing),FlexPC,0)</f>
        <v>0</v>
      </c>
      <c r="W978">
        <f>IF(AND($F978&gt;0,NOT(N978),Flexing),FlexPC,0)</f>
        <v>0</v>
      </c>
      <c r="X978">
        <f>IF(AND($F978&gt;0,NOT(O978),Flexing),FlexPC,0)</f>
        <v>0</v>
      </c>
      <c r="Y978">
        <f>IF(AND($F978&gt;0,NOT(P978),Flexing),FlexPC,0)</f>
        <v>0</v>
      </c>
      <c r="AA978" s="209">
        <f t="shared" si="3"/>
        <v>977</v>
      </c>
    </row>
    <row r="979" ht="15.75" customHeight="1">
      <c r="A979" s="206" t="str">
        <f>+Declarations!A979&amp;""</f>
        <v/>
      </c>
      <c r="B979" t="str">
        <f>IF(LEN($A979),IF(LEN(Declarations!$B979)&gt;0,Declarations!$B979,"#"&amp;$A979),"")</f>
        <v/>
      </c>
      <c r="C979" s="209" t="str">
        <f t="array" ref="C979">IF(LEN(INDEX(DECLARATIONS,$AA979,3))&gt;0,INDEX(DECLARATIONS,$AA979,3),"...")</f>
        <v>...</v>
      </c>
      <c r="D979" s="209" t="str">
        <f t="shared" si="1"/>
        <v/>
      </c>
      <c r="E979" s="296" t="str">
        <f t="array" ref="E979">IF(ISNA($AA979),0,INDEX(DECLARATIONS,$AA979,5))</f>
        <v/>
      </c>
      <c r="F979" s="209" t="str">
        <f t="array" ref="F979">IF(ISNA($AA979),0,INDEX(DECLARATIONS,$AA979,7))</f>
        <v/>
      </c>
      <c r="G979" s="209" t="str">
        <f t="array" ref="G979">UPPER(IF(ISNA($AA979),"",INDEX(DECLARATIONS,$AA979,4)))</f>
        <v/>
      </c>
      <c r="H979" t="str">
        <f>IF(AND(A979&gt;0,ISTEXT(B979)),IF(SECNAME="YES",LEFT(B979&amp;" ",FIND(" ",B979&amp;" ")+2)&amp;IF(F979&gt;0," ("&amp;F979&amp;")",""),B979&amp;IF(F979&gt;0," ("&amp;F979&amp;")","")),"#"&amp;$A979)</f>
        <v/>
      </c>
      <c r="I979" s="209">
        <f>IF(LEN($A979)&gt;0,IF(LEN($J979)&gt;0,MATCH(J979,MatchNames,0),EventIndex),0)</f>
        <v>0</v>
      </c>
      <c r="J979" s="209" t="str">
        <f>IF(LEN($A979)&gt;0,IF(LEN(Declarations!$F979)&gt;0,Declarations!$F979,conftype),"")</f>
        <v/>
      </c>
      <c r="M979" s="297">
        <f>IF(ISNA(VLOOKUP($A979,SprintData,2,FALSE)),0,VLOOKUP($A979,SprintData,2,FALSE))</f>
        <v>0</v>
      </c>
      <c r="N979" s="297">
        <f>IF(ISNA(VLOOKUP($A979,JumpData,2,FALSE)),0,VLOOKUP($A979,JumpData,2,FALSE))</f>
        <v>0</v>
      </c>
      <c r="O979" s="297">
        <f>IF(ISNA(VLOOKUP($A979,RunData,2,FALSE)),0,VLOOKUP($A979,RunData,2,FALSE))</f>
        <v>0</v>
      </c>
      <c r="P979" s="297">
        <f>IF(ISNA(VLOOKUP($A979,ThrowData,2,FALSE)),0,VLOOKUP($A979,ThrowData,2,FALSE))</f>
        <v>0</v>
      </c>
      <c r="Q979" s="298">
        <f>IF(ISNA(VLOOKUP($A979,SprintData,4,FALSE)),0,VLOOKUP($A979,SprintData,4,FALSE))+V979</f>
        <v>0</v>
      </c>
      <c r="R979" s="298">
        <f>IF(ISNA(VLOOKUP($A979,JumpData,4,FALSE)),0,VLOOKUP($A979,JumpData,4,FALSE))+W979</f>
        <v>0</v>
      </c>
      <c r="S979" s="298">
        <f>IF(ISNA(VLOOKUP($A979,RunData,4,FALSE)),0,VLOOKUP($A979,RunData,4,FALSE))+X979</f>
        <v>0</v>
      </c>
      <c r="T979" s="298">
        <f>IF(ISNA(VLOOKUP($A979,ThrowData,4,FALSE)),0,VLOOKUP($A979,ThrowData,4,FALSE))+Y979</f>
        <v>0</v>
      </c>
      <c r="U979" s="299">
        <f t="shared" si="2"/>
        <v>0</v>
      </c>
      <c r="V979">
        <f>IF(AND($F979&gt;0,NOT(M979),Flexing),FlexPC,0)</f>
        <v>0</v>
      </c>
      <c r="W979">
        <f>IF(AND($F979&gt;0,NOT(N979),Flexing),FlexPC,0)</f>
        <v>0</v>
      </c>
      <c r="X979">
        <f>IF(AND($F979&gt;0,NOT(O979),Flexing),FlexPC,0)</f>
        <v>0</v>
      </c>
      <c r="Y979">
        <f>IF(AND($F979&gt;0,NOT(P979),Flexing),FlexPC,0)</f>
        <v>0</v>
      </c>
      <c r="AA979" s="209">
        <f t="shared" si="3"/>
        <v>978</v>
      </c>
    </row>
    <row r="980" ht="15.75" customHeight="1">
      <c r="A980" s="206" t="str">
        <f>+Declarations!A980&amp;""</f>
        <v/>
      </c>
      <c r="B980" t="str">
        <f>IF(LEN($A980),IF(LEN(Declarations!$B980)&gt;0,Declarations!$B980,"#"&amp;$A980),"")</f>
        <v/>
      </c>
      <c r="C980" s="209" t="str">
        <f t="array" ref="C980">IF(LEN(INDEX(DECLARATIONS,$AA980,3))&gt;0,INDEX(DECLARATIONS,$AA980,3),"...")</f>
        <v>...</v>
      </c>
      <c r="D980" s="209" t="str">
        <f t="shared" si="1"/>
        <v/>
      </c>
      <c r="E980" s="296" t="str">
        <f t="array" ref="E980">IF(ISNA($AA980),0,INDEX(DECLARATIONS,$AA980,5))</f>
        <v/>
      </c>
      <c r="F980" s="209" t="str">
        <f t="array" ref="F980">IF(ISNA($AA980),0,INDEX(DECLARATIONS,$AA980,7))</f>
        <v/>
      </c>
      <c r="G980" s="209" t="str">
        <f t="array" ref="G980">UPPER(IF(ISNA($AA980),"",INDEX(DECLARATIONS,$AA980,4)))</f>
        <v/>
      </c>
      <c r="H980" t="str">
        <f>IF(AND(A980&gt;0,ISTEXT(B980)),IF(SECNAME="YES",LEFT(B980&amp;" ",FIND(" ",B980&amp;" ")+2)&amp;IF(F980&gt;0," ("&amp;F980&amp;")",""),B980&amp;IF(F980&gt;0," ("&amp;F980&amp;")","")),"#"&amp;$A980)</f>
        <v/>
      </c>
      <c r="I980" s="209">
        <f>IF(LEN($A980)&gt;0,IF(LEN($J980)&gt;0,MATCH(J980,MatchNames,0),EventIndex),0)</f>
        <v>0</v>
      </c>
      <c r="J980" s="209" t="str">
        <f>IF(LEN($A980)&gt;0,IF(LEN(Declarations!$F980)&gt;0,Declarations!$F980,conftype),"")</f>
        <v/>
      </c>
      <c r="M980" s="297">
        <f>IF(ISNA(VLOOKUP($A980,SprintData,2,FALSE)),0,VLOOKUP($A980,SprintData,2,FALSE))</f>
        <v>0</v>
      </c>
      <c r="N980" s="297">
        <f>IF(ISNA(VLOOKUP($A980,JumpData,2,FALSE)),0,VLOOKUP($A980,JumpData,2,FALSE))</f>
        <v>0</v>
      </c>
      <c r="O980" s="297">
        <f>IF(ISNA(VLOOKUP($A980,RunData,2,FALSE)),0,VLOOKUP($A980,RunData,2,FALSE))</f>
        <v>0</v>
      </c>
      <c r="P980" s="297">
        <f>IF(ISNA(VLOOKUP($A980,ThrowData,2,FALSE)),0,VLOOKUP($A980,ThrowData,2,FALSE))</f>
        <v>0</v>
      </c>
      <c r="Q980" s="298">
        <f>IF(ISNA(VLOOKUP($A980,SprintData,4,FALSE)),0,VLOOKUP($A980,SprintData,4,FALSE))+V980</f>
        <v>0</v>
      </c>
      <c r="R980" s="298">
        <f>IF(ISNA(VLOOKUP($A980,JumpData,4,FALSE)),0,VLOOKUP($A980,JumpData,4,FALSE))+W980</f>
        <v>0</v>
      </c>
      <c r="S980" s="298">
        <f>IF(ISNA(VLOOKUP($A980,RunData,4,FALSE)),0,VLOOKUP($A980,RunData,4,FALSE))+X980</f>
        <v>0</v>
      </c>
      <c r="T980" s="298">
        <f>IF(ISNA(VLOOKUP($A980,ThrowData,4,FALSE)),0,VLOOKUP($A980,ThrowData,4,FALSE))+Y980</f>
        <v>0</v>
      </c>
      <c r="U980" s="299">
        <f t="shared" si="2"/>
        <v>0</v>
      </c>
      <c r="V980">
        <f>IF(AND($F980&gt;0,NOT(M980),Flexing),FlexPC,0)</f>
        <v>0</v>
      </c>
      <c r="W980">
        <f>IF(AND($F980&gt;0,NOT(N980),Flexing),FlexPC,0)</f>
        <v>0</v>
      </c>
      <c r="X980">
        <f>IF(AND($F980&gt;0,NOT(O980),Flexing),FlexPC,0)</f>
        <v>0</v>
      </c>
      <c r="Y980">
        <f>IF(AND($F980&gt;0,NOT(P980),Flexing),FlexPC,0)</f>
        <v>0</v>
      </c>
      <c r="AA980" s="209">
        <f t="shared" si="3"/>
        <v>979</v>
      </c>
    </row>
    <row r="981" ht="15.75" customHeight="1">
      <c r="A981" s="206" t="str">
        <f>+Declarations!A981&amp;""</f>
        <v/>
      </c>
      <c r="B981" t="str">
        <f>IF(LEN($A981),IF(LEN(Declarations!$B981)&gt;0,Declarations!$B981,"#"&amp;$A981),"")</f>
        <v/>
      </c>
      <c r="C981" s="209" t="str">
        <f t="array" ref="C981">IF(LEN(INDEX(DECLARATIONS,$AA981,3))&gt;0,INDEX(DECLARATIONS,$AA981,3),"...")</f>
        <v>...</v>
      </c>
      <c r="D981" s="209" t="str">
        <f t="shared" si="1"/>
        <v/>
      </c>
      <c r="E981" s="296" t="str">
        <f t="array" ref="E981">IF(ISNA($AA981),0,INDEX(DECLARATIONS,$AA981,5))</f>
        <v/>
      </c>
      <c r="F981" s="209" t="str">
        <f t="array" ref="F981">IF(ISNA($AA981),0,INDEX(DECLARATIONS,$AA981,7))</f>
        <v/>
      </c>
      <c r="G981" s="209" t="str">
        <f t="array" ref="G981">UPPER(IF(ISNA($AA981),"",INDEX(DECLARATIONS,$AA981,4)))</f>
        <v/>
      </c>
      <c r="H981" t="str">
        <f>IF(AND(A981&gt;0,ISTEXT(B981)),IF(SECNAME="YES",LEFT(B981&amp;" ",FIND(" ",B981&amp;" ")+2)&amp;IF(F981&gt;0," ("&amp;F981&amp;")",""),B981&amp;IF(F981&gt;0," ("&amp;F981&amp;")","")),"#"&amp;$A981)</f>
        <v/>
      </c>
      <c r="I981" s="209">
        <f>IF(LEN($A981)&gt;0,IF(LEN($J981)&gt;0,MATCH(J981,MatchNames,0),EventIndex),0)</f>
        <v>0</v>
      </c>
      <c r="J981" s="209" t="str">
        <f>IF(LEN($A981)&gt;0,IF(LEN(Declarations!$F981)&gt;0,Declarations!$F981,conftype),"")</f>
        <v/>
      </c>
      <c r="M981" s="297">
        <f>IF(ISNA(VLOOKUP($A981,SprintData,2,FALSE)),0,VLOOKUP($A981,SprintData,2,FALSE))</f>
        <v>0</v>
      </c>
      <c r="N981" s="297">
        <f>IF(ISNA(VLOOKUP($A981,JumpData,2,FALSE)),0,VLOOKUP($A981,JumpData,2,FALSE))</f>
        <v>0</v>
      </c>
      <c r="O981" s="297">
        <f>IF(ISNA(VLOOKUP($A981,RunData,2,FALSE)),0,VLOOKUP($A981,RunData,2,FALSE))</f>
        <v>0</v>
      </c>
      <c r="P981" s="297">
        <f>IF(ISNA(VLOOKUP($A981,ThrowData,2,FALSE)),0,VLOOKUP($A981,ThrowData,2,FALSE))</f>
        <v>0</v>
      </c>
      <c r="Q981" s="298">
        <f>IF(ISNA(VLOOKUP($A981,SprintData,4,FALSE)),0,VLOOKUP($A981,SprintData,4,FALSE))+V981</f>
        <v>0</v>
      </c>
      <c r="R981" s="298">
        <f>IF(ISNA(VLOOKUP($A981,JumpData,4,FALSE)),0,VLOOKUP($A981,JumpData,4,FALSE))+W981</f>
        <v>0</v>
      </c>
      <c r="S981" s="298">
        <f>IF(ISNA(VLOOKUP($A981,RunData,4,FALSE)),0,VLOOKUP($A981,RunData,4,FALSE))+X981</f>
        <v>0</v>
      </c>
      <c r="T981" s="298">
        <f>IF(ISNA(VLOOKUP($A981,ThrowData,4,FALSE)),0,VLOOKUP($A981,ThrowData,4,FALSE))+Y981</f>
        <v>0</v>
      </c>
      <c r="U981" s="299">
        <f t="shared" si="2"/>
        <v>0</v>
      </c>
      <c r="V981">
        <f>IF(AND($F981&gt;0,NOT(M981),Flexing),FlexPC,0)</f>
        <v>0</v>
      </c>
      <c r="W981">
        <f>IF(AND($F981&gt;0,NOT(N981),Flexing),FlexPC,0)</f>
        <v>0</v>
      </c>
      <c r="X981">
        <f>IF(AND($F981&gt;0,NOT(O981),Flexing),FlexPC,0)</f>
        <v>0</v>
      </c>
      <c r="Y981">
        <f>IF(AND($F981&gt;0,NOT(P981),Flexing),FlexPC,0)</f>
        <v>0</v>
      </c>
      <c r="AA981" s="209">
        <f t="shared" si="3"/>
        <v>980</v>
      </c>
    </row>
    <row r="982" ht="15.75" customHeight="1">
      <c r="A982" s="206" t="str">
        <f>+Declarations!A982&amp;""</f>
        <v/>
      </c>
      <c r="B982" t="str">
        <f>IF(LEN($A982),IF(LEN(Declarations!$B982)&gt;0,Declarations!$B982,"#"&amp;$A982),"")</f>
        <v/>
      </c>
      <c r="C982" s="209" t="str">
        <f t="array" ref="C982">IF(LEN(INDEX(DECLARATIONS,$AA982,3))&gt;0,INDEX(DECLARATIONS,$AA982,3),"...")</f>
        <v>...</v>
      </c>
      <c r="D982" s="209" t="str">
        <f t="shared" si="1"/>
        <v/>
      </c>
      <c r="E982" s="296" t="str">
        <f t="array" ref="E982">IF(ISNA($AA982),0,INDEX(DECLARATIONS,$AA982,5))</f>
        <v/>
      </c>
      <c r="F982" s="209" t="str">
        <f t="array" ref="F982">IF(ISNA($AA982),0,INDEX(DECLARATIONS,$AA982,7))</f>
        <v/>
      </c>
      <c r="G982" s="209" t="str">
        <f t="array" ref="G982">UPPER(IF(ISNA($AA982),"",INDEX(DECLARATIONS,$AA982,4)))</f>
        <v/>
      </c>
      <c r="H982" t="str">
        <f>IF(AND(A982&gt;0,ISTEXT(B982)),IF(SECNAME="YES",LEFT(B982&amp;" ",FIND(" ",B982&amp;" ")+2)&amp;IF(F982&gt;0," ("&amp;F982&amp;")",""),B982&amp;IF(F982&gt;0," ("&amp;F982&amp;")","")),"#"&amp;$A982)</f>
        <v/>
      </c>
      <c r="I982" s="209">
        <f>IF(LEN($A982)&gt;0,IF(LEN($J982)&gt;0,MATCH(J982,MatchNames,0),EventIndex),0)</f>
        <v>0</v>
      </c>
      <c r="J982" s="209" t="str">
        <f>IF(LEN($A982)&gt;0,IF(LEN(Declarations!$F982)&gt;0,Declarations!$F982,conftype),"")</f>
        <v/>
      </c>
      <c r="M982" s="297">
        <f>IF(ISNA(VLOOKUP($A982,SprintData,2,FALSE)),0,VLOOKUP($A982,SprintData,2,FALSE))</f>
        <v>0</v>
      </c>
      <c r="N982" s="297">
        <f>IF(ISNA(VLOOKUP($A982,JumpData,2,FALSE)),0,VLOOKUP($A982,JumpData,2,FALSE))</f>
        <v>0</v>
      </c>
      <c r="O982" s="297">
        <f>IF(ISNA(VLOOKUP($A982,RunData,2,FALSE)),0,VLOOKUP($A982,RunData,2,FALSE))</f>
        <v>0</v>
      </c>
      <c r="P982" s="297">
        <f>IF(ISNA(VLOOKUP($A982,ThrowData,2,FALSE)),0,VLOOKUP($A982,ThrowData,2,FALSE))</f>
        <v>0</v>
      </c>
      <c r="Q982" s="298">
        <f>IF(ISNA(VLOOKUP($A982,SprintData,4,FALSE)),0,VLOOKUP($A982,SprintData,4,FALSE))+V982</f>
        <v>0</v>
      </c>
      <c r="R982" s="298">
        <f>IF(ISNA(VLOOKUP($A982,JumpData,4,FALSE)),0,VLOOKUP($A982,JumpData,4,FALSE))+W982</f>
        <v>0</v>
      </c>
      <c r="S982" s="298">
        <f>IF(ISNA(VLOOKUP($A982,RunData,4,FALSE)),0,VLOOKUP($A982,RunData,4,FALSE))+X982</f>
        <v>0</v>
      </c>
      <c r="T982" s="298">
        <f>IF(ISNA(VLOOKUP($A982,ThrowData,4,FALSE)),0,VLOOKUP($A982,ThrowData,4,FALSE))+Y982</f>
        <v>0</v>
      </c>
      <c r="U982" s="299">
        <f t="shared" si="2"/>
        <v>0</v>
      </c>
      <c r="V982">
        <f>IF(AND($F982&gt;0,NOT(M982),Flexing),FlexPC,0)</f>
        <v>0</v>
      </c>
      <c r="W982">
        <f>IF(AND($F982&gt;0,NOT(N982),Flexing),FlexPC,0)</f>
        <v>0</v>
      </c>
      <c r="X982">
        <f>IF(AND($F982&gt;0,NOT(O982),Flexing),FlexPC,0)</f>
        <v>0</v>
      </c>
      <c r="Y982">
        <f>IF(AND($F982&gt;0,NOT(P982),Flexing),FlexPC,0)</f>
        <v>0</v>
      </c>
      <c r="AA982" s="209">
        <f t="shared" si="3"/>
        <v>981</v>
      </c>
    </row>
    <row r="983" ht="15.75" customHeight="1">
      <c r="A983" s="206" t="str">
        <f>+Declarations!A983&amp;""</f>
        <v/>
      </c>
      <c r="B983" t="str">
        <f>IF(LEN($A983),IF(LEN(Declarations!$B983)&gt;0,Declarations!$B983,"#"&amp;$A983),"")</f>
        <v/>
      </c>
      <c r="C983" s="209" t="str">
        <f t="array" ref="C983">IF(LEN(INDEX(DECLARATIONS,$AA983,3))&gt;0,INDEX(DECLARATIONS,$AA983,3),"...")</f>
        <v>...</v>
      </c>
      <c r="D983" s="209" t="str">
        <f t="shared" si="1"/>
        <v/>
      </c>
      <c r="E983" s="296" t="str">
        <f t="array" ref="E983">IF(ISNA($AA983),0,INDEX(DECLARATIONS,$AA983,5))</f>
        <v/>
      </c>
      <c r="F983" s="209" t="str">
        <f t="array" ref="F983">IF(ISNA($AA983),0,INDEX(DECLARATIONS,$AA983,7))</f>
        <v/>
      </c>
      <c r="G983" s="209" t="str">
        <f t="array" ref="G983">UPPER(IF(ISNA($AA983),"",INDEX(DECLARATIONS,$AA983,4)))</f>
        <v/>
      </c>
      <c r="H983" t="str">
        <f>IF(AND(A983&gt;0,ISTEXT(B983)),IF(SECNAME="YES",LEFT(B983&amp;" ",FIND(" ",B983&amp;" ")+2)&amp;IF(F983&gt;0," ("&amp;F983&amp;")",""),B983&amp;IF(F983&gt;0," ("&amp;F983&amp;")","")),"#"&amp;$A983)</f>
        <v/>
      </c>
      <c r="I983" s="209">
        <f>IF(LEN($A983)&gt;0,IF(LEN($J983)&gt;0,MATCH(J983,MatchNames,0),EventIndex),0)</f>
        <v>0</v>
      </c>
      <c r="J983" s="209" t="str">
        <f>IF(LEN($A983)&gt;0,IF(LEN(Declarations!$F983)&gt;0,Declarations!$F983,conftype),"")</f>
        <v/>
      </c>
      <c r="M983" s="297">
        <f>IF(ISNA(VLOOKUP($A983,SprintData,2,FALSE)),0,VLOOKUP($A983,SprintData,2,FALSE))</f>
        <v>0</v>
      </c>
      <c r="N983" s="297">
        <f>IF(ISNA(VLOOKUP($A983,JumpData,2,FALSE)),0,VLOOKUP($A983,JumpData,2,FALSE))</f>
        <v>0</v>
      </c>
      <c r="O983" s="297">
        <f>IF(ISNA(VLOOKUP($A983,RunData,2,FALSE)),0,VLOOKUP($A983,RunData,2,FALSE))</f>
        <v>0</v>
      </c>
      <c r="P983" s="297">
        <f>IF(ISNA(VLOOKUP($A983,ThrowData,2,FALSE)),0,VLOOKUP($A983,ThrowData,2,FALSE))</f>
        <v>0</v>
      </c>
      <c r="Q983" s="298">
        <f>IF(ISNA(VLOOKUP($A983,SprintData,4,FALSE)),0,VLOOKUP($A983,SprintData,4,FALSE))+V983</f>
        <v>0</v>
      </c>
      <c r="R983" s="298">
        <f>IF(ISNA(VLOOKUP($A983,JumpData,4,FALSE)),0,VLOOKUP($A983,JumpData,4,FALSE))+W983</f>
        <v>0</v>
      </c>
      <c r="S983" s="298">
        <f>IF(ISNA(VLOOKUP($A983,RunData,4,FALSE)),0,VLOOKUP($A983,RunData,4,FALSE))+X983</f>
        <v>0</v>
      </c>
      <c r="T983" s="298">
        <f>IF(ISNA(VLOOKUP($A983,ThrowData,4,FALSE)),0,VLOOKUP($A983,ThrowData,4,FALSE))+Y983</f>
        <v>0</v>
      </c>
      <c r="U983" s="299">
        <f t="shared" si="2"/>
        <v>0</v>
      </c>
      <c r="V983">
        <f>IF(AND($F983&gt;0,NOT(M983),Flexing),FlexPC,0)</f>
        <v>0</v>
      </c>
      <c r="W983">
        <f>IF(AND($F983&gt;0,NOT(N983),Flexing),FlexPC,0)</f>
        <v>0</v>
      </c>
      <c r="X983">
        <f>IF(AND($F983&gt;0,NOT(O983),Flexing),FlexPC,0)</f>
        <v>0</v>
      </c>
      <c r="Y983">
        <f>IF(AND($F983&gt;0,NOT(P983),Flexing),FlexPC,0)</f>
        <v>0</v>
      </c>
      <c r="AA983" s="209">
        <f t="shared" si="3"/>
        <v>982</v>
      </c>
    </row>
    <row r="984" ht="15.75" customHeight="1">
      <c r="A984" s="206" t="str">
        <f>+Declarations!A984&amp;""</f>
        <v/>
      </c>
      <c r="B984" t="str">
        <f>IF(LEN($A984),IF(LEN(Declarations!$B984)&gt;0,Declarations!$B984,"#"&amp;$A984),"")</f>
        <v/>
      </c>
      <c r="C984" s="209" t="str">
        <f t="array" ref="C984">IF(LEN(INDEX(DECLARATIONS,$AA984,3))&gt;0,INDEX(DECLARATIONS,$AA984,3),"...")</f>
        <v>...</v>
      </c>
      <c r="D984" s="209" t="str">
        <f t="shared" si="1"/>
        <v/>
      </c>
      <c r="E984" s="296" t="str">
        <f t="array" ref="E984">IF(ISNA($AA984),0,INDEX(DECLARATIONS,$AA984,5))</f>
        <v/>
      </c>
      <c r="F984" s="209" t="str">
        <f t="array" ref="F984">IF(ISNA($AA984),0,INDEX(DECLARATIONS,$AA984,7))</f>
        <v/>
      </c>
      <c r="G984" s="209" t="str">
        <f t="array" ref="G984">UPPER(IF(ISNA($AA984),"",INDEX(DECLARATIONS,$AA984,4)))</f>
        <v/>
      </c>
      <c r="H984" t="str">
        <f>IF(AND(A984&gt;0,ISTEXT(B984)),IF(SECNAME="YES",LEFT(B984&amp;" ",FIND(" ",B984&amp;" ")+2)&amp;IF(F984&gt;0," ("&amp;F984&amp;")",""),B984&amp;IF(F984&gt;0," ("&amp;F984&amp;")","")),"#"&amp;$A984)</f>
        <v/>
      </c>
      <c r="I984" s="209">
        <f>IF(LEN($A984)&gt;0,IF(LEN($J984)&gt;0,MATCH(J984,MatchNames,0),EventIndex),0)</f>
        <v>0</v>
      </c>
      <c r="J984" s="209" t="str">
        <f>IF(LEN($A984)&gt;0,IF(LEN(Declarations!$F984)&gt;0,Declarations!$F984,conftype),"")</f>
        <v/>
      </c>
      <c r="M984" s="297">
        <f>IF(ISNA(VLOOKUP($A984,SprintData,2,FALSE)),0,VLOOKUP($A984,SprintData,2,FALSE))</f>
        <v>0</v>
      </c>
      <c r="N984" s="297">
        <f>IF(ISNA(VLOOKUP($A984,JumpData,2,FALSE)),0,VLOOKUP($A984,JumpData,2,FALSE))</f>
        <v>0</v>
      </c>
      <c r="O984" s="297">
        <f>IF(ISNA(VLOOKUP($A984,RunData,2,FALSE)),0,VLOOKUP($A984,RunData,2,FALSE))</f>
        <v>0</v>
      </c>
      <c r="P984" s="297">
        <f>IF(ISNA(VLOOKUP($A984,ThrowData,2,FALSE)),0,VLOOKUP($A984,ThrowData,2,FALSE))</f>
        <v>0</v>
      </c>
      <c r="Q984" s="298">
        <f>IF(ISNA(VLOOKUP($A984,SprintData,4,FALSE)),0,VLOOKUP($A984,SprintData,4,FALSE))+V984</f>
        <v>0</v>
      </c>
      <c r="R984" s="298">
        <f>IF(ISNA(VLOOKUP($A984,JumpData,4,FALSE)),0,VLOOKUP($A984,JumpData,4,FALSE))+W984</f>
        <v>0</v>
      </c>
      <c r="S984" s="298">
        <f>IF(ISNA(VLOOKUP($A984,RunData,4,FALSE)),0,VLOOKUP($A984,RunData,4,FALSE))+X984</f>
        <v>0</v>
      </c>
      <c r="T984" s="298">
        <f>IF(ISNA(VLOOKUP($A984,ThrowData,4,FALSE)),0,VLOOKUP($A984,ThrowData,4,FALSE))+Y984</f>
        <v>0</v>
      </c>
      <c r="U984" s="299">
        <f t="shared" si="2"/>
        <v>0</v>
      </c>
      <c r="V984">
        <f>IF(AND($F984&gt;0,NOT(M984),Flexing),FlexPC,0)</f>
        <v>0</v>
      </c>
      <c r="W984">
        <f>IF(AND($F984&gt;0,NOT(N984),Flexing),FlexPC,0)</f>
        <v>0</v>
      </c>
      <c r="X984">
        <f>IF(AND($F984&gt;0,NOT(O984),Flexing),FlexPC,0)</f>
        <v>0</v>
      </c>
      <c r="Y984">
        <f>IF(AND($F984&gt;0,NOT(P984),Flexing),FlexPC,0)</f>
        <v>0</v>
      </c>
      <c r="AA984" s="209">
        <f t="shared" si="3"/>
        <v>983</v>
      </c>
    </row>
    <row r="985" ht="15.75" customHeight="1">
      <c r="A985" s="206" t="str">
        <f>+Declarations!A985&amp;""</f>
        <v/>
      </c>
      <c r="B985" t="str">
        <f>IF(LEN($A985),IF(LEN(Declarations!$B985)&gt;0,Declarations!$B985,"#"&amp;$A985),"")</f>
        <v/>
      </c>
      <c r="C985" s="209" t="str">
        <f t="array" ref="C985">IF(LEN(INDEX(DECLARATIONS,$AA985,3))&gt;0,INDEX(DECLARATIONS,$AA985,3),"...")</f>
        <v>...</v>
      </c>
      <c r="D985" s="209" t="str">
        <f t="shared" si="1"/>
        <v/>
      </c>
      <c r="E985" s="296" t="str">
        <f t="array" ref="E985">IF(ISNA($AA985),0,INDEX(DECLARATIONS,$AA985,5))</f>
        <v/>
      </c>
      <c r="F985" s="209" t="str">
        <f t="array" ref="F985">IF(ISNA($AA985),0,INDEX(DECLARATIONS,$AA985,7))</f>
        <v/>
      </c>
      <c r="G985" s="209" t="str">
        <f t="array" ref="G985">UPPER(IF(ISNA($AA985),"",INDEX(DECLARATIONS,$AA985,4)))</f>
        <v/>
      </c>
      <c r="H985" t="str">
        <f>IF(AND(A985&gt;0,ISTEXT(B985)),IF(SECNAME="YES",LEFT(B985&amp;" ",FIND(" ",B985&amp;" ")+2)&amp;IF(F985&gt;0," ("&amp;F985&amp;")",""),B985&amp;IF(F985&gt;0," ("&amp;F985&amp;")","")),"#"&amp;$A985)</f>
        <v/>
      </c>
      <c r="I985" s="209">
        <f>IF(LEN($A985)&gt;0,IF(LEN($J985)&gt;0,MATCH(J985,MatchNames,0),EventIndex),0)</f>
        <v>0</v>
      </c>
      <c r="J985" s="209" t="str">
        <f>IF(LEN($A985)&gt;0,IF(LEN(Declarations!$F985)&gt;0,Declarations!$F985,conftype),"")</f>
        <v/>
      </c>
      <c r="M985" s="297">
        <f>IF(ISNA(VLOOKUP($A985,SprintData,2,FALSE)),0,VLOOKUP($A985,SprintData,2,FALSE))</f>
        <v>0</v>
      </c>
      <c r="N985" s="297">
        <f>IF(ISNA(VLOOKUP($A985,JumpData,2,FALSE)),0,VLOOKUP($A985,JumpData,2,FALSE))</f>
        <v>0</v>
      </c>
      <c r="O985" s="297">
        <f>IF(ISNA(VLOOKUP($A985,RunData,2,FALSE)),0,VLOOKUP($A985,RunData,2,FALSE))</f>
        <v>0</v>
      </c>
      <c r="P985" s="297">
        <f>IF(ISNA(VLOOKUP($A985,ThrowData,2,FALSE)),0,VLOOKUP($A985,ThrowData,2,FALSE))</f>
        <v>0</v>
      </c>
      <c r="Q985" s="298">
        <f>IF(ISNA(VLOOKUP($A985,SprintData,4,FALSE)),0,VLOOKUP($A985,SprintData,4,FALSE))+V985</f>
        <v>0</v>
      </c>
      <c r="R985" s="298">
        <f>IF(ISNA(VLOOKUP($A985,JumpData,4,FALSE)),0,VLOOKUP($A985,JumpData,4,FALSE))+W985</f>
        <v>0</v>
      </c>
      <c r="S985" s="298">
        <f>IF(ISNA(VLOOKUP($A985,RunData,4,FALSE)),0,VLOOKUP($A985,RunData,4,FALSE))+X985</f>
        <v>0</v>
      </c>
      <c r="T985" s="298">
        <f>IF(ISNA(VLOOKUP($A985,ThrowData,4,FALSE)),0,VLOOKUP($A985,ThrowData,4,FALSE))+Y985</f>
        <v>0</v>
      </c>
      <c r="U985" s="299">
        <f t="shared" si="2"/>
        <v>0</v>
      </c>
      <c r="V985">
        <f>IF(AND($F985&gt;0,NOT(M985),Flexing),FlexPC,0)</f>
        <v>0</v>
      </c>
      <c r="W985">
        <f>IF(AND($F985&gt;0,NOT(N985),Flexing),FlexPC,0)</f>
        <v>0</v>
      </c>
      <c r="X985">
        <f>IF(AND($F985&gt;0,NOT(O985),Flexing),FlexPC,0)</f>
        <v>0</v>
      </c>
      <c r="Y985">
        <f>IF(AND($F985&gt;0,NOT(P985),Flexing),FlexPC,0)</f>
        <v>0</v>
      </c>
      <c r="AA985" s="209">
        <f t="shared" si="3"/>
        <v>984</v>
      </c>
    </row>
    <row r="986" ht="15.75" customHeight="1">
      <c r="A986" s="206" t="str">
        <f>+Declarations!A986&amp;""</f>
        <v/>
      </c>
      <c r="B986" t="str">
        <f>IF(LEN($A986),IF(LEN(Declarations!$B986)&gt;0,Declarations!$B986,"#"&amp;$A986),"")</f>
        <v/>
      </c>
      <c r="C986" s="209" t="str">
        <f t="array" ref="C986">IF(LEN(INDEX(DECLARATIONS,$AA986,3))&gt;0,INDEX(DECLARATIONS,$AA986,3),"...")</f>
        <v>...</v>
      </c>
      <c r="D986" s="209" t="str">
        <f t="shared" si="1"/>
        <v/>
      </c>
      <c r="E986" s="296" t="str">
        <f t="array" ref="E986">IF(ISNA($AA986),0,INDEX(DECLARATIONS,$AA986,5))</f>
        <v/>
      </c>
      <c r="F986" s="209" t="str">
        <f t="array" ref="F986">IF(ISNA($AA986),0,INDEX(DECLARATIONS,$AA986,7))</f>
        <v/>
      </c>
      <c r="G986" s="209" t="str">
        <f t="array" ref="G986">UPPER(IF(ISNA($AA986),"",INDEX(DECLARATIONS,$AA986,4)))</f>
        <v/>
      </c>
      <c r="H986" t="str">
        <f>IF(AND(A986&gt;0,ISTEXT(B986)),IF(SECNAME="YES",LEFT(B986&amp;" ",FIND(" ",B986&amp;" ")+2)&amp;IF(F986&gt;0," ("&amp;F986&amp;")",""),B986&amp;IF(F986&gt;0," ("&amp;F986&amp;")","")),"#"&amp;$A986)</f>
        <v/>
      </c>
      <c r="I986" s="209">
        <f>IF(LEN($A986)&gt;0,IF(LEN($J986)&gt;0,MATCH(J986,MatchNames,0),EventIndex),0)</f>
        <v>0</v>
      </c>
      <c r="J986" s="209" t="str">
        <f>IF(LEN($A986)&gt;0,IF(LEN(Declarations!$F986)&gt;0,Declarations!$F986,conftype),"")</f>
        <v/>
      </c>
      <c r="M986" s="297">
        <f>IF(ISNA(VLOOKUP($A986,SprintData,2,FALSE)),0,VLOOKUP($A986,SprintData,2,FALSE))</f>
        <v>0</v>
      </c>
      <c r="N986" s="297">
        <f>IF(ISNA(VLOOKUP($A986,JumpData,2,FALSE)),0,VLOOKUP($A986,JumpData,2,FALSE))</f>
        <v>0</v>
      </c>
      <c r="O986" s="297">
        <f>IF(ISNA(VLOOKUP($A986,RunData,2,FALSE)),0,VLOOKUP($A986,RunData,2,FALSE))</f>
        <v>0</v>
      </c>
      <c r="P986" s="297">
        <f>IF(ISNA(VLOOKUP($A986,ThrowData,2,FALSE)),0,VLOOKUP($A986,ThrowData,2,FALSE))</f>
        <v>0</v>
      </c>
      <c r="Q986" s="298">
        <f>IF(ISNA(VLOOKUP($A986,SprintData,4,FALSE)),0,VLOOKUP($A986,SprintData,4,FALSE))+V986</f>
        <v>0</v>
      </c>
      <c r="R986" s="298">
        <f>IF(ISNA(VLOOKUP($A986,JumpData,4,FALSE)),0,VLOOKUP($A986,JumpData,4,FALSE))+W986</f>
        <v>0</v>
      </c>
      <c r="S986" s="298">
        <f>IF(ISNA(VLOOKUP($A986,RunData,4,FALSE)),0,VLOOKUP($A986,RunData,4,FALSE))+X986</f>
        <v>0</v>
      </c>
      <c r="T986" s="298">
        <f>IF(ISNA(VLOOKUP($A986,ThrowData,4,FALSE)),0,VLOOKUP($A986,ThrowData,4,FALSE))+Y986</f>
        <v>0</v>
      </c>
      <c r="U986" s="299">
        <f t="shared" si="2"/>
        <v>0</v>
      </c>
      <c r="V986">
        <f>IF(AND($F986&gt;0,NOT(M986),Flexing),FlexPC,0)</f>
        <v>0</v>
      </c>
      <c r="W986">
        <f>IF(AND($F986&gt;0,NOT(N986),Flexing),FlexPC,0)</f>
        <v>0</v>
      </c>
      <c r="X986">
        <f>IF(AND($F986&gt;0,NOT(O986),Flexing),FlexPC,0)</f>
        <v>0</v>
      </c>
      <c r="Y986">
        <f>IF(AND($F986&gt;0,NOT(P986),Flexing),FlexPC,0)</f>
        <v>0</v>
      </c>
      <c r="AA986" s="209">
        <f t="shared" si="3"/>
        <v>985</v>
      </c>
    </row>
    <row r="987" ht="15.75" customHeight="1">
      <c r="A987" s="206" t="str">
        <f>+Declarations!A987&amp;""</f>
        <v/>
      </c>
      <c r="B987" t="str">
        <f>IF(LEN($A987),IF(LEN(Declarations!$B987)&gt;0,Declarations!$B987,"#"&amp;$A987),"")</f>
        <v/>
      </c>
      <c r="C987" s="209" t="str">
        <f t="array" ref="C987">IF(LEN(INDEX(DECLARATIONS,$AA987,3))&gt;0,INDEX(DECLARATIONS,$AA987,3),"...")</f>
        <v>...</v>
      </c>
      <c r="D987" s="209" t="str">
        <f t="shared" si="1"/>
        <v/>
      </c>
      <c r="E987" s="296" t="str">
        <f t="array" ref="E987">IF(ISNA($AA987),0,INDEX(DECLARATIONS,$AA987,5))</f>
        <v/>
      </c>
      <c r="F987" s="209" t="str">
        <f t="array" ref="F987">IF(ISNA($AA987),0,INDEX(DECLARATIONS,$AA987,7))</f>
        <v/>
      </c>
      <c r="G987" s="209" t="str">
        <f t="array" ref="G987">UPPER(IF(ISNA($AA987),"",INDEX(DECLARATIONS,$AA987,4)))</f>
        <v/>
      </c>
      <c r="H987" t="str">
        <f>IF(AND(A987&gt;0,ISTEXT(B987)),IF(SECNAME="YES",LEFT(B987&amp;" ",FIND(" ",B987&amp;" ")+2)&amp;IF(F987&gt;0," ("&amp;F987&amp;")",""),B987&amp;IF(F987&gt;0," ("&amp;F987&amp;")","")),"#"&amp;$A987)</f>
        <v/>
      </c>
      <c r="I987" s="209">
        <f>IF(LEN($A987)&gt;0,IF(LEN($J987)&gt;0,MATCH(J987,MatchNames,0),EventIndex),0)</f>
        <v>0</v>
      </c>
      <c r="J987" s="209" t="str">
        <f>IF(LEN($A987)&gt;0,IF(LEN(Declarations!$F987)&gt;0,Declarations!$F987,conftype),"")</f>
        <v/>
      </c>
      <c r="M987" s="297">
        <f>IF(ISNA(VLOOKUP($A987,SprintData,2,FALSE)),0,VLOOKUP($A987,SprintData,2,FALSE))</f>
        <v>0</v>
      </c>
      <c r="N987" s="297">
        <f>IF(ISNA(VLOOKUP($A987,JumpData,2,FALSE)),0,VLOOKUP($A987,JumpData,2,FALSE))</f>
        <v>0</v>
      </c>
      <c r="O987" s="297">
        <f>IF(ISNA(VLOOKUP($A987,RunData,2,FALSE)),0,VLOOKUP($A987,RunData,2,FALSE))</f>
        <v>0</v>
      </c>
      <c r="P987" s="297">
        <f>IF(ISNA(VLOOKUP($A987,ThrowData,2,FALSE)),0,VLOOKUP($A987,ThrowData,2,FALSE))</f>
        <v>0</v>
      </c>
      <c r="Q987" s="298">
        <f>IF(ISNA(VLOOKUP($A987,SprintData,4,FALSE)),0,VLOOKUP($A987,SprintData,4,FALSE))+V987</f>
        <v>0</v>
      </c>
      <c r="R987" s="298">
        <f>IF(ISNA(VLOOKUP($A987,JumpData,4,FALSE)),0,VLOOKUP($A987,JumpData,4,FALSE))+W987</f>
        <v>0</v>
      </c>
      <c r="S987" s="298">
        <f>IF(ISNA(VLOOKUP($A987,RunData,4,FALSE)),0,VLOOKUP($A987,RunData,4,FALSE))+X987</f>
        <v>0</v>
      </c>
      <c r="T987" s="298">
        <f>IF(ISNA(VLOOKUP($A987,ThrowData,4,FALSE)),0,VLOOKUP($A987,ThrowData,4,FALSE))+Y987</f>
        <v>0</v>
      </c>
      <c r="U987" s="299">
        <f t="shared" si="2"/>
        <v>0</v>
      </c>
      <c r="V987">
        <f>IF(AND($F987&gt;0,NOT(M987),Flexing),FlexPC,0)</f>
        <v>0</v>
      </c>
      <c r="W987">
        <f>IF(AND($F987&gt;0,NOT(N987),Flexing),FlexPC,0)</f>
        <v>0</v>
      </c>
      <c r="X987">
        <f>IF(AND($F987&gt;0,NOT(O987),Flexing),FlexPC,0)</f>
        <v>0</v>
      </c>
      <c r="Y987">
        <f>IF(AND($F987&gt;0,NOT(P987),Flexing),FlexPC,0)</f>
        <v>0</v>
      </c>
      <c r="AA987" s="209">
        <f t="shared" si="3"/>
        <v>986</v>
      </c>
    </row>
    <row r="988" ht="15.75" customHeight="1">
      <c r="A988" s="206" t="str">
        <f>+Declarations!A988&amp;""</f>
        <v/>
      </c>
      <c r="B988" t="str">
        <f>IF(LEN($A988),IF(LEN(Declarations!$B988)&gt;0,Declarations!$B988,"#"&amp;$A988),"")</f>
        <v/>
      </c>
      <c r="C988" s="209" t="str">
        <f t="array" ref="C988">IF(LEN(INDEX(DECLARATIONS,$AA988,3))&gt;0,INDEX(DECLARATIONS,$AA988,3),"...")</f>
        <v>...</v>
      </c>
      <c r="D988" s="209" t="str">
        <f t="shared" si="1"/>
        <v/>
      </c>
      <c r="E988" s="296" t="str">
        <f t="array" ref="E988">IF(ISNA($AA988),0,INDEX(DECLARATIONS,$AA988,5))</f>
        <v/>
      </c>
      <c r="F988" s="209" t="str">
        <f t="array" ref="F988">IF(ISNA($AA988),0,INDEX(DECLARATIONS,$AA988,7))</f>
        <v/>
      </c>
      <c r="G988" s="209" t="str">
        <f t="array" ref="G988">UPPER(IF(ISNA($AA988),"",INDEX(DECLARATIONS,$AA988,4)))</f>
        <v/>
      </c>
      <c r="H988" t="str">
        <f>IF(AND(A988&gt;0,ISTEXT(B988)),IF(SECNAME="YES",LEFT(B988&amp;" ",FIND(" ",B988&amp;" ")+2)&amp;IF(F988&gt;0," ("&amp;F988&amp;")",""),B988&amp;IF(F988&gt;0," ("&amp;F988&amp;")","")),"#"&amp;$A988)</f>
        <v/>
      </c>
      <c r="I988" s="209">
        <f>IF(LEN($A988)&gt;0,IF(LEN($J988)&gt;0,MATCH(J988,MatchNames,0),EventIndex),0)</f>
        <v>0</v>
      </c>
      <c r="J988" s="209" t="str">
        <f>IF(LEN($A988)&gt;0,IF(LEN(Declarations!$F988)&gt;0,Declarations!$F988,conftype),"")</f>
        <v/>
      </c>
      <c r="M988" s="297">
        <f>IF(ISNA(VLOOKUP($A988,SprintData,2,FALSE)),0,VLOOKUP($A988,SprintData,2,FALSE))</f>
        <v>0</v>
      </c>
      <c r="N988" s="297">
        <f>IF(ISNA(VLOOKUP($A988,JumpData,2,FALSE)),0,VLOOKUP($A988,JumpData,2,FALSE))</f>
        <v>0</v>
      </c>
      <c r="O988" s="297">
        <f>IF(ISNA(VLOOKUP($A988,RunData,2,FALSE)),0,VLOOKUP($A988,RunData,2,FALSE))</f>
        <v>0</v>
      </c>
      <c r="P988" s="297">
        <f>IF(ISNA(VLOOKUP($A988,ThrowData,2,FALSE)),0,VLOOKUP($A988,ThrowData,2,FALSE))</f>
        <v>0</v>
      </c>
      <c r="Q988" s="298">
        <f>IF(ISNA(VLOOKUP($A988,SprintData,4,FALSE)),0,VLOOKUP($A988,SprintData,4,FALSE))+V988</f>
        <v>0</v>
      </c>
      <c r="R988" s="298">
        <f>IF(ISNA(VLOOKUP($A988,JumpData,4,FALSE)),0,VLOOKUP($A988,JumpData,4,FALSE))+W988</f>
        <v>0</v>
      </c>
      <c r="S988" s="298">
        <f>IF(ISNA(VLOOKUP($A988,RunData,4,FALSE)),0,VLOOKUP($A988,RunData,4,FALSE))+X988</f>
        <v>0</v>
      </c>
      <c r="T988" s="298">
        <f>IF(ISNA(VLOOKUP($A988,ThrowData,4,FALSE)),0,VLOOKUP($A988,ThrowData,4,FALSE))+Y988</f>
        <v>0</v>
      </c>
      <c r="U988" s="299">
        <f t="shared" si="2"/>
        <v>0</v>
      </c>
      <c r="V988">
        <f>IF(AND($F988&gt;0,NOT(M988),Flexing),FlexPC,0)</f>
        <v>0</v>
      </c>
      <c r="W988">
        <f>IF(AND($F988&gt;0,NOT(N988),Flexing),FlexPC,0)</f>
        <v>0</v>
      </c>
      <c r="X988">
        <f>IF(AND($F988&gt;0,NOT(O988),Flexing),FlexPC,0)</f>
        <v>0</v>
      </c>
      <c r="Y988">
        <f>IF(AND($F988&gt;0,NOT(P988),Flexing),FlexPC,0)</f>
        <v>0</v>
      </c>
      <c r="AA988" s="209">
        <f t="shared" si="3"/>
        <v>987</v>
      </c>
    </row>
    <row r="989" ht="15.75" customHeight="1">
      <c r="A989" s="206" t="str">
        <f>+Declarations!A989&amp;""</f>
        <v/>
      </c>
      <c r="B989" t="str">
        <f>IF(LEN($A989),IF(LEN(Declarations!$B989)&gt;0,Declarations!$B989,"#"&amp;$A989),"")</f>
        <v/>
      </c>
      <c r="C989" s="209" t="str">
        <f t="array" ref="C989">IF(LEN(INDEX(DECLARATIONS,$AA989,3))&gt;0,INDEX(DECLARATIONS,$AA989,3),"...")</f>
        <v>...</v>
      </c>
      <c r="D989" s="209" t="str">
        <f t="shared" si="1"/>
        <v/>
      </c>
      <c r="E989" s="296" t="str">
        <f t="array" ref="E989">IF(ISNA($AA989),0,INDEX(DECLARATIONS,$AA989,5))</f>
        <v/>
      </c>
      <c r="F989" s="209" t="str">
        <f t="array" ref="F989">IF(ISNA($AA989),0,INDEX(DECLARATIONS,$AA989,7))</f>
        <v/>
      </c>
      <c r="G989" s="209" t="str">
        <f t="array" ref="G989">UPPER(IF(ISNA($AA989),"",INDEX(DECLARATIONS,$AA989,4)))</f>
        <v/>
      </c>
      <c r="H989" t="str">
        <f>IF(AND(A989&gt;0,ISTEXT(B989)),IF(SECNAME="YES",LEFT(B989&amp;" ",FIND(" ",B989&amp;" ")+2)&amp;IF(F989&gt;0," ("&amp;F989&amp;")",""),B989&amp;IF(F989&gt;0," ("&amp;F989&amp;")","")),"#"&amp;$A989)</f>
        <v/>
      </c>
      <c r="I989" s="209">
        <f>IF(LEN($A989)&gt;0,IF(LEN($J989)&gt;0,MATCH(J989,MatchNames,0),EventIndex),0)</f>
        <v>0</v>
      </c>
      <c r="J989" s="209" t="str">
        <f>IF(LEN($A989)&gt;0,IF(LEN(Declarations!$F989)&gt;0,Declarations!$F989,conftype),"")</f>
        <v/>
      </c>
      <c r="M989" s="297">
        <f>IF(ISNA(VLOOKUP($A989,SprintData,2,FALSE)),0,VLOOKUP($A989,SprintData,2,FALSE))</f>
        <v>0</v>
      </c>
      <c r="N989" s="297">
        <f>IF(ISNA(VLOOKUP($A989,JumpData,2,FALSE)),0,VLOOKUP($A989,JumpData,2,FALSE))</f>
        <v>0</v>
      </c>
      <c r="O989" s="297">
        <f>IF(ISNA(VLOOKUP($A989,RunData,2,FALSE)),0,VLOOKUP($A989,RunData,2,FALSE))</f>
        <v>0</v>
      </c>
      <c r="P989" s="297">
        <f>IF(ISNA(VLOOKUP($A989,ThrowData,2,FALSE)),0,VLOOKUP($A989,ThrowData,2,FALSE))</f>
        <v>0</v>
      </c>
      <c r="Q989" s="298">
        <f>IF(ISNA(VLOOKUP($A989,SprintData,4,FALSE)),0,VLOOKUP($A989,SprintData,4,FALSE))+V989</f>
        <v>0</v>
      </c>
      <c r="R989" s="298">
        <f>IF(ISNA(VLOOKUP($A989,JumpData,4,FALSE)),0,VLOOKUP($A989,JumpData,4,FALSE))+W989</f>
        <v>0</v>
      </c>
      <c r="S989" s="298">
        <f>IF(ISNA(VLOOKUP($A989,RunData,4,FALSE)),0,VLOOKUP($A989,RunData,4,FALSE))+X989</f>
        <v>0</v>
      </c>
      <c r="T989" s="298">
        <f>IF(ISNA(VLOOKUP($A989,ThrowData,4,FALSE)),0,VLOOKUP($A989,ThrowData,4,FALSE))+Y989</f>
        <v>0</v>
      </c>
      <c r="U989" s="299">
        <f t="shared" si="2"/>
        <v>0</v>
      </c>
      <c r="V989">
        <f>IF(AND($F989&gt;0,NOT(M989),Flexing),FlexPC,0)</f>
        <v>0</v>
      </c>
      <c r="W989">
        <f>IF(AND($F989&gt;0,NOT(N989),Flexing),FlexPC,0)</f>
        <v>0</v>
      </c>
      <c r="X989">
        <f>IF(AND($F989&gt;0,NOT(O989),Flexing),FlexPC,0)</f>
        <v>0</v>
      </c>
      <c r="Y989">
        <f>IF(AND($F989&gt;0,NOT(P989),Flexing),FlexPC,0)</f>
        <v>0</v>
      </c>
      <c r="AA989" s="209">
        <f t="shared" si="3"/>
        <v>988</v>
      </c>
    </row>
    <row r="990" ht="15.75" customHeight="1">
      <c r="A990" s="206" t="str">
        <f>+Declarations!A990&amp;""</f>
        <v/>
      </c>
      <c r="B990" t="str">
        <f>IF(LEN($A990),IF(LEN(Declarations!$B990)&gt;0,Declarations!$B990,"#"&amp;$A990),"")</f>
        <v/>
      </c>
      <c r="C990" s="209" t="str">
        <f t="array" ref="C990">IF(LEN(INDEX(DECLARATIONS,$AA990,3))&gt;0,INDEX(DECLARATIONS,$AA990,3),"...")</f>
        <v>...</v>
      </c>
      <c r="D990" s="209" t="str">
        <f t="shared" si="1"/>
        <v/>
      </c>
      <c r="E990" s="296" t="str">
        <f t="array" ref="E990">IF(ISNA($AA990),0,INDEX(DECLARATIONS,$AA990,5))</f>
        <v/>
      </c>
      <c r="F990" s="209" t="str">
        <f t="array" ref="F990">IF(ISNA($AA990),0,INDEX(DECLARATIONS,$AA990,7))</f>
        <v/>
      </c>
      <c r="G990" s="209" t="str">
        <f t="array" ref="G990">UPPER(IF(ISNA($AA990),"",INDEX(DECLARATIONS,$AA990,4)))</f>
        <v/>
      </c>
      <c r="H990" t="str">
        <f>IF(AND(A990&gt;0,ISTEXT(B990)),IF(SECNAME="YES",LEFT(B990&amp;" ",FIND(" ",B990&amp;" ")+2)&amp;IF(F990&gt;0," ("&amp;F990&amp;")",""),B990&amp;IF(F990&gt;0," ("&amp;F990&amp;")","")),"#"&amp;$A990)</f>
        <v/>
      </c>
      <c r="I990" s="209">
        <f>IF(LEN($A990)&gt;0,IF(LEN($J990)&gt;0,MATCH(J990,MatchNames,0),EventIndex),0)</f>
        <v>0</v>
      </c>
      <c r="J990" s="209" t="str">
        <f>IF(LEN($A990)&gt;0,IF(LEN(Declarations!$F990)&gt;0,Declarations!$F990,conftype),"")</f>
        <v/>
      </c>
      <c r="M990" s="297">
        <f>IF(ISNA(VLOOKUP($A990,SprintData,2,FALSE)),0,VLOOKUP($A990,SprintData,2,FALSE))</f>
        <v>0</v>
      </c>
      <c r="N990" s="297">
        <f>IF(ISNA(VLOOKUP($A990,JumpData,2,FALSE)),0,VLOOKUP($A990,JumpData,2,FALSE))</f>
        <v>0</v>
      </c>
      <c r="O990" s="297">
        <f>IF(ISNA(VLOOKUP($A990,RunData,2,FALSE)),0,VLOOKUP($A990,RunData,2,FALSE))</f>
        <v>0</v>
      </c>
      <c r="P990" s="297">
        <f>IF(ISNA(VLOOKUP($A990,ThrowData,2,FALSE)),0,VLOOKUP($A990,ThrowData,2,FALSE))</f>
        <v>0</v>
      </c>
      <c r="Q990" s="298">
        <f>IF(ISNA(VLOOKUP($A990,SprintData,4,FALSE)),0,VLOOKUP($A990,SprintData,4,FALSE))+V990</f>
        <v>0</v>
      </c>
      <c r="R990" s="298">
        <f>IF(ISNA(VLOOKUP($A990,JumpData,4,FALSE)),0,VLOOKUP($A990,JumpData,4,FALSE))+W990</f>
        <v>0</v>
      </c>
      <c r="S990" s="298">
        <f>IF(ISNA(VLOOKUP($A990,RunData,4,FALSE)),0,VLOOKUP($A990,RunData,4,FALSE))+X990</f>
        <v>0</v>
      </c>
      <c r="T990" s="298">
        <f>IF(ISNA(VLOOKUP($A990,ThrowData,4,FALSE)),0,VLOOKUP($A990,ThrowData,4,FALSE))+Y990</f>
        <v>0</v>
      </c>
      <c r="U990" s="299">
        <f t="shared" si="2"/>
        <v>0</v>
      </c>
      <c r="V990">
        <f>IF(AND($F990&gt;0,NOT(M990),Flexing),FlexPC,0)</f>
        <v>0</v>
      </c>
      <c r="W990">
        <f>IF(AND($F990&gt;0,NOT(N990),Flexing),FlexPC,0)</f>
        <v>0</v>
      </c>
      <c r="X990">
        <f>IF(AND($F990&gt;0,NOT(O990),Flexing),FlexPC,0)</f>
        <v>0</v>
      </c>
      <c r="Y990">
        <f>IF(AND($F990&gt;0,NOT(P990),Flexing),FlexPC,0)</f>
        <v>0</v>
      </c>
      <c r="AA990" s="209">
        <f t="shared" si="3"/>
        <v>989</v>
      </c>
    </row>
    <row r="991" ht="15.75" customHeight="1">
      <c r="A991" s="206" t="str">
        <f>+Declarations!A991&amp;""</f>
        <v/>
      </c>
      <c r="B991" t="str">
        <f>IF(LEN($A991),IF(LEN(Declarations!$B991)&gt;0,Declarations!$B991,"#"&amp;$A991),"")</f>
        <v/>
      </c>
      <c r="C991" s="209" t="str">
        <f t="array" ref="C991">IF(LEN(INDEX(DECLARATIONS,$AA991,3))&gt;0,INDEX(DECLARATIONS,$AA991,3),"...")</f>
        <v>...</v>
      </c>
      <c r="D991" s="209" t="str">
        <f t="shared" si="1"/>
        <v/>
      </c>
      <c r="E991" s="296" t="str">
        <f t="array" ref="E991">IF(ISNA($AA991),0,INDEX(DECLARATIONS,$AA991,5))</f>
        <v/>
      </c>
      <c r="F991" s="209" t="str">
        <f t="array" ref="F991">IF(ISNA($AA991),0,INDEX(DECLARATIONS,$AA991,7))</f>
        <v/>
      </c>
      <c r="G991" s="209" t="str">
        <f t="array" ref="G991">UPPER(IF(ISNA($AA991),"",INDEX(DECLARATIONS,$AA991,4)))</f>
        <v/>
      </c>
      <c r="H991" t="str">
        <f>IF(AND(A991&gt;0,ISTEXT(B991)),IF(SECNAME="YES",LEFT(B991&amp;" ",FIND(" ",B991&amp;" ")+2)&amp;IF(F991&gt;0," ("&amp;F991&amp;")",""),B991&amp;IF(F991&gt;0," ("&amp;F991&amp;")","")),"#"&amp;$A991)</f>
        <v/>
      </c>
      <c r="I991" s="209">
        <f>IF(LEN($A991)&gt;0,IF(LEN($J991)&gt;0,MATCH(J991,MatchNames,0),EventIndex),0)</f>
        <v>0</v>
      </c>
      <c r="J991" s="209" t="str">
        <f>IF(LEN($A991)&gt;0,IF(LEN(Declarations!$F991)&gt;0,Declarations!$F991,conftype),"")</f>
        <v/>
      </c>
      <c r="M991" s="297">
        <f>IF(ISNA(VLOOKUP($A991,SprintData,2,FALSE)),0,VLOOKUP($A991,SprintData,2,FALSE))</f>
        <v>0</v>
      </c>
      <c r="N991" s="297">
        <f>IF(ISNA(VLOOKUP($A991,JumpData,2,FALSE)),0,VLOOKUP($A991,JumpData,2,FALSE))</f>
        <v>0</v>
      </c>
      <c r="O991" s="297">
        <f>IF(ISNA(VLOOKUP($A991,RunData,2,FALSE)),0,VLOOKUP($A991,RunData,2,FALSE))</f>
        <v>0</v>
      </c>
      <c r="P991" s="297">
        <f>IF(ISNA(VLOOKUP($A991,ThrowData,2,FALSE)),0,VLOOKUP($A991,ThrowData,2,FALSE))</f>
        <v>0</v>
      </c>
      <c r="Q991" s="298">
        <f>IF(ISNA(VLOOKUP($A991,SprintData,4,FALSE)),0,VLOOKUP($A991,SprintData,4,FALSE))+V991</f>
        <v>0</v>
      </c>
      <c r="R991" s="298">
        <f>IF(ISNA(VLOOKUP($A991,JumpData,4,FALSE)),0,VLOOKUP($A991,JumpData,4,FALSE))+W991</f>
        <v>0</v>
      </c>
      <c r="S991" s="298">
        <f>IF(ISNA(VLOOKUP($A991,RunData,4,FALSE)),0,VLOOKUP($A991,RunData,4,FALSE))+X991</f>
        <v>0</v>
      </c>
      <c r="T991" s="298">
        <f>IF(ISNA(VLOOKUP($A991,ThrowData,4,FALSE)),0,VLOOKUP($A991,ThrowData,4,FALSE))+Y991</f>
        <v>0</v>
      </c>
      <c r="U991" s="299">
        <f t="shared" si="2"/>
        <v>0</v>
      </c>
      <c r="V991">
        <f>IF(AND($F991&gt;0,NOT(M991),Flexing),FlexPC,0)</f>
        <v>0</v>
      </c>
      <c r="W991">
        <f>IF(AND($F991&gt;0,NOT(N991),Flexing),FlexPC,0)</f>
        <v>0</v>
      </c>
      <c r="X991">
        <f>IF(AND($F991&gt;0,NOT(O991),Flexing),FlexPC,0)</f>
        <v>0</v>
      </c>
      <c r="Y991">
        <f>IF(AND($F991&gt;0,NOT(P991),Flexing),FlexPC,0)</f>
        <v>0</v>
      </c>
      <c r="AA991" s="209">
        <f t="shared" si="3"/>
        <v>990</v>
      </c>
    </row>
    <row r="992" ht="15.75" customHeight="1">
      <c r="A992" s="206" t="str">
        <f>+Declarations!A992&amp;""</f>
        <v/>
      </c>
      <c r="B992" t="str">
        <f>IF(LEN($A992),IF(LEN(Declarations!$B992)&gt;0,Declarations!$B992,"#"&amp;$A992),"")</f>
        <v/>
      </c>
      <c r="C992" s="209" t="str">
        <f t="array" ref="C992">IF(LEN(INDEX(DECLARATIONS,$AA992,3))&gt;0,INDEX(DECLARATIONS,$AA992,3),"...")</f>
        <v>...</v>
      </c>
      <c r="D992" s="209" t="str">
        <f t="shared" si="1"/>
        <v/>
      </c>
      <c r="E992" s="296" t="str">
        <f t="array" ref="E992">IF(ISNA($AA992),0,INDEX(DECLARATIONS,$AA992,5))</f>
        <v/>
      </c>
      <c r="F992" s="209" t="str">
        <f t="array" ref="F992">IF(ISNA($AA992),0,INDEX(DECLARATIONS,$AA992,7))</f>
        <v/>
      </c>
      <c r="G992" s="209" t="str">
        <f t="array" ref="G992">UPPER(IF(ISNA($AA992),"",INDEX(DECLARATIONS,$AA992,4)))</f>
        <v/>
      </c>
      <c r="H992" t="str">
        <f>IF(AND(A992&gt;0,ISTEXT(B992)),IF(SECNAME="YES",LEFT(B992&amp;" ",FIND(" ",B992&amp;" ")+2)&amp;IF(F992&gt;0," ("&amp;F992&amp;")",""),B992&amp;IF(F992&gt;0," ("&amp;F992&amp;")","")),"#"&amp;$A992)</f>
        <v/>
      </c>
      <c r="I992" s="209">
        <f>IF(LEN($A992)&gt;0,IF(LEN($J992)&gt;0,MATCH(J992,MatchNames,0),EventIndex),0)</f>
        <v>0</v>
      </c>
      <c r="J992" s="209" t="str">
        <f>IF(LEN($A992)&gt;0,IF(LEN(Declarations!$F992)&gt;0,Declarations!$F992,conftype),"")</f>
        <v/>
      </c>
      <c r="M992" s="297">
        <f>IF(ISNA(VLOOKUP($A992,SprintData,2,FALSE)),0,VLOOKUP($A992,SprintData,2,FALSE))</f>
        <v>0</v>
      </c>
      <c r="N992" s="297">
        <f>IF(ISNA(VLOOKUP($A992,JumpData,2,FALSE)),0,VLOOKUP($A992,JumpData,2,FALSE))</f>
        <v>0</v>
      </c>
      <c r="O992" s="297">
        <f>IF(ISNA(VLOOKUP($A992,RunData,2,FALSE)),0,VLOOKUP($A992,RunData,2,FALSE))</f>
        <v>0</v>
      </c>
      <c r="P992" s="297">
        <f>IF(ISNA(VLOOKUP($A992,ThrowData,2,FALSE)),0,VLOOKUP($A992,ThrowData,2,FALSE))</f>
        <v>0</v>
      </c>
      <c r="Q992" s="298">
        <f>IF(ISNA(VLOOKUP($A992,SprintData,4,FALSE)),0,VLOOKUP($A992,SprintData,4,FALSE))+V992</f>
        <v>0</v>
      </c>
      <c r="R992" s="298">
        <f>IF(ISNA(VLOOKUP($A992,JumpData,4,FALSE)),0,VLOOKUP($A992,JumpData,4,FALSE))+W992</f>
        <v>0</v>
      </c>
      <c r="S992" s="298">
        <f>IF(ISNA(VLOOKUP($A992,RunData,4,FALSE)),0,VLOOKUP($A992,RunData,4,FALSE))+X992</f>
        <v>0</v>
      </c>
      <c r="T992" s="298">
        <f>IF(ISNA(VLOOKUP($A992,ThrowData,4,FALSE)),0,VLOOKUP($A992,ThrowData,4,FALSE))+Y992</f>
        <v>0</v>
      </c>
      <c r="U992" s="299">
        <f t="shared" si="2"/>
        <v>0</v>
      </c>
      <c r="V992">
        <f>IF(AND($F992&gt;0,NOT(M992),Flexing),FlexPC,0)</f>
        <v>0</v>
      </c>
      <c r="W992">
        <f>IF(AND($F992&gt;0,NOT(N992),Flexing),FlexPC,0)</f>
        <v>0</v>
      </c>
      <c r="X992">
        <f>IF(AND($F992&gt;0,NOT(O992),Flexing),FlexPC,0)</f>
        <v>0</v>
      </c>
      <c r="Y992">
        <f>IF(AND($F992&gt;0,NOT(P992),Flexing),FlexPC,0)</f>
        <v>0</v>
      </c>
      <c r="AA992" s="209">
        <f t="shared" si="3"/>
        <v>991</v>
      </c>
    </row>
    <row r="993" ht="15.75" customHeight="1">
      <c r="A993" s="206" t="str">
        <f>+Declarations!A993&amp;""</f>
        <v/>
      </c>
      <c r="B993" t="str">
        <f>IF(LEN($A993),IF(LEN(Declarations!$B993)&gt;0,Declarations!$B993,"#"&amp;$A993),"")</f>
        <v/>
      </c>
      <c r="C993" s="209" t="str">
        <f t="array" ref="C993">IF(LEN(INDEX(DECLARATIONS,$AA993,3))&gt;0,INDEX(DECLARATIONS,$AA993,3),"...")</f>
        <v>...</v>
      </c>
      <c r="D993" s="209" t="str">
        <f t="shared" si="1"/>
        <v/>
      </c>
      <c r="E993" s="296" t="str">
        <f t="array" ref="E993">IF(ISNA($AA993),0,INDEX(DECLARATIONS,$AA993,5))</f>
        <v/>
      </c>
      <c r="F993" s="209" t="str">
        <f t="array" ref="F993">IF(ISNA($AA993),0,INDEX(DECLARATIONS,$AA993,7))</f>
        <v/>
      </c>
      <c r="G993" s="209" t="str">
        <f t="array" ref="G993">UPPER(IF(ISNA($AA993),"",INDEX(DECLARATIONS,$AA993,4)))</f>
        <v/>
      </c>
      <c r="H993" t="str">
        <f>IF(AND(A993&gt;0,ISTEXT(B993)),IF(SECNAME="YES",LEFT(B993&amp;" ",FIND(" ",B993&amp;" ")+2)&amp;IF(F993&gt;0," ("&amp;F993&amp;")",""),B993&amp;IF(F993&gt;0," ("&amp;F993&amp;")","")),"#"&amp;$A993)</f>
        <v/>
      </c>
      <c r="I993" s="209">
        <f>IF(LEN($A993)&gt;0,IF(LEN($J993)&gt;0,MATCH(J993,MatchNames,0),EventIndex),0)</f>
        <v>0</v>
      </c>
      <c r="J993" s="209" t="str">
        <f>IF(LEN($A993)&gt;0,IF(LEN(Declarations!$F993)&gt;0,Declarations!$F993,conftype),"")</f>
        <v/>
      </c>
      <c r="M993" s="297">
        <f>IF(ISNA(VLOOKUP($A993,SprintData,2,FALSE)),0,VLOOKUP($A993,SprintData,2,FALSE))</f>
        <v>0</v>
      </c>
      <c r="N993" s="297">
        <f>IF(ISNA(VLOOKUP($A993,JumpData,2,FALSE)),0,VLOOKUP($A993,JumpData,2,FALSE))</f>
        <v>0</v>
      </c>
      <c r="O993" s="297">
        <f>IF(ISNA(VLOOKUP($A993,RunData,2,FALSE)),0,VLOOKUP($A993,RunData,2,FALSE))</f>
        <v>0</v>
      </c>
      <c r="P993" s="297">
        <f>IF(ISNA(VLOOKUP($A993,ThrowData,2,FALSE)),0,VLOOKUP($A993,ThrowData,2,FALSE))</f>
        <v>0</v>
      </c>
      <c r="Q993" s="298">
        <f>IF(ISNA(VLOOKUP($A993,SprintData,4,FALSE)),0,VLOOKUP($A993,SprintData,4,FALSE))+V993</f>
        <v>0</v>
      </c>
      <c r="R993" s="298">
        <f>IF(ISNA(VLOOKUP($A993,JumpData,4,FALSE)),0,VLOOKUP($A993,JumpData,4,FALSE))+W993</f>
        <v>0</v>
      </c>
      <c r="S993" s="298">
        <f>IF(ISNA(VLOOKUP($A993,RunData,4,FALSE)),0,VLOOKUP($A993,RunData,4,FALSE))+X993</f>
        <v>0</v>
      </c>
      <c r="T993" s="298">
        <f>IF(ISNA(VLOOKUP($A993,ThrowData,4,FALSE)),0,VLOOKUP($A993,ThrowData,4,FALSE))+Y993</f>
        <v>0</v>
      </c>
      <c r="U993" s="299">
        <f t="shared" si="2"/>
        <v>0</v>
      </c>
      <c r="V993">
        <f>IF(AND($F993&gt;0,NOT(M993),Flexing),FlexPC,0)</f>
        <v>0</v>
      </c>
      <c r="W993">
        <f>IF(AND($F993&gt;0,NOT(N993),Flexing),FlexPC,0)</f>
        <v>0</v>
      </c>
      <c r="X993">
        <f>IF(AND($F993&gt;0,NOT(O993),Flexing),FlexPC,0)</f>
        <v>0</v>
      </c>
      <c r="Y993">
        <f>IF(AND($F993&gt;0,NOT(P993),Flexing),FlexPC,0)</f>
        <v>0</v>
      </c>
      <c r="AA993" s="209">
        <f t="shared" si="3"/>
        <v>992</v>
      </c>
    </row>
    <row r="994" ht="15.75" customHeight="1">
      <c r="A994" s="206" t="str">
        <f>+Declarations!A994&amp;""</f>
        <v/>
      </c>
      <c r="B994" t="str">
        <f>IF(LEN($A994),IF(LEN(Declarations!$B994)&gt;0,Declarations!$B994,"#"&amp;$A994),"")</f>
        <v/>
      </c>
      <c r="C994" s="209" t="str">
        <f t="array" ref="C994">IF(LEN(INDEX(DECLARATIONS,$AA994,3))&gt;0,INDEX(DECLARATIONS,$AA994,3),"...")</f>
        <v>...</v>
      </c>
      <c r="D994" s="209" t="str">
        <f t="shared" si="1"/>
        <v/>
      </c>
      <c r="E994" s="296" t="str">
        <f t="array" ref="E994">IF(ISNA($AA994),0,INDEX(DECLARATIONS,$AA994,5))</f>
        <v/>
      </c>
      <c r="F994" s="209" t="str">
        <f t="array" ref="F994">IF(ISNA($AA994),0,INDEX(DECLARATIONS,$AA994,7))</f>
        <v/>
      </c>
      <c r="G994" s="209" t="str">
        <f t="array" ref="G994">UPPER(IF(ISNA($AA994),"",INDEX(DECLARATIONS,$AA994,4)))</f>
        <v/>
      </c>
      <c r="H994" t="str">
        <f>IF(AND(A994&gt;0,ISTEXT(B994)),IF(SECNAME="YES",LEFT(B994&amp;" ",FIND(" ",B994&amp;" ")+2)&amp;IF(F994&gt;0," ("&amp;F994&amp;")",""),B994&amp;IF(F994&gt;0," ("&amp;F994&amp;")","")),"#"&amp;$A994)</f>
        <v/>
      </c>
      <c r="I994" s="209">
        <f>IF(LEN($A994)&gt;0,IF(LEN($J994)&gt;0,MATCH(J994,MatchNames,0),EventIndex),0)</f>
        <v>0</v>
      </c>
      <c r="J994" s="209" t="str">
        <f>IF(LEN($A994)&gt;0,IF(LEN(Declarations!$F994)&gt;0,Declarations!$F994,conftype),"")</f>
        <v/>
      </c>
      <c r="M994" s="297">
        <f>IF(ISNA(VLOOKUP($A994,SprintData,2,FALSE)),0,VLOOKUP($A994,SprintData,2,FALSE))</f>
        <v>0</v>
      </c>
      <c r="N994" s="297">
        <f>IF(ISNA(VLOOKUP($A994,JumpData,2,FALSE)),0,VLOOKUP($A994,JumpData,2,FALSE))</f>
        <v>0</v>
      </c>
      <c r="O994" s="297">
        <f>IF(ISNA(VLOOKUP($A994,RunData,2,FALSE)),0,VLOOKUP($A994,RunData,2,FALSE))</f>
        <v>0</v>
      </c>
      <c r="P994" s="297">
        <f>IF(ISNA(VLOOKUP($A994,ThrowData,2,FALSE)),0,VLOOKUP($A994,ThrowData,2,FALSE))</f>
        <v>0</v>
      </c>
      <c r="Q994" s="298">
        <f>IF(ISNA(VLOOKUP($A994,SprintData,4,FALSE)),0,VLOOKUP($A994,SprintData,4,FALSE))+V994</f>
        <v>0</v>
      </c>
      <c r="R994" s="298">
        <f>IF(ISNA(VLOOKUP($A994,JumpData,4,FALSE)),0,VLOOKUP($A994,JumpData,4,FALSE))+W994</f>
        <v>0</v>
      </c>
      <c r="S994" s="298">
        <f>IF(ISNA(VLOOKUP($A994,RunData,4,FALSE)),0,VLOOKUP($A994,RunData,4,FALSE))+X994</f>
        <v>0</v>
      </c>
      <c r="T994" s="298">
        <f>IF(ISNA(VLOOKUP($A994,ThrowData,4,FALSE)),0,VLOOKUP($A994,ThrowData,4,FALSE))+Y994</f>
        <v>0</v>
      </c>
      <c r="U994" s="299">
        <f t="shared" si="2"/>
        <v>0</v>
      </c>
      <c r="V994">
        <f>IF(AND($F994&gt;0,NOT(M994),Flexing),FlexPC,0)</f>
        <v>0</v>
      </c>
      <c r="W994">
        <f>IF(AND($F994&gt;0,NOT(N994),Flexing),FlexPC,0)</f>
        <v>0</v>
      </c>
      <c r="X994">
        <f>IF(AND($F994&gt;0,NOT(O994),Flexing),FlexPC,0)</f>
        <v>0</v>
      </c>
      <c r="Y994">
        <f>IF(AND($F994&gt;0,NOT(P994),Flexing),FlexPC,0)</f>
        <v>0</v>
      </c>
      <c r="AA994" s="209">
        <f t="shared" si="3"/>
        <v>993</v>
      </c>
    </row>
    <row r="995" ht="15.75" customHeight="1">
      <c r="A995" s="206" t="str">
        <f>+Declarations!A995&amp;""</f>
        <v/>
      </c>
      <c r="B995" t="str">
        <f>IF(LEN($A995),IF(LEN(Declarations!$B995)&gt;0,Declarations!$B995,"#"&amp;$A995),"")</f>
        <v/>
      </c>
      <c r="C995" s="209" t="str">
        <f t="array" ref="C995">IF(LEN(INDEX(DECLARATIONS,$AA995,3))&gt;0,INDEX(DECLARATIONS,$AA995,3),"...")</f>
        <v>...</v>
      </c>
      <c r="D995" s="209" t="str">
        <f t="shared" si="1"/>
        <v/>
      </c>
      <c r="E995" s="296" t="str">
        <f t="array" ref="E995">IF(ISNA($AA995),0,INDEX(DECLARATIONS,$AA995,5))</f>
        <v/>
      </c>
      <c r="F995" s="209" t="str">
        <f t="array" ref="F995">IF(ISNA($AA995),0,INDEX(DECLARATIONS,$AA995,7))</f>
        <v/>
      </c>
      <c r="G995" s="209" t="str">
        <f t="array" ref="G995">UPPER(IF(ISNA($AA995),"",INDEX(DECLARATIONS,$AA995,4)))</f>
        <v/>
      </c>
      <c r="H995" t="str">
        <f>IF(AND(A995&gt;0,ISTEXT(B995)),IF(SECNAME="YES",LEFT(B995&amp;" ",FIND(" ",B995&amp;" ")+2)&amp;IF(F995&gt;0," ("&amp;F995&amp;")",""),B995&amp;IF(F995&gt;0," ("&amp;F995&amp;")","")),"#"&amp;$A995)</f>
        <v/>
      </c>
      <c r="I995" s="209">
        <f>IF(LEN($A995)&gt;0,IF(LEN($J995)&gt;0,MATCH(J995,MatchNames,0),EventIndex),0)</f>
        <v>0</v>
      </c>
      <c r="J995" s="209" t="str">
        <f>IF(LEN($A995)&gt;0,IF(LEN(Declarations!$F995)&gt;0,Declarations!$F995,conftype),"")</f>
        <v/>
      </c>
      <c r="M995" s="297">
        <f>IF(ISNA(VLOOKUP($A995,SprintData,2,FALSE)),0,VLOOKUP($A995,SprintData,2,FALSE))</f>
        <v>0</v>
      </c>
      <c r="N995" s="297">
        <f>IF(ISNA(VLOOKUP($A995,JumpData,2,FALSE)),0,VLOOKUP($A995,JumpData,2,FALSE))</f>
        <v>0</v>
      </c>
      <c r="O995" s="297">
        <f>IF(ISNA(VLOOKUP($A995,RunData,2,FALSE)),0,VLOOKUP($A995,RunData,2,FALSE))</f>
        <v>0</v>
      </c>
      <c r="P995" s="297">
        <f>IF(ISNA(VLOOKUP($A995,ThrowData,2,FALSE)),0,VLOOKUP($A995,ThrowData,2,FALSE))</f>
        <v>0</v>
      </c>
      <c r="Q995" s="298">
        <f>IF(ISNA(VLOOKUP($A995,SprintData,4,FALSE)),0,VLOOKUP($A995,SprintData,4,FALSE))+V995</f>
        <v>0</v>
      </c>
      <c r="R995" s="298">
        <f>IF(ISNA(VLOOKUP($A995,JumpData,4,FALSE)),0,VLOOKUP($A995,JumpData,4,FALSE))+W995</f>
        <v>0</v>
      </c>
      <c r="S995" s="298">
        <f>IF(ISNA(VLOOKUP($A995,RunData,4,FALSE)),0,VLOOKUP($A995,RunData,4,FALSE))+X995</f>
        <v>0</v>
      </c>
      <c r="T995" s="298">
        <f>IF(ISNA(VLOOKUP($A995,ThrowData,4,FALSE)),0,VLOOKUP($A995,ThrowData,4,FALSE))+Y995</f>
        <v>0</v>
      </c>
      <c r="U995" s="299">
        <f t="shared" si="2"/>
        <v>0</v>
      </c>
      <c r="V995">
        <f>IF(AND($F995&gt;0,NOT(M995),Flexing),FlexPC,0)</f>
        <v>0</v>
      </c>
      <c r="W995">
        <f>IF(AND($F995&gt;0,NOT(N995),Flexing),FlexPC,0)</f>
        <v>0</v>
      </c>
      <c r="X995">
        <f>IF(AND($F995&gt;0,NOT(O995),Flexing),FlexPC,0)</f>
        <v>0</v>
      </c>
      <c r="Y995">
        <f>IF(AND($F995&gt;0,NOT(P995),Flexing),FlexPC,0)</f>
        <v>0</v>
      </c>
      <c r="AA995" s="209">
        <f t="shared" si="3"/>
        <v>994</v>
      </c>
    </row>
    <row r="996" ht="15.75" customHeight="1">
      <c r="A996" s="206" t="str">
        <f>+Declarations!A996&amp;""</f>
        <v/>
      </c>
      <c r="B996" t="str">
        <f>IF(LEN($A996),IF(LEN(Declarations!$B996)&gt;0,Declarations!$B996,"#"&amp;$A996),"")</f>
        <v/>
      </c>
      <c r="C996" s="209" t="str">
        <f t="array" ref="C996">IF(LEN(INDEX(DECLARATIONS,$AA996,3))&gt;0,INDEX(DECLARATIONS,$AA996,3),"...")</f>
        <v>...</v>
      </c>
      <c r="D996" s="209" t="str">
        <f t="shared" si="1"/>
        <v/>
      </c>
      <c r="E996" s="296" t="str">
        <f t="array" ref="E996">IF(ISNA($AA996),0,INDEX(DECLARATIONS,$AA996,5))</f>
        <v/>
      </c>
      <c r="F996" s="209" t="str">
        <f t="array" ref="F996">IF(ISNA($AA996),0,INDEX(DECLARATIONS,$AA996,7))</f>
        <v/>
      </c>
      <c r="G996" s="209" t="str">
        <f t="array" ref="G996">UPPER(IF(ISNA($AA996),"",INDEX(DECLARATIONS,$AA996,4)))</f>
        <v/>
      </c>
      <c r="H996" t="str">
        <f>IF(AND(A996&gt;0,ISTEXT(B996)),IF(SECNAME="YES",LEFT(B996&amp;" ",FIND(" ",B996&amp;" ")+2)&amp;IF(F996&gt;0," ("&amp;F996&amp;")",""),B996&amp;IF(F996&gt;0," ("&amp;F996&amp;")","")),"#"&amp;$A996)</f>
        <v/>
      </c>
      <c r="I996" s="209">
        <f>IF(LEN($A996)&gt;0,IF(LEN($J996)&gt;0,MATCH(J996,MatchNames,0),EventIndex),0)</f>
        <v>0</v>
      </c>
      <c r="J996" s="209" t="str">
        <f>IF(LEN($A996)&gt;0,IF(LEN(Declarations!$F996)&gt;0,Declarations!$F996,conftype),"")</f>
        <v/>
      </c>
      <c r="M996" s="297">
        <f>IF(ISNA(VLOOKUP($A996,SprintData,2,FALSE)),0,VLOOKUP($A996,SprintData,2,FALSE))</f>
        <v>0</v>
      </c>
      <c r="N996" s="297">
        <f>IF(ISNA(VLOOKUP($A996,JumpData,2,FALSE)),0,VLOOKUP($A996,JumpData,2,FALSE))</f>
        <v>0</v>
      </c>
      <c r="O996" s="297">
        <f>IF(ISNA(VLOOKUP($A996,RunData,2,FALSE)),0,VLOOKUP($A996,RunData,2,FALSE))</f>
        <v>0</v>
      </c>
      <c r="P996" s="297">
        <f>IF(ISNA(VLOOKUP($A996,ThrowData,2,FALSE)),0,VLOOKUP($A996,ThrowData,2,FALSE))</f>
        <v>0</v>
      </c>
      <c r="Q996" s="298">
        <f>IF(ISNA(VLOOKUP($A996,SprintData,4,FALSE)),0,VLOOKUP($A996,SprintData,4,FALSE))+V996</f>
        <v>0</v>
      </c>
      <c r="R996" s="298">
        <f>IF(ISNA(VLOOKUP($A996,JumpData,4,FALSE)),0,VLOOKUP($A996,JumpData,4,FALSE))+W996</f>
        <v>0</v>
      </c>
      <c r="S996" s="298">
        <f>IF(ISNA(VLOOKUP($A996,RunData,4,FALSE)),0,VLOOKUP($A996,RunData,4,FALSE))+X996</f>
        <v>0</v>
      </c>
      <c r="T996" s="298">
        <f>IF(ISNA(VLOOKUP($A996,ThrowData,4,FALSE)),0,VLOOKUP($A996,ThrowData,4,FALSE))+Y996</f>
        <v>0</v>
      </c>
      <c r="U996" s="299">
        <f t="shared" si="2"/>
        <v>0</v>
      </c>
      <c r="V996">
        <f>IF(AND($F996&gt;0,NOT(M996),Flexing),FlexPC,0)</f>
        <v>0</v>
      </c>
      <c r="W996">
        <f>IF(AND($F996&gt;0,NOT(N996),Flexing),FlexPC,0)</f>
        <v>0</v>
      </c>
      <c r="X996">
        <f>IF(AND($F996&gt;0,NOT(O996),Flexing),FlexPC,0)</f>
        <v>0</v>
      </c>
      <c r="Y996">
        <f>IF(AND($F996&gt;0,NOT(P996),Flexing),FlexPC,0)</f>
        <v>0</v>
      </c>
      <c r="AA996" s="209">
        <f t="shared" si="3"/>
        <v>995</v>
      </c>
    </row>
    <row r="997" ht="15.75" customHeight="1">
      <c r="A997" s="206" t="str">
        <f>+Declarations!A997&amp;""</f>
        <v/>
      </c>
      <c r="B997" t="str">
        <f>IF(LEN($A997),IF(LEN(Declarations!$B997)&gt;0,Declarations!$B997,"#"&amp;$A997),"")</f>
        <v/>
      </c>
      <c r="C997" s="209" t="str">
        <f t="array" ref="C997">IF(LEN(INDEX(DECLARATIONS,$AA997,3))&gt;0,INDEX(DECLARATIONS,$AA997,3),"...")</f>
        <v>...</v>
      </c>
      <c r="D997" s="209" t="str">
        <f t="shared" si="1"/>
        <v/>
      </c>
      <c r="E997" s="296" t="str">
        <f t="array" ref="E997">IF(ISNA($AA997),0,INDEX(DECLARATIONS,$AA997,5))</f>
        <v/>
      </c>
      <c r="F997" s="209" t="str">
        <f t="array" ref="F997">IF(ISNA($AA997),0,INDEX(DECLARATIONS,$AA997,7))</f>
        <v/>
      </c>
      <c r="G997" s="209" t="str">
        <f t="array" ref="G997">UPPER(IF(ISNA($AA997),"",INDEX(DECLARATIONS,$AA997,4)))</f>
        <v/>
      </c>
      <c r="H997" t="str">
        <f>IF(AND(A997&gt;0,ISTEXT(B997)),IF(SECNAME="YES",LEFT(B997&amp;" ",FIND(" ",B997&amp;" ")+2)&amp;IF(F997&gt;0," ("&amp;F997&amp;")",""),B997&amp;IF(F997&gt;0," ("&amp;F997&amp;")","")),"#"&amp;$A997)</f>
        <v/>
      </c>
      <c r="I997" s="209">
        <f>IF(LEN($A997)&gt;0,IF(LEN($J997)&gt;0,MATCH(J997,MatchNames,0),EventIndex),0)</f>
        <v>0</v>
      </c>
      <c r="J997" s="209" t="str">
        <f>IF(LEN($A997)&gt;0,IF(LEN(Declarations!$F997)&gt;0,Declarations!$F997,conftype),"")</f>
        <v/>
      </c>
      <c r="M997" s="297">
        <f>IF(ISNA(VLOOKUP($A997,SprintData,2,FALSE)),0,VLOOKUP($A997,SprintData,2,FALSE))</f>
        <v>0</v>
      </c>
      <c r="N997" s="297">
        <f>IF(ISNA(VLOOKUP($A997,JumpData,2,FALSE)),0,VLOOKUP($A997,JumpData,2,FALSE))</f>
        <v>0</v>
      </c>
      <c r="O997" s="297">
        <f>IF(ISNA(VLOOKUP($A997,RunData,2,FALSE)),0,VLOOKUP($A997,RunData,2,FALSE))</f>
        <v>0</v>
      </c>
      <c r="P997" s="297">
        <f>IF(ISNA(VLOOKUP($A997,ThrowData,2,FALSE)),0,VLOOKUP($A997,ThrowData,2,FALSE))</f>
        <v>0</v>
      </c>
      <c r="Q997" s="298">
        <f>IF(ISNA(VLOOKUP($A997,SprintData,4,FALSE)),0,VLOOKUP($A997,SprintData,4,FALSE))+V997</f>
        <v>0</v>
      </c>
      <c r="R997" s="298">
        <f>IF(ISNA(VLOOKUP($A997,JumpData,4,FALSE)),0,VLOOKUP($A997,JumpData,4,FALSE))+W997</f>
        <v>0</v>
      </c>
      <c r="S997" s="298">
        <f>IF(ISNA(VLOOKUP($A997,RunData,4,FALSE)),0,VLOOKUP($A997,RunData,4,FALSE))+X997</f>
        <v>0</v>
      </c>
      <c r="T997" s="298">
        <f>IF(ISNA(VLOOKUP($A997,ThrowData,4,FALSE)),0,VLOOKUP($A997,ThrowData,4,FALSE))+Y997</f>
        <v>0</v>
      </c>
      <c r="U997" s="299">
        <f t="shared" si="2"/>
        <v>0</v>
      </c>
      <c r="V997">
        <f>IF(AND($F997&gt;0,NOT(M997),Flexing),FlexPC,0)</f>
        <v>0</v>
      </c>
      <c r="W997">
        <f>IF(AND($F997&gt;0,NOT(N997),Flexing),FlexPC,0)</f>
        <v>0</v>
      </c>
      <c r="X997">
        <f>IF(AND($F997&gt;0,NOT(O997),Flexing),FlexPC,0)</f>
        <v>0</v>
      </c>
      <c r="Y997">
        <f>IF(AND($F997&gt;0,NOT(P997),Flexing),FlexPC,0)</f>
        <v>0</v>
      </c>
      <c r="AA997" s="209">
        <f t="shared" si="3"/>
        <v>996</v>
      </c>
    </row>
    <row r="998" ht="15.75" customHeight="1">
      <c r="A998" s="206" t="str">
        <f>+Declarations!A998&amp;""</f>
        <v/>
      </c>
      <c r="B998" t="str">
        <f>IF(LEN($A998),IF(LEN(Declarations!$B998)&gt;0,Declarations!$B998,"#"&amp;$A998),"")</f>
        <v/>
      </c>
      <c r="C998" s="209" t="str">
        <f t="array" ref="C998">IF(LEN(INDEX(DECLARATIONS,$AA998,3))&gt;0,INDEX(DECLARATIONS,$AA998,3),"...")</f>
        <v>...</v>
      </c>
      <c r="D998" s="209" t="str">
        <f t="shared" si="1"/>
        <v/>
      </c>
      <c r="E998" s="296" t="str">
        <f t="array" ref="E998">IF(ISNA($AA998),0,INDEX(DECLARATIONS,$AA998,5))</f>
        <v/>
      </c>
      <c r="F998" s="209" t="str">
        <f t="array" ref="F998">IF(ISNA($AA998),0,INDEX(DECLARATIONS,$AA998,7))</f>
        <v/>
      </c>
      <c r="G998" s="209" t="str">
        <f t="array" ref="G998">UPPER(IF(ISNA($AA998),"",INDEX(DECLARATIONS,$AA998,4)))</f>
        <v/>
      </c>
      <c r="H998" t="str">
        <f>IF(AND(A998&gt;0,ISTEXT(B998)),IF(SECNAME="YES",LEFT(B998&amp;" ",FIND(" ",B998&amp;" ")+2)&amp;IF(F998&gt;0," ("&amp;F998&amp;")",""),B998&amp;IF(F998&gt;0," ("&amp;F998&amp;")","")),"#"&amp;$A998)</f>
        <v/>
      </c>
      <c r="I998" s="209">
        <f>IF(LEN($A998)&gt;0,IF(LEN($J998)&gt;0,MATCH(J998,MatchNames,0),EventIndex),0)</f>
        <v>0</v>
      </c>
      <c r="J998" s="209" t="str">
        <f>IF(LEN($A998)&gt;0,IF(LEN(Declarations!$F998)&gt;0,Declarations!$F998,conftype),"")</f>
        <v/>
      </c>
      <c r="M998" s="297">
        <f>IF(ISNA(VLOOKUP($A998,SprintData,2,FALSE)),0,VLOOKUP($A998,SprintData,2,FALSE))</f>
        <v>0</v>
      </c>
      <c r="N998" s="297">
        <f>IF(ISNA(VLOOKUP($A998,JumpData,2,FALSE)),0,VLOOKUP($A998,JumpData,2,FALSE))</f>
        <v>0</v>
      </c>
      <c r="O998" s="297">
        <f>IF(ISNA(VLOOKUP($A998,RunData,2,FALSE)),0,VLOOKUP($A998,RunData,2,FALSE))</f>
        <v>0</v>
      </c>
      <c r="P998" s="297">
        <f>IF(ISNA(VLOOKUP($A998,ThrowData,2,FALSE)),0,VLOOKUP($A998,ThrowData,2,FALSE))</f>
        <v>0</v>
      </c>
      <c r="Q998" s="298">
        <f>IF(ISNA(VLOOKUP($A998,SprintData,4,FALSE)),0,VLOOKUP($A998,SprintData,4,FALSE))+V998</f>
        <v>0</v>
      </c>
      <c r="R998" s="298">
        <f>IF(ISNA(VLOOKUP($A998,JumpData,4,FALSE)),0,VLOOKUP($A998,JumpData,4,FALSE))+W998</f>
        <v>0</v>
      </c>
      <c r="S998" s="298">
        <f>IF(ISNA(VLOOKUP($A998,RunData,4,FALSE)),0,VLOOKUP($A998,RunData,4,FALSE))+X998</f>
        <v>0</v>
      </c>
      <c r="T998" s="298">
        <f>IF(ISNA(VLOOKUP($A998,ThrowData,4,FALSE)),0,VLOOKUP($A998,ThrowData,4,FALSE))+Y998</f>
        <v>0</v>
      </c>
      <c r="U998" s="299">
        <f t="shared" si="2"/>
        <v>0</v>
      </c>
      <c r="V998">
        <f>IF(AND($F998&gt;0,NOT(M998),Flexing),FlexPC,0)</f>
        <v>0</v>
      </c>
      <c r="W998">
        <f>IF(AND($F998&gt;0,NOT(N998),Flexing),FlexPC,0)</f>
        <v>0</v>
      </c>
      <c r="X998">
        <f>IF(AND($F998&gt;0,NOT(O998),Flexing),FlexPC,0)</f>
        <v>0</v>
      </c>
      <c r="Y998">
        <f>IF(AND($F998&gt;0,NOT(P998),Flexing),FlexPC,0)</f>
        <v>0</v>
      </c>
      <c r="AA998" s="209">
        <f t="shared" si="3"/>
        <v>997</v>
      </c>
    </row>
    <row r="999" ht="15.75" customHeight="1">
      <c r="A999" s="206" t="str">
        <f>+Declarations!A999&amp;""</f>
        <v/>
      </c>
      <c r="B999" t="str">
        <f>IF(LEN($A999),IF(LEN(Declarations!$B999)&gt;0,Declarations!$B999,"#"&amp;$A999),"")</f>
        <v/>
      </c>
      <c r="C999" s="209" t="str">
        <f t="array" ref="C999">IF(LEN(INDEX(DECLARATIONS,$AA999,3))&gt;0,INDEX(DECLARATIONS,$AA999,3),"...")</f>
        <v>...</v>
      </c>
      <c r="D999" s="209" t="str">
        <f t="shared" si="1"/>
        <v/>
      </c>
      <c r="E999" s="296" t="str">
        <f t="array" ref="E999">IF(ISNA($AA999),0,INDEX(DECLARATIONS,$AA999,5))</f>
        <v/>
      </c>
      <c r="F999" s="209" t="str">
        <f t="array" ref="F999">IF(ISNA($AA999),0,INDEX(DECLARATIONS,$AA999,7))</f>
        <v/>
      </c>
      <c r="G999" s="209" t="str">
        <f t="array" ref="G999">UPPER(IF(ISNA($AA999),"",INDEX(DECLARATIONS,$AA999,4)))</f>
        <v/>
      </c>
      <c r="H999" t="str">
        <f>IF(AND(A999&gt;0,ISTEXT(B999)),IF(SECNAME="YES",LEFT(B999&amp;" ",FIND(" ",B999&amp;" ")+2)&amp;IF(F999&gt;0," ("&amp;F999&amp;")",""),B999&amp;IF(F999&gt;0," ("&amp;F999&amp;")","")),"#"&amp;$A999)</f>
        <v/>
      </c>
      <c r="I999" s="209">
        <f>IF(LEN($A999)&gt;0,IF(LEN($J999)&gt;0,MATCH(J999,MatchNames,0),EventIndex),0)</f>
        <v>0</v>
      </c>
      <c r="J999" s="209" t="str">
        <f>IF(LEN($A999)&gt;0,IF(LEN(Declarations!$F999)&gt;0,Declarations!$F999,conftype),"")</f>
        <v/>
      </c>
      <c r="M999" s="297">
        <f>IF(ISNA(VLOOKUP($A999,SprintData,2,FALSE)),0,VLOOKUP($A999,SprintData,2,FALSE))</f>
        <v>0</v>
      </c>
      <c r="N999" s="297">
        <f>IF(ISNA(VLOOKUP($A999,JumpData,2,FALSE)),0,VLOOKUP($A999,JumpData,2,FALSE))</f>
        <v>0</v>
      </c>
      <c r="O999" s="297">
        <f>IF(ISNA(VLOOKUP($A999,RunData,2,FALSE)),0,VLOOKUP($A999,RunData,2,FALSE))</f>
        <v>0</v>
      </c>
      <c r="P999" s="297">
        <f>IF(ISNA(VLOOKUP($A999,ThrowData,2,FALSE)),0,VLOOKUP($A999,ThrowData,2,FALSE))</f>
        <v>0</v>
      </c>
      <c r="Q999" s="298">
        <f>IF(ISNA(VLOOKUP($A999,SprintData,4,FALSE)),0,VLOOKUP($A999,SprintData,4,FALSE))+V999</f>
        <v>0</v>
      </c>
      <c r="R999" s="298">
        <f>IF(ISNA(VLOOKUP($A999,JumpData,4,FALSE)),0,VLOOKUP($A999,JumpData,4,FALSE))+W999</f>
        <v>0</v>
      </c>
      <c r="S999" s="298">
        <f>IF(ISNA(VLOOKUP($A999,RunData,4,FALSE)),0,VLOOKUP($A999,RunData,4,FALSE))+X999</f>
        <v>0</v>
      </c>
      <c r="T999" s="298">
        <f>IF(ISNA(VLOOKUP($A999,ThrowData,4,FALSE)),0,VLOOKUP($A999,ThrowData,4,FALSE))+Y999</f>
        <v>0</v>
      </c>
      <c r="U999" s="299">
        <f t="shared" si="2"/>
        <v>0</v>
      </c>
      <c r="V999">
        <f>IF(AND($F999&gt;0,NOT(M999),Flexing),FlexPC,0)</f>
        <v>0</v>
      </c>
      <c r="W999">
        <f>IF(AND($F999&gt;0,NOT(N999),Flexing),FlexPC,0)</f>
        <v>0</v>
      </c>
      <c r="X999">
        <f>IF(AND($F999&gt;0,NOT(O999),Flexing),FlexPC,0)</f>
        <v>0</v>
      </c>
      <c r="Y999">
        <f>IF(AND($F999&gt;0,NOT(P999),Flexing),FlexPC,0)</f>
        <v>0</v>
      </c>
      <c r="AA999" s="209">
        <f t="shared" si="3"/>
        <v>998</v>
      </c>
    </row>
    <row r="1000" ht="15.75" customHeight="1">
      <c r="A1000" s="206" t="str">
        <f>+Declarations!A1000&amp;""</f>
        <v/>
      </c>
      <c r="B1000" t="str">
        <f>IF(LEN($A1000),IF(LEN(Declarations!$B1000)&gt;0,Declarations!$B1000,"#"&amp;$A1000),"")</f>
        <v/>
      </c>
      <c r="C1000" s="209" t="str">
        <f t="array" ref="C1000">IF(LEN(INDEX(DECLARATIONS,$AA1000,3))&gt;0,INDEX(DECLARATIONS,$AA1000,3),"...")</f>
        <v>...</v>
      </c>
      <c r="D1000" s="209" t="str">
        <f t="shared" si="1"/>
        <v/>
      </c>
      <c r="E1000" s="296" t="str">
        <f t="array" ref="E1000">IF(ISNA($AA1000),0,INDEX(DECLARATIONS,$AA1000,5))</f>
        <v/>
      </c>
      <c r="F1000" s="209" t="str">
        <f t="array" ref="F1000">IF(ISNA($AA1000),0,INDEX(DECLARATIONS,$AA1000,7))</f>
        <v/>
      </c>
      <c r="G1000" s="209" t="str">
        <f t="array" ref="G1000">UPPER(IF(ISNA($AA1000),"",INDEX(DECLARATIONS,$AA1000,4)))</f>
        <v/>
      </c>
      <c r="H1000" t="str">
        <f>IF(AND(A1000&gt;0,ISTEXT(B1000)),IF(SECNAME="YES",LEFT(B1000&amp;" ",FIND(" ",B1000&amp;" ")+2)&amp;IF(F1000&gt;0," ("&amp;F1000&amp;")",""),B1000&amp;IF(F1000&gt;0," ("&amp;F1000&amp;")","")),"#"&amp;$A1000)</f>
        <v/>
      </c>
      <c r="I1000" s="209">
        <f>IF(LEN($A1000)&gt;0,IF(LEN($J1000)&gt;0,MATCH(J1000,MatchNames,0),EventIndex),0)</f>
        <v>0</v>
      </c>
      <c r="J1000" s="209" t="str">
        <f>IF(LEN($A1000)&gt;0,IF(LEN(Declarations!$F1000)&gt;0,Declarations!$F1000,conftype),"")</f>
        <v/>
      </c>
      <c r="M1000" s="297">
        <f>IF(ISNA(VLOOKUP($A1000,SprintData,2,FALSE)),0,VLOOKUP($A1000,SprintData,2,FALSE))</f>
        <v>0</v>
      </c>
      <c r="N1000" s="297">
        <f>IF(ISNA(VLOOKUP($A1000,JumpData,2,FALSE)),0,VLOOKUP($A1000,JumpData,2,FALSE))</f>
        <v>0</v>
      </c>
      <c r="O1000" s="297">
        <f>IF(ISNA(VLOOKUP($A1000,RunData,2,FALSE)),0,VLOOKUP($A1000,RunData,2,FALSE))</f>
        <v>0</v>
      </c>
      <c r="P1000" s="297">
        <f>IF(ISNA(VLOOKUP($A1000,ThrowData,2,FALSE)),0,VLOOKUP($A1000,ThrowData,2,FALSE))</f>
        <v>0</v>
      </c>
      <c r="Q1000" s="298">
        <f>IF(ISNA(VLOOKUP($A1000,SprintData,4,FALSE)),0,VLOOKUP($A1000,SprintData,4,FALSE))+V1000</f>
        <v>0</v>
      </c>
      <c r="R1000" s="298">
        <f>IF(ISNA(VLOOKUP($A1000,JumpData,4,FALSE)),0,VLOOKUP($A1000,JumpData,4,FALSE))+W1000</f>
        <v>0</v>
      </c>
      <c r="S1000" s="298">
        <f>IF(ISNA(VLOOKUP($A1000,RunData,4,FALSE)),0,VLOOKUP($A1000,RunData,4,FALSE))+X1000</f>
        <v>0</v>
      </c>
      <c r="T1000" s="298">
        <f>IF(ISNA(VLOOKUP($A1000,ThrowData,4,FALSE)),0,VLOOKUP($A1000,ThrowData,4,FALSE))+Y1000</f>
        <v>0</v>
      </c>
      <c r="U1000" s="299">
        <f t="shared" si="2"/>
        <v>0</v>
      </c>
      <c r="V1000">
        <f>IF(AND($F1000&gt;0,NOT(M1000),Flexing),FlexPC,0)</f>
        <v>0</v>
      </c>
      <c r="W1000">
        <f>IF(AND($F1000&gt;0,NOT(N1000),Flexing),FlexPC,0)</f>
        <v>0</v>
      </c>
      <c r="X1000">
        <f>IF(AND($F1000&gt;0,NOT(O1000),Flexing),FlexPC,0)</f>
        <v>0</v>
      </c>
      <c r="Y1000">
        <f>IF(AND($F1000&gt;0,NOT(P1000),Flexing),FlexPC,0)</f>
        <v>0</v>
      </c>
      <c r="AA1000" s="209">
        <f t="shared" si="3"/>
        <v>999</v>
      </c>
    </row>
    <row r="1001" ht="15.75" customHeight="1">
      <c r="A1001" s="206" t="str">
        <f>+Declarations!A1001&amp;""</f>
        <v/>
      </c>
      <c r="B1001" t="str">
        <f>IF(LEN($A1001),IF(LEN(Declarations!$B1001)&gt;0,Declarations!$B1001,"#"&amp;$A1001),"")</f>
        <v/>
      </c>
      <c r="C1001" s="209" t="str">
        <f t="array" ref="C1001">IF(LEN(INDEX(DECLARATIONS,$AA1001,3))&gt;0,INDEX(DECLARATIONS,$AA1001,3),"...")</f>
        <v>...</v>
      </c>
      <c r="D1001" s="209" t="str">
        <f t="shared" si="1"/>
        <v/>
      </c>
      <c r="E1001" s="296" t="str">
        <f t="array" ref="E1001">IF(ISNA($AA1001),0,INDEX(DECLARATIONS,$AA1001,5))</f>
        <v/>
      </c>
      <c r="F1001" s="209" t="str">
        <f t="array" ref="F1001">IF(ISNA($AA1001),0,INDEX(DECLARATIONS,$AA1001,7))</f>
        <v/>
      </c>
      <c r="G1001" s="209" t="str">
        <f t="array" ref="G1001">UPPER(IF(ISNA($AA1001),"",INDEX(DECLARATIONS,$AA1001,4)))</f>
        <v/>
      </c>
      <c r="H1001" t="str">
        <f>IF(AND(A1001&gt;0,ISTEXT(B1001)),IF(SECNAME="YES",LEFT(B1001&amp;" ",FIND(" ",B1001&amp;" ")+2)&amp;IF(F1001&gt;0," ("&amp;F1001&amp;")",""),B1001&amp;IF(F1001&gt;0," ("&amp;F1001&amp;")","")),"#"&amp;$A1001)</f>
        <v/>
      </c>
      <c r="I1001" s="209">
        <f>IF(LEN($A1001)&gt;0,IF(LEN($J1001)&gt;0,MATCH(J1001,MatchNames,0),EventIndex),0)</f>
        <v>0</v>
      </c>
      <c r="J1001" s="209" t="str">
        <f>IF(LEN($A1001)&gt;0,IF(LEN(Declarations!$F1001)&gt;0,Declarations!$F1001,conftype),"")</f>
        <v/>
      </c>
      <c r="M1001" s="297">
        <f>IF(ISNA(VLOOKUP($A1001,SprintData,2,FALSE)),0,VLOOKUP($A1001,SprintData,2,FALSE))</f>
        <v>0</v>
      </c>
      <c r="N1001" s="297">
        <f>IF(ISNA(VLOOKUP($A1001,JumpData,2,FALSE)),0,VLOOKUP($A1001,JumpData,2,FALSE))</f>
        <v>0</v>
      </c>
      <c r="O1001" s="297">
        <f>IF(ISNA(VLOOKUP($A1001,RunData,2,FALSE)),0,VLOOKUP($A1001,RunData,2,FALSE))</f>
        <v>0</v>
      </c>
      <c r="P1001" s="297">
        <f>IF(ISNA(VLOOKUP($A1001,ThrowData,2,FALSE)),0,VLOOKUP($A1001,ThrowData,2,FALSE))</f>
        <v>0</v>
      </c>
      <c r="Q1001" s="298">
        <f>IF(ISNA(VLOOKUP($A1001,SprintData,4,FALSE)),0,VLOOKUP($A1001,SprintData,4,FALSE))+V1001</f>
        <v>0</v>
      </c>
      <c r="R1001" s="298">
        <f>IF(ISNA(VLOOKUP($A1001,JumpData,4,FALSE)),0,VLOOKUP($A1001,JumpData,4,FALSE))+W1001</f>
        <v>0</v>
      </c>
      <c r="S1001" s="298">
        <f>IF(ISNA(VLOOKUP($A1001,RunData,4,FALSE)),0,VLOOKUP($A1001,RunData,4,FALSE))+X1001</f>
        <v>0</v>
      </c>
      <c r="T1001" s="298">
        <f>IF(ISNA(VLOOKUP($A1001,ThrowData,4,FALSE)),0,VLOOKUP($A1001,ThrowData,4,FALSE))+Y1001</f>
        <v>0</v>
      </c>
      <c r="U1001" s="299">
        <f t="shared" si="2"/>
        <v>0</v>
      </c>
      <c r="V1001">
        <f>IF(AND($F1001&gt;0,NOT(M1001),Flexing),FlexPC,0)</f>
        <v>0</v>
      </c>
      <c r="W1001">
        <f>IF(AND($F1001&gt;0,NOT(N1001),Flexing),FlexPC,0)</f>
        <v>0</v>
      </c>
      <c r="X1001">
        <f>IF(AND($F1001&gt;0,NOT(O1001),Flexing),FlexPC,0)</f>
        <v>0</v>
      </c>
      <c r="Y1001">
        <f>IF(AND($F1001&gt;0,NOT(P1001),Flexing),FlexPC,0)</f>
        <v>0</v>
      </c>
      <c r="AA1001" s="209">
        <f t="shared" si="3"/>
        <v>1000</v>
      </c>
    </row>
  </sheetData>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2" width="15.86"/>
    <col customWidth="1" hidden="1" min="3" max="4" width="15.86"/>
    <col customWidth="1" min="5" max="9" width="15.86"/>
    <col customWidth="1" min="10" max="26" width="8.0"/>
  </cols>
  <sheetData>
    <row r="1" ht="36.0" customHeight="1">
      <c r="A1" s="318" t="str">
        <f>+Setup!B27</f>
        <v>QuadKids Club</v>
      </c>
    </row>
    <row r="2">
      <c r="B2" s="319"/>
      <c r="C2" s="320"/>
      <c r="D2" s="320"/>
    </row>
    <row r="3" ht="24.75" customHeight="1">
      <c r="A3" s="321" t="s">
        <v>318</v>
      </c>
      <c r="B3" s="322" t="str">
        <f>+Setup!B30</f>
        <v>75m</v>
      </c>
      <c r="C3" s="322"/>
      <c r="D3" s="322"/>
      <c r="E3" s="322" t="str">
        <f>+Setup!C30</f>
        <v>600m</v>
      </c>
      <c r="F3" s="322" t="str">
        <f>+Setup!D30</f>
        <v>Long_Jump</v>
      </c>
      <c r="G3" s="322" t="str">
        <f>+Setup!E30</f>
        <v>Howler</v>
      </c>
      <c r="H3" s="322" t="str">
        <f>+Setup!F30</f>
        <v>Relay</v>
      </c>
      <c r="I3" s="323" t="s">
        <v>318</v>
      </c>
    </row>
    <row r="4" hidden="1">
      <c r="A4" s="49" t="s">
        <v>73</v>
      </c>
      <c r="B4" s="46">
        <f>+Setup!B33</f>
        <v>0.1</v>
      </c>
      <c r="C4" s="46"/>
      <c r="D4" s="46"/>
      <c r="E4" s="46">
        <f>+Setup!C33</f>
        <v>0.01</v>
      </c>
      <c r="F4" s="46">
        <f>+Setup!D33</f>
        <v>0.03</v>
      </c>
      <c r="G4" s="46">
        <f>+Setup!E33</f>
        <v>0.5</v>
      </c>
      <c r="H4" s="46">
        <f>+Setup!F33</f>
        <v>0.5</v>
      </c>
      <c r="I4" s="45" t="str">
        <f t="shared" ref="I4:I97" si="1">+A4</f>
        <v>INC</v>
      </c>
    </row>
    <row r="5">
      <c r="A5" s="324" t="s">
        <v>355</v>
      </c>
      <c r="B5" s="325">
        <f>+Setup!B31</f>
        <v>16</v>
      </c>
      <c r="C5" s="325"/>
      <c r="D5" s="325"/>
      <c r="E5" s="325">
        <f>+Setup!C31</f>
        <v>3</v>
      </c>
      <c r="F5" s="325">
        <f>+Setup!D31</f>
        <v>2.2</v>
      </c>
      <c r="G5" s="325">
        <f>+Setup!E31</f>
        <v>5</v>
      </c>
      <c r="H5" s="325">
        <f>+Setup!F31</f>
        <v>94</v>
      </c>
      <c r="I5" s="326" t="str">
        <f t="shared" si="1"/>
        <v>MIN</v>
      </c>
    </row>
    <row r="6">
      <c r="A6" s="324" t="s">
        <v>356</v>
      </c>
      <c r="B6" s="325">
        <f>+B97</f>
        <v>7</v>
      </c>
      <c r="C6" s="325"/>
      <c r="D6" s="325"/>
      <c r="E6" s="325">
        <f t="shared" ref="E6:H6" si="2">+E97</f>
        <v>1.3</v>
      </c>
      <c r="F6" s="325">
        <f t="shared" si="2"/>
        <v>4.9</v>
      </c>
      <c r="G6" s="325">
        <f t="shared" si="2"/>
        <v>50</v>
      </c>
      <c r="H6" s="325">
        <f t="shared" si="2"/>
        <v>49</v>
      </c>
      <c r="I6" s="326" t="str">
        <f t="shared" si="1"/>
        <v>MAX</v>
      </c>
    </row>
    <row r="7" ht="12.0" customHeight="1">
      <c r="A7" s="49">
        <f>+MinPoints</f>
        <v>10</v>
      </c>
      <c r="B7" s="46">
        <f>+B5</f>
        <v>16</v>
      </c>
      <c r="C7" s="46"/>
      <c r="D7" s="46"/>
      <c r="E7" s="46">
        <f t="shared" ref="E7:H7" si="3">+E5</f>
        <v>3</v>
      </c>
      <c r="F7" s="46">
        <f t="shared" si="3"/>
        <v>2.2</v>
      </c>
      <c r="G7" s="46">
        <f t="shared" si="3"/>
        <v>5</v>
      </c>
      <c r="H7" s="46">
        <f t="shared" si="3"/>
        <v>94</v>
      </c>
      <c r="I7" s="45">
        <f t="shared" si="1"/>
        <v>10</v>
      </c>
    </row>
    <row r="8" ht="12.0" customHeight="1">
      <c r="A8" s="49">
        <f t="shared" ref="A8:A97" si="4">+A7+1</f>
        <v>11</v>
      </c>
      <c r="B8" s="46">
        <f t="shared" ref="B8:B97" si="5">+B7-$B$4</f>
        <v>15.9</v>
      </c>
      <c r="C8" s="46"/>
      <c r="D8" s="46"/>
      <c r="E8" s="46">
        <f t="shared" ref="E8:E97" si="6">IF(MOD(E7-$E$4,1)&gt;0.59,E7-0.41,E7-$E$4)</f>
        <v>2.59</v>
      </c>
      <c r="F8" s="46">
        <f t="shared" ref="F8:F97" si="7">+F7+$F$4</f>
        <v>2.23</v>
      </c>
      <c r="G8" s="46">
        <f t="shared" ref="G8:G97" si="8">+G7+$G$4</f>
        <v>5.5</v>
      </c>
      <c r="H8" s="46">
        <f t="shared" ref="H8:H97" si="9">+H7-$H$4</f>
        <v>93.5</v>
      </c>
      <c r="I8" s="45">
        <f t="shared" si="1"/>
        <v>11</v>
      </c>
    </row>
    <row r="9" ht="12.0" customHeight="1">
      <c r="A9" s="49">
        <f t="shared" si="4"/>
        <v>12</v>
      </c>
      <c r="B9" s="46">
        <f t="shared" si="5"/>
        <v>15.8</v>
      </c>
      <c r="C9" s="46"/>
      <c r="D9" s="46"/>
      <c r="E9" s="46">
        <f t="shared" si="6"/>
        <v>2.58</v>
      </c>
      <c r="F9" s="46">
        <f t="shared" si="7"/>
        <v>2.26</v>
      </c>
      <c r="G9" s="46">
        <f t="shared" si="8"/>
        <v>6</v>
      </c>
      <c r="H9" s="46">
        <f t="shared" si="9"/>
        <v>93</v>
      </c>
      <c r="I9" s="45">
        <f t="shared" si="1"/>
        <v>12</v>
      </c>
    </row>
    <row r="10" ht="12.0" customHeight="1">
      <c r="A10" s="49">
        <f t="shared" si="4"/>
        <v>13</v>
      </c>
      <c r="B10" s="46">
        <f t="shared" si="5"/>
        <v>15.7</v>
      </c>
      <c r="C10" s="46"/>
      <c r="D10" s="46"/>
      <c r="E10" s="46">
        <f t="shared" si="6"/>
        <v>2.57</v>
      </c>
      <c r="F10" s="46">
        <f t="shared" si="7"/>
        <v>2.29</v>
      </c>
      <c r="G10" s="46">
        <f t="shared" si="8"/>
        <v>6.5</v>
      </c>
      <c r="H10" s="46">
        <f t="shared" si="9"/>
        <v>92.5</v>
      </c>
      <c r="I10" s="45">
        <f t="shared" si="1"/>
        <v>13</v>
      </c>
    </row>
    <row r="11" ht="12.0" customHeight="1">
      <c r="A11" s="49">
        <f t="shared" si="4"/>
        <v>14</v>
      </c>
      <c r="B11" s="46">
        <f t="shared" si="5"/>
        <v>15.6</v>
      </c>
      <c r="C11" s="46"/>
      <c r="D11" s="46"/>
      <c r="E11" s="46">
        <f t="shared" si="6"/>
        <v>2.56</v>
      </c>
      <c r="F11" s="46">
        <f t="shared" si="7"/>
        <v>2.32</v>
      </c>
      <c r="G11" s="46">
        <f t="shared" si="8"/>
        <v>7</v>
      </c>
      <c r="H11" s="46">
        <f t="shared" si="9"/>
        <v>92</v>
      </c>
      <c r="I11" s="45">
        <f t="shared" si="1"/>
        <v>14</v>
      </c>
    </row>
    <row r="12" ht="12.0" customHeight="1">
      <c r="A12" s="49">
        <f t="shared" si="4"/>
        <v>15</v>
      </c>
      <c r="B12" s="46">
        <f t="shared" si="5"/>
        <v>15.5</v>
      </c>
      <c r="C12" s="46"/>
      <c r="D12" s="46"/>
      <c r="E12" s="46">
        <f t="shared" si="6"/>
        <v>2.55</v>
      </c>
      <c r="F12" s="46">
        <f t="shared" si="7"/>
        <v>2.35</v>
      </c>
      <c r="G12" s="46">
        <f t="shared" si="8"/>
        <v>7.5</v>
      </c>
      <c r="H12" s="46">
        <f t="shared" si="9"/>
        <v>91.5</v>
      </c>
      <c r="I12" s="45">
        <f t="shared" si="1"/>
        <v>15</v>
      </c>
    </row>
    <row r="13" ht="12.0" customHeight="1">
      <c r="A13" s="49">
        <f t="shared" si="4"/>
        <v>16</v>
      </c>
      <c r="B13" s="46">
        <f t="shared" si="5"/>
        <v>15.4</v>
      </c>
      <c r="C13" s="46"/>
      <c r="D13" s="46"/>
      <c r="E13" s="46">
        <f t="shared" si="6"/>
        <v>2.54</v>
      </c>
      <c r="F13" s="46">
        <f t="shared" si="7"/>
        <v>2.38</v>
      </c>
      <c r="G13" s="46">
        <f t="shared" si="8"/>
        <v>8</v>
      </c>
      <c r="H13" s="46">
        <f t="shared" si="9"/>
        <v>91</v>
      </c>
      <c r="I13" s="45">
        <f t="shared" si="1"/>
        <v>16</v>
      </c>
    </row>
    <row r="14" ht="12.0" customHeight="1">
      <c r="A14" s="49">
        <f t="shared" si="4"/>
        <v>17</v>
      </c>
      <c r="B14" s="46">
        <f t="shared" si="5"/>
        <v>15.3</v>
      </c>
      <c r="C14" s="46"/>
      <c r="D14" s="46"/>
      <c r="E14" s="46">
        <f t="shared" si="6"/>
        <v>2.53</v>
      </c>
      <c r="F14" s="46">
        <f t="shared" si="7"/>
        <v>2.41</v>
      </c>
      <c r="G14" s="46">
        <f t="shared" si="8"/>
        <v>8.5</v>
      </c>
      <c r="H14" s="46">
        <f t="shared" si="9"/>
        <v>90.5</v>
      </c>
      <c r="I14" s="45">
        <f t="shared" si="1"/>
        <v>17</v>
      </c>
    </row>
    <row r="15" ht="12.0" customHeight="1">
      <c r="A15" s="49">
        <f t="shared" si="4"/>
        <v>18</v>
      </c>
      <c r="B15" s="46">
        <f t="shared" si="5"/>
        <v>15.2</v>
      </c>
      <c r="C15" s="46"/>
      <c r="D15" s="46"/>
      <c r="E15" s="46">
        <f t="shared" si="6"/>
        <v>2.52</v>
      </c>
      <c r="F15" s="46">
        <f t="shared" si="7"/>
        <v>2.44</v>
      </c>
      <c r="G15" s="46">
        <f t="shared" si="8"/>
        <v>9</v>
      </c>
      <c r="H15" s="46">
        <f t="shared" si="9"/>
        <v>90</v>
      </c>
      <c r="I15" s="45">
        <f t="shared" si="1"/>
        <v>18</v>
      </c>
    </row>
    <row r="16" ht="12.0" customHeight="1">
      <c r="A16" s="49">
        <f t="shared" si="4"/>
        <v>19</v>
      </c>
      <c r="B16" s="46">
        <f t="shared" si="5"/>
        <v>15.1</v>
      </c>
      <c r="C16" s="46"/>
      <c r="D16" s="46"/>
      <c r="E16" s="46">
        <f t="shared" si="6"/>
        <v>2.51</v>
      </c>
      <c r="F16" s="46">
        <f t="shared" si="7"/>
        <v>2.47</v>
      </c>
      <c r="G16" s="46">
        <f t="shared" si="8"/>
        <v>9.5</v>
      </c>
      <c r="H16" s="46">
        <f t="shared" si="9"/>
        <v>89.5</v>
      </c>
      <c r="I16" s="45">
        <f t="shared" si="1"/>
        <v>19</v>
      </c>
    </row>
    <row r="17" ht="12.0" customHeight="1">
      <c r="A17" s="49">
        <f t="shared" si="4"/>
        <v>20</v>
      </c>
      <c r="B17" s="46">
        <f t="shared" si="5"/>
        <v>15</v>
      </c>
      <c r="C17" s="46"/>
      <c r="D17" s="46"/>
      <c r="E17" s="46">
        <f t="shared" si="6"/>
        <v>2.5</v>
      </c>
      <c r="F17" s="46">
        <f t="shared" si="7"/>
        <v>2.5</v>
      </c>
      <c r="G17" s="46">
        <f t="shared" si="8"/>
        <v>10</v>
      </c>
      <c r="H17" s="46">
        <f t="shared" si="9"/>
        <v>89</v>
      </c>
      <c r="I17" s="45">
        <f t="shared" si="1"/>
        <v>20</v>
      </c>
    </row>
    <row r="18" ht="12.0" customHeight="1">
      <c r="A18" s="49">
        <f t="shared" si="4"/>
        <v>21</v>
      </c>
      <c r="B18" s="46">
        <f t="shared" si="5"/>
        <v>14.9</v>
      </c>
      <c r="C18" s="46"/>
      <c r="D18" s="46"/>
      <c r="E18" s="46">
        <f t="shared" si="6"/>
        <v>2.49</v>
      </c>
      <c r="F18" s="46">
        <f t="shared" si="7"/>
        <v>2.53</v>
      </c>
      <c r="G18" s="46">
        <f t="shared" si="8"/>
        <v>10.5</v>
      </c>
      <c r="H18" s="46">
        <f t="shared" si="9"/>
        <v>88.5</v>
      </c>
      <c r="I18" s="45">
        <f t="shared" si="1"/>
        <v>21</v>
      </c>
    </row>
    <row r="19" ht="12.0" customHeight="1">
      <c r="A19" s="49">
        <f t="shared" si="4"/>
        <v>22</v>
      </c>
      <c r="B19" s="46">
        <f t="shared" si="5"/>
        <v>14.8</v>
      </c>
      <c r="C19" s="46"/>
      <c r="D19" s="46"/>
      <c r="E19" s="46">
        <f t="shared" si="6"/>
        <v>2.48</v>
      </c>
      <c r="F19" s="46">
        <f t="shared" si="7"/>
        <v>2.56</v>
      </c>
      <c r="G19" s="46">
        <f t="shared" si="8"/>
        <v>11</v>
      </c>
      <c r="H19" s="46">
        <f t="shared" si="9"/>
        <v>88</v>
      </c>
      <c r="I19" s="45">
        <f t="shared" si="1"/>
        <v>22</v>
      </c>
    </row>
    <row r="20" ht="12.0" customHeight="1">
      <c r="A20" s="49">
        <f t="shared" si="4"/>
        <v>23</v>
      </c>
      <c r="B20" s="46">
        <f t="shared" si="5"/>
        <v>14.7</v>
      </c>
      <c r="C20" s="46"/>
      <c r="D20" s="46"/>
      <c r="E20" s="46">
        <f t="shared" si="6"/>
        <v>2.47</v>
      </c>
      <c r="F20" s="46">
        <f t="shared" si="7"/>
        <v>2.59</v>
      </c>
      <c r="G20" s="46">
        <f t="shared" si="8"/>
        <v>11.5</v>
      </c>
      <c r="H20" s="46">
        <f t="shared" si="9"/>
        <v>87.5</v>
      </c>
      <c r="I20" s="45">
        <f t="shared" si="1"/>
        <v>23</v>
      </c>
    </row>
    <row r="21" ht="12.0" customHeight="1">
      <c r="A21" s="49">
        <f t="shared" si="4"/>
        <v>24</v>
      </c>
      <c r="B21" s="46">
        <f t="shared" si="5"/>
        <v>14.6</v>
      </c>
      <c r="C21" s="46"/>
      <c r="D21" s="46"/>
      <c r="E21" s="46">
        <f t="shared" si="6"/>
        <v>2.46</v>
      </c>
      <c r="F21" s="46">
        <f t="shared" si="7"/>
        <v>2.62</v>
      </c>
      <c r="G21" s="46">
        <f t="shared" si="8"/>
        <v>12</v>
      </c>
      <c r="H21" s="46">
        <f t="shared" si="9"/>
        <v>87</v>
      </c>
      <c r="I21" s="45">
        <f t="shared" si="1"/>
        <v>24</v>
      </c>
    </row>
    <row r="22" ht="12.0" customHeight="1">
      <c r="A22" s="49">
        <f t="shared" si="4"/>
        <v>25</v>
      </c>
      <c r="B22" s="46">
        <f t="shared" si="5"/>
        <v>14.5</v>
      </c>
      <c r="C22" s="46"/>
      <c r="D22" s="46"/>
      <c r="E22" s="46">
        <f t="shared" si="6"/>
        <v>2.45</v>
      </c>
      <c r="F22" s="46">
        <f t="shared" si="7"/>
        <v>2.65</v>
      </c>
      <c r="G22" s="46">
        <f t="shared" si="8"/>
        <v>12.5</v>
      </c>
      <c r="H22" s="46">
        <f t="shared" si="9"/>
        <v>86.5</v>
      </c>
      <c r="I22" s="45">
        <f t="shared" si="1"/>
        <v>25</v>
      </c>
    </row>
    <row r="23" ht="12.0" customHeight="1">
      <c r="A23" s="49">
        <f t="shared" si="4"/>
        <v>26</v>
      </c>
      <c r="B23" s="46">
        <f t="shared" si="5"/>
        <v>14.4</v>
      </c>
      <c r="C23" s="46"/>
      <c r="D23" s="46"/>
      <c r="E23" s="46">
        <f t="shared" si="6"/>
        <v>2.44</v>
      </c>
      <c r="F23" s="46">
        <f t="shared" si="7"/>
        <v>2.68</v>
      </c>
      <c r="G23" s="46">
        <f t="shared" si="8"/>
        <v>13</v>
      </c>
      <c r="H23" s="46">
        <f t="shared" si="9"/>
        <v>86</v>
      </c>
      <c r="I23" s="45">
        <f t="shared" si="1"/>
        <v>26</v>
      </c>
    </row>
    <row r="24" ht="12.0" customHeight="1">
      <c r="A24" s="49">
        <f t="shared" si="4"/>
        <v>27</v>
      </c>
      <c r="B24" s="46">
        <f t="shared" si="5"/>
        <v>14.3</v>
      </c>
      <c r="C24" s="46"/>
      <c r="D24" s="46"/>
      <c r="E24" s="46">
        <f t="shared" si="6"/>
        <v>2.43</v>
      </c>
      <c r="F24" s="46">
        <f t="shared" si="7"/>
        <v>2.71</v>
      </c>
      <c r="G24" s="46">
        <f t="shared" si="8"/>
        <v>13.5</v>
      </c>
      <c r="H24" s="46">
        <f t="shared" si="9"/>
        <v>85.5</v>
      </c>
      <c r="I24" s="45">
        <f t="shared" si="1"/>
        <v>27</v>
      </c>
    </row>
    <row r="25" ht="12.0" customHeight="1">
      <c r="A25" s="49">
        <f t="shared" si="4"/>
        <v>28</v>
      </c>
      <c r="B25" s="46">
        <f t="shared" si="5"/>
        <v>14.2</v>
      </c>
      <c r="C25" s="46"/>
      <c r="D25" s="46"/>
      <c r="E25" s="46">
        <f t="shared" si="6"/>
        <v>2.42</v>
      </c>
      <c r="F25" s="46">
        <f t="shared" si="7"/>
        <v>2.74</v>
      </c>
      <c r="G25" s="46">
        <f t="shared" si="8"/>
        <v>14</v>
      </c>
      <c r="H25" s="46">
        <f t="shared" si="9"/>
        <v>85</v>
      </c>
      <c r="I25" s="45">
        <f t="shared" si="1"/>
        <v>28</v>
      </c>
    </row>
    <row r="26" ht="12.0" customHeight="1">
      <c r="A26" s="49">
        <f t="shared" si="4"/>
        <v>29</v>
      </c>
      <c r="B26" s="46">
        <f t="shared" si="5"/>
        <v>14.1</v>
      </c>
      <c r="C26" s="46"/>
      <c r="D26" s="46"/>
      <c r="E26" s="46">
        <f t="shared" si="6"/>
        <v>2.41</v>
      </c>
      <c r="F26" s="46">
        <f t="shared" si="7"/>
        <v>2.77</v>
      </c>
      <c r="G26" s="46">
        <f t="shared" si="8"/>
        <v>14.5</v>
      </c>
      <c r="H26" s="46">
        <f t="shared" si="9"/>
        <v>84.5</v>
      </c>
      <c r="I26" s="45">
        <f t="shared" si="1"/>
        <v>29</v>
      </c>
    </row>
    <row r="27" ht="12.0" customHeight="1">
      <c r="A27" s="49">
        <f t="shared" si="4"/>
        <v>30</v>
      </c>
      <c r="B27" s="46">
        <f t="shared" si="5"/>
        <v>14</v>
      </c>
      <c r="C27" s="46"/>
      <c r="D27" s="46"/>
      <c r="E27" s="46">
        <f t="shared" si="6"/>
        <v>2.4</v>
      </c>
      <c r="F27" s="46">
        <f t="shared" si="7"/>
        <v>2.8</v>
      </c>
      <c r="G27" s="46">
        <f t="shared" si="8"/>
        <v>15</v>
      </c>
      <c r="H27" s="46">
        <f t="shared" si="9"/>
        <v>84</v>
      </c>
      <c r="I27" s="45">
        <f t="shared" si="1"/>
        <v>30</v>
      </c>
    </row>
    <row r="28" ht="12.0" customHeight="1">
      <c r="A28" s="49">
        <f t="shared" si="4"/>
        <v>31</v>
      </c>
      <c r="B28" s="46">
        <f t="shared" si="5"/>
        <v>13.9</v>
      </c>
      <c r="C28" s="46"/>
      <c r="D28" s="46"/>
      <c r="E28" s="46">
        <f t="shared" si="6"/>
        <v>2.39</v>
      </c>
      <c r="F28" s="46">
        <f t="shared" si="7"/>
        <v>2.83</v>
      </c>
      <c r="G28" s="46">
        <f t="shared" si="8"/>
        <v>15.5</v>
      </c>
      <c r="H28" s="46">
        <f t="shared" si="9"/>
        <v>83.5</v>
      </c>
      <c r="I28" s="45">
        <f t="shared" si="1"/>
        <v>31</v>
      </c>
    </row>
    <row r="29" ht="12.0" customHeight="1">
      <c r="A29" s="49">
        <f t="shared" si="4"/>
        <v>32</v>
      </c>
      <c r="B29" s="46">
        <f t="shared" si="5"/>
        <v>13.8</v>
      </c>
      <c r="C29" s="46"/>
      <c r="D29" s="46"/>
      <c r="E29" s="46">
        <f t="shared" si="6"/>
        <v>2.38</v>
      </c>
      <c r="F29" s="46">
        <f t="shared" si="7"/>
        <v>2.86</v>
      </c>
      <c r="G29" s="46">
        <f t="shared" si="8"/>
        <v>16</v>
      </c>
      <c r="H29" s="46">
        <f t="shared" si="9"/>
        <v>83</v>
      </c>
      <c r="I29" s="45">
        <f t="shared" si="1"/>
        <v>32</v>
      </c>
    </row>
    <row r="30" ht="12.0" customHeight="1">
      <c r="A30" s="49">
        <f t="shared" si="4"/>
        <v>33</v>
      </c>
      <c r="B30" s="46">
        <f t="shared" si="5"/>
        <v>13.7</v>
      </c>
      <c r="C30" s="46"/>
      <c r="D30" s="46"/>
      <c r="E30" s="46">
        <f t="shared" si="6"/>
        <v>2.37</v>
      </c>
      <c r="F30" s="46">
        <f t="shared" si="7"/>
        <v>2.89</v>
      </c>
      <c r="G30" s="46">
        <f t="shared" si="8"/>
        <v>16.5</v>
      </c>
      <c r="H30" s="46">
        <f t="shared" si="9"/>
        <v>82.5</v>
      </c>
      <c r="I30" s="45">
        <f t="shared" si="1"/>
        <v>33</v>
      </c>
    </row>
    <row r="31" ht="12.0" customHeight="1">
      <c r="A31" s="49">
        <f t="shared" si="4"/>
        <v>34</v>
      </c>
      <c r="B31" s="46">
        <f t="shared" si="5"/>
        <v>13.6</v>
      </c>
      <c r="C31" s="46"/>
      <c r="D31" s="46"/>
      <c r="E31" s="46">
        <f t="shared" si="6"/>
        <v>2.36</v>
      </c>
      <c r="F31" s="46">
        <f t="shared" si="7"/>
        <v>2.92</v>
      </c>
      <c r="G31" s="46">
        <f t="shared" si="8"/>
        <v>17</v>
      </c>
      <c r="H31" s="46">
        <f t="shared" si="9"/>
        <v>82</v>
      </c>
      <c r="I31" s="45">
        <f t="shared" si="1"/>
        <v>34</v>
      </c>
    </row>
    <row r="32" ht="12.0" customHeight="1">
      <c r="A32" s="49">
        <f t="shared" si="4"/>
        <v>35</v>
      </c>
      <c r="B32" s="46">
        <f t="shared" si="5"/>
        <v>13.5</v>
      </c>
      <c r="C32" s="46"/>
      <c r="D32" s="46"/>
      <c r="E32" s="46">
        <f t="shared" si="6"/>
        <v>2.35</v>
      </c>
      <c r="F32" s="46">
        <f t="shared" si="7"/>
        <v>2.95</v>
      </c>
      <c r="G32" s="46">
        <f t="shared" si="8"/>
        <v>17.5</v>
      </c>
      <c r="H32" s="46">
        <f t="shared" si="9"/>
        <v>81.5</v>
      </c>
      <c r="I32" s="45">
        <f t="shared" si="1"/>
        <v>35</v>
      </c>
    </row>
    <row r="33" ht="12.0" customHeight="1">
      <c r="A33" s="49">
        <f t="shared" si="4"/>
        <v>36</v>
      </c>
      <c r="B33" s="46">
        <f t="shared" si="5"/>
        <v>13.4</v>
      </c>
      <c r="C33" s="46"/>
      <c r="D33" s="46"/>
      <c r="E33" s="46">
        <f t="shared" si="6"/>
        <v>2.34</v>
      </c>
      <c r="F33" s="46">
        <f t="shared" si="7"/>
        <v>2.98</v>
      </c>
      <c r="G33" s="46">
        <f t="shared" si="8"/>
        <v>18</v>
      </c>
      <c r="H33" s="46">
        <f t="shared" si="9"/>
        <v>81</v>
      </c>
      <c r="I33" s="45">
        <f t="shared" si="1"/>
        <v>36</v>
      </c>
    </row>
    <row r="34" ht="12.0" customHeight="1">
      <c r="A34" s="49">
        <f t="shared" si="4"/>
        <v>37</v>
      </c>
      <c r="B34" s="46">
        <f t="shared" si="5"/>
        <v>13.3</v>
      </c>
      <c r="C34" s="46"/>
      <c r="D34" s="46"/>
      <c r="E34" s="46">
        <f t="shared" si="6"/>
        <v>2.33</v>
      </c>
      <c r="F34" s="46">
        <f t="shared" si="7"/>
        <v>3.01</v>
      </c>
      <c r="G34" s="46">
        <f t="shared" si="8"/>
        <v>18.5</v>
      </c>
      <c r="H34" s="46">
        <f t="shared" si="9"/>
        <v>80.5</v>
      </c>
      <c r="I34" s="45">
        <f t="shared" si="1"/>
        <v>37</v>
      </c>
    </row>
    <row r="35" ht="12.0" customHeight="1">
      <c r="A35" s="49">
        <f t="shared" si="4"/>
        <v>38</v>
      </c>
      <c r="B35" s="46">
        <f t="shared" si="5"/>
        <v>13.2</v>
      </c>
      <c r="C35" s="46"/>
      <c r="D35" s="46"/>
      <c r="E35" s="46">
        <f t="shared" si="6"/>
        <v>2.32</v>
      </c>
      <c r="F35" s="46">
        <f t="shared" si="7"/>
        <v>3.04</v>
      </c>
      <c r="G35" s="46">
        <f t="shared" si="8"/>
        <v>19</v>
      </c>
      <c r="H35" s="46">
        <f t="shared" si="9"/>
        <v>80</v>
      </c>
      <c r="I35" s="45">
        <f t="shared" si="1"/>
        <v>38</v>
      </c>
    </row>
    <row r="36" ht="12.0" customHeight="1">
      <c r="A36" s="49">
        <f t="shared" si="4"/>
        <v>39</v>
      </c>
      <c r="B36" s="46">
        <f t="shared" si="5"/>
        <v>13.1</v>
      </c>
      <c r="C36" s="46"/>
      <c r="D36" s="46"/>
      <c r="E36" s="46">
        <f t="shared" si="6"/>
        <v>2.31</v>
      </c>
      <c r="F36" s="46">
        <f t="shared" si="7"/>
        <v>3.07</v>
      </c>
      <c r="G36" s="46">
        <f t="shared" si="8"/>
        <v>19.5</v>
      </c>
      <c r="H36" s="46">
        <f t="shared" si="9"/>
        <v>79.5</v>
      </c>
      <c r="I36" s="45">
        <f t="shared" si="1"/>
        <v>39</v>
      </c>
    </row>
    <row r="37" ht="12.0" customHeight="1">
      <c r="A37" s="49">
        <f t="shared" si="4"/>
        <v>40</v>
      </c>
      <c r="B37" s="46">
        <f t="shared" si="5"/>
        <v>13</v>
      </c>
      <c r="C37" s="46"/>
      <c r="D37" s="46"/>
      <c r="E37" s="46">
        <f t="shared" si="6"/>
        <v>2.3</v>
      </c>
      <c r="F37" s="46">
        <f t="shared" si="7"/>
        <v>3.1</v>
      </c>
      <c r="G37" s="46">
        <f t="shared" si="8"/>
        <v>20</v>
      </c>
      <c r="H37" s="46">
        <f t="shared" si="9"/>
        <v>79</v>
      </c>
      <c r="I37" s="45">
        <f t="shared" si="1"/>
        <v>40</v>
      </c>
    </row>
    <row r="38" ht="12.0" customHeight="1">
      <c r="A38" s="49">
        <f t="shared" si="4"/>
        <v>41</v>
      </c>
      <c r="B38" s="46">
        <f t="shared" si="5"/>
        <v>12.9</v>
      </c>
      <c r="C38" s="46"/>
      <c r="D38" s="46"/>
      <c r="E38" s="46">
        <f t="shared" si="6"/>
        <v>2.29</v>
      </c>
      <c r="F38" s="46">
        <f t="shared" si="7"/>
        <v>3.13</v>
      </c>
      <c r="G38" s="46">
        <f t="shared" si="8"/>
        <v>20.5</v>
      </c>
      <c r="H38" s="46">
        <f t="shared" si="9"/>
        <v>78.5</v>
      </c>
      <c r="I38" s="45">
        <f t="shared" si="1"/>
        <v>41</v>
      </c>
    </row>
    <row r="39" ht="12.0" customHeight="1">
      <c r="A39" s="49">
        <f t="shared" si="4"/>
        <v>42</v>
      </c>
      <c r="B39" s="46">
        <f t="shared" si="5"/>
        <v>12.8</v>
      </c>
      <c r="C39" s="46"/>
      <c r="D39" s="46"/>
      <c r="E39" s="46">
        <f t="shared" si="6"/>
        <v>2.28</v>
      </c>
      <c r="F39" s="46">
        <f t="shared" si="7"/>
        <v>3.16</v>
      </c>
      <c r="G39" s="46">
        <f t="shared" si="8"/>
        <v>21</v>
      </c>
      <c r="H39" s="46">
        <f t="shared" si="9"/>
        <v>78</v>
      </c>
      <c r="I39" s="45">
        <f t="shared" si="1"/>
        <v>42</v>
      </c>
    </row>
    <row r="40" ht="12.0" customHeight="1">
      <c r="A40" s="49">
        <f t="shared" si="4"/>
        <v>43</v>
      </c>
      <c r="B40" s="46">
        <f t="shared" si="5"/>
        <v>12.7</v>
      </c>
      <c r="C40" s="46"/>
      <c r="D40" s="46"/>
      <c r="E40" s="46">
        <f t="shared" si="6"/>
        <v>2.27</v>
      </c>
      <c r="F40" s="46">
        <f t="shared" si="7"/>
        <v>3.19</v>
      </c>
      <c r="G40" s="46">
        <f t="shared" si="8"/>
        <v>21.5</v>
      </c>
      <c r="H40" s="46">
        <f t="shared" si="9"/>
        <v>77.5</v>
      </c>
      <c r="I40" s="45">
        <f t="shared" si="1"/>
        <v>43</v>
      </c>
    </row>
    <row r="41" ht="12.0" customHeight="1">
      <c r="A41" s="49">
        <f t="shared" si="4"/>
        <v>44</v>
      </c>
      <c r="B41" s="46">
        <f t="shared" si="5"/>
        <v>12.6</v>
      </c>
      <c r="C41" s="46"/>
      <c r="D41" s="46"/>
      <c r="E41" s="46">
        <f t="shared" si="6"/>
        <v>2.26</v>
      </c>
      <c r="F41" s="46">
        <f t="shared" si="7"/>
        <v>3.22</v>
      </c>
      <c r="G41" s="46">
        <f t="shared" si="8"/>
        <v>22</v>
      </c>
      <c r="H41" s="46">
        <f t="shared" si="9"/>
        <v>77</v>
      </c>
      <c r="I41" s="45">
        <f t="shared" si="1"/>
        <v>44</v>
      </c>
    </row>
    <row r="42" ht="12.0" customHeight="1">
      <c r="A42" s="49">
        <f t="shared" si="4"/>
        <v>45</v>
      </c>
      <c r="B42" s="46">
        <f t="shared" si="5"/>
        <v>12.5</v>
      </c>
      <c r="C42" s="46"/>
      <c r="D42" s="46"/>
      <c r="E42" s="46">
        <f t="shared" si="6"/>
        <v>2.25</v>
      </c>
      <c r="F42" s="46">
        <f t="shared" si="7"/>
        <v>3.25</v>
      </c>
      <c r="G42" s="46">
        <f t="shared" si="8"/>
        <v>22.5</v>
      </c>
      <c r="H42" s="46">
        <f t="shared" si="9"/>
        <v>76.5</v>
      </c>
      <c r="I42" s="45">
        <f t="shared" si="1"/>
        <v>45</v>
      </c>
    </row>
    <row r="43" ht="12.0" customHeight="1">
      <c r="A43" s="49">
        <f t="shared" si="4"/>
        <v>46</v>
      </c>
      <c r="B43" s="46">
        <f t="shared" si="5"/>
        <v>12.4</v>
      </c>
      <c r="C43" s="46"/>
      <c r="D43" s="46"/>
      <c r="E43" s="46">
        <f t="shared" si="6"/>
        <v>2.24</v>
      </c>
      <c r="F43" s="46">
        <f t="shared" si="7"/>
        <v>3.28</v>
      </c>
      <c r="G43" s="46">
        <f t="shared" si="8"/>
        <v>23</v>
      </c>
      <c r="H43" s="46">
        <f t="shared" si="9"/>
        <v>76</v>
      </c>
      <c r="I43" s="45">
        <f t="shared" si="1"/>
        <v>46</v>
      </c>
    </row>
    <row r="44" ht="12.0" customHeight="1">
      <c r="A44" s="49">
        <f t="shared" si="4"/>
        <v>47</v>
      </c>
      <c r="B44" s="46">
        <f t="shared" si="5"/>
        <v>12.3</v>
      </c>
      <c r="C44" s="46"/>
      <c r="D44" s="46"/>
      <c r="E44" s="46">
        <f t="shared" si="6"/>
        <v>2.23</v>
      </c>
      <c r="F44" s="46">
        <f t="shared" si="7"/>
        <v>3.31</v>
      </c>
      <c r="G44" s="46">
        <f t="shared" si="8"/>
        <v>23.5</v>
      </c>
      <c r="H44" s="46">
        <f t="shared" si="9"/>
        <v>75.5</v>
      </c>
      <c r="I44" s="45">
        <f t="shared" si="1"/>
        <v>47</v>
      </c>
    </row>
    <row r="45" ht="12.0" customHeight="1">
      <c r="A45" s="49">
        <f t="shared" si="4"/>
        <v>48</v>
      </c>
      <c r="B45" s="46">
        <f t="shared" si="5"/>
        <v>12.2</v>
      </c>
      <c r="C45" s="46"/>
      <c r="D45" s="46"/>
      <c r="E45" s="46">
        <f t="shared" si="6"/>
        <v>2.22</v>
      </c>
      <c r="F45" s="46">
        <f t="shared" si="7"/>
        <v>3.34</v>
      </c>
      <c r="G45" s="46">
        <f t="shared" si="8"/>
        <v>24</v>
      </c>
      <c r="H45" s="46">
        <f t="shared" si="9"/>
        <v>75</v>
      </c>
      <c r="I45" s="45">
        <f t="shared" si="1"/>
        <v>48</v>
      </c>
    </row>
    <row r="46" ht="12.0" customHeight="1">
      <c r="A46" s="49">
        <f t="shared" si="4"/>
        <v>49</v>
      </c>
      <c r="B46" s="46">
        <f t="shared" si="5"/>
        <v>12.1</v>
      </c>
      <c r="C46" s="46"/>
      <c r="D46" s="46"/>
      <c r="E46" s="46">
        <f t="shared" si="6"/>
        <v>2.21</v>
      </c>
      <c r="F46" s="46">
        <f t="shared" si="7"/>
        <v>3.37</v>
      </c>
      <c r="G46" s="46">
        <f t="shared" si="8"/>
        <v>24.5</v>
      </c>
      <c r="H46" s="46">
        <f t="shared" si="9"/>
        <v>74.5</v>
      </c>
      <c r="I46" s="45">
        <f t="shared" si="1"/>
        <v>49</v>
      </c>
    </row>
    <row r="47" ht="12.0" customHeight="1">
      <c r="A47" s="327">
        <f t="shared" si="4"/>
        <v>50</v>
      </c>
      <c r="B47" s="328">
        <f t="shared" si="5"/>
        <v>12</v>
      </c>
      <c r="C47" s="328"/>
      <c r="D47" s="328"/>
      <c r="E47" s="328">
        <f t="shared" si="6"/>
        <v>2.2</v>
      </c>
      <c r="F47" s="328">
        <f t="shared" si="7"/>
        <v>3.4</v>
      </c>
      <c r="G47" s="328">
        <f t="shared" si="8"/>
        <v>25</v>
      </c>
      <c r="H47" s="328">
        <f t="shared" si="9"/>
        <v>74</v>
      </c>
      <c r="I47" s="329">
        <f t="shared" si="1"/>
        <v>50</v>
      </c>
    </row>
    <row r="48" ht="12.0" customHeight="1">
      <c r="A48" s="49">
        <f t="shared" si="4"/>
        <v>51</v>
      </c>
      <c r="B48" s="46">
        <f t="shared" si="5"/>
        <v>11.9</v>
      </c>
      <c r="C48" s="46"/>
      <c r="D48" s="46"/>
      <c r="E48" s="46">
        <f t="shared" si="6"/>
        <v>2.19</v>
      </c>
      <c r="F48" s="46">
        <f t="shared" si="7"/>
        <v>3.43</v>
      </c>
      <c r="G48" s="46">
        <f t="shared" si="8"/>
        <v>25.5</v>
      </c>
      <c r="H48" s="46">
        <f t="shared" si="9"/>
        <v>73.5</v>
      </c>
      <c r="I48" s="45">
        <f t="shared" si="1"/>
        <v>51</v>
      </c>
    </row>
    <row r="49" ht="12.0" customHeight="1">
      <c r="A49" s="49">
        <f t="shared" si="4"/>
        <v>52</v>
      </c>
      <c r="B49" s="46">
        <f t="shared" si="5"/>
        <v>11.8</v>
      </c>
      <c r="C49" s="46"/>
      <c r="D49" s="46"/>
      <c r="E49" s="46">
        <f t="shared" si="6"/>
        <v>2.18</v>
      </c>
      <c r="F49" s="46">
        <f t="shared" si="7"/>
        <v>3.46</v>
      </c>
      <c r="G49" s="46">
        <f t="shared" si="8"/>
        <v>26</v>
      </c>
      <c r="H49" s="46">
        <f t="shared" si="9"/>
        <v>73</v>
      </c>
      <c r="I49" s="45">
        <f t="shared" si="1"/>
        <v>52</v>
      </c>
    </row>
    <row r="50" ht="12.0" customHeight="1">
      <c r="A50" s="49">
        <f t="shared" si="4"/>
        <v>53</v>
      </c>
      <c r="B50" s="46">
        <f t="shared" si="5"/>
        <v>11.7</v>
      </c>
      <c r="C50" s="46"/>
      <c r="D50" s="46"/>
      <c r="E50" s="46">
        <f t="shared" si="6"/>
        <v>2.17</v>
      </c>
      <c r="F50" s="46">
        <f t="shared" si="7"/>
        <v>3.49</v>
      </c>
      <c r="G50" s="46">
        <f t="shared" si="8"/>
        <v>26.5</v>
      </c>
      <c r="H50" s="46">
        <f t="shared" si="9"/>
        <v>72.5</v>
      </c>
      <c r="I50" s="45">
        <f t="shared" si="1"/>
        <v>53</v>
      </c>
    </row>
    <row r="51" ht="12.0" customHeight="1">
      <c r="A51" s="49">
        <f t="shared" si="4"/>
        <v>54</v>
      </c>
      <c r="B51" s="46">
        <f t="shared" si="5"/>
        <v>11.6</v>
      </c>
      <c r="C51" s="46"/>
      <c r="D51" s="46"/>
      <c r="E51" s="46">
        <f t="shared" si="6"/>
        <v>2.16</v>
      </c>
      <c r="F51" s="46">
        <f t="shared" si="7"/>
        <v>3.52</v>
      </c>
      <c r="G51" s="46">
        <f t="shared" si="8"/>
        <v>27</v>
      </c>
      <c r="H51" s="46">
        <f t="shared" si="9"/>
        <v>72</v>
      </c>
      <c r="I51" s="45">
        <f t="shared" si="1"/>
        <v>54</v>
      </c>
    </row>
    <row r="52" ht="12.0" customHeight="1">
      <c r="A52" s="49">
        <f t="shared" si="4"/>
        <v>55</v>
      </c>
      <c r="B52" s="46">
        <f t="shared" si="5"/>
        <v>11.5</v>
      </c>
      <c r="C52" s="46"/>
      <c r="D52" s="46"/>
      <c r="E52" s="46">
        <f t="shared" si="6"/>
        <v>2.15</v>
      </c>
      <c r="F52" s="46">
        <f t="shared" si="7"/>
        <v>3.55</v>
      </c>
      <c r="G52" s="46">
        <f t="shared" si="8"/>
        <v>27.5</v>
      </c>
      <c r="H52" s="46">
        <f t="shared" si="9"/>
        <v>71.5</v>
      </c>
      <c r="I52" s="45">
        <f t="shared" si="1"/>
        <v>55</v>
      </c>
    </row>
    <row r="53" ht="12.0" customHeight="1">
      <c r="A53" s="49">
        <f t="shared" si="4"/>
        <v>56</v>
      </c>
      <c r="B53" s="46">
        <f t="shared" si="5"/>
        <v>11.4</v>
      </c>
      <c r="C53" s="46"/>
      <c r="D53" s="46"/>
      <c r="E53" s="46">
        <f t="shared" si="6"/>
        <v>2.14</v>
      </c>
      <c r="F53" s="46">
        <f t="shared" si="7"/>
        <v>3.58</v>
      </c>
      <c r="G53" s="46">
        <f t="shared" si="8"/>
        <v>28</v>
      </c>
      <c r="H53" s="46">
        <f t="shared" si="9"/>
        <v>71</v>
      </c>
      <c r="I53" s="45">
        <f t="shared" si="1"/>
        <v>56</v>
      </c>
    </row>
    <row r="54" ht="12.0" customHeight="1">
      <c r="A54" s="49">
        <f t="shared" si="4"/>
        <v>57</v>
      </c>
      <c r="B54" s="46">
        <f t="shared" si="5"/>
        <v>11.3</v>
      </c>
      <c r="C54" s="46"/>
      <c r="D54" s="46"/>
      <c r="E54" s="46">
        <f t="shared" si="6"/>
        <v>2.13</v>
      </c>
      <c r="F54" s="46">
        <f t="shared" si="7"/>
        <v>3.61</v>
      </c>
      <c r="G54" s="46">
        <f t="shared" si="8"/>
        <v>28.5</v>
      </c>
      <c r="H54" s="46">
        <f t="shared" si="9"/>
        <v>70.5</v>
      </c>
      <c r="I54" s="45">
        <f t="shared" si="1"/>
        <v>57</v>
      </c>
    </row>
    <row r="55" ht="12.0" customHeight="1">
      <c r="A55" s="49">
        <f t="shared" si="4"/>
        <v>58</v>
      </c>
      <c r="B55" s="46">
        <f t="shared" si="5"/>
        <v>11.2</v>
      </c>
      <c r="C55" s="46"/>
      <c r="D55" s="46"/>
      <c r="E55" s="46">
        <f t="shared" si="6"/>
        <v>2.12</v>
      </c>
      <c r="F55" s="46">
        <f t="shared" si="7"/>
        <v>3.64</v>
      </c>
      <c r="G55" s="46">
        <f t="shared" si="8"/>
        <v>29</v>
      </c>
      <c r="H55" s="46">
        <f t="shared" si="9"/>
        <v>70</v>
      </c>
      <c r="I55" s="45">
        <f t="shared" si="1"/>
        <v>58</v>
      </c>
    </row>
    <row r="56" ht="12.0" customHeight="1">
      <c r="A56" s="49">
        <f t="shared" si="4"/>
        <v>59</v>
      </c>
      <c r="B56" s="46">
        <f t="shared" si="5"/>
        <v>11.1</v>
      </c>
      <c r="C56" s="46"/>
      <c r="D56" s="46"/>
      <c r="E56" s="46">
        <f t="shared" si="6"/>
        <v>2.11</v>
      </c>
      <c r="F56" s="46">
        <f t="shared" si="7"/>
        <v>3.67</v>
      </c>
      <c r="G56" s="46">
        <f t="shared" si="8"/>
        <v>29.5</v>
      </c>
      <c r="H56" s="46">
        <f t="shared" si="9"/>
        <v>69.5</v>
      </c>
      <c r="I56" s="45">
        <f t="shared" si="1"/>
        <v>59</v>
      </c>
    </row>
    <row r="57" ht="12.0" customHeight="1">
      <c r="A57" s="49">
        <f t="shared" si="4"/>
        <v>60</v>
      </c>
      <c r="B57" s="46">
        <f t="shared" si="5"/>
        <v>11</v>
      </c>
      <c r="C57" s="46"/>
      <c r="D57" s="46"/>
      <c r="E57" s="46">
        <f t="shared" si="6"/>
        <v>2.1</v>
      </c>
      <c r="F57" s="46">
        <f t="shared" si="7"/>
        <v>3.7</v>
      </c>
      <c r="G57" s="46">
        <f t="shared" si="8"/>
        <v>30</v>
      </c>
      <c r="H57" s="46">
        <f t="shared" si="9"/>
        <v>69</v>
      </c>
      <c r="I57" s="45">
        <f t="shared" si="1"/>
        <v>60</v>
      </c>
    </row>
    <row r="58" ht="12.0" customHeight="1">
      <c r="A58" s="49">
        <f t="shared" si="4"/>
        <v>61</v>
      </c>
      <c r="B58" s="46">
        <f t="shared" si="5"/>
        <v>10.9</v>
      </c>
      <c r="C58" s="46"/>
      <c r="D58" s="46"/>
      <c r="E58" s="46">
        <f t="shared" si="6"/>
        <v>2.09</v>
      </c>
      <c r="F58" s="46">
        <f t="shared" si="7"/>
        <v>3.73</v>
      </c>
      <c r="G58" s="46">
        <f t="shared" si="8"/>
        <v>30.5</v>
      </c>
      <c r="H58" s="46">
        <f t="shared" si="9"/>
        <v>68.5</v>
      </c>
      <c r="I58" s="45">
        <f t="shared" si="1"/>
        <v>61</v>
      </c>
    </row>
    <row r="59" ht="12.0" customHeight="1">
      <c r="A59" s="49">
        <f t="shared" si="4"/>
        <v>62</v>
      </c>
      <c r="B59" s="46">
        <f t="shared" si="5"/>
        <v>10.8</v>
      </c>
      <c r="C59" s="46"/>
      <c r="D59" s="46"/>
      <c r="E59" s="46">
        <f t="shared" si="6"/>
        <v>2.08</v>
      </c>
      <c r="F59" s="46">
        <f t="shared" si="7"/>
        <v>3.76</v>
      </c>
      <c r="G59" s="46">
        <f t="shared" si="8"/>
        <v>31</v>
      </c>
      <c r="H59" s="46">
        <f t="shared" si="9"/>
        <v>68</v>
      </c>
      <c r="I59" s="45">
        <f t="shared" si="1"/>
        <v>62</v>
      </c>
    </row>
    <row r="60" ht="12.0" customHeight="1">
      <c r="A60" s="49">
        <f t="shared" si="4"/>
        <v>63</v>
      </c>
      <c r="B60" s="46">
        <f t="shared" si="5"/>
        <v>10.7</v>
      </c>
      <c r="C60" s="46"/>
      <c r="D60" s="46"/>
      <c r="E60" s="46">
        <f t="shared" si="6"/>
        <v>2.07</v>
      </c>
      <c r="F60" s="46">
        <f t="shared" si="7"/>
        <v>3.79</v>
      </c>
      <c r="G60" s="46">
        <f t="shared" si="8"/>
        <v>31.5</v>
      </c>
      <c r="H60" s="46">
        <f t="shared" si="9"/>
        <v>67.5</v>
      </c>
      <c r="I60" s="45">
        <f t="shared" si="1"/>
        <v>63</v>
      </c>
    </row>
    <row r="61" ht="12.0" customHeight="1">
      <c r="A61" s="49">
        <f t="shared" si="4"/>
        <v>64</v>
      </c>
      <c r="B61" s="46">
        <f t="shared" si="5"/>
        <v>10.6</v>
      </c>
      <c r="C61" s="46"/>
      <c r="D61" s="46"/>
      <c r="E61" s="46">
        <f t="shared" si="6"/>
        <v>2.06</v>
      </c>
      <c r="F61" s="46">
        <f t="shared" si="7"/>
        <v>3.82</v>
      </c>
      <c r="G61" s="46">
        <f t="shared" si="8"/>
        <v>32</v>
      </c>
      <c r="H61" s="46">
        <f t="shared" si="9"/>
        <v>67</v>
      </c>
      <c r="I61" s="45">
        <f t="shared" si="1"/>
        <v>64</v>
      </c>
    </row>
    <row r="62" ht="12.0" customHeight="1">
      <c r="A62" s="49">
        <f t="shared" si="4"/>
        <v>65</v>
      </c>
      <c r="B62" s="46">
        <f t="shared" si="5"/>
        <v>10.5</v>
      </c>
      <c r="C62" s="46"/>
      <c r="D62" s="46"/>
      <c r="E62" s="46">
        <f t="shared" si="6"/>
        <v>2.05</v>
      </c>
      <c r="F62" s="46">
        <f t="shared" si="7"/>
        <v>3.85</v>
      </c>
      <c r="G62" s="46">
        <f t="shared" si="8"/>
        <v>32.5</v>
      </c>
      <c r="H62" s="46">
        <f t="shared" si="9"/>
        <v>66.5</v>
      </c>
      <c r="I62" s="45">
        <f t="shared" si="1"/>
        <v>65</v>
      </c>
    </row>
    <row r="63" ht="12.0" customHeight="1">
      <c r="A63" s="49">
        <f t="shared" si="4"/>
        <v>66</v>
      </c>
      <c r="B63" s="46">
        <f t="shared" si="5"/>
        <v>10.4</v>
      </c>
      <c r="C63" s="46"/>
      <c r="D63" s="46"/>
      <c r="E63" s="46">
        <f t="shared" si="6"/>
        <v>2.04</v>
      </c>
      <c r="F63" s="46">
        <f t="shared" si="7"/>
        <v>3.88</v>
      </c>
      <c r="G63" s="46">
        <f t="shared" si="8"/>
        <v>33</v>
      </c>
      <c r="H63" s="46">
        <f t="shared" si="9"/>
        <v>66</v>
      </c>
      <c r="I63" s="45">
        <f t="shared" si="1"/>
        <v>66</v>
      </c>
    </row>
    <row r="64" ht="12.0" customHeight="1">
      <c r="A64" s="49">
        <f t="shared" si="4"/>
        <v>67</v>
      </c>
      <c r="B64" s="46">
        <f t="shared" si="5"/>
        <v>10.3</v>
      </c>
      <c r="C64" s="46"/>
      <c r="D64" s="46"/>
      <c r="E64" s="46">
        <f t="shared" si="6"/>
        <v>2.03</v>
      </c>
      <c r="F64" s="46">
        <f t="shared" si="7"/>
        <v>3.91</v>
      </c>
      <c r="G64" s="46">
        <f t="shared" si="8"/>
        <v>33.5</v>
      </c>
      <c r="H64" s="46">
        <f t="shared" si="9"/>
        <v>65.5</v>
      </c>
      <c r="I64" s="45">
        <f t="shared" si="1"/>
        <v>67</v>
      </c>
    </row>
    <row r="65" ht="12.0" customHeight="1">
      <c r="A65" s="49">
        <f t="shared" si="4"/>
        <v>68</v>
      </c>
      <c r="B65" s="46">
        <f t="shared" si="5"/>
        <v>10.2</v>
      </c>
      <c r="C65" s="46"/>
      <c r="D65" s="46"/>
      <c r="E65" s="46">
        <f t="shared" si="6"/>
        <v>2.02</v>
      </c>
      <c r="F65" s="46">
        <f t="shared" si="7"/>
        <v>3.94</v>
      </c>
      <c r="G65" s="46">
        <f t="shared" si="8"/>
        <v>34</v>
      </c>
      <c r="H65" s="46">
        <f t="shared" si="9"/>
        <v>65</v>
      </c>
      <c r="I65" s="45">
        <f t="shared" si="1"/>
        <v>68</v>
      </c>
    </row>
    <row r="66" ht="12.0" customHeight="1">
      <c r="A66" s="49">
        <f t="shared" si="4"/>
        <v>69</v>
      </c>
      <c r="B66" s="46">
        <f t="shared" si="5"/>
        <v>10.1</v>
      </c>
      <c r="C66" s="46"/>
      <c r="D66" s="46"/>
      <c r="E66" s="46">
        <f t="shared" si="6"/>
        <v>2.01</v>
      </c>
      <c r="F66" s="46">
        <f t="shared" si="7"/>
        <v>3.97</v>
      </c>
      <c r="G66" s="46">
        <f t="shared" si="8"/>
        <v>34.5</v>
      </c>
      <c r="H66" s="46">
        <f t="shared" si="9"/>
        <v>64.5</v>
      </c>
      <c r="I66" s="45">
        <f t="shared" si="1"/>
        <v>69</v>
      </c>
    </row>
    <row r="67" ht="12.0" customHeight="1">
      <c r="A67" s="49">
        <f t="shared" si="4"/>
        <v>70</v>
      </c>
      <c r="B67" s="46">
        <f t="shared" si="5"/>
        <v>10</v>
      </c>
      <c r="C67" s="46"/>
      <c r="D67" s="46"/>
      <c r="E67" s="46">
        <f t="shared" si="6"/>
        <v>2</v>
      </c>
      <c r="F67" s="46">
        <f t="shared" si="7"/>
        <v>4</v>
      </c>
      <c r="G67" s="46">
        <f t="shared" si="8"/>
        <v>35</v>
      </c>
      <c r="H67" s="46">
        <f t="shared" si="9"/>
        <v>64</v>
      </c>
      <c r="I67" s="45">
        <f t="shared" si="1"/>
        <v>70</v>
      </c>
    </row>
    <row r="68" ht="12.0" customHeight="1">
      <c r="A68" s="49">
        <f t="shared" si="4"/>
        <v>71</v>
      </c>
      <c r="B68" s="46">
        <f t="shared" si="5"/>
        <v>9.9</v>
      </c>
      <c r="C68" s="46"/>
      <c r="D68" s="46"/>
      <c r="E68" s="46">
        <f t="shared" si="6"/>
        <v>1.59</v>
      </c>
      <c r="F68" s="46">
        <f t="shared" si="7"/>
        <v>4.03</v>
      </c>
      <c r="G68" s="46">
        <f t="shared" si="8"/>
        <v>35.5</v>
      </c>
      <c r="H68" s="46">
        <f t="shared" si="9"/>
        <v>63.5</v>
      </c>
      <c r="I68" s="45">
        <f t="shared" si="1"/>
        <v>71</v>
      </c>
    </row>
    <row r="69" ht="12.0" customHeight="1">
      <c r="A69" s="49">
        <f t="shared" si="4"/>
        <v>72</v>
      </c>
      <c r="B69" s="46">
        <f t="shared" si="5"/>
        <v>9.8</v>
      </c>
      <c r="C69" s="46"/>
      <c r="D69" s="46"/>
      <c r="E69" s="46">
        <f t="shared" si="6"/>
        <v>1.58</v>
      </c>
      <c r="F69" s="46">
        <f t="shared" si="7"/>
        <v>4.06</v>
      </c>
      <c r="G69" s="46">
        <f t="shared" si="8"/>
        <v>36</v>
      </c>
      <c r="H69" s="46">
        <f t="shared" si="9"/>
        <v>63</v>
      </c>
      <c r="I69" s="45">
        <f t="shared" si="1"/>
        <v>72</v>
      </c>
    </row>
    <row r="70" ht="12.0" customHeight="1">
      <c r="A70" s="49">
        <f t="shared" si="4"/>
        <v>73</v>
      </c>
      <c r="B70" s="46">
        <f t="shared" si="5"/>
        <v>9.7</v>
      </c>
      <c r="C70" s="46"/>
      <c r="D70" s="46"/>
      <c r="E70" s="46">
        <f t="shared" si="6"/>
        <v>1.57</v>
      </c>
      <c r="F70" s="46">
        <f t="shared" si="7"/>
        <v>4.09</v>
      </c>
      <c r="G70" s="46">
        <f t="shared" si="8"/>
        <v>36.5</v>
      </c>
      <c r="H70" s="46">
        <f t="shared" si="9"/>
        <v>62.5</v>
      </c>
      <c r="I70" s="45">
        <f t="shared" si="1"/>
        <v>73</v>
      </c>
    </row>
    <row r="71" ht="12.0" customHeight="1">
      <c r="A71" s="49">
        <f t="shared" si="4"/>
        <v>74</v>
      </c>
      <c r="B71" s="46">
        <f t="shared" si="5"/>
        <v>9.6</v>
      </c>
      <c r="C71" s="46"/>
      <c r="D71" s="46"/>
      <c r="E71" s="46">
        <f t="shared" si="6"/>
        <v>1.56</v>
      </c>
      <c r="F71" s="46">
        <f t="shared" si="7"/>
        <v>4.12</v>
      </c>
      <c r="G71" s="46">
        <f t="shared" si="8"/>
        <v>37</v>
      </c>
      <c r="H71" s="46">
        <f t="shared" si="9"/>
        <v>62</v>
      </c>
      <c r="I71" s="45">
        <f t="shared" si="1"/>
        <v>74</v>
      </c>
    </row>
    <row r="72" ht="12.0" customHeight="1">
      <c r="A72" s="49">
        <f t="shared" si="4"/>
        <v>75</v>
      </c>
      <c r="B72" s="46">
        <f t="shared" si="5"/>
        <v>9.5</v>
      </c>
      <c r="C72" s="46"/>
      <c r="D72" s="46"/>
      <c r="E72" s="46">
        <f t="shared" si="6"/>
        <v>1.55</v>
      </c>
      <c r="F72" s="46">
        <f t="shared" si="7"/>
        <v>4.15</v>
      </c>
      <c r="G72" s="46">
        <f t="shared" si="8"/>
        <v>37.5</v>
      </c>
      <c r="H72" s="46">
        <f t="shared" si="9"/>
        <v>61.5</v>
      </c>
      <c r="I72" s="45">
        <f t="shared" si="1"/>
        <v>75</v>
      </c>
    </row>
    <row r="73" ht="12.0" customHeight="1">
      <c r="A73" s="49">
        <f t="shared" si="4"/>
        <v>76</v>
      </c>
      <c r="B73" s="46">
        <f t="shared" si="5"/>
        <v>9.4</v>
      </c>
      <c r="C73" s="46"/>
      <c r="D73" s="46"/>
      <c r="E73" s="46">
        <f t="shared" si="6"/>
        <v>1.54</v>
      </c>
      <c r="F73" s="46">
        <f t="shared" si="7"/>
        <v>4.18</v>
      </c>
      <c r="G73" s="46">
        <f t="shared" si="8"/>
        <v>38</v>
      </c>
      <c r="H73" s="46">
        <f t="shared" si="9"/>
        <v>61</v>
      </c>
      <c r="I73" s="45">
        <f t="shared" si="1"/>
        <v>76</v>
      </c>
    </row>
    <row r="74" ht="12.0" customHeight="1">
      <c r="A74" s="49">
        <f t="shared" si="4"/>
        <v>77</v>
      </c>
      <c r="B74" s="46">
        <f t="shared" si="5"/>
        <v>9.3</v>
      </c>
      <c r="C74" s="46"/>
      <c r="D74" s="46"/>
      <c r="E74" s="46">
        <f t="shared" si="6"/>
        <v>1.53</v>
      </c>
      <c r="F74" s="46">
        <f t="shared" si="7"/>
        <v>4.21</v>
      </c>
      <c r="G74" s="46">
        <f t="shared" si="8"/>
        <v>38.5</v>
      </c>
      <c r="H74" s="46">
        <f t="shared" si="9"/>
        <v>60.5</v>
      </c>
      <c r="I74" s="45">
        <f t="shared" si="1"/>
        <v>77</v>
      </c>
    </row>
    <row r="75" ht="12.0" customHeight="1">
      <c r="A75" s="49">
        <f t="shared" si="4"/>
        <v>78</v>
      </c>
      <c r="B75" s="46">
        <f t="shared" si="5"/>
        <v>9.2</v>
      </c>
      <c r="C75" s="46"/>
      <c r="D75" s="46"/>
      <c r="E75" s="46">
        <f t="shared" si="6"/>
        <v>1.52</v>
      </c>
      <c r="F75" s="46">
        <f t="shared" si="7"/>
        <v>4.24</v>
      </c>
      <c r="G75" s="46">
        <f t="shared" si="8"/>
        <v>39</v>
      </c>
      <c r="H75" s="46">
        <f t="shared" si="9"/>
        <v>60</v>
      </c>
      <c r="I75" s="45">
        <f t="shared" si="1"/>
        <v>78</v>
      </c>
    </row>
    <row r="76" ht="12.0" customHeight="1">
      <c r="A76" s="49">
        <f t="shared" si="4"/>
        <v>79</v>
      </c>
      <c r="B76" s="46">
        <f t="shared" si="5"/>
        <v>9.1</v>
      </c>
      <c r="C76" s="46"/>
      <c r="D76" s="46"/>
      <c r="E76" s="46">
        <f t="shared" si="6"/>
        <v>1.51</v>
      </c>
      <c r="F76" s="46">
        <f t="shared" si="7"/>
        <v>4.27</v>
      </c>
      <c r="G76" s="46">
        <f t="shared" si="8"/>
        <v>39.5</v>
      </c>
      <c r="H76" s="46">
        <f t="shared" si="9"/>
        <v>59.5</v>
      </c>
      <c r="I76" s="45">
        <f t="shared" si="1"/>
        <v>79</v>
      </c>
    </row>
    <row r="77" ht="12.0" customHeight="1">
      <c r="A77" s="49">
        <f t="shared" si="4"/>
        <v>80</v>
      </c>
      <c r="B77" s="46">
        <f t="shared" si="5"/>
        <v>9</v>
      </c>
      <c r="C77" s="46"/>
      <c r="D77" s="46"/>
      <c r="E77" s="46">
        <f t="shared" si="6"/>
        <v>1.5</v>
      </c>
      <c r="F77" s="46">
        <f t="shared" si="7"/>
        <v>4.3</v>
      </c>
      <c r="G77" s="46">
        <f t="shared" si="8"/>
        <v>40</v>
      </c>
      <c r="H77" s="46">
        <f t="shared" si="9"/>
        <v>59</v>
      </c>
      <c r="I77" s="45">
        <f t="shared" si="1"/>
        <v>80</v>
      </c>
    </row>
    <row r="78" ht="12.0" customHeight="1">
      <c r="A78" s="49">
        <f t="shared" si="4"/>
        <v>81</v>
      </c>
      <c r="B78" s="46">
        <f t="shared" si="5"/>
        <v>8.9</v>
      </c>
      <c r="C78" s="46"/>
      <c r="D78" s="46"/>
      <c r="E78" s="46">
        <f t="shared" si="6"/>
        <v>1.49</v>
      </c>
      <c r="F78" s="46">
        <f t="shared" si="7"/>
        <v>4.33</v>
      </c>
      <c r="G78" s="46">
        <f t="shared" si="8"/>
        <v>40.5</v>
      </c>
      <c r="H78" s="46">
        <f t="shared" si="9"/>
        <v>58.5</v>
      </c>
      <c r="I78" s="45">
        <f t="shared" si="1"/>
        <v>81</v>
      </c>
    </row>
    <row r="79" ht="12.0" customHeight="1">
      <c r="A79" s="49">
        <f t="shared" si="4"/>
        <v>82</v>
      </c>
      <c r="B79" s="46">
        <f t="shared" si="5"/>
        <v>8.8</v>
      </c>
      <c r="C79" s="46"/>
      <c r="D79" s="46"/>
      <c r="E79" s="46">
        <f t="shared" si="6"/>
        <v>1.48</v>
      </c>
      <c r="F79" s="46">
        <f t="shared" si="7"/>
        <v>4.36</v>
      </c>
      <c r="G79" s="46">
        <f t="shared" si="8"/>
        <v>41</v>
      </c>
      <c r="H79" s="46">
        <f t="shared" si="9"/>
        <v>58</v>
      </c>
      <c r="I79" s="45">
        <f t="shared" si="1"/>
        <v>82</v>
      </c>
    </row>
    <row r="80" ht="12.0" customHeight="1">
      <c r="A80" s="49">
        <f t="shared" si="4"/>
        <v>83</v>
      </c>
      <c r="B80" s="46">
        <f t="shared" si="5"/>
        <v>8.7</v>
      </c>
      <c r="C80" s="46"/>
      <c r="D80" s="46"/>
      <c r="E80" s="46">
        <f t="shared" si="6"/>
        <v>1.47</v>
      </c>
      <c r="F80" s="46">
        <f t="shared" si="7"/>
        <v>4.39</v>
      </c>
      <c r="G80" s="46">
        <f t="shared" si="8"/>
        <v>41.5</v>
      </c>
      <c r="H80" s="46">
        <f t="shared" si="9"/>
        <v>57.5</v>
      </c>
      <c r="I80" s="45">
        <f t="shared" si="1"/>
        <v>83</v>
      </c>
    </row>
    <row r="81" ht="12.0" customHeight="1">
      <c r="A81" s="49">
        <f t="shared" si="4"/>
        <v>84</v>
      </c>
      <c r="B81" s="46">
        <f t="shared" si="5"/>
        <v>8.6</v>
      </c>
      <c r="C81" s="46"/>
      <c r="D81" s="46"/>
      <c r="E81" s="46">
        <f t="shared" si="6"/>
        <v>1.46</v>
      </c>
      <c r="F81" s="46">
        <f t="shared" si="7"/>
        <v>4.42</v>
      </c>
      <c r="G81" s="46">
        <f t="shared" si="8"/>
        <v>42</v>
      </c>
      <c r="H81" s="46">
        <f t="shared" si="9"/>
        <v>57</v>
      </c>
      <c r="I81" s="45">
        <f t="shared" si="1"/>
        <v>84</v>
      </c>
    </row>
    <row r="82" ht="12.0" customHeight="1">
      <c r="A82" s="49">
        <f t="shared" si="4"/>
        <v>85</v>
      </c>
      <c r="B82" s="46">
        <f t="shared" si="5"/>
        <v>8.5</v>
      </c>
      <c r="C82" s="46"/>
      <c r="D82" s="46"/>
      <c r="E82" s="46">
        <f t="shared" si="6"/>
        <v>1.45</v>
      </c>
      <c r="F82" s="46">
        <f t="shared" si="7"/>
        <v>4.45</v>
      </c>
      <c r="G82" s="46">
        <f t="shared" si="8"/>
        <v>42.5</v>
      </c>
      <c r="H82" s="46">
        <f t="shared" si="9"/>
        <v>56.5</v>
      </c>
      <c r="I82" s="45">
        <f t="shared" si="1"/>
        <v>85</v>
      </c>
    </row>
    <row r="83" ht="12.0" customHeight="1">
      <c r="A83" s="49">
        <f t="shared" si="4"/>
        <v>86</v>
      </c>
      <c r="B83" s="46">
        <f t="shared" si="5"/>
        <v>8.4</v>
      </c>
      <c r="C83" s="46"/>
      <c r="D83" s="46"/>
      <c r="E83" s="46">
        <f t="shared" si="6"/>
        <v>1.44</v>
      </c>
      <c r="F83" s="46">
        <f t="shared" si="7"/>
        <v>4.48</v>
      </c>
      <c r="G83" s="46">
        <f t="shared" si="8"/>
        <v>43</v>
      </c>
      <c r="H83" s="46">
        <f t="shared" si="9"/>
        <v>56</v>
      </c>
      <c r="I83" s="45">
        <f t="shared" si="1"/>
        <v>86</v>
      </c>
    </row>
    <row r="84" ht="12.0" customHeight="1">
      <c r="A84" s="49">
        <f t="shared" si="4"/>
        <v>87</v>
      </c>
      <c r="B84" s="46">
        <f t="shared" si="5"/>
        <v>8.3</v>
      </c>
      <c r="C84" s="46"/>
      <c r="D84" s="46"/>
      <c r="E84" s="46">
        <f t="shared" si="6"/>
        <v>1.43</v>
      </c>
      <c r="F84" s="46">
        <f t="shared" si="7"/>
        <v>4.51</v>
      </c>
      <c r="G84" s="46">
        <f t="shared" si="8"/>
        <v>43.5</v>
      </c>
      <c r="H84" s="46">
        <f t="shared" si="9"/>
        <v>55.5</v>
      </c>
      <c r="I84" s="45">
        <f t="shared" si="1"/>
        <v>87</v>
      </c>
    </row>
    <row r="85" ht="12.0" customHeight="1">
      <c r="A85" s="49">
        <f t="shared" si="4"/>
        <v>88</v>
      </c>
      <c r="B85" s="46">
        <f t="shared" si="5"/>
        <v>8.2</v>
      </c>
      <c r="C85" s="46"/>
      <c r="D85" s="46"/>
      <c r="E85" s="46">
        <f t="shared" si="6"/>
        <v>1.42</v>
      </c>
      <c r="F85" s="46">
        <f t="shared" si="7"/>
        <v>4.54</v>
      </c>
      <c r="G85" s="46">
        <f t="shared" si="8"/>
        <v>44</v>
      </c>
      <c r="H85" s="46">
        <f t="shared" si="9"/>
        <v>55</v>
      </c>
      <c r="I85" s="45">
        <f t="shared" si="1"/>
        <v>88</v>
      </c>
    </row>
    <row r="86" ht="12.0" customHeight="1">
      <c r="A86" s="49">
        <f t="shared" si="4"/>
        <v>89</v>
      </c>
      <c r="B86" s="46">
        <f t="shared" si="5"/>
        <v>8.1</v>
      </c>
      <c r="C86" s="46"/>
      <c r="D86" s="46"/>
      <c r="E86" s="46">
        <f t="shared" si="6"/>
        <v>1.41</v>
      </c>
      <c r="F86" s="46">
        <f t="shared" si="7"/>
        <v>4.57</v>
      </c>
      <c r="G86" s="46">
        <f t="shared" si="8"/>
        <v>44.5</v>
      </c>
      <c r="H86" s="46">
        <f t="shared" si="9"/>
        <v>54.5</v>
      </c>
      <c r="I86" s="45">
        <f t="shared" si="1"/>
        <v>89</v>
      </c>
    </row>
    <row r="87" ht="12.0" customHeight="1">
      <c r="A87" s="49">
        <f t="shared" si="4"/>
        <v>90</v>
      </c>
      <c r="B87" s="46">
        <f t="shared" si="5"/>
        <v>8</v>
      </c>
      <c r="C87" s="46"/>
      <c r="D87" s="46"/>
      <c r="E87" s="46">
        <f t="shared" si="6"/>
        <v>1.4</v>
      </c>
      <c r="F87" s="46">
        <f t="shared" si="7"/>
        <v>4.6</v>
      </c>
      <c r="G87" s="46">
        <f t="shared" si="8"/>
        <v>45</v>
      </c>
      <c r="H87" s="46">
        <f t="shared" si="9"/>
        <v>54</v>
      </c>
      <c r="I87" s="45">
        <f t="shared" si="1"/>
        <v>90</v>
      </c>
    </row>
    <row r="88" ht="12.0" customHeight="1">
      <c r="A88" s="49">
        <f t="shared" si="4"/>
        <v>91</v>
      </c>
      <c r="B88" s="46">
        <f t="shared" si="5"/>
        <v>7.9</v>
      </c>
      <c r="C88" s="46"/>
      <c r="D88" s="46"/>
      <c r="E88" s="46">
        <f t="shared" si="6"/>
        <v>1.39</v>
      </c>
      <c r="F88" s="46">
        <f t="shared" si="7"/>
        <v>4.63</v>
      </c>
      <c r="G88" s="46">
        <f t="shared" si="8"/>
        <v>45.5</v>
      </c>
      <c r="H88" s="46">
        <f t="shared" si="9"/>
        <v>53.5</v>
      </c>
      <c r="I88" s="45">
        <f t="shared" si="1"/>
        <v>91</v>
      </c>
    </row>
    <row r="89" ht="12.0" customHeight="1">
      <c r="A89" s="49">
        <f t="shared" si="4"/>
        <v>92</v>
      </c>
      <c r="B89" s="46">
        <f t="shared" si="5"/>
        <v>7.8</v>
      </c>
      <c r="C89" s="46"/>
      <c r="D89" s="46"/>
      <c r="E89" s="46">
        <f t="shared" si="6"/>
        <v>1.38</v>
      </c>
      <c r="F89" s="46">
        <f t="shared" si="7"/>
        <v>4.66</v>
      </c>
      <c r="G89" s="46">
        <f t="shared" si="8"/>
        <v>46</v>
      </c>
      <c r="H89" s="46">
        <f t="shared" si="9"/>
        <v>53</v>
      </c>
      <c r="I89" s="45">
        <f t="shared" si="1"/>
        <v>92</v>
      </c>
    </row>
    <row r="90" ht="12.0" customHeight="1">
      <c r="A90" s="49">
        <f t="shared" si="4"/>
        <v>93</v>
      </c>
      <c r="B90" s="46">
        <f t="shared" si="5"/>
        <v>7.7</v>
      </c>
      <c r="C90" s="46"/>
      <c r="D90" s="46"/>
      <c r="E90" s="46">
        <f t="shared" si="6"/>
        <v>1.37</v>
      </c>
      <c r="F90" s="46">
        <f t="shared" si="7"/>
        <v>4.69</v>
      </c>
      <c r="G90" s="46">
        <f t="shared" si="8"/>
        <v>46.5</v>
      </c>
      <c r="H90" s="46">
        <f t="shared" si="9"/>
        <v>52.5</v>
      </c>
      <c r="I90" s="45">
        <f t="shared" si="1"/>
        <v>93</v>
      </c>
    </row>
    <row r="91" ht="12.0" customHeight="1">
      <c r="A91" s="49">
        <f t="shared" si="4"/>
        <v>94</v>
      </c>
      <c r="B91" s="46">
        <f t="shared" si="5"/>
        <v>7.6</v>
      </c>
      <c r="C91" s="46"/>
      <c r="D91" s="46"/>
      <c r="E91" s="46">
        <f t="shared" si="6"/>
        <v>1.36</v>
      </c>
      <c r="F91" s="46">
        <f t="shared" si="7"/>
        <v>4.72</v>
      </c>
      <c r="G91" s="46">
        <f t="shared" si="8"/>
        <v>47</v>
      </c>
      <c r="H91" s="46">
        <f t="shared" si="9"/>
        <v>52</v>
      </c>
      <c r="I91" s="45">
        <f t="shared" si="1"/>
        <v>94</v>
      </c>
    </row>
    <row r="92" ht="12.0" customHeight="1">
      <c r="A92" s="49">
        <f t="shared" si="4"/>
        <v>95</v>
      </c>
      <c r="B92" s="46">
        <f t="shared" si="5"/>
        <v>7.5</v>
      </c>
      <c r="C92" s="46"/>
      <c r="D92" s="46"/>
      <c r="E92" s="46">
        <f t="shared" si="6"/>
        <v>1.35</v>
      </c>
      <c r="F92" s="46">
        <f t="shared" si="7"/>
        <v>4.75</v>
      </c>
      <c r="G92" s="46">
        <f t="shared" si="8"/>
        <v>47.5</v>
      </c>
      <c r="H92" s="46">
        <f t="shared" si="9"/>
        <v>51.5</v>
      </c>
      <c r="I92" s="45">
        <f t="shared" si="1"/>
        <v>95</v>
      </c>
    </row>
    <row r="93" ht="12.0" customHeight="1">
      <c r="A93" s="49">
        <f t="shared" si="4"/>
        <v>96</v>
      </c>
      <c r="B93" s="46">
        <f t="shared" si="5"/>
        <v>7.4</v>
      </c>
      <c r="C93" s="46"/>
      <c r="D93" s="46"/>
      <c r="E93" s="46">
        <f t="shared" si="6"/>
        <v>1.34</v>
      </c>
      <c r="F93" s="46">
        <f t="shared" si="7"/>
        <v>4.78</v>
      </c>
      <c r="G93" s="46">
        <f t="shared" si="8"/>
        <v>48</v>
      </c>
      <c r="H93" s="46">
        <f t="shared" si="9"/>
        <v>51</v>
      </c>
      <c r="I93" s="45">
        <f t="shared" si="1"/>
        <v>96</v>
      </c>
    </row>
    <row r="94" ht="12.0" customHeight="1">
      <c r="A94" s="49">
        <f t="shared" si="4"/>
        <v>97</v>
      </c>
      <c r="B94" s="46">
        <f t="shared" si="5"/>
        <v>7.3</v>
      </c>
      <c r="C94" s="46"/>
      <c r="D94" s="46"/>
      <c r="E94" s="46">
        <f t="shared" si="6"/>
        <v>1.33</v>
      </c>
      <c r="F94" s="46">
        <f t="shared" si="7"/>
        <v>4.81</v>
      </c>
      <c r="G94" s="46">
        <f t="shared" si="8"/>
        <v>48.5</v>
      </c>
      <c r="H94" s="46">
        <f t="shared" si="9"/>
        <v>50.5</v>
      </c>
      <c r="I94" s="45">
        <f t="shared" si="1"/>
        <v>97</v>
      </c>
    </row>
    <row r="95" ht="12.0" customHeight="1">
      <c r="A95" s="49">
        <f t="shared" si="4"/>
        <v>98</v>
      </c>
      <c r="B95" s="46">
        <f t="shared" si="5"/>
        <v>7.2</v>
      </c>
      <c r="C95" s="46"/>
      <c r="D95" s="46"/>
      <c r="E95" s="46">
        <f t="shared" si="6"/>
        <v>1.32</v>
      </c>
      <c r="F95" s="46">
        <f t="shared" si="7"/>
        <v>4.84</v>
      </c>
      <c r="G95" s="46">
        <f t="shared" si="8"/>
        <v>49</v>
      </c>
      <c r="H95" s="46">
        <f t="shared" si="9"/>
        <v>50</v>
      </c>
      <c r="I95" s="45">
        <f t="shared" si="1"/>
        <v>98</v>
      </c>
    </row>
    <row r="96" ht="12.0" customHeight="1">
      <c r="A96" s="49">
        <f t="shared" si="4"/>
        <v>99</v>
      </c>
      <c r="B96" s="46">
        <f t="shared" si="5"/>
        <v>7.1</v>
      </c>
      <c r="C96" s="46"/>
      <c r="D96" s="46"/>
      <c r="E96" s="46">
        <f t="shared" si="6"/>
        <v>1.31</v>
      </c>
      <c r="F96" s="46">
        <f t="shared" si="7"/>
        <v>4.87</v>
      </c>
      <c r="G96" s="46">
        <f t="shared" si="8"/>
        <v>49.5</v>
      </c>
      <c r="H96" s="46">
        <f t="shared" si="9"/>
        <v>49.5</v>
      </c>
      <c r="I96" s="45">
        <f t="shared" si="1"/>
        <v>99</v>
      </c>
    </row>
    <row r="97" ht="12.0" customHeight="1">
      <c r="A97" s="331">
        <f t="shared" si="4"/>
        <v>100</v>
      </c>
      <c r="B97" s="332">
        <f t="shared" si="5"/>
        <v>7</v>
      </c>
      <c r="C97" s="332"/>
      <c r="D97" s="332"/>
      <c r="E97" s="332">
        <f t="shared" si="6"/>
        <v>1.3</v>
      </c>
      <c r="F97" s="332">
        <f t="shared" si="7"/>
        <v>4.9</v>
      </c>
      <c r="G97" s="332">
        <f t="shared" si="8"/>
        <v>50</v>
      </c>
      <c r="H97" s="332">
        <f t="shared" si="9"/>
        <v>49</v>
      </c>
      <c r="I97" s="333">
        <f t="shared" si="1"/>
        <v>100</v>
      </c>
    </row>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A1:I1"/>
    <mergeCell ref="B2:D2"/>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66CC"/>
    <pageSetUpPr/>
  </sheetPr>
  <sheetViews>
    <sheetView showGridLines="0" workbookViewId="0"/>
  </sheetViews>
  <sheetFormatPr customHeight="1" defaultColWidth="14.43" defaultRowHeight="15.0"/>
  <cols>
    <col customWidth="1" min="1" max="8" width="9.14"/>
    <col customWidth="1" hidden="1" min="9" max="10" width="9.14"/>
    <col customWidth="1" hidden="1" min="11" max="11" width="13.86"/>
    <col customWidth="1" hidden="1" min="12" max="26" width="9.14"/>
  </cols>
  <sheetData>
    <row r="1" ht="45.0" customHeight="1">
      <c r="A1" s="334" t="s">
        <v>313</v>
      </c>
      <c r="H1" s="335"/>
      <c r="I1" s="335"/>
      <c r="J1" s="335"/>
      <c r="K1" s="335"/>
      <c r="L1" s="1"/>
      <c r="M1" s="1"/>
      <c r="N1" s="1"/>
      <c r="O1" s="1"/>
      <c r="P1" s="1"/>
      <c r="Q1" s="1"/>
      <c r="R1" s="1"/>
      <c r="S1" s="1"/>
      <c r="T1" s="1"/>
      <c r="U1" s="1"/>
      <c r="V1" s="1"/>
      <c r="W1" s="1"/>
      <c r="X1" s="1"/>
      <c r="Y1" s="1"/>
      <c r="Z1" s="1"/>
    </row>
    <row r="2" ht="12.75" hidden="1" customHeight="1">
      <c r="A2" s="97"/>
      <c r="B2" s="66">
        <v>0.0</v>
      </c>
      <c r="C2" s="66">
        <v>1.0</v>
      </c>
      <c r="D2" s="66">
        <v>2.0</v>
      </c>
      <c r="E2" s="66">
        <v>3.0</v>
      </c>
      <c r="F2" s="66">
        <v>4.0</v>
      </c>
      <c r="G2" s="1"/>
      <c r="H2" s="1"/>
      <c r="I2" s="1" t="b">
        <f>OR(MatchType="QuadKids Secondary",MatchType="QuadKids Club")</f>
        <v>1</v>
      </c>
      <c r="J2" s="1" t="b">
        <f>OR(MatchType="QuadKids Secondary",MatchType="QuadKids Club")</f>
        <v>1</v>
      </c>
      <c r="K2" s="1"/>
      <c r="L2" s="1"/>
      <c r="M2" s="1"/>
      <c r="N2" s="1"/>
      <c r="O2" s="1"/>
      <c r="P2" s="1"/>
      <c r="Q2" s="1"/>
      <c r="R2" s="1"/>
      <c r="S2" s="1"/>
      <c r="T2" s="1"/>
      <c r="U2" s="1"/>
      <c r="V2" s="1"/>
      <c r="W2" s="1"/>
      <c r="X2" s="1"/>
      <c r="Y2" s="1"/>
      <c r="Z2" s="1"/>
    </row>
    <row r="3" ht="12.75" customHeight="1">
      <c r="A3" s="97" t="s">
        <v>321</v>
      </c>
      <c r="B3" s="1"/>
      <c r="C3" s="1"/>
      <c r="D3" s="1"/>
      <c r="E3" s="1"/>
      <c r="F3" s="1"/>
      <c r="G3" s="1"/>
      <c r="H3" s="1"/>
      <c r="I3" s="1"/>
      <c r="J3" s="1"/>
      <c r="K3" s="336" t="s">
        <v>321</v>
      </c>
      <c r="L3" s="337" t="s">
        <v>357</v>
      </c>
      <c r="M3" s="19"/>
      <c r="N3" s="20"/>
      <c r="O3" s="337" t="s">
        <v>358</v>
      </c>
      <c r="P3" s="19"/>
      <c r="Q3" s="20"/>
      <c r="R3" s="337" t="s">
        <v>359</v>
      </c>
      <c r="S3" s="19"/>
      <c r="T3" s="20"/>
      <c r="U3" s="338" t="s">
        <v>360</v>
      </c>
      <c r="V3" s="19"/>
      <c r="W3" s="20"/>
      <c r="X3" s="338" t="s">
        <v>324</v>
      </c>
      <c r="Y3" s="19"/>
      <c r="Z3" s="20"/>
    </row>
    <row r="4" ht="12.75" customHeight="1">
      <c r="A4" s="339"/>
      <c r="B4" s="340" t="s">
        <v>357</v>
      </c>
      <c r="C4" s="340" t="s">
        <v>358</v>
      </c>
      <c r="D4" s="340" t="s">
        <v>359</v>
      </c>
      <c r="E4" s="340" t="s">
        <v>360</v>
      </c>
      <c r="F4" s="340"/>
      <c r="G4" s="341" t="s">
        <v>361</v>
      </c>
      <c r="H4" s="1"/>
      <c r="I4" s="1"/>
      <c r="J4" s="1"/>
      <c r="K4" s="32"/>
      <c r="L4" s="342" t="s">
        <v>362</v>
      </c>
      <c r="M4" s="343" t="s">
        <v>363</v>
      </c>
      <c r="N4" s="344" t="s">
        <v>42</v>
      </c>
      <c r="O4" s="342" t="s">
        <v>362</v>
      </c>
      <c r="P4" s="343" t="s">
        <v>363</v>
      </c>
      <c r="Q4" s="344" t="s">
        <v>42</v>
      </c>
      <c r="R4" s="342" t="s">
        <v>362</v>
      </c>
      <c r="S4" s="343" t="s">
        <v>363</v>
      </c>
      <c r="T4" s="344" t="s">
        <v>42</v>
      </c>
      <c r="U4" s="345" t="s">
        <v>362</v>
      </c>
      <c r="V4" s="343" t="s">
        <v>363</v>
      </c>
      <c r="W4" s="344" t="s">
        <v>42</v>
      </c>
      <c r="X4" s="345" t="s">
        <v>362</v>
      </c>
      <c r="Y4" s="343" t="s">
        <v>363</v>
      </c>
      <c r="Z4" s="344" t="s">
        <v>42</v>
      </c>
    </row>
    <row r="5" ht="12.75" customHeight="1">
      <c r="A5" s="346"/>
      <c r="B5" s="347" t="str">
        <f>+Setup!B30</f>
        <v>75m</v>
      </c>
      <c r="C5" s="347" t="str">
        <f>+Setup!C30</f>
        <v>600m</v>
      </c>
      <c r="D5" s="347" t="str">
        <f>+Setup!D30</f>
        <v>Long_Jump</v>
      </c>
      <c r="E5" s="347" t="str">
        <f>+Setup!E30</f>
        <v>Howler</v>
      </c>
      <c r="F5" s="348" t="s">
        <v>324</v>
      </c>
      <c r="G5" s="349"/>
      <c r="H5" s="1"/>
      <c r="I5" s="1"/>
      <c r="J5" s="1"/>
      <c r="K5" s="350" t="s">
        <v>364</v>
      </c>
      <c r="L5" s="351">
        <v>13.0</v>
      </c>
      <c r="M5" s="352">
        <v>12.0</v>
      </c>
      <c r="N5" s="353">
        <v>0.4</v>
      </c>
      <c r="O5" s="354">
        <v>0.0014467592592592594</v>
      </c>
      <c r="P5" s="355">
        <v>0.0013310185185185185</v>
      </c>
      <c r="Q5" s="356">
        <v>4.6296296296296294E-5</v>
      </c>
      <c r="R5" s="357">
        <v>0.75</v>
      </c>
      <c r="S5" s="358">
        <v>1.0</v>
      </c>
      <c r="T5" s="359">
        <v>0.1</v>
      </c>
      <c r="U5" s="360">
        <v>2.5</v>
      </c>
      <c r="V5" s="352">
        <v>7.5</v>
      </c>
      <c r="W5" s="353">
        <v>2.0</v>
      </c>
      <c r="X5" s="361">
        <v>40.0</v>
      </c>
      <c r="Y5" s="362">
        <v>92.0</v>
      </c>
      <c r="Z5" s="363">
        <v>12.0</v>
      </c>
    </row>
    <row r="6" ht="12.75" customHeight="1">
      <c r="A6" s="364" t="s">
        <v>42</v>
      </c>
      <c r="B6" s="365">
        <f t="array" ref="B6">INDEX(BoysAwards,AwardsIndex,(B$2*3)+3)</f>
        <v>0.5</v>
      </c>
      <c r="C6" s="366">
        <f t="array" ref="C6">INDEX(BoysAwards,AwardsIndex,(C$2*3)+3)</f>
        <v>0.00005787037037</v>
      </c>
      <c r="D6" s="367">
        <f t="array" ref="D6">INDEX(BoysAwards,AwardsIndex,(D$2*3)+3)</f>
        <v>0.25</v>
      </c>
      <c r="E6" s="365">
        <f t="array" ref="E6">INDEX(BoysAwards,AwardsIndex,(E$2*3)+3)</f>
        <v>2</v>
      </c>
      <c r="F6" s="368">
        <f t="array" ref="F6">INDEX(BoysAwards,AwardsIndex,(F$2*3)+3)</f>
        <v>20</v>
      </c>
      <c r="G6" s="369"/>
      <c r="H6" s="1"/>
      <c r="I6" s="1"/>
      <c r="J6" s="1"/>
      <c r="K6" s="350" t="s">
        <v>365</v>
      </c>
      <c r="L6" s="351">
        <v>16.0</v>
      </c>
      <c r="M6" s="352">
        <v>15.0</v>
      </c>
      <c r="N6" s="353">
        <v>0.4</v>
      </c>
      <c r="O6" s="370">
        <v>0.0020833333333333333</v>
      </c>
      <c r="P6" s="355">
        <v>0.001967592592592593</v>
      </c>
      <c r="Q6" s="356">
        <v>4.6296296296296294E-5</v>
      </c>
      <c r="R6" s="357">
        <v>1.0</v>
      </c>
      <c r="S6" s="358">
        <v>1.22</v>
      </c>
      <c r="T6" s="359">
        <v>0.08</v>
      </c>
      <c r="U6" s="360">
        <v>5.0</v>
      </c>
      <c r="V6" s="352">
        <v>10.0</v>
      </c>
      <c r="W6" s="353">
        <v>2.0</v>
      </c>
      <c r="X6" s="361">
        <v>40.0</v>
      </c>
      <c r="Y6" s="362">
        <v>92.0</v>
      </c>
      <c r="Z6" s="363">
        <v>12.0</v>
      </c>
    </row>
    <row r="7" ht="12.75" customHeight="1">
      <c r="A7" s="346" t="s">
        <v>366</v>
      </c>
      <c r="B7" s="352">
        <f t="array" ref="B7">INDEX(BoysAwards,AwardsIndex,(B$2*3)+1)</f>
        <v>19</v>
      </c>
      <c r="C7" s="371">
        <f t="array" ref="C7">INDEX(BoysAwards,AwardsIndex,(C$2*3)+1)</f>
        <v>0.002372685185</v>
      </c>
      <c r="D7" s="358">
        <f t="array" ref="D7">INDEX(BoysAwards,AwardsIndex,(D$2*3)+1)</f>
        <v>2</v>
      </c>
      <c r="E7" s="352">
        <f t="array" ref="E7">INDEX(BoysAwards,AwardsIndex,(E$2*3)+1)</f>
        <v>6</v>
      </c>
      <c r="F7" s="362">
        <f t="array" ref="F7">INDEX(BoysAwards,AwardsIndex,(F$2*3)+1)</f>
        <v>40</v>
      </c>
      <c r="G7" s="363" t="str">
        <f t="shared" ref="G7:G19" si="1">IF(F7&gt;0,I7,"")</f>
        <v>Step 1</v>
      </c>
      <c r="H7" s="1"/>
      <c r="I7" s="97" t="s">
        <v>366</v>
      </c>
      <c r="J7" s="1"/>
      <c r="K7" s="350" t="s">
        <v>367</v>
      </c>
      <c r="L7" s="351">
        <v>19.0</v>
      </c>
      <c r="M7" s="352">
        <v>16.5</v>
      </c>
      <c r="N7" s="353">
        <v>0.5</v>
      </c>
      <c r="O7" s="370">
        <v>0.002372685185185185</v>
      </c>
      <c r="P7" s="355">
        <v>0.0020833333333333333</v>
      </c>
      <c r="Q7" s="356">
        <v>5.7870370370370366E-5</v>
      </c>
      <c r="R7" s="357">
        <v>2.0</v>
      </c>
      <c r="S7" s="358">
        <v>3.05</v>
      </c>
      <c r="T7" s="359">
        <v>0.25</v>
      </c>
      <c r="U7" s="360">
        <v>6.0</v>
      </c>
      <c r="V7" s="352">
        <v>10.0</v>
      </c>
      <c r="W7" s="353">
        <v>2.0</v>
      </c>
      <c r="X7" s="361">
        <v>40.0</v>
      </c>
      <c r="Y7" s="362">
        <v>120.0</v>
      </c>
      <c r="Z7" s="363">
        <v>20.0</v>
      </c>
    </row>
    <row r="8" ht="12.75" customHeight="1">
      <c r="A8" s="346" t="s">
        <v>368</v>
      </c>
      <c r="B8" s="352">
        <f t="array" ref="B8">INDEX(BoysAwards,AwardsIndex,(B$2*3)+2)</f>
        <v>16.5</v>
      </c>
      <c r="C8" s="371">
        <f t="array" ref="C8">INDEX(BoysAwards,AwardsIndex,(C$2*3)+2)</f>
        <v>0.002083333333</v>
      </c>
      <c r="D8" s="358">
        <f t="array" ref="D8">INDEX(BoysAwards,AwardsIndex,(D$2*3)+2)</f>
        <v>3.05</v>
      </c>
      <c r="E8" s="352">
        <f t="array" ref="E8">INDEX(BoysAwards,AwardsIndex,(E$2*3)+2)</f>
        <v>10</v>
      </c>
      <c r="F8" s="362">
        <f t="array" ref="F8">INDEX(BoysAwards,AwardsIndex,(F$2*3)+2)</f>
        <v>120</v>
      </c>
      <c r="G8" s="363" t="str">
        <f t="shared" si="1"/>
        <v>Step 2</v>
      </c>
      <c r="H8" s="1"/>
      <c r="I8" s="97" t="s">
        <v>368</v>
      </c>
      <c r="J8" s="1"/>
      <c r="K8" s="350" t="s">
        <v>369</v>
      </c>
      <c r="L8" s="351">
        <v>13.0</v>
      </c>
      <c r="M8" s="352">
        <v>12.0</v>
      </c>
      <c r="N8" s="353">
        <v>0.4</v>
      </c>
      <c r="O8" s="370">
        <v>0.0014467592592592594</v>
      </c>
      <c r="P8" s="355">
        <v>0.0013310185185185185</v>
      </c>
      <c r="Q8" s="356">
        <v>4.6296296296296294E-5</v>
      </c>
      <c r="R8" s="357">
        <v>0.75</v>
      </c>
      <c r="S8" s="358">
        <v>1.0</v>
      </c>
      <c r="T8" s="359">
        <v>0.1</v>
      </c>
      <c r="U8" s="360">
        <v>2.5</v>
      </c>
      <c r="V8" s="352">
        <v>7.5</v>
      </c>
      <c r="W8" s="353">
        <v>2.0</v>
      </c>
      <c r="X8" s="361">
        <v>40.0</v>
      </c>
      <c r="Y8" s="362">
        <v>92.0</v>
      </c>
      <c r="Z8" s="363">
        <v>12.0</v>
      </c>
    </row>
    <row r="9" ht="12.75" customHeight="1">
      <c r="A9" s="346" t="s">
        <v>370</v>
      </c>
      <c r="B9" s="352">
        <f t="shared" ref="B9:C9" si="2">+B8-B$6</f>
        <v>16</v>
      </c>
      <c r="C9" s="371">
        <f t="shared" si="2"/>
        <v>0.002025462963</v>
      </c>
      <c r="D9" s="358">
        <f t="shared" ref="D9:F9" si="3">+D8+D$6</f>
        <v>3.3</v>
      </c>
      <c r="E9" s="352">
        <f t="shared" si="3"/>
        <v>12</v>
      </c>
      <c r="F9" s="362">
        <f t="shared" si="3"/>
        <v>140</v>
      </c>
      <c r="G9" s="363" t="str">
        <f t="shared" si="1"/>
        <v>Step 3</v>
      </c>
      <c r="H9" s="1"/>
      <c r="I9" s="97" t="s">
        <v>370</v>
      </c>
      <c r="J9" s="1"/>
      <c r="K9" s="350"/>
      <c r="L9" s="351"/>
      <c r="M9" s="352"/>
      <c r="N9" s="353"/>
      <c r="O9" s="370"/>
      <c r="P9" s="355"/>
      <c r="Q9" s="356"/>
      <c r="R9" s="357"/>
      <c r="S9" s="358"/>
      <c r="T9" s="359"/>
      <c r="U9" s="360"/>
      <c r="V9" s="352"/>
      <c r="W9" s="353"/>
      <c r="X9" s="361"/>
      <c r="Y9" s="362"/>
      <c r="Z9" s="363"/>
    </row>
    <row r="10" ht="12.75" customHeight="1">
      <c r="A10" s="346" t="s">
        <v>371</v>
      </c>
      <c r="B10" s="352">
        <f t="shared" ref="B10:C10" si="4">+B9-B$6</f>
        <v>15.5</v>
      </c>
      <c r="C10" s="371">
        <f t="shared" si="4"/>
        <v>0.001967592593</v>
      </c>
      <c r="D10" s="358">
        <f t="shared" ref="D10:F10" si="5">+D9+D$6</f>
        <v>3.55</v>
      </c>
      <c r="E10" s="352">
        <f t="shared" si="5"/>
        <v>14</v>
      </c>
      <c r="F10" s="362">
        <f t="shared" si="5"/>
        <v>160</v>
      </c>
      <c r="G10" s="363" t="str">
        <f t="shared" si="1"/>
        <v>Step 4</v>
      </c>
      <c r="H10" s="1"/>
      <c r="I10" s="97" t="s">
        <v>371</v>
      </c>
      <c r="J10" s="1"/>
      <c r="K10" s="372" t="s">
        <v>372</v>
      </c>
      <c r="L10" s="373">
        <v>0.0</v>
      </c>
      <c r="M10" s="374">
        <v>0.0</v>
      </c>
      <c r="N10" s="375">
        <v>0.0</v>
      </c>
      <c r="O10" s="376">
        <v>0.0</v>
      </c>
      <c r="P10" s="377">
        <v>0.0</v>
      </c>
      <c r="Q10" s="378">
        <v>0.0</v>
      </c>
      <c r="R10" s="379">
        <v>0.0</v>
      </c>
      <c r="S10" s="380">
        <v>0.0</v>
      </c>
      <c r="T10" s="381">
        <v>0.0</v>
      </c>
      <c r="U10" s="382">
        <v>0.0</v>
      </c>
      <c r="V10" s="374">
        <v>0.0</v>
      </c>
      <c r="W10" s="375">
        <v>0.0</v>
      </c>
      <c r="X10" s="383">
        <v>0.0</v>
      </c>
      <c r="Y10" s="384">
        <v>0.0</v>
      </c>
      <c r="Z10" s="385">
        <v>0.0</v>
      </c>
    </row>
    <row r="11" ht="12.75" customHeight="1">
      <c r="A11" s="346" t="s">
        <v>373</v>
      </c>
      <c r="B11" s="352">
        <f t="shared" ref="B11:C11" si="6">+B10-B$6</f>
        <v>15</v>
      </c>
      <c r="C11" s="371">
        <f t="shared" si="6"/>
        <v>0.001909722222</v>
      </c>
      <c r="D11" s="358">
        <f t="shared" ref="D11:F11" si="7">+D10+D$6</f>
        <v>3.8</v>
      </c>
      <c r="E11" s="352">
        <f t="shared" si="7"/>
        <v>16</v>
      </c>
      <c r="F11" s="362">
        <f t="shared" si="7"/>
        <v>180</v>
      </c>
      <c r="G11" s="363" t="str">
        <f t="shared" si="1"/>
        <v>Step 5</v>
      </c>
      <c r="H11" s="1"/>
      <c r="I11" s="97" t="s">
        <v>373</v>
      </c>
      <c r="J11" s="1"/>
      <c r="K11" s="1"/>
      <c r="L11" s="1"/>
      <c r="M11" s="1"/>
      <c r="N11" s="1"/>
      <c r="O11" s="1"/>
      <c r="P11" s="1"/>
      <c r="Q11" s="1"/>
      <c r="R11" s="1"/>
      <c r="S11" s="1"/>
      <c r="T11" s="1"/>
      <c r="U11" s="1"/>
      <c r="V11" s="1"/>
      <c r="W11" s="1"/>
      <c r="X11" s="1"/>
      <c r="Y11" s="1"/>
      <c r="Z11" s="1"/>
    </row>
    <row r="12" ht="12.75" customHeight="1">
      <c r="A12" s="346" t="s">
        <v>374</v>
      </c>
      <c r="B12" s="352">
        <f t="shared" ref="B12:C12" si="8">+B11-B$6</f>
        <v>14.5</v>
      </c>
      <c r="C12" s="371">
        <f t="shared" si="8"/>
        <v>0.001851851852</v>
      </c>
      <c r="D12" s="358">
        <f t="shared" ref="D12:F12" si="9">+D11+D$6</f>
        <v>4.05</v>
      </c>
      <c r="E12" s="352">
        <f t="shared" si="9"/>
        <v>18</v>
      </c>
      <c r="F12" s="362">
        <f t="shared" si="9"/>
        <v>200</v>
      </c>
      <c r="G12" s="363" t="str">
        <f t="shared" si="1"/>
        <v>Step 6</v>
      </c>
      <c r="H12" s="1"/>
      <c r="I12" s="97" t="s">
        <v>374</v>
      </c>
      <c r="J12" s="1"/>
      <c r="K12" s="1"/>
      <c r="L12" s="1"/>
      <c r="M12" s="1"/>
      <c r="N12" s="1"/>
      <c r="O12" s="1"/>
      <c r="P12" s="1"/>
      <c r="Q12" s="1"/>
      <c r="R12" s="1"/>
      <c r="S12" s="1"/>
      <c r="T12" s="1"/>
      <c r="U12" s="1"/>
      <c r="V12" s="1"/>
      <c r="W12" s="1"/>
      <c r="X12" s="1"/>
      <c r="Y12" s="1"/>
      <c r="Z12" s="1"/>
    </row>
    <row r="13" ht="12.75" customHeight="1">
      <c r="A13" s="386" t="s">
        <v>375</v>
      </c>
      <c r="B13" s="387">
        <f t="shared" ref="B13:C13" si="10">+B12-B$6</f>
        <v>14</v>
      </c>
      <c r="C13" s="388">
        <f t="shared" si="10"/>
        <v>0.001793981481</v>
      </c>
      <c r="D13" s="389">
        <f t="shared" ref="D13:F13" si="11">+D12+D$6</f>
        <v>4.3</v>
      </c>
      <c r="E13" s="387">
        <f t="shared" si="11"/>
        <v>20</v>
      </c>
      <c r="F13" s="390">
        <f t="shared" si="11"/>
        <v>220</v>
      </c>
      <c r="G13" s="391" t="str">
        <f t="shared" si="1"/>
        <v>Bronze</v>
      </c>
      <c r="H13" s="1"/>
      <c r="I13" s="97" t="str">
        <f>IF(NineStep,"Bronze","Step 7")</f>
        <v>Bronze</v>
      </c>
      <c r="J13" s="1"/>
      <c r="K13" s="1"/>
      <c r="L13" s="1"/>
      <c r="M13" s="1"/>
      <c r="N13" s="1"/>
      <c r="O13" s="1"/>
      <c r="P13" s="1"/>
      <c r="Q13" s="1"/>
      <c r="R13" s="1"/>
      <c r="S13" s="1"/>
      <c r="T13" s="1"/>
      <c r="U13" s="1"/>
      <c r="V13" s="1"/>
      <c r="W13" s="1"/>
      <c r="X13" s="1"/>
      <c r="Y13" s="1"/>
      <c r="Z13" s="1"/>
    </row>
    <row r="14" ht="12.75" customHeight="1">
      <c r="A14" s="392" t="s">
        <v>376</v>
      </c>
      <c r="B14" s="393">
        <f t="shared" ref="B14:C14" si="12">+B13-B$6</f>
        <v>13.5</v>
      </c>
      <c r="C14" s="394">
        <f t="shared" si="12"/>
        <v>0.001736111111</v>
      </c>
      <c r="D14" s="395">
        <f t="shared" ref="D14:F14" si="13">+D13+D$6</f>
        <v>4.55</v>
      </c>
      <c r="E14" s="393">
        <f t="shared" si="13"/>
        <v>22</v>
      </c>
      <c r="F14" s="396">
        <f t="shared" si="13"/>
        <v>240</v>
      </c>
      <c r="G14" s="397" t="str">
        <f t="shared" si="1"/>
        <v>Silver</v>
      </c>
      <c r="H14" s="1"/>
      <c r="I14" s="97" t="str">
        <f>IF(NineStep,"Silver","Step 8")</f>
        <v>Silver</v>
      </c>
      <c r="J14" s="1"/>
      <c r="K14" s="1"/>
      <c r="L14" s="1"/>
      <c r="M14" s="1"/>
      <c r="N14" s="1"/>
      <c r="O14" s="1"/>
      <c r="P14" s="1"/>
      <c r="Q14" s="1"/>
      <c r="R14" s="1"/>
      <c r="S14" s="1"/>
      <c r="T14" s="1"/>
      <c r="U14" s="1"/>
      <c r="V14" s="1"/>
      <c r="W14" s="1"/>
      <c r="X14" s="1"/>
      <c r="Y14" s="1"/>
      <c r="Z14" s="1"/>
    </row>
    <row r="15" ht="12.75" customHeight="1">
      <c r="A15" s="398" t="s">
        <v>377</v>
      </c>
      <c r="B15" s="399">
        <f t="shared" ref="B15:C15" si="14">+B14-B$6</f>
        <v>13</v>
      </c>
      <c r="C15" s="400">
        <f t="shared" si="14"/>
        <v>0.001678240741</v>
      </c>
      <c r="D15" s="401">
        <f t="shared" ref="D15:F15" si="15">+D14+D$6</f>
        <v>4.8</v>
      </c>
      <c r="E15" s="399">
        <f t="shared" si="15"/>
        <v>24</v>
      </c>
      <c r="F15" s="402">
        <f t="shared" si="15"/>
        <v>260</v>
      </c>
      <c r="G15" s="403" t="str">
        <f t="shared" si="1"/>
        <v>Gold</v>
      </c>
      <c r="H15" s="1"/>
      <c r="I15" s="97" t="str">
        <f>IF(NineStep,"Gold","Step 9")</f>
        <v>Gold</v>
      </c>
      <c r="J15" s="1"/>
      <c r="K15" s="1"/>
      <c r="L15" s="1"/>
      <c r="M15" s="1"/>
      <c r="N15" s="1"/>
      <c r="O15" s="1"/>
      <c r="P15" s="1"/>
      <c r="Q15" s="1"/>
      <c r="R15" s="1"/>
      <c r="S15" s="1"/>
      <c r="T15" s="1"/>
      <c r="U15" s="1"/>
      <c r="V15" s="1"/>
      <c r="W15" s="1"/>
      <c r="X15" s="1"/>
      <c r="Y15" s="1"/>
      <c r="Z15" s="1"/>
    </row>
    <row r="16" ht="12.75" customHeight="1">
      <c r="A16" s="346" t="s">
        <v>378</v>
      </c>
      <c r="B16" s="352">
        <f t="shared" ref="B16:C16" si="16">+B15-B$6</f>
        <v>12.5</v>
      </c>
      <c r="C16" s="371">
        <f t="shared" si="16"/>
        <v>0.00162037037</v>
      </c>
      <c r="D16" s="358">
        <f t="shared" ref="D16:F16" si="17">+D15+D$6</f>
        <v>5.05</v>
      </c>
      <c r="E16" s="352">
        <f t="shared" si="17"/>
        <v>26</v>
      </c>
      <c r="F16" s="362">
        <f t="shared" si="17"/>
        <v>280</v>
      </c>
      <c r="G16" s="363" t="str">
        <f t="shared" si="1"/>
        <v>Gold</v>
      </c>
      <c r="H16" s="1"/>
      <c r="I16" s="97" t="str">
        <f>IF(NineStep,"Gold","Step 10")</f>
        <v>Gold</v>
      </c>
      <c r="J16" s="1"/>
      <c r="K16" s="1"/>
      <c r="L16" s="1"/>
      <c r="M16" s="1"/>
      <c r="N16" s="1"/>
      <c r="O16" s="1"/>
      <c r="P16" s="1"/>
      <c r="Q16" s="1"/>
      <c r="R16" s="1"/>
      <c r="S16" s="1"/>
      <c r="T16" s="1"/>
      <c r="U16" s="1"/>
      <c r="V16" s="1"/>
      <c r="W16" s="1"/>
      <c r="X16" s="1"/>
      <c r="Y16" s="1"/>
      <c r="Z16" s="1"/>
    </row>
    <row r="17" ht="12.75" customHeight="1">
      <c r="A17" s="386" t="s">
        <v>379</v>
      </c>
      <c r="B17" s="387">
        <f t="shared" ref="B17:C17" si="18">+B16-B$6</f>
        <v>12</v>
      </c>
      <c r="C17" s="388">
        <f t="shared" si="18"/>
        <v>0.0015625</v>
      </c>
      <c r="D17" s="389">
        <f t="shared" ref="D17:F17" si="19">+D16+D$6</f>
        <v>5.3</v>
      </c>
      <c r="E17" s="387">
        <f t="shared" si="19"/>
        <v>28</v>
      </c>
      <c r="F17" s="390">
        <f t="shared" si="19"/>
        <v>300</v>
      </c>
      <c r="G17" s="391" t="str">
        <f t="shared" si="1"/>
        <v>Gold</v>
      </c>
      <c r="H17" s="1"/>
      <c r="I17" s="97" t="str">
        <f>IF(NineStep,"Gold","Bronze")</f>
        <v>Gold</v>
      </c>
      <c r="J17" s="1"/>
      <c r="K17" s="1"/>
      <c r="L17" s="1"/>
      <c r="M17" s="1"/>
      <c r="N17" s="1"/>
      <c r="O17" s="1"/>
      <c r="P17" s="1"/>
      <c r="Q17" s="1"/>
      <c r="R17" s="1"/>
      <c r="S17" s="1"/>
      <c r="T17" s="1"/>
      <c r="U17" s="1"/>
      <c r="V17" s="1"/>
      <c r="W17" s="1"/>
      <c r="X17" s="1"/>
      <c r="Y17" s="1"/>
      <c r="Z17" s="1"/>
    </row>
    <row r="18" ht="12.75" customHeight="1">
      <c r="A18" s="392" t="s">
        <v>380</v>
      </c>
      <c r="B18" s="393">
        <f t="shared" ref="B18:C18" si="20">+B17-B$6</f>
        <v>11.5</v>
      </c>
      <c r="C18" s="394">
        <f t="shared" si="20"/>
        <v>0.00150462963</v>
      </c>
      <c r="D18" s="395">
        <f t="shared" ref="D18:F18" si="21">+D17+D$6</f>
        <v>5.55</v>
      </c>
      <c r="E18" s="393">
        <f t="shared" si="21"/>
        <v>30</v>
      </c>
      <c r="F18" s="396">
        <f t="shared" si="21"/>
        <v>320</v>
      </c>
      <c r="G18" s="397" t="str">
        <f t="shared" si="1"/>
        <v>Gold</v>
      </c>
      <c r="H18" s="1"/>
      <c r="I18" s="97" t="str">
        <f>IF(NineStep,"Gold","Silver")</f>
        <v>Gold</v>
      </c>
      <c r="J18" s="1"/>
      <c r="K18" s="1"/>
      <c r="L18" s="1"/>
      <c r="M18" s="1"/>
      <c r="N18" s="1"/>
      <c r="O18" s="1"/>
      <c r="P18" s="1"/>
      <c r="Q18" s="1"/>
      <c r="R18" s="1"/>
      <c r="S18" s="1"/>
      <c r="T18" s="1"/>
      <c r="U18" s="1"/>
      <c r="V18" s="1"/>
      <c r="W18" s="1"/>
      <c r="X18" s="1"/>
      <c r="Y18" s="1"/>
      <c r="Z18" s="1"/>
    </row>
    <row r="19" ht="12.75" customHeight="1">
      <c r="A19" s="404" t="s">
        <v>381</v>
      </c>
      <c r="B19" s="405">
        <f t="shared" ref="B19:C19" si="22">+B18-B$6</f>
        <v>11</v>
      </c>
      <c r="C19" s="406">
        <f t="shared" si="22"/>
        <v>0.001446759259</v>
      </c>
      <c r="D19" s="407">
        <f t="shared" ref="D19:F19" si="23">+D18+D$6</f>
        <v>5.8</v>
      </c>
      <c r="E19" s="405">
        <f t="shared" si="23"/>
        <v>32</v>
      </c>
      <c r="F19" s="408">
        <f t="shared" si="23"/>
        <v>340</v>
      </c>
      <c r="G19" s="409" t="str">
        <f t="shared" si="1"/>
        <v>Gold</v>
      </c>
      <c r="H19" s="1"/>
      <c r="I19" s="97" t="s">
        <v>381</v>
      </c>
      <c r="J19" s="1"/>
      <c r="K19" s="1"/>
      <c r="L19" s="1"/>
      <c r="M19" s="1"/>
      <c r="N19" s="1"/>
      <c r="O19" s="1"/>
      <c r="P19" s="1"/>
      <c r="Q19" s="1"/>
      <c r="R19" s="1"/>
      <c r="S19" s="1"/>
      <c r="T19" s="1"/>
      <c r="U19" s="1"/>
      <c r="V19" s="1"/>
      <c r="W19" s="1"/>
      <c r="X19" s="1"/>
      <c r="Y19" s="1"/>
      <c r="Z19" s="1"/>
    </row>
    <row r="20" ht="12.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2.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2.75" customHeight="1">
      <c r="A22" s="97" t="s">
        <v>322</v>
      </c>
      <c r="B22" s="1"/>
      <c r="C22" s="1"/>
      <c r="D22" s="1"/>
      <c r="E22" s="1"/>
      <c r="F22" s="1"/>
      <c r="G22" s="1"/>
      <c r="H22" s="1"/>
      <c r="I22" s="1"/>
      <c r="J22" s="1"/>
      <c r="K22" s="336" t="s">
        <v>315</v>
      </c>
      <c r="L22" s="337" t="s">
        <v>357</v>
      </c>
      <c r="M22" s="19"/>
      <c r="N22" s="20"/>
      <c r="O22" s="337" t="s">
        <v>358</v>
      </c>
      <c r="P22" s="19"/>
      <c r="Q22" s="20"/>
      <c r="R22" s="337" t="s">
        <v>359</v>
      </c>
      <c r="S22" s="19"/>
      <c r="T22" s="20"/>
      <c r="U22" s="338" t="s">
        <v>360</v>
      </c>
      <c r="V22" s="19"/>
      <c r="W22" s="20"/>
      <c r="X22" s="338" t="s">
        <v>324</v>
      </c>
      <c r="Y22" s="19"/>
      <c r="Z22" s="20"/>
    </row>
    <row r="23" ht="12.75" customHeight="1">
      <c r="A23" s="339"/>
      <c r="B23" s="340" t="s">
        <v>357</v>
      </c>
      <c r="C23" s="340" t="s">
        <v>358</v>
      </c>
      <c r="D23" s="340" t="s">
        <v>359</v>
      </c>
      <c r="E23" s="340" t="s">
        <v>360</v>
      </c>
      <c r="F23" s="410" t="s">
        <v>324</v>
      </c>
      <c r="G23" s="341" t="s">
        <v>361</v>
      </c>
      <c r="H23" s="1"/>
      <c r="I23" s="1"/>
      <c r="J23" s="1"/>
      <c r="K23" s="32"/>
      <c r="L23" s="342" t="s">
        <v>362</v>
      </c>
      <c r="M23" s="343" t="s">
        <v>363</v>
      </c>
      <c r="N23" s="344" t="s">
        <v>42</v>
      </c>
      <c r="O23" s="342" t="s">
        <v>362</v>
      </c>
      <c r="P23" s="343" t="s">
        <v>363</v>
      </c>
      <c r="Q23" s="344" t="s">
        <v>42</v>
      </c>
      <c r="R23" s="342" t="s">
        <v>362</v>
      </c>
      <c r="S23" s="343" t="s">
        <v>363</v>
      </c>
      <c r="T23" s="344" t="s">
        <v>42</v>
      </c>
      <c r="U23" s="345" t="s">
        <v>362</v>
      </c>
      <c r="V23" s="343" t="s">
        <v>363</v>
      </c>
      <c r="W23" s="344" t="s">
        <v>42</v>
      </c>
      <c r="X23" s="345" t="s">
        <v>362</v>
      </c>
      <c r="Y23" s="343" t="s">
        <v>363</v>
      </c>
      <c r="Z23" s="344" t="s">
        <v>42</v>
      </c>
    </row>
    <row r="24" ht="12.75" customHeight="1">
      <c r="A24" s="346"/>
      <c r="B24" s="347" t="str">
        <f t="shared" ref="B24:E24" si="24">+B5</f>
        <v>75m</v>
      </c>
      <c r="C24" s="347" t="str">
        <f t="shared" si="24"/>
        <v>600m</v>
      </c>
      <c r="D24" s="347" t="str">
        <f t="shared" si="24"/>
        <v>Long_Jump</v>
      </c>
      <c r="E24" s="347" t="str">
        <f t="shared" si="24"/>
        <v>Howler</v>
      </c>
      <c r="F24" s="411"/>
      <c r="G24" s="349"/>
      <c r="H24" s="1"/>
      <c r="I24" s="1"/>
      <c r="J24" s="1"/>
      <c r="K24" s="350" t="s">
        <v>364</v>
      </c>
      <c r="L24" s="351">
        <v>13.0</v>
      </c>
      <c r="M24" s="352">
        <v>12.0</v>
      </c>
      <c r="N24" s="353">
        <v>0.4</v>
      </c>
      <c r="O24" s="354">
        <v>0.0014467592592592594</v>
      </c>
      <c r="P24" s="355">
        <v>0.001423611111111111</v>
      </c>
      <c r="Q24" s="356">
        <v>4.6296296296296294E-5</v>
      </c>
      <c r="R24" s="357">
        <v>0.75</v>
      </c>
      <c r="S24" s="358">
        <v>1.0</v>
      </c>
      <c r="T24" s="359">
        <v>0.1</v>
      </c>
      <c r="U24" s="360">
        <v>2.5</v>
      </c>
      <c r="V24" s="352">
        <v>7.5</v>
      </c>
      <c r="W24" s="353">
        <v>2.0</v>
      </c>
      <c r="X24" s="361">
        <v>40.0</v>
      </c>
      <c r="Y24" s="362">
        <v>60.0</v>
      </c>
      <c r="Z24" s="363">
        <v>12.0</v>
      </c>
    </row>
    <row r="25" ht="12.75" customHeight="1">
      <c r="A25" s="364" t="s">
        <v>42</v>
      </c>
      <c r="B25" s="365">
        <f t="array" ref="B25">INDEX(GirlsAwards,AwardsIndex,(B$2*3)+3)</f>
        <v>0.5</v>
      </c>
      <c r="C25" s="412">
        <f t="array" ref="C25">INDEX(GirlsAwards,AwardsIndex,(C$2*3)+3)</f>
        <v>0.00005787037037</v>
      </c>
      <c r="D25" s="367">
        <f t="array" ref="D25">INDEX(GirlsAwards,AwardsIndex,(D$2*3)+3)</f>
        <v>0.25</v>
      </c>
      <c r="E25" s="365">
        <f t="array" ref="E25">INDEX(GirlsAwards,AwardsIndex,(E$2*3)+3)</f>
        <v>2</v>
      </c>
      <c r="F25" s="368">
        <f t="array" ref="F25">INDEX(GirlsAwards,AwardsIndex,(F$2*3)+3)</f>
        <v>20</v>
      </c>
      <c r="G25" s="369"/>
      <c r="H25" s="1"/>
      <c r="I25" s="1"/>
      <c r="J25" s="1"/>
      <c r="K25" s="350" t="s">
        <v>365</v>
      </c>
      <c r="L25" s="351">
        <v>16.0</v>
      </c>
      <c r="M25" s="352">
        <v>15.8</v>
      </c>
      <c r="N25" s="353">
        <v>0.4</v>
      </c>
      <c r="O25" s="370">
        <v>0.0020833333333333333</v>
      </c>
      <c r="P25" s="355">
        <v>0.0020601851851851853</v>
      </c>
      <c r="Q25" s="356">
        <v>4.6296296296296294E-5</v>
      </c>
      <c r="R25" s="357">
        <v>1.0</v>
      </c>
      <c r="S25" s="358">
        <v>1.06</v>
      </c>
      <c r="T25" s="359">
        <v>0.08</v>
      </c>
      <c r="U25" s="360">
        <v>5.0</v>
      </c>
      <c r="V25" s="352">
        <v>6.0</v>
      </c>
      <c r="W25" s="353">
        <v>8.0</v>
      </c>
      <c r="X25" s="361">
        <v>40.0</v>
      </c>
      <c r="Y25" s="362">
        <v>60.0</v>
      </c>
      <c r="Z25" s="363">
        <v>12.0</v>
      </c>
    </row>
    <row r="26" ht="12.75" customHeight="1">
      <c r="A26" s="346" t="s">
        <v>366</v>
      </c>
      <c r="B26" s="352">
        <f t="array" ref="B26">INDEX(GirlsAwards,AwardsIndex,(B$2*3)+1)</f>
        <v>19</v>
      </c>
      <c r="C26" s="355">
        <f t="array" ref="C26">INDEX(GirlsAwards,AwardsIndex,(C$2*3)+1)</f>
        <v>0.002372685185</v>
      </c>
      <c r="D26" s="358">
        <f t="array" ref="D26">INDEX(GirlsAwards,AwardsIndex,(D$2*3)+1)</f>
        <v>2</v>
      </c>
      <c r="E26" s="352">
        <f t="array" ref="E26">INDEX(GirlsAwards,AwardsIndex,(E$2*3)+1)</f>
        <v>6</v>
      </c>
      <c r="F26" s="362">
        <f t="array" ref="F26">INDEX(GirlsAwards,AwardsIndex,(F$2*3)+1)</f>
        <v>40</v>
      </c>
      <c r="G26" s="363" t="str">
        <f t="shared" ref="G26:G38" si="25">IF(F26&gt;0,I26,"")</f>
        <v>Step 1</v>
      </c>
      <c r="H26" s="1"/>
      <c r="I26" s="97" t="s">
        <v>366</v>
      </c>
      <c r="J26" s="1"/>
      <c r="K26" s="350" t="s">
        <v>367</v>
      </c>
      <c r="L26" s="351">
        <v>19.0</v>
      </c>
      <c r="M26" s="352">
        <v>17.5</v>
      </c>
      <c r="N26" s="353">
        <v>0.5</v>
      </c>
      <c r="O26" s="370">
        <v>0.002372685185185185</v>
      </c>
      <c r="P26" s="355">
        <v>0.002199074074074074</v>
      </c>
      <c r="Q26" s="356">
        <v>5.7870370370370366E-5</v>
      </c>
      <c r="R26" s="357">
        <v>2.0</v>
      </c>
      <c r="S26" s="358">
        <v>2.55</v>
      </c>
      <c r="T26" s="359">
        <v>0.25</v>
      </c>
      <c r="U26" s="360">
        <v>6.0</v>
      </c>
      <c r="V26" s="352">
        <v>10.0</v>
      </c>
      <c r="W26" s="353">
        <v>2.0</v>
      </c>
      <c r="X26" s="361">
        <v>40.0</v>
      </c>
      <c r="Y26" s="362">
        <v>80.0</v>
      </c>
      <c r="Z26" s="363">
        <v>20.0</v>
      </c>
    </row>
    <row r="27" ht="12.75" customHeight="1">
      <c r="A27" s="346" t="s">
        <v>368</v>
      </c>
      <c r="B27" s="352">
        <f t="array" ref="B27">INDEX(GirlsAwards,AwardsIndex,(B$2*3)+2)</f>
        <v>17.5</v>
      </c>
      <c r="C27" s="355">
        <f t="array" ref="C27">INDEX(GirlsAwards,AwardsIndex,(C$2*3)+2)</f>
        <v>0.002199074074</v>
      </c>
      <c r="D27" s="358">
        <f t="array" ref="D27">INDEX(GirlsAwards,AwardsIndex,(D$2*3)+2)</f>
        <v>2.55</v>
      </c>
      <c r="E27" s="352">
        <f t="array" ref="E27">INDEX(GirlsAwards,AwardsIndex,(E$2*3)+2)</f>
        <v>10</v>
      </c>
      <c r="F27" s="362">
        <f t="array" ref="F27">INDEX(GirlsAwards,AwardsIndex,(F$2*3)+2)</f>
        <v>80</v>
      </c>
      <c r="G27" s="363" t="str">
        <f t="shared" si="25"/>
        <v>Step 2</v>
      </c>
      <c r="H27" s="1"/>
      <c r="I27" s="97" t="s">
        <v>368</v>
      </c>
      <c r="J27" s="1"/>
      <c r="K27" s="350" t="s">
        <v>369</v>
      </c>
      <c r="L27" s="351">
        <v>13.0</v>
      </c>
      <c r="M27" s="352">
        <v>12.0</v>
      </c>
      <c r="N27" s="353">
        <v>0.4</v>
      </c>
      <c r="O27" s="370">
        <v>0.0014467592592592594</v>
      </c>
      <c r="P27" s="355">
        <v>0.001423611111111111</v>
      </c>
      <c r="Q27" s="356">
        <v>4.6296296296296294E-5</v>
      </c>
      <c r="R27" s="357">
        <v>0.75</v>
      </c>
      <c r="S27" s="358">
        <v>1.0</v>
      </c>
      <c r="T27" s="359">
        <v>0.1</v>
      </c>
      <c r="U27" s="360">
        <v>2.5</v>
      </c>
      <c r="V27" s="352">
        <v>7.5</v>
      </c>
      <c r="W27" s="353">
        <v>2.0</v>
      </c>
      <c r="X27" s="361">
        <v>40.0</v>
      </c>
      <c r="Y27" s="362">
        <v>60.0</v>
      </c>
      <c r="Z27" s="363">
        <v>12.0</v>
      </c>
    </row>
    <row r="28" ht="12.75" customHeight="1">
      <c r="A28" s="346" t="s">
        <v>370</v>
      </c>
      <c r="B28" s="352">
        <f t="shared" ref="B28:C28" si="26">+B27-B$6</f>
        <v>17</v>
      </c>
      <c r="C28" s="355">
        <f t="shared" si="26"/>
        <v>0.002141203704</v>
      </c>
      <c r="D28" s="358">
        <f t="shared" ref="D28:F28" si="27">+D27+D$6</f>
        <v>2.8</v>
      </c>
      <c r="E28" s="352">
        <f t="shared" si="27"/>
        <v>12</v>
      </c>
      <c r="F28" s="362">
        <f t="shared" si="27"/>
        <v>100</v>
      </c>
      <c r="G28" s="363" t="str">
        <f t="shared" si="25"/>
        <v>Step 3</v>
      </c>
      <c r="H28" s="1"/>
      <c r="I28" s="97" t="s">
        <v>370</v>
      </c>
      <c r="J28" s="1"/>
      <c r="K28" s="350"/>
      <c r="L28" s="351"/>
      <c r="M28" s="352"/>
      <c r="N28" s="353"/>
      <c r="O28" s="370"/>
      <c r="P28" s="355"/>
      <c r="Q28" s="356"/>
      <c r="R28" s="357"/>
      <c r="S28" s="358"/>
      <c r="T28" s="359"/>
      <c r="U28" s="360"/>
      <c r="V28" s="352"/>
      <c r="W28" s="353"/>
      <c r="X28" s="361"/>
      <c r="Y28" s="362"/>
      <c r="Z28" s="363"/>
    </row>
    <row r="29" ht="12.75" customHeight="1">
      <c r="A29" s="346" t="s">
        <v>371</v>
      </c>
      <c r="B29" s="352">
        <f t="shared" ref="B29:C29" si="28">+B28-B$6</f>
        <v>16.5</v>
      </c>
      <c r="C29" s="355">
        <f t="shared" si="28"/>
        <v>0.002083333333</v>
      </c>
      <c r="D29" s="358">
        <f t="shared" ref="D29:F29" si="29">+D28+D$6</f>
        <v>3.05</v>
      </c>
      <c r="E29" s="352">
        <f t="shared" si="29"/>
        <v>14</v>
      </c>
      <c r="F29" s="362">
        <f t="shared" si="29"/>
        <v>120</v>
      </c>
      <c r="G29" s="363" t="str">
        <f t="shared" si="25"/>
        <v>Step 4</v>
      </c>
      <c r="H29" s="1"/>
      <c r="I29" s="97" t="s">
        <v>371</v>
      </c>
      <c r="J29" s="1"/>
      <c r="K29" s="372" t="s">
        <v>372</v>
      </c>
      <c r="L29" s="373">
        <v>0.0</v>
      </c>
      <c r="M29" s="374">
        <v>0.0</v>
      </c>
      <c r="N29" s="375">
        <v>0.0</v>
      </c>
      <c r="O29" s="376">
        <v>0.0</v>
      </c>
      <c r="P29" s="377">
        <v>0.0</v>
      </c>
      <c r="Q29" s="378">
        <v>0.0</v>
      </c>
      <c r="R29" s="379">
        <v>0.0</v>
      </c>
      <c r="S29" s="380">
        <v>0.0</v>
      </c>
      <c r="T29" s="381">
        <v>0.0</v>
      </c>
      <c r="U29" s="382">
        <v>0.0</v>
      </c>
      <c r="V29" s="374">
        <v>0.0</v>
      </c>
      <c r="W29" s="375">
        <v>0.0</v>
      </c>
      <c r="X29" s="383">
        <v>0.0</v>
      </c>
      <c r="Y29" s="384">
        <v>0.0</v>
      </c>
      <c r="Z29" s="385">
        <v>0.0</v>
      </c>
    </row>
    <row r="30" ht="12.75" customHeight="1">
      <c r="A30" s="346" t="s">
        <v>373</v>
      </c>
      <c r="B30" s="352">
        <f t="shared" ref="B30:C30" si="30">+B29-B$6</f>
        <v>16</v>
      </c>
      <c r="C30" s="355">
        <f t="shared" si="30"/>
        <v>0.002025462963</v>
      </c>
      <c r="D30" s="358">
        <f t="shared" ref="D30:F30" si="31">+D29+D$6</f>
        <v>3.3</v>
      </c>
      <c r="E30" s="352">
        <f t="shared" si="31"/>
        <v>16</v>
      </c>
      <c r="F30" s="362">
        <f t="shared" si="31"/>
        <v>140</v>
      </c>
      <c r="G30" s="363" t="str">
        <f t="shared" si="25"/>
        <v>Step 5</v>
      </c>
      <c r="H30" s="1"/>
      <c r="I30" s="97" t="s">
        <v>373</v>
      </c>
      <c r="J30" s="1"/>
      <c r="K30" s="1"/>
      <c r="L30" s="1"/>
      <c r="M30" s="1"/>
      <c r="N30" s="1"/>
      <c r="O30" s="1"/>
      <c r="P30" s="1"/>
      <c r="Q30" s="1"/>
      <c r="R30" s="1"/>
      <c r="S30" s="1"/>
      <c r="T30" s="1"/>
      <c r="U30" s="1"/>
      <c r="V30" s="1"/>
      <c r="W30" s="1"/>
      <c r="X30" s="1"/>
      <c r="Y30" s="1"/>
      <c r="Z30" s="1"/>
    </row>
    <row r="31" ht="12.75" customHeight="1">
      <c r="A31" s="346" t="s">
        <v>374</v>
      </c>
      <c r="B31" s="352">
        <f t="shared" ref="B31:C31" si="32">+B30-B$6</f>
        <v>15.5</v>
      </c>
      <c r="C31" s="355">
        <f t="shared" si="32"/>
        <v>0.001967592593</v>
      </c>
      <c r="D31" s="358">
        <f t="shared" ref="D31:F31" si="33">+D30+D$6</f>
        <v>3.55</v>
      </c>
      <c r="E31" s="352">
        <f t="shared" si="33"/>
        <v>18</v>
      </c>
      <c r="F31" s="362">
        <f t="shared" si="33"/>
        <v>160</v>
      </c>
      <c r="G31" s="363" t="str">
        <f t="shared" si="25"/>
        <v>Step 6</v>
      </c>
      <c r="H31" s="1"/>
      <c r="I31" s="97" t="s">
        <v>374</v>
      </c>
      <c r="J31" s="1"/>
      <c r="K31" s="1"/>
      <c r="L31" s="1"/>
      <c r="M31" s="1"/>
      <c r="N31" s="1"/>
      <c r="O31" s="1"/>
      <c r="P31" s="1"/>
      <c r="Q31" s="1"/>
      <c r="R31" s="1"/>
      <c r="S31" s="1"/>
      <c r="T31" s="1"/>
      <c r="U31" s="1"/>
      <c r="V31" s="1"/>
      <c r="W31" s="1"/>
      <c r="X31" s="1"/>
      <c r="Y31" s="1"/>
      <c r="Z31" s="1"/>
    </row>
    <row r="32" ht="12.75" customHeight="1">
      <c r="A32" s="386" t="s">
        <v>375</v>
      </c>
      <c r="B32" s="387">
        <f t="shared" ref="B32:C32" si="34">+B31-B$6</f>
        <v>15</v>
      </c>
      <c r="C32" s="414">
        <f t="shared" si="34"/>
        <v>0.001909722222</v>
      </c>
      <c r="D32" s="389">
        <f t="shared" ref="D32:F32" si="35">+D31+D$6</f>
        <v>3.8</v>
      </c>
      <c r="E32" s="387">
        <f t="shared" si="35"/>
        <v>20</v>
      </c>
      <c r="F32" s="390">
        <f t="shared" si="35"/>
        <v>180</v>
      </c>
      <c r="G32" s="391" t="str">
        <f t="shared" si="25"/>
        <v>Bronze</v>
      </c>
      <c r="H32" s="1"/>
      <c r="I32" s="97" t="str">
        <f>IF(NineStep,"Bronze","Step 7")</f>
        <v>Bronze</v>
      </c>
      <c r="J32" s="1"/>
      <c r="K32" s="1"/>
      <c r="L32" s="1"/>
      <c r="M32" s="1"/>
      <c r="N32" s="1"/>
      <c r="O32" s="1"/>
      <c r="P32" s="1"/>
      <c r="Q32" s="1"/>
      <c r="R32" s="1"/>
      <c r="S32" s="1"/>
      <c r="T32" s="1"/>
      <c r="U32" s="1"/>
      <c r="V32" s="1"/>
      <c r="W32" s="1"/>
      <c r="X32" s="1"/>
      <c r="Y32" s="1"/>
      <c r="Z32" s="1"/>
    </row>
    <row r="33" ht="12.75" customHeight="1">
      <c r="A33" s="392" t="s">
        <v>376</v>
      </c>
      <c r="B33" s="393">
        <f t="shared" ref="B33:C33" si="36">+B32-B$6</f>
        <v>14.5</v>
      </c>
      <c r="C33" s="416">
        <f t="shared" si="36"/>
        <v>0.001851851852</v>
      </c>
      <c r="D33" s="395">
        <f t="shared" ref="D33:F33" si="37">+D32+D$6</f>
        <v>4.05</v>
      </c>
      <c r="E33" s="393">
        <f t="shared" si="37"/>
        <v>22</v>
      </c>
      <c r="F33" s="396">
        <f t="shared" si="37"/>
        <v>200</v>
      </c>
      <c r="G33" s="397" t="str">
        <f t="shared" si="25"/>
        <v>Silver</v>
      </c>
      <c r="H33" s="1"/>
      <c r="I33" s="97" t="str">
        <f>IF(NineStep,"Silver","Step 8")</f>
        <v>Silver</v>
      </c>
      <c r="J33" s="1"/>
      <c r="K33" s="1"/>
      <c r="L33" s="1"/>
      <c r="M33" s="1"/>
      <c r="N33" s="1"/>
      <c r="O33" s="1"/>
      <c r="P33" s="1"/>
      <c r="Q33" s="1"/>
      <c r="R33" s="1"/>
      <c r="S33" s="1"/>
      <c r="T33" s="1"/>
      <c r="U33" s="1"/>
      <c r="V33" s="1"/>
      <c r="W33" s="1"/>
      <c r="X33" s="1"/>
      <c r="Y33" s="1"/>
      <c r="Z33" s="1"/>
    </row>
    <row r="34" ht="12.75" customHeight="1">
      <c r="A34" s="398" t="s">
        <v>377</v>
      </c>
      <c r="B34" s="399">
        <f t="shared" ref="B34:C34" si="38">+B33-B$6</f>
        <v>14</v>
      </c>
      <c r="C34" s="417">
        <f t="shared" si="38"/>
        <v>0.001793981481</v>
      </c>
      <c r="D34" s="401">
        <f t="shared" ref="D34:F34" si="39">+D33+D$6</f>
        <v>4.3</v>
      </c>
      <c r="E34" s="399">
        <f t="shared" si="39"/>
        <v>24</v>
      </c>
      <c r="F34" s="402">
        <f t="shared" si="39"/>
        <v>220</v>
      </c>
      <c r="G34" s="403" t="str">
        <f t="shared" si="25"/>
        <v>Gold</v>
      </c>
      <c r="H34" s="1"/>
      <c r="I34" s="97" t="str">
        <f>IF(NineStep,"Gold","Step 9")</f>
        <v>Gold</v>
      </c>
      <c r="J34" s="1"/>
      <c r="K34" s="1"/>
      <c r="L34" s="1"/>
      <c r="M34" s="1"/>
      <c r="N34" s="1"/>
      <c r="O34" s="1"/>
      <c r="P34" s="1"/>
      <c r="Q34" s="1"/>
      <c r="R34" s="1"/>
      <c r="S34" s="1"/>
      <c r="T34" s="1"/>
      <c r="U34" s="1"/>
      <c r="V34" s="1"/>
      <c r="W34" s="1"/>
      <c r="X34" s="1"/>
      <c r="Y34" s="1"/>
      <c r="Z34" s="1"/>
    </row>
    <row r="35" ht="12.75" customHeight="1">
      <c r="A35" s="346" t="s">
        <v>378</v>
      </c>
      <c r="B35" s="352">
        <f t="shared" ref="B35:C35" si="40">+B34-B$6</f>
        <v>13.5</v>
      </c>
      <c r="C35" s="355">
        <f t="shared" si="40"/>
        <v>0.001736111111</v>
      </c>
      <c r="D35" s="358">
        <f t="shared" ref="D35:F35" si="41">+D34+D$6</f>
        <v>4.55</v>
      </c>
      <c r="E35" s="352">
        <f t="shared" si="41"/>
        <v>26</v>
      </c>
      <c r="F35" s="362">
        <f t="shared" si="41"/>
        <v>240</v>
      </c>
      <c r="G35" s="363" t="str">
        <f t="shared" si="25"/>
        <v>Gold</v>
      </c>
      <c r="H35" s="1"/>
      <c r="I35" s="97" t="str">
        <f>IF(NineStep,"Gold","Step 10")</f>
        <v>Gold</v>
      </c>
      <c r="J35" s="1"/>
      <c r="K35" s="1"/>
      <c r="L35" s="1"/>
      <c r="M35" s="1"/>
      <c r="N35" s="1"/>
      <c r="O35" s="1"/>
      <c r="P35" s="1"/>
      <c r="Q35" s="1"/>
      <c r="R35" s="1"/>
      <c r="S35" s="1"/>
      <c r="T35" s="1"/>
      <c r="U35" s="1"/>
      <c r="V35" s="1"/>
      <c r="W35" s="1"/>
      <c r="X35" s="1"/>
      <c r="Y35" s="1"/>
      <c r="Z35" s="1"/>
    </row>
    <row r="36" ht="12.75" customHeight="1">
      <c r="A36" s="386" t="s">
        <v>379</v>
      </c>
      <c r="B36" s="387">
        <f t="shared" ref="B36:C36" si="42">+B35-B$6</f>
        <v>13</v>
      </c>
      <c r="C36" s="414">
        <f t="shared" si="42"/>
        <v>0.001678240741</v>
      </c>
      <c r="D36" s="389">
        <f t="shared" ref="D36:F36" si="43">+D35+D$6</f>
        <v>4.8</v>
      </c>
      <c r="E36" s="387">
        <f t="shared" si="43"/>
        <v>28</v>
      </c>
      <c r="F36" s="390">
        <f t="shared" si="43"/>
        <v>260</v>
      </c>
      <c r="G36" s="391" t="str">
        <f t="shared" si="25"/>
        <v>Gold</v>
      </c>
      <c r="H36" s="1"/>
      <c r="I36" s="97" t="str">
        <f>IF(NineStep,"Gold","Bronze")</f>
        <v>Gold</v>
      </c>
      <c r="J36" s="1"/>
      <c r="K36" s="1"/>
      <c r="L36" s="1"/>
      <c r="M36" s="1"/>
      <c r="N36" s="1"/>
      <c r="O36" s="1"/>
      <c r="P36" s="1"/>
      <c r="Q36" s="1"/>
      <c r="R36" s="1"/>
      <c r="S36" s="1"/>
      <c r="T36" s="1"/>
      <c r="U36" s="1"/>
      <c r="V36" s="1"/>
      <c r="W36" s="1"/>
      <c r="X36" s="1"/>
      <c r="Y36" s="1"/>
      <c r="Z36" s="1"/>
    </row>
    <row r="37" ht="12.75" customHeight="1">
      <c r="A37" s="392" t="s">
        <v>380</v>
      </c>
      <c r="B37" s="393">
        <f t="shared" ref="B37:C37" si="44">+B36-B$6</f>
        <v>12.5</v>
      </c>
      <c r="C37" s="416">
        <f t="shared" si="44"/>
        <v>0.00162037037</v>
      </c>
      <c r="D37" s="395">
        <f t="shared" ref="D37:F37" si="45">+D36+D$6</f>
        <v>5.05</v>
      </c>
      <c r="E37" s="393">
        <f t="shared" si="45"/>
        <v>30</v>
      </c>
      <c r="F37" s="396">
        <f t="shared" si="45"/>
        <v>280</v>
      </c>
      <c r="G37" s="397" t="str">
        <f t="shared" si="25"/>
        <v>Gold</v>
      </c>
      <c r="H37" s="1"/>
      <c r="I37" s="97" t="str">
        <f>IF(NineStep,"Gold","Silver")</f>
        <v>Gold</v>
      </c>
      <c r="J37" s="1"/>
      <c r="K37" s="1"/>
      <c r="L37" s="1"/>
      <c r="M37" s="1"/>
      <c r="N37" s="1"/>
      <c r="O37" s="1"/>
      <c r="P37" s="1"/>
      <c r="Q37" s="1"/>
      <c r="R37" s="1"/>
      <c r="S37" s="1"/>
      <c r="T37" s="1"/>
      <c r="U37" s="1"/>
      <c r="V37" s="1"/>
      <c r="W37" s="1"/>
      <c r="X37" s="1"/>
      <c r="Y37" s="1"/>
      <c r="Z37" s="1"/>
    </row>
    <row r="38" ht="12.75" customHeight="1">
      <c r="A38" s="404" t="s">
        <v>381</v>
      </c>
      <c r="B38" s="405">
        <f t="shared" ref="B38:C38" si="46">+B37-B$6</f>
        <v>12</v>
      </c>
      <c r="C38" s="418">
        <f t="shared" si="46"/>
        <v>0.0015625</v>
      </c>
      <c r="D38" s="407">
        <f t="shared" ref="D38:F38" si="47">+D37+D$6</f>
        <v>5.3</v>
      </c>
      <c r="E38" s="405">
        <f t="shared" si="47"/>
        <v>32</v>
      </c>
      <c r="F38" s="408">
        <f t="shared" si="47"/>
        <v>300</v>
      </c>
      <c r="G38" s="409" t="str">
        <f t="shared" si="25"/>
        <v>Gold</v>
      </c>
      <c r="H38" s="1"/>
      <c r="I38" s="97" t="s">
        <v>381</v>
      </c>
      <c r="J38" s="1"/>
      <c r="K38" s="1"/>
      <c r="L38" s="1"/>
      <c r="M38" s="1"/>
      <c r="N38" s="1"/>
      <c r="O38" s="1"/>
      <c r="P38" s="1"/>
      <c r="Q38" s="1"/>
      <c r="R38" s="1"/>
      <c r="S38" s="1"/>
      <c r="T38" s="1"/>
      <c r="U38" s="1"/>
      <c r="V38" s="1"/>
      <c r="W38" s="1"/>
      <c r="X38" s="1"/>
      <c r="Y38" s="1"/>
      <c r="Z38" s="1"/>
    </row>
    <row r="39"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419" t="s">
        <v>87</v>
      </c>
      <c r="H41" s="1"/>
      <c r="I41" s="1"/>
      <c r="J41" s="1"/>
      <c r="K41" s="1"/>
      <c r="L41" s="1"/>
      <c r="M41" s="1"/>
      <c r="N41" s="1"/>
      <c r="O41" s="1"/>
      <c r="P41" s="1"/>
      <c r="Q41" s="1"/>
      <c r="R41" s="1"/>
      <c r="S41" s="1"/>
      <c r="T41" s="1"/>
      <c r="U41" s="1"/>
      <c r="V41" s="1"/>
      <c r="W41" s="1"/>
      <c r="X41" s="1"/>
      <c r="Y41" s="1"/>
      <c r="Z41" s="1"/>
    </row>
    <row r="42" ht="15.75" customHeight="1">
      <c r="A42" s="420" t="s">
        <v>88</v>
      </c>
      <c r="H42" s="421"/>
      <c r="I42" s="421"/>
      <c r="J42" s="421"/>
      <c r="K42" s="421"/>
      <c r="L42" s="421"/>
      <c r="M42" s="421"/>
      <c r="N42" s="421"/>
      <c r="O42" s="421"/>
      <c r="P42" s="421"/>
      <c r="Q42" s="421"/>
      <c r="R42" s="421"/>
      <c r="S42" s="421"/>
      <c r="T42" s="421"/>
      <c r="U42" s="421"/>
      <c r="V42" s="421"/>
      <c r="W42" s="1"/>
      <c r="X42" s="1"/>
      <c r="Y42" s="1"/>
      <c r="Z42" s="1"/>
    </row>
    <row r="43"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U22:W22"/>
    <mergeCell ref="X22:Z22"/>
    <mergeCell ref="L22:N22"/>
    <mergeCell ref="O22:Q22"/>
    <mergeCell ref="R22:T22"/>
    <mergeCell ref="L3:N3"/>
    <mergeCell ref="O3:Q3"/>
    <mergeCell ref="R3:T3"/>
    <mergeCell ref="U3:W3"/>
    <mergeCell ref="X3:Z3"/>
    <mergeCell ref="K22:K23"/>
    <mergeCell ref="A42:G42"/>
    <mergeCell ref="A41:G41"/>
    <mergeCell ref="A1:G1"/>
    <mergeCell ref="G4:G5"/>
    <mergeCell ref="G23:G24"/>
    <mergeCell ref="F23:F24"/>
    <mergeCell ref="K3:K4"/>
  </mergeCells>
  <hyperlinks>
    <hyperlink r:id="rId1" ref="A42"/>
  </hyperlinks>
  <printOptions/>
  <pageMargins bottom="0.75" footer="0.0" header="0.0" left="0.7" right="0.7" top="0.75"/>
  <pageSetup orientation="landscape"/>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tabColor rgb="FF00808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1" width="10.71"/>
    <col customWidth="1" min="2" max="2" width="12.43"/>
    <col customWidth="1" min="3" max="3" width="28.86"/>
    <col customWidth="1" min="4" max="4" width="13.86"/>
    <col customWidth="1" min="5" max="5" width="2.57"/>
    <col customWidth="1" min="6" max="6" width="10.43"/>
    <col customWidth="1" min="7" max="7" width="8.0"/>
    <col customWidth="1" hidden="1" min="8" max="19" width="9.14"/>
    <col customWidth="1" hidden="1" min="20" max="20" width="10.71"/>
    <col customWidth="1" hidden="1" min="21" max="24" width="8.0"/>
    <col customWidth="1" min="25" max="26" width="8.0"/>
  </cols>
  <sheetData>
    <row r="1" ht="28.5" customHeight="1">
      <c r="A1" s="422" t="str">
        <f>"Event:"</f>
        <v>Event:</v>
      </c>
      <c r="C1" s="423" t="s">
        <v>31</v>
      </c>
      <c r="D1" s="209"/>
      <c r="F1" s="424">
        <f>IF(TotalAthletes,COUNTIF(D3:D1002,"&gt;0")/TotalAthletes,0)</f>
        <v>0.8961038961</v>
      </c>
      <c r="J1" s="114" t="s">
        <v>382</v>
      </c>
      <c r="K1" s="425">
        <v>1.0</v>
      </c>
      <c r="L1" s="114" t="s">
        <v>41</v>
      </c>
      <c r="M1" s="426">
        <f t="array" ref="M1">+INDEX(ScoreValues,2,$K$1)</f>
        <v>16</v>
      </c>
      <c r="N1" s="114" t="s">
        <v>42</v>
      </c>
      <c r="O1" s="426">
        <f t="array" ref="O1">+INDEX(ScoreValues,4,$K$1)</f>
        <v>0.1</v>
      </c>
      <c r="P1" s="114"/>
      <c r="Q1" s="114" t="s">
        <v>93</v>
      </c>
      <c r="R1" s="426">
        <f t="array" ref="R1">+INDEX(ScoreValues,3,$K$1)</f>
        <v>7</v>
      </c>
      <c r="T1" s="114" t="s">
        <v>383</v>
      </c>
      <c r="U1" s="427">
        <f>+EventIndex</f>
        <v>6</v>
      </c>
    </row>
    <row r="2" ht="25.5" customHeight="1">
      <c r="A2" s="428" t="s">
        <v>384</v>
      </c>
      <c r="B2" s="429" t="s">
        <v>385</v>
      </c>
      <c r="C2" s="430" t="s">
        <v>40</v>
      </c>
      <c r="D2" s="431" t="s">
        <v>318</v>
      </c>
      <c r="F2" s="432" t="s">
        <v>386</v>
      </c>
      <c r="G2" s="433" t="s">
        <v>387</v>
      </c>
      <c r="H2" s="433" t="s">
        <v>388</v>
      </c>
      <c r="I2" s="434" t="s">
        <v>389</v>
      </c>
      <c r="J2" s="209" t="s">
        <v>390</v>
      </c>
      <c r="K2" s="209" t="s">
        <v>391</v>
      </c>
      <c r="L2" s="209" t="s">
        <v>392</v>
      </c>
      <c r="M2" s="209" t="s">
        <v>318</v>
      </c>
      <c r="N2" s="113" t="s">
        <v>93</v>
      </c>
      <c r="O2" s="113" t="s">
        <v>41</v>
      </c>
      <c r="P2" s="113" t="s">
        <v>42</v>
      </c>
      <c r="Q2" s="113" t="s">
        <v>393</v>
      </c>
      <c r="S2" s="113" t="s">
        <v>355</v>
      </c>
      <c r="T2" s="113" t="s">
        <v>73</v>
      </c>
      <c r="V2" s="113" t="s">
        <v>394</v>
      </c>
      <c r="W2" s="113" t="s">
        <v>355</v>
      </c>
      <c r="X2" s="113" t="s">
        <v>73</v>
      </c>
    </row>
    <row r="3">
      <c r="A3" s="435" t="s">
        <v>286</v>
      </c>
      <c r="B3" s="436">
        <v>12.4</v>
      </c>
      <c r="C3" s="95" t="str">
        <f t="array" ref="C3">IF(I3&gt;0,INDEX(DB,I3,8),"")</f>
        <v>Julieana Walsh</v>
      </c>
      <c r="D3" s="437">
        <f t="shared" ref="D3:D1002" si="1">IF(AND(H3,B3&gt;0,ISNUMBER(B3)),IF(ISERR(M3),0,M3),0)</f>
        <v>46</v>
      </c>
      <c r="F3" s="438">
        <f t="shared" ref="F3:F1002" si="2">COUNTIF(A$3:A$1002,A3)</f>
        <v>1</v>
      </c>
      <c r="G3" t="str">
        <f t="shared" ref="G3:G1002" si="3">IF(AND(H3,OR(D3&lt;=10,D3&gt;=90)),"CHECK","")</f>
        <v/>
      </c>
      <c r="H3" t="b">
        <f t="shared" ref="H3:H1002" si="4">IF(AND(LEN(A3)&gt;0,LEN(C3)&gt;0,B3&lt;&gt;0),TRUE,FALSE)</f>
        <v>1</v>
      </c>
      <c r="I3" s="439">
        <f>IF(OR(ISBLANK(A3),ISNA(MATCH(A3&amp;"",AthleteNumbers,0))),0,MATCH(A3&amp;"",AthleteNumbers,0))</f>
        <v>71</v>
      </c>
      <c r="J3" s="209" t="str">
        <f t="array" ref="J3">IF(I3&gt;0,INDEX(DB,$I3,6),0)</f>
        <v/>
      </c>
      <c r="K3" s="440">
        <f t="shared" ref="K3:K1002" si="5">IF(ISNUMBER(B3),ROUND(+B3,1),0)</f>
        <v>12.4</v>
      </c>
      <c r="L3" s="440">
        <f t="shared" ref="L3:L1002" si="6">+K3</f>
        <v>12.4</v>
      </c>
      <c r="M3" s="441">
        <f>IF(AND(L3&gt;O3,O3&gt;0),MinPoints,IF(L3&lt;N3,100,+INT((O3-$L3)/P3)+MinPoints))</f>
        <v>46</v>
      </c>
      <c r="N3" s="440">
        <f t="shared" ref="N3:N1002" si="7">+O3-(P3*90)</f>
        <v>7</v>
      </c>
      <c r="O3" s="440">
        <f t="shared" ref="O3:O1002" si="8">IF($J3=0,$S3,$W3)</f>
        <v>16</v>
      </c>
      <c r="P3" s="440">
        <f t="shared" ref="P3:P1002" si="9">IF($J3=0,$T3,$X3)</f>
        <v>0.1</v>
      </c>
      <c r="Q3">
        <f t="array" ref="Q3">IF(I3&gt;0,INDEX(DB,I3,9),EventIndex)</f>
        <v>6</v>
      </c>
      <c r="S3" s="442">
        <f t="array" ref="S3">INDEX(MINVALUES,$Q3,$K$1)</f>
        <v>16</v>
      </c>
      <c r="T3">
        <f t="array" ref="T3">INDEX(INCVALUES,$Q3,$K$1)</f>
        <v>0.1</v>
      </c>
      <c r="V3">
        <f t="array" ref="V3">+J3+(4*(INDEX(MatchScoreTable,$Q3,20)-1))</f>
        <v>4</v>
      </c>
      <c r="W3">
        <f t="array" ref="W3">INDEX(INC_MINVALUES,$V3,$K$1)</f>
        <v>34</v>
      </c>
      <c r="X3" s="212">
        <f t="array" ref="X3">INDEX(INC_INCVALUES,$V3,$K$1)</f>
        <v>0.3</v>
      </c>
    </row>
    <row r="4">
      <c r="A4" s="435" t="s">
        <v>218</v>
      </c>
      <c r="B4" s="436">
        <v>12.6</v>
      </c>
      <c r="C4" s="95" t="str">
        <f t="array" ref="C4">IF(I4&gt;0,INDEX(DB,I4,8),"")</f>
        <v>Elizabeth Davie</v>
      </c>
      <c r="D4" s="437">
        <f t="shared" si="1"/>
        <v>44</v>
      </c>
      <c r="F4" s="438">
        <f t="shared" si="2"/>
        <v>1</v>
      </c>
      <c r="G4" t="str">
        <f t="shared" si="3"/>
        <v/>
      </c>
      <c r="H4" t="b">
        <f t="shared" si="4"/>
        <v>1</v>
      </c>
      <c r="I4" s="439">
        <f>IF(OR(ISBLANK(A4),ISNA(MATCH(A4&amp;"",AthleteNumbers,0))),0,MATCH(A4&amp;"",AthleteNumbers,0))</f>
        <v>41</v>
      </c>
      <c r="J4" s="209" t="str">
        <f t="array" ref="J4">IF(I4&gt;0,INDEX(DB,$I4,6),0)</f>
        <v/>
      </c>
      <c r="K4" s="440">
        <f t="shared" si="5"/>
        <v>12.6</v>
      </c>
      <c r="L4" s="440">
        <f t="shared" si="6"/>
        <v>12.6</v>
      </c>
      <c r="M4" s="441">
        <f>IF(AND(L4&gt;O4,O4&gt;0),MinPoints,IF(L4&lt;N4,100,+INT((O4-$L4)/P4)+MinPoints))</f>
        <v>44</v>
      </c>
      <c r="N4" s="440">
        <f t="shared" si="7"/>
        <v>7</v>
      </c>
      <c r="O4" s="440">
        <f t="shared" si="8"/>
        <v>16</v>
      </c>
      <c r="P4" s="440">
        <f t="shared" si="9"/>
        <v>0.1</v>
      </c>
      <c r="Q4">
        <f t="array" ref="Q4">IF(I4&gt;0,INDEX(DB,I4,9),EventIndex)</f>
        <v>6</v>
      </c>
      <c r="S4" s="442">
        <f t="array" ref="S4">INDEX(MINVALUES,$Q4,$K$1)</f>
        <v>16</v>
      </c>
      <c r="T4">
        <f t="array" ref="T4">INDEX(INCVALUES,$Q4,$K$1)</f>
        <v>0.1</v>
      </c>
      <c r="V4">
        <f t="array" ref="V4">+J4+(4*(INDEX(MatchScoreTable,$Q4,20)-1))</f>
        <v>4</v>
      </c>
      <c r="W4">
        <f t="array" ref="W4">INDEX(INC_MINVALUES,$V4,$K$1)</f>
        <v>34</v>
      </c>
      <c r="X4" s="212">
        <f t="array" ref="X4">INDEX(INC_INCVALUES,$V4,$K$1)</f>
        <v>0.3</v>
      </c>
    </row>
    <row r="5">
      <c r="A5" s="435" t="s">
        <v>243</v>
      </c>
      <c r="B5" s="436">
        <v>12.9</v>
      </c>
      <c r="C5" s="95" t="str">
        <f t="array" ref="C5">IF(I5&gt;0,INDEX(DB,I5,8),"")</f>
        <v>Chloe Johnson</v>
      </c>
      <c r="D5" s="437">
        <f t="shared" si="1"/>
        <v>41</v>
      </c>
      <c r="F5" s="438">
        <f t="shared" si="2"/>
        <v>1</v>
      </c>
      <c r="G5" t="str">
        <f t="shared" si="3"/>
        <v/>
      </c>
      <c r="H5" t="b">
        <f t="shared" si="4"/>
        <v>1</v>
      </c>
      <c r="I5" s="439">
        <f>IF(OR(ISBLANK(A5),ISNA(MATCH(A5&amp;"",AthleteNumbers,0))),0,MATCH(A5&amp;"",AthleteNumbers,0))</f>
        <v>53</v>
      </c>
      <c r="J5" s="209" t="str">
        <f t="array" ref="J5">IF(I5&gt;0,INDEX(DB,$I5,6),0)</f>
        <v/>
      </c>
      <c r="K5" s="440">
        <f t="shared" si="5"/>
        <v>12.9</v>
      </c>
      <c r="L5" s="440">
        <f t="shared" si="6"/>
        <v>12.9</v>
      </c>
      <c r="M5" s="441">
        <f>IF(AND(L5&gt;O5,O5&gt;0),MinPoints,IF(L5&lt;N5,100,+INT((O5-$L5)/P5)+MinPoints))</f>
        <v>41</v>
      </c>
      <c r="N5" s="440">
        <f t="shared" si="7"/>
        <v>7</v>
      </c>
      <c r="O5" s="440">
        <f t="shared" si="8"/>
        <v>16</v>
      </c>
      <c r="P5" s="440">
        <f t="shared" si="9"/>
        <v>0.1</v>
      </c>
      <c r="Q5">
        <f t="array" ref="Q5">IF(I5&gt;0,INDEX(DB,I5,9),EventIndex)</f>
        <v>6</v>
      </c>
      <c r="S5" s="442">
        <f t="array" ref="S5">INDEX(MINVALUES,$Q5,$K$1)</f>
        <v>16</v>
      </c>
      <c r="T5">
        <f t="array" ref="T5">INDEX(INCVALUES,$Q5,$K$1)</f>
        <v>0.1</v>
      </c>
      <c r="V5">
        <f t="array" ref="V5">+J5+(4*(INDEX(MatchScoreTable,$Q5,20)-1))</f>
        <v>4</v>
      </c>
      <c r="W5">
        <f t="array" ref="W5">INDEX(INC_MINVALUES,$V5,$K$1)</f>
        <v>34</v>
      </c>
      <c r="X5" s="212">
        <f t="array" ref="X5">INDEX(INC_INCVALUES,$V5,$K$1)</f>
        <v>0.3</v>
      </c>
    </row>
    <row r="6">
      <c r="A6" s="435" t="s">
        <v>279</v>
      </c>
      <c r="B6" s="436">
        <v>13.0</v>
      </c>
      <c r="C6" s="95" t="str">
        <f t="array" ref="C6">IF(I6&gt;0,INDEX(DB,I6,8),"")</f>
        <v>Poppy Taylor</v>
      </c>
      <c r="D6" s="437">
        <f t="shared" si="1"/>
        <v>40</v>
      </c>
      <c r="F6" s="438">
        <f t="shared" si="2"/>
        <v>1</v>
      </c>
      <c r="G6" t="str">
        <f t="shared" si="3"/>
        <v/>
      </c>
      <c r="H6" t="b">
        <f t="shared" si="4"/>
        <v>1</v>
      </c>
      <c r="I6" s="439">
        <f>IF(OR(ISBLANK(A6),ISNA(MATCH(A6&amp;"",AthleteNumbers,0))),0,MATCH(A6&amp;"",AthleteNumbers,0))</f>
        <v>68</v>
      </c>
      <c r="J6" s="209" t="str">
        <f t="array" ref="J6">IF(I6&gt;0,INDEX(DB,$I6,6),0)</f>
        <v/>
      </c>
      <c r="K6" s="440">
        <f t="shared" si="5"/>
        <v>13</v>
      </c>
      <c r="L6" s="440">
        <f t="shared" si="6"/>
        <v>13</v>
      </c>
      <c r="M6" s="441">
        <f>IF(AND(L6&gt;O6,O6&gt;0),MinPoints,IF(L6&lt;N6,100,+INT((O6-$L6)/P6)+MinPoints))</f>
        <v>40</v>
      </c>
      <c r="N6" s="440">
        <f t="shared" si="7"/>
        <v>7</v>
      </c>
      <c r="O6" s="440">
        <f t="shared" si="8"/>
        <v>16</v>
      </c>
      <c r="P6" s="440">
        <f t="shared" si="9"/>
        <v>0.1</v>
      </c>
      <c r="Q6">
        <f t="array" ref="Q6">IF(I6&gt;0,INDEX(DB,I6,9),EventIndex)</f>
        <v>6</v>
      </c>
      <c r="S6" s="442">
        <f t="array" ref="S6">INDEX(MINVALUES,$Q6,$K$1)</f>
        <v>16</v>
      </c>
      <c r="T6">
        <f t="array" ref="T6">INDEX(INCVALUES,$Q6,$K$1)</f>
        <v>0.1</v>
      </c>
      <c r="V6">
        <f t="array" ref="V6">+J6+(4*(INDEX(MatchScoreTable,$Q6,20)-1))</f>
        <v>4</v>
      </c>
      <c r="W6">
        <f t="array" ref="W6">INDEX(INC_MINVALUES,$V6,$K$1)</f>
        <v>34</v>
      </c>
      <c r="X6" s="212">
        <f t="array" ref="X6">INDEX(INC_INCVALUES,$V6,$K$1)</f>
        <v>0.3</v>
      </c>
    </row>
    <row r="7">
      <c r="A7" s="435" t="s">
        <v>213</v>
      </c>
      <c r="B7" s="436">
        <v>13.2</v>
      </c>
      <c r="C7" s="95" t="str">
        <f t="array" ref="C7">IF(I7&gt;0,INDEX(DB,I7,8),"")</f>
        <v>Sophie Cross</v>
      </c>
      <c r="D7" s="437">
        <f t="shared" si="1"/>
        <v>38</v>
      </c>
      <c r="F7" s="438">
        <f t="shared" si="2"/>
        <v>1</v>
      </c>
      <c r="G7" t="str">
        <f t="shared" si="3"/>
        <v/>
      </c>
      <c r="H7" t="b">
        <f t="shared" si="4"/>
        <v>1</v>
      </c>
      <c r="I7" s="439">
        <f>IF(OR(ISBLANK(A7),ISNA(MATCH(A7&amp;"",AthleteNumbers,0))),0,MATCH(A7&amp;"",AthleteNumbers,0))</f>
        <v>39</v>
      </c>
      <c r="J7" s="209" t="str">
        <f t="array" ref="J7">IF(I7&gt;0,INDEX(DB,$I7,6),0)</f>
        <v/>
      </c>
      <c r="K7" s="440">
        <f t="shared" si="5"/>
        <v>13.2</v>
      </c>
      <c r="L7" s="440">
        <f t="shared" si="6"/>
        <v>13.2</v>
      </c>
      <c r="M7" s="441">
        <f>IF(AND(L7&gt;O7,O7&gt;0),MinPoints,IF(L7&lt;N7,100,+INT((O7-$L7)/P7)+MinPoints))</f>
        <v>38</v>
      </c>
      <c r="N7" s="440">
        <f t="shared" si="7"/>
        <v>7</v>
      </c>
      <c r="O7" s="440">
        <f t="shared" si="8"/>
        <v>16</v>
      </c>
      <c r="P7" s="440">
        <f t="shared" si="9"/>
        <v>0.1</v>
      </c>
      <c r="Q7">
        <f t="array" ref="Q7">IF(I7&gt;0,INDEX(DB,I7,9),EventIndex)</f>
        <v>6</v>
      </c>
      <c r="S7" s="442">
        <f t="array" ref="S7">INDEX(MINVALUES,$Q7,$K$1)</f>
        <v>16</v>
      </c>
      <c r="T7">
        <f t="array" ref="T7">INDEX(INCVALUES,$Q7,$K$1)</f>
        <v>0.1</v>
      </c>
      <c r="V7">
        <f t="array" ref="V7">+J7+(4*(INDEX(MatchScoreTable,$Q7,20)-1))</f>
        <v>4</v>
      </c>
      <c r="W7">
        <f t="array" ref="W7">INDEX(INC_MINVALUES,$V7,$K$1)</f>
        <v>34</v>
      </c>
      <c r="X7" s="212">
        <f t="array" ref="X7">INDEX(INC_INCVALUES,$V7,$K$1)</f>
        <v>0.3</v>
      </c>
    </row>
    <row r="8">
      <c r="A8" s="435" t="s">
        <v>199</v>
      </c>
      <c r="B8" s="436">
        <v>13.3</v>
      </c>
      <c r="C8" s="95" t="str">
        <f t="array" ref="C8">IF(I8&gt;0,INDEX(DB,I8,8),"")</f>
        <v>Edee Abery</v>
      </c>
      <c r="D8" s="437">
        <f t="shared" si="1"/>
        <v>37</v>
      </c>
      <c r="F8" s="438">
        <f t="shared" si="2"/>
        <v>1</v>
      </c>
      <c r="G8" t="str">
        <f t="shared" si="3"/>
        <v/>
      </c>
      <c r="H8" t="b">
        <f t="shared" si="4"/>
        <v>1</v>
      </c>
      <c r="I8" s="439">
        <f>IF(OR(ISBLANK(A8),ISNA(MATCH(A8&amp;"",AthleteNumbers,0))),0,MATCH(A8&amp;"",AthleteNumbers,0))</f>
        <v>34</v>
      </c>
      <c r="J8" s="209" t="str">
        <f t="array" ref="J8">IF(I8&gt;0,INDEX(DB,$I8,6),0)</f>
        <v/>
      </c>
      <c r="K8" s="440">
        <f t="shared" si="5"/>
        <v>13.3</v>
      </c>
      <c r="L8" s="440">
        <f t="shared" si="6"/>
        <v>13.3</v>
      </c>
      <c r="M8" s="441">
        <f>IF(AND(L8&gt;O8,O8&gt;0),MinPoints,IF(L8&lt;N8,100,+INT((O8-$L8)/P8)+MinPoints))</f>
        <v>37</v>
      </c>
      <c r="N8" s="440">
        <f t="shared" si="7"/>
        <v>7</v>
      </c>
      <c r="O8" s="440">
        <f t="shared" si="8"/>
        <v>16</v>
      </c>
      <c r="P8" s="440">
        <f t="shared" si="9"/>
        <v>0.1</v>
      </c>
      <c r="Q8">
        <f t="array" ref="Q8">IF(I8&gt;0,INDEX(DB,I8,9),EventIndex)</f>
        <v>6</v>
      </c>
      <c r="S8" s="442">
        <f t="array" ref="S8">INDEX(MINVALUES,$Q8,$K$1)</f>
        <v>16</v>
      </c>
      <c r="T8">
        <f t="array" ref="T8">INDEX(INCVALUES,$Q8,$K$1)</f>
        <v>0.1</v>
      </c>
      <c r="V8">
        <f t="array" ref="V8">+J8+(4*(INDEX(MatchScoreTable,$Q8,20)-1))</f>
        <v>4</v>
      </c>
      <c r="W8">
        <f t="array" ref="W8">INDEX(INC_MINVALUES,$V8,$K$1)</f>
        <v>34</v>
      </c>
      <c r="X8" s="212">
        <f t="array" ref="X8">INDEX(INC_INCVALUES,$V8,$K$1)</f>
        <v>0.3</v>
      </c>
    </row>
    <row r="9">
      <c r="A9" s="435" t="s">
        <v>261</v>
      </c>
      <c r="B9" s="436">
        <v>12.1</v>
      </c>
      <c r="C9" s="95" t="str">
        <f t="array" ref="C9">IF(I9&gt;0,INDEX(DB,I9,8),"")</f>
        <v>Gracie Osman</v>
      </c>
      <c r="D9" s="437">
        <f t="shared" si="1"/>
        <v>49</v>
      </c>
      <c r="F9" s="438">
        <f t="shared" si="2"/>
        <v>1</v>
      </c>
      <c r="G9" t="str">
        <f t="shared" si="3"/>
        <v/>
      </c>
      <c r="H9" t="b">
        <f t="shared" si="4"/>
        <v>1</v>
      </c>
      <c r="I9" s="439">
        <f>IF(OR(ISBLANK(A9),ISNA(MATCH(A9&amp;"",AthleteNumbers,0))),0,MATCH(A9&amp;"",AthleteNumbers,0))</f>
        <v>61</v>
      </c>
      <c r="J9" s="209" t="str">
        <f t="array" ref="J9">IF(I9&gt;0,INDEX(DB,$I9,6),0)</f>
        <v/>
      </c>
      <c r="K9" s="440">
        <f t="shared" si="5"/>
        <v>12.1</v>
      </c>
      <c r="L9" s="440">
        <f t="shared" si="6"/>
        <v>12.1</v>
      </c>
      <c r="M9" s="441">
        <f>IF(AND(L9&gt;O9,O9&gt;0),MinPoints,IF(L9&lt;N9,100,+INT((O9-$L9)/P9)+MinPoints))</f>
        <v>49</v>
      </c>
      <c r="N9" s="440">
        <f t="shared" si="7"/>
        <v>7</v>
      </c>
      <c r="O9" s="440">
        <f t="shared" si="8"/>
        <v>16</v>
      </c>
      <c r="P9" s="440">
        <f t="shared" si="9"/>
        <v>0.1</v>
      </c>
      <c r="Q9">
        <f t="array" ref="Q9">IF(I9&gt;0,INDEX(DB,I9,9),EventIndex)</f>
        <v>6</v>
      </c>
      <c r="S9" s="442">
        <f t="array" ref="S9">INDEX(MINVALUES,$Q9,$K$1)</f>
        <v>16</v>
      </c>
      <c r="T9">
        <f t="array" ref="T9">INDEX(INCVALUES,$Q9,$K$1)</f>
        <v>0.1</v>
      </c>
      <c r="V9">
        <f t="array" ref="V9">+J9+(4*(INDEX(MatchScoreTable,$Q9,20)-1))</f>
        <v>4</v>
      </c>
      <c r="W9">
        <f t="array" ref="W9">INDEX(INC_MINVALUES,$V9,$K$1)</f>
        <v>34</v>
      </c>
      <c r="X9" s="212">
        <f t="array" ref="X9">INDEX(INC_INCVALUES,$V9,$K$1)</f>
        <v>0.3</v>
      </c>
    </row>
    <row r="10">
      <c r="A10" s="435" t="s">
        <v>238</v>
      </c>
      <c r="B10" s="436">
        <v>12.7</v>
      </c>
      <c r="C10" s="95" t="str">
        <f t="array" ref="C10">IF(I10&gt;0,INDEX(DB,I10,8),"")</f>
        <v>Matilda Hutton</v>
      </c>
      <c r="D10" s="437">
        <f t="shared" si="1"/>
        <v>43</v>
      </c>
      <c r="F10" s="438">
        <f t="shared" si="2"/>
        <v>1</v>
      </c>
      <c r="G10" t="str">
        <f t="shared" si="3"/>
        <v/>
      </c>
      <c r="H10" t="b">
        <f t="shared" si="4"/>
        <v>1</v>
      </c>
      <c r="I10" s="439">
        <f>IF(OR(ISBLANK(A10),ISNA(MATCH(A10&amp;"",AthleteNumbers,0))),0,MATCH(A10&amp;"",AthleteNumbers,0))</f>
        <v>51</v>
      </c>
      <c r="J10" s="209" t="str">
        <f t="array" ref="J10">IF(I10&gt;0,INDEX(DB,$I10,6),0)</f>
        <v/>
      </c>
      <c r="K10" s="440">
        <f t="shared" si="5"/>
        <v>12.7</v>
      </c>
      <c r="L10" s="440">
        <f t="shared" si="6"/>
        <v>12.7</v>
      </c>
      <c r="M10" s="441">
        <f>IF(AND(L10&gt;O10,O10&gt;0),MinPoints,IF(L10&lt;N10,100,+INT((O10-$L10)/P10)+MinPoints))</f>
        <v>43</v>
      </c>
      <c r="N10" s="440">
        <f t="shared" si="7"/>
        <v>7</v>
      </c>
      <c r="O10" s="440">
        <f t="shared" si="8"/>
        <v>16</v>
      </c>
      <c r="P10" s="440">
        <f t="shared" si="9"/>
        <v>0.1</v>
      </c>
      <c r="Q10">
        <f t="array" ref="Q10">IF(I10&gt;0,INDEX(DB,I10,9),EventIndex)</f>
        <v>6</v>
      </c>
      <c r="S10" s="442">
        <f t="array" ref="S10">INDEX(MINVALUES,$Q10,$K$1)</f>
        <v>16</v>
      </c>
      <c r="T10">
        <f t="array" ref="T10">INDEX(INCVALUES,$Q10,$K$1)</f>
        <v>0.1</v>
      </c>
      <c r="V10">
        <f t="array" ref="V10">+J10+(4*(INDEX(MatchScoreTable,$Q10,20)-1))</f>
        <v>4</v>
      </c>
      <c r="W10">
        <f t="array" ref="W10">INDEX(INC_MINVALUES,$V10,$K$1)</f>
        <v>34</v>
      </c>
      <c r="X10" s="212">
        <f t="array" ref="X10">INDEX(INC_INCVALUES,$V10,$K$1)</f>
        <v>0.3</v>
      </c>
    </row>
    <row r="11">
      <c r="A11" s="435" t="s">
        <v>268</v>
      </c>
      <c r="B11" s="436">
        <v>13.2</v>
      </c>
      <c r="C11" s="95" t="str">
        <f t="array" ref="C11">IF(I11&gt;0,INDEX(DB,I11,8),"")</f>
        <v>Clover Smith</v>
      </c>
      <c r="D11" s="437">
        <f t="shared" si="1"/>
        <v>38</v>
      </c>
      <c r="F11" s="438">
        <f t="shared" si="2"/>
        <v>1</v>
      </c>
      <c r="G11" t="str">
        <f t="shared" si="3"/>
        <v/>
      </c>
      <c r="H11" t="b">
        <f t="shared" si="4"/>
        <v>1</v>
      </c>
      <c r="I11" s="439">
        <f>IF(OR(ISBLANK(A11),ISNA(MATCH(A11&amp;"",AthleteNumbers,0))),0,MATCH(A11&amp;"",AthleteNumbers,0))</f>
        <v>64</v>
      </c>
      <c r="J11" s="209" t="str">
        <f t="array" ref="J11">IF(I11&gt;0,INDEX(DB,$I11,6),0)</f>
        <v/>
      </c>
      <c r="K11" s="440">
        <f t="shared" si="5"/>
        <v>13.2</v>
      </c>
      <c r="L11" s="440">
        <f t="shared" si="6"/>
        <v>13.2</v>
      </c>
      <c r="M11" s="441">
        <f>IF(AND(L11&gt;O11,O11&gt;0),MinPoints,IF(L11&lt;N11,100,+INT((O11-$L11)/P11)+MinPoints))</f>
        <v>38</v>
      </c>
      <c r="N11" s="440">
        <f t="shared" si="7"/>
        <v>7</v>
      </c>
      <c r="O11" s="440">
        <f t="shared" si="8"/>
        <v>16</v>
      </c>
      <c r="P11" s="440">
        <f t="shared" si="9"/>
        <v>0.1</v>
      </c>
      <c r="Q11">
        <f t="array" ref="Q11">IF(I11&gt;0,INDEX(DB,I11,9),EventIndex)</f>
        <v>6</v>
      </c>
      <c r="S11" s="442">
        <f t="array" ref="S11">INDEX(MINVALUES,$Q11,$K$1)</f>
        <v>16</v>
      </c>
      <c r="T11">
        <f t="array" ref="T11">INDEX(INCVALUES,$Q11,$K$1)</f>
        <v>0.1</v>
      </c>
      <c r="V11">
        <f t="array" ref="V11">+J11+(4*(INDEX(MatchScoreTable,$Q11,20)-1))</f>
        <v>4</v>
      </c>
      <c r="W11">
        <f t="array" ref="W11">INDEX(INC_MINVALUES,$V11,$K$1)</f>
        <v>34</v>
      </c>
      <c r="X11" s="212">
        <f t="array" ref="X11">INDEX(INC_INCVALUES,$V11,$K$1)</f>
        <v>0.3</v>
      </c>
    </row>
    <row r="12">
      <c r="A12" s="435" t="s">
        <v>222</v>
      </c>
      <c r="B12" s="436">
        <v>13.5</v>
      </c>
      <c r="C12" s="95" t="str">
        <f t="array" ref="C12">IF(I12&gt;0,INDEX(DB,I12,8),"")</f>
        <v>Millie Drew</v>
      </c>
      <c r="D12" s="437">
        <f t="shared" si="1"/>
        <v>35</v>
      </c>
      <c r="F12" s="438">
        <f t="shared" si="2"/>
        <v>1</v>
      </c>
      <c r="G12" t="str">
        <f t="shared" si="3"/>
        <v/>
      </c>
      <c r="H12" t="b">
        <f t="shared" si="4"/>
        <v>1</v>
      </c>
      <c r="I12" s="439">
        <f>IF(OR(ISBLANK(A12),ISNA(MATCH(A12&amp;"",AthleteNumbers,0))),0,MATCH(A12&amp;"",AthleteNumbers,0))</f>
        <v>43</v>
      </c>
      <c r="J12" s="209" t="str">
        <f t="array" ref="J12">IF(I12&gt;0,INDEX(DB,$I12,6),0)</f>
        <v/>
      </c>
      <c r="K12" s="440">
        <f t="shared" si="5"/>
        <v>13.5</v>
      </c>
      <c r="L12" s="440">
        <f t="shared" si="6"/>
        <v>13.5</v>
      </c>
      <c r="M12" s="441">
        <f>IF(AND(L12&gt;O12,O12&gt;0),MinPoints,IF(L12&lt;N12,100,+INT((O12-$L12)/P12)+MinPoints))</f>
        <v>35</v>
      </c>
      <c r="N12" s="440">
        <f t="shared" si="7"/>
        <v>7</v>
      </c>
      <c r="O12" s="440">
        <f t="shared" si="8"/>
        <v>16</v>
      </c>
      <c r="P12" s="440">
        <f t="shared" si="9"/>
        <v>0.1</v>
      </c>
      <c r="Q12">
        <f t="array" ref="Q12">IF(I12&gt;0,INDEX(DB,I12,9),EventIndex)</f>
        <v>6</v>
      </c>
      <c r="S12" s="442">
        <f t="array" ref="S12">INDEX(MINVALUES,$Q12,$K$1)</f>
        <v>16</v>
      </c>
      <c r="T12">
        <f t="array" ref="T12">INDEX(INCVALUES,$Q12,$K$1)</f>
        <v>0.1</v>
      </c>
      <c r="V12">
        <f t="array" ref="V12">+J12+(4*(INDEX(MatchScoreTable,$Q12,20)-1))</f>
        <v>4</v>
      </c>
      <c r="W12">
        <f t="array" ref="W12">INDEX(INC_MINVALUES,$V12,$K$1)</f>
        <v>34</v>
      </c>
      <c r="X12" s="212">
        <f t="array" ref="X12">INDEX(INC_INCVALUES,$V12,$K$1)</f>
        <v>0.3</v>
      </c>
    </row>
    <row r="13">
      <c r="A13" s="435" t="s">
        <v>232</v>
      </c>
      <c r="B13" s="436">
        <v>14.9</v>
      </c>
      <c r="C13" s="95" t="str">
        <f t="array" ref="C13">IF(I13&gt;0,INDEX(DB,I13,8),"")</f>
        <v>Millie Hardcastle</v>
      </c>
      <c r="D13" s="437">
        <f t="shared" si="1"/>
        <v>21</v>
      </c>
      <c r="F13" s="438">
        <f t="shared" si="2"/>
        <v>1</v>
      </c>
      <c r="G13" t="str">
        <f t="shared" si="3"/>
        <v/>
      </c>
      <c r="H13" t="b">
        <f t="shared" si="4"/>
        <v>1</v>
      </c>
      <c r="I13" s="439">
        <f>IF(OR(ISBLANK(A13),ISNA(MATCH(A13&amp;"",AthleteNumbers,0))),0,MATCH(A13&amp;"",AthleteNumbers,0))</f>
        <v>48</v>
      </c>
      <c r="J13" s="209" t="str">
        <f t="array" ref="J13">IF(I13&gt;0,INDEX(DB,$I13,6),0)</f>
        <v/>
      </c>
      <c r="K13" s="440">
        <f t="shared" si="5"/>
        <v>14.9</v>
      </c>
      <c r="L13" s="440">
        <f t="shared" si="6"/>
        <v>14.9</v>
      </c>
      <c r="M13" s="441">
        <f>IF(AND(L13&gt;O13,O13&gt;0),MinPoints,IF(L13&lt;N13,100,+INT((O13-$L13)/P13)+MinPoints))</f>
        <v>21</v>
      </c>
      <c r="N13" s="440">
        <f t="shared" si="7"/>
        <v>7</v>
      </c>
      <c r="O13" s="440">
        <f t="shared" si="8"/>
        <v>16</v>
      </c>
      <c r="P13" s="440">
        <f t="shared" si="9"/>
        <v>0.1</v>
      </c>
      <c r="Q13">
        <f t="array" ref="Q13">IF(I13&gt;0,INDEX(DB,I13,9),EventIndex)</f>
        <v>6</v>
      </c>
      <c r="S13" s="442">
        <f t="array" ref="S13">INDEX(MINVALUES,$Q13,$K$1)</f>
        <v>16</v>
      </c>
      <c r="T13">
        <f t="array" ref="T13">INDEX(INCVALUES,$Q13,$K$1)</f>
        <v>0.1</v>
      </c>
      <c r="V13">
        <f t="array" ref="V13">+J13+(4*(INDEX(MatchScoreTable,$Q13,20)-1))</f>
        <v>4</v>
      </c>
      <c r="W13">
        <f t="array" ref="W13">INDEX(INC_MINVALUES,$V13,$K$1)</f>
        <v>34</v>
      </c>
      <c r="X13" s="212">
        <f t="array" ref="X13">INDEX(INC_INCVALUES,$V13,$K$1)</f>
        <v>0.3</v>
      </c>
    </row>
    <row r="14">
      <c r="A14" s="435" t="s">
        <v>234</v>
      </c>
      <c r="B14" s="436">
        <v>16.1</v>
      </c>
      <c r="C14" s="95" t="str">
        <f t="array" ref="C14">IF(I14&gt;0,INDEX(DB,I14,8),"")</f>
        <v>Layla Holdway</v>
      </c>
      <c r="D14" s="437">
        <f t="shared" si="1"/>
        <v>10</v>
      </c>
      <c r="F14" s="438">
        <f t="shared" si="2"/>
        <v>1</v>
      </c>
      <c r="G14" t="str">
        <f t="shared" si="3"/>
        <v>CHECK</v>
      </c>
      <c r="H14" t="b">
        <f t="shared" si="4"/>
        <v>1</v>
      </c>
      <c r="I14" s="439">
        <f>IF(OR(ISBLANK(A14),ISNA(MATCH(A14&amp;"",AthleteNumbers,0))),0,MATCH(A14&amp;"",AthleteNumbers,0))</f>
        <v>49</v>
      </c>
      <c r="J14" s="209" t="str">
        <f t="array" ref="J14">IF(I14&gt;0,INDEX(DB,$I14,6),0)</f>
        <v/>
      </c>
      <c r="K14" s="440">
        <f t="shared" si="5"/>
        <v>16.1</v>
      </c>
      <c r="L14" s="440">
        <f t="shared" si="6"/>
        <v>16.1</v>
      </c>
      <c r="M14" s="441">
        <f>IF(AND(L14&gt;O14,O14&gt;0),MinPoints,IF(L14&lt;N14,100,+INT((O14-$L14)/P14)+MinPoints))</f>
        <v>10</v>
      </c>
      <c r="N14" s="440">
        <f t="shared" si="7"/>
        <v>7</v>
      </c>
      <c r="O14" s="440">
        <f t="shared" si="8"/>
        <v>16</v>
      </c>
      <c r="P14" s="440">
        <f t="shared" si="9"/>
        <v>0.1</v>
      </c>
      <c r="Q14">
        <f t="array" ref="Q14">IF(I14&gt;0,INDEX(DB,I14,9),EventIndex)</f>
        <v>6</v>
      </c>
      <c r="S14" s="442">
        <f t="array" ref="S14">INDEX(MINVALUES,$Q14,$K$1)</f>
        <v>16</v>
      </c>
      <c r="T14">
        <f t="array" ref="T14">INDEX(INCVALUES,$Q14,$K$1)</f>
        <v>0.1</v>
      </c>
      <c r="V14">
        <f t="array" ref="V14">+J14+(4*(INDEX(MatchScoreTable,$Q14,20)-1))</f>
        <v>4</v>
      </c>
      <c r="W14">
        <f t="array" ref="W14">INDEX(INC_MINVALUES,$V14,$K$1)</f>
        <v>34</v>
      </c>
      <c r="X14" s="212">
        <f t="array" ref="X14">INDEX(INC_INCVALUES,$V14,$K$1)</f>
        <v>0.3</v>
      </c>
    </row>
    <row r="15">
      <c r="A15" s="435" t="s">
        <v>263</v>
      </c>
      <c r="B15" s="436">
        <v>11.7</v>
      </c>
      <c r="C15" s="95" t="str">
        <f t="array" ref="C15">IF(I15&gt;0,INDEX(DB,I15,8),"")</f>
        <v>Isabelle Saint</v>
      </c>
      <c r="D15" s="437">
        <f t="shared" si="1"/>
        <v>53</v>
      </c>
      <c r="F15" s="438">
        <f t="shared" si="2"/>
        <v>1</v>
      </c>
      <c r="G15" t="str">
        <f t="shared" si="3"/>
        <v/>
      </c>
      <c r="H15" t="b">
        <f t="shared" si="4"/>
        <v>1</v>
      </c>
      <c r="I15" s="439">
        <f>IF(OR(ISBLANK(A15),ISNA(MATCH(A15&amp;"",AthleteNumbers,0))),0,MATCH(A15&amp;"",AthleteNumbers,0))</f>
        <v>62</v>
      </c>
      <c r="J15" s="209" t="str">
        <f t="array" ref="J15">IF(I15&gt;0,INDEX(DB,$I15,6),0)</f>
        <v/>
      </c>
      <c r="K15" s="440">
        <f t="shared" si="5"/>
        <v>11.7</v>
      </c>
      <c r="L15" s="440">
        <f t="shared" si="6"/>
        <v>11.7</v>
      </c>
      <c r="M15" s="441">
        <f>IF(AND(L15&gt;O15,O15&gt;0),MinPoints,IF(L15&lt;N15,100,+INT((O15-$L15)/P15)+MinPoints))</f>
        <v>53</v>
      </c>
      <c r="N15" s="440">
        <f t="shared" si="7"/>
        <v>7</v>
      </c>
      <c r="O15" s="440">
        <f t="shared" si="8"/>
        <v>16</v>
      </c>
      <c r="P15" s="440">
        <f t="shared" si="9"/>
        <v>0.1</v>
      </c>
      <c r="Q15">
        <f t="array" ref="Q15">IF(I15&gt;0,INDEX(DB,I15,9),EventIndex)</f>
        <v>6</v>
      </c>
      <c r="S15" s="442">
        <f t="array" ref="S15">INDEX(MINVALUES,$Q15,$K$1)</f>
        <v>16</v>
      </c>
      <c r="T15">
        <f t="array" ref="T15">INDEX(INCVALUES,$Q15,$K$1)</f>
        <v>0.1</v>
      </c>
      <c r="V15">
        <f t="array" ref="V15">+J15+(4*(INDEX(MatchScoreTable,$Q15,20)-1))</f>
        <v>4</v>
      </c>
      <c r="W15">
        <f t="array" ref="W15">INDEX(INC_MINVALUES,$V15,$K$1)</f>
        <v>34</v>
      </c>
      <c r="X15" s="212">
        <f t="array" ref="X15">INDEX(INC_INCVALUES,$V15,$K$1)</f>
        <v>0.3</v>
      </c>
    </row>
    <row r="16">
      <c r="A16" s="435" t="s">
        <v>203</v>
      </c>
      <c r="B16" s="436">
        <v>12.4</v>
      </c>
      <c r="C16" s="95" t="str">
        <f t="array" ref="C16">IF(I16&gt;0,INDEX(DB,I16,8),"")</f>
        <v>Lucia Bertacchini</v>
      </c>
      <c r="D16" s="437">
        <f t="shared" si="1"/>
        <v>46</v>
      </c>
      <c r="F16" s="438">
        <f t="shared" si="2"/>
        <v>1</v>
      </c>
      <c r="G16" t="str">
        <f t="shared" si="3"/>
        <v/>
      </c>
      <c r="H16" t="b">
        <f t="shared" si="4"/>
        <v>1</v>
      </c>
      <c r="I16" s="439">
        <f>IF(OR(ISBLANK(A16),ISNA(MATCH(A16&amp;"",AthleteNumbers,0))),0,MATCH(A16&amp;"",AthleteNumbers,0))</f>
        <v>35</v>
      </c>
      <c r="J16" s="209" t="str">
        <f t="array" ref="J16">IF(I16&gt;0,INDEX(DB,$I16,6),0)</f>
        <v/>
      </c>
      <c r="K16" s="440">
        <f t="shared" si="5"/>
        <v>12.4</v>
      </c>
      <c r="L16" s="440">
        <f t="shared" si="6"/>
        <v>12.4</v>
      </c>
      <c r="M16" s="441">
        <f>IF(AND(L16&gt;O16,O16&gt;0),MinPoints,IF(L16&lt;N16,100,+INT((O16-$L16)/P16)+MinPoints))</f>
        <v>46</v>
      </c>
      <c r="N16" s="440">
        <f t="shared" si="7"/>
        <v>7</v>
      </c>
      <c r="O16" s="440">
        <f t="shared" si="8"/>
        <v>16</v>
      </c>
      <c r="P16" s="440">
        <f t="shared" si="9"/>
        <v>0.1</v>
      </c>
      <c r="Q16">
        <f t="array" ref="Q16">IF(I16&gt;0,INDEX(DB,I16,9),EventIndex)</f>
        <v>6</v>
      </c>
      <c r="S16" s="442">
        <f t="array" ref="S16">INDEX(MINVALUES,$Q16,$K$1)</f>
        <v>16</v>
      </c>
      <c r="T16">
        <f t="array" ref="T16">INDEX(INCVALUES,$Q16,$K$1)</f>
        <v>0.1</v>
      </c>
      <c r="V16">
        <f t="array" ref="V16">+J16+(4*(INDEX(MatchScoreTable,$Q16,20)-1))</f>
        <v>4</v>
      </c>
      <c r="W16">
        <f t="array" ref="W16">INDEX(INC_MINVALUES,$V16,$K$1)</f>
        <v>34</v>
      </c>
      <c r="X16" s="212">
        <f t="array" ref="X16">INDEX(INC_INCVALUES,$V16,$K$1)</f>
        <v>0.3</v>
      </c>
    </row>
    <row r="17">
      <c r="A17" s="435" t="s">
        <v>265</v>
      </c>
      <c r="B17" s="436">
        <v>12.5</v>
      </c>
      <c r="C17" s="95" t="str">
        <f t="array" ref="C17">IF(I17&gt;0,INDEX(DB,I17,8),"")</f>
        <v>Alexis Seymour</v>
      </c>
      <c r="D17" s="437">
        <f t="shared" si="1"/>
        <v>45</v>
      </c>
      <c r="F17" s="438">
        <f t="shared" si="2"/>
        <v>1</v>
      </c>
      <c r="G17" t="str">
        <f t="shared" si="3"/>
        <v/>
      </c>
      <c r="H17" t="b">
        <f t="shared" si="4"/>
        <v>1</v>
      </c>
      <c r="I17" s="439">
        <f>IF(OR(ISBLANK(A17),ISNA(MATCH(A17&amp;"",AthleteNumbers,0))),0,MATCH(A17&amp;"",AthleteNumbers,0))</f>
        <v>63</v>
      </c>
      <c r="J17" s="209" t="str">
        <f t="array" ref="J17">IF(I17&gt;0,INDEX(DB,$I17,6),0)</f>
        <v/>
      </c>
      <c r="K17" s="440">
        <f t="shared" si="5"/>
        <v>12.5</v>
      </c>
      <c r="L17" s="440">
        <f t="shared" si="6"/>
        <v>12.5</v>
      </c>
      <c r="M17" s="441">
        <f>IF(AND(L17&gt;O17,O17&gt;0),MinPoints,IF(L17&lt;N17,100,+INT((O17-$L17)/P17)+MinPoints))</f>
        <v>45</v>
      </c>
      <c r="N17" s="440">
        <f t="shared" si="7"/>
        <v>7</v>
      </c>
      <c r="O17" s="440">
        <f t="shared" si="8"/>
        <v>16</v>
      </c>
      <c r="P17" s="440">
        <f t="shared" si="9"/>
        <v>0.1</v>
      </c>
      <c r="Q17">
        <f t="array" ref="Q17">IF(I17&gt;0,INDEX(DB,I17,9),EventIndex)</f>
        <v>6</v>
      </c>
      <c r="S17" s="442">
        <f t="array" ref="S17">INDEX(MINVALUES,$Q17,$K$1)</f>
        <v>16</v>
      </c>
      <c r="T17">
        <f t="array" ref="T17">INDEX(INCVALUES,$Q17,$K$1)</f>
        <v>0.1</v>
      </c>
      <c r="V17">
        <f t="array" ref="V17">+J17+(4*(INDEX(MatchScoreTable,$Q17,20)-1))</f>
        <v>4</v>
      </c>
      <c r="W17">
        <f t="array" ref="W17">INDEX(INC_MINVALUES,$V17,$K$1)</f>
        <v>34</v>
      </c>
      <c r="X17" s="212">
        <f t="array" ref="X17">INDEX(INC_INCVALUES,$V17,$K$1)</f>
        <v>0.3</v>
      </c>
    </row>
    <row r="18">
      <c r="A18" s="435" t="s">
        <v>273</v>
      </c>
      <c r="B18" s="436">
        <v>12.6</v>
      </c>
      <c r="C18" s="95" t="str">
        <f t="array" ref="C18">IF(I18&gt;0,INDEX(DB,I18,8),"")</f>
        <v>Bethany Smith</v>
      </c>
      <c r="D18" s="437">
        <f t="shared" si="1"/>
        <v>44</v>
      </c>
      <c r="F18" s="438">
        <f t="shared" si="2"/>
        <v>1</v>
      </c>
      <c r="G18" t="str">
        <f t="shared" si="3"/>
        <v/>
      </c>
      <c r="H18" t="b">
        <f t="shared" si="4"/>
        <v>1</v>
      </c>
      <c r="I18" s="439">
        <f>IF(OR(ISBLANK(A18),ISNA(MATCH(A18&amp;"",AthleteNumbers,0))),0,MATCH(A18&amp;"",AthleteNumbers,0))</f>
        <v>66</v>
      </c>
      <c r="J18" s="209" t="str">
        <f t="array" ref="J18">IF(I18&gt;0,INDEX(DB,$I18,6),0)</f>
        <v/>
      </c>
      <c r="K18" s="440">
        <f t="shared" si="5"/>
        <v>12.6</v>
      </c>
      <c r="L18" s="440">
        <f t="shared" si="6"/>
        <v>12.6</v>
      </c>
      <c r="M18" s="441">
        <f>IF(AND(L18&gt;O18,O18&gt;0),MinPoints,IF(L18&lt;N18,100,+INT((O18-$L18)/P18)+MinPoints))</f>
        <v>44</v>
      </c>
      <c r="N18" s="440">
        <f t="shared" si="7"/>
        <v>7</v>
      </c>
      <c r="O18" s="440">
        <f t="shared" si="8"/>
        <v>16</v>
      </c>
      <c r="P18" s="440">
        <f t="shared" si="9"/>
        <v>0.1</v>
      </c>
      <c r="Q18">
        <f t="array" ref="Q18">IF(I18&gt;0,INDEX(DB,I18,9),EventIndex)</f>
        <v>6</v>
      </c>
      <c r="S18" s="442">
        <f t="array" ref="S18">INDEX(MINVALUES,$Q18,$K$1)</f>
        <v>16</v>
      </c>
      <c r="T18">
        <f t="array" ref="T18">INDEX(INCVALUES,$Q18,$K$1)</f>
        <v>0.1</v>
      </c>
      <c r="V18">
        <f t="array" ref="V18">+J18+(4*(INDEX(MatchScoreTable,$Q18,20)-1))</f>
        <v>4</v>
      </c>
      <c r="W18">
        <f t="array" ref="W18">INDEX(INC_MINVALUES,$V18,$K$1)</f>
        <v>34</v>
      </c>
      <c r="X18" s="212">
        <f t="array" ref="X18">INDEX(INC_INCVALUES,$V18,$K$1)</f>
        <v>0.3</v>
      </c>
    </row>
    <row r="19">
      <c r="A19" s="435" t="s">
        <v>209</v>
      </c>
      <c r="B19" s="436">
        <v>13.9</v>
      </c>
      <c r="C19" s="95" t="str">
        <f t="array" ref="C19">IF(I19&gt;0,INDEX(DB,I19,8),"")</f>
        <v>Isabel Cherrett</v>
      </c>
      <c r="D19" s="437">
        <f t="shared" si="1"/>
        <v>31</v>
      </c>
      <c r="F19" s="438">
        <f t="shared" si="2"/>
        <v>1</v>
      </c>
      <c r="G19" t="str">
        <f t="shared" si="3"/>
        <v/>
      </c>
      <c r="H19" t="b">
        <f t="shared" si="4"/>
        <v>1</v>
      </c>
      <c r="I19" s="439">
        <f>IF(OR(ISBLANK(A19),ISNA(MATCH(A19&amp;"",AthleteNumbers,0))),0,MATCH(A19&amp;"",AthleteNumbers,0))</f>
        <v>37</v>
      </c>
      <c r="J19" s="209" t="str">
        <f t="array" ref="J19">IF(I19&gt;0,INDEX(DB,$I19,6),0)</f>
        <v/>
      </c>
      <c r="K19" s="440">
        <f t="shared" si="5"/>
        <v>13.9</v>
      </c>
      <c r="L19" s="440">
        <f t="shared" si="6"/>
        <v>13.9</v>
      </c>
      <c r="M19" s="441">
        <f>IF(AND(L19&gt;O19,O19&gt;0),MinPoints,IF(L19&lt;N19,100,+INT((O19-$L19)/P19)+MinPoints))</f>
        <v>31</v>
      </c>
      <c r="N19" s="440">
        <f t="shared" si="7"/>
        <v>7</v>
      </c>
      <c r="O19" s="440">
        <f t="shared" si="8"/>
        <v>16</v>
      </c>
      <c r="P19" s="440">
        <f t="shared" si="9"/>
        <v>0.1</v>
      </c>
      <c r="Q19">
        <f t="array" ref="Q19">IF(I19&gt;0,INDEX(DB,I19,9),EventIndex)</f>
        <v>6</v>
      </c>
      <c r="S19" s="442">
        <f t="array" ref="S19">INDEX(MINVALUES,$Q19,$K$1)</f>
        <v>16</v>
      </c>
      <c r="T19">
        <f t="array" ref="T19">INDEX(INCVALUES,$Q19,$K$1)</f>
        <v>0.1</v>
      </c>
      <c r="V19">
        <f t="array" ref="V19">+J19+(4*(INDEX(MatchScoreTable,$Q19,20)-1))</f>
        <v>4</v>
      </c>
      <c r="W19">
        <f t="array" ref="W19">INDEX(INC_MINVALUES,$V19,$K$1)</f>
        <v>34</v>
      </c>
      <c r="X19" s="212">
        <f t="array" ref="X19">INDEX(INC_INCVALUES,$V19,$K$1)</f>
        <v>0.3</v>
      </c>
    </row>
    <row r="20">
      <c r="A20" s="435" t="s">
        <v>248</v>
      </c>
      <c r="B20" s="436">
        <v>14.4</v>
      </c>
      <c r="C20" s="95" t="str">
        <f t="array" ref="C20">IF(I20&gt;0,INDEX(DB,I20,8),"")</f>
        <v>Abigail MacDonald</v>
      </c>
      <c r="D20" s="437">
        <f t="shared" si="1"/>
        <v>26</v>
      </c>
      <c r="F20" s="438">
        <f t="shared" si="2"/>
        <v>1</v>
      </c>
      <c r="G20" t="str">
        <f t="shared" si="3"/>
        <v/>
      </c>
      <c r="H20" t="b">
        <f t="shared" si="4"/>
        <v>1</v>
      </c>
      <c r="I20" s="439">
        <f>IF(OR(ISBLANK(A20),ISNA(MATCH(A20&amp;"",AthleteNumbers,0))),0,MATCH(A20&amp;"",AthleteNumbers,0))</f>
        <v>55</v>
      </c>
      <c r="J20" s="209" t="str">
        <f t="array" ref="J20">IF(I20&gt;0,INDEX(DB,$I20,6),0)</f>
        <v/>
      </c>
      <c r="K20" s="440">
        <f t="shared" si="5"/>
        <v>14.4</v>
      </c>
      <c r="L20" s="440">
        <f t="shared" si="6"/>
        <v>14.4</v>
      </c>
      <c r="M20" s="441">
        <f>IF(AND(L20&gt;O20,O20&gt;0),MinPoints,IF(L20&lt;N20,100,+INT((O20-$L20)/P20)+MinPoints))</f>
        <v>26</v>
      </c>
      <c r="N20" s="440">
        <f t="shared" si="7"/>
        <v>7</v>
      </c>
      <c r="O20" s="440">
        <f t="shared" si="8"/>
        <v>16</v>
      </c>
      <c r="P20" s="440">
        <f t="shared" si="9"/>
        <v>0.1</v>
      </c>
      <c r="Q20">
        <f t="array" ref="Q20">IF(I20&gt;0,INDEX(DB,I20,9),EventIndex)</f>
        <v>6</v>
      </c>
      <c r="S20" s="442">
        <f t="array" ref="S20">INDEX(MINVALUES,$Q20,$K$1)</f>
        <v>16</v>
      </c>
      <c r="T20">
        <f t="array" ref="T20">INDEX(INCVALUES,$Q20,$K$1)</f>
        <v>0.1</v>
      </c>
      <c r="V20">
        <f t="array" ref="V20">+J20+(4*(INDEX(MatchScoreTable,$Q20,20)-1))</f>
        <v>4</v>
      </c>
      <c r="W20">
        <f t="array" ref="W20">INDEX(INC_MINVALUES,$V20,$K$1)</f>
        <v>34</v>
      </c>
      <c r="X20" s="212">
        <f t="array" ref="X20">INDEX(INC_INCVALUES,$V20,$K$1)</f>
        <v>0.3</v>
      </c>
    </row>
    <row r="21" ht="15.75" customHeight="1">
      <c r="A21" s="435" t="s">
        <v>295</v>
      </c>
      <c r="B21" s="436">
        <v>11.1</v>
      </c>
      <c r="C21" s="95" t="str">
        <f t="array" ref="C21">IF(I21&gt;0,INDEX(DB,I21,8),"")</f>
        <v>Shenique Xavier</v>
      </c>
      <c r="D21" s="437">
        <f t="shared" si="1"/>
        <v>59</v>
      </c>
      <c r="F21" s="438">
        <f t="shared" si="2"/>
        <v>1</v>
      </c>
      <c r="G21" t="str">
        <f t="shared" si="3"/>
        <v/>
      </c>
      <c r="H21" t="b">
        <f t="shared" si="4"/>
        <v>1</v>
      </c>
      <c r="I21" s="439">
        <f>IF(OR(ISBLANK(A21),ISNA(MATCH(A21&amp;"",AthleteNumbers,0))),0,MATCH(A21&amp;"",AthleteNumbers,0))</f>
        <v>75</v>
      </c>
      <c r="J21" s="209" t="str">
        <f t="array" ref="J21">IF(I21&gt;0,INDEX(DB,$I21,6),0)</f>
        <v/>
      </c>
      <c r="K21" s="440">
        <f t="shared" si="5"/>
        <v>11.1</v>
      </c>
      <c r="L21" s="440">
        <f t="shared" si="6"/>
        <v>11.1</v>
      </c>
      <c r="M21" s="441">
        <f>IF(AND(L21&gt;O21,O21&gt;0),MinPoints,IF(L21&lt;N21,100,+INT((O21-$L21)/P21)+MinPoints))</f>
        <v>59</v>
      </c>
      <c r="N21" s="440">
        <f t="shared" si="7"/>
        <v>7</v>
      </c>
      <c r="O21" s="440">
        <f t="shared" si="8"/>
        <v>16</v>
      </c>
      <c r="P21" s="440">
        <f t="shared" si="9"/>
        <v>0.1</v>
      </c>
      <c r="Q21">
        <f t="array" ref="Q21">IF(I21&gt;0,INDEX(DB,I21,9),EventIndex)</f>
        <v>6</v>
      </c>
      <c r="S21" s="442">
        <f t="array" ref="S21">INDEX(MINVALUES,$Q21,$K$1)</f>
        <v>16</v>
      </c>
      <c r="T21">
        <f t="array" ref="T21">INDEX(INCVALUES,$Q21,$K$1)</f>
        <v>0.1</v>
      </c>
      <c r="V21">
        <f t="array" ref="V21">+J21+(4*(INDEX(MatchScoreTable,$Q21,20)-1))</f>
        <v>4</v>
      </c>
      <c r="W21">
        <f t="array" ref="W21">INDEX(INC_MINVALUES,$V21,$K$1)</f>
        <v>34</v>
      </c>
      <c r="X21" s="212">
        <f t="array" ref="X21">INDEX(INC_INCVALUES,$V21,$K$1)</f>
        <v>0.3</v>
      </c>
    </row>
    <row r="22" ht="15.75" customHeight="1">
      <c r="A22" s="435" t="s">
        <v>259</v>
      </c>
      <c r="B22" s="436">
        <v>13.3</v>
      </c>
      <c r="C22" s="95" t="str">
        <f t="array" ref="C22">IF(I22&gt;0,INDEX(DB,I22,8),"")</f>
        <v>Clodagh O'Brien</v>
      </c>
      <c r="D22" s="437">
        <f t="shared" si="1"/>
        <v>37</v>
      </c>
      <c r="F22" s="438">
        <f t="shared" si="2"/>
        <v>1</v>
      </c>
      <c r="G22" t="str">
        <f t="shared" si="3"/>
        <v/>
      </c>
      <c r="H22" t="b">
        <f t="shared" si="4"/>
        <v>1</v>
      </c>
      <c r="I22" s="439">
        <f>IF(OR(ISBLANK(A22),ISNA(MATCH(A22&amp;"",AthleteNumbers,0))),0,MATCH(A22&amp;"",AthleteNumbers,0))</f>
        <v>60</v>
      </c>
      <c r="J22" s="209" t="str">
        <f t="array" ref="J22">IF(I22&gt;0,INDEX(DB,$I22,6),0)</f>
        <v/>
      </c>
      <c r="K22" s="440">
        <f t="shared" si="5"/>
        <v>13.3</v>
      </c>
      <c r="L22" s="440">
        <f t="shared" si="6"/>
        <v>13.3</v>
      </c>
      <c r="M22" s="441">
        <f>IF(AND(L22&gt;O22,O22&gt;0),MinPoints,IF(L22&lt;N22,100,+INT((O22-$L22)/P22)+MinPoints))</f>
        <v>37</v>
      </c>
      <c r="N22" s="440">
        <f t="shared" si="7"/>
        <v>7</v>
      </c>
      <c r="O22" s="440">
        <f t="shared" si="8"/>
        <v>16</v>
      </c>
      <c r="P22" s="440">
        <f t="shared" si="9"/>
        <v>0.1</v>
      </c>
      <c r="Q22">
        <f t="array" ref="Q22">IF(I22&gt;0,INDEX(DB,I22,9),EventIndex)</f>
        <v>6</v>
      </c>
      <c r="S22" s="442">
        <f t="array" ref="S22">INDEX(MINVALUES,$Q22,$K$1)</f>
        <v>16</v>
      </c>
      <c r="T22">
        <f t="array" ref="T22">INDEX(INCVALUES,$Q22,$K$1)</f>
        <v>0.1</v>
      </c>
      <c r="V22">
        <f t="array" ref="V22">+J22+(4*(INDEX(MatchScoreTable,$Q22,20)-1))</f>
        <v>4</v>
      </c>
      <c r="W22">
        <f t="array" ref="W22">INDEX(INC_MINVALUES,$V22,$K$1)</f>
        <v>34</v>
      </c>
      <c r="X22" s="212">
        <f t="array" ref="X22">INDEX(INC_INCVALUES,$V22,$K$1)</f>
        <v>0.3</v>
      </c>
    </row>
    <row r="23" ht="15.75" customHeight="1">
      <c r="A23" s="435" t="s">
        <v>270</v>
      </c>
      <c r="B23" s="436">
        <v>13.63</v>
      </c>
      <c r="C23" s="95" t="str">
        <f t="array" ref="C23">IF(I23&gt;0,INDEX(DB,I23,8),"")</f>
        <v>Lucy Smith </v>
      </c>
      <c r="D23" s="437">
        <f t="shared" si="1"/>
        <v>34</v>
      </c>
      <c r="F23" s="438">
        <f t="shared" si="2"/>
        <v>1</v>
      </c>
      <c r="G23" t="str">
        <f t="shared" si="3"/>
        <v/>
      </c>
      <c r="H23" t="b">
        <f t="shared" si="4"/>
        <v>1</v>
      </c>
      <c r="I23" s="439">
        <f>IF(OR(ISBLANK(A23),ISNA(MATCH(A23&amp;"",AthleteNumbers,0))),0,MATCH(A23&amp;"",AthleteNumbers,0))</f>
        <v>65</v>
      </c>
      <c r="J23" s="209" t="str">
        <f t="array" ref="J23">IF(I23&gt;0,INDEX(DB,$I23,6),0)</f>
        <v/>
      </c>
      <c r="K23" s="440">
        <f t="shared" si="5"/>
        <v>13.6</v>
      </c>
      <c r="L23" s="440">
        <f t="shared" si="6"/>
        <v>13.6</v>
      </c>
      <c r="M23" s="441">
        <f>IF(AND(L23&gt;O23,O23&gt;0),MinPoints,IF(L23&lt;N23,100,+INT((O23-$L23)/P23)+MinPoints))</f>
        <v>34</v>
      </c>
      <c r="N23" s="440">
        <f t="shared" si="7"/>
        <v>7</v>
      </c>
      <c r="O23" s="440">
        <f t="shared" si="8"/>
        <v>16</v>
      </c>
      <c r="P23" s="440">
        <f t="shared" si="9"/>
        <v>0.1</v>
      </c>
      <c r="Q23">
        <f t="array" ref="Q23">IF(I23&gt;0,INDEX(DB,I23,9),EventIndex)</f>
        <v>6</v>
      </c>
      <c r="S23" s="442">
        <f t="array" ref="S23">INDEX(MINVALUES,$Q23,$K$1)</f>
        <v>16</v>
      </c>
      <c r="T23">
        <f t="array" ref="T23">INDEX(INCVALUES,$Q23,$K$1)</f>
        <v>0.1</v>
      </c>
      <c r="V23">
        <f t="array" ref="V23">+J23+(4*(INDEX(MatchScoreTable,$Q23,20)-1))</f>
        <v>4</v>
      </c>
      <c r="W23">
        <f t="array" ref="W23">INDEX(INC_MINVALUES,$V23,$K$1)</f>
        <v>34</v>
      </c>
      <c r="X23" s="212">
        <f t="array" ref="X23">INDEX(INC_INCVALUES,$V23,$K$1)</f>
        <v>0.3</v>
      </c>
    </row>
    <row r="24" ht="15.75" customHeight="1">
      <c r="A24" s="435" t="s">
        <v>211</v>
      </c>
      <c r="B24" s="436">
        <v>14.6</v>
      </c>
      <c r="C24" s="95" t="str">
        <f t="array" ref="C24">IF(I24&gt;0,INDEX(DB,I24,8),"")</f>
        <v>Lily Coltman</v>
      </c>
      <c r="D24" s="437">
        <f t="shared" si="1"/>
        <v>24</v>
      </c>
      <c r="F24" s="438">
        <f t="shared" si="2"/>
        <v>1</v>
      </c>
      <c r="G24" t="str">
        <f t="shared" si="3"/>
        <v/>
      </c>
      <c r="H24" t="b">
        <f t="shared" si="4"/>
        <v>1</v>
      </c>
      <c r="I24" s="439">
        <f>IF(OR(ISBLANK(A24),ISNA(MATCH(A24&amp;"",AthleteNumbers,0))),0,MATCH(A24&amp;"",AthleteNumbers,0))</f>
        <v>38</v>
      </c>
      <c r="J24" s="209" t="str">
        <f t="array" ref="J24">IF(I24&gt;0,INDEX(DB,$I24,6),0)</f>
        <v/>
      </c>
      <c r="K24" s="440">
        <f t="shared" si="5"/>
        <v>14.6</v>
      </c>
      <c r="L24" s="440">
        <f t="shared" si="6"/>
        <v>14.6</v>
      </c>
      <c r="M24" s="441">
        <f>IF(AND(L24&gt;O24,O24&gt;0),MinPoints,IF(L24&lt;N24,100,+INT((O24-$L24)/P24)+MinPoints))</f>
        <v>24</v>
      </c>
      <c r="N24" s="440">
        <f t="shared" si="7"/>
        <v>7</v>
      </c>
      <c r="O24" s="440">
        <f t="shared" si="8"/>
        <v>16</v>
      </c>
      <c r="P24" s="440">
        <f t="shared" si="9"/>
        <v>0.1</v>
      </c>
      <c r="Q24">
        <f t="array" ref="Q24">IF(I24&gt;0,INDEX(DB,I24,9),EventIndex)</f>
        <v>6</v>
      </c>
      <c r="S24" s="442">
        <f t="array" ref="S24">INDEX(MINVALUES,$Q24,$K$1)</f>
        <v>16</v>
      </c>
      <c r="T24">
        <f t="array" ref="T24">INDEX(INCVALUES,$Q24,$K$1)</f>
        <v>0.1</v>
      </c>
      <c r="V24">
        <f t="array" ref="V24">+J24+(4*(INDEX(MatchScoreTable,$Q24,20)-1))</f>
        <v>4</v>
      </c>
      <c r="W24">
        <f t="array" ref="W24">INDEX(INC_MINVALUES,$V24,$K$1)</f>
        <v>34</v>
      </c>
      <c r="X24" s="212">
        <f t="array" ref="X24">INDEX(INC_INCVALUES,$V24,$K$1)</f>
        <v>0.3</v>
      </c>
    </row>
    <row r="25" ht="15.75" customHeight="1">
      <c r="A25" s="435" t="s">
        <v>283</v>
      </c>
      <c r="B25" s="436">
        <v>14.9</v>
      </c>
      <c r="C25" s="95" t="str">
        <f t="array" ref="C25">IF(I25&gt;0,INDEX(DB,I25,8),"")</f>
        <v>Darcey Thorne Henderson</v>
      </c>
      <c r="D25" s="437">
        <f t="shared" si="1"/>
        <v>21</v>
      </c>
      <c r="F25" s="438">
        <f t="shared" si="2"/>
        <v>1</v>
      </c>
      <c r="G25" t="str">
        <f t="shared" si="3"/>
        <v/>
      </c>
      <c r="H25" t="b">
        <f t="shared" si="4"/>
        <v>1</v>
      </c>
      <c r="I25" s="439">
        <f>IF(OR(ISBLANK(A25),ISNA(MATCH(A25&amp;"",AthleteNumbers,0))),0,MATCH(A25&amp;"",AthleteNumbers,0))</f>
        <v>70</v>
      </c>
      <c r="J25" s="209" t="str">
        <f t="array" ref="J25">IF(I25&gt;0,INDEX(DB,$I25,6),0)</f>
        <v/>
      </c>
      <c r="K25" s="440">
        <f t="shared" si="5"/>
        <v>14.9</v>
      </c>
      <c r="L25" s="440">
        <f t="shared" si="6"/>
        <v>14.9</v>
      </c>
      <c r="M25" s="441">
        <f>IF(AND(L25&gt;O25,O25&gt;0),MinPoints,IF(L25&lt;N25,100,+INT((O25-$L25)/P25)+MinPoints))</f>
        <v>21</v>
      </c>
      <c r="N25" s="440">
        <f t="shared" si="7"/>
        <v>7</v>
      </c>
      <c r="O25" s="440">
        <f t="shared" si="8"/>
        <v>16</v>
      </c>
      <c r="P25" s="440">
        <f t="shared" si="9"/>
        <v>0.1</v>
      </c>
      <c r="Q25">
        <f t="array" ref="Q25">IF(I25&gt;0,INDEX(DB,I25,9),EventIndex)</f>
        <v>6</v>
      </c>
      <c r="S25" s="442">
        <f t="array" ref="S25">INDEX(MINVALUES,$Q25,$K$1)</f>
        <v>16</v>
      </c>
      <c r="T25">
        <f t="array" ref="T25">INDEX(INCVALUES,$Q25,$K$1)</f>
        <v>0.1</v>
      </c>
      <c r="V25">
        <f t="array" ref="V25">+J25+(4*(INDEX(MatchScoreTable,$Q25,20)-1))</f>
        <v>4</v>
      </c>
      <c r="W25">
        <f t="array" ref="W25">INDEX(INC_MINVALUES,$V25,$K$1)</f>
        <v>34</v>
      </c>
      <c r="X25" s="212">
        <f t="array" ref="X25">INDEX(INC_INCVALUES,$V25,$K$1)</f>
        <v>0.3</v>
      </c>
    </row>
    <row r="26" ht="15.75" customHeight="1">
      <c r="A26" s="435" t="s">
        <v>220</v>
      </c>
      <c r="B26" s="436">
        <v>15.8</v>
      </c>
      <c r="C26" s="95" t="str">
        <f t="array" ref="C26">IF(I26&gt;0,INDEX(DB,I26,8),"")</f>
        <v>Amelia Drew</v>
      </c>
      <c r="D26" s="437">
        <f t="shared" si="1"/>
        <v>11</v>
      </c>
      <c r="F26" s="438">
        <f t="shared" si="2"/>
        <v>1</v>
      </c>
      <c r="G26" t="str">
        <f t="shared" si="3"/>
        <v/>
      </c>
      <c r="H26" t="b">
        <f t="shared" si="4"/>
        <v>1</v>
      </c>
      <c r="I26" s="439">
        <f>IF(OR(ISBLANK(A26),ISNA(MATCH(A26&amp;"",AthleteNumbers,0))),0,MATCH(A26&amp;"",AthleteNumbers,0))</f>
        <v>42</v>
      </c>
      <c r="J26" s="209" t="str">
        <f t="array" ref="J26">IF(I26&gt;0,INDEX(DB,$I26,6),0)</f>
        <v/>
      </c>
      <c r="K26" s="440">
        <f t="shared" si="5"/>
        <v>15.8</v>
      </c>
      <c r="L26" s="440">
        <f t="shared" si="6"/>
        <v>15.8</v>
      </c>
      <c r="M26" s="441">
        <f>IF(AND(L26&gt;O26,O26&gt;0),MinPoints,IF(L26&lt;N26,100,+INT((O26-$L26)/P26)+MinPoints))</f>
        <v>11</v>
      </c>
      <c r="N26" s="440">
        <f t="shared" si="7"/>
        <v>7</v>
      </c>
      <c r="O26" s="440">
        <f t="shared" si="8"/>
        <v>16</v>
      </c>
      <c r="P26" s="440">
        <f t="shared" si="9"/>
        <v>0.1</v>
      </c>
      <c r="Q26">
        <f t="array" ref="Q26">IF(I26&gt;0,INDEX(DB,I26,9),EventIndex)</f>
        <v>6</v>
      </c>
      <c r="S26" s="442">
        <f t="array" ref="S26">INDEX(MINVALUES,$Q26,$K$1)</f>
        <v>16</v>
      </c>
      <c r="T26">
        <f t="array" ref="T26">INDEX(INCVALUES,$Q26,$K$1)</f>
        <v>0.1</v>
      </c>
      <c r="V26">
        <f t="array" ref="V26">+J26+(4*(INDEX(MatchScoreTable,$Q26,20)-1))</f>
        <v>4</v>
      </c>
      <c r="W26">
        <f t="array" ref="W26">INDEX(INC_MINVALUES,$V26,$K$1)</f>
        <v>34</v>
      </c>
      <c r="X26" s="212">
        <f t="array" ref="X26">INDEX(INC_INCVALUES,$V26,$K$1)</f>
        <v>0.3</v>
      </c>
    </row>
    <row r="27" ht="15.75" customHeight="1">
      <c r="A27" s="435" t="s">
        <v>290</v>
      </c>
      <c r="B27" s="436">
        <v>13.1</v>
      </c>
      <c r="C27" s="95" t="str">
        <f t="array" ref="C27">IF(I27&gt;0,INDEX(DB,I27,8),"")</f>
        <v>Lavender West</v>
      </c>
      <c r="D27" s="437">
        <f t="shared" si="1"/>
        <v>39</v>
      </c>
      <c r="F27" s="438">
        <f t="shared" si="2"/>
        <v>1</v>
      </c>
      <c r="G27" t="str">
        <f t="shared" si="3"/>
        <v/>
      </c>
      <c r="H27" t="b">
        <f t="shared" si="4"/>
        <v>1</v>
      </c>
      <c r="I27" s="439">
        <f>IF(OR(ISBLANK(A27),ISNA(MATCH(A27&amp;"",AthleteNumbers,0))),0,MATCH(A27&amp;"",AthleteNumbers,0))</f>
        <v>73</v>
      </c>
      <c r="J27" s="209" t="str">
        <f t="array" ref="J27">IF(I27&gt;0,INDEX(DB,$I27,6),0)</f>
        <v/>
      </c>
      <c r="K27" s="440">
        <f t="shared" si="5"/>
        <v>13.1</v>
      </c>
      <c r="L27" s="440">
        <f t="shared" si="6"/>
        <v>13.1</v>
      </c>
      <c r="M27" s="441">
        <f>IF(AND(L27&gt;O27,O27&gt;0),MinPoints,IF(L27&lt;N27,100,+INT((O27-$L27)/P27)+MinPoints))</f>
        <v>39</v>
      </c>
      <c r="N27" s="440">
        <f t="shared" si="7"/>
        <v>7</v>
      </c>
      <c r="O27" s="440">
        <f t="shared" si="8"/>
        <v>16</v>
      </c>
      <c r="P27" s="440">
        <f t="shared" si="9"/>
        <v>0.1</v>
      </c>
      <c r="Q27">
        <f t="array" ref="Q27">IF(I27&gt;0,INDEX(DB,I27,9),EventIndex)</f>
        <v>6</v>
      </c>
      <c r="S27" s="442">
        <f t="array" ref="S27">INDEX(MINVALUES,$Q27,$K$1)</f>
        <v>16</v>
      </c>
      <c r="T27">
        <f t="array" ref="T27">INDEX(INCVALUES,$Q27,$K$1)</f>
        <v>0.1</v>
      </c>
      <c r="V27">
        <f t="array" ref="V27">+J27+(4*(INDEX(MatchScoreTable,$Q27,20)-1))</f>
        <v>4</v>
      </c>
      <c r="W27">
        <f t="array" ref="W27">INDEX(INC_MINVALUES,$V27,$K$1)</f>
        <v>34</v>
      </c>
      <c r="X27" s="212">
        <f t="array" ref="X27">INDEX(INC_INCVALUES,$V27,$K$1)</f>
        <v>0.3</v>
      </c>
    </row>
    <row r="28" ht="15.75" customHeight="1">
      <c r="A28" s="435" t="s">
        <v>301</v>
      </c>
      <c r="B28" s="436">
        <v>13.2</v>
      </c>
      <c r="C28" s="95" t="str">
        <f t="array" ref="C28">IF(I28&gt;0,INDEX(DB,I28,8),"")</f>
        <v>Lilia Flux</v>
      </c>
      <c r="D28" s="437">
        <f t="shared" si="1"/>
        <v>38</v>
      </c>
      <c r="F28" s="438">
        <f t="shared" si="2"/>
        <v>1</v>
      </c>
      <c r="G28" t="str">
        <f t="shared" si="3"/>
        <v/>
      </c>
      <c r="H28" t="b">
        <f t="shared" si="4"/>
        <v>1</v>
      </c>
      <c r="I28" s="439">
        <f>IF(OR(ISBLANK(A28),ISNA(MATCH(A28&amp;"",AthleteNumbers,0))),0,MATCH(A28&amp;"",AthleteNumbers,0))</f>
        <v>77</v>
      </c>
      <c r="J28" s="209" t="str">
        <f t="array" ref="J28">IF(I28&gt;0,INDEX(DB,$I28,6),0)</f>
        <v/>
      </c>
      <c r="K28" s="440">
        <f t="shared" si="5"/>
        <v>13.2</v>
      </c>
      <c r="L28" s="440">
        <f t="shared" si="6"/>
        <v>13.2</v>
      </c>
      <c r="M28" s="441">
        <f>IF(AND(L28&gt;O28,O28&gt;0),MinPoints,IF(L28&lt;N28,100,+INT((O28-$L28)/P28)+MinPoints))</f>
        <v>38</v>
      </c>
      <c r="N28" s="440">
        <f t="shared" si="7"/>
        <v>7</v>
      </c>
      <c r="O28" s="440">
        <f t="shared" si="8"/>
        <v>16</v>
      </c>
      <c r="P28" s="440">
        <f t="shared" si="9"/>
        <v>0.1</v>
      </c>
      <c r="Q28">
        <f t="array" ref="Q28">IF(I28&gt;0,INDEX(DB,I28,9),EventIndex)</f>
        <v>6</v>
      </c>
      <c r="S28" s="442">
        <f t="array" ref="S28">INDEX(MINVALUES,$Q28,$K$1)</f>
        <v>16</v>
      </c>
      <c r="T28">
        <f t="array" ref="T28">INDEX(INCVALUES,$Q28,$K$1)</f>
        <v>0.1</v>
      </c>
      <c r="V28">
        <f t="array" ref="V28">+J28+(4*(INDEX(MatchScoreTable,$Q28,20)-1))</f>
        <v>4</v>
      </c>
      <c r="W28">
        <f t="array" ref="W28">INDEX(INC_MINVALUES,$V28,$K$1)</f>
        <v>34</v>
      </c>
      <c r="X28" s="212">
        <f t="array" ref="X28">INDEX(INC_INCVALUES,$V28,$K$1)</f>
        <v>0.3</v>
      </c>
    </row>
    <row r="29" ht="15.75" customHeight="1">
      <c r="A29" s="435" t="s">
        <v>281</v>
      </c>
      <c r="B29" s="436">
        <v>13.4</v>
      </c>
      <c r="C29" s="95" t="str">
        <f t="array" ref="C29">IF(I29&gt;0,INDEX(DB,I29,8),"")</f>
        <v>Chrissie Thomson</v>
      </c>
      <c r="D29" s="437">
        <f t="shared" si="1"/>
        <v>36</v>
      </c>
      <c r="F29" s="438">
        <f t="shared" si="2"/>
        <v>1</v>
      </c>
      <c r="G29" t="str">
        <f t="shared" si="3"/>
        <v/>
      </c>
      <c r="H29" t="b">
        <f t="shared" si="4"/>
        <v>1</v>
      </c>
      <c r="I29" s="439">
        <f>IF(OR(ISBLANK(A29),ISNA(MATCH(A29&amp;"",AthleteNumbers,0))),0,MATCH(A29&amp;"",AthleteNumbers,0))</f>
        <v>69</v>
      </c>
      <c r="J29" s="209" t="str">
        <f t="array" ref="J29">IF(I29&gt;0,INDEX(DB,$I29,6),0)</f>
        <v/>
      </c>
      <c r="K29" s="440">
        <f t="shared" si="5"/>
        <v>13.4</v>
      </c>
      <c r="L29" s="440">
        <f t="shared" si="6"/>
        <v>13.4</v>
      </c>
      <c r="M29" s="441">
        <f>IF(AND(L29&gt;O29,O29&gt;0),MinPoints,IF(L29&lt;N29,100,+INT((O29-$L29)/P29)+MinPoints))</f>
        <v>36</v>
      </c>
      <c r="N29" s="440">
        <f t="shared" si="7"/>
        <v>7</v>
      </c>
      <c r="O29" s="440">
        <f t="shared" si="8"/>
        <v>16</v>
      </c>
      <c r="P29" s="440">
        <f t="shared" si="9"/>
        <v>0.1</v>
      </c>
      <c r="Q29">
        <f t="array" ref="Q29">IF(I29&gt;0,INDEX(DB,I29,9),EventIndex)</f>
        <v>6</v>
      </c>
      <c r="S29" s="442">
        <f t="array" ref="S29">INDEX(MINVALUES,$Q29,$K$1)</f>
        <v>16</v>
      </c>
      <c r="T29">
        <f t="array" ref="T29">INDEX(INCVALUES,$Q29,$K$1)</f>
        <v>0.1</v>
      </c>
      <c r="V29">
        <f t="array" ref="V29">+J29+(4*(INDEX(MatchScoreTable,$Q29,20)-1))</f>
        <v>4</v>
      </c>
      <c r="W29">
        <f t="array" ref="W29">INDEX(INC_MINVALUES,$V29,$K$1)</f>
        <v>34</v>
      </c>
      <c r="X29" s="212">
        <f t="array" ref="X29">INDEX(INC_INCVALUES,$V29,$K$1)</f>
        <v>0.3</v>
      </c>
    </row>
    <row r="30" ht="15.75" customHeight="1">
      <c r="A30" s="435" t="s">
        <v>226</v>
      </c>
      <c r="B30" s="436">
        <v>13.4</v>
      </c>
      <c r="C30" s="95" t="str">
        <f t="array" ref="C30">IF(I30&gt;0,INDEX(DB,I30,8),"")</f>
        <v>Izzy Garavini</v>
      </c>
      <c r="D30" s="437">
        <f t="shared" si="1"/>
        <v>36</v>
      </c>
      <c r="F30" s="438">
        <f t="shared" si="2"/>
        <v>1</v>
      </c>
      <c r="G30" t="str">
        <f t="shared" si="3"/>
        <v/>
      </c>
      <c r="H30" t="b">
        <f t="shared" si="4"/>
        <v>1</v>
      </c>
      <c r="I30" s="439">
        <f>IF(OR(ISBLANK(A30),ISNA(MATCH(A30&amp;"",AthleteNumbers,0))),0,MATCH(A30&amp;"",AthleteNumbers,0))</f>
        <v>45</v>
      </c>
      <c r="J30" s="209" t="str">
        <f t="array" ref="J30">IF(I30&gt;0,INDEX(DB,$I30,6),0)</f>
        <v/>
      </c>
      <c r="K30" s="440">
        <f t="shared" si="5"/>
        <v>13.4</v>
      </c>
      <c r="L30" s="440">
        <f t="shared" si="6"/>
        <v>13.4</v>
      </c>
      <c r="M30" s="441">
        <f>IF(AND(L30&gt;O30,O30&gt;0),MinPoints,IF(L30&lt;N30,100,+INT((O30-$L30)/P30)+MinPoints))</f>
        <v>36</v>
      </c>
      <c r="N30" s="440">
        <f t="shared" si="7"/>
        <v>7</v>
      </c>
      <c r="O30" s="440">
        <f t="shared" si="8"/>
        <v>16</v>
      </c>
      <c r="P30" s="440">
        <f t="shared" si="9"/>
        <v>0.1</v>
      </c>
      <c r="Q30">
        <f t="array" ref="Q30">IF(I30&gt;0,INDEX(DB,I30,9),EventIndex)</f>
        <v>6</v>
      </c>
      <c r="S30" s="442">
        <f t="array" ref="S30">INDEX(MINVALUES,$Q30,$K$1)</f>
        <v>16</v>
      </c>
      <c r="T30">
        <f t="array" ref="T30">INDEX(INCVALUES,$Q30,$K$1)</f>
        <v>0.1</v>
      </c>
      <c r="V30">
        <f t="array" ref="V30">+J30+(4*(INDEX(MatchScoreTable,$Q30,20)-1))</f>
        <v>4</v>
      </c>
      <c r="W30">
        <f t="array" ref="W30">INDEX(INC_MINVALUES,$V30,$K$1)</f>
        <v>34</v>
      </c>
      <c r="X30" s="212">
        <f t="array" ref="X30">INDEX(INC_INCVALUES,$V30,$K$1)</f>
        <v>0.3</v>
      </c>
    </row>
    <row r="31" ht="15.75" customHeight="1">
      <c r="A31" s="435" t="s">
        <v>236</v>
      </c>
      <c r="B31" s="436">
        <v>13.6</v>
      </c>
      <c r="C31" s="95" t="str">
        <f t="array" ref="C31">IF(I31&gt;0,INDEX(DB,I31,8),"")</f>
        <v>Esmee Hurst Atkins</v>
      </c>
      <c r="D31" s="437">
        <f t="shared" si="1"/>
        <v>34</v>
      </c>
      <c r="F31" s="438">
        <f t="shared" si="2"/>
        <v>1</v>
      </c>
      <c r="G31" t="str">
        <f t="shared" si="3"/>
        <v/>
      </c>
      <c r="H31" t="b">
        <f t="shared" si="4"/>
        <v>1</v>
      </c>
      <c r="I31" s="439">
        <f>IF(OR(ISBLANK(A31),ISNA(MATCH(A31&amp;"",AthleteNumbers,0))),0,MATCH(A31&amp;"",AthleteNumbers,0))</f>
        <v>50</v>
      </c>
      <c r="J31" s="209" t="str">
        <f t="array" ref="J31">IF(I31&gt;0,INDEX(DB,$I31,6),0)</f>
        <v/>
      </c>
      <c r="K31" s="440">
        <f t="shared" si="5"/>
        <v>13.6</v>
      </c>
      <c r="L31" s="440">
        <f t="shared" si="6"/>
        <v>13.6</v>
      </c>
      <c r="M31" s="441">
        <f>IF(AND(L31&gt;O31,O31&gt;0),MinPoints,IF(L31&lt;N31,100,+INT((O31-$L31)/P31)+MinPoints))</f>
        <v>34</v>
      </c>
      <c r="N31" s="440">
        <f t="shared" si="7"/>
        <v>7</v>
      </c>
      <c r="O31" s="440">
        <f t="shared" si="8"/>
        <v>16</v>
      </c>
      <c r="P31" s="440">
        <f t="shared" si="9"/>
        <v>0.1</v>
      </c>
      <c r="Q31">
        <f t="array" ref="Q31">IF(I31&gt;0,INDEX(DB,I31,9),EventIndex)</f>
        <v>6</v>
      </c>
      <c r="S31" s="442">
        <f t="array" ref="S31">INDEX(MINVALUES,$Q31,$K$1)</f>
        <v>16</v>
      </c>
      <c r="T31">
        <f t="array" ref="T31">INDEX(INCVALUES,$Q31,$K$1)</f>
        <v>0.1</v>
      </c>
      <c r="V31">
        <f t="array" ref="V31">+J31+(4*(INDEX(MatchScoreTable,$Q31,20)-1))</f>
        <v>4</v>
      </c>
      <c r="W31">
        <f t="array" ref="W31">INDEX(INC_MINVALUES,$V31,$K$1)</f>
        <v>34</v>
      </c>
      <c r="X31" s="212">
        <f t="array" ref="X31">INDEX(INC_INCVALUES,$V31,$K$1)</f>
        <v>0.3</v>
      </c>
    </row>
    <row r="32" ht="15.75" customHeight="1">
      <c r="A32" s="435" t="s">
        <v>241</v>
      </c>
      <c r="B32" s="436">
        <v>13.7</v>
      </c>
      <c r="C32" s="95" t="str">
        <f t="array" ref="C32">IF(I32&gt;0,INDEX(DB,I32,8),"")</f>
        <v>Mia Ironside</v>
      </c>
      <c r="D32" s="437">
        <f t="shared" si="1"/>
        <v>33</v>
      </c>
      <c r="F32" s="438">
        <f t="shared" si="2"/>
        <v>1</v>
      </c>
      <c r="G32" t="str">
        <f t="shared" si="3"/>
        <v/>
      </c>
      <c r="H32" t="b">
        <f t="shared" si="4"/>
        <v>1</v>
      </c>
      <c r="I32" s="439">
        <f>IF(OR(ISBLANK(A32),ISNA(MATCH(A32&amp;"",AthleteNumbers,0))),0,MATCH(A32&amp;"",AthleteNumbers,0))</f>
        <v>52</v>
      </c>
      <c r="J32" s="209" t="str">
        <f t="array" ref="J32">IF(I32&gt;0,INDEX(DB,$I32,6),0)</f>
        <v/>
      </c>
      <c r="K32" s="440">
        <f t="shared" si="5"/>
        <v>13.7</v>
      </c>
      <c r="L32" s="440">
        <f t="shared" si="6"/>
        <v>13.7</v>
      </c>
      <c r="M32" s="441">
        <f>IF(AND(L32&gt;O32,O32&gt;0),MinPoints,IF(L32&lt;N32,100,+INT((O32-$L32)/P32)+MinPoints))</f>
        <v>33</v>
      </c>
      <c r="N32" s="440">
        <f t="shared" si="7"/>
        <v>7</v>
      </c>
      <c r="O32" s="440">
        <f t="shared" si="8"/>
        <v>16</v>
      </c>
      <c r="P32" s="440">
        <f t="shared" si="9"/>
        <v>0.1</v>
      </c>
      <c r="Q32">
        <f t="array" ref="Q32">IF(I32&gt;0,INDEX(DB,I32,9),EventIndex)</f>
        <v>6</v>
      </c>
      <c r="S32" s="442">
        <f t="array" ref="S32">INDEX(MINVALUES,$Q32,$K$1)</f>
        <v>16</v>
      </c>
      <c r="T32">
        <f t="array" ref="T32">INDEX(INCVALUES,$Q32,$K$1)</f>
        <v>0.1</v>
      </c>
      <c r="V32">
        <f t="array" ref="V32">+J32+(4*(INDEX(MatchScoreTable,$Q32,20)-1))</f>
        <v>4</v>
      </c>
      <c r="W32">
        <f t="array" ref="W32">INDEX(INC_MINVALUES,$V32,$K$1)</f>
        <v>34</v>
      </c>
      <c r="X32" s="212">
        <f t="array" ref="X32">INDEX(INC_INCVALUES,$V32,$K$1)</f>
        <v>0.3</v>
      </c>
    </row>
    <row r="33" ht="15.75" customHeight="1">
      <c r="A33" s="435" t="s">
        <v>224</v>
      </c>
      <c r="B33" s="436">
        <v>14.2</v>
      </c>
      <c r="C33" s="95" t="str">
        <f t="array" ref="C33">IF(I33&gt;0,INDEX(DB,I33,8),"")</f>
        <v>Evie Fuller</v>
      </c>
      <c r="D33" s="437">
        <f t="shared" si="1"/>
        <v>28</v>
      </c>
      <c r="F33" s="438">
        <f t="shared" si="2"/>
        <v>1</v>
      </c>
      <c r="G33" t="str">
        <f t="shared" si="3"/>
        <v/>
      </c>
      <c r="H33" t="b">
        <f t="shared" si="4"/>
        <v>1</v>
      </c>
      <c r="I33" s="439">
        <f>IF(OR(ISBLANK(A33),ISNA(MATCH(A33&amp;"",AthleteNumbers,0))),0,MATCH(A33&amp;"",AthleteNumbers,0))</f>
        <v>44</v>
      </c>
      <c r="J33" s="209" t="str">
        <f t="array" ref="J33">IF(I33&gt;0,INDEX(DB,$I33,6),0)</f>
        <v/>
      </c>
      <c r="K33" s="440">
        <f t="shared" si="5"/>
        <v>14.2</v>
      </c>
      <c r="L33" s="440">
        <f t="shared" si="6"/>
        <v>14.2</v>
      </c>
      <c r="M33" s="441">
        <f>IF(AND(L33&gt;O33,O33&gt;0),MinPoints,IF(L33&lt;N33,100,+INT((O33-$L33)/P33)+MinPoints))</f>
        <v>28</v>
      </c>
      <c r="N33" s="440">
        <f t="shared" si="7"/>
        <v>7</v>
      </c>
      <c r="O33" s="440">
        <f t="shared" si="8"/>
        <v>16</v>
      </c>
      <c r="P33" s="440">
        <f t="shared" si="9"/>
        <v>0.1</v>
      </c>
      <c r="Q33">
        <f t="array" ref="Q33">IF(I33&gt;0,INDEX(DB,I33,9),EventIndex)</f>
        <v>6</v>
      </c>
      <c r="S33" s="442">
        <f t="array" ref="S33">INDEX(MINVALUES,$Q33,$K$1)</f>
        <v>16</v>
      </c>
      <c r="T33">
        <f t="array" ref="T33">INDEX(INCVALUES,$Q33,$K$1)</f>
        <v>0.1</v>
      </c>
      <c r="V33">
        <f t="array" ref="V33">+J33+(4*(INDEX(MatchScoreTable,$Q33,20)-1))</f>
        <v>4</v>
      </c>
      <c r="W33">
        <f t="array" ref="W33">INDEX(INC_MINVALUES,$V33,$K$1)</f>
        <v>34</v>
      </c>
      <c r="X33" s="212">
        <f t="array" ref="X33">INDEX(INC_INCVALUES,$V33,$K$1)</f>
        <v>0.3</v>
      </c>
    </row>
    <row r="34" ht="15.75" customHeight="1">
      <c r="A34" s="435" t="s">
        <v>246</v>
      </c>
      <c r="B34" s="436">
        <v>12.9</v>
      </c>
      <c r="C34" s="95" t="str">
        <f t="array" ref="C34">IF(I34&gt;0,INDEX(DB,I34,8),"")</f>
        <v>Katie Kilburn</v>
      </c>
      <c r="D34" s="437">
        <f t="shared" si="1"/>
        <v>41</v>
      </c>
      <c r="F34" s="438">
        <f t="shared" si="2"/>
        <v>1</v>
      </c>
      <c r="G34" t="str">
        <f t="shared" si="3"/>
        <v/>
      </c>
      <c r="H34" t="b">
        <f t="shared" si="4"/>
        <v>1</v>
      </c>
      <c r="I34" s="439">
        <f>IF(OR(ISBLANK(A34),ISNA(MATCH(A34&amp;"",AthleteNumbers,0))),0,MATCH(A34&amp;"",AthleteNumbers,0))</f>
        <v>54</v>
      </c>
      <c r="J34" s="209" t="str">
        <f t="array" ref="J34">IF(I34&gt;0,INDEX(DB,$I34,6),0)</f>
        <v/>
      </c>
      <c r="K34" s="440">
        <f t="shared" si="5"/>
        <v>12.9</v>
      </c>
      <c r="L34" s="440">
        <f t="shared" si="6"/>
        <v>12.9</v>
      </c>
      <c r="M34" s="441">
        <f>IF(AND(L34&gt;O34,O34&gt;0),MinPoints,IF(L34&lt;N34,100,+INT((O34-$L34)/P34)+MinPoints))</f>
        <v>41</v>
      </c>
      <c r="N34" s="440">
        <f t="shared" si="7"/>
        <v>7</v>
      </c>
      <c r="O34" s="440">
        <f t="shared" si="8"/>
        <v>16</v>
      </c>
      <c r="P34" s="440">
        <f t="shared" si="9"/>
        <v>0.1</v>
      </c>
      <c r="Q34">
        <f t="array" ref="Q34">IF(I34&gt;0,INDEX(DB,I34,9),EventIndex)</f>
        <v>6</v>
      </c>
      <c r="S34" s="442">
        <f t="array" ref="S34">INDEX(MINVALUES,$Q34,$K$1)</f>
        <v>16</v>
      </c>
      <c r="T34">
        <f t="array" ref="T34">INDEX(INCVALUES,$Q34,$K$1)</f>
        <v>0.1</v>
      </c>
      <c r="V34">
        <f t="array" ref="V34">+J34+(4*(INDEX(MatchScoreTable,$Q34,20)-1))</f>
        <v>4</v>
      </c>
      <c r="W34">
        <f t="array" ref="W34">INDEX(INC_MINVALUES,$V34,$K$1)</f>
        <v>34</v>
      </c>
      <c r="X34" s="212">
        <f t="array" ref="X34">INDEX(INC_INCVALUES,$V34,$K$1)</f>
        <v>0.3</v>
      </c>
    </row>
    <row r="35" ht="15.75" customHeight="1">
      <c r="A35" s="435" t="s">
        <v>216</v>
      </c>
      <c r="B35" s="436">
        <v>13.1</v>
      </c>
      <c r="C35" s="95" t="str">
        <f t="array" ref="C35">IF(I35&gt;0,INDEX(DB,I35,8),"")</f>
        <v>Isis Dalton</v>
      </c>
      <c r="D35" s="437">
        <f t="shared" si="1"/>
        <v>39</v>
      </c>
      <c r="F35" s="438">
        <f t="shared" si="2"/>
        <v>1</v>
      </c>
      <c r="G35" t="str">
        <f t="shared" si="3"/>
        <v/>
      </c>
      <c r="H35" t="b">
        <f t="shared" si="4"/>
        <v>1</v>
      </c>
      <c r="I35" s="439">
        <f>IF(OR(ISBLANK(A35),ISNA(MATCH(A35&amp;"",AthleteNumbers,0))),0,MATCH(A35&amp;"",AthleteNumbers,0))</f>
        <v>40</v>
      </c>
      <c r="J35" s="209" t="str">
        <f t="array" ref="J35">IF(I35&gt;0,INDEX(DB,$I35,6),0)</f>
        <v/>
      </c>
      <c r="K35" s="440">
        <f t="shared" si="5"/>
        <v>13.1</v>
      </c>
      <c r="L35" s="440">
        <f t="shared" si="6"/>
        <v>13.1</v>
      </c>
      <c r="M35" s="441">
        <f>IF(AND(L35&gt;O35,O35&gt;0),MinPoints,IF(L35&lt;N35,100,+INT((O35-$L35)/P35)+MinPoints))</f>
        <v>39</v>
      </c>
      <c r="N35" s="440">
        <f t="shared" si="7"/>
        <v>7</v>
      </c>
      <c r="O35" s="440">
        <f t="shared" si="8"/>
        <v>16</v>
      </c>
      <c r="P35" s="440">
        <f t="shared" si="9"/>
        <v>0.1</v>
      </c>
      <c r="Q35">
        <f t="array" ref="Q35">IF(I35&gt;0,INDEX(DB,I35,9),EventIndex)</f>
        <v>6</v>
      </c>
      <c r="S35" s="442">
        <f t="array" ref="S35">INDEX(MINVALUES,$Q35,$K$1)</f>
        <v>16</v>
      </c>
      <c r="T35">
        <f t="array" ref="T35">INDEX(INCVALUES,$Q35,$K$1)</f>
        <v>0.1</v>
      </c>
      <c r="V35">
        <f t="array" ref="V35">+J35+(4*(INDEX(MatchScoreTable,$Q35,20)-1))</f>
        <v>4</v>
      </c>
      <c r="W35">
        <f t="array" ref="W35">INDEX(INC_MINVALUES,$V35,$K$1)</f>
        <v>34</v>
      </c>
      <c r="X35" s="212">
        <f t="array" ref="X35">INDEX(INC_INCVALUES,$V35,$K$1)</f>
        <v>0.3</v>
      </c>
    </row>
    <row r="36" ht="15.75" customHeight="1">
      <c r="A36" s="435" t="s">
        <v>255</v>
      </c>
      <c r="B36" s="436">
        <v>13.6</v>
      </c>
      <c r="C36" s="95" t="str">
        <f t="array" ref="C36">IF(I36&gt;0,INDEX(DB,I36,8),"")</f>
        <v>Myla McNeill</v>
      </c>
      <c r="D36" s="437">
        <f t="shared" si="1"/>
        <v>34</v>
      </c>
      <c r="F36" s="438">
        <f t="shared" si="2"/>
        <v>1</v>
      </c>
      <c r="G36" t="str">
        <f t="shared" si="3"/>
        <v/>
      </c>
      <c r="H36" t="b">
        <f t="shared" si="4"/>
        <v>1</v>
      </c>
      <c r="I36" s="439">
        <f>IF(OR(ISBLANK(A36),ISNA(MATCH(A36&amp;"",AthleteNumbers,0))),0,MATCH(A36&amp;"",AthleteNumbers,0))</f>
        <v>58</v>
      </c>
      <c r="J36" s="209" t="str">
        <f t="array" ref="J36">IF(I36&gt;0,INDEX(DB,$I36,6),0)</f>
        <v/>
      </c>
      <c r="K36" s="440">
        <f t="shared" si="5"/>
        <v>13.6</v>
      </c>
      <c r="L36" s="440">
        <f t="shared" si="6"/>
        <v>13.6</v>
      </c>
      <c r="M36" s="441">
        <f>IF(AND(L36&gt;O36,O36&gt;0),MinPoints,IF(L36&lt;N36,100,+INT((O36-$L36)/P36)+MinPoints))</f>
        <v>34</v>
      </c>
      <c r="N36" s="440">
        <f t="shared" si="7"/>
        <v>7</v>
      </c>
      <c r="O36" s="440">
        <f t="shared" si="8"/>
        <v>16</v>
      </c>
      <c r="P36" s="440">
        <f t="shared" si="9"/>
        <v>0.1</v>
      </c>
      <c r="Q36">
        <f t="array" ref="Q36">IF(I36&gt;0,INDEX(DB,I36,9),EventIndex)</f>
        <v>6</v>
      </c>
      <c r="S36" s="442">
        <f t="array" ref="S36">INDEX(MINVALUES,$Q36,$K$1)</f>
        <v>16</v>
      </c>
      <c r="T36">
        <f t="array" ref="T36">INDEX(INCVALUES,$Q36,$K$1)</f>
        <v>0.1</v>
      </c>
      <c r="V36">
        <f t="array" ref="V36">+J36+(4*(INDEX(MatchScoreTable,$Q36,20)-1))</f>
        <v>4</v>
      </c>
      <c r="W36">
        <f t="array" ref="W36">INDEX(INC_MINVALUES,$V36,$K$1)</f>
        <v>34</v>
      </c>
      <c r="X36" s="212">
        <f t="array" ref="X36">INDEX(INC_INCVALUES,$V36,$K$1)</f>
        <v>0.3</v>
      </c>
    </row>
    <row r="37" ht="15.75" customHeight="1">
      <c r="A37" s="435" t="s">
        <v>298</v>
      </c>
      <c r="B37" s="436">
        <v>14.5</v>
      </c>
      <c r="C37" s="95" t="str">
        <f t="array" ref="C37">IF(I37&gt;0,INDEX(DB,I37,8),"")</f>
        <v>Amelie Singletary</v>
      </c>
      <c r="D37" s="437">
        <f t="shared" si="1"/>
        <v>25</v>
      </c>
      <c r="F37" s="438">
        <f t="shared" si="2"/>
        <v>1</v>
      </c>
      <c r="G37" t="str">
        <f t="shared" si="3"/>
        <v/>
      </c>
      <c r="H37" t="b">
        <f t="shared" si="4"/>
        <v>1</v>
      </c>
      <c r="I37" s="439">
        <f>IF(OR(ISBLANK(A37),ISNA(MATCH(A37&amp;"",AthleteNumbers,0))),0,MATCH(A37&amp;"",AthleteNumbers,0))</f>
        <v>76</v>
      </c>
      <c r="J37" s="209" t="str">
        <f t="array" ref="J37">IF(I37&gt;0,INDEX(DB,$I37,6),0)</f>
        <v/>
      </c>
      <c r="K37" s="440">
        <f t="shared" si="5"/>
        <v>14.5</v>
      </c>
      <c r="L37" s="440">
        <f t="shared" si="6"/>
        <v>14.5</v>
      </c>
      <c r="M37" s="441">
        <f>IF(AND(L37&gt;O37,O37&gt;0),MinPoints,IF(L37&lt;N37,100,+INT((O37-$L37)/P37)+MinPoints))</f>
        <v>25</v>
      </c>
      <c r="N37" s="440">
        <f t="shared" si="7"/>
        <v>7</v>
      </c>
      <c r="O37" s="440">
        <f t="shared" si="8"/>
        <v>16</v>
      </c>
      <c r="P37" s="440">
        <f t="shared" si="9"/>
        <v>0.1</v>
      </c>
      <c r="Q37">
        <f t="array" ref="Q37">IF(I37&gt;0,INDEX(DB,I37,9),EventIndex)</f>
        <v>6</v>
      </c>
      <c r="S37" s="442">
        <f t="array" ref="S37">INDEX(MINVALUES,$Q37,$K$1)</f>
        <v>16</v>
      </c>
      <c r="T37">
        <f t="array" ref="T37">INDEX(INCVALUES,$Q37,$K$1)</f>
        <v>0.1</v>
      </c>
      <c r="V37">
        <f t="array" ref="V37">+J37+(4*(INDEX(MatchScoreTable,$Q37,20)-1))</f>
        <v>4</v>
      </c>
      <c r="W37">
        <f t="array" ref="W37">INDEX(INC_MINVALUES,$V37,$K$1)</f>
        <v>34</v>
      </c>
      <c r="X37" s="212">
        <f t="array" ref="X37">INDEX(INC_INCVALUES,$V37,$K$1)</f>
        <v>0.3</v>
      </c>
    </row>
    <row r="38" ht="15.75" customHeight="1">
      <c r="A38" s="435" t="s">
        <v>257</v>
      </c>
      <c r="B38" s="436">
        <v>14.7</v>
      </c>
      <c r="C38" s="95" t="str">
        <f t="array" ref="C38">IF(I38&gt;0,INDEX(DB,I38,8),"")</f>
        <v>Albha O'Brien</v>
      </c>
      <c r="D38" s="437">
        <f t="shared" si="1"/>
        <v>23</v>
      </c>
      <c r="F38" s="438">
        <f t="shared" si="2"/>
        <v>1</v>
      </c>
      <c r="G38" t="str">
        <f t="shared" si="3"/>
        <v/>
      </c>
      <c r="H38" t="b">
        <f t="shared" si="4"/>
        <v>1</v>
      </c>
      <c r="I38" s="439">
        <f>IF(OR(ISBLANK(A38),ISNA(MATCH(A38&amp;"",AthleteNumbers,0))),0,MATCH(A38&amp;"",AthleteNumbers,0))</f>
        <v>59</v>
      </c>
      <c r="J38" s="209" t="str">
        <f t="array" ref="J38">IF(I38&gt;0,INDEX(DB,$I38,6),0)</f>
        <v/>
      </c>
      <c r="K38" s="440">
        <f t="shared" si="5"/>
        <v>14.7</v>
      </c>
      <c r="L38" s="440">
        <f t="shared" si="6"/>
        <v>14.7</v>
      </c>
      <c r="M38" s="441">
        <f>IF(AND(L38&gt;O38,O38&gt;0),MinPoints,IF(L38&lt;N38,100,+INT((O38-$L38)/P38)+MinPoints))</f>
        <v>23</v>
      </c>
      <c r="N38" s="440">
        <f t="shared" si="7"/>
        <v>7</v>
      </c>
      <c r="O38" s="440">
        <f t="shared" si="8"/>
        <v>16</v>
      </c>
      <c r="P38" s="440">
        <f t="shared" si="9"/>
        <v>0.1</v>
      </c>
      <c r="Q38">
        <f t="array" ref="Q38">IF(I38&gt;0,INDEX(DB,I38,9),EventIndex)</f>
        <v>6</v>
      </c>
      <c r="S38" s="442">
        <f t="array" ref="S38">INDEX(MINVALUES,$Q38,$K$1)</f>
        <v>16</v>
      </c>
      <c r="T38">
        <f t="array" ref="T38">INDEX(INCVALUES,$Q38,$K$1)</f>
        <v>0.1</v>
      </c>
      <c r="V38">
        <f t="array" ref="V38">+J38+(4*(INDEX(MatchScoreTable,$Q38,20)-1))</f>
        <v>4</v>
      </c>
      <c r="W38">
        <f t="array" ref="W38">INDEX(INC_MINVALUES,$V38,$K$1)</f>
        <v>34</v>
      </c>
      <c r="X38" s="212">
        <f t="array" ref="X38">INDEX(INC_INCVALUES,$V38,$K$1)</f>
        <v>0.3</v>
      </c>
    </row>
    <row r="39" ht="15.75" customHeight="1">
      <c r="A39" s="435" t="s">
        <v>251</v>
      </c>
      <c r="B39" s="436">
        <v>14.8</v>
      </c>
      <c r="C39" s="95" t="str">
        <f t="array" ref="C39">IF(I39&gt;0,INDEX(DB,I39,8),"")</f>
        <v>Jasmine Mahmoudi</v>
      </c>
      <c r="D39" s="437">
        <f t="shared" si="1"/>
        <v>22</v>
      </c>
      <c r="F39" s="438">
        <f t="shared" si="2"/>
        <v>1</v>
      </c>
      <c r="G39" t="str">
        <f t="shared" si="3"/>
        <v/>
      </c>
      <c r="H39" t="b">
        <f t="shared" si="4"/>
        <v>1</v>
      </c>
      <c r="I39" s="439">
        <f>IF(OR(ISBLANK(A39),ISNA(MATCH(A39&amp;"",AthleteNumbers,0))),0,MATCH(A39&amp;"",AthleteNumbers,0))</f>
        <v>56</v>
      </c>
      <c r="J39" s="209" t="str">
        <f t="array" ref="J39">IF(I39&gt;0,INDEX(DB,$I39,6),0)</f>
        <v/>
      </c>
      <c r="K39" s="440">
        <f t="shared" si="5"/>
        <v>14.8</v>
      </c>
      <c r="L39" s="440">
        <f t="shared" si="6"/>
        <v>14.8</v>
      </c>
      <c r="M39" s="441">
        <f>IF(AND(L39&gt;O39,O39&gt;0),MinPoints,IF(L39&lt;N39,100,+INT((O39-$L39)/P39)+MinPoints))</f>
        <v>22</v>
      </c>
      <c r="N39" s="440">
        <f t="shared" si="7"/>
        <v>7</v>
      </c>
      <c r="O39" s="440">
        <f t="shared" si="8"/>
        <v>16</v>
      </c>
      <c r="P39" s="440">
        <f t="shared" si="9"/>
        <v>0.1</v>
      </c>
      <c r="Q39">
        <f t="array" ref="Q39">IF(I39&gt;0,INDEX(DB,I39,9),EventIndex)</f>
        <v>6</v>
      </c>
      <c r="S39" s="442">
        <f t="array" ref="S39">INDEX(MINVALUES,$Q39,$K$1)</f>
        <v>16</v>
      </c>
      <c r="T39">
        <f t="array" ref="T39">INDEX(INCVALUES,$Q39,$K$1)</f>
        <v>0.1</v>
      </c>
      <c r="V39">
        <f t="array" ref="V39">+J39+(4*(INDEX(MatchScoreTable,$Q39,20)-1))</f>
        <v>4</v>
      </c>
      <c r="W39">
        <f t="array" ref="W39">INDEX(INC_MINVALUES,$V39,$K$1)</f>
        <v>34</v>
      </c>
      <c r="X39" s="212">
        <f t="array" ref="X39">INDEX(INC_INCVALUES,$V39,$K$1)</f>
        <v>0.3</v>
      </c>
    </row>
    <row r="40" ht="15.75" customHeight="1">
      <c r="A40" s="435" t="s">
        <v>230</v>
      </c>
      <c r="B40" s="436">
        <v>15.2</v>
      </c>
      <c r="C40" s="95" t="str">
        <f t="array" ref="C40">IF(I40&gt;0,INDEX(DB,I40,8),"")</f>
        <v>Emilia Parsons</v>
      </c>
      <c r="D40" s="437">
        <f t="shared" si="1"/>
        <v>18</v>
      </c>
      <c r="F40" s="438">
        <f t="shared" si="2"/>
        <v>1</v>
      </c>
      <c r="G40" t="str">
        <f t="shared" si="3"/>
        <v/>
      </c>
      <c r="H40" t="b">
        <f t="shared" si="4"/>
        <v>1</v>
      </c>
      <c r="I40" s="439">
        <f>IF(OR(ISBLANK(A40),ISNA(MATCH(A40&amp;"",AthleteNumbers,0))),0,MATCH(A40&amp;"",AthleteNumbers,0))</f>
        <v>47</v>
      </c>
      <c r="J40" s="209" t="str">
        <f t="array" ref="J40">IF(I40&gt;0,INDEX(DB,$I40,6),0)</f>
        <v/>
      </c>
      <c r="K40" s="440">
        <f t="shared" si="5"/>
        <v>15.2</v>
      </c>
      <c r="L40" s="440">
        <f t="shared" si="6"/>
        <v>15.2</v>
      </c>
      <c r="M40" s="441">
        <f>IF(AND(L40&gt;O40,O40&gt;0),MinPoints,IF(L40&lt;N40,100,+INT((O40-$L40)/P40)+MinPoints))</f>
        <v>18</v>
      </c>
      <c r="N40" s="440">
        <f t="shared" si="7"/>
        <v>7</v>
      </c>
      <c r="O40" s="440">
        <f t="shared" si="8"/>
        <v>16</v>
      </c>
      <c r="P40" s="440">
        <f t="shared" si="9"/>
        <v>0.1</v>
      </c>
      <c r="Q40">
        <f t="array" ref="Q40">IF(I40&gt;0,INDEX(DB,I40,9),EventIndex)</f>
        <v>6</v>
      </c>
      <c r="S40" s="442">
        <f t="array" ref="S40">INDEX(MINVALUES,$Q40,$K$1)</f>
        <v>16</v>
      </c>
      <c r="T40">
        <f t="array" ref="T40">INDEX(INCVALUES,$Q40,$K$1)</f>
        <v>0.1</v>
      </c>
      <c r="V40">
        <f t="array" ref="V40">+J40+(4*(INDEX(MatchScoreTable,$Q40,20)-1))</f>
        <v>4</v>
      </c>
      <c r="W40">
        <f t="array" ref="W40">INDEX(INC_MINVALUES,$V40,$K$1)</f>
        <v>34</v>
      </c>
      <c r="X40" s="212">
        <f t="array" ref="X40">INDEX(INC_INCVALUES,$V40,$K$1)</f>
        <v>0.3</v>
      </c>
    </row>
    <row r="41" ht="15.75" customHeight="1">
      <c r="A41" s="435" t="s">
        <v>148</v>
      </c>
      <c r="B41" s="436">
        <v>11.8</v>
      </c>
      <c r="C41" s="95" t="str">
        <f t="array" ref="C41">IF(I41&gt;0,INDEX(DB,I41,8),"")</f>
        <v>Hugo English</v>
      </c>
      <c r="D41" s="437">
        <f t="shared" si="1"/>
        <v>52</v>
      </c>
      <c r="F41" s="438">
        <f t="shared" si="2"/>
        <v>1</v>
      </c>
      <c r="G41" t="str">
        <f t="shared" si="3"/>
        <v/>
      </c>
      <c r="H41" t="b">
        <f t="shared" si="4"/>
        <v>1</v>
      </c>
      <c r="I41" s="439">
        <f>IF(OR(ISBLANK(A41),ISNA(MATCH(A41&amp;"",AthleteNumbers,0))),0,MATCH(A41&amp;"",AthleteNumbers,0))</f>
        <v>11</v>
      </c>
      <c r="J41" s="209" t="str">
        <f t="array" ref="J41">IF(I41&gt;0,INDEX(DB,$I41,6),0)</f>
        <v/>
      </c>
      <c r="K41" s="440">
        <f t="shared" si="5"/>
        <v>11.8</v>
      </c>
      <c r="L41" s="440">
        <f t="shared" si="6"/>
        <v>11.8</v>
      </c>
      <c r="M41" s="441">
        <f>IF(AND(L41&gt;O41,O41&gt;0),MinPoints,IF(L41&lt;N41,100,+INT((O41-$L41)/P41)+MinPoints))</f>
        <v>52</v>
      </c>
      <c r="N41" s="440">
        <f t="shared" si="7"/>
        <v>7</v>
      </c>
      <c r="O41" s="440">
        <f t="shared" si="8"/>
        <v>16</v>
      </c>
      <c r="P41" s="440">
        <f t="shared" si="9"/>
        <v>0.1</v>
      </c>
      <c r="Q41">
        <f t="array" ref="Q41">IF(I41&gt;0,INDEX(DB,I41,9),EventIndex)</f>
        <v>6</v>
      </c>
      <c r="S41" s="442">
        <f t="array" ref="S41">INDEX(MINVALUES,$Q41,$K$1)</f>
        <v>16</v>
      </c>
      <c r="T41">
        <f t="array" ref="T41">INDEX(INCVALUES,$Q41,$K$1)</f>
        <v>0.1</v>
      </c>
      <c r="V41">
        <f t="array" ref="V41">+J41+(4*(INDEX(MatchScoreTable,$Q41,20)-1))</f>
        <v>4</v>
      </c>
      <c r="W41">
        <f t="array" ref="W41">INDEX(INC_MINVALUES,$V41,$K$1)</f>
        <v>34</v>
      </c>
      <c r="X41" s="212">
        <f t="array" ref="X41">INDEX(INC_INCVALUES,$V41,$K$1)</f>
        <v>0.3</v>
      </c>
    </row>
    <row r="42" ht="15.75" customHeight="1">
      <c r="A42" s="435" t="s">
        <v>132</v>
      </c>
      <c r="B42" s="436">
        <v>11.9</v>
      </c>
      <c r="C42" s="95" t="str">
        <f t="array" ref="C42">IF(I42&gt;0,INDEX(DB,I42,8),"")</f>
        <v>Felix Bowyer</v>
      </c>
      <c r="D42" s="437">
        <f t="shared" si="1"/>
        <v>51</v>
      </c>
      <c r="F42" s="438">
        <f t="shared" si="2"/>
        <v>1</v>
      </c>
      <c r="G42" t="str">
        <f t="shared" si="3"/>
        <v/>
      </c>
      <c r="H42" t="b">
        <f t="shared" si="4"/>
        <v>1</v>
      </c>
      <c r="I42" s="439">
        <f>IF(OR(ISBLANK(A42),ISNA(MATCH(A42&amp;"",AthleteNumbers,0))),0,MATCH(A42&amp;"",AthleteNumbers,0))</f>
        <v>4</v>
      </c>
      <c r="J42" s="209" t="str">
        <f t="array" ref="J42">IF(I42&gt;0,INDEX(DB,$I42,6),0)</f>
        <v/>
      </c>
      <c r="K42" s="440">
        <f t="shared" si="5"/>
        <v>11.9</v>
      </c>
      <c r="L42" s="440">
        <f t="shared" si="6"/>
        <v>11.9</v>
      </c>
      <c r="M42" s="441">
        <f>IF(AND(L42&gt;O42,O42&gt;0),MinPoints,IF(L42&lt;N42,100,+INT((O42-$L42)/P42)+MinPoints))</f>
        <v>51</v>
      </c>
      <c r="N42" s="440">
        <f t="shared" si="7"/>
        <v>7</v>
      </c>
      <c r="O42" s="440">
        <f t="shared" si="8"/>
        <v>16</v>
      </c>
      <c r="P42" s="440">
        <f t="shared" si="9"/>
        <v>0.1</v>
      </c>
      <c r="Q42">
        <f t="array" ref="Q42">IF(I42&gt;0,INDEX(DB,I42,9),EventIndex)</f>
        <v>6</v>
      </c>
      <c r="S42" s="442">
        <f t="array" ref="S42">INDEX(MINVALUES,$Q42,$K$1)</f>
        <v>16</v>
      </c>
      <c r="T42">
        <f t="array" ref="T42">INDEX(INCVALUES,$Q42,$K$1)</f>
        <v>0.1</v>
      </c>
      <c r="V42">
        <f t="array" ref="V42">+J42+(4*(INDEX(MatchScoreTable,$Q42,20)-1))</f>
        <v>4</v>
      </c>
      <c r="W42">
        <f t="array" ref="W42">INDEX(INC_MINVALUES,$V42,$K$1)</f>
        <v>34</v>
      </c>
      <c r="X42" s="212">
        <f t="array" ref="X42">INDEX(INC_INCVALUES,$V42,$K$1)</f>
        <v>0.3</v>
      </c>
    </row>
    <row r="43" ht="15.75" customHeight="1">
      <c r="A43" s="435" t="s">
        <v>134</v>
      </c>
      <c r="B43" s="436">
        <v>12.5</v>
      </c>
      <c r="C43" s="95" t="str">
        <f t="array" ref="C43">IF(I43&gt;0,INDEX(DB,I43,8),"")</f>
        <v>Finlay Carvell</v>
      </c>
      <c r="D43" s="437">
        <f t="shared" si="1"/>
        <v>45</v>
      </c>
      <c r="F43" s="438">
        <f t="shared" si="2"/>
        <v>1</v>
      </c>
      <c r="G43" t="str">
        <f t="shared" si="3"/>
        <v/>
      </c>
      <c r="H43" t="b">
        <f t="shared" si="4"/>
        <v>1</v>
      </c>
      <c r="I43" s="439">
        <f>IF(OR(ISBLANK(A43),ISNA(MATCH(A43&amp;"",AthleteNumbers,0))),0,MATCH(A43&amp;"",AthleteNumbers,0))</f>
        <v>5</v>
      </c>
      <c r="J43" s="209" t="str">
        <f t="array" ref="J43">IF(I43&gt;0,INDEX(DB,$I43,6),0)</f>
        <v/>
      </c>
      <c r="K43" s="440">
        <f t="shared" si="5"/>
        <v>12.5</v>
      </c>
      <c r="L43" s="440">
        <f t="shared" si="6"/>
        <v>12.5</v>
      </c>
      <c r="M43" s="441">
        <f>IF(AND(L43&gt;O43,O43&gt;0),MinPoints,IF(L43&lt;N43,100,+INT((O43-$L43)/P43)+MinPoints))</f>
        <v>45</v>
      </c>
      <c r="N43" s="440">
        <f t="shared" si="7"/>
        <v>7</v>
      </c>
      <c r="O43" s="440">
        <f t="shared" si="8"/>
        <v>16</v>
      </c>
      <c r="P43" s="440">
        <f t="shared" si="9"/>
        <v>0.1</v>
      </c>
      <c r="Q43">
        <f t="array" ref="Q43">IF(I43&gt;0,INDEX(DB,I43,9),EventIndex)</f>
        <v>6</v>
      </c>
      <c r="S43" s="442">
        <f t="array" ref="S43">INDEX(MINVALUES,$Q43,$K$1)</f>
        <v>16</v>
      </c>
      <c r="T43">
        <f t="array" ref="T43">INDEX(INCVALUES,$Q43,$K$1)</f>
        <v>0.1</v>
      </c>
      <c r="V43">
        <f t="array" ref="V43">+J43+(4*(INDEX(MatchScoreTable,$Q43,20)-1))</f>
        <v>4</v>
      </c>
      <c r="W43">
        <f t="array" ref="W43">INDEX(INC_MINVALUES,$V43,$K$1)</f>
        <v>34</v>
      </c>
      <c r="X43" s="212">
        <f t="array" ref="X43">INDEX(INC_INCVALUES,$V43,$K$1)</f>
        <v>0.3</v>
      </c>
    </row>
    <row r="44" ht="15.75" customHeight="1">
      <c r="A44" s="435" t="s">
        <v>194</v>
      </c>
      <c r="B44" s="436">
        <v>12.7</v>
      </c>
      <c r="C44" s="95" t="str">
        <f t="array" ref="C44">IF(I44&gt;0,INDEX(DB,I44,8),"")</f>
        <v>Otto Williams</v>
      </c>
      <c r="D44" s="437">
        <f t="shared" si="1"/>
        <v>43</v>
      </c>
      <c r="F44" s="438">
        <f t="shared" si="2"/>
        <v>1</v>
      </c>
      <c r="G44" t="str">
        <f t="shared" si="3"/>
        <v/>
      </c>
      <c r="H44" t="b">
        <f t="shared" si="4"/>
        <v>1</v>
      </c>
      <c r="I44" s="439">
        <f>IF(OR(ISBLANK(A44),ISNA(MATCH(A44&amp;"",AthleteNumbers,0))),0,MATCH(A44&amp;"",AthleteNumbers,0))</f>
        <v>32</v>
      </c>
      <c r="J44" s="209" t="str">
        <f t="array" ref="J44">IF(I44&gt;0,INDEX(DB,$I44,6),0)</f>
        <v/>
      </c>
      <c r="K44" s="440">
        <f t="shared" si="5"/>
        <v>12.7</v>
      </c>
      <c r="L44" s="440">
        <f t="shared" si="6"/>
        <v>12.7</v>
      </c>
      <c r="M44" s="441">
        <f>IF(AND(L44&gt;O44,O44&gt;0),MinPoints,IF(L44&lt;N44,100,+INT((O44-$L44)/P44)+MinPoints))</f>
        <v>43</v>
      </c>
      <c r="N44" s="440">
        <f t="shared" si="7"/>
        <v>7</v>
      </c>
      <c r="O44" s="440">
        <f t="shared" si="8"/>
        <v>16</v>
      </c>
      <c r="P44" s="440">
        <f t="shared" si="9"/>
        <v>0.1</v>
      </c>
      <c r="Q44">
        <f t="array" ref="Q44">IF(I44&gt;0,INDEX(DB,I44,9),EventIndex)</f>
        <v>6</v>
      </c>
      <c r="S44" s="442">
        <f t="array" ref="S44">INDEX(MINVALUES,$Q44,$K$1)</f>
        <v>16</v>
      </c>
      <c r="T44">
        <f t="array" ref="T44">INDEX(INCVALUES,$Q44,$K$1)</f>
        <v>0.1</v>
      </c>
      <c r="V44">
        <f t="array" ref="V44">+J44+(4*(INDEX(MatchScoreTable,$Q44,20)-1))</f>
        <v>4</v>
      </c>
      <c r="W44">
        <f t="array" ref="W44">INDEX(INC_MINVALUES,$V44,$K$1)</f>
        <v>34</v>
      </c>
      <c r="X44" s="212">
        <f t="array" ref="X44">INDEX(INC_INCVALUES,$V44,$K$1)</f>
        <v>0.3</v>
      </c>
    </row>
    <row r="45" ht="15.75" customHeight="1">
      <c r="A45" s="435" t="s">
        <v>125</v>
      </c>
      <c r="B45" s="436">
        <v>12.8</v>
      </c>
      <c r="C45" s="95" t="str">
        <f t="array" ref="C45">IF(I45&gt;0,INDEX(DB,I45,8),"")</f>
        <v>Connor Bailey-Pierce</v>
      </c>
      <c r="D45" s="437">
        <f t="shared" si="1"/>
        <v>42</v>
      </c>
      <c r="F45" s="438">
        <f t="shared" si="2"/>
        <v>1</v>
      </c>
      <c r="G45" t="str">
        <f t="shared" si="3"/>
        <v/>
      </c>
      <c r="H45" t="b">
        <f t="shared" si="4"/>
        <v>1</v>
      </c>
      <c r="I45" s="439">
        <f>IF(OR(ISBLANK(A45),ISNA(MATCH(A45&amp;"",AthleteNumbers,0))),0,MATCH(A45&amp;"",AthleteNumbers,0))</f>
        <v>2</v>
      </c>
      <c r="J45" s="209" t="str">
        <f t="array" ref="J45">IF(I45&gt;0,INDEX(DB,$I45,6),0)</f>
        <v/>
      </c>
      <c r="K45" s="440">
        <f t="shared" si="5"/>
        <v>12.8</v>
      </c>
      <c r="L45" s="440">
        <f t="shared" si="6"/>
        <v>12.8</v>
      </c>
      <c r="M45" s="441">
        <f>IF(AND(L45&gt;O45,O45&gt;0),MinPoints,IF(L45&lt;N45,100,+INT((O45-$L45)/P45)+MinPoints))</f>
        <v>42</v>
      </c>
      <c r="N45" s="440">
        <f t="shared" si="7"/>
        <v>7</v>
      </c>
      <c r="O45" s="440">
        <f t="shared" si="8"/>
        <v>16</v>
      </c>
      <c r="P45" s="440">
        <f t="shared" si="9"/>
        <v>0.1</v>
      </c>
      <c r="Q45">
        <f t="array" ref="Q45">IF(I45&gt;0,INDEX(DB,I45,9),EventIndex)</f>
        <v>6</v>
      </c>
      <c r="S45" s="442">
        <f t="array" ref="S45">INDEX(MINVALUES,$Q45,$K$1)</f>
        <v>16</v>
      </c>
      <c r="T45">
        <f t="array" ref="T45">INDEX(INCVALUES,$Q45,$K$1)</f>
        <v>0.1</v>
      </c>
      <c r="V45">
        <f t="array" ref="V45">+J45+(4*(INDEX(MatchScoreTable,$Q45,20)-1))</f>
        <v>4</v>
      </c>
      <c r="W45">
        <f t="array" ref="W45">INDEX(INC_MINVALUES,$V45,$K$1)</f>
        <v>34</v>
      </c>
      <c r="X45" s="212">
        <f t="array" ref="X45">INDEX(INC_INCVALUES,$V45,$K$1)</f>
        <v>0.3</v>
      </c>
    </row>
    <row r="46" ht="15.75" customHeight="1">
      <c r="A46" s="435" t="s">
        <v>182</v>
      </c>
      <c r="B46" s="436">
        <v>13.0</v>
      </c>
      <c r="C46" s="95" t="str">
        <f t="array" ref="C46">IF(I46&gt;0,INDEX(DB,I46,8),"")</f>
        <v>Jake Selwood</v>
      </c>
      <c r="D46" s="437">
        <f t="shared" si="1"/>
        <v>40</v>
      </c>
      <c r="F46" s="438">
        <f t="shared" si="2"/>
        <v>1</v>
      </c>
      <c r="G46" t="str">
        <f t="shared" si="3"/>
        <v/>
      </c>
      <c r="H46" t="b">
        <f t="shared" si="4"/>
        <v>1</v>
      </c>
      <c r="I46" s="439">
        <f>IF(OR(ISBLANK(A46),ISNA(MATCH(A46&amp;"",AthleteNumbers,0))),0,MATCH(A46&amp;"",AthleteNumbers,0))</f>
        <v>26</v>
      </c>
      <c r="J46" s="209" t="str">
        <f t="array" ref="J46">IF(I46&gt;0,INDEX(DB,$I46,6),0)</f>
        <v/>
      </c>
      <c r="K46" s="440">
        <f t="shared" si="5"/>
        <v>13</v>
      </c>
      <c r="L46" s="440">
        <f t="shared" si="6"/>
        <v>13</v>
      </c>
      <c r="M46" s="441">
        <f>IF(AND(L46&gt;O46,O46&gt;0),MinPoints,IF(L46&lt;N46,100,+INT((O46-$L46)/P46)+MinPoints))</f>
        <v>40</v>
      </c>
      <c r="N46" s="440">
        <f t="shared" si="7"/>
        <v>7</v>
      </c>
      <c r="O46" s="440">
        <f t="shared" si="8"/>
        <v>16</v>
      </c>
      <c r="P46" s="440">
        <f t="shared" si="9"/>
        <v>0.1</v>
      </c>
      <c r="Q46">
        <f t="array" ref="Q46">IF(I46&gt;0,INDEX(DB,I46,9),EventIndex)</f>
        <v>6</v>
      </c>
      <c r="S46" s="442">
        <f t="array" ref="S46">INDEX(MINVALUES,$Q46,$K$1)</f>
        <v>16</v>
      </c>
      <c r="T46">
        <f t="array" ref="T46">INDEX(INCVALUES,$Q46,$K$1)</f>
        <v>0.1</v>
      </c>
      <c r="V46">
        <f t="array" ref="V46">+J46+(4*(INDEX(MatchScoreTable,$Q46,20)-1))</f>
        <v>4</v>
      </c>
      <c r="W46">
        <f t="array" ref="W46">INDEX(INC_MINVALUES,$V46,$K$1)</f>
        <v>34</v>
      </c>
      <c r="X46" s="212">
        <f t="array" ref="X46">INDEX(INC_INCVALUES,$V46,$K$1)</f>
        <v>0.3</v>
      </c>
    </row>
    <row r="47" ht="15.75" customHeight="1">
      <c r="A47" s="435" t="s">
        <v>186</v>
      </c>
      <c r="B47" s="436">
        <v>12.4</v>
      </c>
      <c r="C47" s="95" t="str">
        <f t="array" ref="C47">IF(I47&gt;0,INDEX(DB,I47,8),"")</f>
        <v>Joshua Smith</v>
      </c>
      <c r="D47" s="437">
        <f t="shared" si="1"/>
        <v>46</v>
      </c>
      <c r="F47" s="438">
        <f t="shared" si="2"/>
        <v>1</v>
      </c>
      <c r="G47" t="str">
        <f t="shared" si="3"/>
        <v/>
      </c>
      <c r="H47" t="b">
        <f t="shared" si="4"/>
        <v>1</v>
      </c>
      <c r="I47" s="439">
        <f>IF(OR(ISBLANK(A47),ISNA(MATCH(A47&amp;"",AthleteNumbers,0))),0,MATCH(A47&amp;"",AthleteNumbers,0))</f>
        <v>28</v>
      </c>
      <c r="J47" s="209" t="str">
        <f t="array" ref="J47">IF(I47&gt;0,INDEX(DB,$I47,6),0)</f>
        <v/>
      </c>
      <c r="K47" s="440">
        <f t="shared" si="5"/>
        <v>12.4</v>
      </c>
      <c r="L47" s="440">
        <f t="shared" si="6"/>
        <v>12.4</v>
      </c>
      <c r="M47" s="441">
        <f>IF(AND(L47&gt;O47,O47&gt;0),MinPoints,IF(L47&lt;N47,100,+INT((O47-$L47)/P47)+MinPoints))</f>
        <v>46</v>
      </c>
      <c r="N47" s="440">
        <f t="shared" si="7"/>
        <v>7</v>
      </c>
      <c r="O47" s="440">
        <f t="shared" si="8"/>
        <v>16</v>
      </c>
      <c r="P47" s="440">
        <f t="shared" si="9"/>
        <v>0.1</v>
      </c>
      <c r="Q47">
        <f t="array" ref="Q47">IF(I47&gt;0,INDEX(DB,I47,9),EventIndex)</f>
        <v>6</v>
      </c>
      <c r="S47" s="442">
        <f t="array" ref="S47">INDEX(MINVALUES,$Q47,$K$1)</f>
        <v>16</v>
      </c>
      <c r="T47">
        <f t="array" ref="T47">INDEX(INCVALUES,$Q47,$K$1)</f>
        <v>0.1</v>
      </c>
      <c r="V47">
        <f t="array" ref="V47">+J47+(4*(INDEX(MatchScoreTable,$Q47,20)-1))</f>
        <v>4</v>
      </c>
      <c r="W47">
        <f t="array" ref="W47">INDEX(INC_MINVALUES,$V47,$K$1)</f>
        <v>34</v>
      </c>
      <c r="X47" s="212">
        <f t="array" ref="X47">INDEX(INC_INCVALUES,$V47,$K$1)</f>
        <v>0.3</v>
      </c>
    </row>
    <row r="48" ht="15.75" customHeight="1">
      <c r="A48" s="435" t="s">
        <v>192</v>
      </c>
      <c r="B48" s="436">
        <v>12.9</v>
      </c>
      <c r="C48" s="95" t="str">
        <f t="array" ref="C48">IF(I48&gt;0,INDEX(DB,I48,8),"")</f>
        <v>Leo Welstead</v>
      </c>
      <c r="D48" s="437">
        <f t="shared" si="1"/>
        <v>41</v>
      </c>
      <c r="F48" s="438">
        <f t="shared" si="2"/>
        <v>1</v>
      </c>
      <c r="G48" t="str">
        <f t="shared" si="3"/>
        <v/>
      </c>
      <c r="H48" t="b">
        <f t="shared" si="4"/>
        <v>1</v>
      </c>
      <c r="I48" s="439">
        <f>IF(OR(ISBLANK(A48),ISNA(MATCH(A48&amp;"",AthleteNumbers,0))),0,MATCH(A48&amp;"",AthleteNumbers,0))</f>
        <v>31</v>
      </c>
      <c r="J48" s="209" t="str">
        <f t="array" ref="J48">IF(I48&gt;0,INDEX(DB,$I48,6),0)</f>
        <v/>
      </c>
      <c r="K48" s="440">
        <f t="shared" si="5"/>
        <v>12.9</v>
      </c>
      <c r="L48" s="440">
        <f t="shared" si="6"/>
        <v>12.9</v>
      </c>
      <c r="M48" s="441">
        <f>IF(AND(L48&gt;O48,O48&gt;0),MinPoints,IF(L48&lt;N48,100,+INT((O48-$L48)/P48)+MinPoints))</f>
        <v>41</v>
      </c>
      <c r="N48" s="440">
        <f t="shared" si="7"/>
        <v>7</v>
      </c>
      <c r="O48" s="440">
        <f t="shared" si="8"/>
        <v>16</v>
      </c>
      <c r="P48" s="440">
        <f t="shared" si="9"/>
        <v>0.1</v>
      </c>
      <c r="Q48">
        <f t="array" ref="Q48">IF(I48&gt;0,INDEX(DB,I48,9),EventIndex)</f>
        <v>6</v>
      </c>
      <c r="S48" s="442">
        <f t="array" ref="S48">INDEX(MINVALUES,$Q48,$K$1)</f>
        <v>16</v>
      </c>
      <c r="T48">
        <f t="array" ref="T48">INDEX(INCVALUES,$Q48,$K$1)</f>
        <v>0.1</v>
      </c>
      <c r="V48">
        <f t="array" ref="V48">+J48+(4*(INDEX(MatchScoreTable,$Q48,20)-1))</f>
        <v>4</v>
      </c>
      <c r="W48">
        <f t="array" ref="W48">INDEX(INC_MINVALUES,$V48,$K$1)</f>
        <v>34</v>
      </c>
      <c r="X48" s="212">
        <f t="array" ref="X48">INDEX(INC_INCVALUES,$V48,$K$1)</f>
        <v>0.3</v>
      </c>
    </row>
    <row r="49" ht="15.75" customHeight="1">
      <c r="A49" s="435" t="s">
        <v>190</v>
      </c>
      <c r="B49" s="436">
        <v>12.9</v>
      </c>
      <c r="C49" s="95" t="str">
        <f t="array" ref="C49">IF(I49&gt;0,INDEX(DB,I49,8),"")</f>
        <v>Harley Vincent</v>
      </c>
      <c r="D49" s="437">
        <f t="shared" si="1"/>
        <v>41</v>
      </c>
      <c r="F49" s="438">
        <f t="shared" si="2"/>
        <v>1</v>
      </c>
      <c r="G49" t="str">
        <f t="shared" si="3"/>
        <v/>
      </c>
      <c r="H49" t="b">
        <f t="shared" si="4"/>
        <v>1</v>
      </c>
      <c r="I49" s="439">
        <f>IF(OR(ISBLANK(A49),ISNA(MATCH(A49&amp;"",AthleteNumbers,0))),0,MATCH(A49&amp;"",AthleteNumbers,0))</f>
        <v>30</v>
      </c>
      <c r="J49" s="209" t="str">
        <f t="array" ref="J49">IF(I49&gt;0,INDEX(DB,$I49,6),0)</f>
        <v/>
      </c>
      <c r="K49" s="440">
        <f t="shared" si="5"/>
        <v>12.9</v>
      </c>
      <c r="L49" s="440">
        <f t="shared" si="6"/>
        <v>12.9</v>
      </c>
      <c r="M49" s="441">
        <f>IF(AND(L49&gt;O49,O49&gt;0),MinPoints,IF(L49&lt;N49,100,+INT((O49-$L49)/P49)+MinPoints))</f>
        <v>41</v>
      </c>
      <c r="N49" s="440">
        <f t="shared" si="7"/>
        <v>7</v>
      </c>
      <c r="O49" s="440">
        <f t="shared" si="8"/>
        <v>16</v>
      </c>
      <c r="P49" s="440">
        <f t="shared" si="9"/>
        <v>0.1</v>
      </c>
      <c r="Q49">
        <f t="array" ref="Q49">IF(I49&gt;0,INDEX(DB,I49,9),EventIndex)</f>
        <v>6</v>
      </c>
      <c r="S49" s="442">
        <f t="array" ref="S49">INDEX(MINVALUES,$Q49,$K$1)</f>
        <v>16</v>
      </c>
      <c r="T49">
        <f t="array" ref="T49">INDEX(INCVALUES,$Q49,$K$1)</f>
        <v>0.1</v>
      </c>
      <c r="V49">
        <f t="array" ref="V49">+J49+(4*(INDEX(MatchScoreTable,$Q49,20)-1))</f>
        <v>4</v>
      </c>
      <c r="W49">
        <f t="array" ref="W49">INDEX(INC_MINVALUES,$V49,$K$1)</f>
        <v>34</v>
      </c>
      <c r="X49" s="212">
        <f t="array" ref="X49">INDEX(INC_INCVALUES,$V49,$K$1)</f>
        <v>0.3</v>
      </c>
    </row>
    <row r="50" ht="15.75" customHeight="1">
      <c r="A50" s="435" t="s">
        <v>137</v>
      </c>
      <c r="B50" s="436">
        <v>13.2</v>
      </c>
      <c r="C50" s="95" t="str">
        <f t="array" ref="C50">IF(I50&gt;0,INDEX(DB,I50,8),"")</f>
        <v>Sam Coltman</v>
      </c>
      <c r="D50" s="437">
        <f t="shared" si="1"/>
        <v>38</v>
      </c>
      <c r="F50" s="438">
        <f t="shared" si="2"/>
        <v>1</v>
      </c>
      <c r="G50" t="str">
        <f t="shared" si="3"/>
        <v/>
      </c>
      <c r="H50" t="b">
        <f t="shared" si="4"/>
        <v>1</v>
      </c>
      <c r="I50" s="439">
        <f>IF(OR(ISBLANK(A50),ISNA(MATCH(A50&amp;"",AthleteNumbers,0))),0,MATCH(A50&amp;"",AthleteNumbers,0))</f>
        <v>6</v>
      </c>
      <c r="J50" s="209" t="str">
        <f t="array" ref="J50">IF(I50&gt;0,INDEX(DB,$I50,6),0)</f>
        <v/>
      </c>
      <c r="K50" s="440">
        <f t="shared" si="5"/>
        <v>13.2</v>
      </c>
      <c r="L50" s="440">
        <f t="shared" si="6"/>
        <v>13.2</v>
      </c>
      <c r="M50" s="441">
        <f>IF(AND(L50&gt;O50,O50&gt;0),MinPoints,IF(L50&lt;N50,100,+INT((O50-$L50)/P50)+MinPoints))</f>
        <v>38</v>
      </c>
      <c r="N50" s="440">
        <f t="shared" si="7"/>
        <v>7</v>
      </c>
      <c r="O50" s="440">
        <f t="shared" si="8"/>
        <v>16</v>
      </c>
      <c r="P50" s="440">
        <f t="shared" si="9"/>
        <v>0.1</v>
      </c>
      <c r="Q50">
        <f t="array" ref="Q50">IF(I50&gt;0,INDEX(DB,I50,9),EventIndex)</f>
        <v>6</v>
      </c>
      <c r="S50" s="442">
        <f t="array" ref="S50">INDEX(MINVALUES,$Q50,$K$1)</f>
        <v>16</v>
      </c>
      <c r="T50">
        <f t="array" ref="T50">INDEX(INCVALUES,$Q50,$K$1)</f>
        <v>0.1</v>
      </c>
      <c r="V50">
        <f t="array" ref="V50">+J50+(4*(INDEX(MatchScoreTable,$Q50,20)-1))</f>
        <v>4</v>
      </c>
      <c r="W50">
        <f t="array" ref="W50">INDEX(INC_MINVALUES,$V50,$K$1)</f>
        <v>34</v>
      </c>
      <c r="X50" s="212">
        <f t="array" ref="X50">INDEX(INC_INCVALUES,$V50,$K$1)</f>
        <v>0.3</v>
      </c>
    </row>
    <row r="51" ht="15.75" customHeight="1">
      <c r="A51" s="435" t="s">
        <v>169</v>
      </c>
      <c r="B51" s="436">
        <v>14.7</v>
      </c>
      <c r="C51" s="95" t="str">
        <f t="array" ref="C51">IF(I51&gt;0,INDEX(DB,I51,8),"")</f>
        <v>Ciaran Merrett</v>
      </c>
      <c r="D51" s="437">
        <f t="shared" si="1"/>
        <v>23</v>
      </c>
      <c r="F51" s="438">
        <f t="shared" si="2"/>
        <v>1</v>
      </c>
      <c r="G51" t="str">
        <f t="shared" si="3"/>
        <v/>
      </c>
      <c r="H51" t="b">
        <f t="shared" si="4"/>
        <v>1</v>
      </c>
      <c r="I51" s="439">
        <f>IF(OR(ISBLANK(A51),ISNA(MATCH(A51&amp;"",AthleteNumbers,0))),0,MATCH(A51&amp;"",AthleteNumbers,0))</f>
        <v>20</v>
      </c>
      <c r="J51" s="209" t="str">
        <f t="array" ref="J51">IF(I51&gt;0,INDEX(DB,$I51,6),0)</f>
        <v/>
      </c>
      <c r="K51" s="440">
        <f t="shared" si="5"/>
        <v>14.7</v>
      </c>
      <c r="L51" s="440">
        <f t="shared" si="6"/>
        <v>14.7</v>
      </c>
      <c r="M51" s="441">
        <f>IF(AND(L51&gt;O51,O51&gt;0),MinPoints,IF(L51&lt;N51,100,+INT((O51-$L51)/P51)+MinPoints))</f>
        <v>23</v>
      </c>
      <c r="N51" s="440">
        <f t="shared" si="7"/>
        <v>7</v>
      </c>
      <c r="O51" s="440">
        <f t="shared" si="8"/>
        <v>16</v>
      </c>
      <c r="P51" s="440">
        <f t="shared" si="9"/>
        <v>0.1</v>
      </c>
      <c r="Q51">
        <f t="array" ref="Q51">IF(I51&gt;0,INDEX(DB,I51,9),EventIndex)</f>
        <v>6</v>
      </c>
      <c r="S51" s="442">
        <f t="array" ref="S51">INDEX(MINVALUES,$Q51,$K$1)</f>
        <v>16</v>
      </c>
      <c r="T51">
        <f t="array" ref="T51">INDEX(INCVALUES,$Q51,$K$1)</f>
        <v>0.1</v>
      </c>
      <c r="V51">
        <f t="array" ref="V51">+J51+(4*(INDEX(MatchScoreTable,$Q51,20)-1))</f>
        <v>4</v>
      </c>
      <c r="W51">
        <f t="array" ref="W51">INDEX(INC_MINVALUES,$V51,$K$1)</f>
        <v>34</v>
      </c>
      <c r="X51" s="212">
        <f t="array" ref="X51">INDEX(INC_INCVALUES,$V51,$K$1)</f>
        <v>0.3</v>
      </c>
    </row>
    <row r="52" ht="15.75" customHeight="1">
      <c r="A52" s="435" t="s">
        <v>178</v>
      </c>
      <c r="B52" s="436">
        <v>14.7</v>
      </c>
      <c r="C52" s="95" t="str">
        <f t="array" ref="C52">IF(I52&gt;0,INDEX(DB,I52,8),"")</f>
        <v>Elijah Robbins</v>
      </c>
      <c r="D52" s="437">
        <f t="shared" si="1"/>
        <v>23</v>
      </c>
      <c r="F52" s="438">
        <f t="shared" si="2"/>
        <v>1</v>
      </c>
      <c r="G52" t="str">
        <f t="shared" si="3"/>
        <v/>
      </c>
      <c r="H52" t="b">
        <f t="shared" si="4"/>
        <v>1</v>
      </c>
      <c r="I52" s="439">
        <f>IF(OR(ISBLANK(A52),ISNA(MATCH(A52&amp;"",AthleteNumbers,0))),0,MATCH(A52&amp;"",AthleteNumbers,0))</f>
        <v>24</v>
      </c>
      <c r="J52" s="209" t="str">
        <f t="array" ref="J52">IF(I52&gt;0,INDEX(DB,$I52,6),0)</f>
        <v/>
      </c>
      <c r="K52" s="440">
        <f t="shared" si="5"/>
        <v>14.7</v>
      </c>
      <c r="L52" s="440">
        <f t="shared" si="6"/>
        <v>14.7</v>
      </c>
      <c r="M52" s="441">
        <f>IF(AND(L52&gt;O52,O52&gt;0),MinPoints,IF(L52&lt;N52,100,+INT((O52-$L52)/P52)+MinPoints))</f>
        <v>23</v>
      </c>
      <c r="N52" s="440">
        <f t="shared" si="7"/>
        <v>7</v>
      </c>
      <c r="O52" s="440">
        <f t="shared" si="8"/>
        <v>16</v>
      </c>
      <c r="P52" s="440">
        <f t="shared" si="9"/>
        <v>0.1</v>
      </c>
      <c r="Q52">
        <f t="array" ref="Q52">IF(I52&gt;0,INDEX(DB,I52,9),EventIndex)</f>
        <v>6</v>
      </c>
      <c r="S52" s="442">
        <f t="array" ref="S52">INDEX(MINVALUES,$Q52,$K$1)</f>
        <v>16</v>
      </c>
      <c r="T52">
        <f t="array" ref="T52">INDEX(INCVALUES,$Q52,$K$1)</f>
        <v>0.1</v>
      </c>
      <c r="V52">
        <f t="array" ref="V52">+J52+(4*(INDEX(MatchScoreTable,$Q52,20)-1))</f>
        <v>4</v>
      </c>
      <c r="W52">
        <f t="array" ref="W52">INDEX(INC_MINVALUES,$V52,$K$1)</f>
        <v>34</v>
      </c>
      <c r="X52" s="212">
        <f t="array" ref="X52">INDEX(INC_INCVALUES,$V52,$K$1)</f>
        <v>0.3</v>
      </c>
    </row>
    <row r="53" ht="15.75" customHeight="1">
      <c r="A53" s="435" t="s">
        <v>196</v>
      </c>
      <c r="B53" s="436">
        <v>12.4</v>
      </c>
      <c r="C53" s="95" t="str">
        <f t="array" ref="C53">IF(I53&gt;0,INDEX(DB,I53,8),"")</f>
        <v>Harry Williams</v>
      </c>
      <c r="D53" s="437">
        <f t="shared" si="1"/>
        <v>46</v>
      </c>
      <c r="F53" s="438">
        <f t="shared" si="2"/>
        <v>1</v>
      </c>
      <c r="G53" t="str">
        <f t="shared" si="3"/>
        <v/>
      </c>
      <c r="H53" t="b">
        <f t="shared" si="4"/>
        <v>1</v>
      </c>
      <c r="I53" s="439">
        <f>IF(OR(ISBLANK(A53),ISNA(MATCH(A53&amp;"",AthleteNumbers,0))),0,MATCH(A53&amp;"",AthleteNumbers,0))</f>
        <v>33</v>
      </c>
      <c r="J53" s="209" t="str">
        <f t="array" ref="J53">IF(I53&gt;0,INDEX(DB,$I53,6),0)</f>
        <v/>
      </c>
      <c r="K53" s="440">
        <f t="shared" si="5"/>
        <v>12.4</v>
      </c>
      <c r="L53" s="440">
        <f t="shared" si="6"/>
        <v>12.4</v>
      </c>
      <c r="M53" s="441">
        <f>IF(AND(L53&gt;O53,O53&gt;0),MinPoints,IF(L53&lt;N53,100,+INT((O53-$L53)/P53)+MinPoints))</f>
        <v>46</v>
      </c>
      <c r="N53" s="440">
        <f t="shared" si="7"/>
        <v>7</v>
      </c>
      <c r="O53" s="440">
        <f t="shared" si="8"/>
        <v>16</v>
      </c>
      <c r="P53" s="440">
        <f t="shared" si="9"/>
        <v>0.1</v>
      </c>
      <c r="Q53">
        <f t="array" ref="Q53">IF(I53&gt;0,INDEX(DB,I53,9),EventIndex)</f>
        <v>6</v>
      </c>
      <c r="S53" s="442">
        <f t="array" ref="S53">INDEX(MINVALUES,$Q53,$K$1)</f>
        <v>16</v>
      </c>
      <c r="T53">
        <f t="array" ref="T53">INDEX(INCVALUES,$Q53,$K$1)</f>
        <v>0.1</v>
      </c>
      <c r="V53">
        <f t="array" ref="V53">+J53+(4*(INDEX(MatchScoreTable,$Q53,20)-1))</f>
        <v>4</v>
      </c>
      <c r="W53">
        <f t="array" ref="W53">INDEX(INC_MINVALUES,$V53,$K$1)</f>
        <v>34</v>
      </c>
      <c r="X53" s="212">
        <f t="array" ref="X53">INDEX(INC_INCVALUES,$V53,$K$1)</f>
        <v>0.3</v>
      </c>
    </row>
    <row r="54" ht="15.75" customHeight="1">
      <c r="A54" s="435" t="s">
        <v>151</v>
      </c>
      <c r="B54" s="436">
        <v>13.0</v>
      </c>
      <c r="C54" s="95" t="str">
        <f t="array" ref="C54">IF(I54&gt;0,INDEX(DB,I54,8),"")</f>
        <v>Jude Fisher</v>
      </c>
      <c r="D54" s="437">
        <f t="shared" si="1"/>
        <v>40</v>
      </c>
      <c r="F54" s="438">
        <f t="shared" si="2"/>
        <v>1</v>
      </c>
      <c r="G54" t="str">
        <f t="shared" si="3"/>
        <v/>
      </c>
      <c r="H54" t="b">
        <f t="shared" si="4"/>
        <v>1</v>
      </c>
      <c r="I54" s="439">
        <f>IF(OR(ISBLANK(A54),ISNA(MATCH(A54&amp;"",AthleteNumbers,0))),0,MATCH(A54&amp;"",AthleteNumbers,0))</f>
        <v>12</v>
      </c>
      <c r="J54" s="209" t="str">
        <f t="array" ref="J54">IF(I54&gt;0,INDEX(DB,$I54,6),0)</f>
        <v/>
      </c>
      <c r="K54" s="440">
        <f t="shared" si="5"/>
        <v>13</v>
      </c>
      <c r="L54" s="440">
        <f t="shared" si="6"/>
        <v>13</v>
      </c>
      <c r="M54" s="441">
        <f>IF(AND(L54&gt;O54,O54&gt;0),MinPoints,IF(L54&lt;N54,100,+INT((O54-$L54)/P54)+MinPoints))</f>
        <v>40</v>
      </c>
      <c r="N54" s="440">
        <f t="shared" si="7"/>
        <v>7</v>
      </c>
      <c r="O54" s="440">
        <f t="shared" si="8"/>
        <v>16</v>
      </c>
      <c r="P54" s="440">
        <f t="shared" si="9"/>
        <v>0.1</v>
      </c>
      <c r="Q54">
        <f t="array" ref="Q54">IF(I54&gt;0,INDEX(DB,I54,9),EventIndex)</f>
        <v>6</v>
      </c>
      <c r="S54" s="442">
        <f t="array" ref="S54">INDEX(MINVALUES,$Q54,$K$1)</f>
        <v>16</v>
      </c>
      <c r="T54">
        <f t="array" ref="T54">INDEX(INCVALUES,$Q54,$K$1)</f>
        <v>0.1</v>
      </c>
      <c r="V54">
        <f t="array" ref="V54">+J54+(4*(INDEX(MatchScoreTable,$Q54,20)-1))</f>
        <v>4</v>
      </c>
      <c r="W54">
        <f t="array" ref="W54">INDEX(INC_MINVALUES,$V54,$K$1)</f>
        <v>34</v>
      </c>
      <c r="X54" s="212">
        <f t="array" ref="X54">INDEX(INC_INCVALUES,$V54,$K$1)</f>
        <v>0.3</v>
      </c>
    </row>
    <row r="55" ht="15.75" customHeight="1">
      <c r="A55" s="435" t="s">
        <v>160</v>
      </c>
      <c r="B55" s="436">
        <v>13.6</v>
      </c>
      <c r="C55" s="95" t="str">
        <f t="array" ref="C55">IF(I55&gt;0,INDEX(DB,I55,8),"")</f>
        <v>Jacob Green</v>
      </c>
      <c r="D55" s="437">
        <f t="shared" si="1"/>
        <v>34</v>
      </c>
      <c r="F55" s="438">
        <f t="shared" si="2"/>
        <v>1</v>
      </c>
      <c r="G55" t="str">
        <f t="shared" si="3"/>
        <v/>
      </c>
      <c r="H55" t="b">
        <f t="shared" si="4"/>
        <v>1</v>
      </c>
      <c r="I55" s="439">
        <f>IF(OR(ISBLANK(A55),ISNA(MATCH(A55&amp;"",AthleteNumbers,0))),0,MATCH(A55&amp;"",AthleteNumbers,0))</f>
        <v>16</v>
      </c>
      <c r="J55" s="209" t="str">
        <f t="array" ref="J55">IF(I55&gt;0,INDEX(DB,$I55,6),0)</f>
        <v/>
      </c>
      <c r="K55" s="440">
        <f t="shared" si="5"/>
        <v>13.6</v>
      </c>
      <c r="L55" s="440">
        <f t="shared" si="6"/>
        <v>13.6</v>
      </c>
      <c r="M55" s="441">
        <f>IF(AND(L55&gt;O55,O55&gt;0),MinPoints,IF(L55&lt;N55,100,+INT((O55-$L55)/P55)+MinPoints))</f>
        <v>34</v>
      </c>
      <c r="N55" s="440">
        <f t="shared" si="7"/>
        <v>7</v>
      </c>
      <c r="O55" s="440">
        <f t="shared" si="8"/>
        <v>16</v>
      </c>
      <c r="P55" s="440">
        <f t="shared" si="9"/>
        <v>0.1</v>
      </c>
      <c r="Q55">
        <f t="array" ref="Q55">IF(I55&gt;0,INDEX(DB,I55,9),EventIndex)</f>
        <v>6</v>
      </c>
      <c r="S55" s="442">
        <f t="array" ref="S55">INDEX(MINVALUES,$Q55,$K$1)</f>
        <v>16</v>
      </c>
      <c r="T55">
        <f t="array" ref="T55">INDEX(INCVALUES,$Q55,$K$1)</f>
        <v>0.1</v>
      </c>
      <c r="V55">
        <f t="array" ref="V55">+J55+(4*(INDEX(MatchScoreTable,$Q55,20)-1))</f>
        <v>4</v>
      </c>
      <c r="W55">
        <f t="array" ref="W55">INDEX(INC_MINVALUES,$V55,$K$1)</f>
        <v>34</v>
      </c>
      <c r="X55" s="212">
        <f t="array" ref="X55">INDEX(INC_INCVALUES,$V55,$K$1)</f>
        <v>0.3</v>
      </c>
    </row>
    <row r="56" ht="15.75" customHeight="1">
      <c r="A56" s="435" t="s">
        <v>153</v>
      </c>
      <c r="B56" s="436">
        <v>13.6</v>
      </c>
      <c r="C56" s="95" t="str">
        <f t="array" ref="C56">IF(I56&gt;0,INDEX(DB,I56,8),"")</f>
        <v>Toby Fry</v>
      </c>
      <c r="D56" s="437">
        <f t="shared" si="1"/>
        <v>34</v>
      </c>
      <c r="F56" s="438">
        <f t="shared" si="2"/>
        <v>1</v>
      </c>
      <c r="G56" t="str">
        <f t="shared" si="3"/>
        <v/>
      </c>
      <c r="H56" t="b">
        <f t="shared" si="4"/>
        <v>1</v>
      </c>
      <c r="I56" s="439">
        <f>IF(OR(ISBLANK(A56),ISNA(MATCH(A56&amp;"",AthleteNumbers,0))),0,MATCH(A56&amp;"",AthleteNumbers,0))</f>
        <v>13</v>
      </c>
      <c r="J56" s="209" t="str">
        <f t="array" ref="J56">IF(I56&gt;0,INDEX(DB,$I56,6),0)</f>
        <v/>
      </c>
      <c r="K56" s="440">
        <f t="shared" si="5"/>
        <v>13.6</v>
      </c>
      <c r="L56" s="440">
        <f t="shared" si="6"/>
        <v>13.6</v>
      </c>
      <c r="M56" s="441">
        <f>IF(AND(L56&gt;O56,O56&gt;0),MinPoints,IF(L56&lt;N56,100,+INT((O56-$L56)/P56)+MinPoints))</f>
        <v>34</v>
      </c>
      <c r="N56" s="440">
        <f t="shared" si="7"/>
        <v>7</v>
      </c>
      <c r="O56" s="440">
        <f t="shared" si="8"/>
        <v>16</v>
      </c>
      <c r="P56" s="440">
        <f t="shared" si="9"/>
        <v>0.1</v>
      </c>
      <c r="Q56">
        <f t="array" ref="Q56">IF(I56&gt;0,INDEX(DB,I56,9),EventIndex)</f>
        <v>6</v>
      </c>
      <c r="S56" s="442">
        <f t="array" ref="S56">INDEX(MINVALUES,$Q56,$K$1)</f>
        <v>16</v>
      </c>
      <c r="T56">
        <f t="array" ref="T56">INDEX(INCVALUES,$Q56,$K$1)</f>
        <v>0.1</v>
      </c>
      <c r="V56">
        <f t="array" ref="V56">+J56+(4*(INDEX(MatchScoreTable,$Q56,20)-1))</f>
        <v>4</v>
      </c>
      <c r="W56">
        <f t="array" ref="W56">INDEX(INC_MINVALUES,$V56,$K$1)</f>
        <v>34</v>
      </c>
      <c r="X56" s="212">
        <f t="array" ref="X56">INDEX(INC_INCVALUES,$V56,$K$1)</f>
        <v>0.3</v>
      </c>
    </row>
    <row r="57" ht="15.75" customHeight="1">
      <c r="A57" s="435" t="s">
        <v>146</v>
      </c>
      <c r="B57" s="436">
        <v>14.0</v>
      </c>
      <c r="C57" s="95" t="str">
        <f t="array" ref="C57">IF(I57&gt;0,INDEX(DB,I57,8),"")</f>
        <v>Ethan Dolman</v>
      </c>
      <c r="D57" s="437">
        <f t="shared" si="1"/>
        <v>30</v>
      </c>
      <c r="F57" s="438">
        <f t="shared" si="2"/>
        <v>1</v>
      </c>
      <c r="G57" t="str">
        <f t="shared" si="3"/>
        <v/>
      </c>
      <c r="H57" t="b">
        <f t="shared" si="4"/>
        <v>1</v>
      </c>
      <c r="I57" s="439">
        <f>IF(OR(ISBLANK(A57),ISNA(MATCH(A57&amp;"",AthleteNumbers,0))),0,MATCH(A57&amp;"",AthleteNumbers,0))</f>
        <v>10</v>
      </c>
      <c r="J57" s="209" t="str">
        <f t="array" ref="J57">IF(I57&gt;0,INDEX(DB,$I57,6),0)</f>
        <v/>
      </c>
      <c r="K57" s="440">
        <f t="shared" si="5"/>
        <v>14</v>
      </c>
      <c r="L57" s="440">
        <f t="shared" si="6"/>
        <v>14</v>
      </c>
      <c r="M57" s="441">
        <f>IF(AND(L57&gt;O57,O57&gt;0),MinPoints,IF(L57&lt;N57,100,+INT((O57-$L57)/P57)+MinPoints))</f>
        <v>30</v>
      </c>
      <c r="N57" s="440">
        <f t="shared" si="7"/>
        <v>7</v>
      </c>
      <c r="O57" s="440">
        <f t="shared" si="8"/>
        <v>16</v>
      </c>
      <c r="P57" s="440">
        <f t="shared" si="9"/>
        <v>0.1</v>
      </c>
      <c r="Q57">
        <f t="array" ref="Q57">IF(I57&gt;0,INDEX(DB,I57,9),EventIndex)</f>
        <v>6</v>
      </c>
      <c r="S57" s="442">
        <f t="array" ref="S57">INDEX(MINVALUES,$Q57,$K$1)</f>
        <v>16</v>
      </c>
      <c r="T57">
        <f t="array" ref="T57">INDEX(INCVALUES,$Q57,$K$1)</f>
        <v>0.1</v>
      </c>
      <c r="V57">
        <f t="array" ref="V57">+J57+(4*(INDEX(MatchScoreTable,$Q57,20)-1))</f>
        <v>4</v>
      </c>
      <c r="W57">
        <f t="array" ref="W57">INDEX(INC_MINVALUES,$V57,$K$1)</f>
        <v>34</v>
      </c>
      <c r="X57" s="212">
        <f t="array" ref="X57">INDEX(INC_INCVALUES,$V57,$K$1)</f>
        <v>0.3</v>
      </c>
    </row>
    <row r="58" ht="15.75" customHeight="1">
      <c r="A58" s="435" t="s">
        <v>174</v>
      </c>
      <c r="B58" s="436">
        <v>14.4</v>
      </c>
      <c r="C58" s="95" t="str">
        <f t="array" ref="C58">IF(I58&gt;0,INDEX(DB,I58,8),"")</f>
        <v>Rufus Parsons</v>
      </c>
      <c r="D58" s="437">
        <f t="shared" si="1"/>
        <v>26</v>
      </c>
      <c r="F58" s="438">
        <f t="shared" si="2"/>
        <v>1</v>
      </c>
      <c r="G58" t="str">
        <f t="shared" si="3"/>
        <v/>
      </c>
      <c r="H58" t="b">
        <f t="shared" si="4"/>
        <v>1</v>
      </c>
      <c r="I58" s="439">
        <f>IF(OR(ISBLANK(A58),ISNA(MATCH(A58&amp;"",AthleteNumbers,0))),0,MATCH(A58&amp;"",AthleteNumbers,0))</f>
        <v>22</v>
      </c>
      <c r="J58" s="209" t="str">
        <f t="array" ref="J58">IF(I58&gt;0,INDEX(DB,$I58,6),0)</f>
        <v/>
      </c>
      <c r="K58" s="440">
        <f t="shared" si="5"/>
        <v>14.4</v>
      </c>
      <c r="L58" s="440">
        <f t="shared" si="6"/>
        <v>14.4</v>
      </c>
      <c r="M58" s="441">
        <f>IF(AND(L58&gt;O58,O58&gt;0),MinPoints,IF(L58&lt;N58,100,+INT((O58-$L58)/P58)+MinPoints))</f>
        <v>26</v>
      </c>
      <c r="N58" s="440">
        <f t="shared" si="7"/>
        <v>7</v>
      </c>
      <c r="O58" s="440">
        <f t="shared" si="8"/>
        <v>16</v>
      </c>
      <c r="P58" s="440">
        <f t="shared" si="9"/>
        <v>0.1</v>
      </c>
      <c r="Q58">
        <f t="array" ref="Q58">IF(I58&gt;0,INDEX(DB,I58,9),EventIndex)</f>
        <v>6</v>
      </c>
      <c r="S58" s="442">
        <f t="array" ref="S58">INDEX(MINVALUES,$Q58,$K$1)</f>
        <v>16</v>
      </c>
      <c r="T58">
        <f t="array" ref="T58">INDEX(INCVALUES,$Q58,$K$1)</f>
        <v>0.1</v>
      </c>
      <c r="V58">
        <f t="array" ref="V58">+J58+(4*(INDEX(MatchScoreTable,$Q58,20)-1))</f>
        <v>4</v>
      </c>
      <c r="W58">
        <f t="array" ref="W58">INDEX(INC_MINVALUES,$V58,$K$1)</f>
        <v>34</v>
      </c>
      <c r="X58" s="212">
        <f t="array" ref="X58">INDEX(INC_INCVALUES,$V58,$K$1)</f>
        <v>0.3</v>
      </c>
    </row>
    <row r="59" ht="15.75" customHeight="1">
      <c r="A59" s="435" t="s">
        <v>165</v>
      </c>
      <c r="B59" s="436">
        <v>12.1</v>
      </c>
      <c r="C59" s="95" t="str">
        <f t="array" ref="C59">IF(I59&gt;0,INDEX(DB,I59,8),"")</f>
        <v>William Launder</v>
      </c>
      <c r="D59" s="437">
        <f t="shared" si="1"/>
        <v>49</v>
      </c>
      <c r="F59" s="438">
        <f t="shared" si="2"/>
        <v>1</v>
      </c>
      <c r="G59" t="str">
        <f t="shared" si="3"/>
        <v/>
      </c>
      <c r="H59" t="b">
        <f t="shared" si="4"/>
        <v>1</v>
      </c>
      <c r="I59" s="439">
        <f>IF(OR(ISBLANK(A59),ISNA(MATCH(A59&amp;"",AthleteNumbers,0))),0,MATCH(A59&amp;"",AthleteNumbers,0))</f>
        <v>18</v>
      </c>
      <c r="J59" s="209" t="str">
        <f t="array" ref="J59">IF(I59&gt;0,INDEX(DB,$I59,6),0)</f>
        <v/>
      </c>
      <c r="K59" s="440">
        <f t="shared" si="5"/>
        <v>12.1</v>
      </c>
      <c r="L59" s="440">
        <f t="shared" si="6"/>
        <v>12.1</v>
      </c>
      <c r="M59" s="441">
        <f>IF(AND(L59&gt;O59,O59&gt;0),MinPoints,IF(L59&lt;N59,100,+INT((O59-$L59)/P59)+MinPoints))</f>
        <v>49</v>
      </c>
      <c r="N59" s="440">
        <f t="shared" si="7"/>
        <v>7</v>
      </c>
      <c r="O59" s="440">
        <f t="shared" si="8"/>
        <v>16</v>
      </c>
      <c r="P59" s="440">
        <f t="shared" si="9"/>
        <v>0.1</v>
      </c>
      <c r="Q59">
        <f t="array" ref="Q59">IF(I59&gt;0,INDEX(DB,I59,9),EventIndex)</f>
        <v>6</v>
      </c>
      <c r="S59" s="442">
        <f t="array" ref="S59">INDEX(MINVALUES,$Q59,$K$1)</f>
        <v>16</v>
      </c>
      <c r="T59">
        <f t="array" ref="T59">INDEX(INCVALUES,$Q59,$K$1)</f>
        <v>0.1</v>
      </c>
      <c r="V59">
        <f t="array" ref="V59">+J59+(4*(INDEX(MatchScoreTable,$Q59,20)-1))</f>
        <v>4</v>
      </c>
      <c r="W59">
        <f t="array" ref="W59">INDEX(INC_MINVALUES,$V59,$K$1)</f>
        <v>34</v>
      </c>
      <c r="X59" s="212">
        <f t="array" ref="X59">INDEX(INC_INCVALUES,$V59,$K$1)</f>
        <v>0.3</v>
      </c>
    </row>
    <row r="60" ht="15.75" customHeight="1">
      <c r="A60" s="435" t="s">
        <v>144</v>
      </c>
      <c r="B60" s="436">
        <v>12.3</v>
      </c>
      <c r="C60" s="95" t="str">
        <f t="array" ref="C60">IF(I60&gt;0,INDEX(DB,I60,8),"")</f>
        <v>James Davie</v>
      </c>
      <c r="D60" s="437">
        <f t="shared" si="1"/>
        <v>47</v>
      </c>
      <c r="F60" s="438">
        <f t="shared" si="2"/>
        <v>1</v>
      </c>
      <c r="G60" t="str">
        <f t="shared" si="3"/>
        <v/>
      </c>
      <c r="H60" t="b">
        <f t="shared" si="4"/>
        <v>1</v>
      </c>
      <c r="I60" s="439">
        <f>IF(OR(ISBLANK(A60),ISNA(MATCH(A60&amp;"",AthleteNumbers,0))),0,MATCH(A60&amp;"",AthleteNumbers,0))</f>
        <v>9</v>
      </c>
      <c r="J60" s="209" t="str">
        <f t="array" ref="J60">IF(I60&gt;0,INDEX(DB,$I60,6),0)</f>
        <v/>
      </c>
      <c r="K60" s="440">
        <f t="shared" si="5"/>
        <v>12.3</v>
      </c>
      <c r="L60" s="440">
        <f t="shared" si="6"/>
        <v>12.3</v>
      </c>
      <c r="M60" s="441">
        <f>IF(AND(L60&gt;O60,O60&gt;0),MinPoints,IF(L60&lt;N60,100,+INT((O60-$L60)/P60)+MinPoints))</f>
        <v>47</v>
      </c>
      <c r="N60" s="440">
        <f t="shared" si="7"/>
        <v>7</v>
      </c>
      <c r="O60" s="440">
        <f t="shared" si="8"/>
        <v>16</v>
      </c>
      <c r="P60" s="440">
        <f t="shared" si="9"/>
        <v>0.1</v>
      </c>
      <c r="Q60">
        <f t="array" ref="Q60">IF(I60&gt;0,INDEX(DB,I60,9),EventIndex)</f>
        <v>6</v>
      </c>
      <c r="S60" s="442">
        <f t="array" ref="S60">INDEX(MINVALUES,$Q60,$K$1)</f>
        <v>16</v>
      </c>
      <c r="T60">
        <f t="array" ref="T60">INDEX(INCVALUES,$Q60,$K$1)</f>
        <v>0.1</v>
      </c>
      <c r="V60">
        <f t="array" ref="V60">+J60+(4*(INDEX(MatchScoreTable,$Q60,20)-1))</f>
        <v>4</v>
      </c>
      <c r="W60">
        <f t="array" ref="W60">INDEX(INC_MINVALUES,$V60,$K$1)</f>
        <v>34</v>
      </c>
      <c r="X60" s="212">
        <f t="array" ref="X60">INDEX(INC_INCVALUES,$V60,$K$1)</f>
        <v>0.3</v>
      </c>
    </row>
    <row r="61" ht="15.75" customHeight="1">
      <c r="A61" s="435" t="s">
        <v>140</v>
      </c>
      <c r="B61" s="436">
        <v>13.6</v>
      </c>
      <c r="C61" s="95" t="str">
        <f t="array" ref="C61">IF(I61&gt;0,INDEX(DB,I61,8),"")</f>
        <v>Ethan Crowley</v>
      </c>
      <c r="D61" s="437">
        <f t="shared" si="1"/>
        <v>34</v>
      </c>
      <c r="F61" s="438">
        <f t="shared" si="2"/>
        <v>1</v>
      </c>
      <c r="G61" t="str">
        <f t="shared" si="3"/>
        <v/>
      </c>
      <c r="H61" t="b">
        <f t="shared" si="4"/>
        <v>1</v>
      </c>
      <c r="I61" s="439">
        <f>IF(OR(ISBLANK(A61),ISNA(MATCH(A61&amp;"",AthleteNumbers,0))),0,MATCH(A61&amp;"",AthleteNumbers,0))</f>
        <v>7</v>
      </c>
      <c r="J61" s="209" t="str">
        <f t="array" ref="J61">IF(I61&gt;0,INDEX(DB,$I61,6),0)</f>
        <v/>
      </c>
      <c r="K61" s="440">
        <f t="shared" si="5"/>
        <v>13.6</v>
      </c>
      <c r="L61" s="440">
        <f t="shared" si="6"/>
        <v>13.6</v>
      </c>
      <c r="M61" s="441">
        <f>IF(AND(L61&gt;O61,O61&gt;0),MinPoints,IF(L61&lt;N61,100,+INT((O61-$L61)/P61)+MinPoints))</f>
        <v>34</v>
      </c>
      <c r="N61" s="440">
        <f t="shared" si="7"/>
        <v>7</v>
      </c>
      <c r="O61" s="440">
        <f t="shared" si="8"/>
        <v>16</v>
      </c>
      <c r="P61" s="440">
        <f t="shared" si="9"/>
        <v>0.1</v>
      </c>
      <c r="Q61">
        <f t="array" ref="Q61">IF(I61&gt;0,INDEX(DB,I61,9),EventIndex)</f>
        <v>6</v>
      </c>
      <c r="S61" s="442">
        <f t="array" ref="S61">INDEX(MINVALUES,$Q61,$K$1)</f>
        <v>16</v>
      </c>
      <c r="T61">
        <f t="array" ref="T61">INDEX(INCVALUES,$Q61,$K$1)</f>
        <v>0.1</v>
      </c>
      <c r="V61">
        <f t="array" ref="V61">+J61+(4*(INDEX(MatchScoreTable,$Q61,20)-1))</f>
        <v>4</v>
      </c>
      <c r="W61">
        <f t="array" ref="W61">INDEX(INC_MINVALUES,$V61,$K$1)</f>
        <v>34</v>
      </c>
      <c r="X61" s="212">
        <f t="array" ref="X61">INDEX(INC_INCVALUES,$V61,$K$1)</f>
        <v>0.3</v>
      </c>
    </row>
    <row r="62" ht="15.75" customHeight="1">
      <c r="A62" s="435" t="s">
        <v>180</v>
      </c>
      <c r="B62" s="436">
        <v>14.0</v>
      </c>
      <c r="C62" s="95" t="str">
        <f t="array" ref="C62">IF(I62&gt;0,INDEX(DB,I62,8),"")</f>
        <v>Oscar Robertson</v>
      </c>
      <c r="D62" s="437">
        <f t="shared" si="1"/>
        <v>30</v>
      </c>
      <c r="F62" s="438">
        <f t="shared" si="2"/>
        <v>1</v>
      </c>
      <c r="G62" t="str">
        <f t="shared" si="3"/>
        <v/>
      </c>
      <c r="H62" t="b">
        <f t="shared" si="4"/>
        <v>1</v>
      </c>
      <c r="I62" s="439">
        <f>IF(OR(ISBLANK(A62),ISNA(MATCH(A62&amp;"",AthleteNumbers,0))),0,MATCH(A62&amp;"",AthleteNumbers,0))</f>
        <v>25</v>
      </c>
      <c r="J62" s="209" t="str">
        <f t="array" ref="J62">IF(I62&gt;0,INDEX(DB,$I62,6),0)</f>
        <v/>
      </c>
      <c r="K62" s="440">
        <f t="shared" si="5"/>
        <v>14</v>
      </c>
      <c r="L62" s="440">
        <f t="shared" si="6"/>
        <v>14</v>
      </c>
      <c r="M62" s="441">
        <f>IF(AND(L62&gt;O62,O62&gt;0),MinPoints,IF(L62&lt;N62,100,+INT((O62-$L62)/P62)+MinPoints))</f>
        <v>30</v>
      </c>
      <c r="N62" s="440">
        <f t="shared" si="7"/>
        <v>7</v>
      </c>
      <c r="O62" s="440">
        <f t="shared" si="8"/>
        <v>16</v>
      </c>
      <c r="P62" s="440">
        <f t="shared" si="9"/>
        <v>0.1</v>
      </c>
      <c r="Q62">
        <f t="array" ref="Q62">IF(I62&gt;0,INDEX(DB,I62,9),EventIndex)</f>
        <v>6</v>
      </c>
      <c r="S62" s="442">
        <f t="array" ref="S62">INDEX(MINVALUES,$Q62,$K$1)</f>
        <v>16</v>
      </c>
      <c r="T62">
        <f t="array" ref="T62">INDEX(INCVALUES,$Q62,$K$1)</f>
        <v>0.1</v>
      </c>
      <c r="V62">
        <f t="array" ref="V62">+J62+(4*(INDEX(MatchScoreTable,$Q62,20)-1))</f>
        <v>4</v>
      </c>
      <c r="W62">
        <f t="array" ref="W62">INDEX(INC_MINVALUES,$V62,$K$1)</f>
        <v>34</v>
      </c>
      <c r="X62" s="212">
        <f t="array" ref="X62">INDEX(INC_INCVALUES,$V62,$K$1)</f>
        <v>0.3</v>
      </c>
    </row>
    <row r="63" ht="15.75" customHeight="1">
      <c r="A63" s="435" t="s">
        <v>167</v>
      </c>
      <c r="B63" s="436">
        <v>14.3</v>
      </c>
      <c r="C63" s="95" t="str">
        <f t="array" ref="C63">IF(I63&gt;0,INDEX(DB,I63,8),"")</f>
        <v>Marvin Marshall</v>
      </c>
      <c r="D63" s="437">
        <f t="shared" si="1"/>
        <v>27</v>
      </c>
      <c r="F63" s="438">
        <f t="shared" si="2"/>
        <v>1</v>
      </c>
      <c r="G63" t="str">
        <f t="shared" si="3"/>
        <v/>
      </c>
      <c r="H63" t="b">
        <f t="shared" si="4"/>
        <v>1</v>
      </c>
      <c r="I63" s="439">
        <f>IF(OR(ISBLANK(A63),ISNA(MATCH(A63&amp;"",AthleteNumbers,0))),0,MATCH(A63&amp;"",AthleteNumbers,0))</f>
        <v>19</v>
      </c>
      <c r="J63" s="209" t="str">
        <f t="array" ref="J63">IF(I63&gt;0,INDEX(DB,$I63,6),0)</f>
        <v/>
      </c>
      <c r="K63" s="440">
        <f t="shared" si="5"/>
        <v>14.3</v>
      </c>
      <c r="L63" s="440">
        <f t="shared" si="6"/>
        <v>14.3</v>
      </c>
      <c r="M63" s="441">
        <f>IF(AND(L63&gt;O63,O63&gt;0),MinPoints,IF(L63&lt;N63,100,+INT((O63-$L63)/P63)+MinPoints))</f>
        <v>27</v>
      </c>
      <c r="N63" s="440">
        <f t="shared" si="7"/>
        <v>7</v>
      </c>
      <c r="O63" s="440">
        <f t="shared" si="8"/>
        <v>16</v>
      </c>
      <c r="P63" s="440">
        <f t="shared" si="9"/>
        <v>0.1</v>
      </c>
      <c r="Q63">
        <f t="array" ref="Q63">IF(I63&gt;0,INDEX(DB,I63,9),EventIndex)</f>
        <v>6</v>
      </c>
      <c r="S63" s="442">
        <f t="array" ref="S63">INDEX(MINVALUES,$Q63,$K$1)</f>
        <v>16</v>
      </c>
      <c r="T63">
        <f t="array" ref="T63">INDEX(INCVALUES,$Q63,$K$1)</f>
        <v>0.1</v>
      </c>
      <c r="V63">
        <f t="array" ref="V63">+J63+(4*(INDEX(MatchScoreTable,$Q63,20)-1))</f>
        <v>4</v>
      </c>
      <c r="W63">
        <f t="array" ref="W63">INDEX(INC_MINVALUES,$V63,$K$1)</f>
        <v>34</v>
      </c>
      <c r="X63" s="212">
        <f t="array" ref="X63">INDEX(INC_INCVALUES,$V63,$K$1)</f>
        <v>0.3</v>
      </c>
    </row>
    <row r="64" ht="15.75" customHeight="1">
      <c r="A64" s="435" t="s">
        <v>155</v>
      </c>
      <c r="B64" s="436">
        <v>14.8</v>
      </c>
      <c r="C64" s="95" t="str">
        <f t="array" ref="C64">IF(I64&gt;0,INDEX(DB,I64,8),"")</f>
        <v>Tom Fry</v>
      </c>
      <c r="D64" s="437">
        <f t="shared" si="1"/>
        <v>22</v>
      </c>
      <c r="F64" s="438">
        <f t="shared" si="2"/>
        <v>1</v>
      </c>
      <c r="G64" t="str">
        <f t="shared" si="3"/>
        <v/>
      </c>
      <c r="H64" t="b">
        <f t="shared" si="4"/>
        <v>1</v>
      </c>
      <c r="I64" s="439">
        <f>IF(OR(ISBLANK(A64),ISNA(MATCH(A64&amp;"",AthleteNumbers,0))),0,MATCH(A64&amp;"",AthleteNumbers,0))</f>
        <v>14</v>
      </c>
      <c r="J64" s="209" t="str">
        <f t="array" ref="J64">IF(I64&gt;0,INDEX(DB,$I64,6),0)</f>
        <v/>
      </c>
      <c r="K64" s="440">
        <f t="shared" si="5"/>
        <v>14.8</v>
      </c>
      <c r="L64" s="440">
        <f t="shared" si="6"/>
        <v>14.8</v>
      </c>
      <c r="M64" s="441">
        <f>IF(AND(L64&gt;O64,O64&gt;0),MinPoints,IF(L64&lt;N64,100,+INT((O64-$L64)/P64)+MinPoints))</f>
        <v>22</v>
      </c>
      <c r="N64" s="440">
        <f t="shared" si="7"/>
        <v>7</v>
      </c>
      <c r="O64" s="440">
        <f t="shared" si="8"/>
        <v>16</v>
      </c>
      <c r="P64" s="440">
        <f t="shared" si="9"/>
        <v>0.1</v>
      </c>
      <c r="Q64">
        <f t="array" ref="Q64">IF(I64&gt;0,INDEX(DB,I64,9),EventIndex)</f>
        <v>6</v>
      </c>
      <c r="S64" s="442">
        <f t="array" ref="S64">INDEX(MINVALUES,$Q64,$K$1)</f>
        <v>16</v>
      </c>
      <c r="T64">
        <f t="array" ref="T64">INDEX(INCVALUES,$Q64,$K$1)</f>
        <v>0.1</v>
      </c>
      <c r="V64">
        <f t="array" ref="V64">+J64+(4*(INDEX(MatchScoreTable,$Q64,20)-1))</f>
        <v>4</v>
      </c>
      <c r="W64">
        <f t="array" ref="W64">INDEX(INC_MINVALUES,$V64,$K$1)</f>
        <v>34</v>
      </c>
      <c r="X64" s="212">
        <f t="array" ref="X64">INDEX(INC_INCVALUES,$V64,$K$1)</f>
        <v>0.3</v>
      </c>
    </row>
    <row r="65" ht="15.75" customHeight="1">
      <c r="A65" s="435" t="s">
        <v>142</v>
      </c>
      <c r="B65" s="436">
        <v>11.8</v>
      </c>
      <c r="C65" s="95" t="str">
        <f t="array" ref="C65">IF(I65&gt;0,INDEX(DB,I65,8),"")</f>
        <v>Alfie Curtis</v>
      </c>
      <c r="D65" s="437">
        <f t="shared" si="1"/>
        <v>52</v>
      </c>
      <c r="F65" s="438">
        <f t="shared" si="2"/>
        <v>1</v>
      </c>
      <c r="G65" t="str">
        <f t="shared" si="3"/>
        <v/>
      </c>
      <c r="H65" t="b">
        <f t="shared" si="4"/>
        <v>1</v>
      </c>
      <c r="I65" s="439">
        <f>IF(OR(ISBLANK(A65),ISNA(MATCH(A65&amp;"",AthleteNumbers,0))),0,MATCH(A65&amp;"",AthleteNumbers,0))</f>
        <v>8</v>
      </c>
      <c r="J65" s="209" t="str">
        <f t="array" ref="J65">IF(I65&gt;0,INDEX(DB,$I65,6),0)</f>
        <v/>
      </c>
      <c r="K65" s="440">
        <f t="shared" si="5"/>
        <v>11.8</v>
      </c>
      <c r="L65" s="440">
        <f t="shared" si="6"/>
        <v>11.8</v>
      </c>
      <c r="M65" s="441">
        <f>IF(AND(L65&gt;O65,O65&gt;0),MinPoints,IF(L65&lt;N65,100,+INT((O65-$L65)/P65)+MinPoints))</f>
        <v>52</v>
      </c>
      <c r="N65" s="440">
        <f t="shared" si="7"/>
        <v>7</v>
      </c>
      <c r="O65" s="440">
        <f t="shared" si="8"/>
        <v>16</v>
      </c>
      <c r="P65" s="440">
        <f t="shared" si="9"/>
        <v>0.1</v>
      </c>
      <c r="Q65">
        <f t="array" ref="Q65">IF(I65&gt;0,INDEX(DB,I65,9),EventIndex)</f>
        <v>6</v>
      </c>
      <c r="S65" s="442">
        <f t="array" ref="S65">INDEX(MINVALUES,$Q65,$K$1)</f>
        <v>16</v>
      </c>
      <c r="T65">
        <f t="array" ref="T65">INDEX(INCVALUES,$Q65,$K$1)</f>
        <v>0.1</v>
      </c>
      <c r="V65">
        <f t="array" ref="V65">+J65+(4*(INDEX(MatchScoreTable,$Q65,20)-1))</f>
        <v>4</v>
      </c>
      <c r="W65">
        <f t="array" ref="W65">INDEX(INC_MINVALUES,$V65,$K$1)</f>
        <v>34</v>
      </c>
      <c r="X65" s="212">
        <f t="array" ref="X65">INDEX(INC_INCVALUES,$V65,$K$1)</f>
        <v>0.3</v>
      </c>
    </row>
    <row r="66" ht="15.75" customHeight="1">
      <c r="A66" s="435" t="s">
        <v>128</v>
      </c>
      <c r="B66" s="436">
        <v>11.9</v>
      </c>
      <c r="C66" s="95" t="str">
        <f t="array" ref="C66">IF(I66&gt;0,INDEX(DB,I66,8),"")</f>
        <v>Elouan Biwole</v>
      </c>
      <c r="D66" s="437">
        <f t="shared" si="1"/>
        <v>51</v>
      </c>
      <c r="F66" s="438">
        <f t="shared" si="2"/>
        <v>1</v>
      </c>
      <c r="G66" t="str">
        <f t="shared" si="3"/>
        <v/>
      </c>
      <c r="H66" t="b">
        <f t="shared" si="4"/>
        <v>1</v>
      </c>
      <c r="I66" s="439">
        <f>IF(OR(ISBLANK(A66),ISNA(MATCH(A66&amp;"",AthleteNumbers,0))),0,MATCH(A66&amp;"",AthleteNumbers,0))</f>
        <v>3</v>
      </c>
      <c r="J66" s="209" t="str">
        <f t="array" ref="J66">IF(I66&gt;0,INDEX(DB,$I66,6),0)</f>
        <v/>
      </c>
      <c r="K66" s="440">
        <f t="shared" si="5"/>
        <v>11.9</v>
      </c>
      <c r="L66" s="440">
        <f t="shared" si="6"/>
        <v>11.9</v>
      </c>
      <c r="M66" s="441">
        <f>IF(AND(L66&gt;O66,O66&gt;0),MinPoints,IF(L66&lt;N66,100,+INT((O66-$L66)/P66)+MinPoints))</f>
        <v>51</v>
      </c>
      <c r="N66" s="440">
        <f t="shared" si="7"/>
        <v>7</v>
      </c>
      <c r="O66" s="440">
        <f t="shared" si="8"/>
        <v>16</v>
      </c>
      <c r="P66" s="440">
        <f t="shared" si="9"/>
        <v>0.1</v>
      </c>
      <c r="Q66">
        <f t="array" ref="Q66">IF(I66&gt;0,INDEX(DB,I66,9),EventIndex)</f>
        <v>6</v>
      </c>
      <c r="S66" s="442">
        <f t="array" ref="S66">INDEX(MINVALUES,$Q66,$K$1)</f>
        <v>16</v>
      </c>
      <c r="T66">
        <f t="array" ref="T66">INDEX(INCVALUES,$Q66,$K$1)</f>
        <v>0.1</v>
      </c>
      <c r="V66">
        <f t="array" ref="V66">+J66+(4*(INDEX(MatchScoreTable,$Q66,20)-1))</f>
        <v>4</v>
      </c>
      <c r="W66">
        <f t="array" ref="W66">INDEX(INC_MINVALUES,$V66,$K$1)</f>
        <v>34</v>
      </c>
      <c r="X66" s="212">
        <f t="array" ref="X66">INDEX(INC_INCVALUES,$V66,$K$1)</f>
        <v>0.3</v>
      </c>
    </row>
    <row r="67" ht="15.75" customHeight="1">
      <c r="A67" s="435" t="s">
        <v>188</v>
      </c>
      <c r="B67" s="436">
        <v>12.3</v>
      </c>
      <c r="C67" s="95" t="str">
        <f t="array" ref="C67">IF(I67&gt;0,INDEX(DB,I67,8),"")</f>
        <v>Leo Thomasson</v>
      </c>
      <c r="D67" s="437">
        <f t="shared" si="1"/>
        <v>47</v>
      </c>
      <c r="F67" s="438">
        <f t="shared" si="2"/>
        <v>1</v>
      </c>
      <c r="G67" t="str">
        <f t="shared" si="3"/>
        <v/>
      </c>
      <c r="H67" t="b">
        <f t="shared" si="4"/>
        <v>1</v>
      </c>
      <c r="I67" s="439">
        <f>IF(OR(ISBLANK(A67),ISNA(MATCH(A67&amp;"",AthleteNumbers,0))),0,MATCH(A67&amp;"",AthleteNumbers,0))</f>
        <v>29</v>
      </c>
      <c r="J67" s="209" t="str">
        <f t="array" ref="J67">IF(I67&gt;0,INDEX(DB,$I67,6),0)</f>
        <v/>
      </c>
      <c r="K67" s="440">
        <f t="shared" si="5"/>
        <v>12.3</v>
      </c>
      <c r="L67" s="440">
        <f t="shared" si="6"/>
        <v>12.3</v>
      </c>
      <c r="M67" s="441">
        <f>IF(AND(L67&gt;O67,O67&gt;0),MinPoints,IF(L67&lt;N67,100,+INT((O67-$L67)/P67)+MinPoints))</f>
        <v>47</v>
      </c>
      <c r="N67" s="440">
        <f t="shared" si="7"/>
        <v>7</v>
      </c>
      <c r="O67" s="440">
        <f t="shared" si="8"/>
        <v>16</v>
      </c>
      <c r="P67" s="440">
        <f t="shared" si="9"/>
        <v>0.1</v>
      </c>
      <c r="Q67">
        <f t="array" ref="Q67">IF(I67&gt;0,INDEX(DB,I67,9),EventIndex)</f>
        <v>6</v>
      </c>
      <c r="S67" s="442">
        <f t="array" ref="S67">INDEX(MINVALUES,$Q67,$K$1)</f>
        <v>16</v>
      </c>
      <c r="T67">
        <f t="array" ref="T67">INDEX(INCVALUES,$Q67,$K$1)</f>
        <v>0.1</v>
      </c>
      <c r="V67">
        <f t="array" ref="V67">+J67+(4*(INDEX(MatchScoreTable,$Q67,20)-1))</f>
        <v>4</v>
      </c>
      <c r="W67">
        <f t="array" ref="W67">INDEX(INC_MINVALUES,$V67,$K$1)</f>
        <v>34</v>
      </c>
      <c r="X67" s="212">
        <f t="array" ref="X67">INDEX(INC_INCVALUES,$V67,$K$1)</f>
        <v>0.3</v>
      </c>
    </row>
    <row r="68" ht="15.75" customHeight="1">
      <c r="A68" s="435" t="s">
        <v>176</v>
      </c>
      <c r="B68" s="436">
        <v>12.5</v>
      </c>
      <c r="C68" s="95" t="str">
        <f t="array" ref="C68">IF(I68&gt;0,INDEX(DB,I68,8),"")</f>
        <v>Charlie Peters</v>
      </c>
      <c r="D68" s="437">
        <f t="shared" si="1"/>
        <v>45</v>
      </c>
      <c r="F68" s="438">
        <f t="shared" si="2"/>
        <v>1</v>
      </c>
      <c r="G68" t="str">
        <f t="shared" si="3"/>
        <v/>
      </c>
      <c r="H68" t="b">
        <f t="shared" si="4"/>
        <v>1</v>
      </c>
      <c r="I68" s="439">
        <f>IF(OR(ISBLANK(A68),ISNA(MATCH(A68&amp;"",AthleteNumbers,0))),0,MATCH(A68&amp;"",AthleteNumbers,0))</f>
        <v>23</v>
      </c>
      <c r="J68" s="209" t="str">
        <f t="array" ref="J68">IF(I68&gt;0,INDEX(DB,$I68,6),0)</f>
        <v/>
      </c>
      <c r="K68" s="440">
        <f t="shared" si="5"/>
        <v>12.5</v>
      </c>
      <c r="L68" s="440">
        <f t="shared" si="6"/>
        <v>12.5</v>
      </c>
      <c r="M68" s="441">
        <f>IF(AND(L68&gt;O68,O68&gt;0),MinPoints,IF(L68&lt;N68,100,+INT((O68-$L68)/P68)+MinPoints))</f>
        <v>45</v>
      </c>
      <c r="N68" s="440">
        <f t="shared" si="7"/>
        <v>7</v>
      </c>
      <c r="O68" s="440">
        <f t="shared" si="8"/>
        <v>16</v>
      </c>
      <c r="P68" s="440">
        <f t="shared" si="9"/>
        <v>0.1</v>
      </c>
      <c r="Q68">
        <f t="array" ref="Q68">IF(I68&gt;0,INDEX(DB,I68,9),EventIndex)</f>
        <v>6</v>
      </c>
      <c r="S68" s="442">
        <f t="array" ref="S68">INDEX(MINVALUES,$Q68,$K$1)</f>
        <v>16</v>
      </c>
      <c r="T68">
        <f t="array" ref="T68">INDEX(INCVALUES,$Q68,$K$1)</f>
        <v>0.1</v>
      </c>
      <c r="V68">
        <f t="array" ref="V68">+J68+(4*(INDEX(MatchScoreTable,$Q68,20)-1))</f>
        <v>4</v>
      </c>
      <c r="W68">
        <f t="array" ref="W68">INDEX(INC_MINVALUES,$V68,$K$1)</f>
        <v>34</v>
      </c>
      <c r="X68" s="212">
        <f t="array" ref="X68">INDEX(INC_INCVALUES,$V68,$K$1)</f>
        <v>0.3</v>
      </c>
    </row>
    <row r="69" ht="15.75" customHeight="1">
      <c r="A69" s="435" t="s">
        <v>158</v>
      </c>
      <c r="B69" s="436">
        <v>13.1</v>
      </c>
      <c r="C69" s="95" t="str">
        <f t="array" ref="C69">IF(I69&gt;0,INDEX(DB,I69,8),"")</f>
        <v>Jake Goddard</v>
      </c>
      <c r="D69" s="437">
        <f t="shared" si="1"/>
        <v>39</v>
      </c>
      <c r="F69" s="438">
        <f t="shared" si="2"/>
        <v>1</v>
      </c>
      <c r="G69" t="str">
        <f t="shared" si="3"/>
        <v/>
      </c>
      <c r="H69" t="b">
        <f t="shared" si="4"/>
        <v>1</v>
      </c>
      <c r="I69" s="439">
        <f>IF(OR(ISBLANK(A69),ISNA(MATCH(A69&amp;"",AthleteNumbers,0))),0,MATCH(A69&amp;"",AthleteNumbers,0))</f>
        <v>15</v>
      </c>
      <c r="J69" s="209" t="str">
        <f t="array" ref="J69">IF(I69&gt;0,INDEX(DB,$I69,6),0)</f>
        <v/>
      </c>
      <c r="K69" s="440">
        <f t="shared" si="5"/>
        <v>13.1</v>
      </c>
      <c r="L69" s="440">
        <f t="shared" si="6"/>
        <v>13.1</v>
      </c>
      <c r="M69" s="441">
        <f>IF(AND(L69&gt;O69,O69&gt;0),MinPoints,IF(L69&lt;N69,100,+INT((O69-$L69)/P69)+MinPoints))</f>
        <v>39</v>
      </c>
      <c r="N69" s="440">
        <f t="shared" si="7"/>
        <v>7</v>
      </c>
      <c r="O69" s="440">
        <f t="shared" si="8"/>
        <v>16</v>
      </c>
      <c r="P69" s="440">
        <f t="shared" si="9"/>
        <v>0.1</v>
      </c>
      <c r="Q69">
        <f t="array" ref="Q69">IF(I69&gt;0,INDEX(DB,I69,9),EventIndex)</f>
        <v>6</v>
      </c>
      <c r="S69" s="442">
        <f t="array" ref="S69">INDEX(MINVALUES,$Q69,$K$1)</f>
        <v>16</v>
      </c>
      <c r="T69">
        <f t="array" ref="T69">INDEX(INCVALUES,$Q69,$K$1)</f>
        <v>0.1</v>
      </c>
      <c r="V69">
        <f t="array" ref="V69">+J69+(4*(INDEX(MatchScoreTable,$Q69,20)-1))</f>
        <v>4</v>
      </c>
      <c r="W69">
        <f t="array" ref="W69">INDEX(INC_MINVALUES,$V69,$K$1)</f>
        <v>34</v>
      </c>
      <c r="X69" s="212">
        <f t="array" ref="X69">INDEX(INC_INCVALUES,$V69,$K$1)</f>
        <v>0.3</v>
      </c>
    </row>
    <row r="70" ht="15.75" customHeight="1">
      <c r="A70" s="435" t="s">
        <v>121</v>
      </c>
      <c r="B70" s="436">
        <v>14.3</v>
      </c>
      <c r="C70" s="95" t="str">
        <f t="array" ref="C70">IF(I70&gt;0,INDEX(DB,I70,8),"")</f>
        <v>Harry Adams</v>
      </c>
      <c r="D70" s="437">
        <f t="shared" si="1"/>
        <v>27</v>
      </c>
      <c r="F70" s="438">
        <f t="shared" si="2"/>
        <v>1</v>
      </c>
      <c r="G70" t="str">
        <f t="shared" si="3"/>
        <v/>
      </c>
      <c r="H70" t="b">
        <f t="shared" si="4"/>
        <v>1</v>
      </c>
      <c r="I70" s="439">
        <f>IF(OR(ISBLANK(A70),ISNA(MATCH(A70&amp;"",AthleteNumbers,0))),0,MATCH(A70&amp;"",AthleteNumbers,0))</f>
        <v>1</v>
      </c>
      <c r="J70" s="209" t="str">
        <f t="array" ref="J70">IF(I70&gt;0,INDEX(DB,$I70,6),0)</f>
        <v/>
      </c>
      <c r="K70" s="440">
        <f t="shared" si="5"/>
        <v>14.3</v>
      </c>
      <c r="L70" s="440">
        <f t="shared" si="6"/>
        <v>14.3</v>
      </c>
      <c r="M70" s="441">
        <f>IF(AND(L70&gt;O70,O70&gt;0),MinPoints,IF(L70&lt;N70,100,+INT((O70-$L70)/P70)+MinPoints))</f>
        <v>27</v>
      </c>
      <c r="N70" s="440">
        <f t="shared" si="7"/>
        <v>7</v>
      </c>
      <c r="O70" s="440">
        <f t="shared" si="8"/>
        <v>16</v>
      </c>
      <c r="P70" s="440">
        <f t="shared" si="9"/>
        <v>0.1</v>
      </c>
      <c r="Q70">
        <f t="array" ref="Q70">IF(I70&gt;0,INDEX(DB,I70,9),EventIndex)</f>
        <v>6</v>
      </c>
      <c r="S70" s="442">
        <f t="array" ref="S70">INDEX(MINVALUES,$Q70,$K$1)</f>
        <v>16</v>
      </c>
      <c r="T70">
        <f t="array" ref="T70">INDEX(INCVALUES,$Q70,$K$1)</f>
        <v>0.1</v>
      </c>
      <c r="V70">
        <f t="array" ref="V70">+J70+(4*(INDEX(MatchScoreTable,$Q70,20)-1))</f>
        <v>4</v>
      </c>
      <c r="W70">
        <f t="array" ref="W70">INDEX(INC_MINVALUES,$V70,$K$1)</f>
        <v>34</v>
      </c>
      <c r="X70" s="212">
        <f t="array" ref="X70">INDEX(INC_INCVALUES,$V70,$K$1)</f>
        <v>0.3</v>
      </c>
    </row>
    <row r="71" ht="15.75" customHeight="1">
      <c r="A71" s="435" t="s">
        <v>184</v>
      </c>
      <c r="B71" s="436">
        <v>14.3</v>
      </c>
      <c r="C71" s="95" t="str">
        <f t="array" ref="C71">IF(I71&gt;0,INDEX(DB,I71,8),"")</f>
        <v>Liam Sharp</v>
      </c>
      <c r="D71" s="437">
        <f t="shared" si="1"/>
        <v>27</v>
      </c>
      <c r="F71" s="438">
        <f t="shared" si="2"/>
        <v>1</v>
      </c>
      <c r="G71" t="str">
        <f t="shared" si="3"/>
        <v/>
      </c>
      <c r="H71" t="b">
        <f t="shared" si="4"/>
        <v>1</v>
      </c>
      <c r="I71" s="439">
        <f>IF(OR(ISBLANK(A71),ISNA(MATCH(A71&amp;"",AthleteNumbers,0))),0,MATCH(A71&amp;"",AthleteNumbers,0))</f>
        <v>27</v>
      </c>
      <c r="J71" s="209" t="str">
        <f t="array" ref="J71">IF(I71&gt;0,INDEX(DB,$I71,6),0)</f>
        <v/>
      </c>
      <c r="K71" s="440">
        <f t="shared" si="5"/>
        <v>14.3</v>
      </c>
      <c r="L71" s="440">
        <f t="shared" si="6"/>
        <v>14.3</v>
      </c>
      <c r="M71" s="441">
        <f>IF(AND(L71&gt;O71,O71&gt;0),MinPoints,IF(L71&lt;N71,100,+INT((O71-$L71)/P71)+MinPoints))</f>
        <v>27</v>
      </c>
      <c r="N71" s="440">
        <f t="shared" si="7"/>
        <v>7</v>
      </c>
      <c r="O71" s="440">
        <f t="shared" si="8"/>
        <v>16</v>
      </c>
      <c r="P71" s="440">
        <f t="shared" si="9"/>
        <v>0.1</v>
      </c>
      <c r="Q71">
        <f t="array" ref="Q71">IF(I71&gt;0,INDEX(DB,I71,9),EventIndex)</f>
        <v>6</v>
      </c>
      <c r="S71" s="442">
        <f t="array" ref="S71">INDEX(MINVALUES,$Q71,$K$1)</f>
        <v>16</v>
      </c>
      <c r="T71">
        <f t="array" ref="T71">INDEX(INCVALUES,$Q71,$K$1)</f>
        <v>0.1</v>
      </c>
      <c r="V71">
        <f t="array" ref="V71">+J71+(4*(INDEX(MatchScoreTable,$Q71,20)-1))</f>
        <v>4</v>
      </c>
      <c r="W71">
        <f t="array" ref="W71">INDEX(INC_MINVALUES,$V71,$K$1)</f>
        <v>34</v>
      </c>
      <c r="X71" s="212">
        <f t="array" ref="X71">INDEX(INC_INCVALUES,$V71,$K$1)</f>
        <v>0.3</v>
      </c>
    </row>
    <row r="72" ht="15.75" customHeight="1">
      <c r="A72" s="435"/>
      <c r="B72" s="436"/>
      <c r="C72" s="95" t="str">
        <f t="array" ref="C72">IF(I72&gt;0,INDEX(DB,I72,8),"")</f>
        <v/>
      </c>
      <c r="D72" s="437">
        <f t="shared" si="1"/>
        <v>0</v>
      </c>
      <c r="F72" s="438">
        <f t="shared" si="2"/>
        <v>0</v>
      </c>
      <c r="G72" t="str">
        <f t="shared" si="3"/>
        <v/>
      </c>
      <c r="H72" t="b">
        <f t="shared" si="4"/>
        <v>0</v>
      </c>
      <c r="I72" s="439">
        <f>IF(OR(ISBLANK(A72),ISNA(MATCH(A72&amp;"",AthleteNumbers,0))),0,MATCH(A72&amp;"",AthleteNumbers,0))</f>
        <v>0</v>
      </c>
      <c r="J72" s="209">
        <f t="array" ref="J72">IF(I72&gt;0,INDEX(DB,$I72,6),0)</f>
        <v>0</v>
      </c>
      <c r="K72" s="440">
        <f t="shared" si="5"/>
        <v>0</v>
      </c>
      <c r="L72" s="440">
        <f t="shared" si="6"/>
        <v>0</v>
      </c>
      <c r="M72" s="441">
        <f>IF(AND(L72&gt;O72,O72&gt;0),MinPoints,IF(L72&lt;N72,100,+INT((O72-$L72)/P72)+MinPoints))</f>
        <v>100</v>
      </c>
      <c r="N72" s="440">
        <f t="shared" si="7"/>
        <v>7</v>
      </c>
      <c r="O72" s="440">
        <f t="shared" si="8"/>
        <v>16</v>
      </c>
      <c r="P72" s="440">
        <f t="shared" si="9"/>
        <v>0.1</v>
      </c>
      <c r="Q72">
        <f t="array" ref="Q72">IF(I72&gt;0,INDEX(DB,I72,9),EventIndex)</f>
        <v>6</v>
      </c>
      <c r="S72" s="442">
        <f t="array" ref="S72">INDEX(MINVALUES,$Q72,$K$1)</f>
        <v>16</v>
      </c>
      <c r="T72">
        <f t="array" ref="T72">INDEX(INCVALUES,$Q72,$K$1)</f>
        <v>0.1</v>
      </c>
      <c r="V72">
        <f t="array" ref="V72">+J72+(4*(INDEX(MatchScoreTable,$Q72,20)-1))</f>
        <v>4</v>
      </c>
      <c r="W72">
        <f t="array" ref="W72">INDEX(INC_MINVALUES,$V72,$K$1)</f>
        <v>34</v>
      </c>
      <c r="X72" s="212">
        <f t="array" ref="X72">INDEX(INC_INCVALUES,$V72,$K$1)</f>
        <v>0.3</v>
      </c>
    </row>
    <row r="73" ht="15.75" customHeight="1">
      <c r="A73" s="435"/>
      <c r="B73" s="436"/>
      <c r="C73" s="95" t="str">
        <f t="array" ref="C73">IF(I73&gt;0,INDEX(DB,I73,8),"")</f>
        <v/>
      </c>
      <c r="D73" s="437">
        <f t="shared" si="1"/>
        <v>0</v>
      </c>
      <c r="F73" s="438">
        <f t="shared" si="2"/>
        <v>0</v>
      </c>
      <c r="G73" t="str">
        <f t="shared" si="3"/>
        <v/>
      </c>
      <c r="H73" t="b">
        <f t="shared" si="4"/>
        <v>0</v>
      </c>
      <c r="I73" s="439">
        <f>IF(OR(ISBLANK(A73),ISNA(MATCH(A73&amp;"",AthleteNumbers,0))),0,MATCH(A73&amp;"",AthleteNumbers,0))</f>
        <v>0</v>
      </c>
      <c r="J73" s="209">
        <f t="array" ref="J73">IF(I73&gt;0,INDEX(DB,$I73,6),0)</f>
        <v>0</v>
      </c>
      <c r="K73" s="440">
        <f t="shared" si="5"/>
        <v>0</v>
      </c>
      <c r="L73" s="440">
        <f t="shared" si="6"/>
        <v>0</v>
      </c>
      <c r="M73" s="441">
        <f>IF(AND(L73&gt;O73,O73&gt;0),MinPoints,IF(L73&lt;N73,100,+INT((O73-$L73)/P73)+MinPoints))</f>
        <v>100</v>
      </c>
      <c r="N73" s="440">
        <f t="shared" si="7"/>
        <v>7</v>
      </c>
      <c r="O73" s="440">
        <f t="shared" si="8"/>
        <v>16</v>
      </c>
      <c r="P73" s="440">
        <f t="shared" si="9"/>
        <v>0.1</v>
      </c>
      <c r="Q73">
        <f t="array" ref="Q73">IF(I73&gt;0,INDEX(DB,I73,9),EventIndex)</f>
        <v>6</v>
      </c>
      <c r="S73" s="442">
        <f t="array" ref="S73">INDEX(MINVALUES,$Q73,$K$1)</f>
        <v>16</v>
      </c>
      <c r="T73">
        <f t="array" ref="T73">INDEX(INCVALUES,$Q73,$K$1)</f>
        <v>0.1</v>
      </c>
      <c r="V73">
        <f t="array" ref="V73">+J73+(4*(INDEX(MatchScoreTable,$Q73,20)-1))</f>
        <v>4</v>
      </c>
      <c r="W73">
        <f t="array" ref="W73">INDEX(INC_MINVALUES,$V73,$K$1)</f>
        <v>34</v>
      </c>
      <c r="X73" s="212">
        <f t="array" ref="X73">INDEX(INC_INCVALUES,$V73,$K$1)</f>
        <v>0.3</v>
      </c>
    </row>
    <row r="74" ht="15.75" customHeight="1">
      <c r="A74" s="435"/>
      <c r="B74" s="436"/>
      <c r="C74" s="95" t="str">
        <f t="array" ref="C74">IF(I74&gt;0,INDEX(DB,I74,8),"")</f>
        <v/>
      </c>
      <c r="D74" s="437">
        <f t="shared" si="1"/>
        <v>0</v>
      </c>
      <c r="F74" s="438">
        <f t="shared" si="2"/>
        <v>0</v>
      </c>
      <c r="G74" t="str">
        <f t="shared" si="3"/>
        <v/>
      </c>
      <c r="H74" t="b">
        <f t="shared" si="4"/>
        <v>0</v>
      </c>
      <c r="I74" s="439">
        <f>IF(OR(ISBLANK(A74),ISNA(MATCH(A74&amp;"",AthleteNumbers,0))),0,MATCH(A74&amp;"",AthleteNumbers,0))</f>
        <v>0</v>
      </c>
      <c r="J74" s="209">
        <f t="array" ref="J74">IF(I74&gt;0,INDEX(DB,$I74,6),0)</f>
        <v>0</v>
      </c>
      <c r="K74" s="440">
        <f t="shared" si="5"/>
        <v>0</v>
      </c>
      <c r="L74" s="440">
        <f t="shared" si="6"/>
        <v>0</v>
      </c>
      <c r="M74" s="441">
        <f>IF(AND(L74&gt;O74,O74&gt;0),MinPoints,IF(L74&lt;N74,100,+INT((O74-$L74)/P74)+MinPoints))</f>
        <v>100</v>
      </c>
      <c r="N74" s="440">
        <f t="shared" si="7"/>
        <v>7</v>
      </c>
      <c r="O74" s="440">
        <f t="shared" si="8"/>
        <v>16</v>
      </c>
      <c r="P74" s="440">
        <f t="shared" si="9"/>
        <v>0.1</v>
      </c>
      <c r="Q74">
        <f t="array" ref="Q74">IF(I74&gt;0,INDEX(DB,I74,9),EventIndex)</f>
        <v>6</v>
      </c>
      <c r="S74" s="442">
        <f t="array" ref="S74">INDEX(MINVALUES,$Q74,$K$1)</f>
        <v>16</v>
      </c>
      <c r="T74">
        <f t="array" ref="T74">INDEX(INCVALUES,$Q74,$K$1)</f>
        <v>0.1</v>
      </c>
      <c r="V74">
        <f t="array" ref="V74">+J74+(4*(INDEX(MatchScoreTable,$Q74,20)-1))</f>
        <v>4</v>
      </c>
      <c r="W74">
        <f t="array" ref="W74">INDEX(INC_MINVALUES,$V74,$K$1)</f>
        <v>34</v>
      </c>
      <c r="X74" s="212">
        <f t="array" ref="X74">INDEX(INC_INCVALUES,$V74,$K$1)</f>
        <v>0.3</v>
      </c>
    </row>
    <row r="75" ht="15.75" customHeight="1">
      <c r="A75" s="435"/>
      <c r="B75" s="436"/>
      <c r="C75" s="95" t="str">
        <f t="array" ref="C75">IF(I75&gt;0,INDEX(DB,I75,8),"")</f>
        <v/>
      </c>
      <c r="D75" s="437">
        <f t="shared" si="1"/>
        <v>0</v>
      </c>
      <c r="F75" s="438">
        <f t="shared" si="2"/>
        <v>0</v>
      </c>
      <c r="G75" t="str">
        <f t="shared" si="3"/>
        <v/>
      </c>
      <c r="H75" t="b">
        <f t="shared" si="4"/>
        <v>0</v>
      </c>
      <c r="I75" s="439">
        <f>IF(OR(ISBLANK(A75),ISNA(MATCH(A75&amp;"",AthleteNumbers,0))),0,MATCH(A75&amp;"",AthleteNumbers,0))</f>
        <v>0</v>
      </c>
      <c r="J75" s="209">
        <f t="array" ref="J75">IF(I75&gt;0,INDEX(DB,$I75,6),0)</f>
        <v>0</v>
      </c>
      <c r="K75" s="440">
        <f t="shared" si="5"/>
        <v>0</v>
      </c>
      <c r="L75" s="440">
        <f t="shared" si="6"/>
        <v>0</v>
      </c>
      <c r="M75" s="441">
        <f>IF(AND(L75&gt;O75,O75&gt;0),MinPoints,IF(L75&lt;N75,100,+INT((O75-$L75)/P75)+MinPoints))</f>
        <v>100</v>
      </c>
      <c r="N75" s="440">
        <f t="shared" si="7"/>
        <v>7</v>
      </c>
      <c r="O75" s="440">
        <f t="shared" si="8"/>
        <v>16</v>
      </c>
      <c r="P75" s="440">
        <f t="shared" si="9"/>
        <v>0.1</v>
      </c>
      <c r="Q75">
        <f t="array" ref="Q75">IF(I75&gt;0,INDEX(DB,I75,9),EventIndex)</f>
        <v>6</v>
      </c>
      <c r="S75" s="442">
        <f t="array" ref="S75">INDEX(MINVALUES,$Q75,$K$1)</f>
        <v>16</v>
      </c>
      <c r="T75">
        <f t="array" ref="T75">INDEX(INCVALUES,$Q75,$K$1)</f>
        <v>0.1</v>
      </c>
      <c r="V75">
        <f t="array" ref="V75">+J75+(4*(INDEX(MatchScoreTable,$Q75,20)-1))</f>
        <v>4</v>
      </c>
      <c r="W75">
        <f t="array" ref="W75">INDEX(INC_MINVALUES,$V75,$K$1)</f>
        <v>34</v>
      </c>
      <c r="X75" s="212">
        <f t="array" ref="X75">INDEX(INC_INCVALUES,$V75,$K$1)</f>
        <v>0.3</v>
      </c>
    </row>
    <row r="76" ht="15.75" customHeight="1">
      <c r="A76" s="435"/>
      <c r="B76" s="436"/>
      <c r="C76" s="95" t="str">
        <f t="array" ref="C76">IF(I76&gt;0,INDEX(DB,I76,8),"")</f>
        <v/>
      </c>
      <c r="D76" s="437">
        <f t="shared" si="1"/>
        <v>0</v>
      </c>
      <c r="F76" s="438">
        <f t="shared" si="2"/>
        <v>0</v>
      </c>
      <c r="G76" t="str">
        <f t="shared" si="3"/>
        <v/>
      </c>
      <c r="H76" t="b">
        <f t="shared" si="4"/>
        <v>0</v>
      </c>
      <c r="I76" s="439">
        <f>IF(OR(ISBLANK(A76),ISNA(MATCH(A76&amp;"",AthleteNumbers,0))),0,MATCH(A76&amp;"",AthleteNumbers,0))</f>
        <v>0</v>
      </c>
      <c r="J76" s="209">
        <f t="array" ref="J76">IF(I76&gt;0,INDEX(DB,$I76,6),0)</f>
        <v>0</v>
      </c>
      <c r="K76" s="440">
        <f t="shared" si="5"/>
        <v>0</v>
      </c>
      <c r="L76" s="440">
        <f t="shared" si="6"/>
        <v>0</v>
      </c>
      <c r="M76" s="441">
        <f>IF(AND(L76&gt;O76,O76&gt;0),MinPoints,IF(L76&lt;N76,100,+INT((O76-$L76)/P76)+MinPoints))</f>
        <v>100</v>
      </c>
      <c r="N76" s="440">
        <f t="shared" si="7"/>
        <v>7</v>
      </c>
      <c r="O76" s="440">
        <f t="shared" si="8"/>
        <v>16</v>
      </c>
      <c r="P76" s="440">
        <f t="shared" si="9"/>
        <v>0.1</v>
      </c>
      <c r="Q76">
        <f t="array" ref="Q76">IF(I76&gt;0,INDEX(DB,I76,9),EventIndex)</f>
        <v>6</v>
      </c>
      <c r="S76" s="442">
        <f t="array" ref="S76">INDEX(MINVALUES,$Q76,$K$1)</f>
        <v>16</v>
      </c>
      <c r="T76">
        <f t="array" ref="T76">INDEX(INCVALUES,$Q76,$K$1)</f>
        <v>0.1</v>
      </c>
      <c r="V76">
        <f t="array" ref="V76">+J76+(4*(INDEX(MatchScoreTable,$Q76,20)-1))</f>
        <v>4</v>
      </c>
      <c r="W76">
        <f t="array" ref="W76">INDEX(INC_MINVALUES,$V76,$K$1)</f>
        <v>34</v>
      </c>
      <c r="X76" s="212">
        <f t="array" ref="X76">INDEX(INC_INCVALUES,$V76,$K$1)</f>
        <v>0.3</v>
      </c>
    </row>
    <row r="77" ht="15.75" customHeight="1">
      <c r="A77" s="435"/>
      <c r="B77" s="436"/>
      <c r="C77" s="95" t="str">
        <f t="array" ref="C77">IF(I77&gt;0,INDEX(DB,I77,8),"")</f>
        <v/>
      </c>
      <c r="D77" s="437">
        <f t="shared" si="1"/>
        <v>0</v>
      </c>
      <c r="F77" s="438">
        <f t="shared" si="2"/>
        <v>0</v>
      </c>
      <c r="G77" t="str">
        <f t="shared" si="3"/>
        <v/>
      </c>
      <c r="H77" t="b">
        <f t="shared" si="4"/>
        <v>0</v>
      </c>
      <c r="I77" s="439">
        <f>IF(OR(ISBLANK(A77),ISNA(MATCH(A77&amp;"",AthleteNumbers,0))),0,MATCH(A77&amp;"",AthleteNumbers,0))</f>
        <v>0</v>
      </c>
      <c r="J77" s="209">
        <f t="array" ref="J77">IF(I77&gt;0,INDEX(DB,$I77,6),0)</f>
        <v>0</v>
      </c>
      <c r="K77" s="440">
        <f t="shared" si="5"/>
        <v>0</v>
      </c>
      <c r="L77" s="440">
        <f t="shared" si="6"/>
        <v>0</v>
      </c>
      <c r="M77" s="441">
        <f>IF(AND(L77&gt;O77,O77&gt;0),MinPoints,IF(L77&lt;N77,100,+INT((O77-$L77)/P77)+MinPoints))</f>
        <v>100</v>
      </c>
      <c r="N77" s="440">
        <f t="shared" si="7"/>
        <v>7</v>
      </c>
      <c r="O77" s="440">
        <f t="shared" si="8"/>
        <v>16</v>
      </c>
      <c r="P77" s="440">
        <f t="shared" si="9"/>
        <v>0.1</v>
      </c>
      <c r="Q77">
        <f t="array" ref="Q77">IF(I77&gt;0,INDEX(DB,I77,9),EventIndex)</f>
        <v>6</v>
      </c>
      <c r="S77" s="442">
        <f t="array" ref="S77">INDEX(MINVALUES,$Q77,$K$1)</f>
        <v>16</v>
      </c>
      <c r="T77">
        <f t="array" ref="T77">INDEX(INCVALUES,$Q77,$K$1)</f>
        <v>0.1</v>
      </c>
      <c r="V77">
        <f t="array" ref="V77">+J77+(4*(INDEX(MatchScoreTable,$Q77,20)-1))</f>
        <v>4</v>
      </c>
      <c r="W77">
        <f t="array" ref="W77">INDEX(INC_MINVALUES,$V77,$K$1)</f>
        <v>34</v>
      </c>
      <c r="X77" s="212">
        <f t="array" ref="X77">INDEX(INC_INCVALUES,$V77,$K$1)</f>
        <v>0.3</v>
      </c>
    </row>
    <row r="78" ht="15.75" customHeight="1">
      <c r="A78" s="435"/>
      <c r="B78" s="436"/>
      <c r="C78" s="95" t="str">
        <f t="array" ref="C78">IF(I78&gt;0,INDEX(DB,I78,8),"")</f>
        <v/>
      </c>
      <c r="D78" s="437">
        <f t="shared" si="1"/>
        <v>0</v>
      </c>
      <c r="F78" s="438">
        <f t="shared" si="2"/>
        <v>0</v>
      </c>
      <c r="G78" t="str">
        <f t="shared" si="3"/>
        <v/>
      </c>
      <c r="H78" t="b">
        <f t="shared" si="4"/>
        <v>0</v>
      </c>
      <c r="I78" s="439">
        <f>IF(OR(ISBLANK(A78),ISNA(MATCH(A78&amp;"",AthleteNumbers,0))),0,MATCH(A78&amp;"",AthleteNumbers,0))</f>
        <v>0</v>
      </c>
      <c r="J78" s="209">
        <f t="array" ref="J78">IF(I78&gt;0,INDEX(DB,$I78,6),0)</f>
        <v>0</v>
      </c>
      <c r="K78" s="440">
        <f t="shared" si="5"/>
        <v>0</v>
      </c>
      <c r="L78" s="440">
        <f t="shared" si="6"/>
        <v>0</v>
      </c>
      <c r="M78" s="441">
        <f>IF(AND(L78&gt;O78,O78&gt;0),MinPoints,IF(L78&lt;N78,100,+INT((O78-$L78)/P78)+MinPoints))</f>
        <v>100</v>
      </c>
      <c r="N78" s="440">
        <f t="shared" si="7"/>
        <v>7</v>
      </c>
      <c r="O78" s="440">
        <f t="shared" si="8"/>
        <v>16</v>
      </c>
      <c r="P78" s="440">
        <f t="shared" si="9"/>
        <v>0.1</v>
      </c>
      <c r="Q78">
        <f t="array" ref="Q78">IF(I78&gt;0,INDEX(DB,I78,9),EventIndex)</f>
        <v>6</v>
      </c>
      <c r="S78" s="442">
        <f t="array" ref="S78">INDEX(MINVALUES,$Q78,$K$1)</f>
        <v>16</v>
      </c>
      <c r="T78">
        <f t="array" ref="T78">INDEX(INCVALUES,$Q78,$K$1)</f>
        <v>0.1</v>
      </c>
      <c r="V78">
        <f t="array" ref="V78">+J78+(4*(INDEX(MatchScoreTable,$Q78,20)-1))</f>
        <v>4</v>
      </c>
      <c r="W78">
        <f t="array" ref="W78">INDEX(INC_MINVALUES,$V78,$K$1)</f>
        <v>34</v>
      </c>
      <c r="X78" s="212">
        <f t="array" ref="X78">INDEX(INC_INCVALUES,$V78,$K$1)</f>
        <v>0.3</v>
      </c>
    </row>
    <row r="79" ht="15.75" customHeight="1">
      <c r="A79" s="435"/>
      <c r="B79" s="436"/>
      <c r="C79" s="95" t="str">
        <f t="array" ref="C79">IF(I79&gt;0,INDEX(DB,I79,8),"")</f>
        <v/>
      </c>
      <c r="D79" s="437">
        <f t="shared" si="1"/>
        <v>0</v>
      </c>
      <c r="F79" s="438">
        <f t="shared" si="2"/>
        <v>0</v>
      </c>
      <c r="G79" t="str">
        <f t="shared" si="3"/>
        <v/>
      </c>
      <c r="H79" t="b">
        <f t="shared" si="4"/>
        <v>0</v>
      </c>
      <c r="I79" s="439">
        <f>IF(OR(ISBLANK(A79),ISNA(MATCH(A79&amp;"",AthleteNumbers,0))),0,MATCH(A79&amp;"",AthleteNumbers,0))</f>
        <v>0</v>
      </c>
      <c r="J79" s="209">
        <f t="array" ref="J79">IF(I79&gt;0,INDEX(DB,$I79,6),0)</f>
        <v>0</v>
      </c>
      <c r="K79" s="440">
        <f t="shared" si="5"/>
        <v>0</v>
      </c>
      <c r="L79" s="440">
        <f t="shared" si="6"/>
        <v>0</v>
      </c>
      <c r="M79" s="441">
        <f>IF(AND(L79&gt;O79,O79&gt;0),MinPoints,IF(L79&lt;N79,100,+INT((O79-$L79)/P79)+MinPoints))</f>
        <v>100</v>
      </c>
      <c r="N79" s="440">
        <f t="shared" si="7"/>
        <v>7</v>
      </c>
      <c r="O79" s="440">
        <f t="shared" si="8"/>
        <v>16</v>
      </c>
      <c r="P79" s="440">
        <f t="shared" si="9"/>
        <v>0.1</v>
      </c>
      <c r="Q79">
        <f t="array" ref="Q79">IF(I79&gt;0,INDEX(DB,I79,9),EventIndex)</f>
        <v>6</v>
      </c>
      <c r="S79" s="442">
        <f t="array" ref="S79">INDEX(MINVALUES,$Q79,$K$1)</f>
        <v>16</v>
      </c>
      <c r="T79">
        <f t="array" ref="T79">INDEX(INCVALUES,$Q79,$K$1)</f>
        <v>0.1</v>
      </c>
      <c r="V79">
        <f t="array" ref="V79">+J79+(4*(INDEX(MatchScoreTable,$Q79,20)-1))</f>
        <v>4</v>
      </c>
      <c r="W79">
        <f t="array" ref="W79">INDEX(INC_MINVALUES,$V79,$K$1)</f>
        <v>34</v>
      </c>
      <c r="X79" s="212">
        <f t="array" ref="X79">INDEX(INC_INCVALUES,$V79,$K$1)</f>
        <v>0.3</v>
      </c>
    </row>
    <row r="80" ht="15.75" customHeight="1">
      <c r="A80" s="435"/>
      <c r="B80" s="436"/>
      <c r="C80" s="95" t="str">
        <f t="array" ref="C80">IF(I80&gt;0,INDEX(DB,I80,8),"")</f>
        <v/>
      </c>
      <c r="D80" s="437">
        <f t="shared" si="1"/>
        <v>0</v>
      </c>
      <c r="F80" s="438">
        <f t="shared" si="2"/>
        <v>0</v>
      </c>
      <c r="G80" t="str">
        <f t="shared" si="3"/>
        <v/>
      </c>
      <c r="H80" t="b">
        <f t="shared" si="4"/>
        <v>0</v>
      </c>
      <c r="I80" s="439">
        <f>IF(OR(ISBLANK(A80),ISNA(MATCH(A80&amp;"",AthleteNumbers,0))),0,MATCH(A80&amp;"",AthleteNumbers,0))</f>
        <v>0</v>
      </c>
      <c r="J80" s="209">
        <f t="array" ref="J80">IF(I80&gt;0,INDEX(DB,$I80,6),0)</f>
        <v>0</v>
      </c>
      <c r="K80" s="440">
        <f t="shared" si="5"/>
        <v>0</v>
      </c>
      <c r="L80" s="440">
        <f t="shared" si="6"/>
        <v>0</v>
      </c>
      <c r="M80" s="441">
        <f>IF(AND(L80&gt;O80,O80&gt;0),MinPoints,IF(L80&lt;N80,100,+INT((O80-$L80)/P80)+MinPoints))</f>
        <v>100</v>
      </c>
      <c r="N80" s="440">
        <f t="shared" si="7"/>
        <v>7</v>
      </c>
      <c r="O80" s="440">
        <f t="shared" si="8"/>
        <v>16</v>
      </c>
      <c r="P80" s="440">
        <f t="shared" si="9"/>
        <v>0.1</v>
      </c>
      <c r="Q80">
        <f t="array" ref="Q80">IF(I80&gt;0,INDEX(DB,I80,9),EventIndex)</f>
        <v>6</v>
      </c>
      <c r="S80" s="442">
        <f t="array" ref="S80">INDEX(MINVALUES,$Q80,$K$1)</f>
        <v>16</v>
      </c>
      <c r="T80">
        <f t="array" ref="T80">INDEX(INCVALUES,$Q80,$K$1)</f>
        <v>0.1</v>
      </c>
      <c r="V80">
        <f t="array" ref="V80">+J80+(4*(INDEX(MatchScoreTable,$Q80,20)-1))</f>
        <v>4</v>
      </c>
      <c r="W80">
        <f t="array" ref="W80">INDEX(INC_MINVALUES,$V80,$K$1)</f>
        <v>34</v>
      </c>
      <c r="X80" s="212">
        <f t="array" ref="X80">INDEX(INC_INCVALUES,$V80,$K$1)</f>
        <v>0.3</v>
      </c>
    </row>
    <row r="81" ht="15.75" customHeight="1">
      <c r="A81" s="435"/>
      <c r="B81" s="436"/>
      <c r="C81" s="95" t="str">
        <f t="array" ref="C81">IF(I81&gt;0,INDEX(DB,I81,8),"")</f>
        <v/>
      </c>
      <c r="D81" s="437">
        <f t="shared" si="1"/>
        <v>0</v>
      </c>
      <c r="F81" s="438">
        <f t="shared" si="2"/>
        <v>0</v>
      </c>
      <c r="G81" t="str">
        <f t="shared" si="3"/>
        <v/>
      </c>
      <c r="H81" t="b">
        <f t="shared" si="4"/>
        <v>0</v>
      </c>
      <c r="I81" s="439">
        <f>IF(OR(ISBLANK(A81),ISNA(MATCH(A81&amp;"",AthleteNumbers,0))),0,MATCH(A81&amp;"",AthleteNumbers,0))</f>
        <v>0</v>
      </c>
      <c r="J81" s="209">
        <f t="array" ref="J81">IF(I81&gt;0,INDEX(DB,$I81,6),0)</f>
        <v>0</v>
      </c>
      <c r="K81" s="440">
        <f t="shared" si="5"/>
        <v>0</v>
      </c>
      <c r="L81" s="440">
        <f t="shared" si="6"/>
        <v>0</v>
      </c>
      <c r="M81" s="441">
        <f>IF(AND(L81&gt;O81,O81&gt;0),MinPoints,IF(L81&lt;N81,100,+INT((O81-$L81)/P81)+MinPoints))</f>
        <v>100</v>
      </c>
      <c r="N81" s="440">
        <f t="shared" si="7"/>
        <v>7</v>
      </c>
      <c r="O81" s="440">
        <f t="shared" si="8"/>
        <v>16</v>
      </c>
      <c r="P81" s="440">
        <f t="shared" si="9"/>
        <v>0.1</v>
      </c>
      <c r="Q81">
        <f t="array" ref="Q81">IF(I81&gt;0,INDEX(DB,I81,9),EventIndex)</f>
        <v>6</v>
      </c>
      <c r="S81" s="442">
        <f t="array" ref="S81">INDEX(MINVALUES,$Q81,$K$1)</f>
        <v>16</v>
      </c>
      <c r="T81">
        <f t="array" ref="T81">INDEX(INCVALUES,$Q81,$K$1)</f>
        <v>0.1</v>
      </c>
      <c r="V81">
        <f t="array" ref="V81">+J81+(4*(INDEX(MatchScoreTable,$Q81,20)-1))</f>
        <v>4</v>
      </c>
      <c r="W81">
        <f t="array" ref="W81">INDEX(INC_MINVALUES,$V81,$K$1)</f>
        <v>34</v>
      </c>
      <c r="X81" s="212">
        <f t="array" ref="X81">INDEX(INC_INCVALUES,$V81,$K$1)</f>
        <v>0.3</v>
      </c>
    </row>
    <row r="82" ht="15.75" customHeight="1">
      <c r="A82" s="435"/>
      <c r="B82" s="436"/>
      <c r="C82" s="95" t="str">
        <f t="array" ref="C82">IF(I82&gt;0,INDEX(DB,I82,8),"")</f>
        <v/>
      </c>
      <c r="D82" s="437">
        <f t="shared" si="1"/>
        <v>0</v>
      </c>
      <c r="F82" s="438">
        <f t="shared" si="2"/>
        <v>0</v>
      </c>
      <c r="G82" t="str">
        <f t="shared" si="3"/>
        <v/>
      </c>
      <c r="H82" t="b">
        <f t="shared" si="4"/>
        <v>0</v>
      </c>
      <c r="I82" s="439">
        <f>IF(OR(ISBLANK(A82),ISNA(MATCH(A82&amp;"",AthleteNumbers,0))),0,MATCH(A82&amp;"",AthleteNumbers,0))</f>
        <v>0</v>
      </c>
      <c r="J82" s="209">
        <f t="array" ref="J82">IF(I82&gt;0,INDEX(DB,$I82,6),0)</f>
        <v>0</v>
      </c>
      <c r="K82" s="440">
        <f t="shared" si="5"/>
        <v>0</v>
      </c>
      <c r="L82" s="440">
        <f t="shared" si="6"/>
        <v>0</v>
      </c>
      <c r="M82" s="441">
        <f>IF(AND(L82&gt;O82,O82&gt;0),MinPoints,IF(L82&lt;N82,100,+INT((O82-$L82)/P82)+MinPoints))</f>
        <v>100</v>
      </c>
      <c r="N82" s="440">
        <f t="shared" si="7"/>
        <v>7</v>
      </c>
      <c r="O82" s="440">
        <f t="shared" si="8"/>
        <v>16</v>
      </c>
      <c r="P82" s="440">
        <f t="shared" si="9"/>
        <v>0.1</v>
      </c>
      <c r="Q82">
        <f t="array" ref="Q82">IF(I82&gt;0,INDEX(DB,I82,9),EventIndex)</f>
        <v>6</v>
      </c>
      <c r="S82" s="442">
        <f t="array" ref="S82">INDEX(MINVALUES,$Q82,$K$1)</f>
        <v>16</v>
      </c>
      <c r="T82">
        <f t="array" ref="T82">INDEX(INCVALUES,$Q82,$K$1)</f>
        <v>0.1</v>
      </c>
      <c r="V82">
        <f t="array" ref="V82">+J82+(4*(INDEX(MatchScoreTable,$Q82,20)-1))</f>
        <v>4</v>
      </c>
      <c r="W82">
        <f t="array" ref="W82">INDEX(INC_MINVALUES,$V82,$K$1)</f>
        <v>34</v>
      </c>
      <c r="X82" s="212">
        <f t="array" ref="X82">INDEX(INC_INCVALUES,$V82,$K$1)</f>
        <v>0.3</v>
      </c>
    </row>
    <row r="83" ht="15.75" customHeight="1">
      <c r="A83" s="435"/>
      <c r="B83" s="436"/>
      <c r="C83" s="95" t="str">
        <f t="array" ref="C83">IF(I83&gt;0,INDEX(DB,I83,8),"")</f>
        <v/>
      </c>
      <c r="D83" s="437">
        <f t="shared" si="1"/>
        <v>0</v>
      </c>
      <c r="F83" s="438">
        <f t="shared" si="2"/>
        <v>0</v>
      </c>
      <c r="G83" t="str">
        <f t="shared" si="3"/>
        <v/>
      </c>
      <c r="H83" t="b">
        <f t="shared" si="4"/>
        <v>0</v>
      </c>
      <c r="I83" s="439">
        <f>IF(OR(ISBLANK(A83),ISNA(MATCH(A83&amp;"",AthleteNumbers,0))),0,MATCH(A83&amp;"",AthleteNumbers,0))</f>
        <v>0</v>
      </c>
      <c r="J83" s="209">
        <f t="array" ref="J83">IF(I83&gt;0,INDEX(DB,$I83,6),0)</f>
        <v>0</v>
      </c>
      <c r="K83" s="440">
        <f t="shared" si="5"/>
        <v>0</v>
      </c>
      <c r="L83" s="440">
        <f t="shared" si="6"/>
        <v>0</v>
      </c>
      <c r="M83" s="441">
        <f>IF(AND(L83&gt;O83,O83&gt;0),MinPoints,IF(L83&lt;N83,100,+INT((O83-$L83)/P83)+MinPoints))</f>
        <v>100</v>
      </c>
      <c r="N83" s="440">
        <f t="shared" si="7"/>
        <v>7</v>
      </c>
      <c r="O83" s="440">
        <f t="shared" si="8"/>
        <v>16</v>
      </c>
      <c r="P83" s="440">
        <f t="shared" si="9"/>
        <v>0.1</v>
      </c>
      <c r="Q83">
        <f t="array" ref="Q83">IF(I83&gt;0,INDEX(DB,I83,9),EventIndex)</f>
        <v>6</v>
      </c>
      <c r="S83" s="442">
        <f t="array" ref="S83">INDEX(MINVALUES,$Q83,$K$1)</f>
        <v>16</v>
      </c>
      <c r="T83">
        <f t="array" ref="T83">INDEX(INCVALUES,$Q83,$K$1)</f>
        <v>0.1</v>
      </c>
      <c r="V83">
        <f t="array" ref="V83">+J83+(4*(INDEX(MatchScoreTable,$Q83,20)-1))</f>
        <v>4</v>
      </c>
      <c r="W83">
        <f t="array" ref="W83">INDEX(INC_MINVALUES,$V83,$K$1)</f>
        <v>34</v>
      </c>
      <c r="X83" s="212">
        <f t="array" ref="X83">INDEX(INC_INCVALUES,$V83,$K$1)</f>
        <v>0.3</v>
      </c>
    </row>
    <row r="84" ht="15.75" customHeight="1">
      <c r="A84" s="435"/>
      <c r="B84" s="436"/>
      <c r="C84" s="95" t="str">
        <f t="array" ref="C84">IF(I84&gt;0,INDEX(DB,I84,8),"")</f>
        <v/>
      </c>
      <c r="D84" s="437">
        <f t="shared" si="1"/>
        <v>0</v>
      </c>
      <c r="F84" s="438">
        <f t="shared" si="2"/>
        <v>0</v>
      </c>
      <c r="G84" t="str">
        <f t="shared" si="3"/>
        <v/>
      </c>
      <c r="H84" t="b">
        <f t="shared" si="4"/>
        <v>0</v>
      </c>
      <c r="I84" s="439">
        <f>IF(OR(ISBLANK(A84),ISNA(MATCH(A84&amp;"",AthleteNumbers,0))),0,MATCH(A84&amp;"",AthleteNumbers,0))</f>
        <v>0</v>
      </c>
      <c r="J84" s="209">
        <f t="array" ref="J84">IF(I84&gt;0,INDEX(DB,$I84,6),0)</f>
        <v>0</v>
      </c>
      <c r="K84" s="440">
        <f t="shared" si="5"/>
        <v>0</v>
      </c>
      <c r="L84" s="440">
        <f t="shared" si="6"/>
        <v>0</v>
      </c>
      <c r="M84" s="441">
        <f>IF(AND(L84&gt;O84,O84&gt;0),MinPoints,IF(L84&lt;N84,100,+INT((O84-$L84)/P84)+MinPoints))</f>
        <v>100</v>
      </c>
      <c r="N84" s="440">
        <f t="shared" si="7"/>
        <v>7</v>
      </c>
      <c r="O84" s="440">
        <f t="shared" si="8"/>
        <v>16</v>
      </c>
      <c r="P84" s="440">
        <f t="shared" si="9"/>
        <v>0.1</v>
      </c>
      <c r="Q84">
        <f t="array" ref="Q84">IF(I84&gt;0,INDEX(DB,I84,9),EventIndex)</f>
        <v>6</v>
      </c>
      <c r="S84" s="442">
        <f t="array" ref="S84">INDEX(MINVALUES,$Q84,$K$1)</f>
        <v>16</v>
      </c>
      <c r="T84">
        <f t="array" ref="T84">INDEX(INCVALUES,$Q84,$K$1)</f>
        <v>0.1</v>
      </c>
      <c r="V84">
        <f t="array" ref="V84">+J84+(4*(INDEX(MatchScoreTable,$Q84,20)-1))</f>
        <v>4</v>
      </c>
      <c r="W84">
        <f t="array" ref="W84">INDEX(INC_MINVALUES,$V84,$K$1)</f>
        <v>34</v>
      </c>
      <c r="X84" s="212">
        <f t="array" ref="X84">INDEX(INC_INCVALUES,$V84,$K$1)</f>
        <v>0.3</v>
      </c>
    </row>
    <row r="85" ht="15.75" customHeight="1">
      <c r="A85" s="435"/>
      <c r="B85" s="436"/>
      <c r="C85" s="95" t="str">
        <f t="array" ref="C85">IF(I85&gt;0,INDEX(DB,I85,8),"")</f>
        <v/>
      </c>
      <c r="D85" s="437">
        <f t="shared" si="1"/>
        <v>0</v>
      </c>
      <c r="F85" s="438">
        <f t="shared" si="2"/>
        <v>0</v>
      </c>
      <c r="G85" t="str">
        <f t="shared" si="3"/>
        <v/>
      </c>
      <c r="H85" t="b">
        <f t="shared" si="4"/>
        <v>0</v>
      </c>
      <c r="I85" s="439">
        <f>IF(OR(ISBLANK(A85),ISNA(MATCH(A85&amp;"",AthleteNumbers,0))),0,MATCH(A85&amp;"",AthleteNumbers,0))</f>
        <v>0</v>
      </c>
      <c r="J85" s="209">
        <f t="array" ref="J85">IF(I85&gt;0,INDEX(DB,$I85,6),0)</f>
        <v>0</v>
      </c>
      <c r="K85" s="440">
        <f t="shared" si="5"/>
        <v>0</v>
      </c>
      <c r="L85" s="440">
        <f t="shared" si="6"/>
        <v>0</v>
      </c>
      <c r="M85" s="441">
        <f>IF(AND(L85&gt;O85,O85&gt;0),MinPoints,IF(L85&lt;N85,100,+INT((O85-$L85)/P85)+MinPoints))</f>
        <v>100</v>
      </c>
      <c r="N85" s="440">
        <f t="shared" si="7"/>
        <v>7</v>
      </c>
      <c r="O85" s="440">
        <f t="shared" si="8"/>
        <v>16</v>
      </c>
      <c r="P85" s="440">
        <f t="shared" si="9"/>
        <v>0.1</v>
      </c>
      <c r="Q85">
        <f t="array" ref="Q85">IF(I85&gt;0,INDEX(DB,I85,9),EventIndex)</f>
        <v>6</v>
      </c>
      <c r="S85" s="442">
        <f t="array" ref="S85">INDEX(MINVALUES,$Q85,$K$1)</f>
        <v>16</v>
      </c>
      <c r="T85">
        <f t="array" ref="T85">INDEX(INCVALUES,$Q85,$K$1)</f>
        <v>0.1</v>
      </c>
      <c r="V85">
        <f t="array" ref="V85">+J85+(4*(INDEX(MatchScoreTable,$Q85,20)-1))</f>
        <v>4</v>
      </c>
      <c r="W85">
        <f t="array" ref="W85">INDEX(INC_MINVALUES,$V85,$K$1)</f>
        <v>34</v>
      </c>
      <c r="X85" s="212">
        <f t="array" ref="X85">INDEX(INC_INCVALUES,$V85,$K$1)</f>
        <v>0.3</v>
      </c>
    </row>
    <row r="86" ht="15.75" customHeight="1">
      <c r="A86" s="435"/>
      <c r="B86" s="436"/>
      <c r="C86" s="95" t="str">
        <f t="array" ref="C86">IF(I86&gt;0,INDEX(DB,I86,8),"")</f>
        <v/>
      </c>
      <c r="D86" s="437">
        <f t="shared" si="1"/>
        <v>0</v>
      </c>
      <c r="F86" s="438">
        <f t="shared" si="2"/>
        <v>0</v>
      </c>
      <c r="G86" t="str">
        <f t="shared" si="3"/>
        <v/>
      </c>
      <c r="H86" t="b">
        <f t="shared" si="4"/>
        <v>0</v>
      </c>
      <c r="I86" s="439">
        <f>IF(OR(ISBLANK(A86),ISNA(MATCH(A86&amp;"",AthleteNumbers,0))),0,MATCH(A86&amp;"",AthleteNumbers,0))</f>
        <v>0</v>
      </c>
      <c r="J86" s="209">
        <f t="array" ref="J86">IF(I86&gt;0,INDEX(DB,$I86,6),0)</f>
        <v>0</v>
      </c>
      <c r="K86" s="440">
        <f t="shared" si="5"/>
        <v>0</v>
      </c>
      <c r="L86" s="440">
        <f t="shared" si="6"/>
        <v>0</v>
      </c>
      <c r="M86" s="441">
        <f>IF(AND(L86&gt;O86,O86&gt;0),MinPoints,IF(L86&lt;N86,100,+INT((O86-$L86)/P86)+MinPoints))</f>
        <v>100</v>
      </c>
      <c r="N86" s="440">
        <f t="shared" si="7"/>
        <v>7</v>
      </c>
      <c r="O86" s="440">
        <f t="shared" si="8"/>
        <v>16</v>
      </c>
      <c r="P86" s="440">
        <f t="shared" si="9"/>
        <v>0.1</v>
      </c>
      <c r="Q86">
        <f t="array" ref="Q86">IF(I86&gt;0,INDEX(DB,I86,9),EventIndex)</f>
        <v>6</v>
      </c>
      <c r="S86" s="442">
        <f t="array" ref="S86">INDEX(MINVALUES,$Q86,$K$1)</f>
        <v>16</v>
      </c>
      <c r="T86">
        <f t="array" ref="T86">INDEX(INCVALUES,$Q86,$K$1)</f>
        <v>0.1</v>
      </c>
      <c r="V86">
        <f t="array" ref="V86">+J86+(4*(INDEX(MatchScoreTable,$Q86,20)-1))</f>
        <v>4</v>
      </c>
      <c r="W86">
        <f t="array" ref="W86">INDEX(INC_MINVALUES,$V86,$K$1)</f>
        <v>34</v>
      </c>
      <c r="X86" s="212">
        <f t="array" ref="X86">INDEX(INC_INCVALUES,$V86,$K$1)</f>
        <v>0.3</v>
      </c>
    </row>
    <row r="87" ht="15.75" customHeight="1">
      <c r="A87" s="435"/>
      <c r="B87" s="436"/>
      <c r="C87" s="95" t="str">
        <f t="array" ref="C87">IF(I87&gt;0,INDEX(DB,I87,8),"")</f>
        <v/>
      </c>
      <c r="D87" s="437">
        <f t="shared" si="1"/>
        <v>0</v>
      </c>
      <c r="F87" s="438">
        <f t="shared" si="2"/>
        <v>0</v>
      </c>
      <c r="G87" t="str">
        <f t="shared" si="3"/>
        <v/>
      </c>
      <c r="H87" t="b">
        <f t="shared" si="4"/>
        <v>0</v>
      </c>
      <c r="I87" s="439">
        <f>IF(OR(ISBLANK(A87),ISNA(MATCH(A87&amp;"",AthleteNumbers,0))),0,MATCH(A87&amp;"",AthleteNumbers,0))</f>
        <v>0</v>
      </c>
      <c r="J87" s="209">
        <f t="array" ref="J87">IF(I87&gt;0,INDEX(DB,$I87,6),0)</f>
        <v>0</v>
      </c>
      <c r="K87" s="440">
        <f t="shared" si="5"/>
        <v>0</v>
      </c>
      <c r="L87" s="440">
        <f t="shared" si="6"/>
        <v>0</v>
      </c>
      <c r="M87" s="441">
        <f>IF(AND(L87&gt;O87,O87&gt;0),MinPoints,IF(L87&lt;N87,100,+INT((O87-$L87)/P87)+MinPoints))</f>
        <v>100</v>
      </c>
      <c r="N87" s="440">
        <f t="shared" si="7"/>
        <v>7</v>
      </c>
      <c r="O87" s="440">
        <f t="shared" si="8"/>
        <v>16</v>
      </c>
      <c r="P87" s="440">
        <f t="shared" si="9"/>
        <v>0.1</v>
      </c>
      <c r="Q87">
        <f t="array" ref="Q87">IF(I87&gt;0,INDEX(DB,I87,9),EventIndex)</f>
        <v>6</v>
      </c>
      <c r="S87" s="442">
        <f t="array" ref="S87">INDEX(MINVALUES,$Q87,$K$1)</f>
        <v>16</v>
      </c>
      <c r="T87">
        <f t="array" ref="T87">INDEX(INCVALUES,$Q87,$K$1)</f>
        <v>0.1</v>
      </c>
      <c r="V87">
        <f t="array" ref="V87">+J87+(4*(INDEX(MatchScoreTable,$Q87,20)-1))</f>
        <v>4</v>
      </c>
      <c r="W87">
        <f t="array" ref="W87">INDEX(INC_MINVALUES,$V87,$K$1)</f>
        <v>34</v>
      </c>
      <c r="X87" s="212">
        <f t="array" ref="X87">INDEX(INC_INCVALUES,$V87,$K$1)</f>
        <v>0.3</v>
      </c>
    </row>
    <row r="88" ht="15.75" customHeight="1">
      <c r="A88" s="435"/>
      <c r="B88" s="436"/>
      <c r="C88" s="95" t="str">
        <f t="array" ref="C88">IF(I88&gt;0,INDEX(DB,I88,8),"")</f>
        <v/>
      </c>
      <c r="D88" s="437">
        <f t="shared" si="1"/>
        <v>0</v>
      </c>
      <c r="F88" s="438">
        <f t="shared" si="2"/>
        <v>0</v>
      </c>
      <c r="G88" t="str">
        <f t="shared" si="3"/>
        <v/>
      </c>
      <c r="H88" t="b">
        <f t="shared" si="4"/>
        <v>0</v>
      </c>
      <c r="I88" s="439">
        <f>IF(OR(ISBLANK(A88),ISNA(MATCH(A88&amp;"",AthleteNumbers,0))),0,MATCH(A88&amp;"",AthleteNumbers,0))</f>
        <v>0</v>
      </c>
      <c r="J88" s="209">
        <f t="array" ref="J88">IF(I88&gt;0,INDEX(DB,$I88,6),0)</f>
        <v>0</v>
      </c>
      <c r="K88" s="440">
        <f t="shared" si="5"/>
        <v>0</v>
      </c>
      <c r="L88" s="440">
        <f t="shared" si="6"/>
        <v>0</v>
      </c>
      <c r="M88" s="441">
        <f>IF(AND(L88&gt;O88,O88&gt;0),MinPoints,IF(L88&lt;N88,100,+INT((O88-$L88)/P88)+MinPoints))</f>
        <v>100</v>
      </c>
      <c r="N88" s="440">
        <f t="shared" si="7"/>
        <v>7</v>
      </c>
      <c r="O88" s="440">
        <f t="shared" si="8"/>
        <v>16</v>
      </c>
      <c r="P88" s="440">
        <f t="shared" si="9"/>
        <v>0.1</v>
      </c>
      <c r="Q88">
        <f t="array" ref="Q88">IF(I88&gt;0,INDEX(DB,I88,9),EventIndex)</f>
        <v>6</v>
      </c>
      <c r="S88" s="442">
        <f t="array" ref="S88">INDEX(MINVALUES,$Q88,$K$1)</f>
        <v>16</v>
      </c>
      <c r="T88">
        <f t="array" ref="T88">INDEX(INCVALUES,$Q88,$K$1)</f>
        <v>0.1</v>
      </c>
      <c r="V88">
        <f t="array" ref="V88">+J88+(4*(INDEX(MatchScoreTable,$Q88,20)-1))</f>
        <v>4</v>
      </c>
      <c r="W88">
        <f t="array" ref="W88">INDEX(INC_MINVALUES,$V88,$K$1)</f>
        <v>34</v>
      </c>
      <c r="X88" s="212">
        <f t="array" ref="X88">INDEX(INC_INCVALUES,$V88,$K$1)</f>
        <v>0.3</v>
      </c>
    </row>
    <row r="89" ht="15.75" customHeight="1">
      <c r="A89" s="435"/>
      <c r="B89" s="436"/>
      <c r="C89" s="95" t="str">
        <f t="array" ref="C89">IF(I89&gt;0,INDEX(DB,I89,8),"")</f>
        <v/>
      </c>
      <c r="D89" s="437">
        <f t="shared" si="1"/>
        <v>0</v>
      </c>
      <c r="F89" s="438">
        <f t="shared" si="2"/>
        <v>0</v>
      </c>
      <c r="G89" t="str">
        <f t="shared" si="3"/>
        <v/>
      </c>
      <c r="H89" t="b">
        <f t="shared" si="4"/>
        <v>0</v>
      </c>
      <c r="I89" s="439">
        <f>IF(OR(ISBLANK(A89),ISNA(MATCH(A89&amp;"",AthleteNumbers,0))),0,MATCH(A89&amp;"",AthleteNumbers,0))</f>
        <v>0</v>
      </c>
      <c r="J89" s="209">
        <f t="array" ref="J89">IF(I89&gt;0,INDEX(DB,$I89,6),0)</f>
        <v>0</v>
      </c>
      <c r="K89" s="440">
        <f t="shared" si="5"/>
        <v>0</v>
      </c>
      <c r="L89" s="440">
        <f t="shared" si="6"/>
        <v>0</v>
      </c>
      <c r="M89" s="441">
        <f>IF(AND(L89&gt;O89,O89&gt;0),MinPoints,IF(L89&lt;N89,100,+INT((O89-$L89)/P89)+MinPoints))</f>
        <v>100</v>
      </c>
      <c r="N89" s="440">
        <f t="shared" si="7"/>
        <v>7</v>
      </c>
      <c r="O89" s="440">
        <f t="shared" si="8"/>
        <v>16</v>
      </c>
      <c r="P89" s="440">
        <f t="shared" si="9"/>
        <v>0.1</v>
      </c>
      <c r="Q89">
        <f t="array" ref="Q89">IF(I89&gt;0,INDEX(DB,I89,9),EventIndex)</f>
        <v>6</v>
      </c>
      <c r="S89" s="442">
        <f t="array" ref="S89">INDEX(MINVALUES,$Q89,$K$1)</f>
        <v>16</v>
      </c>
      <c r="T89">
        <f t="array" ref="T89">INDEX(INCVALUES,$Q89,$K$1)</f>
        <v>0.1</v>
      </c>
      <c r="V89">
        <f t="array" ref="V89">+J89+(4*(INDEX(MatchScoreTable,$Q89,20)-1))</f>
        <v>4</v>
      </c>
      <c r="W89">
        <f t="array" ref="W89">INDEX(INC_MINVALUES,$V89,$K$1)</f>
        <v>34</v>
      </c>
      <c r="X89" s="212">
        <f t="array" ref="X89">INDEX(INC_INCVALUES,$V89,$K$1)</f>
        <v>0.3</v>
      </c>
    </row>
    <row r="90" ht="15.75" customHeight="1">
      <c r="A90" s="435"/>
      <c r="B90" s="436"/>
      <c r="C90" s="95" t="str">
        <f t="array" ref="C90">IF(I90&gt;0,INDEX(DB,I90,8),"")</f>
        <v/>
      </c>
      <c r="D90" s="437">
        <f t="shared" si="1"/>
        <v>0</v>
      </c>
      <c r="F90" s="438">
        <f t="shared" si="2"/>
        <v>0</v>
      </c>
      <c r="G90" t="str">
        <f t="shared" si="3"/>
        <v/>
      </c>
      <c r="H90" t="b">
        <f t="shared" si="4"/>
        <v>0</v>
      </c>
      <c r="I90" s="439">
        <f>IF(OR(ISBLANK(A90),ISNA(MATCH(A90&amp;"",AthleteNumbers,0))),0,MATCH(A90&amp;"",AthleteNumbers,0))</f>
        <v>0</v>
      </c>
      <c r="J90" s="209">
        <f t="array" ref="J90">IF(I90&gt;0,INDEX(DB,$I90,6),0)</f>
        <v>0</v>
      </c>
      <c r="K90" s="440">
        <f t="shared" si="5"/>
        <v>0</v>
      </c>
      <c r="L90" s="440">
        <f t="shared" si="6"/>
        <v>0</v>
      </c>
      <c r="M90" s="441">
        <f>IF(AND(L90&gt;O90,O90&gt;0),MinPoints,IF(L90&lt;N90,100,+INT((O90-$L90)/P90)+MinPoints))</f>
        <v>100</v>
      </c>
      <c r="N90" s="440">
        <f t="shared" si="7"/>
        <v>7</v>
      </c>
      <c r="O90" s="440">
        <f t="shared" si="8"/>
        <v>16</v>
      </c>
      <c r="P90" s="440">
        <f t="shared" si="9"/>
        <v>0.1</v>
      </c>
      <c r="Q90">
        <f t="array" ref="Q90">IF(I90&gt;0,INDEX(DB,I90,9),EventIndex)</f>
        <v>6</v>
      </c>
      <c r="S90" s="442">
        <f t="array" ref="S90">INDEX(MINVALUES,$Q90,$K$1)</f>
        <v>16</v>
      </c>
      <c r="T90">
        <f t="array" ref="T90">INDEX(INCVALUES,$Q90,$K$1)</f>
        <v>0.1</v>
      </c>
      <c r="V90">
        <f t="array" ref="V90">+J90+(4*(INDEX(MatchScoreTable,$Q90,20)-1))</f>
        <v>4</v>
      </c>
      <c r="W90">
        <f t="array" ref="W90">INDEX(INC_MINVALUES,$V90,$K$1)</f>
        <v>34</v>
      </c>
      <c r="X90" s="212">
        <f t="array" ref="X90">INDEX(INC_INCVALUES,$V90,$K$1)</f>
        <v>0.3</v>
      </c>
    </row>
    <row r="91" ht="15.75" customHeight="1">
      <c r="A91" s="435"/>
      <c r="B91" s="436"/>
      <c r="C91" s="95" t="str">
        <f t="array" ref="C91">IF(I91&gt;0,INDEX(DB,I91,8),"")</f>
        <v/>
      </c>
      <c r="D91" s="437">
        <f t="shared" si="1"/>
        <v>0</v>
      </c>
      <c r="F91" s="438">
        <f t="shared" si="2"/>
        <v>0</v>
      </c>
      <c r="G91" t="str">
        <f t="shared" si="3"/>
        <v/>
      </c>
      <c r="H91" t="b">
        <f t="shared" si="4"/>
        <v>0</v>
      </c>
      <c r="I91" s="439">
        <f>IF(OR(ISBLANK(A91),ISNA(MATCH(A91&amp;"",AthleteNumbers,0))),0,MATCH(A91&amp;"",AthleteNumbers,0))</f>
        <v>0</v>
      </c>
      <c r="J91" s="209">
        <f t="array" ref="J91">IF(I91&gt;0,INDEX(DB,$I91,6),0)</f>
        <v>0</v>
      </c>
      <c r="K91" s="440">
        <f t="shared" si="5"/>
        <v>0</v>
      </c>
      <c r="L91" s="440">
        <f t="shared" si="6"/>
        <v>0</v>
      </c>
      <c r="M91" s="441">
        <f>IF(AND(L91&gt;O91,O91&gt;0),MinPoints,IF(L91&lt;N91,100,+INT((O91-$L91)/P91)+MinPoints))</f>
        <v>100</v>
      </c>
      <c r="N91" s="440">
        <f t="shared" si="7"/>
        <v>7</v>
      </c>
      <c r="O91" s="440">
        <f t="shared" si="8"/>
        <v>16</v>
      </c>
      <c r="P91" s="440">
        <f t="shared" si="9"/>
        <v>0.1</v>
      </c>
      <c r="Q91">
        <f t="array" ref="Q91">IF(I91&gt;0,INDEX(DB,I91,9),EventIndex)</f>
        <v>6</v>
      </c>
      <c r="S91" s="442">
        <f t="array" ref="S91">INDEX(MINVALUES,$Q91,$K$1)</f>
        <v>16</v>
      </c>
      <c r="T91">
        <f t="array" ref="T91">INDEX(INCVALUES,$Q91,$K$1)</f>
        <v>0.1</v>
      </c>
      <c r="V91">
        <f t="array" ref="V91">+J91+(4*(INDEX(MatchScoreTable,$Q91,20)-1))</f>
        <v>4</v>
      </c>
      <c r="W91">
        <f t="array" ref="W91">INDEX(INC_MINVALUES,$V91,$K$1)</f>
        <v>34</v>
      </c>
      <c r="X91" s="212">
        <f t="array" ref="X91">INDEX(INC_INCVALUES,$V91,$K$1)</f>
        <v>0.3</v>
      </c>
    </row>
    <row r="92" ht="15.75" customHeight="1">
      <c r="A92" s="435"/>
      <c r="B92" s="436"/>
      <c r="C92" s="95" t="str">
        <f t="array" ref="C92">IF(I92&gt;0,INDEX(DB,I92,8),"")</f>
        <v/>
      </c>
      <c r="D92" s="437">
        <f t="shared" si="1"/>
        <v>0</v>
      </c>
      <c r="F92" s="438">
        <f t="shared" si="2"/>
        <v>0</v>
      </c>
      <c r="G92" t="str">
        <f t="shared" si="3"/>
        <v/>
      </c>
      <c r="H92" t="b">
        <f t="shared" si="4"/>
        <v>0</v>
      </c>
      <c r="I92" s="439">
        <f>IF(OR(ISBLANK(A92),ISNA(MATCH(A92&amp;"",AthleteNumbers,0))),0,MATCH(A92&amp;"",AthleteNumbers,0))</f>
        <v>0</v>
      </c>
      <c r="J92" s="209">
        <f t="array" ref="J92">IF(I92&gt;0,INDEX(DB,$I92,6),0)</f>
        <v>0</v>
      </c>
      <c r="K92" s="440">
        <f t="shared" si="5"/>
        <v>0</v>
      </c>
      <c r="L92" s="440">
        <f t="shared" si="6"/>
        <v>0</v>
      </c>
      <c r="M92" s="441">
        <f>IF(AND(L92&gt;O92,O92&gt;0),MinPoints,IF(L92&lt;N92,100,+INT((O92-$L92)/P92)+MinPoints))</f>
        <v>100</v>
      </c>
      <c r="N92" s="440">
        <f t="shared" si="7"/>
        <v>7</v>
      </c>
      <c r="O92" s="440">
        <f t="shared" si="8"/>
        <v>16</v>
      </c>
      <c r="P92" s="440">
        <f t="shared" si="9"/>
        <v>0.1</v>
      </c>
      <c r="Q92">
        <f t="array" ref="Q92">IF(I92&gt;0,INDEX(DB,I92,9),EventIndex)</f>
        <v>6</v>
      </c>
      <c r="S92" s="442">
        <f t="array" ref="S92">INDEX(MINVALUES,$Q92,$K$1)</f>
        <v>16</v>
      </c>
      <c r="T92">
        <f t="array" ref="T92">INDEX(INCVALUES,$Q92,$K$1)</f>
        <v>0.1</v>
      </c>
      <c r="V92">
        <f t="array" ref="V92">+J92+(4*(INDEX(MatchScoreTable,$Q92,20)-1))</f>
        <v>4</v>
      </c>
      <c r="W92">
        <f t="array" ref="W92">INDEX(INC_MINVALUES,$V92,$K$1)</f>
        <v>34</v>
      </c>
      <c r="X92" s="212">
        <f t="array" ref="X92">INDEX(INC_INCVALUES,$V92,$K$1)</f>
        <v>0.3</v>
      </c>
    </row>
    <row r="93" ht="15.75" customHeight="1">
      <c r="A93" s="435"/>
      <c r="B93" s="436"/>
      <c r="C93" s="95" t="str">
        <f t="array" ref="C93">IF(I93&gt;0,INDEX(DB,I93,8),"")</f>
        <v/>
      </c>
      <c r="D93" s="437">
        <f t="shared" si="1"/>
        <v>0</v>
      </c>
      <c r="F93" s="438">
        <f t="shared" si="2"/>
        <v>0</v>
      </c>
      <c r="G93" t="str">
        <f t="shared" si="3"/>
        <v/>
      </c>
      <c r="H93" t="b">
        <f t="shared" si="4"/>
        <v>0</v>
      </c>
      <c r="I93" s="439">
        <f>IF(OR(ISBLANK(A93),ISNA(MATCH(A93&amp;"",AthleteNumbers,0))),0,MATCH(A93&amp;"",AthleteNumbers,0))</f>
        <v>0</v>
      </c>
      <c r="J93" s="209">
        <f t="array" ref="J93">IF(I93&gt;0,INDEX(DB,$I93,6),0)</f>
        <v>0</v>
      </c>
      <c r="K93" s="440">
        <f t="shared" si="5"/>
        <v>0</v>
      </c>
      <c r="L93" s="440">
        <f t="shared" si="6"/>
        <v>0</v>
      </c>
      <c r="M93" s="441">
        <f>IF(AND(L93&gt;O93,O93&gt;0),MinPoints,IF(L93&lt;N93,100,+INT((O93-$L93)/P93)+MinPoints))</f>
        <v>100</v>
      </c>
      <c r="N93" s="440">
        <f t="shared" si="7"/>
        <v>7</v>
      </c>
      <c r="O93" s="440">
        <f t="shared" si="8"/>
        <v>16</v>
      </c>
      <c r="P93" s="440">
        <f t="shared" si="9"/>
        <v>0.1</v>
      </c>
      <c r="Q93">
        <f t="array" ref="Q93">IF(I93&gt;0,INDEX(DB,I93,9),EventIndex)</f>
        <v>6</v>
      </c>
      <c r="S93" s="442">
        <f t="array" ref="S93">INDEX(MINVALUES,$Q93,$K$1)</f>
        <v>16</v>
      </c>
      <c r="T93">
        <f t="array" ref="T93">INDEX(INCVALUES,$Q93,$K$1)</f>
        <v>0.1</v>
      </c>
      <c r="V93">
        <f t="array" ref="V93">+J93+(4*(INDEX(MatchScoreTable,$Q93,20)-1))</f>
        <v>4</v>
      </c>
      <c r="W93">
        <f t="array" ref="W93">INDEX(INC_MINVALUES,$V93,$K$1)</f>
        <v>34</v>
      </c>
      <c r="X93" s="212">
        <f t="array" ref="X93">INDEX(INC_INCVALUES,$V93,$K$1)</f>
        <v>0.3</v>
      </c>
    </row>
    <row r="94" ht="15.75" customHeight="1">
      <c r="A94" s="435"/>
      <c r="B94" s="436"/>
      <c r="C94" s="95" t="str">
        <f t="array" ref="C94">IF(I94&gt;0,INDEX(DB,I94,8),"")</f>
        <v/>
      </c>
      <c r="D94" s="437">
        <f t="shared" si="1"/>
        <v>0</v>
      </c>
      <c r="F94" s="438">
        <f t="shared" si="2"/>
        <v>0</v>
      </c>
      <c r="G94" t="str">
        <f t="shared" si="3"/>
        <v/>
      </c>
      <c r="H94" t="b">
        <f t="shared" si="4"/>
        <v>0</v>
      </c>
      <c r="I94" s="439">
        <f>IF(OR(ISBLANK(A94),ISNA(MATCH(A94&amp;"",AthleteNumbers,0))),0,MATCH(A94&amp;"",AthleteNumbers,0))</f>
        <v>0</v>
      </c>
      <c r="J94" s="209">
        <f t="array" ref="J94">IF(I94&gt;0,INDEX(DB,$I94,6),0)</f>
        <v>0</v>
      </c>
      <c r="K94" s="440">
        <f t="shared" si="5"/>
        <v>0</v>
      </c>
      <c r="L94" s="440">
        <f t="shared" si="6"/>
        <v>0</v>
      </c>
      <c r="M94" s="441">
        <f>IF(AND(L94&gt;O94,O94&gt;0),MinPoints,IF(L94&lt;N94,100,+INT((O94-$L94)/P94)+MinPoints))</f>
        <v>100</v>
      </c>
      <c r="N94" s="440">
        <f t="shared" si="7"/>
        <v>7</v>
      </c>
      <c r="O94" s="440">
        <f t="shared" si="8"/>
        <v>16</v>
      </c>
      <c r="P94" s="440">
        <f t="shared" si="9"/>
        <v>0.1</v>
      </c>
      <c r="Q94">
        <f t="array" ref="Q94">IF(I94&gt;0,INDEX(DB,I94,9),EventIndex)</f>
        <v>6</v>
      </c>
      <c r="S94" s="442">
        <f t="array" ref="S94">INDEX(MINVALUES,$Q94,$K$1)</f>
        <v>16</v>
      </c>
      <c r="T94">
        <f t="array" ref="T94">INDEX(INCVALUES,$Q94,$K$1)</f>
        <v>0.1</v>
      </c>
      <c r="V94">
        <f t="array" ref="V94">+J94+(4*(INDEX(MatchScoreTable,$Q94,20)-1))</f>
        <v>4</v>
      </c>
      <c r="W94">
        <f t="array" ref="W94">INDEX(INC_MINVALUES,$V94,$K$1)</f>
        <v>34</v>
      </c>
      <c r="X94" s="212">
        <f t="array" ref="X94">INDEX(INC_INCVALUES,$V94,$K$1)</f>
        <v>0.3</v>
      </c>
    </row>
    <row r="95" ht="15.75" customHeight="1">
      <c r="A95" s="435"/>
      <c r="B95" s="436"/>
      <c r="C95" s="95" t="str">
        <f t="array" ref="C95">IF(I95&gt;0,INDEX(DB,I95,8),"")</f>
        <v/>
      </c>
      <c r="D95" s="437">
        <f t="shared" si="1"/>
        <v>0</v>
      </c>
      <c r="F95" s="438">
        <f t="shared" si="2"/>
        <v>0</v>
      </c>
      <c r="G95" t="str">
        <f t="shared" si="3"/>
        <v/>
      </c>
      <c r="H95" t="b">
        <f t="shared" si="4"/>
        <v>0</v>
      </c>
      <c r="I95" s="439">
        <f>IF(OR(ISBLANK(A95),ISNA(MATCH(A95&amp;"",AthleteNumbers,0))),0,MATCH(A95&amp;"",AthleteNumbers,0))</f>
        <v>0</v>
      </c>
      <c r="J95" s="209">
        <f t="array" ref="J95">IF(I95&gt;0,INDEX(DB,$I95,6),0)</f>
        <v>0</v>
      </c>
      <c r="K95" s="440">
        <f t="shared" si="5"/>
        <v>0</v>
      </c>
      <c r="L95" s="440">
        <f t="shared" si="6"/>
        <v>0</v>
      </c>
      <c r="M95" s="441">
        <f>IF(AND(L95&gt;O95,O95&gt;0),MinPoints,IF(L95&lt;N95,100,+INT((O95-$L95)/P95)+MinPoints))</f>
        <v>100</v>
      </c>
      <c r="N95" s="440">
        <f t="shared" si="7"/>
        <v>7</v>
      </c>
      <c r="O95" s="440">
        <f t="shared" si="8"/>
        <v>16</v>
      </c>
      <c r="P95" s="440">
        <f t="shared" si="9"/>
        <v>0.1</v>
      </c>
      <c r="Q95">
        <f t="array" ref="Q95">IF(I95&gt;0,INDEX(DB,I95,9),EventIndex)</f>
        <v>6</v>
      </c>
      <c r="S95" s="442">
        <f t="array" ref="S95">INDEX(MINVALUES,$Q95,$K$1)</f>
        <v>16</v>
      </c>
      <c r="T95">
        <f t="array" ref="T95">INDEX(INCVALUES,$Q95,$K$1)</f>
        <v>0.1</v>
      </c>
      <c r="V95">
        <f t="array" ref="V95">+J95+(4*(INDEX(MatchScoreTable,$Q95,20)-1))</f>
        <v>4</v>
      </c>
      <c r="W95">
        <f t="array" ref="W95">INDEX(INC_MINVALUES,$V95,$K$1)</f>
        <v>34</v>
      </c>
      <c r="X95" s="212">
        <f t="array" ref="X95">INDEX(INC_INCVALUES,$V95,$K$1)</f>
        <v>0.3</v>
      </c>
    </row>
    <row r="96" ht="15.75" customHeight="1">
      <c r="A96" s="435"/>
      <c r="B96" s="436"/>
      <c r="C96" s="95" t="str">
        <f t="array" ref="C96">IF(I96&gt;0,INDEX(DB,I96,8),"")</f>
        <v/>
      </c>
      <c r="D96" s="437">
        <f t="shared" si="1"/>
        <v>0</v>
      </c>
      <c r="F96" s="438">
        <f t="shared" si="2"/>
        <v>0</v>
      </c>
      <c r="G96" t="str">
        <f t="shared" si="3"/>
        <v/>
      </c>
      <c r="H96" t="b">
        <f t="shared" si="4"/>
        <v>0</v>
      </c>
      <c r="I96" s="439">
        <f>IF(OR(ISBLANK(A96),ISNA(MATCH(A96&amp;"",AthleteNumbers,0))),0,MATCH(A96&amp;"",AthleteNumbers,0))</f>
        <v>0</v>
      </c>
      <c r="J96" s="209">
        <f t="array" ref="J96">IF(I96&gt;0,INDEX(DB,$I96,6),0)</f>
        <v>0</v>
      </c>
      <c r="K96" s="440">
        <f t="shared" si="5"/>
        <v>0</v>
      </c>
      <c r="L96" s="440">
        <f t="shared" si="6"/>
        <v>0</v>
      </c>
      <c r="M96" s="441">
        <f>IF(AND(L96&gt;O96,O96&gt;0),MinPoints,IF(L96&lt;N96,100,+INT((O96-$L96)/P96)+MinPoints))</f>
        <v>100</v>
      </c>
      <c r="N96" s="440">
        <f t="shared" si="7"/>
        <v>7</v>
      </c>
      <c r="O96" s="440">
        <f t="shared" si="8"/>
        <v>16</v>
      </c>
      <c r="P96" s="440">
        <f t="shared" si="9"/>
        <v>0.1</v>
      </c>
      <c r="Q96">
        <f t="array" ref="Q96">IF(I96&gt;0,INDEX(DB,I96,9),EventIndex)</f>
        <v>6</v>
      </c>
      <c r="S96" s="442">
        <f t="array" ref="S96">INDEX(MINVALUES,$Q96,$K$1)</f>
        <v>16</v>
      </c>
      <c r="T96">
        <f t="array" ref="T96">INDEX(INCVALUES,$Q96,$K$1)</f>
        <v>0.1</v>
      </c>
      <c r="V96">
        <f t="array" ref="V96">+J96+(4*(INDEX(MatchScoreTable,$Q96,20)-1))</f>
        <v>4</v>
      </c>
      <c r="W96">
        <f t="array" ref="W96">INDEX(INC_MINVALUES,$V96,$K$1)</f>
        <v>34</v>
      </c>
      <c r="X96" s="212">
        <f t="array" ref="X96">INDEX(INC_INCVALUES,$V96,$K$1)</f>
        <v>0.3</v>
      </c>
    </row>
    <row r="97" ht="15.75" customHeight="1">
      <c r="A97" s="435"/>
      <c r="B97" s="436"/>
      <c r="C97" s="95" t="str">
        <f t="array" ref="C97">IF(I97&gt;0,INDEX(DB,I97,8),"")</f>
        <v/>
      </c>
      <c r="D97" s="437">
        <f t="shared" si="1"/>
        <v>0</v>
      </c>
      <c r="F97" s="438">
        <f t="shared" si="2"/>
        <v>0</v>
      </c>
      <c r="G97" t="str">
        <f t="shared" si="3"/>
        <v/>
      </c>
      <c r="H97" t="b">
        <f t="shared" si="4"/>
        <v>0</v>
      </c>
      <c r="I97" s="439">
        <f>IF(OR(ISBLANK(A97),ISNA(MATCH(A97&amp;"",AthleteNumbers,0))),0,MATCH(A97&amp;"",AthleteNumbers,0))</f>
        <v>0</v>
      </c>
      <c r="J97" s="209">
        <f t="array" ref="J97">IF(I97&gt;0,INDEX(DB,$I97,6),0)</f>
        <v>0</v>
      </c>
      <c r="K97" s="440">
        <f t="shared" si="5"/>
        <v>0</v>
      </c>
      <c r="L97" s="440">
        <f t="shared" si="6"/>
        <v>0</v>
      </c>
      <c r="M97" s="441">
        <f>IF(AND(L97&gt;O97,O97&gt;0),MinPoints,IF(L97&lt;N97,100,+INT((O97-$L97)/P97)+MinPoints))</f>
        <v>100</v>
      </c>
      <c r="N97" s="440">
        <f t="shared" si="7"/>
        <v>7</v>
      </c>
      <c r="O97" s="440">
        <f t="shared" si="8"/>
        <v>16</v>
      </c>
      <c r="P97" s="440">
        <f t="shared" si="9"/>
        <v>0.1</v>
      </c>
      <c r="Q97">
        <f t="array" ref="Q97">IF(I97&gt;0,INDEX(DB,I97,9),EventIndex)</f>
        <v>6</v>
      </c>
      <c r="S97" s="442">
        <f t="array" ref="S97">INDEX(MINVALUES,$Q97,$K$1)</f>
        <v>16</v>
      </c>
      <c r="T97">
        <f t="array" ref="T97">INDEX(INCVALUES,$Q97,$K$1)</f>
        <v>0.1</v>
      </c>
      <c r="V97">
        <f t="array" ref="V97">+J97+(4*(INDEX(MatchScoreTable,$Q97,20)-1))</f>
        <v>4</v>
      </c>
      <c r="W97">
        <f t="array" ref="W97">INDEX(INC_MINVALUES,$V97,$K$1)</f>
        <v>34</v>
      </c>
      <c r="X97" s="212">
        <f t="array" ref="X97">INDEX(INC_INCVALUES,$V97,$K$1)</f>
        <v>0.3</v>
      </c>
    </row>
    <row r="98" ht="15.75" customHeight="1">
      <c r="A98" s="435"/>
      <c r="B98" s="436"/>
      <c r="C98" s="95" t="str">
        <f t="array" ref="C98">IF(I98&gt;0,INDEX(DB,I98,8),"")</f>
        <v/>
      </c>
      <c r="D98" s="437">
        <f t="shared" si="1"/>
        <v>0</v>
      </c>
      <c r="F98" s="438">
        <f t="shared" si="2"/>
        <v>0</v>
      </c>
      <c r="G98" t="str">
        <f t="shared" si="3"/>
        <v/>
      </c>
      <c r="H98" t="b">
        <f t="shared" si="4"/>
        <v>0</v>
      </c>
      <c r="I98" s="439">
        <f>IF(OR(ISBLANK(A98),ISNA(MATCH(A98&amp;"",AthleteNumbers,0))),0,MATCH(A98&amp;"",AthleteNumbers,0))</f>
        <v>0</v>
      </c>
      <c r="J98" s="209">
        <f t="array" ref="J98">IF(I98&gt;0,INDEX(DB,$I98,6),0)</f>
        <v>0</v>
      </c>
      <c r="K98" s="440">
        <f t="shared" si="5"/>
        <v>0</v>
      </c>
      <c r="L98" s="440">
        <f t="shared" si="6"/>
        <v>0</v>
      </c>
      <c r="M98" s="441">
        <f>IF(AND(L98&gt;O98,O98&gt;0),MinPoints,IF(L98&lt;N98,100,+INT((O98-$L98)/P98)+MinPoints))</f>
        <v>100</v>
      </c>
      <c r="N98" s="440">
        <f t="shared" si="7"/>
        <v>7</v>
      </c>
      <c r="O98" s="440">
        <f t="shared" si="8"/>
        <v>16</v>
      </c>
      <c r="P98" s="440">
        <f t="shared" si="9"/>
        <v>0.1</v>
      </c>
      <c r="Q98">
        <f t="array" ref="Q98">IF(I98&gt;0,INDEX(DB,I98,9),EventIndex)</f>
        <v>6</v>
      </c>
      <c r="S98" s="442">
        <f t="array" ref="S98">INDEX(MINVALUES,$Q98,$K$1)</f>
        <v>16</v>
      </c>
      <c r="T98">
        <f t="array" ref="T98">INDEX(INCVALUES,$Q98,$K$1)</f>
        <v>0.1</v>
      </c>
      <c r="V98">
        <f t="array" ref="V98">+J98+(4*(INDEX(MatchScoreTable,$Q98,20)-1))</f>
        <v>4</v>
      </c>
      <c r="W98">
        <f t="array" ref="W98">INDEX(INC_MINVALUES,$V98,$K$1)</f>
        <v>34</v>
      </c>
      <c r="X98" s="212">
        <f t="array" ref="X98">INDEX(INC_INCVALUES,$V98,$K$1)</f>
        <v>0.3</v>
      </c>
    </row>
    <row r="99" ht="15.75" customHeight="1">
      <c r="A99" s="435"/>
      <c r="B99" s="436"/>
      <c r="C99" s="95" t="str">
        <f t="array" ref="C99">IF(I99&gt;0,INDEX(DB,I99,8),"")</f>
        <v/>
      </c>
      <c r="D99" s="437">
        <f t="shared" si="1"/>
        <v>0</v>
      </c>
      <c r="F99" s="438">
        <f t="shared" si="2"/>
        <v>0</v>
      </c>
      <c r="G99" t="str">
        <f t="shared" si="3"/>
        <v/>
      </c>
      <c r="H99" t="b">
        <f t="shared" si="4"/>
        <v>0</v>
      </c>
      <c r="I99" s="439">
        <f>IF(OR(ISBLANK(A99),ISNA(MATCH(A99&amp;"",AthleteNumbers,0))),0,MATCH(A99&amp;"",AthleteNumbers,0))</f>
        <v>0</v>
      </c>
      <c r="J99" s="209">
        <f t="array" ref="J99">IF(I99&gt;0,INDEX(DB,$I99,6),0)</f>
        <v>0</v>
      </c>
      <c r="K99" s="440">
        <f t="shared" si="5"/>
        <v>0</v>
      </c>
      <c r="L99" s="440">
        <f t="shared" si="6"/>
        <v>0</v>
      </c>
      <c r="M99" s="441">
        <f>IF(AND(L99&gt;O99,O99&gt;0),MinPoints,IF(L99&lt;N99,100,+INT((O99-$L99)/P99)+MinPoints))</f>
        <v>100</v>
      </c>
      <c r="N99" s="440">
        <f t="shared" si="7"/>
        <v>7</v>
      </c>
      <c r="O99" s="440">
        <f t="shared" si="8"/>
        <v>16</v>
      </c>
      <c r="P99" s="440">
        <f t="shared" si="9"/>
        <v>0.1</v>
      </c>
      <c r="Q99">
        <f t="array" ref="Q99">IF(I99&gt;0,INDEX(DB,I99,9),EventIndex)</f>
        <v>6</v>
      </c>
      <c r="S99" s="442">
        <f t="array" ref="S99">INDEX(MINVALUES,$Q99,$K$1)</f>
        <v>16</v>
      </c>
      <c r="T99">
        <f t="array" ref="T99">INDEX(INCVALUES,$Q99,$K$1)</f>
        <v>0.1</v>
      </c>
      <c r="V99">
        <f t="array" ref="V99">+J99+(4*(INDEX(MatchScoreTable,$Q99,20)-1))</f>
        <v>4</v>
      </c>
      <c r="W99">
        <f t="array" ref="W99">INDEX(INC_MINVALUES,$V99,$K$1)</f>
        <v>34</v>
      </c>
      <c r="X99" s="212">
        <f t="array" ref="X99">INDEX(INC_INCVALUES,$V99,$K$1)</f>
        <v>0.3</v>
      </c>
    </row>
    <row r="100" ht="15.75" customHeight="1">
      <c r="A100" s="435"/>
      <c r="B100" s="436"/>
      <c r="C100" s="95" t="str">
        <f t="array" ref="C100">IF(I100&gt;0,INDEX(DB,I100,8),"")</f>
        <v/>
      </c>
      <c r="D100" s="437">
        <f t="shared" si="1"/>
        <v>0</v>
      </c>
      <c r="F100" s="438">
        <f t="shared" si="2"/>
        <v>0</v>
      </c>
      <c r="G100" t="str">
        <f t="shared" si="3"/>
        <v/>
      </c>
      <c r="H100" t="b">
        <f t="shared" si="4"/>
        <v>0</v>
      </c>
      <c r="I100" s="439">
        <f>IF(OR(ISBLANK(A100),ISNA(MATCH(A100&amp;"",AthleteNumbers,0))),0,MATCH(A100&amp;"",AthleteNumbers,0))</f>
        <v>0</v>
      </c>
      <c r="J100" s="209">
        <f t="array" ref="J100">IF(I100&gt;0,INDEX(DB,$I100,6),0)</f>
        <v>0</v>
      </c>
      <c r="K100" s="440">
        <f t="shared" si="5"/>
        <v>0</v>
      </c>
      <c r="L100" s="440">
        <f t="shared" si="6"/>
        <v>0</v>
      </c>
      <c r="M100" s="441">
        <f>IF(AND(L100&gt;O100,O100&gt;0),MinPoints,IF(L100&lt;N100,100,+INT((O100-$L100)/P100)+MinPoints))</f>
        <v>100</v>
      </c>
      <c r="N100" s="440">
        <f t="shared" si="7"/>
        <v>7</v>
      </c>
      <c r="O100" s="440">
        <f t="shared" si="8"/>
        <v>16</v>
      </c>
      <c r="P100" s="440">
        <f t="shared" si="9"/>
        <v>0.1</v>
      </c>
      <c r="Q100">
        <f t="array" ref="Q100">IF(I100&gt;0,INDEX(DB,I100,9),EventIndex)</f>
        <v>6</v>
      </c>
      <c r="S100" s="442">
        <f t="array" ref="S100">INDEX(MINVALUES,$Q100,$K$1)</f>
        <v>16</v>
      </c>
      <c r="T100">
        <f t="array" ref="T100">INDEX(INCVALUES,$Q100,$K$1)</f>
        <v>0.1</v>
      </c>
      <c r="V100">
        <f t="array" ref="V100">+J100+(4*(INDEX(MatchScoreTable,$Q100,20)-1))</f>
        <v>4</v>
      </c>
      <c r="W100">
        <f t="array" ref="W100">INDEX(INC_MINVALUES,$V100,$K$1)</f>
        <v>34</v>
      </c>
      <c r="X100" s="212">
        <f t="array" ref="X100">INDEX(INC_INCVALUES,$V100,$K$1)</f>
        <v>0.3</v>
      </c>
    </row>
    <row r="101" ht="15.75" customHeight="1">
      <c r="A101" s="435"/>
      <c r="B101" s="436"/>
      <c r="C101" s="95" t="str">
        <f t="array" ref="C101">IF(I101&gt;0,INDEX(DB,I101,8),"")</f>
        <v/>
      </c>
      <c r="D101" s="437">
        <f t="shared" si="1"/>
        <v>0</v>
      </c>
      <c r="F101" s="438">
        <f t="shared" si="2"/>
        <v>0</v>
      </c>
      <c r="G101" t="str">
        <f t="shared" si="3"/>
        <v/>
      </c>
      <c r="H101" t="b">
        <f t="shared" si="4"/>
        <v>0</v>
      </c>
      <c r="I101" s="439">
        <f>IF(OR(ISBLANK(A101),ISNA(MATCH(A101&amp;"",AthleteNumbers,0))),0,MATCH(A101&amp;"",AthleteNumbers,0))</f>
        <v>0</v>
      </c>
      <c r="J101" s="209">
        <f t="array" ref="J101">IF(I101&gt;0,INDEX(DB,$I101,6),0)</f>
        <v>0</v>
      </c>
      <c r="K101" s="440">
        <f t="shared" si="5"/>
        <v>0</v>
      </c>
      <c r="L101" s="440">
        <f t="shared" si="6"/>
        <v>0</v>
      </c>
      <c r="M101" s="441">
        <f>IF(AND(L101&gt;O101,O101&gt;0),MinPoints,IF(L101&lt;N101,100,+INT((O101-$L101)/P101)+MinPoints))</f>
        <v>100</v>
      </c>
      <c r="N101" s="440">
        <f t="shared" si="7"/>
        <v>7</v>
      </c>
      <c r="O101" s="440">
        <f t="shared" si="8"/>
        <v>16</v>
      </c>
      <c r="P101" s="440">
        <f t="shared" si="9"/>
        <v>0.1</v>
      </c>
      <c r="Q101">
        <f t="array" ref="Q101">IF(I101&gt;0,INDEX(DB,I101,9),EventIndex)</f>
        <v>6</v>
      </c>
      <c r="S101" s="442">
        <f t="array" ref="S101">INDEX(MINVALUES,$Q101,$K$1)</f>
        <v>16</v>
      </c>
      <c r="T101">
        <f t="array" ref="T101">INDEX(INCVALUES,$Q101,$K$1)</f>
        <v>0.1</v>
      </c>
      <c r="V101">
        <f t="array" ref="V101">+J101+(4*(INDEX(MatchScoreTable,$Q101,20)-1))</f>
        <v>4</v>
      </c>
      <c r="W101">
        <f t="array" ref="W101">INDEX(INC_MINVALUES,$V101,$K$1)</f>
        <v>34</v>
      </c>
      <c r="X101" s="212">
        <f t="array" ref="X101">INDEX(INC_INCVALUES,$V101,$K$1)</f>
        <v>0.3</v>
      </c>
    </row>
    <row r="102" ht="15.75" customHeight="1">
      <c r="A102" s="435"/>
      <c r="B102" s="436"/>
      <c r="C102" s="95" t="str">
        <f t="array" ref="C102">IF(I102&gt;0,INDEX(DB,I102,8),"")</f>
        <v/>
      </c>
      <c r="D102" s="437">
        <f t="shared" si="1"/>
        <v>0</v>
      </c>
      <c r="F102" s="438">
        <f t="shared" si="2"/>
        <v>0</v>
      </c>
      <c r="G102" t="str">
        <f t="shared" si="3"/>
        <v/>
      </c>
      <c r="H102" t="b">
        <f t="shared" si="4"/>
        <v>0</v>
      </c>
      <c r="I102" s="439">
        <f>IF(OR(ISBLANK(A102),ISNA(MATCH(A102&amp;"",AthleteNumbers,0))),0,MATCH(A102&amp;"",AthleteNumbers,0))</f>
        <v>0</v>
      </c>
      <c r="J102" s="209">
        <f t="array" ref="J102">IF(I102&gt;0,INDEX(DB,$I102,6),0)</f>
        <v>0</v>
      </c>
      <c r="K102" s="440">
        <f t="shared" si="5"/>
        <v>0</v>
      </c>
      <c r="L102" s="440">
        <f t="shared" si="6"/>
        <v>0</v>
      </c>
      <c r="M102" s="441">
        <f>IF(AND(L102&gt;O102,O102&gt;0),MinPoints,IF(L102&lt;N102,100,+INT((O102-$L102)/P102)+MinPoints))</f>
        <v>100</v>
      </c>
      <c r="N102" s="440">
        <f t="shared" si="7"/>
        <v>7</v>
      </c>
      <c r="O102" s="440">
        <f t="shared" si="8"/>
        <v>16</v>
      </c>
      <c r="P102" s="440">
        <f t="shared" si="9"/>
        <v>0.1</v>
      </c>
      <c r="Q102">
        <f t="array" ref="Q102">IF(I102&gt;0,INDEX(DB,I102,9),EventIndex)</f>
        <v>6</v>
      </c>
      <c r="S102" s="442">
        <f t="array" ref="S102">INDEX(MINVALUES,$Q102,$K$1)</f>
        <v>16</v>
      </c>
      <c r="T102">
        <f t="array" ref="T102">INDEX(INCVALUES,$Q102,$K$1)</f>
        <v>0.1</v>
      </c>
      <c r="V102">
        <f t="array" ref="V102">+J102+(4*(INDEX(MatchScoreTable,$Q102,20)-1))</f>
        <v>4</v>
      </c>
      <c r="W102">
        <f t="array" ref="W102">INDEX(INC_MINVALUES,$V102,$K$1)</f>
        <v>34</v>
      </c>
      <c r="X102" s="212">
        <f t="array" ref="X102">INDEX(INC_INCVALUES,$V102,$K$1)</f>
        <v>0.3</v>
      </c>
    </row>
    <row r="103" ht="15.75" customHeight="1">
      <c r="A103" s="435"/>
      <c r="B103" s="436"/>
      <c r="C103" s="95" t="str">
        <f t="array" ref="C103">IF(I103&gt;0,INDEX(DB,I103,8),"")</f>
        <v/>
      </c>
      <c r="D103" s="437">
        <f t="shared" si="1"/>
        <v>0</v>
      </c>
      <c r="F103" s="438">
        <f t="shared" si="2"/>
        <v>0</v>
      </c>
      <c r="G103" t="str">
        <f t="shared" si="3"/>
        <v/>
      </c>
      <c r="H103" t="b">
        <f t="shared" si="4"/>
        <v>0</v>
      </c>
      <c r="I103" s="439">
        <f>IF(OR(ISBLANK(A103),ISNA(MATCH(A103&amp;"",AthleteNumbers,0))),0,MATCH(A103&amp;"",AthleteNumbers,0))</f>
        <v>0</v>
      </c>
      <c r="J103" s="209">
        <f t="array" ref="J103">IF(I103&gt;0,INDEX(DB,$I103,6),0)</f>
        <v>0</v>
      </c>
      <c r="K103" s="440">
        <f t="shared" si="5"/>
        <v>0</v>
      </c>
      <c r="L103" s="440">
        <f t="shared" si="6"/>
        <v>0</v>
      </c>
      <c r="M103" s="441">
        <f>IF(AND(L103&gt;O103,O103&gt;0),MinPoints,IF(L103&lt;N103,100,+INT((O103-$L103)/P103)+MinPoints))</f>
        <v>100</v>
      </c>
      <c r="N103" s="440">
        <f t="shared" si="7"/>
        <v>7</v>
      </c>
      <c r="O103" s="440">
        <f t="shared" si="8"/>
        <v>16</v>
      </c>
      <c r="P103" s="440">
        <f t="shared" si="9"/>
        <v>0.1</v>
      </c>
      <c r="Q103">
        <f t="array" ref="Q103">IF(I103&gt;0,INDEX(DB,I103,9),EventIndex)</f>
        <v>6</v>
      </c>
      <c r="S103" s="442">
        <f t="array" ref="S103">INDEX(MINVALUES,$Q103,$K$1)</f>
        <v>16</v>
      </c>
      <c r="T103">
        <f t="array" ref="T103">INDEX(INCVALUES,$Q103,$K$1)</f>
        <v>0.1</v>
      </c>
      <c r="V103">
        <f t="array" ref="V103">+J103+(4*(INDEX(MatchScoreTable,$Q103,20)-1))</f>
        <v>4</v>
      </c>
      <c r="W103">
        <f t="array" ref="W103">INDEX(INC_MINVALUES,$V103,$K$1)</f>
        <v>34</v>
      </c>
      <c r="X103" s="212">
        <f t="array" ref="X103">INDEX(INC_INCVALUES,$V103,$K$1)</f>
        <v>0.3</v>
      </c>
    </row>
    <row r="104" ht="15.75" customHeight="1">
      <c r="A104" s="435"/>
      <c r="B104" s="436"/>
      <c r="C104" s="95" t="str">
        <f t="array" ref="C104">IF(I104&gt;0,INDEX(DB,I104,8),"")</f>
        <v/>
      </c>
      <c r="D104" s="437">
        <f t="shared" si="1"/>
        <v>0</v>
      </c>
      <c r="F104" s="438">
        <f t="shared" si="2"/>
        <v>0</v>
      </c>
      <c r="G104" t="str">
        <f t="shared" si="3"/>
        <v/>
      </c>
      <c r="H104" t="b">
        <f t="shared" si="4"/>
        <v>0</v>
      </c>
      <c r="I104" s="439">
        <f>IF(OR(ISBLANK(A104),ISNA(MATCH(A104&amp;"",AthleteNumbers,0))),0,MATCH(A104&amp;"",AthleteNumbers,0))</f>
        <v>0</v>
      </c>
      <c r="J104" s="209">
        <f t="array" ref="J104">IF(I104&gt;0,INDEX(DB,$I104,6),0)</f>
        <v>0</v>
      </c>
      <c r="K104" s="440">
        <f t="shared" si="5"/>
        <v>0</v>
      </c>
      <c r="L104" s="440">
        <f t="shared" si="6"/>
        <v>0</v>
      </c>
      <c r="M104" s="441">
        <f>IF(AND(L104&gt;O104,O104&gt;0),MinPoints,IF(L104&lt;N104,100,+INT((O104-$L104)/P104)+MinPoints))</f>
        <v>100</v>
      </c>
      <c r="N104" s="440">
        <f t="shared" si="7"/>
        <v>7</v>
      </c>
      <c r="O104" s="440">
        <f t="shared" si="8"/>
        <v>16</v>
      </c>
      <c r="P104" s="440">
        <f t="shared" si="9"/>
        <v>0.1</v>
      </c>
      <c r="Q104">
        <f t="array" ref="Q104">IF(I104&gt;0,INDEX(DB,I104,9),EventIndex)</f>
        <v>6</v>
      </c>
      <c r="S104" s="442">
        <f t="array" ref="S104">INDEX(MINVALUES,$Q104,$K$1)</f>
        <v>16</v>
      </c>
      <c r="T104">
        <f t="array" ref="T104">INDEX(INCVALUES,$Q104,$K$1)</f>
        <v>0.1</v>
      </c>
      <c r="V104">
        <f t="array" ref="V104">+J104+(4*(INDEX(MatchScoreTable,$Q104,20)-1))</f>
        <v>4</v>
      </c>
      <c r="W104">
        <f t="array" ref="W104">INDEX(INC_MINVALUES,$V104,$K$1)</f>
        <v>34</v>
      </c>
      <c r="X104" s="212">
        <f t="array" ref="X104">INDEX(INC_INCVALUES,$V104,$K$1)</f>
        <v>0.3</v>
      </c>
    </row>
    <row r="105" ht="15.75" customHeight="1">
      <c r="A105" s="435"/>
      <c r="B105" s="436"/>
      <c r="C105" s="95" t="str">
        <f t="array" ref="C105">IF(I105&gt;0,INDEX(DB,I105,8),"")</f>
        <v/>
      </c>
      <c r="D105" s="437">
        <f t="shared" si="1"/>
        <v>0</v>
      </c>
      <c r="F105" s="438">
        <f t="shared" si="2"/>
        <v>0</v>
      </c>
      <c r="G105" t="str">
        <f t="shared" si="3"/>
        <v/>
      </c>
      <c r="H105" t="b">
        <f t="shared" si="4"/>
        <v>0</v>
      </c>
      <c r="I105" s="439">
        <f>IF(OR(ISBLANK(A105),ISNA(MATCH(A105&amp;"",AthleteNumbers,0))),0,MATCH(A105&amp;"",AthleteNumbers,0))</f>
        <v>0</v>
      </c>
      <c r="J105" s="209">
        <f t="array" ref="J105">IF(I105&gt;0,INDEX(DB,$I105,6),0)</f>
        <v>0</v>
      </c>
      <c r="K105" s="440">
        <f t="shared" si="5"/>
        <v>0</v>
      </c>
      <c r="L105" s="440">
        <f t="shared" si="6"/>
        <v>0</v>
      </c>
      <c r="M105" s="441">
        <f>IF(AND(L105&gt;O105,O105&gt;0),MinPoints,IF(L105&lt;N105,100,+INT((O105-$L105)/P105)+MinPoints))</f>
        <v>100</v>
      </c>
      <c r="N105" s="440">
        <f t="shared" si="7"/>
        <v>7</v>
      </c>
      <c r="O105" s="440">
        <f t="shared" si="8"/>
        <v>16</v>
      </c>
      <c r="P105" s="440">
        <f t="shared" si="9"/>
        <v>0.1</v>
      </c>
      <c r="Q105">
        <f t="array" ref="Q105">IF(I105&gt;0,INDEX(DB,I105,9),EventIndex)</f>
        <v>6</v>
      </c>
      <c r="S105" s="442">
        <f t="array" ref="S105">INDEX(MINVALUES,$Q105,$K$1)</f>
        <v>16</v>
      </c>
      <c r="T105">
        <f t="array" ref="T105">INDEX(INCVALUES,$Q105,$K$1)</f>
        <v>0.1</v>
      </c>
      <c r="V105">
        <f t="array" ref="V105">+J105+(4*(INDEX(MatchScoreTable,$Q105,20)-1))</f>
        <v>4</v>
      </c>
      <c r="W105">
        <f t="array" ref="W105">INDEX(INC_MINVALUES,$V105,$K$1)</f>
        <v>34</v>
      </c>
      <c r="X105" s="212">
        <f t="array" ref="X105">INDEX(INC_INCVALUES,$V105,$K$1)</f>
        <v>0.3</v>
      </c>
    </row>
    <row r="106" ht="15.75" customHeight="1">
      <c r="A106" s="435"/>
      <c r="B106" s="436"/>
      <c r="C106" s="95" t="str">
        <f t="array" ref="C106">IF(I106&gt;0,INDEX(DB,I106,8),"")</f>
        <v/>
      </c>
      <c r="D106" s="437">
        <f t="shared" si="1"/>
        <v>0</v>
      </c>
      <c r="F106" s="438">
        <f t="shared" si="2"/>
        <v>0</v>
      </c>
      <c r="G106" t="str">
        <f t="shared" si="3"/>
        <v/>
      </c>
      <c r="H106" t="b">
        <f t="shared" si="4"/>
        <v>0</v>
      </c>
      <c r="I106" s="439">
        <f>IF(OR(ISBLANK(A106),ISNA(MATCH(A106&amp;"",AthleteNumbers,0))),0,MATCH(A106&amp;"",AthleteNumbers,0))</f>
        <v>0</v>
      </c>
      <c r="J106" s="209">
        <f t="array" ref="J106">IF(I106&gt;0,INDEX(DB,$I106,6),0)</f>
        <v>0</v>
      </c>
      <c r="K106" s="440">
        <f t="shared" si="5"/>
        <v>0</v>
      </c>
      <c r="L106" s="440">
        <f t="shared" si="6"/>
        <v>0</v>
      </c>
      <c r="M106" s="441">
        <f>IF(AND(L106&gt;O106,O106&gt;0),MinPoints,IF(L106&lt;N106,100,+INT((O106-$L106)/P106)+MinPoints))</f>
        <v>100</v>
      </c>
      <c r="N106" s="440">
        <f t="shared" si="7"/>
        <v>7</v>
      </c>
      <c r="O106" s="440">
        <f t="shared" si="8"/>
        <v>16</v>
      </c>
      <c r="P106" s="440">
        <f t="shared" si="9"/>
        <v>0.1</v>
      </c>
      <c r="Q106">
        <f t="array" ref="Q106">IF(I106&gt;0,INDEX(DB,I106,9),EventIndex)</f>
        <v>6</v>
      </c>
      <c r="S106" s="442">
        <f t="array" ref="S106">INDEX(MINVALUES,$Q106,$K$1)</f>
        <v>16</v>
      </c>
      <c r="T106">
        <f t="array" ref="T106">INDEX(INCVALUES,$Q106,$K$1)</f>
        <v>0.1</v>
      </c>
      <c r="V106">
        <f t="array" ref="V106">+J106+(4*(INDEX(MatchScoreTable,$Q106,20)-1))</f>
        <v>4</v>
      </c>
      <c r="W106">
        <f t="array" ref="W106">INDEX(INC_MINVALUES,$V106,$K$1)</f>
        <v>34</v>
      </c>
      <c r="X106" s="212">
        <f t="array" ref="X106">INDEX(INC_INCVALUES,$V106,$K$1)</f>
        <v>0.3</v>
      </c>
    </row>
    <row r="107" ht="15.75" customHeight="1">
      <c r="A107" s="435"/>
      <c r="B107" s="436"/>
      <c r="C107" s="95" t="str">
        <f t="array" ref="C107">IF(I107&gt;0,INDEX(DB,I107,8),"")</f>
        <v/>
      </c>
      <c r="D107" s="437">
        <f t="shared" si="1"/>
        <v>0</v>
      </c>
      <c r="F107" s="438">
        <f t="shared" si="2"/>
        <v>0</v>
      </c>
      <c r="G107" t="str">
        <f t="shared" si="3"/>
        <v/>
      </c>
      <c r="H107" t="b">
        <f t="shared" si="4"/>
        <v>0</v>
      </c>
      <c r="I107" s="439">
        <f>IF(OR(ISBLANK(A107),ISNA(MATCH(A107&amp;"",AthleteNumbers,0))),0,MATCH(A107&amp;"",AthleteNumbers,0))</f>
        <v>0</v>
      </c>
      <c r="J107" s="209">
        <f t="array" ref="J107">IF(I107&gt;0,INDEX(DB,$I107,6),0)</f>
        <v>0</v>
      </c>
      <c r="K107" s="440">
        <f t="shared" si="5"/>
        <v>0</v>
      </c>
      <c r="L107" s="440">
        <f t="shared" si="6"/>
        <v>0</v>
      </c>
      <c r="M107" s="441">
        <f>IF(AND(L107&gt;O107,O107&gt;0),MinPoints,IF(L107&lt;N107,100,+INT((O107-$L107)/P107)+MinPoints))</f>
        <v>100</v>
      </c>
      <c r="N107" s="440">
        <f t="shared" si="7"/>
        <v>7</v>
      </c>
      <c r="O107" s="440">
        <f t="shared" si="8"/>
        <v>16</v>
      </c>
      <c r="P107" s="440">
        <f t="shared" si="9"/>
        <v>0.1</v>
      </c>
      <c r="Q107">
        <f t="array" ref="Q107">IF(I107&gt;0,INDEX(DB,I107,9),EventIndex)</f>
        <v>6</v>
      </c>
      <c r="S107" s="442">
        <f t="array" ref="S107">INDEX(MINVALUES,$Q107,$K$1)</f>
        <v>16</v>
      </c>
      <c r="T107">
        <f t="array" ref="T107">INDEX(INCVALUES,$Q107,$K$1)</f>
        <v>0.1</v>
      </c>
      <c r="V107">
        <f t="array" ref="V107">+J107+(4*(INDEX(MatchScoreTable,$Q107,20)-1))</f>
        <v>4</v>
      </c>
      <c r="W107">
        <f t="array" ref="W107">INDEX(INC_MINVALUES,$V107,$K$1)</f>
        <v>34</v>
      </c>
      <c r="X107" s="212">
        <f t="array" ref="X107">INDEX(INC_INCVALUES,$V107,$K$1)</f>
        <v>0.3</v>
      </c>
    </row>
    <row r="108" ht="15.75" customHeight="1">
      <c r="A108" s="435"/>
      <c r="B108" s="436"/>
      <c r="C108" s="95" t="str">
        <f t="array" ref="C108">IF(I108&gt;0,INDEX(DB,I108,8),"")</f>
        <v/>
      </c>
      <c r="D108" s="437">
        <f t="shared" si="1"/>
        <v>0</v>
      </c>
      <c r="F108" s="438">
        <f t="shared" si="2"/>
        <v>0</v>
      </c>
      <c r="G108" t="str">
        <f t="shared" si="3"/>
        <v/>
      </c>
      <c r="H108" t="b">
        <f t="shared" si="4"/>
        <v>0</v>
      </c>
      <c r="I108" s="439">
        <f>IF(OR(ISBLANK(A108),ISNA(MATCH(A108&amp;"",AthleteNumbers,0))),0,MATCH(A108&amp;"",AthleteNumbers,0))</f>
        <v>0</v>
      </c>
      <c r="J108" s="209">
        <f t="array" ref="J108">IF(I108&gt;0,INDEX(DB,$I108,6),0)</f>
        <v>0</v>
      </c>
      <c r="K108" s="440">
        <f t="shared" si="5"/>
        <v>0</v>
      </c>
      <c r="L108" s="440">
        <f t="shared" si="6"/>
        <v>0</v>
      </c>
      <c r="M108" s="441">
        <f>IF(AND(L108&gt;O108,O108&gt;0),MinPoints,IF(L108&lt;N108,100,+INT((O108-$L108)/P108)+MinPoints))</f>
        <v>100</v>
      </c>
      <c r="N108" s="440">
        <f t="shared" si="7"/>
        <v>7</v>
      </c>
      <c r="O108" s="440">
        <f t="shared" si="8"/>
        <v>16</v>
      </c>
      <c r="P108" s="440">
        <f t="shared" si="9"/>
        <v>0.1</v>
      </c>
      <c r="Q108">
        <f t="array" ref="Q108">IF(I108&gt;0,INDEX(DB,I108,9),EventIndex)</f>
        <v>6</v>
      </c>
      <c r="S108" s="442">
        <f t="array" ref="S108">INDEX(MINVALUES,$Q108,$K$1)</f>
        <v>16</v>
      </c>
      <c r="T108">
        <f t="array" ref="T108">INDEX(INCVALUES,$Q108,$K$1)</f>
        <v>0.1</v>
      </c>
      <c r="V108">
        <f t="array" ref="V108">+J108+(4*(INDEX(MatchScoreTable,$Q108,20)-1))</f>
        <v>4</v>
      </c>
      <c r="W108">
        <f t="array" ref="W108">INDEX(INC_MINVALUES,$V108,$K$1)</f>
        <v>34</v>
      </c>
      <c r="X108" s="212">
        <f t="array" ref="X108">INDEX(INC_INCVALUES,$V108,$K$1)</f>
        <v>0.3</v>
      </c>
    </row>
    <row r="109" ht="15.75" customHeight="1">
      <c r="A109" s="435"/>
      <c r="B109" s="436"/>
      <c r="C109" s="95" t="str">
        <f t="array" ref="C109">IF(I109&gt;0,INDEX(DB,I109,8),"")</f>
        <v/>
      </c>
      <c r="D109" s="437">
        <f t="shared" si="1"/>
        <v>0</v>
      </c>
      <c r="F109" s="438">
        <f t="shared" si="2"/>
        <v>0</v>
      </c>
      <c r="G109" t="str">
        <f t="shared" si="3"/>
        <v/>
      </c>
      <c r="H109" t="b">
        <f t="shared" si="4"/>
        <v>0</v>
      </c>
      <c r="I109" s="439">
        <f>IF(OR(ISBLANK(A109),ISNA(MATCH(A109&amp;"",AthleteNumbers,0))),0,MATCH(A109&amp;"",AthleteNumbers,0))</f>
        <v>0</v>
      </c>
      <c r="J109" s="209">
        <f t="array" ref="J109">IF(I109&gt;0,INDEX(DB,$I109,6),0)</f>
        <v>0</v>
      </c>
      <c r="K109" s="440">
        <f t="shared" si="5"/>
        <v>0</v>
      </c>
      <c r="L109" s="440">
        <f t="shared" si="6"/>
        <v>0</v>
      </c>
      <c r="M109" s="441">
        <f>IF(AND(L109&gt;O109,O109&gt;0),MinPoints,IF(L109&lt;N109,100,+INT((O109-$L109)/P109)+MinPoints))</f>
        <v>100</v>
      </c>
      <c r="N109" s="440">
        <f t="shared" si="7"/>
        <v>7</v>
      </c>
      <c r="O109" s="440">
        <f t="shared" si="8"/>
        <v>16</v>
      </c>
      <c r="P109" s="440">
        <f t="shared" si="9"/>
        <v>0.1</v>
      </c>
      <c r="Q109">
        <f t="array" ref="Q109">IF(I109&gt;0,INDEX(DB,I109,9),EventIndex)</f>
        <v>6</v>
      </c>
      <c r="S109" s="442">
        <f t="array" ref="S109">INDEX(MINVALUES,$Q109,$K$1)</f>
        <v>16</v>
      </c>
      <c r="T109">
        <f t="array" ref="T109">INDEX(INCVALUES,$Q109,$K$1)</f>
        <v>0.1</v>
      </c>
      <c r="V109">
        <f t="array" ref="V109">+J109+(4*(INDEX(MatchScoreTable,$Q109,20)-1))</f>
        <v>4</v>
      </c>
      <c r="W109">
        <f t="array" ref="W109">INDEX(INC_MINVALUES,$V109,$K$1)</f>
        <v>34</v>
      </c>
      <c r="X109" s="212">
        <f t="array" ref="X109">INDEX(INC_INCVALUES,$V109,$K$1)</f>
        <v>0.3</v>
      </c>
    </row>
    <row r="110" ht="15.75" customHeight="1">
      <c r="A110" s="435"/>
      <c r="B110" s="436"/>
      <c r="C110" s="95" t="str">
        <f t="array" ref="C110">IF(I110&gt;0,INDEX(DB,I110,8),"")</f>
        <v/>
      </c>
      <c r="D110" s="437">
        <f t="shared" si="1"/>
        <v>0</v>
      </c>
      <c r="F110" s="438">
        <f t="shared" si="2"/>
        <v>0</v>
      </c>
      <c r="G110" t="str">
        <f t="shared" si="3"/>
        <v/>
      </c>
      <c r="H110" t="b">
        <f t="shared" si="4"/>
        <v>0</v>
      </c>
      <c r="I110" s="439">
        <f>IF(OR(ISBLANK(A110),ISNA(MATCH(A110&amp;"",AthleteNumbers,0))),0,MATCH(A110&amp;"",AthleteNumbers,0))</f>
        <v>0</v>
      </c>
      <c r="J110" s="209">
        <f t="array" ref="J110">IF(I110&gt;0,INDEX(DB,$I110,6),0)</f>
        <v>0</v>
      </c>
      <c r="K110" s="440">
        <f t="shared" si="5"/>
        <v>0</v>
      </c>
      <c r="L110" s="440">
        <f t="shared" si="6"/>
        <v>0</v>
      </c>
      <c r="M110" s="441">
        <f>IF(AND(L110&gt;O110,O110&gt;0),MinPoints,IF(L110&lt;N110,100,+INT((O110-$L110)/P110)+MinPoints))</f>
        <v>100</v>
      </c>
      <c r="N110" s="440">
        <f t="shared" si="7"/>
        <v>7</v>
      </c>
      <c r="O110" s="440">
        <f t="shared" si="8"/>
        <v>16</v>
      </c>
      <c r="P110" s="440">
        <f t="shared" si="9"/>
        <v>0.1</v>
      </c>
      <c r="Q110">
        <f t="array" ref="Q110">IF(I110&gt;0,INDEX(DB,I110,9),EventIndex)</f>
        <v>6</v>
      </c>
      <c r="S110" s="442">
        <f t="array" ref="S110">INDEX(MINVALUES,$Q110,$K$1)</f>
        <v>16</v>
      </c>
      <c r="T110">
        <f t="array" ref="T110">INDEX(INCVALUES,$Q110,$K$1)</f>
        <v>0.1</v>
      </c>
      <c r="V110">
        <f t="array" ref="V110">+J110+(4*(INDEX(MatchScoreTable,$Q110,20)-1))</f>
        <v>4</v>
      </c>
      <c r="W110">
        <f t="array" ref="W110">INDEX(INC_MINVALUES,$V110,$K$1)</f>
        <v>34</v>
      </c>
      <c r="X110" s="212">
        <f t="array" ref="X110">INDEX(INC_INCVALUES,$V110,$K$1)</f>
        <v>0.3</v>
      </c>
    </row>
    <row r="111" ht="15.75" customHeight="1">
      <c r="A111" s="435"/>
      <c r="B111" s="436"/>
      <c r="C111" s="95" t="str">
        <f t="array" ref="C111">IF(I111&gt;0,INDEX(DB,I111,8),"")</f>
        <v/>
      </c>
      <c r="D111" s="437">
        <f t="shared" si="1"/>
        <v>0</v>
      </c>
      <c r="F111" s="438">
        <f t="shared" si="2"/>
        <v>0</v>
      </c>
      <c r="G111" t="str">
        <f t="shared" si="3"/>
        <v/>
      </c>
      <c r="H111" t="b">
        <f t="shared" si="4"/>
        <v>0</v>
      </c>
      <c r="I111" s="439">
        <f>IF(OR(ISBLANK(A111),ISNA(MATCH(A111&amp;"",AthleteNumbers,0))),0,MATCH(A111&amp;"",AthleteNumbers,0))</f>
        <v>0</v>
      </c>
      <c r="J111" s="209">
        <f t="array" ref="J111">IF(I111&gt;0,INDEX(DB,$I111,6),0)</f>
        <v>0</v>
      </c>
      <c r="K111" s="440">
        <f t="shared" si="5"/>
        <v>0</v>
      </c>
      <c r="L111" s="440">
        <f t="shared" si="6"/>
        <v>0</v>
      </c>
      <c r="M111" s="441">
        <f>IF(AND(L111&gt;O111,O111&gt;0),MinPoints,IF(L111&lt;N111,100,+INT((O111-$L111)/P111)+MinPoints))</f>
        <v>100</v>
      </c>
      <c r="N111" s="440">
        <f t="shared" si="7"/>
        <v>7</v>
      </c>
      <c r="O111" s="440">
        <f t="shared" si="8"/>
        <v>16</v>
      </c>
      <c r="P111" s="440">
        <f t="shared" si="9"/>
        <v>0.1</v>
      </c>
      <c r="Q111">
        <f t="array" ref="Q111">IF(I111&gt;0,INDEX(DB,I111,9),EventIndex)</f>
        <v>6</v>
      </c>
      <c r="S111" s="442">
        <f t="array" ref="S111">INDEX(MINVALUES,$Q111,$K$1)</f>
        <v>16</v>
      </c>
      <c r="T111">
        <f t="array" ref="T111">INDEX(INCVALUES,$Q111,$K$1)</f>
        <v>0.1</v>
      </c>
      <c r="V111">
        <f t="array" ref="V111">+J111+(4*(INDEX(MatchScoreTable,$Q111,20)-1))</f>
        <v>4</v>
      </c>
      <c r="W111">
        <f t="array" ref="W111">INDEX(INC_MINVALUES,$V111,$K$1)</f>
        <v>34</v>
      </c>
      <c r="X111" s="212">
        <f t="array" ref="X111">INDEX(INC_INCVALUES,$V111,$K$1)</f>
        <v>0.3</v>
      </c>
    </row>
    <row r="112" ht="15.75" customHeight="1">
      <c r="A112" s="435"/>
      <c r="B112" s="436"/>
      <c r="C112" s="95" t="str">
        <f t="array" ref="C112">IF(I112&gt;0,INDEX(DB,I112,8),"")</f>
        <v/>
      </c>
      <c r="D112" s="437">
        <f t="shared" si="1"/>
        <v>0</v>
      </c>
      <c r="F112" s="438">
        <f t="shared" si="2"/>
        <v>0</v>
      </c>
      <c r="G112" t="str">
        <f t="shared" si="3"/>
        <v/>
      </c>
      <c r="H112" t="b">
        <f t="shared" si="4"/>
        <v>0</v>
      </c>
      <c r="I112" s="439">
        <f>IF(OR(ISBLANK(A112),ISNA(MATCH(A112&amp;"",AthleteNumbers,0))),0,MATCH(A112&amp;"",AthleteNumbers,0))</f>
        <v>0</v>
      </c>
      <c r="J112" s="209">
        <f t="array" ref="J112">IF(I112&gt;0,INDEX(DB,$I112,6),0)</f>
        <v>0</v>
      </c>
      <c r="K112" s="440">
        <f t="shared" si="5"/>
        <v>0</v>
      </c>
      <c r="L112" s="440">
        <f t="shared" si="6"/>
        <v>0</v>
      </c>
      <c r="M112" s="441">
        <f>IF(AND(L112&gt;O112,O112&gt;0),MinPoints,IF(L112&lt;N112,100,+INT((O112-$L112)/P112)+MinPoints))</f>
        <v>100</v>
      </c>
      <c r="N112" s="440">
        <f t="shared" si="7"/>
        <v>7</v>
      </c>
      <c r="O112" s="440">
        <f t="shared" si="8"/>
        <v>16</v>
      </c>
      <c r="P112" s="440">
        <f t="shared" si="9"/>
        <v>0.1</v>
      </c>
      <c r="Q112">
        <f t="array" ref="Q112">IF(I112&gt;0,INDEX(DB,I112,9),EventIndex)</f>
        <v>6</v>
      </c>
      <c r="S112" s="442">
        <f t="array" ref="S112">INDEX(MINVALUES,$Q112,$K$1)</f>
        <v>16</v>
      </c>
      <c r="T112">
        <f t="array" ref="T112">INDEX(INCVALUES,$Q112,$K$1)</f>
        <v>0.1</v>
      </c>
      <c r="V112">
        <f t="array" ref="V112">+J112+(4*(INDEX(MatchScoreTable,$Q112,20)-1))</f>
        <v>4</v>
      </c>
      <c r="W112">
        <f t="array" ref="W112">INDEX(INC_MINVALUES,$V112,$K$1)</f>
        <v>34</v>
      </c>
      <c r="X112" s="212">
        <f t="array" ref="X112">INDEX(INC_INCVALUES,$V112,$K$1)</f>
        <v>0.3</v>
      </c>
    </row>
    <row r="113" ht="15.75" customHeight="1">
      <c r="A113" s="435"/>
      <c r="B113" s="436"/>
      <c r="C113" s="95" t="str">
        <f t="array" ref="C113">IF(I113&gt;0,INDEX(DB,I113,8),"")</f>
        <v/>
      </c>
      <c r="D113" s="437">
        <f t="shared" si="1"/>
        <v>0</v>
      </c>
      <c r="F113" s="438">
        <f t="shared" si="2"/>
        <v>0</v>
      </c>
      <c r="G113" t="str">
        <f t="shared" si="3"/>
        <v/>
      </c>
      <c r="H113" t="b">
        <f t="shared" si="4"/>
        <v>0</v>
      </c>
      <c r="I113" s="439">
        <f>IF(OR(ISBLANK(A113),ISNA(MATCH(A113&amp;"",AthleteNumbers,0))),0,MATCH(A113&amp;"",AthleteNumbers,0))</f>
        <v>0</v>
      </c>
      <c r="J113" s="209">
        <f t="array" ref="J113">IF(I113&gt;0,INDEX(DB,$I113,6),0)</f>
        <v>0</v>
      </c>
      <c r="K113" s="440">
        <f t="shared" si="5"/>
        <v>0</v>
      </c>
      <c r="L113" s="440">
        <f t="shared" si="6"/>
        <v>0</v>
      </c>
      <c r="M113" s="441">
        <f>IF(AND(L113&gt;O113,O113&gt;0),MinPoints,IF(L113&lt;N113,100,+INT((O113-$L113)/P113)+MinPoints))</f>
        <v>100</v>
      </c>
      <c r="N113" s="440">
        <f t="shared" si="7"/>
        <v>7</v>
      </c>
      <c r="O113" s="440">
        <f t="shared" si="8"/>
        <v>16</v>
      </c>
      <c r="P113" s="440">
        <f t="shared" si="9"/>
        <v>0.1</v>
      </c>
      <c r="Q113">
        <f t="array" ref="Q113">IF(I113&gt;0,INDEX(DB,I113,9),EventIndex)</f>
        <v>6</v>
      </c>
      <c r="S113" s="442">
        <f t="array" ref="S113">INDEX(MINVALUES,$Q113,$K$1)</f>
        <v>16</v>
      </c>
      <c r="T113">
        <f t="array" ref="T113">INDEX(INCVALUES,$Q113,$K$1)</f>
        <v>0.1</v>
      </c>
      <c r="V113">
        <f t="array" ref="V113">+J113+(4*(INDEX(MatchScoreTable,$Q113,20)-1))</f>
        <v>4</v>
      </c>
      <c r="W113">
        <f t="array" ref="W113">INDEX(INC_MINVALUES,$V113,$K$1)</f>
        <v>34</v>
      </c>
      <c r="X113" s="212">
        <f t="array" ref="X113">INDEX(INC_INCVALUES,$V113,$K$1)</f>
        <v>0.3</v>
      </c>
    </row>
    <row r="114" ht="15.75" customHeight="1">
      <c r="A114" s="435"/>
      <c r="B114" s="436"/>
      <c r="C114" s="95" t="str">
        <f t="array" ref="C114">IF(I114&gt;0,INDEX(DB,I114,8),"")</f>
        <v/>
      </c>
      <c r="D114" s="437">
        <f t="shared" si="1"/>
        <v>0</v>
      </c>
      <c r="F114" s="438">
        <f t="shared" si="2"/>
        <v>0</v>
      </c>
      <c r="G114" t="str">
        <f t="shared" si="3"/>
        <v/>
      </c>
      <c r="H114" t="b">
        <f t="shared" si="4"/>
        <v>0</v>
      </c>
      <c r="I114" s="439">
        <f>IF(OR(ISBLANK(A114),ISNA(MATCH(A114&amp;"",AthleteNumbers,0))),0,MATCH(A114&amp;"",AthleteNumbers,0))</f>
        <v>0</v>
      </c>
      <c r="J114" s="209">
        <f t="array" ref="J114">IF(I114&gt;0,INDEX(DB,$I114,6),0)</f>
        <v>0</v>
      </c>
      <c r="K114" s="440">
        <f t="shared" si="5"/>
        <v>0</v>
      </c>
      <c r="L114" s="440">
        <f t="shared" si="6"/>
        <v>0</v>
      </c>
      <c r="M114" s="441">
        <f>IF(AND(L114&gt;O114,O114&gt;0),MinPoints,IF(L114&lt;N114,100,+INT((O114-$L114)/P114)+MinPoints))</f>
        <v>100</v>
      </c>
      <c r="N114" s="440">
        <f t="shared" si="7"/>
        <v>7</v>
      </c>
      <c r="O114" s="440">
        <f t="shared" si="8"/>
        <v>16</v>
      </c>
      <c r="P114" s="440">
        <f t="shared" si="9"/>
        <v>0.1</v>
      </c>
      <c r="Q114">
        <f t="array" ref="Q114">IF(I114&gt;0,INDEX(DB,I114,9),EventIndex)</f>
        <v>6</v>
      </c>
      <c r="S114" s="442">
        <f t="array" ref="S114">INDEX(MINVALUES,$Q114,$K$1)</f>
        <v>16</v>
      </c>
      <c r="T114">
        <f t="array" ref="T114">INDEX(INCVALUES,$Q114,$K$1)</f>
        <v>0.1</v>
      </c>
      <c r="V114">
        <f t="array" ref="V114">+J114+(4*(INDEX(MatchScoreTable,$Q114,20)-1))</f>
        <v>4</v>
      </c>
      <c r="W114">
        <f t="array" ref="W114">INDEX(INC_MINVALUES,$V114,$K$1)</f>
        <v>34</v>
      </c>
      <c r="X114" s="212">
        <f t="array" ref="X114">INDEX(INC_INCVALUES,$V114,$K$1)</f>
        <v>0.3</v>
      </c>
    </row>
    <row r="115" ht="15.75" customHeight="1">
      <c r="A115" s="435"/>
      <c r="B115" s="436"/>
      <c r="C115" s="95" t="str">
        <f t="array" ref="C115">IF(I115&gt;0,INDEX(DB,I115,8),"")</f>
        <v/>
      </c>
      <c r="D115" s="437">
        <f t="shared" si="1"/>
        <v>0</v>
      </c>
      <c r="F115" s="438">
        <f t="shared" si="2"/>
        <v>0</v>
      </c>
      <c r="G115" t="str">
        <f t="shared" si="3"/>
        <v/>
      </c>
      <c r="H115" t="b">
        <f t="shared" si="4"/>
        <v>0</v>
      </c>
      <c r="I115" s="439">
        <f>IF(OR(ISBLANK(A115),ISNA(MATCH(A115&amp;"",AthleteNumbers,0))),0,MATCH(A115&amp;"",AthleteNumbers,0))</f>
        <v>0</v>
      </c>
      <c r="J115" s="209">
        <f t="array" ref="J115">IF(I115&gt;0,INDEX(DB,$I115,6),0)</f>
        <v>0</v>
      </c>
      <c r="K115" s="440">
        <f t="shared" si="5"/>
        <v>0</v>
      </c>
      <c r="L115" s="440">
        <f t="shared" si="6"/>
        <v>0</v>
      </c>
      <c r="M115" s="441">
        <f>IF(AND(L115&gt;O115,O115&gt;0),MinPoints,IF(L115&lt;N115,100,+INT((O115-$L115)/P115)+MinPoints))</f>
        <v>100</v>
      </c>
      <c r="N115" s="440">
        <f t="shared" si="7"/>
        <v>7</v>
      </c>
      <c r="O115" s="440">
        <f t="shared" si="8"/>
        <v>16</v>
      </c>
      <c r="P115" s="440">
        <f t="shared" si="9"/>
        <v>0.1</v>
      </c>
      <c r="Q115">
        <f t="array" ref="Q115">IF(I115&gt;0,INDEX(DB,I115,9),EventIndex)</f>
        <v>6</v>
      </c>
      <c r="S115" s="442">
        <f t="array" ref="S115">INDEX(MINVALUES,$Q115,$K$1)</f>
        <v>16</v>
      </c>
      <c r="T115">
        <f t="array" ref="T115">INDEX(INCVALUES,$Q115,$K$1)</f>
        <v>0.1</v>
      </c>
      <c r="V115">
        <f t="array" ref="V115">+J115+(4*(INDEX(MatchScoreTable,$Q115,20)-1))</f>
        <v>4</v>
      </c>
      <c r="W115">
        <f t="array" ref="W115">INDEX(INC_MINVALUES,$V115,$K$1)</f>
        <v>34</v>
      </c>
      <c r="X115" s="212">
        <f t="array" ref="X115">INDEX(INC_INCVALUES,$V115,$K$1)</f>
        <v>0.3</v>
      </c>
    </row>
    <row r="116" ht="15.75" customHeight="1">
      <c r="A116" s="435"/>
      <c r="B116" s="436"/>
      <c r="C116" s="95" t="str">
        <f t="array" ref="C116">IF(I116&gt;0,INDEX(DB,I116,8),"")</f>
        <v/>
      </c>
      <c r="D116" s="437">
        <f t="shared" si="1"/>
        <v>0</v>
      </c>
      <c r="F116" s="438">
        <f t="shared" si="2"/>
        <v>0</v>
      </c>
      <c r="G116" t="str">
        <f t="shared" si="3"/>
        <v/>
      </c>
      <c r="H116" t="b">
        <f t="shared" si="4"/>
        <v>0</v>
      </c>
      <c r="I116" s="439">
        <f>IF(OR(ISBLANK(A116),ISNA(MATCH(A116&amp;"",AthleteNumbers,0))),0,MATCH(A116&amp;"",AthleteNumbers,0))</f>
        <v>0</v>
      </c>
      <c r="J116" s="209">
        <f t="array" ref="J116">IF(I116&gt;0,INDEX(DB,$I116,6),0)</f>
        <v>0</v>
      </c>
      <c r="K116" s="440">
        <f t="shared" si="5"/>
        <v>0</v>
      </c>
      <c r="L116" s="440">
        <f t="shared" si="6"/>
        <v>0</v>
      </c>
      <c r="M116" s="441">
        <f>IF(AND(L116&gt;O116,O116&gt;0),MinPoints,IF(L116&lt;N116,100,+INT((O116-$L116)/P116)+MinPoints))</f>
        <v>100</v>
      </c>
      <c r="N116" s="440">
        <f t="shared" si="7"/>
        <v>7</v>
      </c>
      <c r="O116" s="440">
        <f t="shared" si="8"/>
        <v>16</v>
      </c>
      <c r="P116" s="440">
        <f t="shared" si="9"/>
        <v>0.1</v>
      </c>
      <c r="Q116">
        <f t="array" ref="Q116">IF(I116&gt;0,INDEX(DB,I116,9),EventIndex)</f>
        <v>6</v>
      </c>
      <c r="S116" s="442">
        <f t="array" ref="S116">INDEX(MINVALUES,$Q116,$K$1)</f>
        <v>16</v>
      </c>
      <c r="T116">
        <f t="array" ref="T116">INDEX(INCVALUES,$Q116,$K$1)</f>
        <v>0.1</v>
      </c>
      <c r="V116">
        <f t="array" ref="V116">+J116+(4*(INDEX(MatchScoreTable,$Q116,20)-1))</f>
        <v>4</v>
      </c>
      <c r="W116">
        <f t="array" ref="W116">INDEX(INC_MINVALUES,$V116,$K$1)</f>
        <v>34</v>
      </c>
      <c r="X116" s="212">
        <f t="array" ref="X116">INDEX(INC_INCVALUES,$V116,$K$1)</f>
        <v>0.3</v>
      </c>
    </row>
    <row r="117" ht="15.75" customHeight="1">
      <c r="A117" s="435"/>
      <c r="B117" s="436"/>
      <c r="C117" s="95" t="str">
        <f t="array" ref="C117">IF(I117&gt;0,INDEX(DB,I117,8),"")</f>
        <v/>
      </c>
      <c r="D117" s="437">
        <f t="shared" si="1"/>
        <v>0</v>
      </c>
      <c r="F117" s="438">
        <f t="shared" si="2"/>
        <v>0</v>
      </c>
      <c r="G117" t="str">
        <f t="shared" si="3"/>
        <v/>
      </c>
      <c r="H117" t="b">
        <f t="shared" si="4"/>
        <v>0</v>
      </c>
      <c r="I117" s="439">
        <f>IF(OR(ISBLANK(A117),ISNA(MATCH(A117&amp;"",AthleteNumbers,0))),0,MATCH(A117&amp;"",AthleteNumbers,0))</f>
        <v>0</v>
      </c>
      <c r="J117" s="209">
        <f t="array" ref="J117">IF(I117&gt;0,INDEX(DB,$I117,6),0)</f>
        <v>0</v>
      </c>
      <c r="K117" s="440">
        <f t="shared" si="5"/>
        <v>0</v>
      </c>
      <c r="L117" s="440">
        <f t="shared" si="6"/>
        <v>0</v>
      </c>
      <c r="M117" s="441">
        <f>IF(AND(L117&gt;O117,O117&gt;0),MinPoints,IF(L117&lt;N117,100,+INT((O117-$L117)/P117)+MinPoints))</f>
        <v>100</v>
      </c>
      <c r="N117" s="440">
        <f t="shared" si="7"/>
        <v>7</v>
      </c>
      <c r="O117" s="440">
        <f t="shared" si="8"/>
        <v>16</v>
      </c>
      <c r="P117" s="440">
        <f t="shared" si="9"/>
        <v>0.1</v>
      </c>
      <c r="Q117">
        <f t="array" ref="Q117">IF(I117&gt;0,INDEX(DB,I117,9),EventIndex)</f>
        <v>6</v>
      </c>
      <c r="S117" s="442">
        <f t="array" ref="S117">INDEX(MINVALUES,$Q117,$K$1)</f>
        <v>16</v>
      </c>
      <c r="T117">
        <f t="array" ref="T117">INDEX(INCVALUES,$Q117,$K$1)</f>
        <v>0.1</v>
      </c>
      <c r="V117">
        <f t="array" ref="V117">+J117+(4*(INDEX(MatchScoreTable,$Q117,20)-1))</f>
        <v>4</v>
      </c>
      <c r="W117">
        <f t="array" ref="W117">INDEX(INC_MINVALUES,$V117,$K$1)</f>
        <v>34</v>
      </c>
      <c r="X117" s="212">
        <f t="array" ref="X117">INDEX(INC_INCVALUES,$V117,$K$1)</f>
        <v>0.3</v>
      </c>
    </row>
    <row r="118" ht="15.75" customHeight="1">
      <c r="A118" s="435"/>
      <c r="B118" s="436"/>
      <c r="C118" s="95" t="str">
        <f t="array" ref="C118">IF(I118&gt;0,INDEX(DB,I118,8),"")</f>
        <v/>
      </c>
      <c r="D118" s="437">
        <f t="shared" si="1"/>
        <v>0</v>
      </c>
      <c r="F118" s="438">
        <f t="shared" si="2"/>
        <v>0</v>
      </c>
      <c r="G118" t="str">
        <f t="shared" si="3"/>
        <v/>
      </c>
      <c r="H118" t="b">
        <f t="shared" si="4"/>
        <v>0</v>
      </c>
      <c r="I118" s="439">
        <f>IF(OR(ISBLANK(A118),ISNA(MATCH(A118&amp;"",AthleteNumbers,0))),0,MATCH(A118&amp;"",AthleteNumbers,0))</f>
        <v>0</v>
      </c>
      <c r="J118" s="209">
        <f t="array" ref="J118">IF(I118&gt;0,INDEX(DB,$I118,6),0)</f>
        <v>0</v>
      </c>
      <c r="K118" s="440">
        <f t="shared" si="5"/>
        <v>0</v>
      </c>
      <c r="L118" s="440">
        <f t="shared" si="6"/>
        <v>0</v>
      </c>
      <c r="M118" s="441">
        <f>IF(AND(L118&gt;O118,O118&gt;0),MinPoints,IF(L118&lt;N118,100,+INT((O118-$L118)/P118)+MinPoints))</f>
        <v>100</v>
      </c>
      <c r="N118" s="440">
        <f t="shared" si="7"/>
        <v>7</v>
      </c>
      <c r="O118" s="440">
        <f t="shared" si="8"/>
        <v>16</v>
      </c>
      <c r="P118" s="440">
        <f t="shared" si="9"/>
        <v>0.1</v>
      </c>
      <c r="Q118">
        <f t="array" ref="Q118">IF(I118&gt;0,INDEX(DB,I118,9),EventIndex)</f>
        <v>6</v>
      </c>
      <c r="S118" s="442">
        <f t="array" ref="S118">INDEX(MINVALUES,$Q118,$K$1)</f>
        <v>16</v>
      </c>
      <c r="T118">
        <f t="array" ref="T118">INDEX(INCVALUES,$Q118,$K$1)</f>
        <v>0.1</v>
      </c>
      <c r="V118">
        <f t="array" ref="V118">+J118+(4*(INDEX(MatchScoreTable,$Q118,20)-1))</f>
        <v>4</v>
      </c>
      <c r="W118">
        <f t="array" ref="W118">INDEX(INC_MINVALUES,$V118,$K$1)</f>
        <v>34</v>
      </c>
      <c r="X118" s="212">
        <f t="array" ref="X118">INDEX(INC_INCVALUES,$V118,$K$1)</f>
        <v>0.3</v>
      </c>
    </row>
    <row r="119" ht="15.75" customHeight="1">
      <c r="A119" s="435"/>
      <c r="B119" s="436"/>
      <c r="C119" s="95" t="str">
        <f t="array" ref="C119">IF(I119&gt;0,INDEX(DB,I119,8),"")</f>
        <v/>
      </c>
      <c r="D119" s="437">
        <f t="shared" si="1"/>
        <v>0</v>
      </c>
      <c r="F119" s="438">
        <f t="shared" si="2"/>
        <v>0</v>
      </c>
      <c r="G119" t="str">
        <f t="shared" si="3"/>
        <v/>
      </c>
      <c r="H119" t="b">
        <f t="shared" si="4"/>
        <v>0</v>
      </c>
      <c r="I119" s="439">
        <f>IF(OR(ISBLANK(A119),ISNA(MATCH(A119&amp;"",AthleteNumbers,0))),0,MATCH(A119&amp;"",AthleteNumbers,0))</f>
        <v>0</v>
      </c>
      <c r="J119" s="209">
        <f t="array" ref="J119">IF(I119&gt;0,INDEX(DB,$I119,6),0)</f>
        <v>0</v>
      </c>
      <c r="K119" s="440">
        <f t="shared" si="5"/>
        <v>0</v>
      </c>
      <c r="L119" s="440">
        <f t="shared" si="6"/>
        <v>0</v>
      </c>
      <c r="M119" s="441">
        <f>IF(AND(L119&gt;O119,O119&gt;0),MinPoints,IF(L119&lt;N119,100,+INT((O119-$L119)/P119)+MinPoints))</f>
        <v>100</v>
      </c>
      <c r="N119" s="440">
        <f t="shared" si="7"/>
        <v>7</v>
      </c>
      <c r="O119" s="440">
        <f t="shared" si="8"/>
        <v>16</v>
      </c>
      <c r="P119" s="440">
        <f t="shared" si="9"/>
        <v>0.1</v>
      </c>
      <c r="Q119">
        <f t="array" ref="Q119">IF(I119&gt;0,INDEX(DB,I119,9),EventIndex)</f>
        <v>6</v>
      </c>
      <c r="S119" s="442">
        <f t="array" ref="S119">INDEX(MINVALUES,$Q119,$K$1)</f>
        <v>16</v>
      </c>
      <c r="T119">
        <f t="array" ref="T119">INDEX(INCVALUES,$Q119,$K$1)</f>
        <v>0.1</v>
      </c>
      <c r="V119">
        <f t="array" ref="V119">+J119+(4*(INDEX(MatchScoreTable,$Q119,20)-1))</f>
        <v>4</v>
      </c>
      <c r="W119">
        <f t="array" ref="W119">INDEX(INC_MINVALUES,$V119,$K$1)</f>
        <v>34</v>
      </c>
      <c r="X119" s="212">
        <f t="array" ref="X119">INDEX(INC_INCVALUES,$V119,$K$1)</f>
        <v>0.3</v>
      </c>
    </row>
    <row r="120" ht="15.75" customHeight="1">
      <c r="A120" s="435"/>
      <c r="B120" s="436"/>
      <c r="C120" s="95" t="str">
        <f t="array" ref="C120">IF(I120&gt;0,INDEX(DB,I120,8),"")</f>
        <v/>
      </c>
      <c r="D120" s="437">
        <f t="shared" si="1"/>
        <v>0</v>
      </c>
      <c r="F120" s="438">
        <f t="shared" si="2"/>
        <v>0</v>
      </c>
      <c r="G120" t="str">
        <f t="shared" si="3"/>
        <v/>
      </c>
      <c r="H120" t="b">
        <f t="shared" si="4"/>
        <v>0</v>
      </c>
      <c r="I120" s="439">
        <f>IF(OR(ISBLANK(A120),ISNA(MATCH(A120&amp;"",AthleteNumbers,0))),0,MATCH(A120&amp;"",AthleteNumbers,0))</f>
        <v>0</v>
      </c>
      <c r="J120" s="209">
        <f t="array" ref="J120">IF(I120&gt;0,INDEX(DB,$I120,6),0)</f>
        <v>0</v>
      </c>
      <c r="K120" s="440">
        <f t="shared" si="5"/>
        <v>0</v>
      </c>
      <c r="L120" s="440">
        <f t="shared" si="6"/>
        <v>0</v>
      </c>
      <c r="M120" s="441">
        <f>IF(AND(L120&gt;O120,O120&gt;0),MinPoints,IF(L120&lt;N120,100,+INT((O120-$L120)/P120)+MinPoints))</f>
        <v>100</v>
      </c>
      <c r="N120" s="440">
        <f t="shared" si="7"/>
        <v>7</v>
      </c>
      <c r="O120" s="440">
        <f t="shared" si="8"/>
        <v>16</v>
      </c>
      <c r="P120" s="440">
        <f t="shared" si="9"/>
        <v>0.1</v>
      </c>
      <c r="Q120">
        <f t="array" ref="Q120">IF(I120&gt;0,INDEX(DB,I120,9),EventIndex)</f>
        <v>6</v>
      </c>
      <c r="S120" s="442">
        <f t="array" ref="S120">INDEX(MINVALUES,$Q120,$K$1)</f>
        <v>16</v>
      </c>
      <c r="T120">
        <f t="array" ref="T120">INDEX(INCVALUES,$Q120,$K$1)</f>
        <v>0.1</v>
      </c>
      <c r="V120">
        <f t="array" ref="V120">+J120+(4*(INDEX(MatchScoreTable,$Q120,20)-1))</f>
        <v>4</v>
      </c>
      <c r="W120">
        <f t="array" ref="W120">INDEX(INC_MINVALUES,$V120,$K$1)</f>
        <v>34</v>
      </c>
      <c r="X120" s="212">
        <f t="array" ref="X120">INDEX(INC_INCVALUES,$V120,$K$1)</f>
        <v>0.3</v>
      </c>
    </row>
    <row r="121" ht="15.75" customHeight="1">
      <c r="A121" s="435"/>
      <c r="B121" s="436"/>
      <c r="C121" s="95" t="str">
        <f t="array" ref="C121">IF(I121&gt;0,INDEX(DB,I121,8),"")</f>
        <v/>
      </c>
      <c r="D121" s="437">
        <f t="shared" si="1"/>
        <v>0</v>
      </c>
      <c r="F121" s="438">
        <f t="shared" si="2"/>
        <v>0</v>
      </c>
      <c r="G121" t="str">
        <f t="shared" si="3"/>
        <v/>
      </c>
      <c r="H121" t="b">
        <f t="shared" si="4"/>
        <v>0</v>
      </c>
      <c r="I121" s="439">
        <f>IF(OR(ISBLANK(A121),ISNA(MATCH(A121&amp;"",AthleteNumbers,0))),0,MATCH(A121&amp;"",AthleteNumbers,0))</f>
        <v>0</v>
      </c>
      <c r="J121" s="209">
        <f t="array" ref="J121">IF(I121&gt;0,INDEX(DB,$I121,6),0)</f>
        <v>0</v>
      </c>
      <c r="K121" s="440">
        <f t="shared" si="5"/>
        <v>0</v>
      </c>
      <c r="L121" s="440">
        <f t="shared" si="6"/>
        <v>0</v>
      </c>
      <c r="M121" s="441">
        <f>IF(AND(L121&gt;O121,O121&gt;0),MinPoints,IF(L121&lt;N121,100,+INT((O121-$L121)/P121)+MinPoints))</f>
        <v>100</v>
      </c>
      <c r="N121" s="440">
        <f t="shared" si="7"/>
        <v>7</v>
      </c>
      <c r="O121" s="440">
        <f t="shared" si="8"/>
        <v>16</v>
      </c>
      <c r="P121" s="440">
        <f t="shared" si="9"/>
        <v>0.1</v>
      </c>
      <c r="Q121">
        <f t="array" ref="Q121">IF(I121&gt;0,INDEX(DB,I121,9),EventIndex)</f>
        <v>6</v>
      </c>
      <c r="S121" s="442">
        <f t="array" ref="S121">INDEX(MINVALUES,$Q121,$K$1)</f>
        <v>16</v>
      </c>
      <c r="T121">
        <f t="array" ref="T121">INDEX(INCVALUES,$Q121,$K$1)</f>
        <v>0.1</v>
      </c>
      <c r="V121">
        <f t="array" ref="V121">+J121+(4*(INDEX(MatchScoreTable,$Q121,20)-1))</f>
        <v>4</v>
      </c>
      <c r="W121">
        <f t="array" ref="W121">INDEX(INC_MINVALUES,$V121,$K$1)</f>
        <v>34</v>
      </c>
      <c r="X121" s="212">
        <f t="array" ref="X121">INDEX(INC_INCVALUES,$V121,$K$1)</f>
        <v>0.3</v>
      </c>
    </row>
    <row r="122" ht="15.75" customHeight="1">
      <c r="A122" s="435"/>
      <c r="B122" s="436"/>
      <c r="C122" s="95" t="str">
        <f t="array" ref="C122">IF(I122&gt;0,INDEX(DB,I122,8),"")</f>
        <v/>
      </c>
      <c r="D122" s="437">
        <f t="shared" si="1"/>
        <v>0</v>
      </c>
      <c r="F122" s="438">
        <f t="shared" si="2"/>
        <v>0</v>
      </c>
      <c r="G122" t="str">
        <f t="shared" si="3"/>
        <v/>
      </c>
      <c r="H122" t="b">
        <f t="shared" si="4"/>
        <v>0</v>
      </c>
      <c r="I122" s="439">
        <f>IF(OR(ISBLANK(A122),ISNA(MATCH(A122&amp;"",AthleteNumbers,0))),0,MATCH(A122&amp;"",AthleteNumbers,0))</f>
        <v>0</v>
      </c>
      <c r="J122" s="209">
        <f t="array" ref="J122">IF(I122&gt;0,INDEX(DB,$I122,6),0)</f>
        <v>0</v>
      </c>
      <c r="K122" s="440">
        <f t="shared" si="5"/>
        <v>0</v>
      </c>
      <c r="L122" s="440">
        <f t="shared" si="6"/>
        <v>0</v>
      </c>
      <c r="M122" s="441">
        <f>IF(AND(L122&gt;O122,O122&gt;0),MinPoints,IF(L122&lt;N122,100,+INT((O122-$L122)/P122)+MinPoints))</f>
        <v>100</v>
      </c>
      <c r="N122" s="440">
        <f t="shared" si="7"/>
        <v>7</v>
      </c>
      <c r="O122" s="440">
        <f t="shared" si="8"/>
        <v>16</v>
      </c>
      <c r="P122" s="440">
        <f t="shared" si="9"/>
        <v>0.1</v>
      </c>
      <c r="Q122">
        <f t="array" ref="Q122">IF(I122&gt;0,INDEX(DB,I122,9),EventIndex)</f>
        <v>6</v>
      </c>
      <c r="S122" s="442">
        <f t="array" ref="S122">INDEX(MINVALUES,$Q122,$K$1)</f>
        <v>16</v>
      </c>
      <c r="T122">
        <f t="array" ref="T122">INDEX(INCVALUES,$Q122,$K$1)</f>
        <v>0.1</v>
      </c>
      <c r="V122">
        <f t="array" ref="V122">+J122+(4*(INDEX(MatchScoreTable,$Q122,20)-1))</f>
        <v>4</v>
      </c>
      <c r="W122">
        <f t="array" ref="W122">INDEX(INC_MINVALUES,$V122,$K$1)</f>
        <v>34</v>
      </c>
      <c r="X122" s="212">
        <f t="array" ref="X122">INDEX(INC_INCVALUES,$V122,$K$1)</f>
        <v>0.3</v>
      </c>
    </row>
    <row r="123" ht="15.75" customHeight="1">
      <c r="A123" s="435"/>
      <c r="B123" s="436"/>
      <c r="C123" s="95" t="str">
        <f t="array" ref="C123">IF(I123&gt;0,INDEX(DB,I123,8),"")</f>
        <v/>
      </c>
      <c r="D123" s="437">
        <f t="shared" si="1"/>
        <v>0</v>
      </c>
      <c r="F123" s="438">
        <f t="shared" si="2"/>
        <v>0</v>
      </c>
      <c r="G123" t="str">
        <f t="shared" si="3"/>
        <v/>
      </c>
      <c r="H123" t="b">
        <f t="shared" si="4"/>
        <v>0</v>
      </c>
      <c r="I123" s="439">
        <f>IF(OR(ISBLANK(A123),ISNA(MATCH(A123&amp;"",AthleteNumbers,0))),0,MATCH(A123&amp;"",AthleteNumbers,0))</f>
        <v>0</v>
      </c>
      <c r="J123" s="209">
        <f t="array" ref="J123">IF(I123&gt;0,INDEX(DB,$I123,6),0)</f>
        <v>0</v>
      </c>
      <c r="K123" s="440">
        <f t="shared" si="5"/>
        <v>0</v>
      </c>
      <c r="L123" s="440">
        <f t="shared" si="6"/>
        <v>0</v>
      </c>
      <c r="M123" s="441">
        <f>IF(AND(L123&gt;O123,O123&gt;0),MinPoints,IF(L123&lt;N123,100,+INT((O123-$L123)/P123)+MinPoints))</f>
        <v>100</v>
      </c>
      <c r="N123" s="440">
        <f t="shared" si="7"/>
        <v>7</v>
      </c>
      <c r="O123" s="440">
        <f t="shared" si="8"/>
        <v>16</v>
      </c>
      <c r="P123" s="440">
        <f t="shared" si="9"/>
        <v>0.1</v>
      </c>
      <c r="Q123">
        <f t="array" ref="Q123">IF(I123&gt;0,INDEX(DB,I123,9),EventIndex)</f>
        <v>6</v>
      </c>
      <c r="S123" s="442">
        <f t="array" ref="S123">INDEX(MINVALUES,$Q123,$K$1)</f>
        <v>16</v>
      </c>
      <c r="T123">
        <f t="array" ref="T123">INDEX(INCVALUES,$Q123,$K$1)</f>
        <v>0.1</v>
      </c>
      <c r="V123">
        <f t="array" ref="V123">+J123+(4*(INDEX(MatchScoreTable,$Q123,20)-1))</f>
        <v>4</v>
      </c>
      <c r="W123">
        <f t="array" ref="W123">INDEX(INC_MINVALUES,$V123,$K$1)</f>
        <v>34</v>
      </c>
      <c r="X123" s="212">
        <f t="array" ref="X123">INDEX(INC_INCVALUES,$V123,$K$1)</f>
        <v>0.3</v>
      </c>
    </row>
    <row r="124" ht="15.75" customHeight="1">
      <c r="A124" s="435"/>
      <c r="B124" s="436"/>
      <c r="C124" s="95" t="str">
        <f t="array" ref="C124">IF(I124&gt;0,INDEX(DB,I124,8),"")</f>
        <v/>
      </c>
      <c r="D124" s="437">
        <f t="shared" si="1"/>
        <v>0</v>
      </c>
      <c r="F124" s="438">
        <f t="shared" si="2"/>
        <v>0</v>
      </c>
      <c r="G124" t="str">
        <f t="shared" si="3"/>
        <v/>
      </c>
      <c r="H124" t="b">
        <f t="shared" si="4"/>
        <v>0</v>
      </c>
      <c r="I124" s="439">
        <f>IF(OR(ISBLANK(A124),ISNA(MATCH(A124&amp;"",AthleteNumbers,0))),0,MATCH(A124&amp;"",AthleteNumbers,0))</f>
        <v>0</v>
      </c>
      <c r="J124" s="209">
        <f t="array" ref="J124">IF(I124&gt;0,INDEX(DB,$I124,6),0)</f>
        <v>0</v>
      </c>
      <c r="K124" s="440">
        <f t="shared" si="5"/>
        <v>0</v>
      </c>
      <c r="L124" s="440">
        <f t="shared" si="6"/>
        <v>0</v>
      </c>
      <c r="M124" s="441">
        <f>IF(AND(L124&gt;O124,O124&gt;0),MinPoints,IF(L124&lt;N124,100,+INT((O124-$L124)/P124)+MinPoints))</f>
        <v>100</v>
      </c>
      <c r="N124" s="440">
        <f t="shared" si="7"/>
        <v>7</v>
      </c>
      <c r="O124" s="440">
        <f t="shared" si="8"/>
        <v>16</v>
      </c>
      <c r="P124" s="440">
        <f t="shared" si="9"/>
        <v>0.1</v>
      </c>
      <c r="Q124">
        <f t="array" ref="Q124">IF(I124&gt;0,INDEX(DB,I124,9),EventIndex)</f>
        <v>6</v>
      </c>
      <c r="S124" s="442">
        <f t="array" ref="S124">INDEX(MINVALUES,$Q124,$K$1)</f>
        <v>16</v>
      </c>
      <c r="T124">
        <f t="array" ref="T124">INDEX(INCVALUES,$Q124,$K$1)</f>
        <v>0.1</v>
      </c>
      <c r="V124">
        <f t="array" ref="V124">+J124+(4*(INDEX(MatchScoreTable,$Q124,20)-1))</f>
        <v>4</v>
      </c>
      <c r="W124">
        <f t="array" ref="W124">INDEX(INC_MINVALUES,$V124,$K$1)</f>
        <v>34</v>
      </c>
      <c r="X124" s="212">
        <f t="array" ref="X124">INDEX(INC_INCVALUES,$V124,$K$1)</f>
        <v>0.3</v>
      </c>
    </row>
    <row r="125" ht="15.75" customHeight="1">
      <c r="A125" s="435"/>
      <c r="B125" s="436"/>
      <c r="C125" s="95" t="str">
        <f t="array" ref="C125">IF(I125&gt;0,INDEX(DB,I125,8),"")</f>
        <v/>
      </c>
      <c r="D125" s="437">
        <f t="shared" si="1"/>
        <v>0</v>
      </c>
      <c r="F125" s="438">
        <f t="shared" si="2"/>
        <v>0</v>
      </c>
      <c r="G125" t="str">
        <f t="shared" si="3"/>
        <v/>
      </c>
      <c r="H125" t="b">
        <f t="shared" si="4"/>
        <v>0</v>
      </c>
      <c r="I125" s="439">
        <f>IF(OR(ISBLANK(A125),ISNA(MATCH(A125&amp;"",AthleteNumbers,0))),0,MATCH(A125&amp;"",AthleteNumbers,0))</f>
        <v>0</v>
      </c>
      <c r="J125" s="209">
        <f t="array" ref="J125">IF(I125&gt;0,INDEX(DB,$I125,6),0)</f>
        <v>0</v>
      </c>
      <c r="K125" s="440">
        <f t="shared" si="5"/>
        <v>0</v>
      </c>
      <c r="L125" s="440">
        <f t="shared" si="6"/>
        <v>0</v>
      </c>
      <c r="M125" s="441">
        <f>IF(AND(L125&gt;O125,O125&gt;0),MinPoints,IF(L125&lt;N125,100,+INT((O125-$L125)/P125)+MinPoints))</f>
        <v>100</v>
      </c>
      <c r="N125" s="440">
        <f t="shared" si="7"/>
        <v>7</v>
      </c>
      <c r="O125" s="440">
        <f t="shared" si="8"/>
        <v>16</v>
      </c>
      <c r="P125" s="440">
        <f t="shared" si="9"/>
        <v>0.1</v>
      </c>
      <c r="Q125">
        <f t="array" ref="Q125">IF(I125&gt;0,INDEX(DB,I125,9),EventIndex)</f>
        <v>6</v>
      </c>
      <c r="S125" s="442">
        <f t="array" ref="S125">INDEX(MINVALUES,$Q125,$K$1)</f>
        <v>16</v>
      </c>
      <c r="T125">
        <f t="array" ref="T125">INDEX(INCVALUES,$Q125,$K$1)</f>
        <v>0.1</v>
      </c>
      <c r="V125">
        <f t="array" ref="V125">+J125+(4*(INDEX(MatchScoreTable,$Q125,20)-1))</f>
        <v>4</v>
      </c>
      <c r="W125">
        <f t="array" ref="W125">INDEX(INC_MINVALUES,$V125,$K$1)</f>
        <v>34</v>
      </c>
      <c r="X125" s="212">
        <f t="array" ref="X125">INDEX(INC_INCVALUES,$V125,$K$1)</f>
        <v>0.3</v>
      </c>
    </row>
    <row r="126" ht="15.75" customHeight="1">
      <c r="A126" s="435"/>
      <c r="B126" s="436"/>
      <c r="C126" s="95" t="str">
        <f t="array" ref="C126">IF(I126&gt;0,INDEX(DB,I126,8),"")</f>
        <v/>
      </c>
      <c r="D126" s="437">
        <f t="shared" si="1"/>
        <v>0</v>
      </c>
      <c r="F126" s="438">
        <f t="shared" si="2"/>
        <v>0</v>
      </c>
      <c r="G126" t="str">
        <f t="shared" si="3"/>
        <v/>
      </c>
      <c r="H126" t="b">
        <f t="shared" si="4"/>
        <v>0</v>
      </c>
      <c r="I126" s="439">
        <f>IF(OR(ISBLANK(A126),ISNA(MATCH(A126&amp;"",AthleteNumbers,0))),0,MATCH(A126&amp;"",AthleteNumbers,0))</f>
        <v>0</v>
      </c>
      <c r="J126" s="209">
        <f t="array" ref="J126">IF(I126&gt;0,INDEX(DB,$I126,6),0)</f>
        <v>0</v>
      </c>
      <c r="K126" s="440">
        <f t="shared" si="5"/>
        <v>0</v>
      </c>
      <c r="L126" s="440">
        <f t="shared" si="6"/>
        <v>0</v>
      </c>
      <c r="M126" s="441">
        <f>IF(AND(L126&gt;O126,O126&gt;0),MinPoints,IF(L126&lt;N126,100,+INT((O126-$L126)/P126)+MinPoints))</f>
        <v>100</v>
      </c>
      <c r="N126" s="440">
        <f t="shared" si="7"/>
        <v>7</v>
      </c>
      <c r="O126" s="440">
        <f t="shared" si="8"/>
        <v>16</v>
      </c>
      <c r="P126" s="440">
        <f t="shared" si="9"/>
        <v>0.1</v>
      </c>
      <c r="Q126">
        <f t="array" ref="Q126">IF(I126&gt;0,INDEX(DB,I126,9),EventIndex)</f>
        <v>6</v>
      </c>
      <c r="S126" s="442">
        <f t="array" ref="S126">INDEX(MINVALUES,$Q126,$K$1)</f>
        <v>16</v>
      </c>
      <c r="T126">
        <f t="array" ref="T126">INDEX(INCVALUES,$Q126,$K$1)</f>
        <v>0.1</v>
      </c>
      <c r="V126">
        <f t="array" ref="V126">+J126+(4*(INDEX(MatchScoreTable,$Q126,20)-1))</f>
        <v>4</v>
      </c>
      <c r="W126">
        <f t="array" ref="W126">INDEX(INC_MINVALUES,$V126,$K$1)</f>
        <v>34</v>
      </c>
      <c r="X126" s="212">
        <f t="array" ref="X126">INDEX(INC_INCVALUES,$V126,$K$1)</f>
        <v>0.3</v>
      </c>
    </row>
    <row r="127" ht="15.75" customHeight="1">
      <c r="A127" s="435"/>
      <c r="B127" s="436"/>
      <c r="C127" s="95" t="str">
        <f t="array" ref="C127">IF(I127&gt;0,INDEX(DB,I127,8),"")</f>
        <v/>
      </c>
      <c r="D127" s="437">
        <f t="shared" si="1"/>
        <v>0</v>
      </c>
      <c r="F127" s="438">
        <f t="shared" si="2"/>
        <v>0</v>
      </c>
      <c r="G127" t="str">
        <f t="shared" si="3"/>
        <v/>
      </c>
      <c r="H127" t="b">
        <f t="shared" si="4"/>
        <v>0</v>
      </c>
      <c r="I127" s="439">
        <f>IF(OR(ISBLANK(A127),ISNA(MATCH(A127&amp;"",AthleteNumbers,0))),0,MATCH(A127&amp;"",AthleteNumbers,0))</f>
        <v>0</v>
      </c>
      <c r="J127" s="209">
        <f t="array" ref="J127">IF(I127&gt;0,INDEX(DB,$I127,6),0)</f>
        <v>0</v>
      </c>
      <c r="K127" s="440">
        <f t="shared" si="5"/>
        <v>0</v>
      </c>
      <c r="L127" s="440">
        <f t="shared" si="6"/>
        <v>0</v>
      </c>
      <c r="M127" s="441">
        <f>IF(AND(L127&gt;O127,O127&gt;0),MinPoints,IF(L127&lt;N127,100,+INT((O127-$L127)/P127)+MinPoints))</f>
        <v>100</v>
      </c>
      <c r="N127" s="440">
        <f t="shared" si="7"/>
        <v>7</v>
      </c>
      <c r="O127" s="440">
        <f t="shared" si="8"/>
        <v>16</v>
      </c>
      <c r="P127" s="440">
        <f t="shared" si="9"/>
        <v>0.1</v>
      </c>
      <c r="Q127">
        <f t="array" ref="Q127">IF(I127&gt;0,INDEX(DB,I127,9),EventIndex)</f>
        <v>6</v>
      </c>
      <c r="S127" s="442">
        <f t="array" ref="S127">INDEX(MINVALUES,$Q127,$K$1)</f>
        <v>16</v>
      </c>
      <c r="T127">
        <f t="array" ref="T127">INDEX(INCVALUES,$Q127,$K$1)</f>
        <v>0.1</v>
      </c>
      <c r="V127">
        <f t="array" ref="V127">+J127+(4*(INDEX(MatchScoreTable,$Q127,20)-1))</f>
        <v>4</v>
      </c>
      <c r="W127">
        <f t="array" ref="W127">INDEX(INC_MINVALUES,$V127,$K$1)</f>
        <v>34</v>
      </c>
      <c r="X127" s="212">
        <f t="array" ref="X127">INDEX(INC_INCVALUES,$V127,$K$1)</f>
        <v>0.3</v>
      </c>
    </row>
    <row r="128" ht="15.75" customHeight="1">
      <c r="A128" s="435"/>
      <c r="B128" s="436"/>
      <c r="C128" s="95" t="str">
        <f t="array" ref="C128">IF(I128&gt;0,INDEX(DB,I128,8),"")</f>
        <v/>
      </c>
      <c r="D128" s="437">
        <f t="shared" si="1"/>
        <v>0</v>
      </c>
      <c r="F128" s="438">
        <f t="shared" si="2"/>
        <v>0</v>
      </c>
      <c r="G128" t="str">
        <f t="shared" si="3"/>
        <v/>
      </c>
      <c r="H128" t="b">
        <f t="shared" si="4"/>
        <v>0</v>
      </c>
      <c r="I128" s="439">
        <f>IF(OR(ISBLANK(A128),ISNA(MATCH(A128&amp;"",AthleteNumbers,0))),0,MATCH(A128&amp;"",AthleteNumbers,0))</f>
        <v>0</v>
      </c>
      <c r="J128" s="209">
        <f t="array" ref="J128">IF(I128&gt;0,INDEX(DB,$I128,6),0)</f>
        <v>0</v>
      </c>
      <c r="K128" s="440">
        <f t="shared" si="5"/>
        <v>0</v>
      </c>
      <c r="L128" s="440">
        <f t="shared" si="6"/>
        <v>0</v>
      </c>
      <c r="M128" s="441">
        <f>IF(AND(L128&gt;O128,O128&gt;0),MinPoints,IF(L128&lt;N128,100,+INT((O128-$L128)/P128)+MinPoints))</f>
        <v>100</v>
      </c>
      <c r="N128" s="440">
        <f t="shared" si="7"/>
        <v>7</v>
      </c>
      <c r="O128" s="440">
        <f t="shared" si="8"/>
        <v>16</v>
      </c>
      <c r="P128" s="440">
        <f t="shared" si="9"/>
        <v>0.1</v>
      </c>
      <c r="Q128">
        <f t="array" ref="Q128">IF(I128&gt;0,INDEX(DB,I128,9),EventIndex)</f>
        <v>6</v>
      </c>
      <c r="S128" s="442">
        <f t="array" ref="S128">INDEX(MINVALUES,$Q128,$K$1)</f>
        <v>16</v>
      </c>
      <c r="T128">
        <f t="array" ref="T128">INDEX(INCVALUES,$Q128,$K$1)</f>
        <v>0.1</v>
      </c>
      <c r="V128">
        <f t="array" ref="V128">+J128+(4*(INDEX(MatchScoreTable,$Q128,20)-1))</f>
        <v>4</v>
      </c>
      <c r="W128">
        <f t="array" ref="W128">INDEX(INC_MINVALUES,$V128,$K$1)</f>
        <v>34</v>
      </c>
      <c r="X128" s="212">
        <f t="array" ref="X128">INDEX(INC_INCVALUES,$V128,$K$1)</f>
        <v>0.3</v>
      </c>
    </row>
    <row r="129" ht="15.75" customHeight="1">
      <c r="A129" s="435"/>
      <c r="B129" s="436"/>
      <c r="C129" s="95" t="str">
        <f t="array" ref="C129">IF(I129&gt;0,INDEX(DB,I129,8),"")</f>
        <v/>
      </c>
      <c r="D129" s="437">
        <f t="shared" si="1"/>
        <v>0</v>
      </c>
      <c r="F129" s="438">
        <f t="shared" si="2"/>
        <v>0</v>
      </c>
      <c r="G129" t="str">
        <f t="shared" si="3"/>
        <v/>
      </c>
      <c r="H129" t="b">
        <f t="shared" si="4"/>
        <v>0</v>
      </c>
      <c r="I129" s="439">
        <f>IF(OR(ISBLANK(A129),ISNA(MATCH(A129&amp;"",AthleteNumbers,0))),0,MATCH(A129&amp;"",AthleteNumbers,0))</f>
        <v>0</v>
      </c>
      <c r="J129" s="209">
        <f t="array" ref="J129">IF(I129&gt;0,INDEX(DB,$I129,6),0)</f>
        <v>0</v>
      </c>
      <c r="K129" s="440">
        <f t="shared" si="5"/>
        <v>0</v>
      </c>
      <c r="L129" s="440">
        <f t="shared" si="6"/>
        <v>0</v>
      </c>
      <c r="M129" s="441">
        <f>IF(AND(L129&gt;O129,O129&gt;0),MinPoints,IF(L129&lt;N129,100,+INT((O129-$L129)/P129)+MinPoints))</f>
        <v>100</v>
      </c>
      <c r="N129" s="440">
        <f t="shared" si="7"/>
        <v>7</v>
      </c>
      <c r="O129" s="440">
        <f t="shared" si="8"/>
        <v>16</v>
      </c>
      <c r="P129" s="440">
        <f t="shared" si="9"/>
        <v>0.1</v>
      </c>
      <c r="Q129">
        <f t="array" ref="Q129">IF(I129&gt;0,INDEX(DB,I129,9),EventIndex)</f>
        <v>6</v>
      </c>
      <c r="S129" s="442">
        <f t="array" ref="S129">INDEX(MINVALUES,$Q129,$K$1)</f>
        <v>16</v>
      </c>
      <c r="T129">
        <f t="array" ref="T129">INDEX(INCVALUES,$Q129,$K$1)</f>
        <v>0.1</v>
      </c>
      <c r="V129">
        <f t="array" ref="V129">+J129+(4*(INDEX(MatchScoreTable,$Q129,20)-1))</f>
        <v>4</v>
      </c>
      <c r="W129">
        <f t="array" ref="W129">INDEX(INC_MINVALUES,$V129,$K$1)</f>
        <v>34</v>
      </c>
      <c r="X129" s="212">
        <f t="array" ref="X129">INDEX(INC_INCVALUES,$V129,$K$1)</f>
        <v>0.3</v>
      </c>
    </row>
    <row r="130" ht="15.75" customHeight="1">
      <c r="A130" s="435"/>
      <c r="B130" s="436"/>
      <c r="C130" s="95" t="str">
        <f t="array" ref="C130">IF(I130&gt;0,INDEX(DB,I130,8),"")</f>
        <v/>
      </c>
      <c r="D130" s="437">
        <f t="shared" si="1"/>
        <v>0</v>
      </c>
      <c r="F130" s="438">
        <f t="shared" si="2"/>
        <v>0</v>
      </c>
      <c r="G130" t="str">
        <f t="shared" si="3"/>
        <v/>
      </c>
      <c r="H130" t="b">
        <f t="shared" si="4"/>
        <v>0</v>
      </c>
      <c r="I130" s="439">
        <f>IF(OR(ISBLANK(A130),ISNA(MATCH(A130&amp;"",AthleteNumbers,0))),0,MATCH(A130&amp;"",AthleteNumbers,0))</f>
        <v>0</v>
      </c>
      <c r="J130" s="209">
        <f t="array" ref="J130">IF(I130&gt;0,INDEX(DB,$I130,6),0)</f>
        <v>0</v>
      </c>
      <c r="K130" s="440">
        <f t="shared" si="5"/>
        <v>0</v>
      </c>
      <c r="L130" s="440">
        <f t="shared" si="6"/>
        <v>0</v>
      </c>
      <c r="M130" s="441">
        <f>IF(AND(L130&gt;O130,O130&gt;0),MinPoints,IF(L130&lt;N130,100,+INT((O130-$L130)/P130)+MinPoints))</f>
        <v>100</v>
      </c>
      <c r="N130" s="440">
        <f t="shared" si="7"/>
        <v>7</v>
      </c>
      <c r="O130" s="440">
        <f t="shared" si="8"/>
        <v>16</v>
      </c>
      <c r="P130" s="440">
        <f t="shared" si="9"/>
        <v>0.1</v>
      </c>
      <c r="Q130">
        <f t="array" ref="Q130">IF(I130&gt;0,INDEX(DB,I130,9),EventIndex)</f>
        <v>6</v>
      </c>
      <c r="S130" s="442">
        <f t="array" ref="S130">INDEX(MINVALUES,$Q130,$K$1)</f>
        <v>16</v>
      </c>
      <c r="T130">
        <f t="array" ref="T130">INDEX(INCVALUES,$Q130,$K$1)</f>
        <v>0.1</v>
      </c>
      <c r="V130">
        <f t="array" ref="V130">+J130+(4*(INDEX(MatchScoreTable,$Q130,20)-1))</f>
        <v>4</v>
      </c>
      <c r="W130">
        <f t="array" ref="W130">INDEX(INC_MINVALUES,$V130,$K$1)</f>
        <v>34</v>
      </c>
      <c r="X130" s="212">
        <f t="array" ref="X130">INDEX(INC_INCVALUES,$V130,$K$1)</f>
        <v>0.3</v>
      </c>
    </row>
    <row r="131" ht="15.75" customHeight="1">
      <c r="A131" s="435"/>
      <c r="B131" s="436"/>
      <c r="C131" s="95" t="str">
        <f t="array" ref="C131">IF(I131&gt;0,INDEX(DB,I131,8),"")</f>
        <v/>
      </c>
      <c r="D131" s="437">
        <f t="shared" si="1"/>
        <v>0</v>
      </c>
      <c r="F131" s="438">
        <f t="shared" si="2"/>
        <v>0</v>
      </c>
      <c r="G131" t="str">
        <f t="shared" si="3"/>
        <v/>
      </c>
      <c r="H131" t="b">
        <f t="shared" si="4"/>
        <v>0</v>
      </c>
      <c r="I131" s="439">
        <f>IF(OR(ISBLANK(A131),ISNA(MATCH(A131&amp;"",AthleteNumbers,0))),0,MATCH(A131&amp;"",AthleteNumbers,0))</f>
        <v>0</v>
      </c>
      <c r="J131" s="209">
        <f t="array" ref="J131">IF(I131&gt;0,INDEX(DB,$I131,6),0)</f>
        <v>0</v>
      </c>
      <c r="K131" s="440">
        <f t="shared" si="5"/>
        <v>0</v>
      </c>
      <c r="L131" s="440">
        <f t="shared" si="6"/>
        <v>0</v>
      </c>
      <c r="M131" s="441">
        <f>IF(AND(L131&gt;O131,O131&gt;0),MinPoints,IF(L131&lt;N131,100,+INT((O131-$L131)/P131)+MinPoints))</f>
        <v>100</v>
      </c>
      <c r="N131" s="440">
        <f t="shared" si="7"/>
        <v>7</v>
      </c>
      <c r="O131" s="440">
        <f t="shared" si="8"/>
        <v>16</v>
      </c>
      <c r="P131" s="440">
        <f t="shared" si="9"/>
        <v>0.1</v>
      </c>
      <c r="Q131">
        <f t="array" ref="Q131">IF(I131&gt;0,INDEX(DB,I131,9),EventIndex)</f>
        <v>6</v>
      </c>
      <c r="S131" s="442">
        <f t="array" ref="S131">INDEX(MINVALUES,$Q131,$K$1)</f>
        <v>16</v>
      </c>
      <c r="T131">
        <f t="array" ref="T131">INDEX(INCVALUES,$Q131,$K$1)</f>
        <v>0.1</v>
      </c>
      <c r="V131">
        <f t="array" ref="V131">+J131+(4*(INDEX(MatchScoreTable,$Q131,20)-1))</f>
        <v>4</v>
      </c>
      <c r="W131">
        <f t="array" ref="W131">INDEX(INC_MINVALUES,$V131,$K$1)</f>
        <v>34</v>
      </c>
      <c r="X131" s="212">
        <f t="array" ref="X131">INDEX(INC_INCVALUES,$V131,$K$1)</f>
        <v>0.3</v>
      </c>
    </row>
    <row r="132" ht="15.75" customHeight="1">
      <c r="A132" s="435"/>
      <c r="B132" s="436"/>
      <c r="C132" s="95" t="str">
        <f t="array" ref="C132">IF(I132&gt;0,INDEX(DB,I132,8),"")</f>
        <v/>
      </c>
      <c r="D132" s="437">
        <f t="shared" si="1"/>
        <v>0</v>
      </c>
      <c r="F132" s="438">
        <f t="shared" si="2"/>
        <v>0</v>
      </c>
      <c r="G132" t="str">
        <f t="shared" si="3"/>
        <v/>
      </c>
      <c r="H132" t="b">
        <f t="shared" si="4"/>
        <v>0</v>
      </c>
      <c r="I132" s="439">
        <f>IF(OR(ISBLANK(A132),ISNA(MATCH(A132&amp;"",AthleteNumbers,0))),0,MATCH(A132&amp;"",AthleteNumbers,0))</f>
        <v>0</v>
      </c>
      <c r="J132" s="209">
        <f t="array" ref="J132">IF(I132&gt;0,INDEX(DB,$I132,6),0)</f>
        <v>0</v>
      </c>
      <c r="K132" s="440">
        <f t="shared" si="5"/>
        <v>0</v>
      </c>
      <c r="L132" s="440">
        <f t="shared" si="6"/>
        <v>0</v>
      </c>
      <c r="M132" s="441">
        <f>IF(AND(L132&gt;O132,O132&gt;0),MinPoints,IF(L132&lt;N132,100,+INT((O132-$L132)/P132)+MinPoints))</f>
        <v>100</v>
      </c>
      <c r="N132" s="440">
        <f t="shared" si="7"/>
        <v>7</v>
      </c>
      <c r="O132" s="440">
        <f t="shared" si="8"/>
        <v>16</v>
      </c>
      <c r="P132" s="440">
        <f t="shared" si="9"/>
        <v>0.1</v>
      </c>
      <c r="Q132">
        <f t="array" ref="Q132">IF(I132&gt;0,INDEX(DB,I132,9),EventIndex)</f>
        <v>6</v>
      </c>
      <c r="S132" s="442">
        <f t="array" ref="S132">INDEX(MINVALUES,$Q132,$K$1)</f>
        <v>16</v>
      </c>
      <c r="T132">
        <f t="array" ref="T132">INDEX(INCVALUES,$Q132,$K$1)</f>
        <v>0.1</v>
      </c>
      <c r="V132">
        <f t="array" ref="V132">+J132+(4*(INDEX(MatchScoreTable,$Q132,20)-1))</f>
        <v>4</v>
      </c>
      <c r="W132">
        <f t="array" ref="W132">INDEX(INC_MINVALUES,$V132,$K$1)</f>
        <v>34</v>
      </c>
      <c r="X132" s="212">
        <f t="array" ref="X132">INDEX(INC_INCVALUES,$V132,$K$1)</f>
        <v>0.3</v>
      </c>
    </row>
    <row r="133" ht="15.75" customHeight="1">
      <c r="A133" s="435"/>
      <c r="B133" s="436"/>
      <c r="C133" s="95" t="str">
        <f t="array" ref="C133">IF(I133&gt;0,INDEX(DB,I133,8),"")</f>
        <v/>
      </c>
      <c r="D133" s="437">
        <f t="shared" si="1"/>
        <v>0</v>
      </c>
      <c r="F133" s="438">
        <f t="shared" si="2"/>
        <v>0</v>
      </c>
      <c r="G133" t="str">
        <f t="shared" si="3"/>
        <v/>
      </c>
      <c r="H133" t="b">
        <f t="shared" si="4"/>
        <v>0</v>
      </c>
      <c r="I133" s="439">
        <f>IF(OR(ISBLANK(A133),ISNA(MATCH(A133&amp;"",AthleteNumbers,0))),0,MATCH(A133&amp;"",AthleteNumbers,0))</f>
        <v>0</v>
      </c>
      <c r="J133" s="209">
        <f t="array" ref="J133">IF(I133&gt;0,INDEX(DB,$I133,6),0)</f>
        <v>0</v>
      </c>
      <c r="K133" s="440">
        <f t="shared" si="5"/>
        <v>0</v>
      </c>
      <c r="L133" s="440">
        <f t="shared" si="6"/>
        <v>0</v>
      </c>
      <c r="M133" s="441">
        <f>IF(AND(L133&gt;O133,O133&gt;0),MinPoints,IF(L133&lt;N133,100,+INT((O133-$L133)/P133)+MinPoints))</f>
        <v>100</v>
      </c>
      <c r="N133" s="440">
        <f t="shared" si="7"/>
        <v>7</v>
      </c>
      <c r="O133" s="440">
        <f t="shared" si="8"/>
        <v>16</v>
      </c>
      <c r="P133" s="440">
        <f t="shared" si="9"/>
        <v>0.1</v>
      </c>
      <c r="Q133">
        <f t="array" ref="Q133">IF(I133&gt;0,INDEX(DB,I133,9),EventIndex)</f>
        <v>6</v>
      </c>
      <c r="S133" s="442">
        <f t="array" ref="S133">INDEX(MINVALUES,$Q133,$K$1)</f>
        <v>16</v>
      </c>
      <c r="T133">
        <f t="array" ref="T133">INDEX(INCVALUES,$Q133,$K$1)</f>
        <v>0.1</v>
      </c>
      <c r="V133">
        <f t="array" ref="V133">+J133+(4*(INDEX(MatchScoreTable,$Q133,20)-1))</f>
        <v>4</v>
      </c>
      <c r="W133">
        <f t="array" ref="W133">INDEX(INC_MINVALUES,$V133,$K$1)</f>
        <v>34</v>
      </c>
      <c r="X133" s="212">
        <f t="array" ref="X133">INDEX(INC_INCVALUES,$V133,$K$1)</f>
        <v>0.3</v>
      </c>
    </row>
    <row r="134" ht="15.75" customHeight="1">
      <c r="A134" s="435"/>
      <c r="B134" s="436"/>
      <c r="C134" s="95" t="str">
        <f t="array" ref="C134">IF(I134&gt;0,INDEX(DB,I134,8),"")</f>
        <v/>
      </c>
      <c r="D134" s="437">
        <f t="shared" si="1"/>
        <v>0</v>
      </c>
      <c r="F134" s="438">
        <f t="shared" si="2"/>
        <v>0</v>
      </c>
      <c r="G134" t="str">
        <f t="shared" si="3"/>
        <v/>
      </c>
      <c r="H134" t="b">
        <f t="shared" si="4"/>
        <v>0</v>
      </c>
      <c r="I134" s="439">
        <f>IF(OR(ISBLANK(A134),ISNA(MATCH(A134&amp;"",AthleteNumbers,0))),0,MATCH(A134&amp;"",AthleteNumbers,0))</f>
        <v>0</v>
      </c>
      <c r="J134" s="209">
        <f t="array" ref="J134">IF(I134&gt;0,INDEX(DB,$I134,6),0)</f>
        <v>0</v>
      </c>
      <c r="K134" s="440">
        <f t="shared" si="5"/>
        <v>0</v>
      </c>
      <c r="L134" s="440">
        <f t="shared" si="6"/>
        <v>0</v>
      </c>
      <c r="M134" s="441">
        <f>IF(AND(L134&gt;O134,O134&gt;0),MinPoints,IF(L134&lt;N134,100,+INT((O134-$L134)/P134)+MinPoints))</f>
        <v>100</v>
      </c>
      <c r="N134" s="440">
        <f t="shared" si="7"/>
        <v>7</v>
      </c>
      <c r="O134" s="440">
        <f t="shared" si="8"/>
        <v>16</v>
      </c>
      <c r="P134" s="440">
        <f t="shared" si="9"/>
        <v>0.1</v>
      </c>
      <c r="Q134">
        <f t="array" ref="Q134">IF(I134&gt;0,INDEX(DB,I134,9),EventIndex)</f>
        <v>6</v>
      </c>
      <c r="S134" s="442">
        <f t="array" ref="S134">INDEX(MINVALUES,$Q134,$K$1)</f>
        <v>16</v>
      </c>
      <c r="T134">
        <f t="array" ref="T134">INDEX(INCVALUES,$Q134,$K$1)</f>
        <v>0.1</v>
      </c>
      <c r="V134">
        <f t="array" ref="V134">+J134+(4*(INDEX(MatchScoreTable,$Q134,20)-1))</f>
        <v>4</v>
      </c>
      <c r="W134">
        <f t="array" ref="W134">INDEX(INC_MINVALUES,$V134,$K$1)</f>
        <v>34</v>
      </c>
      <c r="X134" s="212">
        <f t="array" ref="X134">INDEX(INC_INCVALUES,$V134,$K$1)</f>
        <v>0.3</v>
      </c>
    </row>
    <row r="135" ht="15.75" customHeight="1">
      <c r="A135" s="435"/>
      <c r="B135" s="436"/>
      <c r="C135" s="95" t="str">
        <f t="array" ref="C135">IF(I135&gt;0,INDEX(DB,I135,8),"")</f>
        <v/>
      </c>
      <c r="D135" s="437">
        <f t="shared" si="1"/>
        <v>0</v>
      </c>
      <c r="F135" s="438">
        <f t="shared" si="2"/>
        <v>0</v>
      </c>
      <c r="G135" t="str">
        <f t="shared" si="3"/>
        <v/>
      </c>
      <c r="H135" t="b">
        <f t="shared" si="4"/>
        <v>0</v>
      </c>
      <c r="I135" s="439">
        <f>IF(OR(ISBLANK(A135),ISNA(MATCH(A135&amp;"",AthleteNumbers,0))),0,MATCH(A135&amp;"",AthleteNumbers,0))</f>
        <v>0</v>
      </c>
      <c r="J135" s="209">
        <f t="array" ref="J135">IF(I135&gt;0,INDEX(DB,$I135,6),0)</f>
        <v>0</v>
      </c>
      <c r="K135" s="440">
        <f t="shared" si="5"/>
        <v>0</v>
      </c>
      <c r="L135" s="440">
        <f t="shared" si="6"/>
        <v>0</v>
      </c>
      <c r="M135" s="441">
        <f>IF(AND(L135&gt;O135,O135&gt;0),MinPoints,IF(L135&lt;N135,100,+INT((O135-$L135)/P135)+MinPoints))</f>
        <v>100</v>
      </c>
      <c r="N135" s="440">
        <f t="shared" si="7"/>
        <v>7</v>
      </c>
      <c r="O135" s="440">
        <f t="shared" si="8"/>
        <v>16</v>
      </c>
      <c r="P135" s="440">
        <f t="shared" si="9"/>
        <v>0.1</v>
      </c>
      <c r="Q135">
        <f t="array" ref="Q135">IF(I135&gt;0,INDEX(DB,I135,9),EventIndex)</f>
        <v>6</v>
      </c>
      <c r="S135" s="442">
        <f t="array" ref="S135">INDEX(MINVALUES,$Q135,$K$1)</f>
        <v>16</v>
      </c>
      <c r="T135">
        <f t="array" ref="T135">INDEX(INCVALUES,$Q135,$K$1)</f>
        <v>0.1</v>
      </c>
      <c r="V135">
        <f t="array" ref="V135">+J135+(4*(INDEX(MatchScoreTable,$Q135,20)-1))</f>
        <v>4</v>
      </c>
      <c r="W135">
        <f t="array" ref="W135">INDEX(INC_MINVALUES,$V135,$K$1)</f>
        <v>34</v>
      </c>
      <c r="X135" s="212">
        <f t="array" ref="X135">INDEX(INC_INCVALUES,$V135,$K$1)</f>
        <v>0.3</v>
      </c>
    </row>
    <row r="136" ht="15.75" customHeight="1">
      <c r="A136" s="435"/>
      <c r="B136" s="436"/>
      <c r="C136" s="95" t="str">
        <f t="array" ref="C136">IF(I136&gt;0,INDEX(DB,I136,8),"")</f>
        <v/>
      </c>
      <c r="D136" s="437">
        <f t="shared" si="1"/>
        <v>0</v>
      </c>
      <c r="F136" s="438">
        <f t="shared" si="2"/>
        <v>0</v>
      </c>
      <c r="G136" t="str">
        <f t="shared" si="3"/>
        <v/>
      </c>
      <c r="H136" t="b">
        <f t="shared" si="4"/>
        <v>0</v>
      </c>
      <c r="I136" s="439">
        <f>IF(OR(ISBLANK(A136),ISNA(MATCH(A136&amp;"",AthleteNumbers,0))),0,MATCH(A136&amp;"",AthleteNumbers,0))</f>
        <v>0</v>
      </c>
      <c r="J136" s="209">
        <f t="array" ref="J136">IF(I136&gt;0,INDEX(DB,$I136,6),0)</f>
        <v>0</v>
      </c>
      <c r="K136" s="440">
        <f t="shared" si="5"/>
        <v>0</v>
      </c>
      <c r="L136" s="440">
        <f t="shared" si="6"/>
        <v>0</v>
      </c>
      <c r="M136" s="441">
        <f>IF(AND(L136&gt;O136,O136&gt;0),MinPoints,IF(L136&lt;N136,100,+INT((O136-$L136)/P136)+MinPoints))</f>
        <v>100</v>
      </c>
      <c r="N136" s="440">
        <f t="shared" si="7"/>
        <v>7</v>
      </c>
      <c r="O136" s="440">
        <f t="shared" si="8"/>
        <v>16</v>
      </c>
      <c r="P136" s="440">
        <f t="shared" si="9"/>
        <v>0.1</v>
      </c>
      <c r="Q136">
        <f t="array" ref="Q136">IF(I136&gt;0,INDEX(DB,I136,9),EventIndex)</f>
        <v>6</v>
      </c>
      <c r="S136" s="442">
        <f t="array" ref="S136">INDEX(MINVALUES,$Q136,$K$1)</f>
        <v>16</v>
      </c>
      <c r="T136">
        <f t="array" ref="T136">INDEX(INCVALUES,$Q136,$K$1)</f>
        <v>0.1</v>
      </c>
      <c r="V136">
        <f t="array" ref="V136">+J136+(4*(INDEX(MatchScoreTable,$Q136,20)-1))</f>
        <v>4</v>
      </c>
      <c r="W136">
        <f t="array" ref="W136">INDEX(INC_MINVALUES,$V136,$K$1)</f>
        <v>34</v>
      </c>
      <c r="X136" s="212">
        <f t="array" ref="X136">INDEX(INC_INCVALUES,$V136,$K$1)</f>
        <v>0.3</v>
      </c>
    </row>
    <row r="137" ht="15.75" customHeight="1">
      <c r="A137" s="435"/>
      <c r="B137" s="436"/>
      <c r="C137" s="95" t="str">
        <f t="array" ref="C137">IF(I137&gt;0,INDEX(DB,I137,8),"")</f>
        <v/>
      </c>
      <c r="D137" s="437">
        <f t="shared" si="1"/>
        <v>0</v>
      </c>
      <c r="F137" s="438">
        <f t="shared" si="2"/>
        <v>0</v>
      </c>
      <c r="G137" t="str">
        <f t="shared" si="3"/>
        <v/>
      </c>
      <c r="H137" t="b">
        <f t="shared" si="4"/>
        <v>0</v>
      </c>
      <c r="I137" s="439">
        <f>IF(OR(ISBLANK(A137),ISNA(MATCH(A137&amp;"",AthleteNumbers,0))),0,MATCH(A137&amp;"",AthleteNumbers,0))</f>
        <v>0</v>
      </c>
      <c r="J137" s="209">
        <f t="array" ref="J137">IF(I137&gt;0,INDEX(DB,$I137,6),0)</f>
        <v>0</v>
      </c>
      <c r="K137" s="440">
        <f t="shared" si="5"/>
        <v>0</v>
      </c>
      <c r="L137" s="440">
        <f t="shared" si="6"/>
        <v>0</v>
      </c>
      <c r="M137" s="441">
        <f>IF(AND(L137&gt;O137,O137&gt;0),MinPoints,IF(L137&lt;N137,100,+INT((O137-$L137)/P137)+MinPoints))</f>
        <v>100</v>
      </c>
      <c r="N137" s="440">
        <f t="shared" si="7"/>
        <v>7</v>
      </c>
      <c r="O137" s="440">
        <f t="shared" si="8"/>
        <v>16</v>
      </c>
      <c r="P137" s="440">
        <f t="shared" si="9"/>
        <v>0.1</v>
      </c>
      <c r="Q137">
        <f t="array" ref="Q137">IF(I137&gt;0,INDEX(DB,I137,9),EventIndex)</f>
        <v>6</v>
      </c>
      <c r="S137" s="442">
        <f t="array" ref="S137">INDEX(MINVALUES,$Q137,$K$1)</f>
        <v>16</v>
      </c>
      <c r="T137">
        <f t="array" ref="T137">INDEX(INCVALUES,$Q137,$K$1)</f>
        <v>0.1</v>
      </c>
      <c r="V137">
        <f t="array" ref="V137">+J137+(4*(INDEX(MatchScoreTable,$Q137,20)-1))</f>
        <v>4</v>
      </c>
      <c r="W137">
        <f t="array" ref="W137">INDEX(INC_MINVALUES,$V137,$K$1)</f>
        <v>34</v>
      </c>
      <c r="X137" s="212">
        <f t="array" ref="X137">INDEX(INC_INCVALUES,$V137,$K$1)</f>
        <v>0.3</v>
      </c>
    </row>
    <row r="138" ht="15.75" customHeight="1">
      <c r="A138" s="435"/>
      <c r="B138" s="436"/>
      <c r="C138" s="95" t="str">
        <f t="array" ref="C138">IF(I138&gt;0,INDEX(DB,I138,8),"")</f>
        <v/>
      </c>
      <c r="D138" s="437">
        <f t="shared" si="1"/>
        <v>0</v>
      </c>
      <c r="F138" s="438">
        <f t="shared" si="2"/>
        <v>0</v>
      </c>
      <c r="G138" t="str">
        <f t="shared" si="3"/>
        <v/>
      </c>
      <c r="H138" t="b">
        <f t="shared" si="4"/>
        <v>0</v>
      </c>
      <c r="I138" s="439">
        <f>IF(OR(ISBLANK(A138),ISNA(MATCH(A138&amp;"",AthleteNumbers,0))),0,MATCH(A138&amp;"",AthleteNumbers,0))</f>
        <v>0</v>
      </c>
      <c r="J138" s="209">
        <f t="array" ref="J138">IF(I138&gt;0,INDEX(DB,$I138,6),0)</f>
        <v>0</v>
      </c>
      <c r="K138" s="440">
        <f t="shared" si="5"/>
        <v>0</v>
      </c>
      <c r="L138" s="440">
        <f t="shared" si="6"/>
        <v>0</v>
      </c>
      <c r="M138" s="441">
        <f>IF(AND(L138&gt;O138,O138&gt;0),MinPoints,IF(L138&lt;N138,100,+INT((O138-$L138)/P138)+MinPoints))</f>
        <v>100</v>
      </c>
      <c r="N138" s="440">
        <f t="shared" si="7"/>
        <v>7</v>
      </c>
      <c r="O138" s="440">
        <f t="shared" si="8"/>
        <v>16</v>
      </c>
      <c r="P138" s="440">
        <f t="shared" si="9"/>
        <v>0.1</v>
      </c>
      <c r="Q138">
        <f t="array" ref="Q138">IF(I138&gt;0,INDEX(DB,I138,9),EventIndex)</f>
        <v>6</v>
      </c>
      <c r="S138" s="442">
        <f t="array" ref="S138">INDEX(MINVALUES,$Q138,$K$1)</f>
        <v>16</v>
      </c>
      <c r="T138">
        <f t="array" ref="T138">INDEX(INCVALUES,$Q138,$K$1)</f>
        <v>0.1</v>
      </c>
      <c r="V138">
        <f t="array" ref="V138">+J138+(4*(INDEX(MatchScoreTable,$Q138,20)-1))</f>
        <v>4</v>
      </c>
      <c r="W138">
        <f t="array" ref="W138">INDEX(INC_MINVALUES,$V138,$K$1)</f>
        <v>34</v>
      </c>
      <c r="X138" s="212">
        <f t="array" ref="X138">INDEX(INC_INCVALUES,$V138,$K$1)</f>
        <v>0.3</v>
      </c>
    </row>
    <row r="139" ht="15.75" customHeight="1">
      <c r="A139" s="435"/>
      <c r="B139" s="436"/>
      <c r="C139" s="95" t="str">
        <f t="array" ref="C139">IF(I139&gt;0,INDEX(DB,I139,8),"")</f>
        <v/>
      </c>
      <c r="D139" s="437">
        <f t="shared" si="1"/>
        <v>0</v>
      </c>
      <c r="F139" s="438">
        <f t="shared" si="2"/>
        <v>0</v>
      </c>
      <c r="G139" t="str">
        <f t="shared" si="3"/>
        <v/>
      </c>
      <c r="H139" t="b">
        <f t="shared" si="4"/>
        <v>0</v>
      </c>
      <c r="I139" s="439">
        <f>IF(OR(ISBLANK(A139),ISNA(MATCH(A139&amp;"",AthleteNumbers,0))),0,MATCH(A139&amp;"",AthleteNumbers,0))</f>
        <v>0</v>
      </c>
      <c r="J139" s="209">
        <f t="array" ref="J139">IF(I139&gt;0,INDEX(DB,$I139,6),0)</f>
        <v>0</v>
      </c>
      <c r="K139" s="440">
        <f t="shared" si="5"/>
        <v>0</v>
      </c>
      <c r="L139" s="440">
        <f t="shared" si="6"/>
        <v>0</v>
      </c>
      <c r="M139" s="441">
        <f>IF(AND(L139&gt;O139,O139&gt;0),MinPoints,IF(L139&lt;N139,100,+INT((O139-$L139)/P139)+MinPoints))</f>
        <v>100</v>
      </c>
      <c r="N139" s="440">
        <f t="shared" si="7"/>
        <v>7</v>
      </c>
      <c r="O139" s="440">
        <f t="shared" si="8"/>
        <v>16</v>
      </c>
      <c r="P139" s="440">
        <f t="shared" si="9"/>
        <v>0.1</v>
      </c>
      <c r="Q139">
        <f t="array" ref="Q139">IF(I139&gt;0,INDEX(DB,I139,9),EventIndex)</f>
        <v>6</v>
      </c>
      <c r="S139" s="442">
        <f t="array" ref="S139">INDEX(MINVALUES,$Q139,$K$1)</f>
        <v>16</v>
      </c>
      <c r="T139">
        <f t="array" ref="T139">INDEX(INCVALUES,$Q139,$K$1)</f>
        <v>0.1</v>
      </c>
      <c r="V139">
        <f t="array" ref="V139">+J139+(4*(INDEX(MatchScoreTable,$Q139,20)-1))</f>
        <v>4</v>
      </c>
      <c r="W139">
        <f t="array" ref="W139">INDEX(INC_MINVALUES,$V139,$K$1)</f>
        <v>34</v>
      </c>
      <c r="X139" s="212">
        <f t="array" ref="X139">INDEX(INC_INCVALUES,$V139,$K$1)</f>
        <v>0.3</v>
      </c>
    </row>
    <row r="140" ht="15.75" customHeight="1">
      <c r="A140" s="435"/>
      <c r="B140" s="436"/>
      <c r="C140" s="95" t="str">
        <f t="array" ref="C140">IF(I140&gt;0,INDEX(DB,I140,8),"")</f>
        <v/>
      </c>
      <c r="D140" s="437">
        <f t="shared" si="1"/>
        <v>0</v>
      </c>
      <c r="F140" s="438">
        <f t="shared" si="2"/>
        <v>0</v>
      </c>
      <c r="G140" t="str">
        <f t="shared" si="3"/>
        <v/>
      </c>
      <c r="H140" t="b">
        <f t="shared" si="4"/>
        <v>0</v>
      </c>
      <c r="I140" s="439">
        <f>IF(OR(ISBLANK(A140),ISNA(MATCH(A140&amp;"",AthleteNumbers,0))),0,MATCH(A140&amp;"",AthleteNumbers,0))</f>
        <v>0</v>
      </c>
      <c r="J140" s="209">
        <f t="array" ref="J140">IF(I140&gt;0,INDEX(DB,$I140,6),0)</f>
        <v>0</v>
      </c>
      <c r="K140" s="440">
        <f t="shared" si="5"/>
        <v>0</v>
      </c>
      <c r="L140" s="440">
        <f t="shared" si="6"/>
        <v>0</v>
      </c>
      <c r="M140" s="441">
        <f>IF(AND(L140&gt;O140,O140&gt;0),MinPoints,IF(L140&lt;N140,100,+INT((O140-$L140)/P140)+MinPoints))</f>
        <v>100</v>
      </c>
      <c r="N140" s="440">
        <f t="shared" si="7"/>
        <v>7</v>
      </c>
      <c r="O140" s="440">
        <f t="shared" si="8"/>
        <v>16</v>
      </c>
      <c r="P140" s="440">
        <f t="shared" si="9"/>
        <v>0.1</v>
      </c>
      <c r="Q140">
        <f t="array" ref="Q140">IF(I140&gt;0,INDEX(DB,I140,9),EventIndex)</f>
        <v>6</v>
      </c>
      <c r="S140" s="442">
        <f t="array" ref="S140">INDEX(MINVALUES,$Q140,$K$1)</f>
        <v>16</v>
      </c>
      <c r="T140">
        <f t="array" ref="T140">INDEX(INCVALUES,$Q140,$K$1)</f>
        <v>0.1</v>
      </c>
      <c r="V140">
        <f t="array" ref="V140">+J140+(4*(INDEX(MatchScoreTable,$Q140,20)-1))</f>
        <v>4</v>
      </c>
      <c r="W140">
        <f t="array" ref="W140">INDEX(INC_MINVALUES,$V140,$K$1)</f>
        <v>34</v>
      </c>
      <c r="X140" s="212">
        <f t="array" ref="X140">INDEX(INC_INCVALUES,$V140,$K$1)</f>
        <v>0.3</v>
      </c>
    </row>
    <row r="141" ht="15.75" customHeight="1">
      <c r="A141" s="435"/>
      <c r="B141" s="436"/>
      <c r="C141" s="95" t="str">
        <f t="array" ref="C141">IF(I141&gt;0,INDEX(DB,I141,8),"")</f>
        <v/>
      </c>
      <c r="D141" s="437">
        <f t="shared" si="1"/>
        <v>0</v>
      </c>
      <c r="F141" s="438">
        <f t="shared" si="2"/>
        <v>0</v>
      </c>
      <c r="G141" t="str">
        <f t="shared" si="3"/>
        <v/>
      </c>
      <c r="H141" t="b">
        <f t="shared" si="4"/>
        <v>0</v>
      </c>
      <c r="I141" s="439">
        <f>IF(OR(ISBLANK(A141),ISNA(MATCH(A141&amp;"",AthleteNumbers,0))),0,MATCH(A141&amp;"",AthleteNumbers,0))</f>
        <v>0</v>
      </c>
      <c r="J141" s="209">
        <f t="array" ref="J141">IF(I141&gt;0,INDEX(DB,$I141,6),0)</f>
        <v>0</v>
      </c>
      <c r="K141" s="440">
        <f t="shared" si="5"/>
        <v>0</v>
      </c>
      <c r="L141" s="440">
        <f t="shared" si="6"/>
        <v>0</v>
      </c>
      <c r="M141" s="441">
        <f>IF(AND(L141&gt;O141,O141&gt;0),MinPoints,IF(L141&lt;N141,100,+INT((O141-$L141)/P141)+MinPoints))</f>
        <v>100</v>
      </c>
      <c r="N141" s="440">
        <f t="shared" si="7"/>
        <v>7</v>
      </c>
      <c r="O141" s="440">
        <f t="shared" si="8"/>
        <v>16</v>
      </c>
      <c r="P141" s="440">
        <f t="shared" si="9"/>
        <v>0.1</v>
      </c>
      <c r="Q141">
        <f t="array" ref="Q141">IF(I141&gt;0,INDEX(DB,I141,9),EventIndex)</f>
        <v>6</v>
      </c>
      <c r="S141" s="442">
        <f t="array" ref="S141">INDEX(MINVALUES,$Q141,$K$1)</f>
        <v>16</v>
      </c>
      <c r="T141">
        <f t="array" ref="T141">INDEX(INCVALUES,$Q141,$K$1)</f>
        <v>0.1</v>
      </c>
      <c r="V141">
        <f t="array" ref="V141">+J141+(4*(INDEX(MatchScoreTable,$Q141,20)-1))</f>
        <v>4</v>
      </c>
      <c r="W141">
        <f t="array" ref="W141">INDEX(INC_MINVALUES,$V141,$K$1)</f>
        <v>34</v>
      </c>
      <c r="X141" s="212">
        <f t="array" ref="X141">INDEX(INC_INCVALUES,$V141,$K$1)</f>
        <v>0.3</v>
      </c>
    </row>
    <row r="142" ht="15.75" customHeight="1">
      <c r="A142" s="435"/>
      <c r="B142" s="436"/>
      <c r="C142" s="95" t="str">
        <f t="array" ref="C142">IF(I142&gt;0,INDEX(DB,I142,8),"")</f>
        <v/>
      </c>
      <c r="D142" s="437">
        <f t="shared" si="1"/>
        <v>0</v>
      </c>
      <c r="F142" s="438">
        <f t="shared" si="2"/>
        <v>0</v>
      </c>
      <c r="G142" t="str">
        <f t="shared" si="3"/>
        <v/>
      </c>
      <c r="H142" t="b">
        <f t="shared" si="4"/>
        <v>0</v>
      </c>
      <c r="I142" s="439">
        <f>IF(OR(ISBLANK(A142),ISNA(MATCH(A142&amp;"",AthleteNumbers,0))),0,MATCH(A142&amp;"",AthleteNumbers,0))</f>
        <v>0</v>
      </c>
      <c r="J142" s="209">
        <f t="array" ref="J142">IF(I142&gt;0,INDEX(DB,$I142,6),0)</f>
        <v>0</v>
      </c>
      <c r="K142" s="440">
        <f t="shared" si="5"/>
        <v>0</v>
      </c>
      <c r="L142" s="440">
        <f t="shared" si="6"/>
        <v>0</v>
      </c>
      <c r="M142" s="441">
        <f>IF(AND(L142&gt;O142,O142&gt;0),MinPoints,IF(L142&lt;N142,100,+INT((O142-$L142)/P142)+MinPoints))</f>
        <v>100</v>
      </c>
      <c r="N142" s="440">
        <f t="shared" si="7"/>
        <v>7</v>
      </c>
      <c r="O142" s="440">
        <f t="shared" si="8"/>
        <v>16</v>
      </c>
      <c r="P142" s="440">
        <f t="shared" si="9"/>
        <v>0.1</v>
      </c>
      <c r="Q142">
        <f t="array" ref="Q142">IF(I142&gt;0,INDEX(DB,I142,9),EventIndex)</f>
        <v>6</v>
      </c>
      <c r="S142" s="442">
        <f t="array" ref="S142">INDEX(MINVALUES,$Q142,$K$1)</f>
        <v>16</v>
      </c>
      <c r="T142">
        <f t="array" ref="T142">INDEX(INCVALUES,$Q142,$K$1)</f>
        <v>0.1</v>
      </c>
      <c r="V142">
        <f t="array" ref="V142">+J142+(4*(INDEX(MatchScoreTable,$Q142,20)-1))</f>
        <v>4</v>
      </c>
      <c r="W142">
        <f t="array" ref="W142">INDEX(INC_MINVALUES,$V142,$K$1)</f>
        <v>34</v>
      </c>
      <c r="X142" s="212">
        <f t="array" ref="X142">INDEX(INC_INCVALUES,$V142,$K$1)</f>
        <v>0.3</v>
      </c>
    </row>
    <row r="143" ht="15.75" customHeight="1">
      <c r="A143" s="435"/>
      <c r="B143" s="436"/>
      <c r="C143" s="95" t="str">
        <f t="array" ref="C143">IF(I143&gt;0,INDEX(DB,I143,8),"")</f>
        <v/>
      </c>
      <c r="D143" s="437">
        <f t="shared" si="1"/>
        <v>0</v>
      </c>
      <c r="F143" s="438">
        <f t="shared" si="2"/>
        <v>0</v>
      </c>
      <c r="G143" t="str">
        <f t="shared" si="3"/>
        <v/>
      </c>
      <c r="H143" t="b">
        <f t="shared" si="4"/>
        <v>0</v>
      </c>
      <c r="I143" s="439">
        <f>IF(OR(ISBLANK(A143),ISNA(MATCH(A143&amp;"",AthleteNumbers,0))),0,MATCH(A143&amp;"",AthleteNumbers,0))</f>
        <v>0</v>
      </c>
      <c r="J143" s="209">
        <f t="array" ref="J143">IF(I143&gt;0,INDEX(DB,$I143,6),0)</f>
        <v>0</v>
      </c>
      <c r="K143" s="440">
        <f t="shared" si="5"/>
        <v>0</v>
      </c>
      <c r="L143" s="440">
        <f t="shared" si="6"/>
        <v>0</v>
      </c>
      <c r="M143" s="441">
        <f>IF(AND(L143&gt;O143,O143&gt;0),MinPoints,IF(L143&lt;N143,100,+INT((O143-$L143)/P143)+MinPoints))</f>
        <v>100</v>
      </c>
      <c r="N143" s="440">
        <f t="shared" si="7"/>
        <v>7</v>
      </c>
      <c r="O143" s="440">
        <f t="shared" si="8"/>
        <v>16</v>
      </c>
      <c r="P143" s="440">
        <f t="shared" si="9"/>
        <v>0.1</v>
      </c>
      <c r="Q143">
        <f t="array" ref="Q143">IF(I143&gt;0,INDEX(DB,I143,9),EventIndex)</f>
        <v>6</v>
      </c>
      <c r="S143" s="442">
        <f t="array" ref="S143">INDEX(MINVALUES,$Q143,$K$1)</f>
        <v>16</v>
      </c>
      <c r="T143">
        <f t="array" ref="T143">INDEX(INCVALUES,$Q143,$K$1)</f>
        <v>0.1</v>
      </c>
      <c r="V143">
        <f t="array" ref="V143">+J143+(4*(INDEX(MatchScoreTable,$Q143,20)-1))</f>
        <v>4</v>
      </c>
      <c r="W143">
        <f t="array" ref="W143">INDEX(INC_MINVALUES,$V143,$K$1)</f>
        <v>34</v>
      </c>
      <c r="X143" s="212">
        <f t="array" ref="X143">INDEX(INC_INCVALUES,$V143,$K$1)</f>
        <v>0.3</v>
      </c>
    </row>
    <row r="144" ht="15.75" customHeight="1">
      <c r="A144" s="435"/>
      <c r="B144" s="436"/>
      <c r="C144" s="95" t="str">
        <f t="array" ref="C144">IF(I144&gt;0,INDEX(DB,I144,8),"")</f>
        <v/>
      </c>
      <c r="D144" s="437">
        <f t="shared" si="1"/>
        <v>0</v>
      </c>
      <c r="F144" s="438">
        <f t="shared" si="2"/>
        <v>0</v>
      </c>
      <c r="G144" t="str">
        <f t="shared" si="3"/>
        <v/>
      </c>
      <c r="H144" t="b">
        <f t="shared" si="4"/>
        <v>0</v>
      </c>
      <c r="I144" s="439">
        <f>IF(OR(ISBLANK(A144),ISNA(MATCH(A144&amp;"",AthleteNumbers,0))),0,MATCH(A144&amp;"",AthleteNumbers,0))</f>
        <v>0</v>
      </c>
      <c r="J144" s="209">
        <f t="array" ref="J144">IF(I144&gt;0,INDEX(DB,$I144,6),0)</f>
        <v>0</v>
      </c>
      <c r="K144" s="440">
        <f t="shared" si="5"/>
        <v>0</v>
      </c>
      <c r="L144" s="440">
        <f t="shared" si="6"/>
        <v>0</v>
      </c>
      <c r="M144" s="441">
        <f>IF(AND(L144&gt;O144,O144&gt;0),MinPoints,IF(L144&lt;N144,100,+INT((O144-$L144)/P144)+MinPoints))</f>
        <v>100</v>
      </c>
      <c r="N144" s="440">
        <f t="shared" si="7"/>
        <v>7</v>
      </c>
      <c r="O144" s="440">
        <f t="shared" si="8"/>
        <v>16</v>
      </c>
      <c r="P144" s="440">
        <f t="shared" si="9"/>
        <v>0.1</v>
      </c>
      <c r="Q144">
        <f t="array" ref="Q144">IF(I144&gt;0,INDEX(DB,I144,9),EventIndex)</f>
        <v>6</v>
      </c>
      <c r="S144" s="442">
        <f t="array" ref="S144">INDEX(MINVALUES,$Q144,$K$1)</f>
        <v>16</v>
      </c>
      <c r="T144">
        <f t="array" ref="T144">INDEX(INCVALUES,$Q144,$K$1)</f>
        <v>0.1</v>
      </c>
      <c r="V144">
        <f t="array" ref="V144">+J144+(4*(INDEX(MatchScoreTable,$Q144,20)-1))</f>
        <v>4</v>
      </c>
      <c r="W144">
        <f t="array" ref="W144">INDEX(INC_MINVALUES,$V144,$K$1)</f>
        <v>34</v>
      </c>
      <c r="X144" s="212">
        <f t="array" ref="X144">INDEX(INC_INCVALUES,$V144,$K$1)</f>
        <v>0.3</v>
      </c>
    </row>
    <row r="145" ht="15.75" customHeight="1">
      <c r="A145" s="435"/>
      <c r="B145" s="436"/>
      <c r="C145" s="95" t="str">
        <f t="array" ref="C145">IF(I145&gt;0,INDEX(DB,I145,8),"")</f>
        <v/>
      </c>
      <c r="D145" s="437">
        <f t="shared" si="1"/>
        <v>0</v>
      </c>
      <c r="F145" s="438">
        <f t="shared" si="2"/>
        <v>0</v>
      </c>
      <c r="G145" t="str">
        <f t="shared" si="3"/>
        <v/>
      </c>
      <c r="H145" t="b">
        <f t="shared" si="4"/>
        <v>0</v>
      </c>
      <c r="I145" s="439">
        <f>IF(OR(ISBLANK(A145),ISNA(MATCH(A145&amp;"",AthleteNumbers,0))),0,MATCH(A145&amp;"",AthleteNumbers,0))</f>
        <v>0</v>
      </c>
      <c r="J145" s="209">
        <f t="array" ref="J145">IF(I145&gt;0,INDEX(DB,$I145,6),0)</f>
        <v>0</v>
      </c>
      <c r="K145" s="440">
        <f t="shared" si="5"/>
        <v>0</v>
      </c>
      <c r="L145" s="440">
        <f t="shared" si="6"/>
        <v>0</v>
      </c>
      <c r="M145" s="441">
        <f>IF(AND(L145&gt;O145,O145&gt;0),MinPoints,IF(L145&lt;N145,100,+INT((O145-$L145)/P145)+MinPoints))</f>
        <v>100</v>
      </c>
      <c r="N145" s="440">
        <f t="shared" si="7"/>
        <v>7</v>
      </c>
      <c r="O145" s="440">
        <f t="shared" si="8"/>
        <v>16</v>
      </c>
      <c r="P145" s="440">
        <f t="shared" si="9"/>
        <v>0.1</v>
      </c>
      <c r="Q145">
        <f t="array" ref="Q145">IF(I145&gt;0,INDEX(DB,I145,9),EventIndex)</f>
        <v>6</v>
      </c>
      <c r="S145" s="442">
        <f t="array" ref="S145">INDEX(MINVALUES,$Q145,$K$1)</f>
        <v>16</v>
      </c>
      <c r="T145">
        <f t="array" ref="T145">INDEX(INCVALUES,$Q145,$K$1)</f>
        <v>0.1</v>
      </c>
      <c r="V145">
        <f t="array" ref="V145">+J145+(4*(INDEX(MatchScoreTable,$Q145,20)-1))</f>
        <v>4</v>
      </c>
      <c r="W145">
        <f t="array" ref="W145">INDEX(INC_MINVALUES,$V145,$K$1)</f>
        <v>34</v>
      </c>
      <c r="X145" s="212">
        <f t="array" ref="X145">INDEX(INC_INCVALUES,$V145,$K$1)</f>
        <v>0.3</v>
      </c>
    </row>
    <row r="146" ht="15.75" customHeight="1">
      <c r="A146" s="435"/>
      <c r="B146" s="436"/>
      <c r="C146" s="95" t="str">
        <f t="array" ref="C146">IF(I146&gt;0,INDEX(DB,I146,8),"")</f>
        <v/>
      </c>
      <c r="D146" s="437">
        <f t="shared" si="1"/>
        <v>0</v>
      </c>
      <c r="F146" s="438">
        <f t="shared" si="2"/>
        <v>0</v>
      </c>
      <c r="G146" t="str">
        <f t="shared" si="3"/>
        <v/>
      </c>
      <c r="H146" t="b">
        <f t="shared" si="4"/>
        <v>0</v>
      </c>
      <c r="I146" s="439">
        <f>IF(OR(ISBLANK(A146),ISNA(MATCH(A146&amp;"",AthleteNumbers,0))),0,MATCH(A146&amp;"",AthleteNumbers,0))</f>
        <v>0</v>
      </c>
      <c r="J146" s="209">
        <f t="array" ref="J146">IF(I146&gt;0,INDEX(DB,$I146,6),0)</f>
        <v>0</v>
      </c>
      <c r="K146" s="440">
        <f t="shared" si="5"/>
        <v>0</v>
      </c>
      <c r="L146" s="440">
        <f t="shared" si="6"/>
        <v>0</v>
      </c>
      <c r="M146" s="441">
        <f>IF(AND(L146&gt;O146,O146&gt;0),MinPoints,IF(L146&lt;N146,100,+INT((O146-$L146)/P146)+MinPoints))</f>
        <v>100</v>
      </c>
      <c r="N146" s="440">
        <f t="shared" si="7"/>
        <v>7</v>
      </c>
      <c r="O146" s="440">
        <f t="shared" si="8"/>
        <v>16</v>
      </c>
      <c r="P146" s="440">
        <f t="shared" si="9"/>
        <v>0.1</v>
      </c>
      <c r="Q146">
        <f t="array" ref="Q146">IF(I146&gt;0,INDEX(DB,I146,9),EventIndex)</f>
        <v>6</v>
      </c>
      <c r="S146" s="442">
        <f t="array" ref="S146">INDEX(MINVALUES,$Q146,$K$1)</f>
        <v>16</v>
      </c>
      <c r="T146">
        <f t="array" ref="T146">INDEX(INCVALUES,$Q146,$K$1)</f>
        <v>0.1</v>
      </c>
      <c r="V146">
        <f t="array" ref="V146">+J146+(4*(INDEX(MatchScoreTable,$Q146,20)-1))</f>
        <v>4</v>
      </c>
      <c r="W146">
        <f t="array" ref="W146">INDEX(INC_MINVALUES,$V146,$K$1)</f>
        <v>34</v>
      </c>
      <c r="X146" s="212">
        <f t="array" ref="X146">INDEX(INC_INCVALUES,$V146,$K$1)</f>
        <v>0.3</v>
      </c>
    </row>
    <row r="147" ht="15.75" customHeight="1">
      <c r="A147" s="435"/>
      <c r="B147" s="436"/>
      <c r="C147" s="95" t="str">
        <f t="array" ref="C147">IF(I147&gt;0,INDEX(DB,I147,8),"")</f>
        <v/>
      </c>
      <c r="D147" s="437">
        <f t="shared" si="1"/>
        <v>0</v>
      </c>
      <c r="F147" s="438">
        <f t="shared" si="2"/>
        <v>0</v>
      </c>
      <c r="G147" t="str">
        <f t="shared" si="3"/>
        <v/>
      </c>
      <c r="H147" t="b">
        <f t="shared" si="4"/>
        <v>0</v>
      </c>
      <c r="I147" s="439">
        <f>IF(OR(ISBLANK(A147),ISNA(MATCH(A147&amp;"",AthleteNumbers,0))),0,MATCH(A147&amp;"",AthleteNumbers,0))</f>
        <v>0</v>
      </c>
      <c r="J147" s="209">
        <f t="array" ref="J147">IF(I147&gt;0,INDEX(DB,$I147,6),0)</f>
        <v>0</v>
      </c>
      <c r="K147" s="440">
        <f t="shared" si="5"/>
        <v>0</v>
      </c>
      <c r="L147" s="440">
        <f t="shared" si="6"/>
        <v>0</v>
      </c>
      <c r="M147" s="441">
        <f>IF(AND(L147&gt;O147,O147&gt;0),MinPoints,IF(L147&lt;N147,100,+INT((O147-$L147)/P147)+MinPoints))</f>
        <v>100</v>
      </c>
      <c r="N147" s="440">
        <f t="shared" si="7"/>
        <v>7</v>
      </c>
      <c r="O147" s="440">
        <f t="shared" si="8"/>
        <v>16</v>
      </c>
      <c r="P147" s="440">
        <f t="shared" si="9"/>
        <v>0.1</v>
      </c>
      <c r="Q147">
        <f t="array" ref="Q147">IF(I147&gt;0,INDEX(DB,I147,9),EventIndex)</f>
        <v>6</v>
      </c>
      <c r="S147" s="442">
        <f t="array" ref="S147">INDEX(MINVALUES,$Q147,$K$1)</f>
        <v>16</v>
      </c>
      <c r="T147">
        <f t="array" ref="T147">INDEX(INCVALUES,$Q147,$K$1)</f>
        <v>0.1</v>
      </c>
      <c r="V147">
        <f t="array" ref="V147">+J147+(4*(INDEX(MatchScoreTable,$Q147,20)-1))</f>
        <v>4</v>
      </c>
      <c r="W147">
        <f t="array" ref="W147">INDEX(INC_MINVALUES,$V147,$K$1)</f>
        <v>34</v>
      </c>
      <c r="X147" s="212">
        <f t="array" ref="X147">INDEX(INC_INCVALUES,$V147,$K$1)</f>
        <v>0.3</v>
      </c>
    </row>
    <row r="148" ht="15.75" customHeight="1">
      <c r="A148" s="435"/>
      <c r="B148" s="436"/>
      <c r="C148" s="95" t="str">
        <f t="array" ref="C148">IF(I148&gt;0,INDEX(DB,I148,8),"")</f>
        <v/>
      </c>
      <c r="D148" s="437">
        <f t="shared" si="1"/>
        <v>0</v>
      </c>
      <c r="F148" s="438">
        <f t="shared" si="2"/>
        <v>0</v>
      </c>
      <c r="G148" t="str">
        <f t="shared" si="3"/>
        <v/>
      </c>
      <c r="H148" t="b">
        <f t="shared" si="4"/>
        <v>0</v>
      </c>
      <c r="I148" s="439">
        <f>IF(OR(ISBLANK(A148),ISNA(MATCH(A148&amp;"",AthleteNumbers,0))),0,MATCH(A148&amp;"",AthleteNumbers,0))</f>
        <v>0</v>
      </c>
      <c r="J148" s="209">
        <f t="array" ref="J148">IF(I148&gt;0,INDEX(DB,$I148,6),0)</f>
        <v>0</v>
      </c>
      <c r="K148" s="440">
        <f t="shared" si="5"/>
        <v>0</v>
      </c>
      <c r="L148" s="440">
        <f t="shared" si="6"/>
        <v>0</v>
      </c>
      <c r="M148" s="441">
        <f>IF(AND(L148&gt;O148,O148&gt;0),MinPoints,IF(L148&lt;N148,100,+INT((O148-$L148)/P148)+MinPoints))</f>
        <v>100</v>
      </c>
      <c r="N148" s="440">
        <f t="shared" si="7"/>
        <v>7</v>
      </c>
      <c r="O148" s="440">
        <f t="shared" si="8"/>
        <v>16</v>
      </c>
      <c r="P148" s="440">
        <f t="shared" si="9"/>
        <v>0.1</v>
      </c>
      <c r="Q148">
        <f t="array" ref="Q148">IF(I148&gt;0,INDEX(DB,I148,9),EventIndex)</f>
        <v>6</v>
      </c>
      <c r="S148" s="442">
        <f t="array" ref="S148">INDEX(MINVALUES,$Q148,$K$1)</f>
        <v>16</v>
      </c>
      <c r="T148">
        <f t="array" ref="T148">INDEX(INCVALUES,$Q148,$K$1)</f>
        <v>0.1</v>
      </c>
      <c r="V148">
        <f t="array" ref="V148">+J148+(4*(INDEX(MatchScoreTable,$Q148,20)-1))</f>
        <v>4</v>
      </c>
      <c r="W148">
        <f t="array" ref="W148">INDEX(INC_MINVALUES,$V148,$K$1)</f>
        <v>34</v>
      </c>
      <c r="X148" s="212">
        <f t="array" ref="X148">INDEX(INC_INCVALUES,$V148,$K$1)</f>
        <v>0.3</v>
      </c>
    </row>
    <row r="149" ht="15.75" customHeight="1">
      <c r="A149" s="435"/>
      <c r="B149" s="436"/>
      <c r="C149" s="95" t="str">
        <f t="array" ref="C149">IF(I149&gt;0,INDEX(DB,I149,8),"")</f>
        <v/>
      </c>
      <c r="D149" s="437">
        <f t="shared" si="1"/>
        <v>0</v>
      </c>
      <c r="F149" s="438">
        <f t="shared" si="2"/>
        <v>0</v>
      </c>
      <c r="G149" t="str">
        <f t="shared" si="3"/>
        <v/>
      </c>
      <c r="H149" t="b">
        <f t="shared" si="4"/>
        <v>0</v>
      </c>
      <c r="I149" s="439">
        <f>IF(OR(ISBLANK(A149),ISNA(MATCH(A149&amp;"",AthleteNumbers,0))),0,MATCH(A149&amp;"",AthleteNumbers,0))</f>
        <v>0</v>
      </c>
      <c r="J149" s="209">
        <f t="array" ref="J149">IF(I149&gt;0,INDEX(DB,$I149,6),0)</f>
        <v>0</v>
      </c>
      <c r="K149" s="440">
        <f t="shared" si="5"/>
        <v>0</v>
      </c>
      <c r="L149" s="440">
        <f t="shared" si="6"/>
        <v>0</v>
      </c>
      <c r="M149" s="441">
        <f>IF(AND(L149&gt;O149,O149&gt;0),MinPoints,IF(L149&lt;N149,100,+INT((O149-$L149)/P149)+MinPoints))</f>
        <v>100</v>
      </c>
      <c r="N149" s="440">
        <f t="shared" si="7"/>
        <v>7</v>
      </c>
      <c r="O149" s="440">
        <f t="shared" si="8"/>
        <v>16</v>
      </c>
      <c r="P149" s="440">
        <f t="shared" si="9"/>
        <v>0.1</v>
      </c>
      <c r="Q149">
        <f t="array" ref="Q149">IF(I149&gt;0,INDEX(DB,I149,9),EventIndex)</f>
        <v>6</v>
      </c>
      <c r="S149" s="442">
        <f t="array" ref="S149">INDEX(MINVALUES,$Q149,$K$1)</f>
        <v>16</v>
      </c>
      <c r="T149">
        <f t="array" ref="T149">INDEX(INCVALUES,$Q149,$K$1)</f>
        <v>0.1</v>
      </c>
      <c r="V149">
        <f t="array" ref="V149">+J149+(4*(INDEX(MatchScoreTable,$Q149,20)-1))</f>
        <v>4</v>
      </c>
      <c r="W149">
        <f t="array" ref="W149">INDEX(INC_MINVALUES,$V149,$K$1)</f>
        <v>34</v>
      </c>
      <c r="X149" s="212">
        <f t="array" ref="X149">INDEX(INC_INCVALUES,$V149,$K$1)</f>
        <v>0.3</v>
      </c>
    </row>
    <row r="150" ht="15.75" customHeight="1">
      <c r="A150" s="435"/>
      <c r="B150" s="436"/>
      <c r="C150" s="95" t="str">
        <f t="array" ref="C150">IF(I150&gt;0,INDEX(DB,I150,8),"")</f>
        <v/>
      </c>
      <c r="D150" s="437">
        <f t="shared" si="1"/>
        <v>0</v>
      </c>
      <c r="F150" s="438">
        <f t="shared" si="2"/>
        <v>0</v>
      </c>
      <c r="G150" t="str">
        <f t="shared" si="3"/>
        <v/>
      </c>
      <c r="H150" t="b">
        <f t="shared" si="4"/>
        <v>0</v>
      </c>
      <c r="I150" s="439">
        <f>IF(OR(ISBLANK(A150),ISNA(MATCH(A150&amp;"",AthleteNumbers,0))),0,MATCH(A150&amp;"",AthleteNumbers,0))</f>
        <v>0</v>
      </c>
      <c r="J150" s="209">
        <f t="array" ref="J150">IF(I150&gt;0,INDEX(DB,$I150,6),0)</f>
        <v>0</v>
      </c>
      <c r="K150" s="440">
        <f t="shared" si="5"/>
        <v>0</v>
      </c>
      <c r="L150" s="440">
        <f t="shared" si="6"/>
        <v>0</v>
      </c>
      <c r="M150" s="441">
        <f>IF(AND(L150&gt;O150,O150&gt;0),MinPoints,IF(L150&lt;N150,100,+INT((O150-$L150)/P150)+MinPoints))</f>
        <v>100</v>
      </c>
      <c r="N150" s="440">
        <f t="shared" si="7"/>
        <v>7</v>
      </c>
      <c r="O150" s="440">
        <f t="shared" si="8"/>
        <v>16</v>
      </c>
      <c r="P150" s="440">
        <f t="shared" si="9"/>
        <v>0.1</v>
      </c>
      <c r="Q150">
        <f t="array" ref="Q150">IF(I150&gt;0,INDEX(DB,I150,9),EventIndex)</f>
        <v>6</v>
      </c>
      <c r="S150" s="442">
        <f t="array" ref="S150">INDEX(MINVALUES,$Q150,$K$1)</f>
        <v>16</v>
      </c>
      <c r="T150">
        <f t="array" ref="T150">INDEX(INCVALUES,$Q150,$K$1)</f>
        <v>0.1</v>
      </c>
      <c r="V150">
        <f t="array" ref="V150">+J150+(4*(INDEX(MatchScoreTable,$Q150,20)-1))</f>
        <v>4</v>
      </c>
      <c r="W150">
        <f t="array" ref="W150">INDEX(INC_MINVALUES,$V150,$K$1)</f>
        <v>34</v>
      </c>
      <c r="X150" s="212">
        <f t="array" ref="X150">INDEX(INC_INCVALUES,$V150,$K$1)</f>
        <v>0.3</v>
      </c>
    </row>
    <row r="151" ht="15.75" customHeight="1">
      <c r="A151" s="435"/>
      <c r="B151" s="436"/>
      <c r="C151" s="95" t="str">
        <f t="array" ref="C151">IF(I151&gt;0,INDEX(DB,I151,8),"")</f>
        <v/>
      </c>
      <c r="D151" s="437">
        <f t="shared" si="1"/>
        <v>0</v>
      </c>
      <c r="F151" s="438">
        <f t="shared" si="2"/>
        <v>0</v>
      </c>
      <c r="G151" t="str">
        <f t="shared" si="3"/>
        <v/>
      </c>
      <c r="H151" t="b">
        <f t="shared" si="4"/>
        <v>0</v>
      </c>
      <c r="I151" s="439">
        <f>IF(OR(ISBLANK(A151),ISNA(MATCH(A151&amp;"",AthleteNumbers,0))),0,MATCH(A151&amp;"",AthleteNumbers,0))</f>
        <v>0</v>
      </c>
      <c r="J151" s="209">
        <f t="array" ref="J151">IF(I151&gt;0,INDEX(DB,$I151,6),0)</f>
        <v>0</v>
      </c>
      <c r="K151" s="440">
        <f t="shared" si="5"/>
        <v>0</v>
      </c>
      <c r="L151" s="440">
        <f t="shared" si="6"/>
        <v>0</v>
      </c>
      <c r="M151" s="441">
        <f>IF(AND(L151&gt;O151,O151&gt;0),MinPoints,IF(L151&lt;N151,100,+INT((O151-$L151)/P151)+MinPoints))</f>
        <v>100</v>
      </c>
      <c r="N151" s="440">
        <f t="shared" si="7"/>
        <v>7</v>
      </c>
      <c r="O151" s="440">
        <f t="shared" si="8"/>
        <v>16</v>
      </c>
      <c r="P151" s="440">
        <f t="shared" si="9"/>
        <v>0.1</v>
      </c>
      <c r="Q151">
        <f t="array" ref="Q151">IF(I151&gt;0,INDEX(DB,I151,9),EventIndex)</f>
        <v>6</v>
      </c>
      <c r="S151" s="442">
        <f t="array" ref="S151">INDEX(MINVALUES,$Q151,$K$1)</f>
        <v>16</v>
      </c>
      <c r="T151">
        <f t="array" ref="T151">INDEX(INCVALUES,$Q151,$K$1)</f>
        <v>0.1</v>
      </c>
      <c r="V151">
        <f t="array" ref="V151">+J151+(4*(INDEX(MatchScoreTable,$Q151,20)-1))</f>
        <v>4</v>
      </c>
      <c r="W151">
        <f t="array" ref="W151">INDEX(INC_MINVALUES,$V151,$K$1)</f>
        <v>34</v>
      </c>
      <c r="X151" s="212">
        <f t="array" ref="X151">INDEX(INC_INCVALUES,$V151,$K$1)</f>
        <v>0.3</v>
      </c>
    </row>
    <row r="152" ht="15.75" customHeight="1">
      <c r="A152" s="435"/>
      <c r="B152" s="436"/>
      <c r="C152" s="95" t="str">
        <f t="array" ref="C152">IF(I152&gt;0,INDEX(DB,I152,8),"")</f>
        <v/>
      </c>
      <c r="D152" s="437">
        <f t="shared" si="1"/>
        <v>0</v>
      </c>
      <c r="F152" s="438">
        <f t="shared" si="2"/>
        <v>0</v>
      </c>
      <c r="G152" t="str">
        <f t="shared" si="3"/>
        <v/>
      </c>
      <c r="H152" t="b">
        <f t="shared" si="4"/>
        <v>0</v>
      </c>
      <c r="I152" s="439">
        <f>IF(OR(ISBLANK(A152),ISNA(MATCH(A152&amp;"",AthleteNumbers,0))),0,MATCH(A152&amp;"",AthleteNumbers,0))</f>
        <v>0</v>
      </c>
      <c r="J152" s="209">
        <f t="array" ref="J152">IF(I152&gt;0,INDEX(DB,$I152,6),0)</f>
        <v>0</v>
      </c>
      <c r="K152" s="440">
        <f t="shared" si="5"/>
        <v>0</v>
      </c>
      <c r="L152" s="440">
        <f t="shared" si="6"/>
        <v>0</v>
      </c>
      <c r="M152" s="441">
        <f>IF(AND(L152&gt;O152,O152&gt;0),MinPoints,IF(L152&lt;N152,100,+INT((O152-$L152)/P152)+MinPoints))</f>
        <v>100</v>
      </c>
      <c r="N152" s="440">
        <f t="shared" si="7"/>
        <v>7</v>
      </c>
      <c r="O152" s="440">
        <f t="shared" si="8"/>
        <v>16</v>
      </c>
      <c r="P152" s="440">
        <f t="shared" si="9"/>
        <v>0.1</v>
      </c>
      <c r="Q152">
        <f t="array" ref="Q152">IF(I152&gt;0,INDEX(DB,I152,9),EventIndex)</f>
        <v>6</v>
      </c>
      <c r="S152" s="442">
        <f t="array" ref="S152">INDEX(MINVALUES,$Q152,$K$1)</f>
        <v>16</v>
      </c>
      <c r="T152">
        <f t="array" ref="T152">INDEX(INCVALUES,$Q152,$K$1)</f>
        <v>0.1</v>
      </c>
      <c r="V152">
        <f t="array" ref="V152">+J152+(4*(INDEX(MatchScoreTable,$Q152,20)-1))</f>
        <v>4</v>
      </c>
      <c r="W152">
        <f t="array" ref="W152">INDEX(INC_MINVALUES,$V152,$K$1)</f>
        <v>34</v>
      </c>
      <c r="X152" s="212">
        <f t="array" ref="X152">INDEX(INC_INCVALUES,$V152,$K$1)</f>
        <v>0.3</v>
      </c>
    </row>
    <row r="153" ht="15.75" customHeight="1">
      <c r="A153" s="435"/>
      <c r="B153" s="436"/>
      <c r="C153" s="95" t="str">
        <f t="array" ref="C153">IF(I153&gt;0,INDEX(DB,I153,8),"")</f>
        <v/>
      </c>
      <c r="D153" s="437">
        <f t="shared" si="1"/>
        <v>0</v>
      </c>
      <c r="F153" s="438">
        <f t="shared" si="2"/>
        <v>0</v>
      </c>
      <c r="G153" t="str">
        <f t="shared" si="3"/>
        <v/>
      </c>
      <c r="H153" t="b">
        <f t="shared" si="4"/>
        <v>0</v>
      </c>
      <c r="I153" s="439">
        <f>IF(OR(ISBLANK(A153),ISNA(MATCH(A153&amp;"",AthleteNumbers,0))),0,MATCH(A153&amp;"",AthleteNumbers,0))</f>
        <v>0</v>
      </c>
      <c r="J153" s="209">
        <f t="array" ref="J153">IF(I153&gt;0,INDEX(DB,$I153,6),0)</f>
        <v>0</v>
      </c>
      <c r="K153" s="440">
        <f t="shared" si="5"/>
        <v>0</v>
      </c>
      <c r="L153" s="440">
        <f t="shared" si="6"/>
        <v>0</v>
      </c>
      <c r="M153" s="441">
        <f>IF(AND(L153&gt;O153,O153&gt;0),MinPoints,IF(L153&lt;N153,100,+INT((O153-$L153)/P153)+MinPoints))</f>
        <v>100</v>
      </c>
      <c r="N153" s="440">
        <f t="shared" si="7"/>
        <v>7</v>
      </c>
      <c r="O153" s="440">
        <f t="shared" si="8"/>
        <v>16</v>
      </c>
      <c r="P153" s="440">
        <f t="shared" si="9"/>
        <v>0.1</v>
      </c>
      <c r="Q153">
        <f t="array" ref="Q153">IF(I153&gt;0,INDEX(DB,I153,9),EventIndex)</f>
        <v>6</v>
      </c>
      <c r="S153" s="442">
        <f t="array" ref="S153">INDEX(MINVALUES,$Q153,$K$1)</f>
        <v>16</v>
      </c>
      <c r="T153">
        <f t="array" ref="T153">INDEX(INCVALUES,$Q153,$K$1)</f>
        <v>0.1</v>
      </c>
      <c r="V153">
        <f t="array" ref="V153">+J153+(4*(INDEX(MatchScoreTable,$Q153,20)-1))</f>
        <v>4</v>
      </c>
      <c r="W153">
        <f t="array" ref="W153">INDEX(INC_MINVALUES,$V153,$K$1)</f>
        <v>34</v>
      </c>
      <c r="X153" s="212">
        <f t="array" ref="X153">INDEX(INC_INCVALUES,$V153,$K$1)</f>
        <v>0.3</v>
      </c>
    </row>
    <row r="154" ht="15.75" customHeight="1">
      <c r="A154" s="435"/>
      <c r="B154" s="436"/>
      <c r="C154" s="95" t="str">
        <f t="array" ref="C154">IF(I154&gt;0,INDEX(DB,I154,8),"")</f>
        <v/>
      </c>
      <c r="D154" s="437">
        <f t="shared" si="1"/>
        <v>0</v>
      </c>
      <c r="F154" s="438">
        <f t="shared" si="2"/>
        <v>0</v>
      </c>
      <c r="G154" t="str">
        <f t="shared" si="3"/>
        <v/>
      </c>
      <c r="H154" t="b">
        <f t="shared" si="4"/>
        <v>0</v>
      </c>
      <c r="I154" s="439">
        <f>IF(OR(ISBLANK(A154),ISNA(MATCH(A154&amp;"",AthleteNumbers,0))),0,MATCH(A154&amp;"",AthleteNumbers,0))</f>
        <v>0</v>
      </c>
      <c r="J154" s="209">
        <f t="array" ref="J154">IF(I154&gt;0,INDEX(DB,$I154,6),0)</f>
        <v>0</v>
      </c>
      <c r="K154" s="440">
        <f t="shared" si="5"/>
        <v>0</v>
      </c>
      <c r="L154" s="440">
        <f t="shared" si="6"/>
        <v>0</v>
      </c>
      <c r="M154" s="441">
        <f>IF(AND(L154&gt;O154,O154&gt;0),MinPoints,IF(L154&lt;N154,100,+INT((O154-$L154)/P154)+MinPoints))</f>
        <v>100</v>
      </c>
      <c r="N154" s="440">
        <f t="shared" si="7"/>
        <v>7</v>
      </c>
      <c r="O154" s="440">
        <f t="shared" si="8"/>
        <v>16</v>
      </c>
      <c r="P154" s="440">
        <f t="shared" si="9"/>
        <v>0.1</v>
      </c>
      <c r="Q154">
        <f t="array" ref="Q154">IF(I154&gt;0,INDEX(DB,I154,9),EventIndex)</f>
        <v>6</v>
      </c>
      <c r="S154" s="442">
        <f t="array" ref="S154">INDEX(MINVALUES,$Q154,$K$1)</f>
        <v>16</v>
      </c>
      <c r="T154">
        <f t="array" ref="T154">INDEX(INCVALUES,$Q154,$K$1)</f>
        <v>0.1</v>
      </c>
      <c r="V154">
        <f t="array" ref="V154">+J154+(4*(INDEX(MatchScoreTable,$Q154,20)-1))</f>
        <v>4</v>
      </c>
      <c r="W154">
        <f t="array" ref="W154">INDEX(INC_MINVALUES,$V154,$K$1)</f>
        <v>34</v>
      </c>
      <c r="X154" s="212">
        <f t="array" ref="X154">INDEX(INC_INCVALUES,$V154,$K$1)</f>
        <v>0.3</v>
      </c>
    </row>
    <row r="155" ht="15.75" customHeight="1">
      <c r="A155" s="435"/>
      <c r="B155" s="436"/>
      <c r="C155" s="95" t="str">
        <f t="array" ref="C155">IF(I155&gt;0,INDEX(DB,I155,8),"")</f>
        <v/>
      </c>
      <c r="D155" s="437">
        <f t="shared" si="1"/>
        <v>0</v>
      </c>
      <c r="F155" s="438">
        <f t="shared" si="2"/>
        <v>0</v>
      </c>
      <c r="G155" t="str">
        <f t="shared" si="3"/>
        <v/>
      </c>
      <c r="H155" t="b">
        <f t="shared" si="4"/>
        <v>0</v>
      </c>
      <c r="I155" s="439">
        <f>IF(OR(ISBLANK(A155),ISNA(MATCH(A155&amp;"",AthleteNumbers,0))),0,MATCH(A155&amp;"",AthleteNumbers,0))</f>
        <v>0</v>
      </c>
      <c r="J155" s="209">
        <f t="array" ref="J155">IF(I155&gt;0,INDEX(DB,$I155,6),0)</f>
        <v>0</v>
      </c>
      <c r="K155" s="440">
        <f t="shared" si="5"/>
        <v>0</v>
      </c>
      <c r="L155" s="440">
        <f t="shared" si="6"/>
        <v>0</v>
      </c>
      <c r="M155" s="441">
        <f>IF(AND(L155&gt;O155,O155&gt;0),MinPoints,IF(L155&lt;N155,100,+INT((O155-$L155)/P155)+MinPoints))</f>
        <v>100</v>
      </c>
      <c r="N155" s="440">
        <f t="shared" si="7"/>
        <v>7</v>
      </c>
      <c r="O155" s="440">
        <f t="shared" si="8"/>
        <v>16</v>
      </c>
      <c r="P155" s="440">
        <f t="shared" si="9"/>
        <v>0.1</v>
      </c>
      <c r="Q155">
        <f t="array" ref="Q155">IF(I155&gt;0,INDEX(DB,I155,9),EventIndex)</f>
        <v>6</v>
      </c>
      <c r="S155" s="442">
        <f t="array" ref="S155">INDEX(MINVALUES,$Q155,$K$1)</f>
        <v>16</v>
      </c>
      <c r="T155">
        <f t="array" ref="T155">INDEX(INCVALUES,$Q155,$K$1)</f>
        <v>0.1</v>
      </c>
      <c r="V155">
        <f t="array" ref="V155">+J155+(4*(INDEX(MatchScoreTable,$Q155,20)-1))</f>
        <v>4</v>
      </c>
      <c r="W155">
        <f t="array" ref="W155">INDEX(INC_MINVALUES,$V155,$K$1)</f>
        <v>34</v>
      </c>
      <c r="X155" s="212">
        <f t="array" ref="X155">INDEX(INC_INCVALUES,$V155,$K$1)</f>
        <v>0.3</v>
      </c>
    </row>
    <row r="156" ht="15.75" customHeight="1">
      <c r="A156" s="435"/>
      <c r="B156" s="436"/>
      <c r="C156" s="95" t="str">
        <f t="array" ref="C156">IF(I156&gt;0,INDEX(DB,I156,8),"")</f>
        <v/>
      </c>
      <c r="D156" s="437">
        <f t="shared" si="1"/>
        <v>0</v>
      </c>
      <c r="F156" s="438">
        <f t="shared" si="2"/>
        <v>0</v>
      </c>
      <c r="G156" t="str">
        <f t="shared" si="3"/>
        <v/>
      </c>
      <c r="H156" t="b">
        <f t="shared" si="4"/>
        <v>0</v>
      </c>
      <c r="I156" s="439">
        <f>IF(OR(ISBLANK(A156),ISNA(MATCH(A156&amp;"",AthleteNumbers,0))),0,MATCH(A156&amp;"",AthleteNumbers,0))</f>
        <v>0</v>
      </c>
      <c r="J156" s="209">
        <f t="array" ref="J156">IF(I156&gt;0,INDEX(DB,$I156,6),0)</f>
        <v>0</v>
      </c>
      <c r="K156" s="440">
        <f t="shared" si="5"/>
        <v>0</v>
      </c>
      <c r="L156" s="440">
        <f t="shared" si="6"/>
        <v>0</v>
      </c>
      <c r="M156" s="441">
        <f>IF(AND(L156&gt;O156,O156&gt;0),MinPoints,IF(L156&lt;N156,100,+INT((O156-$L156)/P156)+MinPoints))</f>
        <v>100</v>
      </c>
      <c r="N156" s="440">
        <f t="shared" si="7"/>
        <v>7</v>
      </c>
      <c r="O156" s="440">
        <f t="shared" si="8"/>
        <v>16</v>
      </c>
      <c r="P156" s="440">
        <f t="shared" si="9"/>
        <v>0.1</v>
      </c>
      <c r="Q156">
        <f t="array" ref="Q156">IF(I156&gt;0,INDEX(DB,I156,9),EventIndex)</f>
        <v>6</v>
      </c>
      <c r="S156" s="442">
        <f t="array" ref="S156">INDEX(MINVALUES,$Q156,$K$1)</f>
        <v>16</v>
      </c>
      <c r="T156">
        <f t="array" ref="T156">INDEX(INCVALUES,$Q156,$K$1)</f>
        <v>0.1</v>
      </c>
      <c r="V156">
        <f t="array" ref="V156">+J156+(4*(INDEX(MatchScoreTable,$Q156,20)-1))</f>
        <v>4</v>
      </c>
      <c r="W156">
        <f t="array" ref="W156">INDEX(INC_MINVALUES,$V156,$K$1)</f>
        <v>34</v>
      </c>
      <c r="X156" s="212">
        <f t="array" ref="X156">INDEX(INC_INCVALUES,$V156,$K$1)</f>
        <v>0.3</v>
      </c>
    </row>
    <row r="157" ht="15.75" customHeight="1">
      <c r="A157" s="435"/>
      <c r="B157" s="436"/>
      <c r="C157" s="95" t="str">
        <f t="array" ref="C157">IF(I157&gt;0,INDEX(DB,I157,8),"")</f>
        <v/>
      </c>
      <c r="D157" s="437">
        <f t="shared" si="1"/>
        <v>0</v>
      </c>
      <c r="F157" s="438">
        <f t="shared" si="2"/>
        <v>0</v>
      </c>
      <c r="G157" t="str">
        <f t="shared" si="3"/>
        <v/>
      </c>
      <c r="H157" t="b">
        <f t="shared" si="4"/>
        <v>0</v>
      </c>
      <c r="I157" s="439">
        <f>IF(OR(ISBLANK(A157),ISNA(MATCH(A157&amp;"",AthleteNumbers,0))),0,MATCH(A157&amp;"",AthleteNumbers,0))</f>
        <v>0</v>
      </c>
      <c r="J157" s="209">
        <f t="array" ref="J157">IF(I157&gt;0,INDEX(DB,$I157,6),0)</f>
        <v>0</v>
      </c>
      <c r="K157" s="440">
        <f t="shared" si="5"/>
        <v>0</v>
      </c>
      <c r="L157" s="440">
        <f t="shared" si="6"/>
        <v>0</v>
      </c>
      <c r="M157" s="441">
        <f>IF(AND(L157&gt;O157,O157&gt;0),MinPoints,IF(L157&lt;N157,100,+INT((O157-$L157)/P157)+MinPoints))</f>
        <v>100</v>
      </c>
      <c r="N157" s="440">
        <f t="shared" si="7"/>
        <v>7</v>
      </c>
      <c r="O157" s="440">
        <f t="shared" si="8"/>
        <v>16</v>
      </c>
      <c r="P157" s="440">
        <f t="shared" si="9"/>
        <v>0.1</v>
      </c>
      <c r="Q157">
        <f t="array" ref="Q157">IF(I157&gt;0,INDEX(DB,I157,9),EventIndex)</f>
        <v>6</v>
      </c>
      <c r="S157" s="442">
        <f t="array" ref="S157">INDEX(MINVALUES,$Q157,$K$1)</f>
        <v>16</v>
      </c>
      <c r="T157">
        <f t="array" ref="T157">INDEX(INCVALUES,$Q157,$K$1)</f>
        <v>0.1</v>
      </c>
      <c r="V157">
        <f t="array" ref="V157">+J157+(4*(INDEX(MatchScoreTable,$Q157,20)-1))</f>
        <v>4</v>
      </c>
      <c r="W157">
        <f t="array" ref="W157">INDEX(INC_MINVALUES,$V157,$K$1)</f>
        <v>34</v>
      </c>
      <c r="X157" s="212">
        <f t="array" ref="X157">INDEX(INC_INCVALUES,$V157,$K$1)</f>
        <v>0.3</v>
      </c>
    </row>
    <row r="158" ht="15.75" customHeight="1">
      <c r="A158" s="435"/>
      <c r="B158" s="436"/>
      <c r="C158" s="95" t="str">
        <f t="array" ref="C158">IF(I158&gt;0,INDEX(DB,I158,8),"")</f>
        <v/>
      </c>
      <c r="D158" s="437">
        <f t="shared" si="1"/>
        <v>0</v>
      </c>
      <c r="F158" s="438">
        <f t="shared" si="2"/>
        <v>0</v>
      </c>
      <c r="G158" t="str">
        <f t="shared" si="3"/>
        <v/>
      </c>
      <c r="H158" t="b">
        <f t="shared" si="4"/>
        <v>0</v>
      </c>
      <c r="I158" s="439">
        <f>IF(OR(ISBLANK(A158),ISNA(MATCH(A158&amp;"",AthleteNumbers,0))),0,MATCH(A158&amp;"",AthleteNumbers,0))</f>
        <v>0</v>
      </c>
      <c r="J158" s="209">
        <f t="array" ref="J158">IF(I158&gt;0,INDEX(DB,$I158,6),0)</f>
        <v>0</v>
      </c>
      <c r="K158" s="440">
        <f t="shared" si="5"/>
        <v>0</v>
      </c>
      <c r="L158" s="440">
        <f t="shared" si="6"/>
        <v>0</v>
      </c>
      <c r="M158" s="441">
        <f>IF(AND(L158&gt;O158,O158&gt;0),MinPoints,IF(L158&lt;N158,100,+INT((O158-$L158)/P158)+MinPoints))</f>
        <v>100</v>
      </c>
      <c r="N158" s="440">
        <f t="shared" si="7"/>
        <v>7</v>
      </c>
      <c r="O158" s="440">
        <f t="shared" si="8"/>
        <v>16</v>
      </c>
      <c r="P158" s="440">
        <f t="shared" si="9"/>
        <v>0.1</v>
      </c>
      <c r="Q158">
        <f t="array" ref="Q158">IF(I158&gt;0,INDEX(DB,I158,9),EventIndex)</f>
        <v>6</v>
      </c>
      <c r="S158" s="442">
        <f t="array" ref="S158">INDEX(MINVALUES,$Q158,$K$1)</f>
        <v>16</v>
      </c>
      <c r="T158">
        <f t="array" ref="T158">INDEX(INCVALUES,$Q158,$K$1)</f>
        <v>0.1</v>
      </c>
      <c r="V158">
        <f t="array" ref="V158">+J158+(4*(INDEX(MatchScoreTable,$Q158,20)-1))</f>
        <v>4</v>
      </c>
      <c r="W158">
        <f t="array" ref="W158">INDEX(INC_MINVALUES,$V158,$K$1)</f>
        <v>34</v>
      </c>
      <c r="X158" s="212">
        <f t="array" ref="X158">INDEX(INC_INCVALUES,$V158,$K$1)</f>
        <v>0.3</v>
      </c>
    </row>
    <row r="159" ht="15.75" customHeight="1">
      <c r="A159" s="435"/>
      <c r="B159" s="436"/>
      <c r="C159" s="95" t="str">
        <f t="array" ref="C159">IF(I159&gt;0,INDEX(DB,I159,8),"")</f>
        <v/>
      </c>
      <c r="D159" s="437">
        <f t="shared" si="1"/>
        <v>0</v>
      </c>
      <c r="F159" s="438">
        <f t="shared" si="2"/>
        <v>0</v>
      </c>
      <c r="G159" t="str">
        <f t="shared" si="3"/>
        <v/>
      </c>
      <c r="H159" t="b">
        <f t="shared" si="4"/>
        <v>0</v>
      </c>
      <c r="I159" s="439">
        <f>IF(OR(ISBLANK(A159),ISNA(MATCH(A159&amp;"",AthleteNumbers,0))),0,MATCH(A159&amp;"",AthleteNumbers,0))</f>
        <v>0</v>
      </c>
      <c r="J159" s="209">
        <f t="array" ref="J159">IF(I159&gt;0,INDEX(DB,$I159,6),0)</f>
        <v>0</v>
      </c>
      <c r="K159" s="440">
        <f t="shared" si="5"/>
        <v>0</v>
      </c>
      <c r="L159" s="440">
        <f t="shared" si="6"/>
        <v>0</v>
      </c>
      <c r="M159" s="441">
        <f>IF(AND(L159&gt;O159,O159&gt;0),MinPoints,IF(L159&lt;N159,100,+INT((O159-$L159)/P159)+MinPoints))</f>
        <v>100</v>
      </c>
      <c r="N159" s="440">
        <f t="shared" si="7"/>
        <v>7</v>
      </c>
      <c r="O159" s="440">
        <f t="shared" si="8"/>
        <v>16</v>
      </c>
      <c r="P159" s="440">
        <f t="shared" si="9"/>
        <v>0.1</v>
      </c>
      <c r="Q159">
        <f t="array" ref="Q159">IF(I159&gt;0,INDEX(DB,I159,9),EventIndex)</f>
        <v>6</v>
      </c>
      <c r="S159" s="442">
        <f t="array" ref="S159">INDEX(MINVALUES,$Q159,$K$1)</f>
        <v>16</v>
      </c>
      <c r="T159">
        <f t="array" ref="T159">INDEX(INCVALUES,$Q159,$K$1)</f>
        <v>0.1</v>
      </c>
      <c r="V159">
        <f t="array" ref="V159">+J159+(4*(INDEX(MatchScoreTable,$Q159,20)-1))</f>
        <v>4</v>
      </c>
      <c r="W159">
        <f t="array" ref="W159">INDEX(INC_MINVALUES,$V159,$K$1)</f>
        <v>34</v>
      </c>
      <c r="X159" s="212">
        <f t="array" ref="X159">INDEX(INC_INCVALUES,$V159,$K$1)</f>
        <v>0.3</v>
      </c>
    </row>
    <row r="160" ht="15.75" customHeight="1">
      <c r="A160" s="435"/>
      <c r="B160" s="436"/>
      <c r="C160" s="95" t="str">
        <f t="array" ref="C160">IF(I160&gt;0,INDEX(DB,I160,8),"")</f>
        <v/>
      </c>
      <c r="D160" s="437">
        <f t="shared" si="1"/>
        <v>0</v>
      </c>
      <c r="F160" s="438">
        <f t="shared" si="2"/>
        <v>0</v>
      </c>
      <c r="G160" t="str">
        <f t="shared" si="3"/>
        <v/>
      </c>
      <c r="H160" t="b">
        <f t="shared" si="4"/>
        <v>0</v>
      </c>
      <c r="I160" s="439">
        <f>IF(OR(ISBLANK(A160),ISNA(MATCH(A160&amp;"",AthleteNumbers,0))),0,MATCH(A160&amp;"",AthleteNumbers,0))</f>
        <v>0</v>
      </c>
      <c r="J160" s="209">
        <f t="array" ref="J160">IF(I160&gt;0,INDEX(DB,$I160,6),0)</f>
        <v>0</v>
      </c>
      <c r="K160" s="440">
        <f t="shared" si="5"/>
        <v>0</v>
      </c>
      <c r="L160" s="440">
        <f t="shared" si="6"/>
        <v>0</v>
      </c>
      <c r="M160" s="441">
        <f>IF(AND(L160&gt;O160,O160&gt;0),MinPoints,IF(L160&lt;N160,100,+INT((O160-$L160)/P160)+MinPoints))</f>
        <v>100</v>
      </c>
      <c r="N160" s="440">
        <f t="shared" si="7"/>
        <v>7</v>
      </c>
      <c r="O160" s="440">
        <f t="shared" si="8"/>
        <v>16</v>
      </c>
      <c r="P160" s="440">
        <f t="shared" si="9"/>
        <v>0.1</v>
      </c>
      <c r="Q160">
        <f t="array" ref="Q160">IF(I160&gt;0,INDEX(DB,I160,9),EventIndex)</f>
        <v>6</v>
      </c>
      <c r="S160" s="442">
        <f t="array" ref="S160">INDEX(MINVALUES,$Q160,$K$1)</f>
        <v>16</v>
      </c>
      <c r="T160">
        <f t="array" ref="T160">INDEX(INCVALUES,$Q160,$K$1)</f>
        <v>0.1</v>
      </c>
      <c r="V160">
        <f t="array" ref="V160">+J160+(4*(INDEX(MatchScoreTable,$Q160,20)-1))</f>
        <v>4</v>
      </c>
      <c r="W160">
        <f t="array" ref="W160">INDEX(INC_MINVALUES,$V160,$K$1)</f>
        <v>34</v>
      </c>
      <c r="X160" s="212">
        <f t="array" ref="X160">INDEX(INC_INCVALUES,$V160,$K$1)</f>
        <v>0.3</v>
      </c>
    </row>
    <row r="161" ht="15.75" customHeight="1">
      <c r="A161" s="435"/>
      <c r="B161" s="436"/>
      <c r="C161" s="95" t="str">
        <f t="array" ref="C161">IF(I161&gt;0,INDEX(DB,I161,8),"")</f>
        <v/>
      </c>
      <c r="D161" s="437">
        <f t="shared" si="1"/>
        <v>0</v>
      </c>
      <c r="F161" s="438">
        <f t="shared" si="2"/>
        <v>0</v>
      </c>
      <c r="G161" t="str">
        <f t="shared" si="3"/>
        <v/>
      </c>
      <c r="H161" t="b">
        <f t="shared" si="4"/>
        <v>0</v>
      </c>
      <c r="I161" s="439">
        <f>IF(OR(ISBLANK(A161),ISNA(MATCH(A161&amp;"",AthleteNumbers,0))),0,MATCH(A161&amp;"",AthleteNumbers,0))</f>
        <v>0</v>
      </c>
      <c r="J161" s="209">
        <f t="array" ref="J161">IF(I161&gt;0,INDEX(DB,$I161,6),0)</f>
        <v>0</v>
      </c>
      <c r="K161" s="440">
        <f t="shared" si="5"/>
        <v>0</v>
      </c>
      <c r="L161" s="440">
        <f t="shared" si="6"/>
        <v>0</v>
      </c>
      <c r="M161" s="441">
        <f>IF(AND(L161&gt;O161,O161&gt;0),MinPoints,IF(L161&lt;N161,100,+INT((O161-$L161)/P161)+MinPoints))</f>
        <v>100</v>
      </c>
      <c r="N161" s="440">
        <f t="shared" si="7"/>
        <v>7</v>
      </c>
      <c r="O161" s="440">
        <f t="shared" si="8"/>
        <v>16</v>
      </c>
      <c r="P161" s="440">
        <f t="shared" si="9"/>
        <v>0.1</v>
      </c>
      <c r="Q161">
        <f t="array" ref="Q161">IF(I161&gt;0,INDEX(DB,I161,9),EventIndex)</f>
        <v>6</v>
      </c>
      <c r="S161" s="442">
        <f t="array" ref="S161">INDEX(MINVALUES,$Q161,$K$1)</f>
        <v>16</v>
      </c>
      <c r="T161">
        <f t="array" ref="T161">INDEX(INCVALUES,$Q161,$K$1)</f>
        <v>0.1</v>
      </c>
      <c r="V161">
        <f t="array" ref="V161">+J161+(4*(INDEX(MatchScoreTable,$Q161,20)-1))</f>
        <v>4</v>
      </c>
      <c r="W161">
        <f t="array" ref="W161">INDEX(INC_MINVALUES,$V161,$K$1)</f>
        <v>34</v>
      </c>
      <c r="X161" s="212">
        <f t="array" ref="X161">INDEX(INC_INCVALUES,$V161,$K$1)</f>
        <v>0.3</v>
      </c>
    </row>
    <row r="162" ht="15.75" customHeight="1">
      <c r="A162" s="435"/>
      <c r="B162" s="436"/>
      <c r="C162" s="95" t="str">
        <f t="array" ref="C162">IF(I162&gt;0,INDEX(DB,I162,8),"")</f>
        <v/>
      </c>
      <c r="D162" s="437">
        <f t="shared" si="1"/>
        <v>0</v>
      </c>
      <c r="F162" s="438">
        <f t="shared" si="2"/>
        <v>0</v>
      </c>
      <c r="G162" t="str">
        <f t="shared" si="3"/>
        <v/>
      </c>
      <c r="H162" t="b">
        <f t="shared" si="4"/>
        <v>0</v>
      </c>
      <c r="I162" s="439">
        <f>IF(OR(ISBLANK(A162),ISNA(MATCH(A162&amp;"",AthleteNumbers,0))),0,MATCH(A162&amp;"",AthleteNumbers,0))</f>
        <v>0</v>
      </c>
      <c r="J162" s="209">
        <f t="array" ref="J162">IF(I162&gt;0,INDEX(DB,$I162,6),0)</f>
        <v>0</v>
      </c>
      <c r="K162" s="440">
        <f t="shared" si="5"/>
        <v>0</v>
      </c>
      <c r="L162" s="440">
        <f t="shared" si="6"/>
        <v>0</v>
      </c>
      <c r="M162" s="441">
        <f>IF(AND(L162&gt;O162,O162&gt;0),MinPoints,IF(L162&lt;N162,100,+INT((O162-$L162)/P162)+MinPoints))</f>
        <v>100</v>
      </c>
      <c r="N162" s="440">
        <f t="shared" si="7"/>
        <v>7</v>
      </c>
      <c r="O162" s="440">
        <f t="shared" si="8"/>
        <v>16</v>
      </c>
      <c r="P162" s="440">
        <f t="shared" si="9"/>
        <v>0.1</v>
      </c>
      <c r="Q162">
        <f t="array" ref="Q162">IF(I162&gt;0,INDEX(DB,I162,9),EventIndex)</f>
        <v>6</v>
      </c>
      <c r="S162" s="442">
        <f t="array" ref="S162">INDEX(MINVALUES,$Q162,$K$1)</f>
        <v>16</v>
      </c>
      <c r="T162">
        <f t="array" ref="T162">INDEX(INCVALUES,$Q162,$K$1)</f>
        <v>0.1</v>
      </c>
      <c r="V162">
        <f t="array" ref="V162">+J162+(4*(INDEX(MatchScoreTable,$Q162,20)-1))</f>
        <v>4</v>
      </c>
      <c r="W162">
        <f t="array" ref="W162">INDEX(INC_MINVALUES,$V162,$K$1)</f>
        <v>34</v>
      </c>
      <c r="X162" s="212">
        <f t="array" ref="X162">INDEX(INC_INCVALUES,$V162,$K$1)</f>
        <v>0.3</v>
      </c>
    </row>
    <row r="163" ht="15.75" customHeight="1">
      <c r="A163" s="435"/>
      <c r="B163" s="436"/>
      <c r="C163" s="95" t="str">
        <f t="array" ref="C163">IF(I163&gt;0,INDEX(DB,I163,8),"")</f>
        <v/>
      </c>
      <c r="D163" s="437">
        <f t="shared" si="1"/>
        <v>0</v>
      </c>
      <c r="F163" s="438">
        <f t="shared" si="2"/>
        <v>0</v>
      </c>
      <c r="G163" t="str">
        <f t="shared" si="3"/>
        <v/>
      </c>
      <c r="H163" t="b">
        <f t="shared" si="4"/>
        <v>0</v>
      </c>
      <c r="I163" s="439">
        <f>IF(OR(ISBLANK(A163),ISNA(MATCH(A163&amp;"",AthleteNumbers,0))),0,MATCH(A163&amp;"",AthleteNumbers,0))</f>
        <v>0</v>
      </c>
      <c r="J163" s="209">
        <f t="array" ref="J163">IF(I163&gt;0,INDEX(DB,$I163,6),0)</f>
        <v>0</v>
      </c>
      <c r="K163" s="440">
        <f t="shared" si="5"/>
        <v>0</v>
      </c>
      <c r="L163" s="440">
        <f t="shared" si="6"/>
        <v>0</v>
      </c>
      <c r="M163" s="441">
        <f>IF(AND(L163&gt;O163,O163&gt;0),MinPoints,IF(L163&lt;N163,100,+INT((O163-$L163)/P163)+MinPoints))</f>
        <v>100</v>
      </c>
      <c r="N163" s="440">
        <f t="shared" si="7"/>
        <v>7</v>
      </c>
      <c r="O163" s="440">
        <f t="shared" si="8"/>
        <v>16</v>
      </c>
      <c r="P163" s="440">
        <f t="shared" si="9"/>
        <v>0.1</v>
      </c>
      <c r="Q163">
        <f t="array" ref="Q163">IF(I163&gt;0,INDEX(DB,I163,9),EventIndex)</f>
        <v>6</v>
      </c>
      <c r="S163" s="442">
        <f t="array" ref="S163">INDEX(MINVALUES,$Q163,$K$1)</f>
        <v>16</v>
      </c>
      <c r="T163">
        <f t="array" ref="T163">INDEX(INCVALUES,$Q163,$K$1)</f>
        <v>0.1</v>
      </c>
      <c r="V163">
        <f t="array" ref="V163">+J163+(4*(INDEX(MatchScoreTable,$Q163,20)-1))</f>
        <v>4</v>
      </c>
      <c r="W163">
        <f t="array" ref="W163">INDEX(INC_MINVALUES,$V163,$K$1)</f>
        <v>34</v>
      </c>
      <c r="X163" s="212">
        <f t="array" ref="X163">INDEX(INC_INCVALUES,$V163,$K$1)</f>
        <v>0.3</v>
      </c>
    </row>
    <row r="164" ht="15.75" customHeight="1">
      <c r="A164" s="435"/>
      <c r="B164" s="436"/>
      <c r="C164" s="95" t="str">
        <f t="array" ref="C164">IF(I164&gt;0,INDEX(DB,I164,8),"")</f>
        <v/>
      </c>
      <c r="D164" s="437">
        <f t="shared" si="1"/>
        <v>0</v>
      </c>
      <c r="F164" s="438">
        <f t="shared" si="2"/>
        <v>0</v>
      </c>
      <c r="G164" t="str">
        <f t="shared" si="3"/>
        <v/>
      </c>
      <c r="H164" t="b">
        <f t="shared" si="4"/>
        <v>0</v>
      </c>
      <c r="I164" s="439">
        <f>IF(OR(ISBLANK(A164),ISNA(MATCH(A164&amp;"",AthleteNumbers,0))),0,MATCH(A164&amp;"",AthleteNumbers,0))</f>
        <v>0</v>
      </c>
      <c r="J164" s="209">
        <f t="array" ref="J164">IF(I164&gt;0,INDEX(DB,$I164,6),0)</f>
        <v>0</v>
      </c>
      <c r="K164" s="440">
        <f t="shared" si="5"/>
        <v>0</v>
      </c>
      <c r="L164" s="440">
        <f t="shared" si="6"/>
        <v>0</v>
      </c>
      <c r="M164" s="441">
        <f>IF(AND(L164&gt;O164,O164&gt;0),MinPoints,IF(L164&lt;N164,100,+INT((O164-$L164)/P164)+MinPoints))</f>
        <v>100</v>
      </c>
      <c r="N164" s="440">
        <f t="shared" si="7"/>
        <v>7</v>
      </c>
      <c r="O164" s="440">
        <f t="shared" si="8"/>
        <v>16</v>
      </c>
      <c r="P164" s="440">
        <f t="shared" si="9"/>
        <v>0.1</v>
      </c>
      <c r="Q164">
        <f t="array" ref="Q164">IF(I164&gt;0,INDEX(DB,I164,9),EventIndex)</f>
        <v>6</v>
      </c>
      <c r="S164" s="442">
        <f t="array" ref="S164">INDEX(MINVALUES,$Q164,$K$1)</f>
        <v>16</v>
      </c>
      <c r="T164">
        <f t="array" ref="T164">INDEX(INCVALUES,$Q164,$K$1)</f>
        <v>0.1</v>
      </c>
      <c r="V164">
        <f t="array" ref="V164">+J164+(4*(INDEX(MatchScoreTable,$Q164,20)-1))</f>
        <v>4</v>
      </c>
      <c r="W164">
        <f t="array" ref="W164">INDEX(INC_MINVALUES,$V164,$K$1)</f>
        <v>34</v>
      </c>
      <c r="X164" s="212">
        <f t="array" ref="X164">INDEX(INC_INCVALUES,$V164,$K$1)</f>
        <v>0.3</v>
      </c>
    </row>
    <row r="165" ht="15.75" customHeight="1">
      <c r="A165" s="435"/>
      <c r="B165" s="436"/>
      <c r="C165" s="95" t="str">
        <f t="array" ref="C165">IF(I165&gt;0,INDEX(DB,I165,8),"")</f>
        <v/>
      </c>
      <c r="D165" s="437">
        <f t="shared" si="1"/>
        <v>0</v>
      </c>
      <c r="F165" s="438">
        <f t="shared" si="2"/>
        <v>0</v>
      </c>
      <c r="G165" t="str">
        <f t="shared" si="3"/>
        <v/>
      </c>
      <c r="H165" t="b">
        <f t="shared" si="4"/>
        <v>0</v>
      </c>
      <c r="I165" s="439">
        <f>IF(OR(ISBLANK(A165),ISNA(MATCH(A165&amp;"",AthleteNumbers,0))),0,MATCH(A165&amp;"",AthleteNumbers,0))</f>
        <v>0</v>
      </c>
      <c r="J165" s="209">
        <f t="array" ref="J165">IF(I165&gt;0,INDEX(DB,$I165,6),0)</f>
        <v>0</v>
      </c>
      <c r="K165" s="440">
        <f t="shared" si="5"/>
        <v>0</v>
      </c>
      <c r="L165" s="440">
        <f t="shared" si="6"/>
        <v>0</v>
      </c>
      <c r="M165" s="441">
        <f>IF(AND(L165&gt;O165,O165&gt;0),MinPoints,IF(L165&lt;N165,100,+INT((O165-$L165)/P165)+MinPoints))</f>
        <v>100</v>
      </c>
      <c r="N165" s="440">
        <f t="shared" si="7"/>
        <v>7</v>
      </c>
      <c r="O165" s="440">
        <f t="shared" si="8"/>
        <v>16</v>
      </c>
      <c r="P165" s="440">
        <f t="shared" si="9"/>
        <v>0.1</v>
      </c>
      <c r="Q165">
        <f t="array" ref="Q165">IF(I165&gt;0,INDEX(DB,I165,9),EventIndex)</f>
        <v>6</v>
      </c>
      <c r="S165" s="442">
        <f t="array" ref="S165">INDEX(MINVALUES,$Q165,$K$1)</f>
        <v>16</v>
      </c>
      <c r="T165">
        <f t="array" ref="T165">INDEX(INCVALUES,$Q165,$K$1)</f>
        <v>0.1</v>
      </c>
      <c r="V165">
        <f t="array" ref="V165">+J165+(4*(INDEX(MatchScoreTable,$Q165,20)-1))</f>
        <v>4</v>
      </c>
      <c r="W165">
        <f t="array" ref="W165">INDEX(INC_MINVALUES,$V165,$K$1)</f>
        <v>34</v>
      </c>
      <c r="X165" s="212">
        <f t="array" ref="X165">INDEX(INC_INCVALUES,$V165,$K$1)</f>
        <v>0.3</v>
      </c>
    </row>
    <row r="166" ht="15.75" customHeight="1">
      <c r="A166" s="435"/>
      <c r="B166" s="436"/>
      <c r="C166" s="95" t="str">
        <f t="array" ref="C166">IF(I166&gt;0,INDEX(DB,I166,8),"")</f>
        <v/>
      </c>
      <c r="D166" s="437">
        <f t="shared" si="1"/>
        <v>0</v>
      </c>
      <c r="F166" s="438">
        <f t="shared" si="2"/>
        <v>0</v>
      </c>
      <c r="G166" t="str">
        <f t="shared" si="3"/>
        <v/>
      </c>
      <c r="H166" t="b">
        <f t="shared" si="4"/>
        <v>0</v>
      </c>
      <c r="I166" s="439">
        <f>IF(OR(ISBLANK(A166),ISNA(MATCH(A166&amp;"",AthleteNumbers,0))),0,MATCH(A166&amp;"",AthleteNumbers,0))</f>
        <v>0</v>
      </c>
      <c r="J166" s="209">
        <f t="array" ref="J166">IF(I166&gt;0,INDEX(DB,$I166,6),0)</f>
        <v>0</v>
      </c>
      <c r="K166" s="440">
        <f t="shared" si="5"/>
        <v>0</v>
      </c>
      <c r="L166" s="440">
        <f t="shared" si="6"/>
        <v>0</v>
      </c>
      <c r="M166" s="441">
        <f>IF(AND(L166&gt;O166,O166&gt;0),MinPoints,IF(L166&lt;N166,100,+INT((O166-$L166)/P166)+MinPoints))</f>
        <v>100</v>
      </c>
      <c r="N166" s="440">
        <f t="shared" si="7"/>
        <v>7</v>
      </c>
      <c r="O166" s="440">
        <f t="shared" si="8"/>
        <v>16</v>
      </c>
      <c r="P166" s="440">
        <f t="shared" si="9"/>
        <v>0.1</v>
      </c>
      <c r="Q166">
        <f t="array" ref="Q166">IF(I166&gt;0,INDEX(DB,I166,9),EventIndex)</f>
        <v>6</v>
      </c>
      <c r="S166" s="442">
        <f t="array" ref="S166">INDEX(MINVALUES,$Q166,$K$1)</f>
        <v>16</v>
      </c>
      <c r="T166">
        <f t="array" ref="T166">INDEX(INCVALUES,$Q166,$K$1)</f>
        <v>0.1</v>
      </c>
      <c r="V166">
        <f t="array" ref="V166">+J166+(4*(INDEX(MatchScoreTable,$Q166,20)-1))</f>
        <v>4</v>
      </c>
      <c r="W166">
        <f t="array" ref="W166">INDEX(INC_MINVALUES,$V166,$K$1)</f>
        <v>34</v>
      </c>
      <c r="X166" s="212">
        <f t="array" ref="X166">INDEX(INC_INCVALUES,$V166,$K$1)</f>
        <v>0.3</v>
      </c>
    </row>
    <row r="167" ht="15.75" customHeight="1">
      <c r="A167" s="435"/>
      <c r="B167" s="436"/>
      <c r="C167" s="95" t="str">
        <f t="array" ref="C167">IF(I167&gt;0,INDEX(DB,I167,8),"")</f>
        <v/>
      </c>
      <c r="D167" s="437">
        <f t="shared" si="1"/>
        <v>0</v>
      </c>
      <c r="F167" s="438">
        <f t="shared" si="2"/>
        <v>0</v>
      </c>
      <c r="G167" t="str">
        <f t="shared" si="3"/>
        <v/>
      </c>
      <c r="H167" t="b">
        <f t="shared" si="4"/>
        <v>0</v>
      </c>
      <c r="I167" s="439">
        <f>IF(OR(ISBLANK(A167),ISNA(MATCH(A167&amp;"",AthleteNumbers,0))),0,MATCH(A167&amp;"",AthleteNumbers,0))</f>
        <v>0</v>
      </c>
      <c r="J167" s="209">
        <f t="array" ref="J167">IF(I167&gt;0,INDEX(DB,$I167,6),0)</f>
        <v>0</v>
      </c>
      <c r="K167" s="440">
        <f t="shared" si="5"/>
        <v>0</v>
      </c>
      <c r="L167" s="440">
        <f t="shared" si="6"/>
        <v>0</v>
      </c>
      <c r="M167" s="441">
        <f>IF(AND(L167&gt;O167,O167&gt;0),MinPoints,IF(L167&lt;N167,100,+INT((O167-$L167)/P167)+MinPoints))</f>
        <v>100</v>
      </c>
      <c r="N167" s="440">
        <f t="shared" si="7"/>
        <v>7</v>
      </c>
      <c r="O167" s="440">
        <f t="shared" si="8"/>
        <v>16</v>
      </c>
      <c r="P167" s="440">
        <f t="shared" si="9"/>
        <v>0.1</v>
      </c>
      <c r="Q167">
        <f t="array" ref="Q167">IF(I167&gt;0,INDEX(DB,I167,9),EventIndex)</f>
        <v>6</v>
      </c>
      <c r="S167" s="442">
        <f t="array" ref="S167">INDEX(MINVALUES,$Q167,$K$1)</f>
        <v>16</v>
      </c>
      <c r="T167">
        <f t="array" ref="T167">INDEX(INCVALUES,$Q167,$K$1)</f>
        <v>0.1</v>
      </c>
      <c r="V167">
        <f t="array" ref="V167">+J167+(4*(INDEX(MatchScoreTable,$Q167,20)-1))</f>
        <v>4</v>
      </c>
      <c r="W167">
        <f t="array" ref="W167">INDEX(INC_MINVALUES,$V167,$K$1)</f>
        <v>34</v>
      </c>
      <c r="X167" s="212">
        <f t="array" ref="X167">INDEX(INC_INCVALUES,$V167,$K$1)</f>
        <v>0.3</v>
      </c>
    </row>
    <row r="168" ht="15.75" customHeight="1">
      <c r="A168" s="435"/>
      <c r="B168" s="436"/>
      <c r="C168" s="95" t="str">
        <f t="array" ref="C168">IF(I168&gt;0,INDEX(DB,I168,8),"")</f>
        <v/>
      </c>
      <c r="D168" s="437">
        <f t="shared" si="1"/>
        <v>0</v>
      </c>
      <c r="F168" s="438">
        <f t="shared" si="2"/>
        <v>0</v>
      </c>
      <c r="G168" t="str">
        <f t="shared" si="3"/>
        <v/>
      </c>
      <c r="H168" t="b">
        <f t="shared" si="4"/>
        <v>0</v>
      </c>
      <c r="I168" s="439">
        <f>IF(OR(ISBLANK(A168),ISNA(MATCH(A168&amp;"",AthleteNumbers,0))),0,MATCH(A168&amp;"",AthleteNumbers,0))</f>
        <v>0</v>
      </c>
      <c r="J168" s="209">
        <f t="array" ref="J168">IF(I168&gt;0,INDEX(DB,$I168,6),0)</f>
        <v>0</v>
      </c>
      <c r="K168" s="440">
        <f t="shared" si="5"/>
        <v>0</v>
      </c>
      <c r="L168" s="440">
        <f t="shared" si="6"/>
        <v>0</v>
      </c>
      <c r="M168" s="441">
        <f>IF(AND(L168&gt;O168,O168&gt;0),MinPoints,IF(L168&lt;N168,100,+INT((O168-$L168)/P168)+MinPoints))</f>
        <v>100</v>
      </c>
      <c r="N168" s="440">
        <f t="shared" si="7"/>
        <v>7</v>
      </c>
      <c r="O168" s="440">
        <f t="shared" si="8"/>
        <v>16</v>
      </c>
      <c r="P168" s="440">
        <f t="shared" si="9"/>
        <v>0.1</v>
      </c>
      <c r="Q168">
        <f t="array" ref="Q168">IF(I168&gt;0,INDEX(DB,I168,9),EventIndex)</f>
        <v>6</v>
      </c>
      <c r="S168" s="442">
        <f t="array" ref="S168">INDEX(MINVALUES,$Q168,$K$1)</f>
        <v>16</v>
      </c>
      <c r="T168">
        <f t="array" ref="T168">INDEX(INCVALUES,$Q168,$K$1)</f>
        <v>0.1</v>
      </c>
      <c r="V168">
        <f t="array" ref="V168">+J168+(4*(INDEX(MatchScoreTable,$Q168,20)-1))</f>
        <v>4</v>
      </c>
      <c r="W168">
        <f t="array" ref="W168">INDEX(INC_MINVALUES,$V168,$K$1)</f>
        <v>34</v>
      </c>
      <c r="X168" s="212">
        <f t="array" ref="X168">INDEX(INC_INCVALUES,$V168,$K$1)</f>
        <v>0.3</v>
      </c>
    </row>
    <row r="169" ht="15.75" customHeight="1">
      <c r="A169" s="435"/>
      <c r="B169" s="436"/>
      <c r="C169" s="95" t="str">
        <f t="array" ref="C169">IF(I169&gt;0,INDEX(DB,I169,8),"")</f>
        <v/>
      </c>
      <c r="D169" s="437">
        <f t="shared" si="1"/>
        <v>0</v>
      </c>
      <c r="F169" s="438">
        <f t="shared" si="2"/>
        <v>0</v>
      </c>
      <c r="G169" t="str">
        <f t="shared" si="3"/>
        <v/>
      </c>
      <c r="H169" t="b">
        <f t="shared" si="4"/>
        <v>0</v>
      </c>
      <c r="I169" s="439">
        <f>IF(OR(ISBLANK(A169),ISNA(MATCH(A169&amp;"",AthleteNumbers,0))),0,MATCH(A169&amp;"",AthleteNumbers,0))</f>
        <v>0</v>
      </c>
      <c r="J169" s="209">
        <f t="array" ref="J169">IF(I169&gt;0,INDEX(DB,$I169,6),0)</f>
        <v>0</v>
      </c>
      <c r="K169" s="440">
        <f t="shared" si="5"/>
        <v>0</v>
      </c>
      <c r="L169" s="440">
        <f t="shared" si="6"/>
        <v>0</v>
      </c>
      <c r="M169" s="441">
        <f>IF(AND(L169&gt;O169,O169&gt;0),MinPoints,IF(L169&lt;N169,100,+INT((O169-$L169)/P169)+MinPoints))</f>
        <v>100</v>
      </c>
      <c r="N169" s="440">
        <f t="shared" si="7"/>
        <v>7</v>
      </c>
      <c r="O169" s="440">
        <f t="shared" si="8"/>
        <v>16</v>
      </c>
      <c r="P169" s="440">
        <f t="shared" si="9"/>
        <v>0.1</v>
      </c>
      <c r="Q169">
        <f t="array" ref="Q169">IF(I169&gt;0,INDEX(DB,I169,9),EventIndex)</f>
        <v>6</v>
      </c>
      <c r="S169" s="442">
        <f t="array" ref="S169">INDEX(MINVALUES,$Q169,$K$1)</f>
        <v>16</v>
      </c>
      <c r="T169">
        <f t="array" ref="T169">INDEX(INCVALUES,$Q169,$K$1)</f>
        <v>0.1</v>
      </c>
      <c r="V169">
        <f t="array" ref="V169">+J169+(4*(INDEX(MatchScoreTable,$Q169,20)-1))</f>
        <v>4</v>
      </c>
      <c r="W169">
        <f t="array" ref="W169">INDEX(INC_MINVALUES,$V169,$K$1)</f>
        <v>34</v>
      </c>
      <c r="X169" s="212">
        <f t="array" ref="X169">INDEX(INC_INCVALUES,$V169,$K$1)</f>
        <v>0.3</v>
      </c>
    </row>
    <row r="170" ht="15.75" customHeight="1">
      <c r="A170" s="435"/>
      <c r="B170" s="436"/>
      <c r="C170" s="95" t="str">
        <f t="array" ref="C170">IF(I170&gt;0,INDEX(DB,I170,8),"")</f>
        <v/>
      </c>
      <c r="D170" s="437">
        <f t="shared" si="1"/>
        <v>0</v>
      </c>
      <c r="F170" s="438">
        <f t="shared" si="2"/>
        <v>0</v>
      </c>
      <c r="G170" t="str">
        <f t="shared" si="3"/>
        <v/>
      </c>
      <c r="H170" t="b">
        <f t="shared" si="4"/>
        <v>0</v>
      </c>
      <c r="I170" s="439">
        <f>IF(OR(ISBLANK(A170),ISNA(MATCH(A170&amp;"",AthleteNumbers,0))),0,MATCH(A170&amp;"",AthleteNumbers,0))</f>
        <v>0</v>
      </c>
      <c r="J170" s="209">
        <f t="array" ref="J170">IF(I170&gt;0,INDEX(DB,$I170,6),0)</f>
        <v>0</v>
      </c>
      <c r="K170" s="440">
        <f t="shared" si="5"/>
        <v>0</v>
      </c>
      <c r="L170" s="440">
        <f t="shared" si="6"/>
        <v>0</v>
      </c>
      <c r="M170" s="441">
        <f>IF(AND(L170&gt;O170,O170&gt;0),MinPoints,IF(L170&lt;N170,100,+INT((O170-$L170)/P170)+MinPoints))</f>
        <v>100</v>
      </c>
      <c r="N170" s="440">
        <f t="shared" si="7"/>
        <v>7</v>
      </c>
      <c r="O170" s="440">
        <f t="shared" si="8"/>
        <v>16</v>
      </c>
      <c r="P170" s="440">
        <f t="shared" si="9"/>
        <v>0.1</v>
      </c>
      <c r="Q170">
        <f t="array" ref="Q170">IF(I170&gt;0,INDEX(DB,I170,9),EventIndex)</f>
        <v>6</v>
      </c>
      <c r="S170" s="442">
        <f t="array" ref="S170">INDEX(MINVALUES,$Q170,$K$1)</f>
        <v>16</v>
      </c>
      <c r="T170">
        <f t="array" ref="T170">INDEX(INCVALUES,$Q170,$K$1)</f>
        <v>0.1</v>
      </c>
      <c r="V170">
        <f t="array" ref="V170">+J170+(4*(INDEX(MatchScoreTable,$Q170,20)-1))</f>
        <v>4</v>
      </c>
      <c r="W170">
        <f t="array" ref="W170">INDEX(INC_MINVALUES,$V170,$K$1)</f>
        <v>34</v>
      </c>
      <c r="X170" s="212">
        <f t="array" ref="X170">INDEX(INC_INCVALUES,$V170,$K$1)</f>
        <v>0.3</v>
      </c>
    </row>
    <row r="171" ht="15.75" customHeight="1">
      <c r="A171" s="435"/>
      <c r="B171" s="436"/>
      <c r="C171" s="95" t="str">
        <f t="array" ref="C171">IF(I171&gt;0,INDEX(DB,I171,8),"")</f>
        <v/>
      </c>
      <c r="D171" s="437">
        <f t="shared" si="1"/>
        <v>0</v>
      </c>
      <c r="F171" s="438">
        <f t="shared" si="2"/>
        <v>0</v>
      </c>
      <c r="G171" t="str">
        <f t="shared" si="3"/>
        <v/>
      </c>
      <c r="H171" t="b">
        <f t="shared" si="4"/>
        <v>0</v>
      </c>
      <c r="I171" s="439">
        <f>IF(OR(ISBLANK(A171),ISNA(MATCH(A171&amp;"",AthleteNumbers,0))),0,MATCH(A171&amp;"",AthleteNumbers,0))</f>
        <v>0</v>
      </c>
      <c r="J171" s="209">
        <f t="array" ref="J171">IF(I171&gt;0,INDEX(DB,$I171,6),0)</f>
        <v>0</v>
      </c>
      <c r="K171" s="440">
        <f t="shared" si="5"/>
        <v>0</v>
      </c>
      <c r="L171" s="440">
        <f t="shared" si="6"/>
        <v>0</v>
      </c>
      <c r="M171" s="441">
        <f>IF(AND(L171&gt;O171,O171&gt;0),MinPoints,IF(L171&lt;N171,100,+INT((O171-$L171)/P171)+MinPoints))</f>
        <v>100</v>
      </c>
      <c r="N171" s="440">
        <f t="shared" si="7"/>
        <v>7</v>
      </c>
      <c r="O171" s="440">
        <f t="shared" si="8"/>
        <v>16</v>
      </c>
      <c r="P171" s="440">
        <f t="shared" si="9"/>
        <v>0.1</v>
      </c>
      <c r="Q171">
        <f t="array" ref="Q171">IF(I171&gt;0,INDEX(DB,I171,9),EventIndex)</f>
        <v>6</v>
      </c>
      <c r="S171" s="442">
        <f t="array" ref="S171">INDEX(MINVALUES,$Q171,$K$1)</f>
        <v>16</v>
      </c>
      <c r="T171">
        <f t="array" ref="T171">INDEX(INCVALUES,$Q171,$K$1)</f>
        <v>0.1</v>
      </c>
      <c r="V171">
        <f t="array" ref="V171">+J171+(4*(INDEX(MatchScoreTable,$Q171,20)-1))</f>
        <v>4</v>
      </c>
      <c r="W171">
        <f t="array" ref="W171">INDEX(INC_MINVALUES,$V171,$K$1)</f>
        <v>34</v>
      </c>
      <c r="X171" s="212">
        <f t="array" ref="X171">INDEX(INC_INCVALUES,$V171,$K$1)</f>
        <v>0.3</v>
      </c>
    </row>
    <row r="172" ht="15.75" customHeight="1">
      <c r="A172" s="435"/>
      <c r="B172" s="436"/>
      <c r="C172" s="95" t="str">
        <f t="array" ref="C172">IF(I172&gt;0,INDEX(DB,I172,8),"")</f>
        <v/>
      </c>
      <c r="D172" s="437">
        <f t="shared" si="1"/>
        <v>0</v>
      </c>
      <c r="F172" s="438">
        <f t="shared" si="2"/>
        <v>0</v>
      </c>
      <c r="G172" t="str">
        <f t="shared" si="3"/>
        <v/>
      </c>
      <c r="H172" t="b">
        <f t="shared" si="4"/>
        <v>0</v>
      </c>
      <c r="I172" s="439">
        <f>IF(OR(ISBLANK(A172),ISNA(MATCH(A172&amp;"",AthleteNumbers,0))),0,MATCH(A172&amp;"",AthleteNumbers,0))</f>
        <v>0</v>
      </c>
      <c r="J172" s="209">
        <f t="array" ref="J172">IF(I172&gt;0,INDEX(DB,$I172,6),0)</f>
        <v>0</v>
      </c>
      <c r="K172" s="440">
        <f t="shared" si="5"/>
        <v>0</v>
      </c>
      <c r="L172" s="440">
        <f t="shared" si="6"/>
        <v>0</v>
      </c>
      <c r="M172" s="441">
        <f>IF(AND(L172&gt;O172,O172&gt;0),MinPoints,IF(L172&lt;N172,100,+INT((O172-$L172)/P172)+MinPoints))</f>
        <v>100</v>
      </c>
      <c r="N172" s="440">
        <f t="shared" si="7"/>
        <v>7</v>
      </c>
      <c r="O172" s="440">
        <f t="shared" si="8"/>
        <v>16</v>
      </c>
      <c r="P172" s="440">
        <f t="shared" si="9"/>
        <v>0.1</v>
      </c>
      <c r="Q172">
        <f t="array" ref="Q172">IF(I172&gt;0,INDEX(DB,I172,9),EventIndex)</f>
        <v>6</v>
      </c>
      <c r="S172" s="442">
        <f t="array" ref="S172">INDEX(MINVALUES,$Q172,$K$1)</f>
        <v>16</v>
      </c>
      <c r="T172">
        <f t="array" ref="T172">INDEX(INCVALUES,$Q172,$K$1)</f>
        <v>0.1</v>
      </c>
      <c r="V172">
        <f t="array" ref="V172">+J172+(4*(INDEX(MatchScoreTable,$Q172,20)-1))</f>
        <v>4</v>
      </c>
      <c r="W172">
        <f t="array" ref="W172">INDEX(INC_MINVALUES,$V172,$K$1)</f>
        <v>34</v>
      </c>
      <c r="X172" s="212">
        <f t="array" ref="X172">INDEX(INC_INCVALUES,$V172,$K$1)</f>
        <v>0.3</v>
      </c>
    </row>
    <row r="173" ht="15.75" customHeight="1">
      <c r="A173" s="435"/>
      <c r="B173" s="436"/>
      <c r="C173" s="95" t="str">
        <f t="array" ref="C173">IF(I173&gt;0,INDEX(DB,I173,8),"")</f>
        <v/>
      </c>
      <c r="D173" s="437">
        <f t="shared" si="1"/>
        <v>0</v>
      </c>
      <c r="F173" s="438">
        <f t="shared" si="2"/>
        <v>0</v>
      </c>
      <c r="G173" t="str">
        <f t="shared" si="3"/>
        <v/>
      </c>
      <c r="H173" t="b">
        <f t="shared" si="4"/>
        <v>0</v>
      </c>
      <c r="I173" s="439">
        <f>IF(OR(ISBLANK(A173),ISNA(MATCH(A173&amp;"",AthleteNumbers,0))),0,MATCH(A173&amp;"",AthleteNumbers,0))</f>
        <v>0</v>
      </c>
      <c r="J173" s="209">
        <f t="array" ref="J173">IF(I173&gt;0,INDEX(DB,$I173,6),0)</f>
        <v>0</v>
      </c>
      <c r="K173" s="440">
        <f t="shared" si="5"/>
        <v>0</v>
      </c>
      <c r="L173" s="440">
        <f t="shared" si="6"/>
        <v>0</v>
      </c>
      <c r="M173" s="441">
        <f>IF(AND(L173&gt;O173,O173&gt;0),MinPoints,IF(L173&lt;N173,100,+INT((O173-$L173)/P173)+MinPoints))</f>
        <v>100</v>
      </c>
      <c r="N173" s="440">
        <f t="shared" si="7"/>
        <v>7</v>
      </c>
      <c r="O173" s="440">
        <f t="shared" si="8"/>
        <v>16</v>
      </c>
      <c r="P173" s="440">
        <f t="shared" si="9"/>
        <v>0.1</v>
      </c>
      <c r="Q173">
        <f t="array" ref="Q173">IF(I173&gt;0,INDEX(DB,I173,9),EventIndex)</f>
        <v>6</v>
      </c>
      <c r="S173" s="442">
        <f t="array" ref="S173">INDEX(MINVALUES,$Q173,$K$1)</f>
        <v>16</v>
      </c>
      <c r="T173">
        <f t="array" ref="T173">INDEX(INCVALUES,$Q173,$K$1)</f>
        <v>0.1</v>
      </c>
      <c r="V173">
        <f t="array" ref="V173">+J173+(4*(INDEX(MatchScoreTable,$Q173,20)-1))</f>
        <v>4</v>
      </c>
      <c r="W173">
        <f t="array" ref="W173">INDEX(INC_MINVALUES,$V173,$K$1)</f>
        <v>34</v>
      </c>
      <c r="X173" s="212">
        <f t="array" ref="X173">INDEX(INC_INCVALUES,$V173,$K$1)</f>
        <v>0.3</v>
      </c>
    </row>
    <row r="174" ht="15.75" customHeight="1">
      <c r="A174" s="435"/>
      <c r="B174" s="436"/>
      <c r="C174" s="95" t="str">
        <f t="array" ref="C174">IF(I174&gt;0,INDEX(DB,I174,8),"")</f>
        <v/>
      </c>
      <c r="D174" s="437">
        <f t="shared" si="1"/>
        <v>0</v>
      </c>
      <c r="F174" s="438">
        <f t="shared" si="2"/>
        <v>0</v>
      </c>
      <c r="G174" t="str">
        <f t="shared" si="3"/>
        <v/>
      </c>
      <c r="H174" t="b">
        <f t="shared" si="4"/>
        <v>0</v>
      </c>
      <c r="I174" s="439">
        <f>IF(OR(ISBLANK(A174),ISNA(MATCH(A174&amp;"",AthleteNumbers,0))),0,MATCH(A174&amp;"",AthleteNumbers,0))</f>
        <v>0</v>
      </c>
      <c r="J174" s="209">
        <f t="array" ref="J174">IF(I174&gt;0,INDEX(DB,$I174,6),0)</f>
        <v>0</v>
      </c>
      <c r="K174" s="440">
        <f t="shared" si="5"/>
        <v>0</v>
      </c>
      <c r="L174" s="440">
        <f t="shared" si="6"/>
        <v>0</v>
      </c>
      <c r="M174" s="441">
        <f>IF(AND(L174&gt;O174,O174&gt;0),MinPoints,IF(L174&lt;N174,100,+INT((O174-$L174)/P174)+MinPoints))</f>
        <v>100</v>
      </c>
      <c r="N174" s="440">
        <f t="shared" si="7"/>
        <v>7</v>
      </c>
      <c r="O174" s="440">
        <f t="shared" si="8"/>
        <v>16</v>
      </c>
      <c r="P174" s="440">
        <f t="shared" si="9"/>
        <v>0.1</v>
      </c>
      <c r="Q174">
        <f t="array" ref="Q174">IF(I174&gt;0,INDEX(DB,I174,9),EventIndex)</f>
        <v>6</v>
      </c>
      <c r="S174" s="442">
        <f t="array" ref="S174">INDEX(MINVALUES,$Q174,$K$1)</f>
        <v>16</v>
      </c>
      <c r="T174">
        <f t="array" ref="T174">INDEX(INCVALUES,$Q174,$K$1)</f>
        <v>0.1</v>
      </c>
      <c r="V174">
        <f t="array" ref="V174">+J174+(4*(INDEX(MatchScoreTable,$Q174,20)-1))</f>
        <v>4</v>
      </c>
      <c r="W174">
        <f t="array" ref="W174">INDEX(INC_MINVALUES,$V174,$K$1)</f>
        <v>34</v>
      </c>
      <c r="X174" s="212">
        <f t="array" ref="X174">INDEX(INC_INCVALUES,$V174,$K$1)</f>
        <v>0.3</v>
      </c>
    </row>
    <row r="175" ht="15.75" customHeight="1">
      <c r="A175" s="435"/>
      <c r="B175" s="436"/>
      <c r="C175" s="95" t="str">
        <f t="array" ref="C175">IF(I175&gt;0,INDEX(DB,I175,8),"")</f>
        <v/>
      </c>
      <c r="D175" s="437">
        <f t="shared" si="1"/>
        <v>0</v>
      </c>
      <c r="F175" s="438">
        <f t="shared" si="2"/>
        <v>0</v>
      </c>
      <c r="G175" t="str">
        <f t="shared" si="3"/>
        <v/>
      </c>
      <c r="H175" t="b">
        <f t="shared" si="4"/>
        <v>0</v>
      </c>
      <c r="I175" s="439">
        <f>IF(OR(ISBLANK(A175),ISNA(MATCH(A175&amp;"",AthleteNumbers,0))),0,MATCH(A175&amp;"",AthleteNumbers,0))</f>
        <v>0</v>
      </c>
      <c r="J175" s="209">
        <f t="array" ref="J175">IF(I175&gt;0,INDEX(DB,$I175,6),0)</f>
        <v>0</v>
      </c>
      <c r="K175" s="440">
        <f t="shared" si="5"/>
        <v>0</v>
      </c>
      <c r="L175" s="440">
        <f t="shared" si="6"/>
        <v>0</v>
      </c>
      <c r="M175" s="441">
        <f>IF(AND(L175&gt;O175,O175&gt;0),MinPoints,IF(L175&lt;N175,100,+INT((O175-$L175)/P175)+MinPoints))</f>
        <v>100</v>
      </c>
      <c r="N175" s="440">
        <f t="shared" si="7"/>
        <v>7</v>
      </c>
      <c r="O175" s="440">
        <f t="shared" si="8"/>
        <v>16</v>
      </c>
      <c r="P175" s="440">
        <f t="shared" si="9"/>
        <v>0.1</v>
      </c>
      <c r="Q175">
        <f t="array" ref="Q175">IF(I175&gt;0,INDEX(DB,I175,9),EventIndex)</f>
        <v>6</v>
      </c>
      <c r="S175" s="442">
        <f t="array" ref="S175">INDEX(MINVALUES,$Q175,$K$1)</f>
        <v>16</v>
      </c>
      <c r="T175">
        <f t="array" ref="T175">INDEX(INCVALUES,$Q175,$K$1)</f>
        <v>0.1</v>
      </c>
      <c r="V175">
        <f t="array" ref="V175">+J175+(4*(INDEX(MatchScoreTable,$Q175,20)-1))</f>
        <v>4</v>
      </c>
      <c r="W175">
        <f t="array" ref="W175">INDEX(INC_MINVALUES,$V175,$K$1)</f>
        <v>34</v>
      </c>
      <c r="X175" s="212">
        <f t="array" ref="X175">INDEX(INC_INCVALUES,$V175,$K$1)</f>
        <v>0.3</v>
      </c>
    </row>
    <row r="176" ht="15.75" customHeight="1">
      <c r="A176" s="435"/>
      <c r="B176" s="436"/>
      <c r="C176" s="95" t="str">
        <f t="array" ref="C176">IF(I176&gt;0,INDEX(DB,I176,8),"")</f>
        <v/>
      </c>
      <c r="D176" s="437">
        <f t="shared" si="1"/>
        <v>0</v>
      </c>
      <c r="F176" s="438">
        <f t="shared" si="2"/>
        <v>0</v>
      </c>
      <c r="G176" t="str">
        <f t="shared" si="3"/>
        <v/>
      </c>
      <c r="H176" t="b">
        <f t="shared" si="4"/>
        <v>0</v>
      </c>
      <c r="I176" s="439">
        <f>IF(OR(ISBLANK(A176),ISNA(MATCH(A176&amp;"",AthleteNumbers,0))),0,MATCH(A176&amp;"",AthleteNumbers,0))</f>
        <v>0</v>
      </c>
      <c r="J176" s="209">
        <f t="array" ref="J176">IF(I176&gt;0,INDEX(DB,$I176,6),0)</f>
        <v>0</v>
      </c>
      <c r="K176" s="440">
        <f t="shared" si="5"/>
        <v>0</v>
      </c>
      <c r="L176" s="440">
        <f t="shared" si="6"/>
        <v>0</v>
      </c>
      <c r="M176" s="441">
        <f>IF(AND(L176&gt;O176,O176&gt;0),MinPoints,IF(L176&lt;N176,100,+INT((O176-$L176)/P176)+MinPoints))</f>
        <v>100</v>
      </c>
      <c r="N176" s="440">
        <f t="shared" si="7"/>
        <v>7</v>
      </c>
      <c r="O176" s="440">
        <f t="shared" si="8"/>
        <v>16</v>
      </c>
      <c r="P176" s="440">
        <f t="shared" si="9"/>
        <v>0.1</v>
      </c>
      <c r="Q176">
        <f t="array" ref="Q176">IF(I176&gt;0,INDEX(DB,I176,9),EventIndex)</f>
        <v>6</v>
      </c>
      <c r="S176" s="442">
        <f t="array" ref="S176">INDEX(MINVALUES,$Q176,$K$1)</f>
        <v>16</v>
      </c>
      <c r="T176">
        <f t="array" ref="T176">INDEX(INCVALUES,$Q176,$K$1)</f>
        <v>0.1</v>
      </c>
      <c r="V176">
        <f t="array" ref="V176">+J176+(4*(INDEX(MatchScoreTable,$Q176,20)-1))</f>
        <v>4</v>
      </c>
      <c r="W176">
        <f t="array" ref="W176">INDEX(INC_MINVALUES,$V176,$K$1)</f>
        <v>34</v>
      </c>
      <c r="X176" s="212">
        <f t="array" ref="X176">INDEX(INC_INCVALUES,$V176,$K$1)</f>
        <v>0.3</v>
      </c>
    </row>
    <row r="177" ht="15.75" customHeight="1">
      <c r="A177" s="435"/>
      <c r="B177" s="436"/>
      <c r="C177" s="95" t="str">
        <f t="array" ref="C177">IF(I177&gt;0,INDEX(DB,I177,8),"")</f>
        <v/>
      </c>
      <c r="D177" s="437">
        <f t="shared" si="1"/>
        <v>0</v>
      </c>
      <c r="F177" s="438">
        <f t="shared" si="2"/>
        <v>0</v>
      </c>
      <c r="G177" t="str">
        <f t="shared" si="3"/>
        <v/>
      </c>
      <c r="H177" t="b">
        <f t="shared" si="4"/>
        <v>0</v>
      </c>
      <c r="I177" s="439">
        <f>IF(OR(ISBLANK(A177),ISNA(MATCH(A177&amp;"",AthleteNumbers,0))),0,MATCH(A177&amp;"",AthleteNumbers,0))</f>
        <v>0</v>
      </c>
      <c r="J177" s="209">
        <f t="array" ref="J177">IF(I177&gt;0,INDEX(DB,$I177,6),0)</f>
        <v>0</v>
      </c>
      <c r="K177" s="440">
        <f t="shared" si="5"/>
        <v>0</v>
      </c>
      <c r="L177" s="440">
        <f t="shared" si="6"/>
        <v>0</v>
      </c>
      <c r="M177" s="441">
        <f>IF(AND(L177&gt;O177,O177&gt;0),MinPoints,IF(L177&lt;N177,100,+INT((O177-$L177)/P177)+MinPoints))</f>
        <v>100</v>
      </c>
      <c r="N177" s="440">
        <f t="shared" si="7"/>
        <v>7</v>
      </c>
      <c r="O177" s="440">
        <f t="shared" si="8"/>
        <v>16</v>
      </c>
      <c r="P177" s="440">
        <f t="shared" si="9"/>
        <v>0.1</v>
      </c>
      <c r="Q177">
        <f t="array" ref="Q177">IF(I177&gt;0,INDEX(DB,I177,9),EventIndex)</f>
        <v>6</v>
      </c>
      <c r="S177" s="442">
        <f t="array" ref="S177">INDEX(MINVALUES,$Q177,$K$1)</f>
        <v>16</v>
      </c>
      <c r="T177">
        <f t="array" ref="T177">INDEX(INCVALUES,$Q177,$K$1)</f>
        <v>0.1</v>
      </c>
      <c r="V177">
        <f t="array" ref="V177">+J177+(4*(INDEX(MatchScoreTable,$Q177,20)-1))</f>
        <v>4</v>
      </c>
      <c r="W177">
        <f t="array" ref="W177">INDEX(INC_MINVALUES,$V177,$K$1)</f>
        <v>34</v>
      </c>
      <c r="X177" s="212">
        <f t="array" ref="X177">INDEX(INC_INCVALUES,$V177,$K$1)</f>
        <v>0.3</v>
      </c>
    </row>
    <row r="178" ht="15.75" customHeight="1">
      <c r="A178" s="435"/>
      <c r="B178" s="436"/>
      <c r="C178" s="95" t="str">
        <f t="array" ref="C178">IF(I178&gt;0,INDEX(DB,I178,8),"")</f>
        <v/>
      </c>
      <c r="D178" s="437">
        <f t="shared" si="1"/>
        <v>0</v>
      </c>
      <c r="F178" s="438">
        <f t="shared" si="2"/>
        <v>0</v>
      </c>
      <c r="G178" t="str">
        <f t="shared" si="3"/>
        <v/>
      </c>
      <c r="H178" t="b">
        <f t="shared" si="4"/>
        <v>0</v>
      </c>
      <c r="I178" s="439">
        <f>IF(OR(ISBLANK(A178),ISNA(MATCH(A178&amp;"",AthleteNumbers,0))),0,MATCH(A178&amp;"",AthleteNumbers,0))</f>
        <v>0</v>
      </c>
      <c r="J178" s="209">
        <f t="array" ref="J178">IF(I178&gt;0,INDEX(DB,$I178,6),0)</f>
        <v>0</v>
      </c>
      <c r="K178" s="440">
        <f t="shared" si="5"/>
        <v>0</v>
      </c>
      <c r="L178" s="440">
        <f t="shared" si="6"/>
        <v>0</v>
      </c>
      <c r="M178" s="441">
        <f>IF(AND(L178&gt;O178,O178&gt;0),MinPoints,IF(L178&lt;N178,100,+INT((O178-$L178)/P178)+MinPoints))</f>
        <v>100</v>
      </c>
      <c r="N178" s="440">
        <f t="shared" si="7"/>
        <v>7</v>
      </c>
      <c r="O178" s="440">
        <f t="shared" si="8"/>
        <v>16</v>
      </c>
      <c r="P178" s="440">
        <f t="shared" si="9"/>
        <v>0.1</v>
      </c>
      <c r="Q178">
        <f t="array" ref="Q178">IF(I178&gt;0,INDEX(DB,I178,9),EventIndex)</f>
        <v>6</v>
      </c>
      <c r="S178" s="442">
        <f t="array" ref="S178">INDEX(MINVALUES,$Q178,$K$1)</f>
        <v>16</v>
      </c>
      <c r="T178">
        <f t="array" ref="T178">INDEX(INCVALUES,$Q178,$K$1)</f>
        <v>0.1</v>
      </c>
      <c r="V178">
        <f t="array" ref="V178">+J178+(4*(INDEX(MatchScoreTable,$Q178,20)-1))</f>
        <v>4</v>
      </c>
      <c r="W178">
        <f t="array" ref="W178">INDEX(INC_MINVALUES,$V178,$K$1)</f>
        <v>34</v>
      </c>
      <c r="X178" s="212">
        <f t="array" ref="X178">INDEX(INC_INCVALUES,$V178,$K$1)</f>
        <v>0.3</v>
      </c>
    </row>
    <row r="179" ht="15.75" customHeight="1">
      <c r="A179" s="435"/>
      <c r="B179" s="436"/>
      <c r="C179" s="95" t="str">
        <f t="array" ref="C179">IF(I179&gt;0,INDEX(DB,I179,8),"")</f>
        <v/>
      </c>
      <c r="D179" s="437">
        <f t="shared" si="1"/>
        <v>0</v>
      </c>
      <c r="F179" s="438">
        <f t="shared" si="2"/>
        <v>0</v>
      </c>
      <c r="G179" t="str">
        <f t="shared" si="3"/>
        <v/>
      </c>
      <c r="H179" t="b">
        <f t="shared" si="4"/>
        <v>0</v>
      </c>
      <c r="I179" s="439">
        <f>IF(OR(ISBLANK(A179),ISNA(MATCH(A179&amp;"",AthleteNumbers,0))),0,MATCH(A179&amp;"",AthleteNumbers,0))</f>
        <v>0</v>
      </c>
      <c r="J179" s="209">
        <f t="array" ref="J179">IF(I179&gt;0,INDEX(DB,$I179,6),0)</f>
        <v>0</v>
      </c>
      <c r="K179" s="440">
        <f t="shared" si="5"/>
        <v>0</v>
      </c>
      <c r="L179" s="440">
        <f t="shared" si="6"/>
        <v>0</v>
      </c>
      <c r="M179" s="441">
        <f>IF(AND(L179&gt;O179,O179&gt;0),MinPoints,IF(L179&lt;N179,100,+INT((O179-$L179)/P179)+MinPoints))</f>
        <v>100</v>
      </c>
      <c r="N179" s="440">
        <f t="shared" si="7"/>
        <v>7</v>
      </c>
      <c r="O179" s="440">
        <f t="shared" si="8"/>
        <v>16</v>
      </c>
      <c r="P179" s="440">
        <f t="shared" si="9"/>
        <v>0.1</v>
      </c>
      <c r="Q179">
        <f t="array" ref="Q179">IF(I179&gt;0,INDEX(DB,I179,9),EventIndex)</f>
        <v>6</v>
      </c>
      <c r="S179" s="442">
        <f t="array" ref="S179">INDEX(MINVALUES,$Q179,$K$1)</f>
        <v>16</v>
      </c>
      <c r="T179">
        <f t="array" ref="T179">INDEX(INCVALUES,$Q179,$K$1)</f>
        <v>0.1</v>
      </c>
      <c r="V179">
        <f t="array" ref="V179">+J179+(4*(INDEX(MatchScoreTable,$Q179,20)-1))</f>
        <v>4</v>
      </c>
      <c r="W179">
        <f t="array" ref="W179">INDEX(INC_MINVALUES,$V179,$K$1)</f>
        <v>34</v>
      </c>
      <c r="X179" s="212">
        <f t="array" ref="X179">INDEX(INC_INCVALUES,$V179,$K$1)</f>
        <v>0.3</v>
      </c>
    </row>
    <row r="180" ht="15.75" customHeight="1">
      <c r="A180" s="435"/>
      <c r="B180" s="436"/>
      <c r="C180" s="95" t="str">
        <f t="array" ref="C180">IF(I180&gt;0,INDEX(DB,I180,8),"")</f>
        <v/>
      </c>
      <c r="D180" s="437">
        <f t="shared" si="1"/>
        <v>0</v>
      </c>
      <c r="F180" s="438">
        <f t="shared" si="2"/>
        <v>0</v>
      </c>
      <c r="G180" t="str">
        <f t="shared" si="3"/>
        <v/>
      </c>
      <c r="H180" t="b">
        <f t="shared" si="4"/>
        <v>0</v>
      </c>
      <c r="I180" s="439">
        <f>IF(OR(ISBLANK(A180),ISNA(MATCH(A180&amp;"",AthleteNumbers,0))),0,MATCH(A180&amp;"",AthleteNumbers,0))</f>
        <v>0</v>
      </c>
      <c r="J180" s="209">
        <f t="array" ref="J180">IF(I180&gt;0,INDEX(DB,$I180,6),0)</f>
        <v>0</v>
      </c>
      <c r="K180" s="440">
        <f t="shared" si="5"/>
        <v>0</v>
      </c>
      <c r="L180" s="440">
        <f t="shared" si="6"/>
        <v>0</v>
      </c>
      <c r="M180" s="441">
        <f>IF(AND(L180&gt;O180,O180&gt;0),MinPoints,IF(L180&lt;N180,100,+INT((O180-$L180)/P180)+MinPoints))</f>
        <v>100</v>
      </c>
      <c r="N180" s="440">
        <f t="shared" si="7"/>
        <v>7</v>
      </c>
      <c r="O180" s="440">
        <f t="shared" si="8"/>
        <v>16</v>
      </c>
      <c r="P180" s="440">
        <f t="shared" si="9"/>
        <v>0.1</v>
      </c>
      <c r="Q180">
        <f t="array" ref="Q180">IF(I180&gt;0,INDEX(DB,I180,9),EventIndex)</f>
        <v>6</v>
      </c>
      <c r="S180" s="442">
        <f t="array" ref="S180">INDEX(MINVALUES,$Q180,$K$1)</f>
        <v>16</v>
      </c>
      <c r="T180">
        <f t="array" ref="T180">INDEX(INCVALUES,$Q180,$K$1)</f>
        <v>0.1</v>
      </c>
      <c r="V180">
        <f t="array" ref="V180">+J180+(4*(INDEX(MatchScoreTable,$Q180,20)-1))</f>
        <v>4</v>
      </c>
      <c r="W180">
        <f t="array" ref="W180">INDEX(INC_MINVALUES,$V180,$K$1)</f>
        <v>34</v>
      </c>
      <c r="X180" s="212">
        <f t="array" ref="X180">INDEX(INC_INCVALUES,$V180,$K$1)</f>
        <v>0.3</v>
      </c>
    </row>
    <row r="181" ht="15.75" customHeight="1">
      <c r="A181" s="435"/>
      <c r="B181" s="436"/>
      <c r="C181" s="95" t="str">
        <f t="array" ref="C181">IF(I181&gt;0,INDEX(DB,I181,8),"")</f>
        <v/>
      </c>
      <c r="D181" s="437">
        <f t="shared" si="1"/>
        <v>0</v>
      </c>
      <c r="F181" s="438">
        <f t="shared" si="2"/>
        <v>0</v>
      </c>
      <c r="G181" t="str">
        <f t="shared" si="3"/>
        <v/>
      </c>
      <c r="H181" t="b">
        <f t="shared" si="4"/>
        <v>0</v>
      </c>
      <c r="I181" s="439">
        <f>IF(OR(ISBLANK(A181),ISNA(MATCH(A181&amp;"",AthleteNumbers,0))),0,MATCH(A181&amp;"",AthleteNumbers,0))</f>
        <v>0</v>
      </c>
      <c r="J181" s="209">
        <f t="array" ref="J181">IF(I181&gt;0,INDEX(DB,$I181,6),0)</f>
        <v>0</v>
      </c>
      <c r="K181" s="440">
        <f t="shared" si="5"/>
        <v>0</v>
      </c>
      <c r="L181" s="440">
        <f t="shared" si="6"/>
        <v>0</v>
      </c>
      <c r="M181" s="441">
        <f>IF(AND(L181&gt;O181,O181&gt;0),MinPoints,IF(L181&lt;N181,100,+INT((O181-$L181)/P181)+MinPoints))</f>
        <v>100</v>
      </c>
      <c r="N181" s="440">
        <f t="shared" si="7"/>
        <v>7</v>
      </c>
      <c r="O181" s="440">
        <f t="shared" si="8"/>
        <v>16</v>
      </c>
      <c r="P181" s="440">
        <f t="shared" si="9"/>
        <v>0.1</v>
      </c>
      <c r="Q181">
        <f t="array" ref="Q181">IF(I181&gt;0,INDEX(DB,I181,9),EventIndex)</f>
        <v>6</v>
      </c>
      <c r="S181" s="442">
        <f t="array" ref="S181">INDEX(MINVALUES,$Q181,$K$1)</f>
        <v>16</v>
      </c>
      <c r="T181">
        <f t="array" ref="T181">INDEX(INCVALUES,$Q181,$K$1)</f>
        <v>0.1</v>
      </c>
      <c r="V181">
        <f t="array" ref="V181">+J181+(4*(INDEX(MatchScoreTable,$Q181,20)-1))</f>
        <v>4</v>
      </c>
      <c r="W181">
        <f t="array" ref="W181">INDEX(INC_MINVALUES,$V181,$K$1)</f>
        <v>34</v>
      </c>
      <c r="X181" s="212">
        <f t="array" ref="X181">INDEX(INC_INCVALUES,$V181,$K$1)</f>
        <v>0.3</v>
      </c>
    </row>
    <row r="182" ht="15.75" customHeight="1">
      <c r="A182" s="435"/>
      <c r="B182" s="436"/>
      <c r="C182" s="95" t="str">
        <f t="array" ref="C182">IF(I182&gt;0,INDEX(DB,I182,8),"")</f>
        <v/>
      </c>
      <c r="D182" s="437">
        <f t="shared" si="1"/>
        <v>0</v>
      </c>
      <c r="F182" s="438">
        <f t="shared" si="2"/>
        <v>0</v>
      </c>
      <c r="G182" t="str">
        <f t="shared" si="3"/>
        <v/>
      </c>
      <c r="H182" t="b">
        <f t="shared" si="4"/>
        <v>0</v>
      </c>
      <c r="I182" s="439">
        <f>IF(OR(ISBLANK(A182),ISNA(MATCH(A182&amp;"",AthleteNumbers,0))),0,MATCH(A182&amp;"",AthleteNumbers,0))</f>
        <v>0</v>
      </c>
      <c r="J182" s="209">
        <f t="array" ref="J182">IF(I182&gt;0,INDEX(DB,$I182,6),0)</f>
        <v>0</v>
      </c>
      <c r="K182" s="440">
        <f t="shared" si="5"/>
        <v>0</v>
      </c>
      <c r="L182" s="440">
        <f t="shared" si="6"/>
        <v>0</v>
      </c>
      <c r="M182" s="441">
        <f>IF(AND(L182&gt;O182,O182&gt;0),MinPoints,IF(L182&lt;N182,100,+INT((O182-$L182)/P182)+MinPoints))</f>
        <v>100</v>
      </c>
      <c r="N182" s="440">
        <f t="shared" si="7"/>
        <v>7</v>
      </c>
      <c r="O182" s="440">
        <f t="shared" si="8"/>
        <v>16</v>
      </c>
      <c r="P182" s="440">
        <f t="shared" si="9"/>
        <v>0.1</v>
      </c>
      <c r="Q182">
        <f t="array" ref="Q182">IF(I182&gt;0,INDEX(DB,I182,9),EventIndex)</f>
        <v>6</v>
      </c>
      <c r="S182" s="442">
        <f t="array" ref="S182">INDEX(MINVALUES,$Q182,$K$1)</f>
        <v>16</v>
      </c>
      <c r="T182">
        <f t="array" ref="T182">INDEX(INCVALUES,$Q182,$K$1)</f>
        <v>0.1</v>
      </c>
      <c r="V182">
        <f t="array" ref="V182">+J182+(4*(INDEX(MatchScoreTable,$Q182,20)-1))</f>
        <v>4</v>
      </c>
      <c r="W182">
        <f t="array" ref="W182">INDEX(INC_MINVALUES,$V182,$K$1)</f>
        <v>34</v>
      </c>
      <c r="X182" s="212">
        <f t="array" ref="X182">INDEX(INC_INCVALUES,$V182,$K$1)</f>
        <v>0.3</v>
      </c>
    </row>
    <row r="183" ht="15.75" customHeight="1">
      <c r="A183" s="435"/>
      <c r="B183" s="436"/>
      <c r="C183" s="95" t="str">
        <f t="array" ref="C183">IF(I183&gt;0,INDEX(DB,I183,8),"")</f>
        <v/>
      </c>
      <c r="D183" s="437">
        <f t="shared" si="1"/>
        <v>0</v>
      </c>
      <c r="F183" s="438">
        <f t="shared" si="2"/>
        <v>0</v>
      </c>
      <c r="G183" t="str">
        <f t="shared" si="3"/>
        <v/>
      </c>
      <c r="H183" t="b">
        <f t="shared" si="4"/>
        <v>0</v>
      </c>
      <c r="I183" s="439">
        <f>IF(OR(ISBLANK(A183),ISNA(MATCH(A183&amp;"",AthleteNumbers,0))),0,MATCH(A183&amp;"",AthleteNumbers,0))</f>
        <v>0</v>
      </c>
      <c r="J183" s="209">
        <f t="array" ref="J183">IF(I183&gt;0,INDEX(DB,$I183,6),0)</f>
        <v>0</v>
      </c>
      <c r="K183" s="440">
        <f t="shared" si="5"/>
        <v>0</v>
      </c>
      <c r="L183" s="440">
        <f t="shared" si="6"/>
        <v>0</v>
      </c>
      <c r="M183" s="441">
        <f>IF(AND(L183&gt;O183,O183&gt;0),MinPoints,IF(L183&lt;N183,100,+INT((O183-$L183)/P183)+MinPoints))</f>
        <v>100</v>
      </c>
      <c r="N183" s="440">
        <f t="shared" si="7"/>
        <v>7</v>
      </c>
      <c r="O183" s="440">
        <f t="shared" si="8"/>
        <v>16</v>
      </c>
      <c r="P183" s="440">
        <f t="shared" si="9"/>
        <v>0.1</v>
      </c>
      <c r="Q183">
        <f t="array" ref="Q183">IF(I183&gt;0,INDEX(DB,I183,9),EventIndex)</f>
        <v>6</v>
      </c>
      <c r="S183" s="442">
        <f t="array" ref="S183">INDEX(MINVALUES,$Q183,$K$1)</f>
        <v>16</v>
      </c>
      <c r="T183">
        <f t="array" ref="T183">INDEX(INCVALUES,$Q183,$K$1)</f>
        <v>0.1</v>
      </c>
      <c r="V183">
        <f t="array" ref="V183">+J183+(4*(INDEX(MatchScoreTable,$Q183,20)-1))</f>
        <v>4</v>
      </c>
      <c r="W183">
        <f t="array" ref="W183">INDEX(INC_MINVALUES,$V183,$K$1)</f>
        <v>34</v>
      </c>
      <c r="X183" s="212">
        <f t="array" ref="X183">INDEX(INC_INCVALUES,$V183,$K$1)</f>
        <v>0.3</v>
      </c>
    </row>
    <row r="184" ht="15.75" customHeight="1">
      <c r="A184" s="435"/>
      <c r="B184" s="436"/>
      <c r="C184" s="95" t="str">
        <f t="array" ref="C184">IF(I184&gt;0,INDEX(DB,I184,8),"")</f>
        <v/>
      </c>
      <c r="D184" s="437">
        <f t="shared" si="1"/>
        <v>0</v>
      </c>
      <c r="F184" s="438">
        <f t="shared" si="2"/>
        <v>0</v>
      </c>
      <c r="G184" t="str">
        <f t="shared" si="3"/>
        <v/>
      </c>
      <c r="H184" t="b">
        <f t="shared" si="4"/>
        <v>0</v>
      </c>
      <c r="I184" s="439">
        <f>IF(OR(ISBLANK(A184),ISNA(MATCH(A184&amp;"",AthleteNumbers,0))),0,MATCH(A184&amp;"",AthleteNumbers,0))</f>
        <v>0</v>
      </c>
      <c r="J184" s="209">
        <f t="array" ref="J184">IF(I184&gt;0,INDEX(DB,$I184,6),0)</f>
        <v>0</v>
      </c>
      <c r="K184" s="440">
        <f t="shared" si="5"/>
        <v>0</v>
      </c>
      <c r="L184" s="440">
        <f t="shared" si="6"/>
        <v>0</v>
      </c>
      <c r="M184" s="441">
        <f>IF(AND(L184&gt;O184,O184&gt;0),MinPoints,IF(L184&lt;N184,100,+INT((O184-$L184)/P184)+MinPoints))</f>
        <v>100</v>
      </c>
      <c r="N184" s="440">
        <f t="shared" si="7"/>
        <v>7</v>
      </c>
      <c r="O184" s="440">
        <f t="shared" si="8"/>
        <v>16</v>
      </c>
      <c r="P184" s="440">
        <f t="shared" si="9"/>
        <v>0.1</v>
      </c>
      <c r="Q184">
        <f t="array" ref="Q184">IF(I184&gt;0,INDEX(DB,I184,9),EventIndex)</f>
        <v>6</v>
      </c>
      <c r="S184" s="442">
        <f t="array" ref="S184">INDEX(MINVALUES,$Q184,$K$1)</f>
        <v>16</v>
      </c>
      <c r="T184">
        <f t="array" ref="T184">INDEX(INCVALUES,$Q184,$K$1)</f>
        <v>0.1</v>
      </c>
      <c r="V184">
        <f t="array" ref="V184">+J184+(4*(INDEX(MatchScoreTable,$Q184,20)-1))</f>
        <v>4</v>
      </c>
      <c r="W184">
        <f t="array" ref="W184">INDEX(INC_MINVALUES,$V184,$K$1)</f>
        <v>34</v>
      </c>
      <c r="X184" s="212">
        <f t="array" ref="X184">INDEX(INC_INCVALUES,$V184,$K$1)</f>
        <v>0.3</v>
      </c>
    </row>
    <row r="185" ht="15.75" customHeight="1">
      <c r="A185" s="435"/>
      <c r="B185" s="436"/>
      <c r="C185" s="95" t="str">
        <f t="array" ref="C185">IF(I185&gt;0,INDEX(DB,I185,8),"")</f>
        <v/>
      </c>
      <c r="D185" s="437">
        <f t="shared" si="1"/>
        <v>0</v>
      </c>
      <c r="F185" s="438">
        <f t="shared" si="2"/>
        <v>0</v>
      </c>
      <c r="G185" t="str">
        <f t="shared" si="3"/>
        <v/>
      </c>
      <c r="H185" t="b">
        <f t="shared" si="4"/>
        <v>0</v>
      </c>
      <c r="I185" s="439">
        <f>IF(OR(ISBLANK(A185),ISNA(MATCH(A185&amp;"",AthleteNumbers,0))),0,MATCH(A185&amp;"",AthleteNumbers,0))</f>
        <v>0</v>
      </c>
      <c r="J185" s="209">
        <f t="array" ref="J185">IF(I185&gt;0,INDEX(DB,$I185,6),0)</f>
        <v>0</v>
      </c>
      <c r="K185" s="440">
        <f t="shared" si="5"/>
        <v>0</v>
      </c>
      <c r="L185" s="440">
        <f t="shared" si="6"/>
        <v>0</v>
      </c>
      <c r="M185" s="441">
        <f>IF(AND(L185&gt;O185,O185&gt;0),MinPoints,IF(L185&lt;N185,100,+INT((O185-$L185)/P185)+MinPoints))</f>
        <v>100</v>
      </c>
      <c r="N185" s="440">
        <f t="shared" si="7"/>
        <v>7</v>
      </c>
      <c r="O185" s="440">
        <f t="shared" si="8"/>
        <v>16</v>
      </c>
      <c r="P185" s="440">
        <f t="shared" si="9"/>
        <v>0.1</v>
      </c>
      <c r="Q185">
        <f t="array" ref="Q185">IF(I185&gt;0,INDEX(DB,I185,9),EventIndex)</f>
        <v>6</v>
      </c>
      <c r="S185" s="442">
        <f t="array" ref="S185">INDEX(MINVALUES,$Q185,$K$1)</f>
        <v>16</v>
      </c>
      <c r="T185">
        <f t="array" ref="T185">INDEX(INCVALUES,$Q185,$K$1)</f>
        <v>0.1</v>
      </c>
      <c r="V185">
        <f t="array" ref="V185">+J185+(4*(INDEX(MatchScoreTable,$Q185,20)-1))</f>
        <v>4</v>
      </c>
      <c r="W185">
        <f t="array" ref="W185">INDEX(INC_MINVALUES,$V185,$K$1)</f>
        <v>34</v>
      </c>
      <c r="X185" s="212">
        <f t="array" ref="X185">INDEX(INC_INCVALUES,$V185,$K$1)</f>
        <v>0.3</v>
      </c>
    </row>
    <row r="186" ht="15.75" customHeight="1">
      <c r="A186" s="435"/>
      <c r="B186" s="436"/>
      <c r="C186" s="95" t="str">
        <f t="array" ref="C186">IF(I186&gt;0,INDEX(DB,I186,8),"")</f>
        <v/>
      </c>
      <c r="D186" s="437">
        <f t="shared" si="1"/>
        <v>0</v>
      </c>
      <c r="F186" s="438">
        <f t="shared" si="2"/>
        <v>0</v>
      </c>
      <c r="G186" t="str">
        <f t="shared" si="3"/>
        <v/>
      </c>
      <c r="H186" t="b">
        <f t="shared" si="4"/>
        <v>0</v>
      </c>
      <c r="I186" s="439">
        <f>IF(OR(ISBLANK(A186),ISNA(MATCH(A186&amp;"",AthleteNumbers,0))),0,MATCH(A186&amp;"",AthleteNumbers,0))</f>
        <v>0</v>
      </c>
      <c r="J186" s="209">
        <f t="array" ref="J186">IF(I186&gt;0,INDEX(DB,$I186,6),0)</f>
        <v>0</v>
      </c>
      <c r="K186" s="440">
        <f t="shared" si="5"/>
        <v>0</v>
      </c>
      <c r="L186" s="440">
        <f t="shared" si="6"/>
        <v>0</v>
      </c>
      <c r="M186" s="441">
        <f>IF(AND(L186&gt;O186,O186&gt;0),MinPoints,IF(L186&lt;N186,100,+INT((O186-$L186)/P186)+MinPoints))</f>
        <v>100</v>
      </c>
      <c r="N186" s="440">
        <f t="shared" si="7"/>
        <v>7</v>
      </c>
      <c r="O186" s="440">
        <f t="shared" si="8"/>
        <v>16</v>
      </c>
      <c r="P186" s="440">
        <f t="shared" si="9"/>
        <v>0.1</v>
      </c>
      <c r="Q186">
        <f t="array" ref="Q186">IF(I186&gt;0,INDEX(DB,I186,9),EventIndex)</f>
        <v>6</v>
      </c>
      <c r="S186" s="442">
        <f t="array" ref="S186">INDEX(MINVALUES,$Q186,$K$1)</f>
        <v>16</v>
      </c>
      <c r="T186">
        <f t="array" ref="T186">INDEX(INCVALUES,$Q186,$K$1)</f>
        <v>0.1</v>
      </c>
      <c r="V186">
        <f t="array" ref="V186">+J186+(4*(INDEX(MatchScoreTable,$Q186,20)-1))</f>
        <v>4</v>
      </c>
      <c r="W186">
        <f t="array" ref="W186">INDEX(INC_MINVALUES,$V186,$K$1)</f>
        <v>34</v>
      </c>
      <c r="X186" s="212">
        <f t="array" ref="X186">INDEX(INC_INCVALUES,$V186,$K$1)</f>
        <v>0.3</v>
      </c>
    </row>
    <row r="187" ht="15.75" customHeight="1">
      <c r="A187" s="435"/>
      <c r="B187" s="436"/>
      <c r="C187" s="95" t="str">
        <f t="array" ref="C187">IF(I187&gt;0,INDEX(DB,I187,8),"")</f>
        <v/>
      </c>
      <c r="D187" s="437">
        <f t="shared" si="1"/>
        <v>0</v>
      </c>
      <c r="F187" s="438">
        <f t="shared" si="2"/>
        <v>0</v>
      </c>
      <c r="G187" t="str">
        <f t="shared" si="3"/>
        <v/>
      </c>
      <c r="H187" t="b">
        <f t="shared" si="4"/>
        <v>0</v>
      </c>
      <c r="I187" s="439">
        <f>IF(OR(ISBLANK(A187),ISNA(MATCH(A187&amp;"",AthleteNumbers,0))),0,MATCH(A187&amp;"",AthleteNumbers,0))</f>
        <v>0</v>
      </c>
      <c r="J187" s="209">
        <f t="array" ref="J187">IF(I187&gt;0,INDEX(DB,$I187,6),0)</f>
        <v>0</v>
      </c>
      <c r="K187" s="440">
        <f t="shared" si="5"/>
        <v>0</v>
      </c>
      <c r="L187" s="440">
        <f t="shared" si="6"/>
        <v>0</v>
      </c>
      <c r="M187" s="441">
        <f>IF(AND(L187&gt;O187,O187&gt;0),MinPoints,IF(L187&lt;N187,100,+INT((O187-$L187)/P187)+MinPoints))</f>
        <v>100</v>
      </c>
      <c r="N187" s="440">
        <f t="shared" si="7"/>
        <v>7</v>
      </c>
      <c r="O187" s="440">
        <f t="shared" si="8"/>
        <v>16</v>
      </c>
      <c r="P187" s="440">
        <f t="shared" si="9"/>
        <v>0.1</v>
      </c>
      <c r="Q187">
        <f t="array" ref="Q187">IF(I187&gt;0,INDEX(DB,I187,9),EventIndex)</f>
        <v>6</v>
      </c>
      <c r="S187" s="442">
        <f t="array" ref="S187">INDEX(MINVALUES,$Q187,$K$1)</f>
        <v>16</v>
      </c>
      <c r="T187">
        <f t="array" ref="T187">INDEX(INCVALUES,$Q187,$K$1)</f>
        <v>0.1</v>
      </c>
      <c r="V187">
        <f t="array" ref="V187">+J187+(4*(INDEX(MatchScoreTable,$Q187,20)-1))</f>
        <v>4</v>
      </c>
      <c r="W187">
        <f t="array" ref="W187">INDEX(INC_MINVALUES,$V187,$K$1)</f>
        <v>34</v>
      </c>
      <c r="X187" s="212">
        <f t="array" ref="X187">INDEX(INC_INCVALUES,$V187,$K$1)</f>
        <v>0.3</v>
      </c>
    </row>
    <row r="188" ht="15.75" customHeight="1">
      <c r="A188" s="435"/>
      <c r="B188" s="436"/>
      <c r="C188" s="95" t="str">
        <f t="array" ref="C188">IF(I188&gt;0,INDEX(DB,I188,8),"")</f>
        <v/>
      </c>
      <c r="D188" s="437">
        <f t="shared" si="1"/>
        <v>0</v>
      </c>
      <c r="F188" s="438">
        <f t="shared" si="2"/>
        <v>0</v>
      </c>
      <c r="G188" t="str">
        <f t="shared" si="3"/>
        <v/>
      </c>
      <c r="H188" t="b">
        <f t="shared" si="4"/>
        <v>0</v>
      </c>
      <c r="I188" s="439">
        <f>IF(OR(ISBLANK(A188),ISNA(MATCH(A188&amp;"",AthleteNumbers,0))),0,MATCH(A188&amp;"",AthleteNumbers,0))</f>
        <v>0</v>
      </c>
      <c r="J188" s="209">
        <f t="array" ref="J188">IF(I188&gt;0,INDEX(DB,$I188,6),0)</f>
        <v>0</v>
      </c>
      <c r="K188" s="440">
        <f t="shared" si="5"/>
        <v>0</v>
      </c>
      <c r="L188" s="440">
        <f t="shared" si="6"/>
        <v>0</v>
      </c>
      <c r="M188" s="441">
        <f>IF(AND(L188&gt;O188,O188&gt;0),MinPoints,IF(L188&lt;N188,100,+INT((O188-$L188)/P188)+MinPoints))</f>
        <v>100</v>
      </c>
      <c r="N188" s="440">
        <f t="shared" si="7"/>
        <v>7</v>
      </c>
      <c r="O188" s="440">
        <f t="shared" si="8"/>
        <v>16</v>
      </c>
      <c r="P188" s="440">
        <f t="shared" si="9"/>
        <v>0.1</v>
      </c>
      <c r="Q188">
        <f t="array" ref="Q188">IF(I188&gt;0,INDEX(DB,I188,9),EventIndex)</f>
        <v>6</v>
      </c>
      <c r="S188" s="442">
        <f t="array" ref="S188">INDEX(MINVALUES,$Q188,$K$1)</f>
        <v>16</v>
      </c>
      <c r="T188">
        <f t="array" ref="T188">INDEX(INCVALUES,$Q188,$K$1)</f>
        <v>0.1</v>
      </c>
      <c r="V188">
        <f t="array" ref="V188">+J188+(4*(INDEX(MatchScoreTable,$Q188,20)-1))</f>
        <v>4</v>
      </c>
      <c r="W188">
        <f t="array" ref="W188">INDEX(INC_MINVALUES,$V188,$K$1)</f>
        <v>34</v>
      </c>
      <c r="X188" s="212">
        <f t="array" ref="X188">INDEX(INC_INCVALUES,$V188,$K$1)</f>
        <v>0.3</v>
      </c>
    </row>
    <row r="189" ht="15.75" customHeight="1">
      <c r="A189" s="435"/>
      <c r="B189" s="436"/>
      <c r="C189" s="95" t="str">
        <f t="array" ref="C189">IF(I189&gt;0,INDEX(DB,I189,8),"")</f>
        <v/>
      </c>
      <c r="D189" s="437">
        <f t="shared" si="1"/>
        <v>0</v>
      </c>
      <c r="F189" s="438">
        <f t="shared" si="2"/>
        <v>0</v>
      </c>
      <c r="G189" t="str">
        <f t="shared" si="3"/>
        <v/>
      </c>
      <c r="H189" t="b">
        <f t="shared" si="4"/>
        <v>0</v>
      </c>
      <c r="I189" s="439">
        <f>IF(OR(ISBLANK(A189),ISNA(MATCH(A189&amp;"",AthleteNumbers,0))),0,MATCH(A189&amp;"",AthleteNumbers,0))</f>
        <v>0</v>
      </c>
      <c r="J189" s="209">
        <f t="array" ref="J189">IF(I189&gt;0,INDEX(DB,$I189,6),0)</f>
        <v>0</v>
      </c>
      <c r="K189" s="440">
        <f t="shared" si="5"/>
        <v>0</v>
      </c>
      <c r="L189" s="440">
        <f t="shared" si="6"/>
        <v>0</v>
      </c>
      <c r="M189" s="441">
        <f>IF(AND(L189&gt;O189,O189&gt;0),MinPoints,IF(L189&lt;N189,100,+INT((O189-$L189)/P189)+MinPoints))</f>
        <v>100</v>
      </c>
      <c r="N189" s="440">
        <f t="shared" si="7"/>
        <v>7</v>
      </c>
      <c r="O189" s="440">
        <f t="shared" si="8"/>
        <v>16</v>
      </c>
      <c r="P189" s="440">
        <f t="shared" si="9"/>
        <v>0.1</v>
      </c>
      <c r="Q189">
        <f t="array" ref="Q189">IF(I189&gt;0,INDEX(DB,I189,9),EventIndex)</f>
        <v>6</v>
      </c>
      <c r="S189" s="442">
        <f t="array" ref="S189">INDEX(MINVALUES,$Q189,$K$1)</f>
        <v>16</v>
      </c>
      <c r="T189">
        <f t="array" ref="T189">INDEX(INCVALUES,$Q189,$K$1)</f>
        <v>0.1</v>
      </c>
      <c r="V189">
        <f t="array" ref="V189">+J189+(4*(INDEX(MatchScoreTable,$Q189,20)-1))</f>
        <v>4</v>
      </c>
      <c r="W189">
        <f t="array" ref="W189">INDEX(INC_MINVALUES,$V189,$K$1)</f>
        <v>34</v>
      </c>
      <c r="X189" s="212">
        <f t="array" ref="X189">INDEX(INC_INCVALUES,$V189,$K$1)</f>
        <v>0.3</v>
      </c>
    </row>
    <row r="190" ht="15.75" customHeight="1">
      <c r="A190" s="435"/>
      <c r="B190" s="436"/>
      <c r="C190" s="95" t="str">
        <f t="array" ref="C190">IF(I190&gt;0,INDEX(DB,I190,8),"")</f>
        <v/>
      </c>
      <c r="D190" s="437">
        <f t="shared" si="1"/>
        <v>0</v>
      </c>
      <c r="F190" s="438">
        <f t="shared" si="2"/>
        <v>0</v>
      </c>
      <c r="G190" t="str">
        <f t="shared" si="3"/>
        <v/>
      </c>
      <c r="H190" t="b">
        <f t="shared" si="4"/>
        <v>0</v>
      </c>
      <c r="I190" s="439">
        <f>IF(OR(ISBLANK(A190),ISNA(MATCH(A190&amp;"",AthleteNumbers,0))),0,MATCH(A190&amp;"",AthleteNumbers,0))</f>
        <v>0</v>
      </c>
      <c r="J190" s="209">
        <f t="array" ref="J190">IF(I190&gt;0,INDEX(DB,$I190,6),0)</f>
        <v>0</v>
      </c>
      <c r="K190" s="440">
        <f t="shared" si="5"/>
        <v>0</v>
      </c>
      <c r="L190" s="440">
        <f t="shared" si="6"/>
        <v>0</v>
      </c>
      <c r="M190" s="441">
        <f>IF(AND(L190&gt;O190,O190&gt;0),MinPoints,IF(L190&lt;N190,100,+INT((O190-$L190)/P190)+MinPoints))</f>
        <v>100</v>
      </c>
      <c r="N190" s="440">
        <f t="shared" si="7"/>
        <v>7</v>
      </c>
      <c r="O190" s="440">
        <f t="shared" si="8"/>
        <v>16</v>
      </c>
      <c r="P190" s="440">
        <f t="shared" si="9"/>
        <v>0.1</v>
      </c>
      <c r="Q190">
        <f t="array" ref="Q190">IF(I190&gt;0,INDEX(DB,I190,9),EventIndex)</f>
        <v>6</v>
      </c>
      <c r="S190" s="442">
        <f t="array" ref="S190">INDEX(MINVALUES,$Q190,$K$1)</f>
        <v>16</v>
      </c>
      <c r="T190">
        <f t="array" ref="T190">INDEX(INCVALUES,$Q190,$K$1)</f>
        <v>0.1</v>
      </c>
      <c r="V190">
        <f t="array" ref="V190">+J190+(4*(INDEX(MatchScoreTable,$Q190,20)-1))</f>
        <v>4</v>
      </c>
      <c r="W190">
        <f t="array" ref="W190">INDEX(INC_MINVALUES,$V190,$K$1)</f>
        <v>34</v>
      </c>
      <c r="X190" s="212">
        <f t="array" ref="X190">INDEX(INC_INCVALUES,$V190,$K$1)</f>
        <v>0.3</v>
      </c>
    </row>
    <row r="191" ht="15.75" customHeight="1">
      <c r="A191" s="435"/>
      <c r="B191" s="436"/>
      <c r="C191" s="95" t="str">
        <f t="array" ref="C191">IF(I191&gt;0,INDEX(DB,I191,8),"")</f>
        <v/>
      </c>
      <c r="D191" s="437">
        <f t="shared" si="1"/>
        <v>0</v>
      </c>
      <c r="F191" s="438">
        <f t="shared" si="2"/>
        <v>0</v>
      </c>
      <c r="G191" t="str">
        <f t="shared" si="3"/>
        <v/>
      </c>
      <c r="H191" t="b">
        <f t="shared" si="4"/>
        <v>0</v>
      </c>
      <c r="I191" s="439">
        <f>IF(OR(ISBLANK(A191),ISNA(MATCH(A191&amp;"",AthleteNumbers,0))),0,MATCH(A191&amp;"",AthleteNumbers,0))</f>
        <v>0</v>
      </c>
      <c r="J191" s="209">
        <f t="array" ref="J191">IF(I191&gt;0,INDEX(DB,$I191,6),0)</f>
        <v>0</v>
      </c>
      <c r="K191" s="440">
        <f t="shared" si="5"/>
        <v>0</v>
      </c>
      <c r="L191" s="440">
        <f t="shared" si="6"/>
        <v>0</v>
      </c>
      <c r="M191" s="441">
        <f>IF(AND(L191&gt;O191,O191&gt;0),MinPoints,IF(L191&lt;N191,100,+INT((O191-$L191)/P191)+MinPoints))</f>
        <v>100</v>
      </c>
      <c r="N191" s="440">
        <f t="shared" si="7"/>
        <v>7</v>
      </c>
      <c r="O191" s="440">
        <f t="shared" si="8"/>
        <v>16</v>
      </c>
      <c r="P191" s="440">
        <f t="shared" si="9"/>
        <v>0.1</v>
      </c>
      <c r="Q191">
        <f t="array" ref="Q191">IF(I191&gt;0,INDEX(DB,I191,9),EventIndex)</f>
        <v>6</v>
      </c>
      <c r="S191" s="442">
        <f t="array" ref="S191">INDEX(MINVALUES,$Q191,$K$1)</f>
        <v>16</v>
      </c>
      <c r="T191">
        <f t="array" ref="T191">INDEX(INCVALUES,$Q191,$K$1)</f>
        <v>0.1</v>
      </c>
      <c r="V191">
        <f t="array" ref="V191">+J191+(4*(INDEX(MatchScoreTable,$Q191,20)-1))</f>
        <v>4</v>
      </c>
      <c r="W191">
        <f t="array" ref="W191">INDEX(INC_MINVALUES,$V191,$K$1)</f>
        <v>34</v>
      </c>
      <c r="X191" s="212">
        <f t="array" ref="X191">INDEX(INC_INCVALUES,$V191,$K$1)</f>
        <v>0.3</v>
      </c>
    </row>
    <row r="192" ht="15.75" customHeight="1">
      <c r="A192" s="435"/>
      <c r="B192" s="436"/>
      <c r="C192" s="95" t="str">
        <f t="array" ref="C192">IF(I192&gt;0,INDEX(DB,I192,8),"")</f>
        <v/>
      </c>
      <c r="D192" s="437">
        <f t="shared" si="1"/>
        <v>0</v>
      </c>
      <c r="F192" s="438">
        <f t="shared" si="2"/>
        <v>0</v>
      </c>
      <c r="G192" t="str">
        <f t="shared" si="3"/>
        <v/>
      </c>
      <c r="H192" t="b">
        <f t="shared" si="4"/>
        <v>0</v>
      </c>
      <c r="I192" s="439">
        <f>IF(OR(ISBLANK(A192),ISNA(MATCH(A192&amp;"",AthleteNumbers,0))),0,MATCH(A192&amp;"",AthleteNumbers,0))</f>
        <v>0</v>
      </c>
      <c r="J192" s="209">
        <f t="array" ref="J192">IF(I192&gt;0,INDEX(DB,$I192,6),0)</f>
        <v>0</v>
      </c>
      <c r="K192" s="440">
        <f t="shared" si="5"/>
        <v>0</v>
      </c>
      <c r="L192" s="440">
        <f t="shared" si="6"/>
        <v>0</v>
      </c>
      <c r="M192" s="441">
        <f>IF(AND(L192&gt;O192,O192&gt;0),MinPoints,IF(L192&lt;N192,100,+INT((O192-$L192)/P192)+MinPoints))</f>
        <v>100</v>
      </c>
      <c r="N192" s="440">
        <f t="shared" si="7"/>
        <v>7</v>
      </c>
      <c r="O192" s="440">
        <f t="shared" si="8"/>
        <v>16</v>
      </c>
      <c r="P192" s="440">
        <f t="shared" si="9"/>
        <v>0.1</v>
      </c>
      <c r="Q192">
        <f t="array" ref="Q192">IF(I192&gt;0,INDEX(DB,I192,9),EventIndex)</f>
        <v>6</v>
      </c>
      <c r="S192" s="442">
        <f t="array" ref="S192">INDEX(MINVALUES,$Q192,$K$1)</f>
        <v>16</v>
      </c>
      <c r="T192">
        <f t="array" ref="T192">INDEX(INCVALUES,$Q192,$K$1)</f>
        <v>0.1</v>
      </c>
      <c r="V192">
        <f t="array" ref="V192">+J192+(4*(INDEX(MatchScoreTable,$Q192,20)-1))</f>
        <v>4</v>
      </c>
      <c r="W192">
        <f t="array" ref="W192">INDEX(INC_MINVALUES,$V192,$K$1)</f>
        <v>34</v>
      </c>
      <c r="X192" s="212">
        <f t="array" ref="X192">INDEX(INC_INCVALUES,$V192,$K$1)</f>
        <v>0.3</v>
      </c>
    </row>
    <row r="193" ht="15.75" customHeight="1">
      <c r="A193" s="435"/>
      <c r="B193" s="436"/>
      <c r="C193" s="95" t="str">
        <f t="array" ref="C193">IF(I193&gt;0,INDEX(DB,I193,8),"")</f>
        <v/>
      </c>
      <c r="D193" s="437">
        <f t="shared" si="1"/>
        <v>0</v>
      </c>
      <c r="F193" s="438">
        <f t="shared" si="2"/>
        <v>0</v>
      </c>
      <c r="G193" t="str">
        <f t="shared" si="3"/>
        <v/>
      </c>
      <c r="H193" t="b">
        <f t="shared" si="4"/>
        <v>0</v>
      </c>
      <c r="I193" s="439">
        <f>IF(OR(ISBLANK(A193),ISNA(MATCH(A193&amp;"",AthleteNumbers,0))),0,MATCH(A193&amp;"",AthleteNumbers,0))</f>
        <v>0</v>
      </c>
      <c r="J193" s="209">
        <f t="array" ref="J193">IF(I193&gt;0,INDEX(DB,$I193,6),0)</f>
        <v>0</v>
      </c>
      <c r="K193" s="440">
        <f t="shared" si="5"/>
        <v>0</v>
      </c>
      <c r="L193" s="440">
        <f t="shared" si="6"/>
        <v>0</v>
      </c>
      <c r="M193" s="441">
        <f>IF(AND(L193&gt;O193,O193&gt;0),MinPoints,IF(L193&lt;N193,100,+INT((O193-$L193)/P193)+MinPoints))</f>
        <v>100</v>
      </c>
      <c r="N193" s="440">
        <f t="shared" si="7"/>
        <v>7</v>
      </c>
      <c r="O193" s="440">
        <f t="shared" si="8"/>
        <v>16</v>
      </c>
      <c r="P193" s="440">
        <f t="shared" si="9"/>
        <v>0.1</v>
      </c>
      <c r="Q193">
        <f t="array" ref="Q193">IF(I193&gt;0,INDEX(DB,I193,9),EventIndex)</f>
        <v>6</v>
      </c>
      <c r="S193" s="442">
        <f t="array" ref="S193">INDEX(MINVALUES,$Q193,$K$1)</f>
        <v>16</v>
      </c>
      <c r="T193">
        <f t="array" ref="T193">INDEX(INCVALUES,$Q193,$K$1)</f>
        <v>0.1</v>
      </c>
      <c r="V193">
        <f t="array" ref="V193">+J193+(4*(INDEX(MatchScoreTable,$Q193,20)-1))</f>
        <v>4</v>
      </c>
      <c r="W193">
        <f t="array" ref="W193">INDEX(INC_MINVALUES,$V193,$K$1)</f>
        <v>34</v>
      </c>
      <c r="X193" s="212">
        <f t="array" ref="X193">INDEX(INC_INCVALUES,$V193,$K$1)</f>
        <v>0.3</v>
      </c>
    </row>
    <row r="194" ht="15.75" customHeight="1">
      <c r="A194" s="435"/>
      <c r="B194" s="436"/>
      <c r="C194" s="95" t="str">
        <f t="array" ref="C194">IF(I194&gt;0,INDEX(DB,I194,8),"")</f>
        <v/>
      </c>
      <c r="D194" s="437">
        <f t="shared" si="1"/>
        <v>0</v>
      </c>
      <c r="F194" s="438">
        <f t="shared" si="2"/>
        <v>0</v>
      </c>
      <c r="G194" t="str">
        <f t="shared" si="3"/>
        <v/>
      </c>
      <c r="H194" t="b">
        <f t="shared" si="4"/>
        <v>0</v>
      </c>
      <c r="I194" s="439">
        <f>IF(OR(ISBLANK(A194),ISNA(MATCH(A194&amp;"",AthleteNumbers,0))),0,MATCH(A194&amp;"",AthleteNumbers,0))</f>
        <v>0</v>
      </c>
      <c r="J194" s="209">
        <f t="array" ref="J194">IF(I194&gt;0,INDEX(DB,$I194,6),0)</f>
        <v>0</v>
      </c>
      <c r="K194" s="440">
        <f t="shared" si="5"/>
        <v>0</v>
      </c>
      <c r="L194" s="440">
        <f t="shared" si="6"/>
        <v>0</v>
      </c>
      <c r="M194" s="441">
        <f>IF(AND(L194&gt;O194,O194&gt;0),MinPoints,IF(L194&lt;N194,100,+INT((O194-$L194)/P194)+MinPoints))</f>
        <v>100</v>
      </c>
      <c r="N194" s="440">
        <f t="shared" si="7"/>
        <v>7</v>
      </c>
      <c r="O194" s="440">
        <f t="shared" si="8"/>
        <v>16</v>
      </c>
      <c r="P194" s="440">
        <f t="shared" si="9"/>
        <v>0.1</v>
      </c>
      <c r="Q194">
        <f t="array" ref="Q194">IF(I194&gt;0,INDEX(DB,I194,9),EventIndex)</f>
        <v>6</v>
      </c>
      <c r="S194" s="442">
        <f t="array" ref="S194">INDEX(MINVALUES,$Q194,$K$1)</f>
        <v>16</v>
      </c>
      <c r="T194">
        <f t="array" ref="T194">INDEX(INCVALUES,$Q194,$K$1)</f>
        <v>0.1</v>
      </c>
      <c r="V194">
        <f t="array" ref="V194">+J194+(4*(INDEX(MatchScoreTable,$Q194,20)-1))</f>
        <v>4</v>
      </c>
      <c r="W194">
        <f t="array" ref="W194">INDEX(INC_MINVALUES,$V194,$K$1)</f>
        <v>34</v>
      </c>
      <c r="X194" s="212">
        <f t="array" ref="X194">INDEX(INC_INCVALUES,$V194,$K$1)</f>
        <v>0.3</v>
      </c>
    </row>
    <row r="195" ht="15.75" customHeight="1">
      <c r="A195" s="435"/>
      <c r="B195" s="436"/>
      <c r="C195" s="95" t="str">
        <f t="array" ref="C195">IF(I195&gt;0,INDEX(DB,I195,8),"")</f>
        <v/>
      </c>
      <c r="D195" s="437">
        <f t="shared" si="1"/>
        <v>0</v>
      </c>
      <c r="F195" s="438">
        <f t="shared" si="2"/>
        <v>0</v>
      </c>
      <c r="G195" t="str">
        <f t="shared" si="3"/>
        <v/>
      </c>
      <c r="H195" t="b">
        <f t="shared" si="4"/>
        <v>0</v>
      </c>
      <c r="I195" s="439">
        <f>IF(OR(ISBLANK(A195),ISNA(MATCH(A195&amp;"",AthleteNumbers,0))),0,MATCH(A195&amp;"",AthleteNumbers,0))</f>
        <v>0</v>
      </c>
      <c r="J195" s="209">
        <f t="array" ref="J195">IF(I195&gt;0,INDEX(DB,$I195,6),0)</f>
        <v>0</v>
      </c>
      <c r="K195" s="440">
        <f t="shared" si="5"/>
        <v>0</v>
      </c>
      <c r="L195" s="440">
        <f t="shared" si="6"/>
        <v>0</v>
      </c>
      <c r="M195" s="441">
        <f>IF(AND(L195&gt;O195,O195&gt;0),MinPoints,IF(L195&lt;N195,100,+INT((O195-$L195)/P195)+MinPoints))</f>
        <v>100</v>
      </c>
      <c r="N195" s="440">
        <f t="shared" si="7"/>
        <v>7</v>
      </c>
      <c r="O195" s="440">
        <f t="shared" si="8"/>
        <v>16</v>
      </c>
      <c r="P195" s="440">
        <f t="shared" si="9"/>
        <v>0.1</v>
      </c>
      <c r="Q195">
        <f t="array" ref="Q195">IF(I195&gt;0,INDEX(DB,I195,9),EventIndex)</f>
        <v>6</v>
      </c>
      <c r="S195" s="442">
        <f t="array" ref="S195">INDEX(MINVALUES,$Q195,$K$1)</f>
        <v>16</v>
      </c>
      <c r="T195">
        <f t="array" ref="T195">INDEX(INCVALUES,$Q195,$K$1)</f>
        <v>0.1</v>
      </c>
      <c r="V195">
        <f t="array" ref="V195">+J195+(4*(INDEX(MatchScoreTable,$Q195,20)-1))</f>
        <v>4</v>
      </c>
      <c r="W195">
        <f t="array" ref="W195">INDEX(INC_MINVALUES,$V195,$K$1)</f>
        <v>34</v>
      </c>
      <c r="X195" s="212">
        <f t="array" ref="X195">INDEX(INC_INCVALUES,$V195,$K$1)</f>
        <v>0.3</v>
      </c>
    </row>
    <row r="196" ht="15.75" customHeight="1">
      <c r="A196" s="435"/>
      <c r="B196" s="436"/>
      <c r="C196" s="95" t="str">
        <f t="array" ref="C196">IF(I196&gt;0,INDEX(DB,I196,8),"")</f>
        <v/>
      </c>
      <c r="D196" s="437">
        <f t="shared" si="1"/>
        <v>0</v>
      </c>
      <c r="F196" s="438">
        <f t="shared" si="2"/>
        <v>0</v>
      </c>
      <c r="G196" t="str">
        <f t="shared" si="3"/>
        <v/>
      </c>
      <c r="H196" t="b">
        <f t="shared" si="4"/>
        <v>0</v>
      </c>
      <c r="I196" s="439">
        <f>IF(OR(ISBLANK(A196),ISNA(MATCH(A196&amp;"",AthleteNumbers,0))),0,MATCH(A196&amp;"",AthleteNumbers,0))</f>
        <v>0</v>
      </c>
      <c r="J196" s="209">
        <f t="array" ref="J196">IF(I196&gt;0,INDEX(DB,$I196,6),0)</f>
        <v>0</v>
      </c>
      <c r="K196" s="440">
        <f t="shared" si="5"/>
        <v>0</v>
      </c>
      <c r="L196" s="440">
        <f t="shared" si="6"/>
        <v>0</v>
      </c>
      <c r="M196" s="441">
        <f>IF(AND(L196&gt;O196,O196&gt;0),MinPoints,IF(L196&lt;N196,100,+INT((O196-$L196)/P196)+MinPoints))</f>
        <v>100</v>
      </c>
      <c r="N196" s="440">
        <f t="shared" si="7"/>
        <v>7</v>
      </c>
      <c r="O196" s="440">
        <f t="shared" si="8"/>
        <v>16</v>
      </c>
      <c r="P196" s="440">
        <f t="shared" si="9"/>
        <v>0.1</v>
      </c>
      <c r="Q196">
        <f t="array" ref="Q196">IF(I196&gt;0,INDEX(DB,I196,9),EventIndex)</f>
        <v>6</v>
      </c>
      <c r="S196" s="442">
        <f t="array" ref="S196">INDEX(MINVALUES,$Q196,$K$1)</f>
        <v>16</v>
      </c>
      <c r="T196">
        <f t="array" ref="T196">INDEX(INCVALUES,$Q196,$K$1)</f>
        <v>0.1</v>
      </c>
      <c r="V196">
        <f t="array" ref="V196">+J196+(4*(INDEX(MatchScoreTable,$Q196,20)-1))</f>
        <v>4</v>
      </c>
      <c r="W196">
        <f t="array" ref="W196">INDEX(INC_MINVALUES,$V196,$K$1)</f>
        <v>34</v>
      </c>
      <c r="X196" s="212">
        <f t="array" ref="X196">INDEX(INC_INCVALUES,$V196,$K$1)</f>
        <v>0.3</v>
      </c>
    </row>
    <row r="197" ht="15.75" customHeight="1">
      <c r="A197" s="435"/>
      <c r="B197" s="436"/>
      <c r="C197" s="95" t="str">
        <f t="array" ref="C197">IF(I197&gt;0,INDEX(DB,I197,8),"")</f>
        <v/>
      </c>
      <c r="D197" s="437">
        <f t="shared" si="1"/>
        <v>0</v>
      </c>
      <c r="F197" s="438">
        <f t="shared" si="2"/>
        <v>0</v>
      </c>
      <c r="G197" t="str">
        <f t="shared" si="3"/>
        <v/>
      </c>
      <c r="H197" t="b">
        <f t="shared" si="4"/>
        <v>0</v>
      </c>
      <c r="I197" s="439">
        <f>IF(OR(ISBLANK(A197),ISNA(MATCH(A197&amp;"",AthleteNumbers,0))),0,MATCH(A197&amp;"",AthleteNumbers,0))</f>
        <v>0</v>
      </c>
      <c r="J197" s="209">
        <f t="array" ref="J197">IF(I197&gt;0,INDEX(DB,$I197,6),0)</f>
        <v>0</v>
      </c>
      <c r="K197" s="440">
        <f t="shared" si="5"/>
        <v>0</v>
      </c>
      <c r="L197" s="440">
        <f t="shared" si="6"/>
        <v>0</v>
      </c>
      <c r="M197" s="441">
        <f>IF(AND(L197&gt;O197,O197&gt;0),MinPoints,IF(L197&lt;N197,100,+INT((O197-$L197)/P197)+MinPoints))</f>
        <v>100</v>
      </c>
      <c r="N197" s="440">
        <f t="shared" si="7"/>
        <v>7</v>
      </c>
      <c r="O197" s="440">
        <f t="shared" si="8"/>
        <v>16</v>
      </c>
      <c r="P197" s="440">
        <f t="shared" si="9"/>
        <v>0.1</v>
      </c>
      <c r="Q197">
        <f t="array" ref="Q197">IF(I197&gt;0,INDEX(DB,I197,9),EventIndex)</f>
        <v>6</v>
      </c>
      <c r="S197" s="442">
        <f t="array" ref="S197">INDEX(MINVALUES,$Q197,$K$1)</f>
        <v>16</v>
      </c>
      <c r="T197">
        <f t="array" ref="T197">INDEX(INCVALUES,$Q197,$K$1)</f>
        <v>0.1</v>
      </c>
      <c r="V197">
        <f t="array" ref="V197">+J197+(4*(INDEX(MatchScoreTable,$Q197,20)-1))</f>
        <v>4</v>
      </c>
      <c r="W197">
        <f t="array" ref="W197">INDEX(INC_MINVALUES,$V197,$K$1)</f>
        <v>34</v>
      </c>
      <c r="X197" s="212">
        <f t="array" ref="X197">INDEX(INC_INCVALUES,$V197,$K$1)</f>
        <v>0.3</v>
      </c>
    </row>
    <row r="198" ht="15.75" customHeight="1">
      <c r="A198" s="435"/>
      <c r="B198" s="436"/>
      <c r="C198" s="95" t="str">
        <f t="array" ref="C198">IF(I198&gt;0,INDEX(DB,I198,8),"")</f>
        <v/>
      </c>
      <c r="D198" s="437">
        <f t="shared" si="1"/>
        <v>0</v>
      </c>
      <c r="F198" s="438">
        <f t="shared" si="2"/>
        <v>0</v>
      </c>
      <c r="G198" t="str">
        <f t="shared" si="3"/>
        <v/>
      </c>
      <c r="H198" t="b">
        <f t="shared" si="4"/>
        <v>0</v>
      </c>
      <c r="I198" s="439">
        <f>IF(OR(ISBLANK(A198),ISNA(MATCH(A198&amp;"",AthleteNumbers,0))),0,MATCH(A198&amp;"",AthleteNumbers,0))</f>
        <v>0</v>
      </c>
      <c r="J198" s="209">
        <f t="array" ref="J198">IF(I198&gt;0,INDEX(DB,$I198,6),0)</f>
        <v>0</v>
      </c>
      <c r="K198" s="440">
        <f t="shared" si="5"/>
        <v>0</v>
      </c>
      <c r="L198" s="440">
        <f t="shared" si="6"/>
        <v>0</v>
      </c>
      <c r="M198" s="441">
        <f>IF(AND(L198&gt;O198,O198&gt;0),MinPoints,IF(L198&lt;N198,100,+INT((O198-$L198)/P198)+MinPoints))</f>
        <v>100</v>
      </c>
      <c r="N198" s="440">
        <f t="shared" si="7"/>
        <v>7</v>
      </c>
      <c r="O198" s="440">
        <f t="shared" si="8"/>
        <v>16</v>
      </c>
      <c r="P198" s="440">
        <f t="shared" si="9"/>
        <v>0.1</v>
      </c>
      <c r="Q198">
        <f t="array" ref="Q198">IF(I198&gt;0,INDEX(DB,I198,9),EventIndex)</f>
        <v>6</v>
      </c>
      <c r="S198" s="442">
        <f t="array" ref="S198">INDEX(MINVALUES,$Q198,$K$1)</f>
        <v>16</v>
      </c>
      <c r="T198">
        <f t="array" ref="T198">INDEX(INCVALUES,$Q198,$K$1)</f>
        <v>0.1</v>
      </c>
      <c r="V198">
        <f t="array" ref="V198">+J198+(4*(INDEX(MatchScoreTable,$Q198,20)-1))</f>
        <v>4</v>
      </c>
      <c r="W198">
        <f t="array" ref="W198">INDEX(INC_MINVALUES,$V198,$K$1)</f>
        <v>34</v>
      </c>
      <c r="X198" s="212">
        <f t="array" ref="X198">INDEX(INC_INCVALUES,$V198,$K$1)</f>
        <v>0.3</v>
      </c>
    </row>
    <row r="199" ht="15.75" customHeight="1">
      <c r="A199" s="435"/>
      <c r="B199" s="436"/>
      <c r="C199" s="95" t="str">
        <f t="array" ref="C199">IF(I199&gt;0,INDEX(DB,I199,8),"")</f>
        <v/>
      </c>
      <c r="D199" s="437">
        <f t="shared" si="1"/>
        <v>0</v>
      </c>
      <c r="F199" s="438">
        <f t="shared" si="2"/>
        <v>0</v>
      </c>
      <c r="G199" t="str">
        <f t="shared" si="3"/>
        <v/>
      </c>
      <c r="H199" t="b">
        <f t="shared" si="4"/>
        <v>0</v>
      </c>
      <c r="I199" s="439">
        <f>IF(OR(ISBLANK(A199),ISNA(MATCH(A199&amp;"",AthleteNumbers,0))),0,MATCH(A199&amp;"",AthleteNumbers,0))</f>
        <v>0</v>
      </c>
      <c r="J199" s="209">
        <f t="array" ref="J199">IF(I199&gt;0,INDEX(DB,$I199,6),0)</f>
        <v>0</v>
      </c>
      <c r="K199" s="440">
        <f t="shared" si="5"/>
        <v>0</v>
      </c>
      <c r="L199" s="440">
        <f t="shared" si="6"/>
        <v>0</v>
      </c>
      <c r="M199" s="441">
        <f>IF(AND(L199&gt;O199,O199&gt;0),MinPoints,IF(L199&lt;N199,100,+INT((O199-$L199)/P199)+MinPoints))</f>
        <v>100</v>
      </c>
      <c r="N199" s="440">
        <f t="shared" si="7"/>
        <v>7</v>
      </c>
      <c r="O199" s="440">
        <f t="shared" si="8"/>
        <v>16</v>
      </c>
      <c r="P199" s="440">
        <f t="shared" si="9"/>
        <v>0.1</v>
      </c>
      <c r="Q199">
        <f t="array" ref="Q199">IF(I199&gt;0,INDEX(DB,I199,9),EventIndex)</f>
        <v>6</v>
      </c>
      <c r="S199" s="442">
        <f t="array" ref="S199">INDEX(MINVALUES,$Q199,$K$1)</f>
        <v>16</v>
      </c>
      <c r="T199">
        <f t="array" ref="T199">INDEX(INCVALUES,$Q199,$K$1)</f>
        <v>0.1</v>
      </c>
      <c r="V199">
        <f t="array" ref="V199">+J199+(4*(INDEX(MatchScoreTable,$Q199,20)-1))</f>
        <v>4</v>
      </c>
      <c r="W199">
        <f t="array" ref="W199">INDEX(INC_MINVALUES,$V199,$K$1)</f>
        <v>34</v>
      </c>
      <c r="X199" s="212">
        <f t="array" ref="X199">INDEX(INC_INCVALUES,$V199,$K$1)</f>
        <v>0.3</v>
      </c>
    </row>
    <row r="200" ht="15.75" customHeight="1">
      <c r="A200" s="435"/>
      <c r="B200" s="436"/>
      <c r="C200" s="95" t="str">
        <f t="array" ref="C200">IF(I200&gt;0,INDEX(DB,I200,8),"")</f>
        <v/>
      </c>
      <c r="D200" s="437">
        <f t="shared" si="1"/>
        <v>0</v>
      </c>
      <c r="F200" s="438">
        <f t="shared" si="2"/>
        <v>0</v>
      </c>
      <c r="G200" t="str">
        <f t="shared" si="3"/>
        <v/>
      </c>
      <c r="H200" t="b">
        <f t="shared" si="4"/>
        <v>0</v>
      </c>
      <c r="I200" s="439">
        <f>IF(OR(ISBLANK(A200),ISNA(MATCH(A200&amp;"",AthleteNumbers,0))),0,MATCH(A200&amp;"",AthleteNumbers,0))</f>
        <v>0</v>
      </c>
      <c r="J200" s="209">
        <f t="array" ref="J200">IF(I200&gt;0,INDEX(DB,$I200,6),0)</f>
        <v>0</v>
      </c>
      <c r="K200" s="440">
        <f t="shared" si="5"/>
        <v>0</v>
      </c>
      <c r="L200" s="440">
        <f t="shared" si="6"/>
        <v>0</v>
      </c>
      <c r="M200" s="441">
        <f>IF(AND(L200&gt;O200,O200&gt;0),MinPoints,IF(L200&lt;N200,100,+INT((O200-$L200)/P200)+MinPoints))</f>
        <v>100</v>
      </c>
      <c r="N200" s="440">
        <f t="shared" si="7"/>
        <v>7</v>
      </c>
      <c r="O200" s="440">
        <f t="shared" si="8"/>
        <v>16</v>
      </c>
      <c r="P200" s="440">
        <f t="shared" si="9"/>
        <v>0.1</v>
      </c>
      <c r="Q200">
        <f t="array" ref="Q200">IF(I200&gt;0,INDEX(DB,I200,9),EventIndex)</f>
        <v>6</v>
      </c>
      <c r="S200" s="442">
        <f t="array" ref="S200">INDEX(MINVALUES,$Q200,$K$1)</f>
        <v>16</v>
      </c>
      <c r="T200">
        <f t="array" ref="T200">INDEX(INCVALUES,$Q200,$K$1)</f>
        <v>0.1</v>
      </c>
      <c r="V200">
        <f t="array" ref="V200">+J200+(4*(INDEX(MatchScoreTable,$Q200,20)-1))</f>
        <v>4</v>
      </c>
      <c r="W200">
        <f t="array" ref="W200">INDEX(INC_MINVALUES,$V200,$K$1)</f>
        <v>34</v>
      </c>
      <c r="X200" s="212">
        <f t="array" ref="X200">INDEX(INC_INCVALUES,$V200,$K$1)</f>
        <v>0.3</v>
      </c>
    </row>
    <row r="201" ht="15.75" customHeight="1">
      <c r="A201" s="435"/>
      <c r="B201" s="436"/>
      <c r="C201" s="95" t="str">
        <f t="array" ref="C201">IF(I201&gt;0,INDEX(DB,I201,8),"")</f>
        <v/>
      </c>
      <c r="D201" s="437">
        <f t="shared" si="1"/>
        <v>0</v>
      </c>
      <c r="F201" s="438">
        <f t="shared" si="2"/>
        <v>0</v>
      </c>
      <c r="G201" t="str">
        <f t="shared" si="3"/>
        <v/>
      </c>
      <c r="H201" t="b">
        <f t="shared" si="4"/>
        <v>0</v>
      </c>
      <c r="I201" s="439">
        <f>IF(OR(ISBLANK(A201),ISNA(MATCH(A201&amp;"",AthleteNumbers,0))),0,MATCH(A201&amp;"",AthleteNumbers,0))</f>
        <v>0</v>
      </c>
      <c r="J201" s="209">
        <f t="array" ref="J201">IF(I201&gt;0,INDEX(DB,$I201,6),0)</f>
        <v>0</v>
      </c>
      <c r="K201" s="440">
        <f t="shared" si="5"/>
        <v>0</v>
      </c>
      <c r="L201" s="440">
        <f t="shared" si="6"/>
        <v>0</v>
      </c>
      <c r="M201" s="441">
        <f>IF(AND(L201&gt;O201,O201&gt;0),MinPoints,IF(L201&lt;N201,100,+INT((O201-$L201)/P201)+MinPoints))</f>
        <v>100</v>
      </c>
      <c r="N201" s="440">
        <f t="shared" si="7"/>
        <v>7</v>
      </c>
      <c r="O201" s="440">
        <f t="shared" si="8"/>
        <v>16</v>
      </c>
      <c r="P201" s="440">
        <f t="shared" si="9"/>
        <v>0.1</v>
      </c>
      <c r="Q201">
        <f t="array" ref="Q201">IF(I201&gt;0,INDEX(DB,I201,9),EventIndex)</f>
        <v>6</v>
      </c>
      <c r="S201" s="442">
        <f t="array" ref="S201">INDEX(MINVALUES,$Q201,$K$1)</f>
        <v>16</v>
      </c>
      <c r="T201">
        <f t="array" ref="T201">INDEX(INCVALUES,$Q201,$K$1)</f>
        <v>0.1</v>
      </c>
      <c r="V201">
        <f t="array" ref="V201">+J201+(4*(INDEX(MatchScoreTable,$Q201,20)-1))</f>
        <v>4</v>
      </c>
      <c r="W201">
        <f t="array" ref="W201">INDEX(INC_MINVALUES,$V201,$K$1)</f>
        <v>34</v>
      </c>
      <c r="X201" s="212">
        <f t="array" ref="X201">INDEX(INC_INCVALUES,$V201,$K$1)</f>
        <v>0.3</v>
      </c>
    </row>
    <row r="202" ht="15.75" customHeight="1">
      <c r="A202" s="435"/>
      <c r="B202" s="436"/>
      <c r="C202" s="95" t="str">
        <f t="array" ref="C202">IF(I202&gt;0,INDEX(DB,I202,8),"")</f>
        <v/>
      </c>
      <c r="D202" s="437">
        <f t="shared" si="1"/>
        <v>0</v>
      </c>
      <c r="F202" s="438">
        <f t="shared" si="2"/>
        <v>0</v>
      </c>
      <c r="G202" t="str">
        <f t="shared" si="3"/>
        <v/>
      </c>
      <c r="H202" t="b">
        <f t="shared" si="4"/>
        <v>0</v>
      </c>
      <c r="I202" s="439">
        <f>IF(OR(ISBLANK(A202),ISNA(MATCH(A202&amp;"",AthleteNumbers,0))),0,MATCH(A202&amp;"",AthleteNumbers,0))</f>
        <v>0</v>
      </c>
      <c r="J202" s="209">
        <f t="array" ref="J202">IF(I202&gt;0,INDEX(DB,$I202,6),0)</f>
        <v>0</v>
      </c>
      <c r="K202" s="440">
        <f t="shared" si="5"/>
        <v>0</v>
      </c>
      <c r="L202" s="440">
        <f t="shared" si="6"/>
        <v>0</v>
      </c>
      <c r="M202" s="441">
        <f>IF(AND(L202&gt;O202,O202&gt;0),MinPoints,IF(L202&lt;N202,100,+INT((O202-$L202)/P202)+MinPoints))</f>
        <v>100</v>
      </c>
      <c r="N202" s="440">
        <f t="shared" si="7"/>
        <v>7</v>
      </c>
      <c r="O202" s="440">
        <f t="shared" si="8"/>
        <v>16</v>
      </c>
      <c r="P202" s="440">
        <f t="shared" si="9"/>
        <v>0.1</v>
      </c>
      <c r="Q202">
        <f t="array" ref="Q202">IF(I202&gt;0,INDEX(DB,I202,9),EventIndex)</f>
        <v>6</v>
      </c>
      <c r="S202" s="442">
        <f t="array" ref="S202">INDEX(MINVALUES,$Q202,$K$1)</f>
        <v>16</v>
      </c>
      <c r="T202">
        <f t="array" ref="T202">INDEX(INCVALUES,$Q202,$K$1)</f>
        <v>0.1</v>
      </c>
      <c r="V202">
        <f t="array" ref="V202">+J202+(4*(INDEX(MatchScoreTable,$Q202,20)-1))</f>
        <v>4</v>
      </c>
      <c r="W202">
        <f t="array" ref="W202">INDEX(INC_MINVALUES,$V202,$K$1)</f>
        <v>34</v>
      </c>
      <c r="X202" s="212">
        <f t="array" ref="X202">INDEX(INC_INCVALUES,$V202,$K$1)</f>
        <v>0.3</v>
      </c>
    </row>
    <row r="203" ht="15.75" customHeight="1">
      <c r="A203" s="435"/>
      <c r="B203" s="436"/>
      <c r="C203" s="95" t="str">
        <f t="array" ref="C203">IF(I203&gt;0,INDEX(DB,I203,8),"")</f>
        <v/>
      </c>
      <c r="D203" s="437">
        <f t="shared" si="1"/>
        <v>0</v>
      </c>
      <c r="F203" s="438">
        <f t="shared" si="2"/>
        <v>0</v>
      </c>
      <c r="G203" t="str">
        <f t="shared" si="3"/>
        <v/>
      </c>
      <c r="H203" t="b">
        <f t="shared" si="4"/>
        <v>0</v>
      </c>
      <c r="I203" s="439">
        <f>IF(OR(ISBLANK(A203),ISNA(MATCH(A203&amp;"",AthleteNumbers,0))),0,MATCH(A203&amp;"",AthleteNumbers,0))</f>
        <v>0</v>
      </c>
      <c r="J203" s="209">
        <f t="array" ref="J203">IF(I203&gt;0,INDEX(DB,$I203,6),0)</f>
        <v>0</v>
      </c>
      <c r="K203" s="440">
        <f t="shared" si="5"/>
        <v>0</v>
      </c>
      <c r="L203" s="440">
        <f t="shared" si="6"/>
        <v>0</v>
      </c>
      <c r="M203" s="441">
        <f>IF(AND(L203&gt;O203,O203&gt;0),MinPoints,IF(L203&lt;N203,100,+INT((O203-$L203)/P203)+MinPoints))</f>
        <v>100</v>
      </c>
      <c r="N203" s="440">
        <f t="shared" si="7"/>
        <v>7</v>
      </c>
      <c r="O203" s="440">
        <f t="shared" si="8"/>
        <v>16</v>
      </c>
      <c r="P203" s="440">
        <f t="shared" si="9"/>
        <v>0.1</v>
      </c>
      <c r="Q203">
        <f t="array" ref="Q203">IF(I203&gt;0,INDEX(DB,I203,9),EventIndex)</f>
        <v>6</v>
      </c>
      <c r="S203" s="442">
        <f t="array" ref="S203">INDEX(MINVALUES,$Q203,$K$1)</f>
        <v>16</v>
      </c>
      <c r="T203">
        <f t="array" ref="T203">INDEX(INCVALUES,$Q203,$K$1)</f>
        <v>0.1</v>
      </c>
      <c r="V203">
        <f t="array" ref="V203">+J203+(4*(INDEX(MatchScoreTable,$Q203,20)-1))</f>
        <v>4</v>
      </c>
      <c r="W203">
        <f t="array" ref="W203">INDEX(INC_MINVALUES,$V203,$K$1)</f>
        <v>34</v>
      </c>
      <c r="X203" s="212">
        <f t="array" ref="X203">INDEX(INC_INCVALUES,$V203,$K$1)</f>
        <v>0.3</v>
      </c>
    </row>
    <row r="204" ht="15.75" customHeight="1">
      <c r="A204" s="435"/>
      <c r="B204" s="436"/>
      <c r="C204" s="95" t="str">
        <f t="array" ref="C204">IF(I204&gt;0,INDEX(DB,I204,8),"")</f>
        <v/>
      </c>
      <c r="D204" s="437">
        <f t="shared" si="1"/>
        <v>0</v>
      </c>
      <c r="F204" s="438">
        <f t="shared" si="2"/>
        <v>0</v>
      </c>
      <c r="G204" t="str">
        <f t="shared" si="3"/>
        <v/>
      </c>
      <c r="H204" t="b">
        <f t="shared" si="4"/>
        <v>0</v>
      </c>
      <c r="I204" s="439">
        <f>IF(OR(ISBLANK(A204),ISNA(MATCH(A204&amp;"",AthleteNumbers,0))),0,MATCH(A204&amp;"",AthleteNumbers,0))</f>
        <v>0</v>
      </c>
      <c r="J204" s="209">
        <f t="array" ref="J204">IF(I204&gt;0,INDEX(DB,$I204,6),0)</f>
        <v>0</v>
      </c>
      <c r="K204" s="440">
        <f t="shared" si="5"/>
        <v>0</v>
      </c>
      <c r="L204" s="440">
        <f t="shared" si="6"/>
        <v>0</v>
      </c>
      <c r="M204" s="441">
        <f>IF(AND(L204&gt;O204,O204&gt;0),MinPoints,IF(L204&lt;N204,100,+INT((O204-$L204)/P204)+MinPoints))</f>
        <v>100</v>
      </c>
      <c r="N204" s="440">
        <f t="shared" si="7"/>
        <v>7</v>
      </c>
      <c r="O204" s="440">
        <f t="shared" si="8"/>
        <v>16</v>
      </c>
      <c r="P204" s="440">
        <f t="shared" si="9"/>
        <v>0.1</v>
      </c>
      <c r="Q204">
        <f t="array" ref="Q204">IF(I204&gt;0,INDEX(DB,I204,9),EventIndex)</f>
        <v>6</v>
      </c>
      <c r="S204" s="442">
        <f t="array" ref="S204">INDEX(MINVALUES,$Q204,$K$1)</f>
        <v>16</v>
      </c>
      <c r="T204">
        <f t="array" ref="T204">INDEX(INCVALUES,$Q204,$K$1)</f>
        <v>0.1</v>
      </c>
      <c r="V204">
        <f t="array" ref="V204">+J204+(4*(INDEX(MatchScoreTable,$Q204,20)-1))</f>
        <v>4</v>
      </c>
      <c r="W204">
        <f t="array" ref="W204">INDEX(INC_MINVALUES,$V204,$K$1)</f>
        <v>34</v>
      </c>
      <c r="X204" s="212">
        <f t="array" ref="X204">INDEX(INC_INCVALUES,$V204,$K$1)</f>
        <v>0.3</v>
      </c>
    </row>
    <row r="205" ht="15.75" customHeight="1">
      <c r="A205" s="435"/>
      <c r="B205" s="436"/>
      <c r="C205" s="95" t="str">
        <f t="array" ref="C205">IF(I205&gt;0,INDEX(DB,I205,8),"")</f>
        <v/>
      </c>
      <c r="D205" s="437">
        <f t="shared" si="1"/>
        <v>0</v>
      </c>
      <c r="F205" s="438">
        <f t="shared" si="2"/>
        <v>0</v>
      </c>
      <c r="G205" t="str">
        <f t="shared" si="3"/>
        <v/>
      </c>
      <c r="H205" t="b">
        <f t="shared" si="4"/>
        <v>0</v>
      </c>
      <c r="I205" s="439">
        <f>IF(OR(ISBLANK(A205),ISNA(MATCH(A205&amp;"",AthleteNumbers,0))),0,MATCH(A205&amp;"",AthleteNumbers,0))</f>
        <v>0</v>
      </c>
      <c r="J205" s="209">
        <f t="array" ref="J205">IF(I205&gt;0,INDEX(DB,$I205,6),0)</f>
        <v>0</v>
      </c>
      <c r="K205" s="440">
        <f t="shared" si="5"/>
        <v>0</v>
      </c>
      <c r="L205" s="440">
        <f t="shared" si="6"/>
        <v>0</v>
      </c>
      <c r="M205" s="441">
        <f>IF(AND(L205&gt;O205,O205&gt;0),MinPoints,IF(L205&lt;N205,100,+INT((O205-$L205)/P205)+MinPoints))</f>
        <v>100</v>
      </c>
      <c r="N205" s="440">
        <f t="shared" si="7"/>
        <v>7</v>
      </c>
      <c r="O205" s="440">
        <f t="shared" si="8"/>
        <v>16</v>
      </c>
      <c r="P205" s="440">
        <f t="shared" si="9"/>
        <v>0.1</v>
      </c>
      <c r="Q205">
        <f t="array" ref="Q205">IF(I205&gt;0,INDEX(DB,I205,9),EventIndex)</f>
        <v>6</v>
      </c>
      <c r="S205" s="442">
        <f t="array" ref="S205">INDEX(MINVALUES,$Q205,$K$1)</f>
        <v>16</v>
      </c>
      <c r="T205">
        <f t="array" ref="T205">INDEX(INCVALUES,$Q205,$K$1)</f>
        <v>0.1</v>
      </c>
      <c r="V205">
        <f t="array" ref="V205">+J205+(4*(INDEX(MatchScoreTable,$Q205,20)-1))</f>
        <v>4</v>
      </c>
      <c r="W205">
        <f t="array" ref="W205">INDEX(INC_MINVALUES,$V205,$K$1)</f>
        <v>34</v>
      </c>
      <c r="X205" s="212">
        <f t="array" ref="X205">INDEX(INC_INCVALUES,$V205,$K$1)</f>
        <v>0.3</v>
      </c>
    </row>
    <row r="206" ht="15.75" customHeight="1">
      <c r="A206" s="435"/>
      <c r="B206" s="436"/>
      <c r="C206" s="95" t="str">
        <f t="array" ref="C206">IF(I206&gt;0,INDEX(DB,I206,8),"")</f>
        <v/>
      </c>
      <c r="D206" s="437">
        <f t="shared" si="1"/>
        <v>0</v>
      </c>
      <c r="F206" s="438">
        <f t="shared" si="2"/>
        <v>0</v>
      </c>
      <c r="G206" t="str">
        <f t="shared" si="3"/>
        <v/>
      </c>
      <c r="H206" t="b">
        <f t="shared" si="4"/>
        <v>0</v>
      </c>
      <c r="I206" s="439">
        <f>IF(OR(ISBLANK(A206),ISNA(MATCH(A206&amp;"",AthleteNumbers,0))),0,MATCH(A206&amp;"",AthleteNumbers,0))</f>
        <v>0</v>
      </c>
      <c r="J206" s="209">
        <f t="array" ref="J206">IF(I206&gt;0,INDEX(DB,$I206,6),0)</f>
        <v>0</v>
      </c>
      <c r="K206" s="440">
        <f t="shared" si="5"/>
        <v>0</v>
      </c>
      <c r="L206" s="440">
        <f t="shared" si="6"/>
        <v>0</v>
      </c>
      <c r="M206" s="441">
        <f>IF(AND(L206&gt;O206,O206&gt;0),MinPoints,IF(L206&lt;N206,100,+INT((O206-$L206)/P206)+MinPoints))</f>
        <v>100</v>
      </c>
      <c r="N206" s="440">
        <f t="shared" si="7"/>
        <v>7</v>
      </c>
      <c r="O206" s="440">
        <f t="shared" si="8"/>
        <v>16</v>
      </c>
      <c r="P206" s="440">
        <f t="shared" si="9"/>
        <v>0.1</v>
      </c>
      <c r="Q206">
        <f t="array" ref="Q206">IF(I206&gt;0,INDEX(DB,I206,9),EventIndex)</f>
        <v>6</v>
      </c>
      <c r="S206" s="442">
        <f t="array" ref="S206">INDEX(MINVALUES,$Q206,$K$1)</f>
        <v>16</v>
      </c>
      <c r="T206">
        <f t="array" ref="T206">INDEX(INCVALUES,$Q206,$K$1)</f>
        <v>0.1</v>
      </c>
      <c r="V206">
        <f t="array" ref="V206">+J206+(4*(INDEX(MatchScoreTable,$Q206,20)-1))</f>
        <v>4</v>
      </c>
      <c r="W206">
        <f t="array" ref="W206">INDEX(INC_MINVALUES,$V206,$K$1)</f>
        <v>34</v>
      </c>
      <c r="X206" s="212">
        <f t="array" ref="X206">INDEX(INC_INCVALUES,$V206,$K$1)</f>
        <v>0.3</v>
      </c>
    </row>
    <row r="207" ht="15.75" customHeight="1">
      <c r="A207" s="435"/>
      <c r="B207" s="436"/>
      <c r="C207" s="95" t="str">
        <f t="array" ref="C207">IF(I207&gt;0,INDEX(DB,I207,8),"")</f>
        <v/>
      </c>
      <c r="D207" s="437">
        <f t="shared" si="1"/>
        <v>0</v>
      </c>
      <c r="F207" s="438">
        <f t="shared" si="2"/>
        <v>0</v>
      </c>
      <c r="G207" t="str">
        <f t="shared" si="3"/>
        <v/>
      </c>
      <c r="H207" t="b">
        <f t="shared" si="4"/>
        <v>0</v>
      </c>
      <c r="I207" s="439">
        <f>IF(OR(ISBLANK(A207),ISNA(MATCH(A207&amp;"",AthleteNumbers,0))),0,MATCH(A207&amp;"",AthleteNumbers,0))</f>
        <v>0</v>
      </c>
      <c r="J207" s="209">
        <f t="array" ref="J207">IF(I207&gt;0,INDEX(DB,$I207,6),0)</f>
        <v>0</v>
      </c>
      <c r="K207" s="440">
        <f t="shared" si="5"/>
        <v>0</v>
      </c>
      <c r="L207" s="440">
        <f t="shared" si="6"/>
        <v>0</v>
      </c>
      <c r="M207" s="441">
        <f>IF(AND(L207&gt;O207,O207&gt;0),MinPoints,IF(L207&lt;N207,100,+INT((O207-$L207)/P207)+MinPoints))</f>
        <v>100</v>
      </c>
      <c r="N207" s="440">
        <f t="shared" si="7"/>
        <v>7</v>
      </c>
      <c r="O207" s="440">
        <f t="shared" si="8"/>
        <v>16</v>
      </c>
      <c r="P207" s="440">
        <f t="shared" si="9"/>
        <v>0.1</v>
      </c>
      <c r="Q207">
        <f t="array" ref="Q207">IF(I207&gt;0,INDEX(DB,I207,9),EventIndex)</f>
        <v>6</v>
      </c>
      <c r="S207" s="442">
        <f t="array" ref="S207">INDEX(MINVALUES,$Q207,$K$1)</f>
        <v>16</v>
      </c>
      <c r="T207">
        <f t="array" ref="T207">INDEX(INCVALUES,$Q207,$K$1)</f>
        <v>0.1</v>
      </c>
      <c r="V207">
        <f t="array" ref="V207">+J207+(4*(INDEX(MatchScoreTable,$Q207,20)-1))</f>
        <v>4</v>
      </c>
      <c r="W207">
        <f t="array" ref="W207">INDEX(INC_MINVALUES,$V207,$K$1)</f>
        <v>34</v>
      </c>
      <c r="X207" s="212">
        <f t="array" ref="X207">INDEX(INC_INCVALUES,$V207,$K$1)</f>
        <v>0.3</v>
      </c>
    </row>
    <row r="208" ht="15.75" customHeight="1">
      <c r="A208" s="435"/>
      <c r="B208" s="436"/>
      <c r="C208" s="95" t="str">
        <f t="array" ref="C208">IF(I208&gt;0,INDEX(DB,I208,8),"")</f>
        <v/>
      </c>
      <c r="D208" s="437">
        <f t="shared" si="1"/>
        <v>0</v>
      </c>
      <c r="F208" s="438">
        <f t="shared" si="2"/>
        <v>0</v>
      </c>
      <c r="G208" t="str">
        <f t="shared" si="3"/>
        <v/>
      </c>
      <c r="H208" t="b">
        <f t="shared" si="4"/>
        <v>0</v>
      </c>
      <c r="I208" s="439">
        <f>IF(OR(ISBLANK(A208),ISNA(MATCH(A208&amp;"",AthleteNumbers,0))),0,MATCH(A208&amp;"",AthleteNumbers,0))</f>
        <v>0</v>
      </c>
      <c r="J208" s="209">
        <f t="array" ref="J208">IF(I208&gt;0,INDEX(DB,$I208,6),0)</f>
        <v>0</v>
      </c>
      <c r="K208" s="440">
        <f t="shared" si="5"/>
        <v>0</v>
      </c>
      <c r="L208" s="440">
        <f t="shared" si="6"/>
        <v>0</v>
      </c>
      <c r="M208" s="441">
        <f>IF(AND(L208&gt;O208,O208&gt;0),MinPoints,IF(L208&lt;N208,100,+INT((O208-$L208)/P208)+MinPoints))</f>
        <v>100</v>
      </c>
      <c r="N208" s="440">
        <f t="shared" si="7"/>
        <v>7</v>
      </c>
      <c r="O208" s="440">
        <f t="shared" si="8"/>
        <v>16</v>
      </c>
      <c r="P208" s="440">
        <f t="shared" si="9"/>
        <v>0.1</v>
      </c>
      <c r="Q208">
        <f t="array" ref="Q208">IF(I208&gt;0,INDEX(DB,I208,9),EventIndex)</f>
        <v>6</v>
      </c>
      <c r="S208" s="442">
        <f t="array" ref="S208">INDEX(MINVALUES,$Q208,$K$1)</f>
        <v>16</v>
      </c>
      <c r="T208">
        <f t="array" ref="T208">INDEX(INCVALUES,$Q208,$K$1)</f>
        <v>0.1</v>
      </c>
      <c r="V208">
        <f t="array" ref="V208">+J208+(4*(INDEX(MatchScoreTable,$Q208,20)-1))</f>
        <v>4</v>
      </c>
      <c r="W208">
        <f t="array" ref="W208">INDEX(INC_MINVALUES,$V208,$K$1)</f>
        <v>34</v>
      </c>
      <c r="X208" s="212">
        <f t="array" ref="X208">INDEX(INC_INCVALUES,$V208,$K$1)</f>
        <v>0.3</v>
      </c>
    </row>
    <row r="209" ht="15.75" customHeight="1">
      <c r="A209" s="435"/>
      <c r="B209" s="436"/>
      <c r="C209" s="95" t="str">
        <f t="array" ref="C209">IF(I209&gt;0,INDEX(DB,I209,8),"")</f>
        <v/>
      </c>
      <c r="D209" s="437">
        <f t="shared" si="1"/>
        <v>0</v>
      </c>
      <c r="F209" s="438">
        <f t="shared" si="2"/>
        <v>0</v>
      </c>
      <c r="G209" t="str">
        <f t="shared" si="3"/>
        <v/>
      </c>
      <c r="H209" t="b">
        <f t="shared" si="4"/>
        <v>0</v>
      </c>
      <c r="I209" s="439">
        <f>IF(OR(ISBLANK(A209),ISNA(MATCH(A209&amp;"",AthleteNumbers,0))),0,MATCH(A209&amp;"",AthleteNumbers,0))</f>
        <v>0</v>
      </c>
      <c r="J209" s="209">
        <f t="array" ref="J209">IF(I209&gt;0,INDEX(DB,$I209,6),0)</f>
        <v>0</v>
      </c>
      <c r="K209" s="440">
        <f t="shared" si="5"/>
        <v>0</v>
      </c>
      <c r="L209" s="440">
        <f t="shared" si="6"/>
        <v>0</v>
      </c>
      <c r="M209" s="441">
        <f>IF(AND(L209&gt;O209,O209&gt;0),MinPoints,IF(L209&lt;N209,100,+INT((O209-$L209)/P209)+MinPoints))</f>
        <v>100</v>
      </c>
      <c r="N209" s="440">
        <f t="shared" si="7"/>
        <v>7</v>
      </c>
      <c r="O209" s="440">
        <f t="shared" si="8"/>
        <v>16</v>
      </c>
      <c r="P209" s="440">
        <f t="shared" si="9"/>
        <v>0.1</v>
      </c>
      <c r="Q209">
        <f t="array" ref="Q209">IF(I209&gt;0,INDEX(DB,I209,9),EventIndex)</f>
        <v>6</v>
      </c>
      <c r="S209" s="442">
        <f t="array" ref="S209">INDEX(MINVALUES,$Q209,$K$1)</f>
        <v>16</v>
      </c>
      <c r="T209">
        <f t="array" ref="T209">INDEX(INCVALUES,$Q209,$K$1)</f>
        <v>0.1</v>
      </c>
      <c r="V209">
        <f t="array" ref="V209">+J209+(4*(INDEX(MatchScoreTable,$Q209,20)-1))</f>
        <v>4</v>
      </c>
      <c r="W209">
        <f t="array" ref="W209">INDEX(INC_MINVALUES,$V209,$K$1)</f>
        <v>34</v>
      </c>
      <c r="X209" s="212">
        <f t="array" ref="X209">INDEX(INC_INCVALUES,$V209,$K$1)</f>
        <v>0.3</v>
      </c>
    </row>
    <row r="210" ht="15.75" customHeight="1">
      <c r="A210" s="435"/>
      <c r="B210" s="436"/>
      <c r="C210" s="95" t="str">
        <f t="array" ref="C210">IF(I210&gt;0,INDEX(DB,I210,8),"")</f>
        <v/>
      </c>
      <c r="D210" s="437">
        <f t="shared" si="1"/>
        <v>0</v>
      </c>
      <c r="F210" s="438">
        <f t="shared" si="2"/>
        <v>0</v>
      </c>
      <c r="G210" t="str">
        <f t="shared" si="3"/>
        <v/>
      </c>
      <c r="H210" t="b">
        <f t="shared" si="4"/>
        <v>0</v>
      </c>
      <c r="I210" s="439">
        <f>IF(OR(ISBLANK(A210),ISNA(MATCH(A210&amp;"",AthleteNumbers,0))),0,MATCH(A210&amp;"",AthleteNumbers,0))</f>
        <v>0</v>
      </c>
      <c r="J210" s="209">
        <f t="array" ref="J210">IF(I210&gt;0,INDEX(DB,$I210,6),0)</f>
        <v>0</v>
      </c>
      <c r="K210" s="440">
        <f t="shared" si="5"/>
        <v>0</v>
      </c>
      <c r="L210" s="440">
        <f t="shared" si="6"/>
        <v>0</v>
      </c>
      <c r="M210" s="441">
        <f>IF(AND(L210&gt;O210,O210&gt;0),MinPoints,IF(L210&lt;N210,100,+INT((O210-$L210)/P210)+MinPoints))</f>
        <v>100</v>
      </c>
      <c r="N210" s="440">
        <f t="shared" si="7"/>
        <v>7</v>
      </c>
      <c r="O210" s="440">
        <f t="shared" si="8"/>
        <v>16</v>
      </c>
      <c r="P210" s="440">
        <f t="shared" si="9"/>
        <v>0.1</v>
      </c>
      <c r="Q210">
        <f t="array" ref="Q210">IF(I210&gt;0,INDEX(DB,I210,9),EventIndex)</f>
        <v>6</v>
      </c>
      <c r="S210" s="442">
        <f t="array" ref="S210">INDEX(MINVALUES,$Q210,$K$1)</f>
        <v>16</v>
      </c>
      <c r="T210">
        <f t="array" ref="T210">INDEX(INCVALUES,$Q210,$K$1)</f>
        <v>0.1</v>
      </c>
      <c r="V210">
        <f t="array" ref="V210">+J210+(4*(INDEX(MatchScoreTable,$Q210,20)-1))</f>
        <v>4</v>
      </c>
      <c r="W210">
        <f t="array" ref="W210">INDEX(INC_MINVALUES,$V210,$K$1)</f>
        <v>34</v>
      </c>
      <c r="X210" s="212">
        <f t="array" ref="X210">INDEX(INC_INCVALUES,$V210,$K$1)</f>
        <v>0.3</v>
      </c>
    </row>
    <row r="211" ht="15.75" customHeight="1">
      <c r="A211" s="435"/>
      <c r="B211" s="436"/>
      <c r="C211" s="95" t="str">
        <f t="array" ref="C211">IF(I211&gt;0,INDEX(DB,I211,8),"")</f>
        <v/>
      </c>
      <c r="D211" s="437">
        <f t="shared" si="1"/>
        <v>0</v>
      </c>
      <c r="F211" s="438">
        <f t="shared" si="2"/>
        <v>0</v>
      </c>
      <c r="G211" t="str">
        <f t="shared" si="3"/>
        <v/>
      </c>
      <c r="H211" t="b">
        <f t="shared" si="4"/>
        <v>0</v>
      </c>
      <c r="I211" s="439">
        <f>IF(OR(ISBLANK(A211),ISNA(MATCH(A211&amp;"",AthleteNumbers,0))),0,MATCH(A211&amp;"",AthleteNumbers,0))</f>
        <v>0</v>
      </c>
      <c r="J211" s="209">
        <f t="array" ref="J211">IF(I211&gt;0,INDEX(DB,$I211,6),0)</f>
        <v>0</v>
      </c>
      <c r="K211" s="440">
        <f t="shared" si="5"/>
        <v>0</v>
      </c>
      <c r="L211" s="440">
        <f t="shared" si="6"/>
        <v>0</v>
      </c>
      <c r="M211" s="441">
        <f>IF(AND(L211&gt;O211,O211&gt;0),MinPoints,IF(L211&lt;N211,100,+INT((O211-$L211)/P211)+MinPoints))</f>
        <v>100</v>
      </c>
      <c r="N211" s="440">
        <f t="shared" si="7"/>
        <v>7</v>
      </c>
      <c r="O211" s="440">
        <f t="shared" si="8"/>
        <v>16</v>
      </c>
      <c r="P211" s="440">
        <f t="shared" si="9"/>
        <v>0.1</v>
      </c>
      <c r="Q211">
        <f t="array" ref="Q211">IF(I211&gt;0,INDEX(DB,I211,9),EventIndex)</f>
        <v>6</v>
      </c>
      <c r="S211" s="442">
        <f t="array" ref="S211">INDEX(MINVALUES,$Q211,$K$1)</f>
        <v>16</v>
      </c>
      <c r="T211">
        <f t="array" ref="T211">INDEX(INCVALUES,$Q211,$K$1)</f>
        <v>0.1</v>
      </c>
      <c r="V211">
        <f t="array" ref="V211">+J211+(4*(INDEX(MatchScoreTable,$Q211,20)-1))</f>
        <v>4</v>
      </c>
      <c r="W211">
        <f t="array" ref="W211">INDEX(INC_MINVALUES,$V211,$K$1)</f>
        <v>34</v>
      </c>
      <c r="X211" s="212">
        <f t="array" ref="X211">INDEX(INC_INCVALUES,$V211,$K$1)</f>
        <v>0.3</v>
      </c>
    </row>
    <row r="212" ht="15.75" customHeight="1">
      <c r="A212" s="435"/>
      <c r="B212" s="436"/>
      <c r="C212" s="95" t="str">
        <f t="array" ref="C212">IF(I212&gt;0,INDEX(DB,I212,8),"")</f>
        <v/>
      </c>
      <c r="D212" s="437">
        <f t="shared" si="1"/>
        <v>0</v>
      </c>
      <c r="F212" s="438">
        <f t="shared" si="2"/>
        <v>0</v>
      </c>
      <c r="G212" t="str">
        <f t="shared" si="3"/>
        <v/>
      </c>
      <c r="H212" t="b">
        <f t="shared" si="4"/>
        <v>0</v>
      </c>
      <c r="I212" s="439">
        <f>IF(OR(ISBLANK(A212),ISNA(MATCH(A212&amp;"",AthleteNumbers,0))),0,MATCH(A212&amp;"",AthleteNumbers,0))</f>
        <v>0</v>
      </c>
      <c r="J212" s="209">
        <f t="array" ref="J212">IF(I212&gt;0,INDEX(DB,$I212,6),0)</f>
        <v>0</v>
      </c>
      <c r="K212" s="440">
        <f t="shared" si="5"/>
        <v>0</v>
      </c>
      <c r="L212" s="440">
        <f t="shared" si="6"/>
        <v>0</v>
      </c>
      <c r="M212" s="441">
        <f>IF(AND(L212&gt;O212,O212&gt;0),MinPoints,IF(L212&lt;N212,100,+INT((O212-$L212)/P212)+MinPoints))</f>
        <v>100</v>
      </c>
      <c r="N212" s="440">
        <f t="shared" si="7"/>
        <v>7</v>
      </c>
      <c r="O212" s="440">
        <f t="shared" si="8"/>
        <v>16</v>
      </c>
      <c r="P212" s="440">
        <f t="shared" si="9"/>
        <v>0.1</v>
      </c>
      <c r="Q212">
        <f t="array" ref="Q212">IF(I212&gt;0,INDEX(DB,I212,9),EventIndex)</f>
        <v>6</v>
      </c>
      <c r="S212" s="442">
        <f t="array" ref="S212">INDEX(MINVALUES,$Q212,$K$1)</f>
        <v>16</v>
      </c>
      <c r="T212">
        <f t="array" ref="T212">INDEX(INCVALUES,$Q212,$K$1)</f>
        <v>0.1</v>
      </c>
      <c r="V212">
        <f t="array" ref="V212">+J212+(4*(INDEX(MatchScoreTable,$Q212,20)-1))</f>
        <v>4</v>
      </c>
      <c r="W212">
        <f t="array" ref="W212">INDEX(INC_MINVALUES,$V212,$K$1)</f>
        <v>34</v>
      </c>
      <c r="X212" s="212">
        <f t="array" ref="X212">INDEX(INC_INCVALUES,$V212,$K$1)</f>
        <v>0.3</v>
      </c>
    </row>
    <row r="213" ht="15.75" customHeight="1">
      <c r="A213" s="435"/>
      <c r="B213" s="436"/>
      <c r="C213" s="95" t="str">
        <f t="array" ref="C213">IF(I213&gt;0,INDEX(DB,I213,8),"")</f>
        <v/>
      </c>
      <c r="D213" s="437">
        <f t="shared" si="1"/>
        <v>0</v>
      </c>
      <c r="F213" s="438">
        <f t="shared" si="2"/>
        <v>0</v>
      </c>
      <c r="G213" t="str">
        <f t="shared" si="3"/>
        <v/>
      </c>
      <c r="H213" t="b">
        <f t="shared" si="4"/>
        <v>0</v>
      </c>
      <c r="I213" s="439">
        <f>IF(OR(ISBLANK(A213),ISNA(MATCH(A213&amp;"",AthleteNumbers,0))),0,MATCH(A213&amp;"",AthleteNumbers,0))</f>
        <v>0</v>
      </c>
      <c r="J213" s="209">
        <f t="array" ref="J213">IF(I213&gt;0,INDEX(DB,$I213,6),0)</f>
        <v>0</v>
      </c>
      <c r="K213" s="440">
        <f t="shared" si="5"/>
        <v>0</v>
      </c>
      <c r="L213" s="440">
        <f t="shared" si="6"/>
        <v>0</v>
      </c>
      <c r="M213" s="441">
        <f>IF(AND(L213&gt;O213,O213&gt;0),MinPoints,IF(L213&lt;N213,100,+INT((O213-$L213)/P213)+MinPoints))</f>
        <v>100</v>
      </c>
      <c r="N213" s="440">
        <f t="shared" si="7"/>
        <v>7</v>
      </c>
      <c r="O213" s="440">
        <f t="shared" si="8"/>
        <v>16</v>
      </c>
      <c r="P213" s="440">
        <f t="shared" si="9"/>
        <v>0.1</v>
      </c>
      <c r="Q213">
        <f t="array" ref="Q213">IF(I213&gt;0,INDEX(DB,I213,9),EventIndex)</f>
        <v>6</v>
      </c>
      <c r="S213" s="442">
        <f t="array" ref="S213">INDEX(MINVALUES,$Q213,$K$1)</f>
        <v>16</v>
      </c>
      <c r="T213">
        <f t="array" ref="T213">INDEX(INCVALUES,$Q213,$K$1)</f>
        <v>0.1</v>
      </c>
      <c r="V213">
        <f t="array" ref="V213">+J213+(4*(INDEX(MatchScoreTable,$Q213,20)-1))</f>
        <v>4</v>
      </c>
      <c r="W213">
        <f t="array" ref="W213">INDEX(INC_MINVALUES,$V213,$K$1)</f>
        <v>34</v>
      </c>
      <c r="X213" s="212">
        <f t="array" ref="X213">INDEX(INC_INCVALUES,$V213,$K$1)</f>
        <v>0.3</v>
      </c>
    </row>
    <row r="214" ht="15.75" customHeight="1">
      <c r="A214" s="435"/>
      <c r="B214" s="436"/>
      <c r="C214" s="95" t="str">
        <f t="array" ref="C214">IF(I214&gt;0,INDEX(DB,I214,8),"")</f>
        <v/>
      </c>
      <c r="D214" s="437">
        <f t="shared" si="1"/>
        <v>0</v>
      </c>
      <c r="F214" s="438">
        <f t="shared" si="2"/>
        <v>0</v>
      </c>
      <c r="G214" t="str">
        <f t="shared" si="3"/>
        <v/>
      </c>
      <c r="H214" t="b">
        <f t="shared" si="4"/>
        <v>0</v>
      </c>
      <c r="I214" s="439">
        <f>IF(OR(ISBLANK(A214),ISNA(MATCH(A214&amp;"",AthleteNumbers,0))),0,MATCH(A214&amp;"",AthleteNumbers,0))</f>
        <v>0</v>
      </c>
      <c r="J214" s="209">
        <f t="array" ref="J214">IF(I214&gt;0,INDEX(DB,$I214,6),0)</f>
        <v>0</v>
      </c>
      <c r="K214" s="440">
        <f t="shared" si="5"/>
        <v>0</v>
      </c>
      <c r="L214" s="440">
        <f t="shared" si="6"/>
        <v>0</v>
      </c>
      <c r="M214" s="441">
        <f>IF(AND(L214&gt;O214,O214&gt;0),MinPoints,IF(L214&lt;N214,100,+INT((O214-$L214)/P214)+MinPoints))</f>
        <v>100</v>
      </c>
      <c r="N214" s="440">
        <f t="shared" si="7"/>
        <v>7</v>
      </c>
      <c r="O214" s="440">
        <f t="shared" si="8"/>
        <v>16</v>
      </c>
      <c r="P214" s="440">
        <f t="shared" si="9"/>
        <v>0.1</v>
      </c>
      <c r="Q214">
        <f t="array" ref="Q214">IF(I214&gt;0,INDEX(DB,I214,9),EventIndex)</f>
        <v>6</v>
      </c>
      <c r="S214" s="442">
        <f t="array" ref="S214">INDEX(MINVALUES,$Q214,$K$1)</f>
        <v>16</v>
      </c>
      <c r="T214">
        <f t="array" ref="T214">INDEX(INCVALUES,$Q214,$K$1)</f>
        <v>0.1</v>
      </c>
      <c r="V214">
        <f t="array" ref="V214">+J214+(4*(INDEX(MatchScoreTable,$Q214,20)-1))</f>
        <v>4</v>
      </c>
      <c r="W214">
        <f t="array" ref="W214">INDEX(INC_MINVALUES,$V214,$K$1)</f>
        <v>34</v>
      </c>
      <c r="X214" s="212">
        <f t="array" ref="X214">INDEX(INC_INCVALUES,$V214,$K$1)</f>
        <v>0.3</v>
      </c>
    </row>
    <row r="215" ht="15.75" customHeight="1">
      <c r="A215" s="435"/>
      <c r="B215" s="436"/>
      <c r="C215" s="95" t="str">
        <f t="array" ref="C215">IF(I215&gt;0,INDEX(DB,I215,8),"")</f>
        <v/>
      </c>
      <c r="D215" s="437">
        <f t="shared" si="1"/>
        <v>0</v>
      </c>
      <c r="F215" s="438">
        <f t="shared" si="2"/>
        <v>0</v>
      </c>
      <c r="G215" t="str">
        <f t="shared" si="3"/>
        <v/>
      </c>
      <c r="H215" t="b">
        <f t="shared" si="4"/>
        <v>0</v>
      </c>
      <c r="I215" s="439">
        <f>IF(OR(ISBLANK(A215),ISNA(MATCH(A215&amp;"",AthleteNumbers,0))),0,MATCH(A215&amp;"",AthleteNumbers,0))</f>
        <v>0</v>
      </c>
      <c r="J215" s="209">
        <f t="array" ref="J215">IF(I215&gt;0,INDEX(DB,$I215,6),0)</f>
        <v>0</v>
      </c>
      <c r="K215" s="440">
        <f t="shared" si="5"/>
        <v>0</v>
      </c>
      <c r="L215" s="440">
        <f t="shared" si="6"/>
        <v>0</v>
      </c>
      <c r="M215" s="441">
        <f>IF(AND(L215&gt;O215,O215&gt;0),MinPoints,IF(L215&lt;N215,100,+INT((O215-$L215)/P215)+MinPoints))</f>
        <v>100</v>
      </c>
      <c r="N215" s="440">
        <f t="shared" si="7"/>
        <v>7</v>
      </c>
      <c r="O215" s="440">
        <f t="shared" si="8"/>
        <v>16</v>
      </c>
      <c r="P215" s="440">
        <f t="shared" si="9"/>
        <v>0.1</v>
      </c>
      <c r="Q215">
        <f t="array" ref="Q215">IF(I215&gt;0,INDEX(DB,I215,9),EventIndex)</f>
        <v>6</v>
      </c>
      <c r="S215" s="442">
        <f t="array" ref="S215">INDEX(MINVALUES,$Q215,$K$1)</f>
        <v>16</v>
      </c>
      <c r="T215">
        <f t="array" ref="T215">INDEX(INCVALUES,$Q215,$K$1)</f>
        <v>0.1</v>
      </c>
      <c r="V215">
        <f t="array" ref="V215">+J215+(4*(INDEX(MatchScoreTable,$Q215,20)-1))</f>
        <v>4</v>
      </c>
      <c r="W215">
        <f t="array" ref="W215">INDEX(INC_MINVALUES,$V215,$K$1)</f>
        <v>34</v>
      </c>
      <c r="X215" s="212">
        <f t="array" ref="X215">INDEX(INC_INCVALUES,$V215,$K$1)</f>
        <v>0.3</v>
      </c>
    </row>
    <row r="216" ht="15.75" customHeight="1">
      <c r="A216" s="435"/>
      <c r="B216" s="436"/>
      <c r="C216" s="95" t="str">
        <f t="array" ref="C216">IF(I216&gt;0,INDEX(DB,I216,8),"")</f>
        <v/>
      </c>
      <c r="D216" s="437">
        <f t="shared" si="1"/>
        <v>0</v>
      </c>
      <c r="F216" s="438">
        <f t="shared" si="2"/>
        <v>0</v>
      </c>
      <c r="G216" t="str">
        <f t="shared" si="3"/>
        <v/>
      </c>
      <c r="H216" t="b">
        <f t="shared" si="4"/>
        <v>0</v>
      </c>
      <c r="I216" s="439">
        <f>IF(OR(ISBLANK(A216),ISNA(MATCH(A216&amp;"",AthleteNumbers,0))),0,MATCH(A216&amp;"",AthleteNumbers,0))</f>
        <v>0</v>
      </c>
      <c r="J216" s="209">
        <f t="array" ref="J216">IF(I216&gt;0,INDEX(DB,$I216,6),0)</f>
        <v>0</v>
      </c>
      <c r="K216" s="440">
        <f t="shared" si="5"/>
        <v>0</v>
      </c>
      <c r="L216" s="440">
        <f t="shared" si="6"/>
        <v>0</v>
      </c>
      <c r="M216" s="441">
        <f>IF(AND(L216&gt;O216,O216&gt;0),MinPoints,IF(L216&lt;N216,100,+INT((O216-$L216)/P216)+MinPoints))</f>
        <v>100</v>
      </c>
      <c r="N216" s="440">
        <f t="shared" si="7"/>
        <v>7</v>
      </c>
      <c r="O216" s="440">
        <f t="shared" si="8"/>
        <v>16</v>
      </c>
      <c r="P216" s="440">
        <f t="shared" si="9"/>
        <v>0.1</v>
      </c>
      <c r="Q216">
        <f t="array" ref="Q216">IF(I216&gt;0,INDEX(DB,I216,9),EventIndex)</f>
        <v>6</v>
      </c>
      <c r="S216" s="442">
        <f t="array" ref="S216">INDEX(MINVALUES,$Q216,$K$1)</f>
        <v>16</v>
      </c>
      <c r="T216">
        <f t="array" ref="T216">INDEX(INCVALUES,$Q216,$K$1)</f>
        <v>0.1</v>
      </c>
      <c r="V216">
        <f t="array" ref="V216">+J216+(4*(INDEX(MatchScoreTable,$Q216,20)-1))</f>
        <v>4</v>
      </c>
      <c r="W216">
        <f t="array" ref="W216">INDEX(INC_MINVALUES,$V216,$K$1)</f>
        <v>34</v>
      </c>
      <c r="X216" s="212">
        <f t="array" ref="X216">INDEX(INC_INCVALUES,$V216,$K$1)</f>
        <v>0.3</v>
      </c>
    </row>
    <row r="217" ht="15.75" customHeight="1">
      <c r="A217" s="435"/>
      <c r="B217" s="436"/>
      <c r="C217" s="95" t="str">
        <f t="array" ref="C217">IF(I217&gt;0,INDEX(DB,I217,8),"")</f>
        <v/>
      </c>
      <c r="D217" s="437">
        <f t="shared" si="1"/>
        <v>0</v>
      </c>
      <c r="F217" s="438">
        <f t="shared" si="2"/>
        <v>0</v>
      </c>
      <c r="G217" t="str">
        <f t="shared" si="3"/>
        <v/>
      </c>
      <c r="H217" t="b">
        <f t="shared" si="4"/>
        <v>0</v>
      </c>
      <c r="I217" s="439">
        <f>IF(OR(ISBLANK(A217),ISNA(MATCH(A217&amp;"",AthleteNumbers,0))),0,MATCH(A217&amp;"",AthleteNumbers,0))</f>
        <v>0</v>
      </c>
      <c r="J217" s="209">
        <f t="array" ref="J217">IF(I217&gt;0,INDEX(DB,$I217,6),0)</f>
        <v>0</v>
      </c>
      <c r="K217" s="440">
        <f t="shared" si="5"/>
        <v>0</v>
      </c>
      <c r="L217" s="440">
        <f t="shared" si="6"/>
        <v>0</v>
      </c>
      <c r="M217" s="441">
        <f>IF(AND(L217&gt;O217,O217&gt;0),MinPoints,IF(L217&lt;N217,100,+INT((O217-$L217)/P217)+MinPoints))</f>
        <v>100</v>
      </c>
      <c r="N217" s="440">
        <f t="shared" si="7"/>
        <v>7</v>
      </c>
      <c r="O217" s="440">
        <f t="shared" si="8"/>
        <v>16</v>
      </c>
      <c r="P217" s="440">
        <f t="shared" si="9"/>
        <v>0.1</v>
      </c>
      <c r="Q217">
        <f t="array" ref="Q217">IF(I217&gt;0,INDEX(DB,I217,9),EventIndex)</f>
        <v>6</v>
      </c>
      <c r="S217" s="442">
        <f t="array" ref="S217">INDEX(MINVALUES,$Q217,$K$1)</f>
        <v>16</v>
      </c>
      <c r="T217">
        <f t="array" ref="T217">INDEX(INCVALUES,$Q217,$K$1)</f>
        <v>0.1</v>
      </c>
      <c r="V217">
        <f t="array" ref="V217">+J217+(4*(INDEX(MatchScoreTable,$Q217,20)-1))</f>
        <v>4</v>
      </c>
      <c r="W217">
        <f t="array" ref="W217">INDEX(INC_MINVALUES,$V217,$K$1)</f>
        <v>34</v>
      </c>
      <c r="X217" s="212">
        <f t="array" ref="X217">INDEX(INC_INCVALUES,$V217,$K$1)</f>
        <v>0.3</v>
      </c>
    </row>
    <row r="218" ht="15.75" customHeight="1">
      <c r="A218" s="435"/>
      <c r="B218" s="436"/>
      <c r="C218" s="95" t="str">
        <f t="array" ref="C218">IF(I218&gt;0,INDEX(DB,I218,8),"")</f>
        <v/>
      </c>
      <c r="D218" s="437">
        <f t="shared" si="1"/>
        <v>0</v>
      </c>
      <c r="F218" s="438">
        <f t="shared" si="2"/>
        <v>0</v>
      </c>
      <c r="G218" t="str">
        <f t="shared" si="3"/>
        <v/>
      </c>
      <c r="H218" t="b">
        <f t="shared" si="4"/>
        <v>0</v>
      </c>
      <c r="I218" s="439">
        <f>IF(OR(ISBLANK(A218),ISNA(MATCH(A218&amp;"",AthleteNumbers,0))),0,MATCH(A218&amp;"",AthleteNumbers,0))</f>
        <v>0</v>
      </c>
      <c r="J218" s="209">
        <f t="array" ref="J218">IF(I218&gt;0,INDEX(DB,$I218,6),0)</f>
        <v>0</v>
      </c>
      <c r="K218" s="440">
        <f t="shared" si="5"/>
        <v>0</v>
      </c>
      <c r="L218" s="440">
        <f t="shared" si="6"/>
        <v>0</v>
      </c>
      <c r="M218" s="441">
        <f>IF(AND(L218&gt;O218,O218&gt;0),MinPoints,IF(L218&lt;N218,100,+INT((O218-$L218)/P218)+MinPoints))</f>
        <v>100</v>
      </c>
      <c r="N218" s="440">
        <f t="shared" si="7"/>
        <v>7</v>
      </c>
      <c r="O218" s="440">
        <f t="shared" si="8"/>
        <v>16</v>
      </c>
      <c r="P218" s="440">
        <f t="shared" si="9"/>
        <v>0.1</v>
      </c>
      <c r="Q218">
        <f t="array" ref="Q218">IF(I218&gt;0,INDEX(DB,I218,9),EventIndex)</f>
        <v>6</v>
      </c>
      <c r="S218" s="442">
        <f t="array" ref="S218">INDEX(MINVALUES,$Q218,$K$1)</f>
        <v>16</v>
      </c>
      <c r="T218">
        <f t="array" ref="T218">INDEX(INCVALUES,$Q218,$K$1)</f>
        <v>0.1</v>
      </c>
      <c r="V218">
        <f t="array" ref="V218">+J218+(4*(INDEX(MatchScoreTable,$Q218,20)-1))</f>
        <v>4</v>
      </c>
      <c r="W218">
        <f t="array" ref="W218">INDEX(INC_MINVALUES,$V218,$K$1)</f>
        <v>34</v>
      </c>
      <c r="X218" s="212">
        <f t="array" ref="X218">INDEX(INC_INCVALUES,$V218,$K$1)</f>
        <v>0.3</v>
      </c>
    </row>
    <row r="219" ht="15.75" customHeight="1">
      <c r="A219" s="435"/>
      <c r="B219" s="436"/>
      <c r="C219" s="95" t="str">
        <f t="array" ref="C219">IF(I219&gt;0,INDEX(DB,I219,8),"")</f>
        <v/>
      </c>
      <c r="D219" s="437">
        <f t="shared" si="1"/>
        <v>0</v>
      </c>
      <c r="F219" s="438">
        <f t="shared" si="2"/>
        <v>0</v>
      </c>
      <c r="G219" t="str">
        <f t="shared" si="3"/>
        <v/>
      </c>
      <c r="H219" t="b">
        <f t="shared" si="4"/>
        <v>0</v>
      </c>
      <c r="I219" s="439">
        <f>IF(OR(ISBLANK(A219),ISNA(MATCH(A219&amp;"",AthleteNumbers,0))),0,MATCH(A219&amp;"",AthleteNumbers,0))</f>
        <v>0</v>
      </c>
      <c r="J219" s="209">
        <f t="array" ref="J219">IF(I219&gt;0,INDEX(DB,$I219,6),0)</f>
        <v>0</v>
      </c>
      <c r="K219" s="440">
        <f t="shared" si="5"/>
        <v>0</v>
      </c>
      <c r="L219" s="440">
        <f t="shared" si="6"/>
        <v>0</v>
      </c>
      <c r="M219" s="441">
        <f>IF(AND(L219&gt;O219,O219&gt;0),MinPoints,IF(L219&lt;N219,100,+INT((O219-$L219)/P219)+MinPoints))</f>
        <v>100</v>
      </c>
      <c r="N219" s="440">
        <f t="shared" si="7"/>
        <v>7</v>
      </c>
      <c r="O219" s="440">
        <f t="shared" si="8"/>
        <v>16</v>
      </c>
      <c r="P219" s="440">
        <f t="shared" si="9"/>
        <v>0.1</v>
      </c>
      <c r="Q219">
        <f t="array" ref="Q219">IF(I219&gt;0,INDEX(DB,I219,9),EventIndex)</f>
        <v>6</v>
      </c>
      <c r="S219" s="442">
        <f t="array" ref="S219">INDEX(MINVALUES,$Q219,$K$1)</f>
        <v>16</v>
      </c>
      <c r="T219">
        <f t="array" ref="T219">INDEX(INCVALUES,$Q219,$K$1)</f>
        <v>0.1</v>
      </c>
      <c r="V219">
        <f t="array" ref="V219">+J219+(4*(INDEX(MatchScoreTable,$Q219,20)-1))</f>
        <v>4</v>
      </c>
      <c r="W219">
        <f t="array" ref="W219">INDEX(INC_MINVALUES,$V219,$K$1)</f>
        <v>34</v>
      </c>
      <c r="X219" s="212">
        <f t="array" ref="X219">INDEX(INC_INCVALUES,$V219,$K$1)</f>
        <v>0.3</v>
      </c>
    </row>
    <row r="220" ht="15.75" customHeight="1">
      <c r="A220" s="435"/>
      <c r="B220" s="436"/>
      <c r="C220" s="95" t="str">
        <f t="array" ref="C220">IF(I220&gt;0,INDEX(DB,I220,8),"")</f>
        <v/>
      </c>
      <c r="D220" s="437">
        <f t="shared" si="1"/>
        <v>0</v>
      </c>
      <c r="F220" s="438">
        <f t="shared" si="2"/>
        <v>0</v>
      </c>
      <c r="G220" t="str">
        <f t="shared" si="3"/>
        <v/>
      </c>
      <c r="H220" t="b">
        <f t="shared" si="4"/>
        <v>0</v>
      </c>
      <c r="I220" s="439">
        <f>IF(OR(ISBLANK(A220),ISNA(MATCH(A220&amp;"",AthleteNumbers,0))),0,MATCH(A220&amp;"",AthleteNumbers,0))</f>
        <v>0</v>
      </c>
      <c r="J220" s="209">
        <f t="array" ref="J220">IF(I220&gt;0,INDEX(DB,$I220,6),0)</f>
        <v>0</v>
      </c>
      <c r="K220" s="440">
        <f t="shared" si="5"/>
        <v>0</v>
      </c>
      <c r="L220" s="440">
        <f t="shared" si="6"/>
        <v>0</v>
      </c>
      <c r="M220" s="441">
        <f>IF(AND(L220&gt;O220,O220&gt;0),MinPoints,IF(L220&lt;N220,100,+INT((O220-$L220)/P220)+MinPoints))</f>
        <v>100</v>
      </c>
      <c r="N220" s="440">
        <f t="shared" si="7"/>
        <v>7</v>
      </c>
      <c r="O220" s="440">
        <f t="shared" si="8"/>
        <v>16</v>
      </c>
      <c r="P220" s="440">
        <f t="shared" si="9"/>
        <v>0.1</v>
      </c>
      <c r="Q220">
        <f t="array" ref="Q220">IF(I220&gt;0,INDEX(DB,I220,9),EventIndex)</f>
        <v>6</v>
      </c>
      <c r="S220" s="442">
        <f t="array" ref="S220">INDEX(MINVALUES,$Q220,$K$1)</f>
        <v>16</v>
      </c>
      <c r="T220">
        <f t="array" ref="T220">INDEX(INCVALUES,$Q220,$K$1)</f>
        <v>0.1</v>
      </c>
      <c r="V220">
        <f t="array" ref="V220">+J220+(4*(INDEX(MatchScoreTable,$Q220,20)-1))</f>
        <v>4</v>
      </c>
      <c r="W220">
        <f t="array" ref="W220">INDEX(INC_MINVALUES,$V220,$K$1)</f>
        <v>34</v>
      </c>
      <c r="X220" s="212">
        <f t="array" ref="X220">INDEX(INC_INCVALUES,$V220,$K$1)</f>
        <v>0.3</v>
      </c>
    </row>
    <row r="221" ht="15.75" customHeight="1">
      <c r="A221" s="435"/>
      <c r="B221" s="436"/>
      <c r="C221" s="95" t="str">
        <f t="array" ref="C221">IF(I221&gt;0,INDEX(DB,I221,8),"")</f>
        <v/>
      </c>
      <c r="D221" s="437">
        <f t="shared" si="1"/>
        <v>0</v>
      </c>
      <c r="F221" s="438">
        <f t="shared" si="2"/>
        <v>0</v>
      </c>
      <c r="G221" t="str">
        <f t="shared" si="3"/>
        <v/>
      </c>
      <c r="H221" t="b">
        <f t="shared" si="4"/>
        <v>0</v>
      </c>
      <c r="I221" s="439">
        <f>IF(OR(ISBLANK(A221),ISNA(MATCH(A221&amp;"",AthleteNumbers,0))),0,MATCH(A221&amp;"",AthleteNumbers,0))</f>
        <v>0</v>
      </c>
      <c r="J221" s="209">
        <f t="array" ref="J221">IF(I221&gt;0,INDEX(DB,$I221,6),0)</f>
        <v>0</v>
      </c>
      <c r="K221" s="440">
        <f t="shared" si="5"/>
        <v>0</v>
      </c>
      <c r="L221" s="440">
        <f t="shared" si="6"/>
        <v>0</v>
      </c>
      <c r="M221" s="441">
        <f>IF(AND(L221&gt;O221,O221&gt;0),MinPoints,IF(L221&lt;N221,100,+INT((O221-$L221)/P221)+MinPoints))</f>
        <v>100</v>
      </c>
      <c r="N221" s="440">
        <f t="shared" si="7"/>
        <v>7</v>
      </c>
      <c r="O221" s="440">
        <f t="shared" si="8"/>
        <v>16</v>
      </c>
      <c r="P221" s="440">
        <f t="shared" si="9"/>
        <v>0.1</v>
      </c>
      <c r="Q221">
        <f t="array" ref="Q221">IF(I221&gt;0,INDEX(DB,I221,9),EventIndex)</f>
        <v>6</v>
      </c>
      <c r="S221" s="442">
        <f t="array" ref="S221">INDEX(MINVALUES,$Q221,$K$1)</f>
        <v>16</v>
      </c>
      <c r="T221">
        <f t="array" ref="T221">INDEX(INCVALUES,$Q221,$K$1)</f>
        <v>0.1</v>
      </c>
      <c r="V221">
        <f t="array" ref="V221">+J221+(4*(INDEX(MatchScoreTable,$Q221,20)-1))</f>
        <v>4</v>
      </c>
      <c r="W221">
        <f t="array" ref="W221">INDEX(INC_MINVALUES,$V221,$K$1)</f>
        <v>34</v>
      </c>
      <c r="X221" s="212">
        <f t="array" ref="X221">INDEX(INC_INCVALUES,$V221,$K$1)</f>
        <v>0.3</v>
      </c>
    </row>
    <row r="222" ht="15.75" customHeight="1">
      <c r="A222" s="435"/>
      <c r="B222" s="436"/>
      <c r="C222" s="95" t="str">
        <f t="array" ref="C222">IF(I222&gt;0,INDEX(DB,I222,8),"")</f>
        <v/>
      </c>
      <c r="D222" s="437">
        <f t="shared" si="1"/>
        <v>0</v>
      </c>
      <c r="F222" s="438">
        <f t="shared" si="2"/>
        <v>0</v>
      </c>
      <c r="G222" t="str">
        <f t="shared" si="3"/>
        <v/>
      </c>
      <c r="H222" t="b">
        <f t="shared" si="4"/>
        <v>0</v>
      </c>
      <c r="I222" s="439">
        <f>IF(OR(ISBLANK(A222),ISNA(MATCH(A222&amp;"",AthleteNumbers,0))),0,MATCH(A222&amp;"",AthleteNumbers,0))</f>
        <v>0</v>
      </c>
      <c r="J222" s="209">
        <f t="array" ref="J222">IF(I222&gt;0,INDEX(DB,$I222,6),0)</f>
        <v>0</v>
      </c>
      <c r="K222" s="440">
        <f t="shared" si="5"/>
        <v>0</v>
      </c>
      <c r="L222" s="440">
        <f t="shared" si="6"/>
        <v>0</v>
      </c>
      <c r="M222" s="441">
        <f>IF(AND(L222&gt;O222,O222&gt;0),MinPoints,IF(L222&lt;N222,100,+INT((O222-$L222)/P222)+MinPoints))</f>
        <v>100</v>
      </c>
      <c r="N222" s="440">
        <f t="shared" si="7"/>
        <v>7</v>
      </c>
      <c r="O222" s="440">
        <f t="shared" si="8"/>
        <v>16</v>
      </c>
      <c r="P222" s="440">
        <f t="shared" si="9"/>
        <v>0.1</v>
      </c>
      <c r="Q222">
        <f t="array" ref="Q222">IF(I222&gt;0,INDEX(DB,I222,9),EventIndex)</f>
        <v>6</v>
      </c>
      <c r="S222" s="442">
        <f t="array" ref="S222">INDEX(MINVALUES,$Q222,$K$1)</f>
        <v>16</v>
      </c>
      <c r="T222">
        <f t="array" ref="T222">INDEX(INCVALUES,$Q222,$K$1)</f>
        <v>0.1</v>
      </c>
      <c r="V222">
        <f t="array" ref="V222">+J222+(4*(INDEX(MatchScoreTable,$Q222,20)-1))</f>
        <v>4</v>
      </c>
      <c r="W222">
        <f t="array" ref="W222">INDEX(INC_MINVALUES,$V222,$K$1)</f>
        <v>34</v>
      </c>
      <c r="X222" s="212">
        <f t="array" ref="X222">INDEX(INC_INCVALUES,$V222,$K$1)</f>
        <v>0.3</v>
      </c>
    </row>
    <row r="223" ht="15.75" customHeight="1">
      <c r="A223" s="435"/>
      <c r="B223" s="436"/>
      <c r="C223" s="95" t="str">
        <f t="array" ref="C223">IF(I223&gt;0,INDEX(DB,I223,8),"")</f>
        <v/>
      </c>
      <c r="D223" s="437">
        <f t="shared" si="1"/>
        <v>0</v>
      </c>
      <c r="F223" s="438">
        <f t="shared" si="2"/>
        <v>0</v>
      </c>
      <c r="G223" t="str">
        <f t="shared" si="3"/>
        <v/>
      </c>
      <c r="H223" t="b">
        <f t="shared" si="4"/>
        <v>0</v>
      </c>
      <c r="I223" s="439">
        <f>IF(OR(ISBLANK(A223),ISNA(MATCH(A223&amp;"",AthleteNumbers,0))),0,MATCH(A223&amp;"",AthleteNumbers,0))</f>
        <v>0</v>
      </c>
      <c r="J223" s="209">
        <f t="array" ref="J223">IF(I223&gt;0,INDEX(DB,$I223,6),0)</f>
        <v>0</v>
      </c>
      <c r="K223" s="440">
        <f t="shared" si="5"/>
        <v>0</v>
      </c>
      <c r="L223" s="440">
        <f t="shared" si="6"/>
        <v>0</v>
      </c>
      <c r="M223" s="441">
        <f>IF(AND(L223&gt;O223,O223&gt;0),MinPoints,IF(L223&lt;N223,100,+INT((O223-$L223)/P223)+MinPoints))</f>
        <v>100</v>
      </c>
      <c r="N223" s="440">
        <f t="shared" si="7"/>
        <v>7</v>
      </c>
      <c r="O223" s="440">
        <f t="shared" si="8"/>
        <v>16</v>
      </c>
      <c r="P223" s="440">
        <f t="shared" si="9"/>
        <v>0.1</v>
      </c>
      <c r="Q223">
        <f t="array" ref="Q223">IF(I223&gt;0,INDEX(DB,I223,9),EventIndex)</f>
        <v>6</v>
      </c>
      <c r="S223" s="442">
        <f t="array" ref="S223">INDEX(MINVALUES,$Q223,$K$1)</f>
        <v>16</v>
      </c>
      <c r="T223">
        <f t="array" ref="T223">INDEX(INCVALUES,$Q223,$K$1)</f>
        <v>0.1</v>
      </c>
      <c r="V223">
        <f t="array" ref="V223">+J223+(4*(INDEX(MatchScoreTable,$Q223,20)-1))</f>
        <v>4</v>
      </c>
      <c r="W223">
        <f t="array" ref="W223">INDEX(INC_MINVALUES,$V223,$K$1)</f>
        <v>34</v>
      </c>
      <c r="X223" s="212">
        <f t="array" ref="X223">INDEX(INC_INCVALUES,$V223,$K$1)</f>
        <v>0.3</v>
      </c>
    </row>
    <row r="224" ht="15.75" customHeight="1">
      <c r="A224" s="435"/>
      <c r="B224" s="436"/>
      <c r="C224" s="95" t="str">
        <f t="array" ref="C224">IF(I224&gt;0,INDEX(DB,I224,8),"")</f>
        <v/>
      </c>
      <c r="D224" s="437">
        <f t="shared" si="1"/>
        <v>0</v>
      </c>
      <c r="F224" s="438">
        <f t="shared" si="2"/>
        <v>0</v>
      </c>
      <c r="G224" t="str">
        <f t="shared" si="3"/>
        <v/>
      </c>
      <c r="H224" t="b">
        <f t="shared" si="4"/>
        <v>0</v>
      </c>
      <c r="I224" s="439">
        <f>IF(OR(ISBLANK(A224),ISNA(MATCH(A224&amp;"",AthleteNumbers,0))),0,MATCH(A224&amp;"",AthleteNumbers,0))</f>
        <v>0</v>
      </c>
      <c r="J224" s="209">
        <f t="array" ref="J224">IF(I224&gt;0,INDEX(DB,$I224,6),0)</f>
        <v>0</v>
      </c>
      <c r="K224" s="440">
        <f t="shared" si="5"/>
        <v>0</v>
      </c>
      <c r="L224" s="440">
        <f t="shared" si="6"/>
        <v>0</v>
      </c>
      <c r="M224" s="441">
        <f>IF(AND(L224&gt;O224,O224&gt;0),MinPoints,IF(L224&lt;N224,100,+INT((O224-$L224)/P224)+MinPoints))</f>
        <v>100</v>
      </c>
      <c r="N224" s="440">
        <f t="shared" si="7"/>
        <v>7</v>
      </c>
      <c r="O224" s="440">
        <f t="shared" si="8"/>
        <v>16</v>
      </c>
      <c r="P224" s="440">
        <f t="shared" si="9"/>
        <v>0.1</v>
      </c>
      <c r="Q224">
        <f t="array" ref="Q224">IF(I224&gt;0,INDEX(DB,I224,9),EventIndex)</f>
        <v>6</v>
      </c>
      <c r="S224" s="442">
        <f t="array" ref="S224">INDEX(MINVALUES,$Q224,$K$1)</f>
        <v>16</v>
      </c>
      <c r="T224">
        <f t="array" ref="T224">INDEX(INCVALUES,$Q224,$K$1)</f>
        <v>0.1</v>
      </c>
      <c r="V224">
        <f t="array" ref="V224">+J224+(4*(INDEX(MatchScoreTable,$Q224,20)-1))</f>
        <v>4</v>
      </c>
      <c r="W224">
        <f t="array" ref="W224">INDEX(INC_MINVALUES,$V224,$K$1)</f>
        <v>34</v>
      </c>
      <c r="X224" s="212">
        <f t="array" ref="X224">INDEX(INC_INCVALUES,$V224,$K$1)</f>
        <v>0.3</v>
      </c>
    </row>
    <row r="225" ht="15.75" customHeight="1">
      <c r="A225" s="435"/>
      <c r="B225" s="436"/>
      <c r="C225" s="95" t="str">
        <f t="array" ref="C225">IF(I225&gt;0,INDEX(DB,I225,8),"")</f>
        <v/>
      </c>
      <c r="D225" s="437">
        <f t="shared" si="1"/>
        <v>0</v>
      </c>
      <c r="F225" s="438">
        <f t="shared" si="2"/>
        <v>0</v>
      </c>
      <c r="G225" t="str">
        <f t="shared" si="3"/>
        <v/>
      </c>
      <c r="H225" t="b">
        <f t="shared" si="4"/>
        <v>0</v>
      </c>
      <c r="I225" s="439">
        <f>IF(OR(ISBLANK(A225),ISNA(MATCH(A225&amp;"",AthleteNumbers,0))),0,MATCH(A225&amp;"",AthleteNumbers,0))</f>
        <v>0</v>
      </c>
      <c r="J225" s="209">
        <f t="array" ref="J225">IF(I225&gt;0,INDEX(DB,$I225,6),0)</f>
        <v>0</v>
      </c>
      <c r="K225" s="440">
        <f t="shared" si="5"/>
        <v>0</v>
      </c>
      <c r="L225" s="440">
        <f t="shared" si="6"/>
        <v>0</v>
      </c>
      <c r="M225" s="441">
        <f>IF(AND(L225&gt;O225,O225&gt;0),MinPoints,IF(L225&lt;N225,100,+INT((O225-$L225)/P225)+MinPoints))</f>
        <v>100</v>
      </c>
      <c r="N225" s="440">
        <f t="shared" si="7"/>
        <v>7</v>
      </c>
      <c r="O225" s="440">
        <f t="shared" si="8"/>
        <v>16</v>
      </c>
      <c r="P225" s="440">
        <f t="shared" si="9"/>
        <v>0.1</v>
      </c>
      <c r="Q225">
        <f t="array" ref="Q225">IF(I225&gt;0,INDEX(DB,I225,9),EventIndex)</f>
        <v>6</v>
      </c>
      <c r="S225" s="442">
        <f t="array" ref="S225">INDEX(MINVALUES,$Q225,$K$1)</f>
        <v>16</v>
      </c>
      <c r="T225">
        <f t="array" ref="T225">INDEX(INCVALUES,$Q225,$K$1)</f>
        <v>0.1</v>
      </c>
      <c r="V225">
        <f t="array" ref="V225">+J225+(4*(INDEX(MatchScoreTable,$Q225,20)-1))</f>
        <v>4</v>
      </c>
      <c r="W225">
        <f t="array" ref="W225">INDEX(INC_MINVALUES,$V225,$K$1)</f>
        <v>34</v>
      </c>
      <c r="X225" s="212">
        <f t="array" ref="X225">INDEX(INC_INCVALUES,$V225,$K$1)</f>
        <v>0.3</v>
      </c>
    </row>
    <row r="226" ht="15.75" customHeight="1">
      <c r="A226" s="435"/>
      <c r="B226" s="436"/>
      <c r="C226" s="95" t="str">
        <f t="array" ref="C226">IF(I226&gt;0,INDEX(DB,I226,8),"")</f>
        <v/>
      </c>
      <c r="D226" s="437">
        <f t="shared" si="1"/>
        <v>0</v>
      </c>
      <c r="F226" s="438">
        <f t="shared" si="2"/>
        <v>0</v>
      </c>
      <c r="G226" t="str">
        <f t="shared" si="3"/>
        <v/>
      </c>
      <c r="H226" t="b">
        <f t="shared" si="4"/>
        <v>0</v>
      </c>
      <c r="I226" s="439">
        <f>IF(OR(ISBLANK(A226),ISNA(MATCH(A226&amp;"",AthleteNumbers,0))),0,MATCH(A226&amp;"",AthleteNumbers,0))</f>
        <v>0</v>
      </c>
      <c r="J226" s="209">
        <f t="array" ref="J226">IF(I226&gt;0,INDEX(DB,$I226,6),0)</f>
        <v>0</v>
      </c>
      <c r="K226" s="440">
        <f t="shared" si="5"/>
        <v>0</v>
      </c>
      <c r="L226" s="440">
        <f t="shared" si="6"/>
        <v>0</v>
      </c>
      <c r="M226" s="441">
        <f>IF(AND(L226&gt;O226,O226&gt;0),MinPoints,IF(L226&lt;N226,100,+INT((O226-$L226)/P226)+MinPoints))</f>
        <v>100</v>
      </c>
      <c r="N226" s="440">
        <f t="shared" si="7"/>
        <v>7</v>
      </c>
      <c r="O226" s="440">
        <f t="shared" si="8"/>
        <v>16</v>
      </c>
      <c r="P226" s="440">
        <f t="shared" si="9"/>
        <v>0.1</v>
      </c>
      <c r="Q226">
        <f t="array" ref="Q226">IF(I226&gt;0,INDEX(DB,I226,9),EventIndex)</f>
        <v>6</v>
      </c>
      <c r="S226" s="442">
        <f t="array" ref="S226">INDEX(MINVALUES,$Q226,$K$1)</f>
        <v>16</v>
      </c>
      <c r="T226">
        <f t="array" ref="T226">INDEX(INCVALUES,$Q226,$K$1)</f>
        <v>0.1</v>
      </c>
      <c r="V226">
        <f t="array" ref="V226">+J226+(4*(INDEX(MatchScoreTable,$Q226,20)-1))</f>
        <v>4</v>
      </c>
      <c r="W226">
        <f t="array" ref="W226">INDEX(INC_MINVALUES,$V226,$K$1)</f>
        <v>34</v>
      </c>
      <c r="X226" s="212">
        <f t="array" ref="X226">INDEX(INC_INCVALUES,$V226,$K$1)</f>
        <v>0.3</v>
      </c>
    </row>
    <row r="227" ht="15.75" customHeight="1">
      <c r="A227" s="435"/>
      <c r="B227" s="436"/>
      <c r="C227" s="95" t="str">
        <f t="array" ref="C227">IF(I227&gt;0,INDEX(DB,I227,8),"")</f>
        <v/>
      </c>
      <c r="D227" s="437">
        <f t="shared" si="1"/>
        <v>0</v>
      </c>
      <c r="F227" s="438">
        <f t="shared" si="2"/>
        <v>0</v>
      </c>
      <c r="G227" t="str">
        <f t="shared" si="3"/>
        <v/>
      </c>
      <c r="H227" t="b">
        <f t="shared" si="4"/>
        <v>0</v>
      </c>
      <c r="I227" s="439">
        <f>IF(OR(ISBLANK(A227),ISNA(MATCH(A227&amp;"",AthleteNumbers,0))),0,MATCH(A227&amp;"",AthleteNumbers,0))</f>
        <v>0</v>
      </c>
      <c r="J227" s="209">
        <f t="array" ref="J227">IF(I227&gt;0,INDEX(DB,$I227,6),0)</f>
        <v>0</v>
      </c>
      <c r="K227" s="440">
        <f t="shared" si="5"/>
        <v>0</v>
      </c>
      <c r="L227" s="440">
        <f t="shared" si="6"/>
        <v>0</v>
      </c>
      <c r="M227" s="441">
        <f>IF(AND(L227&gt;O227,O227&gt;0),MinPoints,IF(L227&lt;N227,100,+INT((O227-$L227)/P227)+MinPoints))</f>
        <v>100</v>
      </c>
      <c r="N227" s="440">
        <f t="shared" si="7"/>
        <v>7</v>
      </c>
      <c r="O227" s="440">
        <f t="shared" si="8"/>
        <v>16</v>
      </c>
      <c r="P227" s="440">
        <f t="shared" si="9"/>
        <v>0.1</v>
      </c>
      <c r="Q227">
        <f t="array" ref="Q227">IF(I227&gt;0,INDEX(DB,I227,9),EventIndex)</f>
        <v>6</v>
      </c>
      <c r="S227" s="442">
        <f t="array" ref="S227">INDEX(MINVALUES,$Q227,$K$1)</f>
        <v>16</v>
      </c>
      <c r="T227">
        <f t="array" ref="T227">INDEX(INCVALUES,$Q227,$K$1)</f>
        <v>0.1</v>
      </c>
      <c r="V227">
        <f t="array" ref="V227">+J227+(4*(INDEX(MatchScoreTable,$Q227,20)-1))</f>
        <v>4</v>
      </c>
      <c r="W227">
        <f t="array" ref="W227">INDEX(INC_MINVALUES,$V227,$K$1)</f>
        <v>34</v>
      </c>
      <c r="X227" s="212">
        <f t="array" ref="X227">INDEX(INC_INCVALUES,$V227,$K$1)</f>
        <v>0.3</v>
      </c>
    </row>
    <row r="228" ht="15.75" customHeight="1">
      <c r="A228" s="435"/>
      <c r="B228" s="436"/>
      <c r="C228" s="95" t="str">
        <f t="array" ref="C228">IF(I228&gt;0,INDEX(DB,I228,8),"")</f>
        <v/>
      </c>
      <c r="D228" s="437">
        <f t="shared" si="1"/>
        <v>0</v>
      </c>
      <c r="F228" s="438">
        <f t="shared" si="2"/>
        <v>0</v>
      </c>
      <c r="G228" t="str">
        <f t="shared" si="3"/>
        <v/>
      </c>
      <c r="H228" t="b">
        <f t="shared" si="4"/>
        <v>0</v>
      </c>
      <c r="I228" s="439">
        <f>IF(OR(ISBLANK(A228),ISNA(MATCH(A228&amp;"",AthleteNumbers,0))),0,MATCH(A228&amp;"",AthleteNumbers,0))</f>
        <v>0</v>
      </c>
      <c r="J228" s="209">
        <f t="array" ref="J228">IF(I228&gt;0,INDEX(DB,$I228,6),0)</f>
        <v>0</v>
      </c>
      <c r="K228" s="440">
        <f t="shared" si="5"/>
        <v>0</v>
      </c>
      <c r="L228" s="440">
        <f t="shared" si="6"/>
        <v>0</v>
      </c>
      <c r="M228" s="441">
        <f>IF(AND(L228&gt;O228,O228&gt;0),MinPoints,IF(L228&lt;N228,100,+INT((O228-$L228)/P228)+MinPoints))</f>
        <v>100</v>
      </c>
      <c r="N228" s="440">
        <f t="shared" si="7"/>
        <v>7</v>
      </c>
      <c r="O228" s="440">
        <f t="shared" si="8"/>
        <v>16</v>
      </c>
      <c r="P228" s="440">
        <f t="shared" si="9"/>
        <v>0.1</v>
      </c>
      <c r="Q228">
        <f t="array" ref="Q228">IF(I228&gt;0,INDEX(DB,I228,9),EventIndex)</f>
        <v>6</v>
      </c>
      <c r="S228" s="442">
        <f t="array" ref="S228">INDEX(MINVALUES,$Q228,$K$1)</f>
        <v>16</v>
      </c>
      <c r="T228">
        <f t="array" ref="T228">INDEX(INCVALUES,$Q228,$K$1)</f>
        <v>0.1</v>
      </c>
      <c r="V228">
        <f t="array" ref="V228">+J228+(4*(INDEX(MatchScoreTable,$Q228,20)-1))</f>
        <v>4</v>
      </c>
      <c r="W228">
        <f t="array" ref="W228">INDEX(INC_MINVALUES,$V228,$K$1)</f>
        <v>34</v>
      </c>
      <c r="X228" s="212">
        <f t="array" ref="X228">INDEX(INC_INCVALUES,$V228,$K$1)</f>
        <v>0.3</v>
      </c>
    </row>
    <row r="229" ht="15.75" customHeight="1">
      <c r="A229" s="435"/>
      <c r="B229" s="436"/>
      <c r="C229" s="95" t="str">
        <f t="array" ref="C229">IF(I229&gt;0,INDEX(DB,I229,8),"")</f>
        <v/>
      </c>
      <c r="D229" s="437">
        <f t="shared" si="1"/>
        <v>0</v>
      </c>
      <c r="F229" s="438">
        <f t="shared" si="2"/>
        <v>0</v>
      </c>
      <c r="G229" t="str">
        <f t="shared" si="3"/>
        <v/>
      </c>
      <c r="H229" t="b">
        <f t="shared" si="4"/>
        <v>0</v>
      </c>
      <c r="I229" s="439">
        <f>IF(OR(ISBLANK(A229),ISNA(MATCH(A229&amp;"",AthleteNumbers,0))),0,MATCH(A229&amp;"",AthleteNumbers,0))</f>
        <v>0</v>
      </c>
      <c r="J229" s="209">
        <f t="array" ref="J229">IF(I229&gt;0,INDEX(DB,$I229,6),0)</f>
        <v>0</v>
      </c>
      <c r="K229" s="440">
        <f t="shared" si="5"/>
        <v>0</v>
      </c>
      <c r="L229" s="440">
        <f t="shared" si="6"/>
        <v>0</v>
      </c>
      <c r="M229" s="441">
        <f>IF(AND(L229&gt;O229,O229&gt;0),MinPoints,IF(L229&lt;N229,100,+INT((O229-$L229)/P229)+MinPoints))</f>
        <v>100</v>
      </c>
      <c r="N229" s="440">
        <f t="shared" si="7"/>
        <v>7</v>
      </c>
      <c r="O229" s="440">
        <f t="shared" si="8"/>
        <v>16</v>
      </c>
      <c r="P229" s="440">
        <f t="shared" si="9"/>
        <v>0.1</v>
      </c>
      <c r="Q229">
        <f t="array" ref="Q229">IF(I229&gt;0,INDEX(DB,I229,9),EventIndex)</f>
        <v>6</v>
      </c>
      <c r="S229" s="442">
        <f t="array" ref="S229">INDEX(MINVALUES,$Q229,$K$1)</f>
        <v>16</v>
      </c>
      <c r="T229">
        <f t="array" ref="T229">INDEX(INCVALUES,$Q229,$K$1)</f>
        <v>0.1</v>
      </c>
      <c r="V229">
        <f t="array" ref="V229">+J229+(4*(INDEX(MatchScoreTable,$Q229,20)-1))</f>
        <v>4</v>
      </c>
      <c r="W229">
        <f t="array" ref="W229">INDEX(INC_MINVALUES,$V229,$K$1)</f>
        <v>34</v>
      </c>
      <c r="X229" s="212">
        <f t="array" ref="X229">INDEX(INC_INCVALUES,$V229,$K$1)</f>
        <v>0.3</v>
      </c>
    </row>
    <row r="230" ht="15.75" customHeight="1">
      <c r="A230" s="435"/>
      <c r="B230" s="436"/>
      <c r="C230" s="95" t="str">
        <f t="array" ref="C230">IF(I230&gt;0,INDEX(DB,I230,8),"")</f>
        <v/>
      </c>
      <c r="D230" s="437">
        <f t="shared" si="1"/>
        <v>0</v>
      </c>
      <c r="F230" s="438">
        <f t="shared" si="2"/>
        <v>0</v>
      </c>
      <c r="G230" t="str">
        <f t="shared" si="3"/>
        <v/>
      </c>
      <c r="H230" t="b">
        <f t="shared" si="4"/>
        <v>0</v>
      </c>
      <c r="I230" s="439">
        <f>IF(OR(ISBLANK(A230),ISNA(MATCH(A230&amp;"",AthleteNumbers,0))),0,MATCH(A230&amp;"",AthleteNumbers,0))</f>
        <v>0</v>
      </c>
      <c r="J230" s="209">
        <f t="array" ref="J230">IF(I230&gt;0,INDEX(DB,$I230,6),0)</f>
        <v>0</v>
      </c>
      <c r="K230" s="440">
        <f t="shared" si="5"/>
        <v>0</v>
      </c>
      <c r="L230" s="440">
        <f t="shared" si="6"/>
        <v>0</v>
      </c>
      <c r="M230" s="441">
        <f>IF(AND(L230&gt;O230,O230&gt;0),MinPoints,IF(L230&lt;N230,100,+INT((O230-$L230)/P230)+MinPoints))</f>
        <v>100</v>
      </c>
      <c r="N230" s="440">
        <f t="shared" si="7"/>
        <v>7</v>
      </c>
      <c r="O230" s="440">
        <f t="shared" si="8"/>
        <v>16</v>
      </c>
      <c r="P230" s="440">
        <f t="shared" si="9"/>
        <v>0.1</v>
      </c>
      <c r="Q230">
        <f t="array" ref="Q230">IF(I230&gt;0,INDEX(DB,I230,9),EventIndex)</f>
        <v>6</v>
      </c>
      <c r="S230" s="442">
        <f t="array" ref="S230">INDEX(MINVALUES,$Q230,$K$1)</f>
        <v>16</v>
      </c>
      <c r="T230">
        <f t="array" ref="T230">INDEX(INCVALUES,$Q230,$K$1)</f>
        <v>0.1</v>
      </c>
      <c r="V230">
        <f t="array" ref="V230">+J230+(4*(INDEX(MatchScoreTable,$Q230,20)-1))</f>
        <v>4</v>
      </c>
      <c r="W230">
        <f t="array" ref="W230">INDEX(INC_MINVALUES,$V230,$K$1)</f>
        <v>34</v>
      </c>
      <c r="X230" s="212">
        <f t="array" ref="X230">INDEX(INC_INCVALUES,$V230,$K$1)</f>
        <v>0.3</v>
      </c>
    </row>
    <row r="231" ht="15.75" customHeight="1">
      <c r="A231" s="435"/>
      <c r="B231" s="436"/>
      <c r="C231" s="95" t="str">
        <f t="array" ref="C231">IF(I231&gt;0,INDEX(DB,I231,8),"")</f>
        <v/>
      </c>
      <c r="D231" s="437">
        <f t="shared" si="1"/>
        <v>0</v>
      </c>
      <c r="F231" s="438">
        <f t="shared" si="2"/>
        <v>0</v>
      </c>
      <c r="G231" t="str">
        <f t="shared" si="3"/>
        <v/>
      </c>
      <c r="H231" t="b">
        <f t="shared" si="4"/>
        <v>0</v>
      </c>
      <c r="I231" s="439">
        <f>IF(OR(ISBLANK(A231),ISNA(MATCH(A231&amp;"",AthleteNumbers,0))),0,MATCH(A231&amp;"",AthleteNumbers,0))</f>
        <v>0</v>
      </c>
      <c r="J231" s="209">
        <f t="array" ref="J231">IF(I231&gt;0,INDEX(DB,$I231,6),0)</f>
        <v>0</v>
      </c>
      <c r="K231" s="440">
        <f t="shared" si="5"/>
        <v>0</v>
      </c>
      <c r="L231" s="440">
        <f t="shared" si="6"/>
        <v>0</v>
      </c>
      <c r="M231" s="441">
        <f>IF(AND(L231&gt;O231,O231&gt;0),MinPoints,IF(L231&lt;N231,100,+INT((O231-$L231)/P231)+MinPoints))</f>
        <v>100</v>
      </c>
      <c r="N231" s="440">
        <f t="shared" si="7"/>
        <v>7</v>
      </c>
      <c r="O231" s="440">
        <f t="shared" si="8"/>
        <v>16</v>
      </c>
      <c r="P231" s="440">
        <f t="shared" si="9"/>
        <v>0.1</v>
      </c>
      <c r="Q231">
        <f t="array" ref="Q231">IF(I231&gt;0,INDEX(DB,I231,9),EventIndex)</f>
        <v>6</v>
      </c>
      <c r="S231" s="442">
        <f t="array" ref="S231">INDEX(MINVALUES,$Q231,$K$1)</f>
        <v>16</v>
      </c>
      <c r="T231">
        <f t="array" ref="T231">INDEX(INCVALUES,$Q231,$K$1)</f>
        <v>0.1</v>
      </c>
      <c r="V231">
        <f t="array" ref="V231">+J231+(4*(INDEX(MatchScoreTable,$Q231,20)-1))</f>
        <v>4</v>
      </c>
      <c r="W231">
        <f t="array" ref="W231">INDEX(INC_MINVALUES,$V231,$K$1)</f>
        <v>34</v>
      </c>
      <c r="X231" s="212">
        <f t="array" ref="X231">INDEX(INC_INCVALUES,$V231,$K$1)</f>
        <v>0.3</v>
      </c>
    </row>
    <row r="232" ht="15.75" customHeight="1">
      <c r="A232" s="435"/>
      <c r="B232" s="436"/>
      <c r="C232" s="95" t="str">
        <f t="array" ref="C232">IF(I232&gt;0,INDEX(DB,I232,8),"")</f>
        <v/>
      </c>
      <c r="D232" s="437">
        <f t="shared" si="1"/>
        <v>0</v>
      </c>
      <c r="F232" s="438">
        <f t="shared" si="2"/>
        <v>0</v>
      </c>
      <c r="G232" t="str">
        <f t="shared" si="3"/>
        <v/>
      </c>
      <c r="H232" t="b">
        <f t="shared" si="4"/>
        <v>0</v>
      </c>
      <c r="I232" s="439">
        <f>IF(OR(ISBLANK(A232),ISNA(MATCH(A232&amp;"",AthleteNumbers,0))),0,MATCH(A232&amp;"",AthleteNumbers,0))</f>
        <v>0</v>
      </c>
      <c r="J232" s="209">
        <f t="array" ref="J232">IF(I232&gt;0,INDEX(DB,$I232,6),0)</f>
        <v>0</v>
      </c>
      <c r="K232" s="440">
        <f t="shared" si="5"/>
        <v>0</v>
      </c>
      <c r="L232" s="440">
        <f t="shared" si="6"/>
        <v>0</v>
      </c>
      <c r="M232" s="441">
        <f>IF(AND(L232&gt;O232,O232&gt;0),MinPoints,IF(L232&lt;N232,100,+INT((O232-$L232)/P232)+MinPoints))</f>
        <v>100</v>
      </c>
      <c r="N232" s="440">
        <f t="shared" si="7"/>
        <v>7</v>
      </c>
      <c r="O232" s="440">
        <f t="shared" si="8"/>
        <v>16</v>
      </c>
      <c r="P232" s="440">
        <f t="shared" si="9"/>
        <v>0.1</v>
      </c>
      <c r="Q232">
        <f t="array" ref="Q232">IF(I232&gt;0,INDEX(DB,I232,9),EventIndex)</f>
        <v>6</v>
      </c>
      <c r="S232" s="442">
        <f t="array" ref="S232">INDEX(MINVALUES,$Q232,$K$1)</f>
        <v>16</v>
      </c>
      <c r="T232">
        <f t="array" ref="T232">INDEX(INCVALUES,$Q232,$K$1)</f>
        <v>0.1</v>
      </c>
      <c r="V232">
        <f t="array" ref="V232">+J232+(4*(INDEX(MatchScoreTable,$Q232,20)-1))</f>
        <v>4</v>
      </c>
      <c r="W232">
        <f t="array" ref="W232">INDEX(INC_MINVALUES,$V232,$K$1)</f>
        <v>34</v>
      </c>
      <c r="X232" s="212">
        <f t="array" ref="X232">INDEX(INC_INCVALUES,$V232,$K$1)</f>
        <v>0.3</v>
      </c>
    </row>
    <row r="233" ht="15.75" customHeight="1">
      <c r="A233" s="435"/>
      <c r="B233" s="436"/>
      <c r="C233" s="95" t="str">
        <f t="array" ref="C233">IF(I233&gt;0,INDEX(DB,I233,8),"")</f>
        <v/>
      </c>
      <c r="D233" s="437">
        <f t="shared" si="1"/>
        <v>0</v>
      </c>
      <c r="F233" s="438">
        <f t="shared" si="2"/>
        <v>0</v>
      </c>
      <c r="G233" t="str">
        <f t="shared" si="3"/>
        <v/>
      </c>
      <c r="H233" t="b">
        <f t="shared" si="4"/>
        <v>0</v>
      </c>
      <c r="I233" s="439">
        <f>IF(OR(ISBLANK(A233),ISNA(MATCH(A233&amp;"",AthleteNumbers,0))),0,MATCH(A233&amp;"",AthleteNumbers,0))</f>
        <v>0</v>
      </c>
      <c r="J233" s="209">
        <f t="array" ref="J233">IF(I233&gt;0,INDEX(DB,$I233,6),0)</f>
        <v>0</v>
      </c>
      <c r="K233" s="440">
        <f t="shared" si="5"/>
        <v>0</v>
      </c>
      <c r="L233" s="440">
        <f t="shared" si="6"/>
        <v>0</v>
      </c>
      <c r="M233" s="441">
        <f>IF(AND(L233&gt;O233,O233&gt;0),MinPoints,IF(L233&lt;N233,100,+INT((O233-$L233)/P233)+MinPoints))</f>
        <v>100</v>
      </c>
      <c r="N233" s="440">
        <f t="shared" si="7"/>
        <v>7</v>
      </c>
      <c r="O233" s="440">
        <f t="shared" si="8"/>
        <v>16</v>
      </c>
      <c r="P233" s="440">
        <f t="shared" si="9"/>
        <v>0.1</v>
      </c>
      <c r="Q233">
        <f t="array" ref="Q233">IF(I233&gt;0,INDEX(DB,I233,9),EventIndex)</f>
        <v>6</v>
      </c>
      <c r="S233" s="442">
        <f t="array" ref="S233">INDEX(MINVALUES,$Q233,$K$1)</f>
        <v>16</v>
      </c>
      <c r="T233">
        <f t="array" ref="T233">INDEX(INCVALUES,$Q233,$K$1)</f>
        <v>0.1</v>
      </c>
      <c r="V233">
        <f t="array" ref="V233">+J233+(4*(INDEX(MatchScoreTable,$Q233,20)-1))</f>
        <v>4</v>
      </c>
      <c r="W233">
        <f t="array" ref="W233">INDEX(INC_MINVALUES,$V233,$K$1)</f>
        <v>34</v>
      </c>
      <c r="X233" s="212">
        <f t="array" ref="X233">INDEX(INC_INCVALUES,$V233,$K$1)</f>
        <v>0.3</v>
      </c>
    </row>
    <row r="234" ht="15.75" customHeight="1">
      <c r="A234" s="435"/>
      <c r="B234" s="436"/>
      <c r="C234" s="95" t="str">
        <f t="array" ref="C234">IF(I234&gt;0,INDEX(DB,I234,8),"")</f>
        <v/>
      </c>
      <c r="D234" s="437">
        <f t="shared" si="1"/>
        <v>0</v>
      </c>
      <c r="F234" s="438">
        <f t="shared" si="2"/>
        <v>0</v>
      </c>
      <c r="G234" t="str">
        <f t="shared" si="3"/>
        <v/>
      </c>
      <c r="H234" t="b">
        <f t="shared" si="4"/>
        <v>0</v>
      </c>
      <c r="I234" s="439">
        <f>IF(OR(ISBLANK(A234),ISNA(MATCH(A234&amp;"",AthleteNumbers,0))),0,MATCH(A234&amp;"",AthleteNumbers,0))</f>
        <v>0</v>
      </c>
      <c r="J234" s="209">
        <f t="array" ref="J234">IF(I234&gt;0,INDEX(DB,$I234,6),0)</f>
        <v>0</v>
      </c>
      <c r="K234" s="440">
        <f t="shared" si="5"/>
        <v>0</v>
      </c>
      <c r="L234" s="440">
        <f t="shared" si="6"/>
        <v>0</v>
      </c>
      <c r="M234" s="441">
        <f>IF(AND(L234&gt;O234,O234&gt;0),MinPoints,IF(L234&lt;N234,100,+INT((O234-$L234)/P234)+MinPoints))</f>
        <v>100</v>
      </c>
      <c r="N234" s="440">
        <f t="shared" si="7"/>
        <v>7</v>
      </c>
      <c r="O234" s="440">
        <f t="shared" si="8"/>
        <v>16</v>
      </c>
      <c r="P234" s="440">
        <f t="shared" si="9"/>
        <v>0.1</v>
      </c>
      <c r="Q234">
        <f t="array" ref="Q234">IF(I234&gt;0,INDEX(DB,I234,9),EventIndex)</f>
        <v>6</v>
      </c>
      <c r="S234" s="442">
        <f t="array" ref="S234">INDEX(MINVALUES,$Q234,$K$1)</f>
        <v>16</v>
      </c>
      <c r="T234">
        <f t="array" ref="T234">INDEX(INCVALUES,$Q234,$K$1)</f>
        <v>0.1</v>
      </c>
      <c r="V234">
        <f t="array" ref="V234">+J234+(4*(INDEX(MatchScoreTable,$Q234,20)-1))</f>
        <v>4</v>
      </c>
      <c r="W234">
        <f t="array" ref="W234">INDEX(INC_MINVALUES,$V234,$K$1)</f>
        <v>34</v>
      </c>
      <c r="X234" s="212">
        <f t="array" ref="X234">INDEX(INC_INCVALUES,$V234,$K$1)</f>
        <v>0.3</v>
      </c>
    </row>
    <row r="235" ht="15.75" customHeight="1">
      <c r="A235" s="435"/>
      <c r="B235" s="436"/>
      <c r="C235" s="95" t="str">
        <f t="array" ref="C235">IF(I235&gt;0,INDEX(DB,I235,8),"")</f>
        <v/>
      </c>
      <c r="D235" s="437">
        <f t="shared" si="1"/>
        <v>0</v>
      </c>
      <c r="F235" s="438">
        <f t="shared" si="2"/>
        <v>0</v>
      </c>
      <c r="G235" t="str">
        <f t="shared" si="3"/>
        <v/>
      </c>
      <c r="H235" t="b">
        <f t="shared" si="4"/>
        <v>0</v>
      </c>
      <c r="I235" s="439">
        <f>IF(OR(ISBLANK(A235),ISNA(MATCH(A235&amp;"",AthleteNumbers,0))),0,MATCH(A235&amp;"",AthleteNumbers,0))</f>
        <v>0</v>
      </c>
      <c r="J235" s="209">
        <f t="array" ref="J235">IF(I235&gt;0,INDEX(DB,$I235,6),0)</f>
        <v>0</v>
      </c>
      <c r="K235" s="440">
        <f t="shared" si="5"/>
        <v>0</v>
      </c>
      <c r="L235" s="440">
        <f t="shared" si="6"/>
        <v>0</v>
      </c>
      <c r="M235" s="441">
        <f>IF(AND(L235&gt;O235,O235&gt;0),MinPoints,IF(L235&lt;N235,100,+INT((O235-$L235)/P235)+MinPoints))</f>
        <v>100</v>
      </c>
      <c r="N235" s="440">
        <f t="shared" si="7"/>
        <v>7</v>
      </c>
      <c r="O235" s="440">
        <f t="shared" si="8"/>
        <v>16</v>
      </c>
      <c r="P235" s="440">
        <f t="shared" si="9"/>
        <v>0.1</v>
      </c>
      <c r="Q235">
        <f t="array" ref="Q235">IF(I235&gt;0,INDEX(DB,I235,9),EventIndex)</f>
        <v>6</v>
      </c>
      <c r="S235" s="442">
        <f t="array" ref="S235">INDEX(MINVALUES,$Q235,$K$1)</f>
        <v>16</v>
      </c>
      <c r="T235">
        <f t="array" ref="T235">INDEX(INCVALUES,$Q235,$K$1)</f>
        <v>0.1</v>
      </c>
      <c r="V235">
        <f t="array" ref="V235">+J235+(4*(INDEX(MatchScoreTable,$Q235,20)-1))</f>
        <v>4</v>
      </c>
      <c r="W235">
        <f t="array" ref="W235">INDEX(INC_MINVALUES,$V235,$K$1)</f>
        <v>34</v>
      </c>
      <c r="X235" s="212">
        <f t="array" ref="X235">INDEX(INC_INCVALUES,$V235,$K$1)</f>
        <v>0.3</v>
      </c>
    </row>
    <row r="236" ht="15.75" customHeight="1">
      <c r="A236" s="435"/>
      <c r="B236" s="436"/>
      <c r="C236" s="95" t="str">
        <f t="array" ref="C236">IF(I236&gt;0,INDEX(DB,I236,8),"")</f>
        <v/>
      </c>
      <c r="D236" s="437">
        <f t="shared" si="1"/>
        <v>0</v>
      </c>
      <c r="F236" s="438">
        <f t="shared" si="2"/>
        <v>0</v>
      </c>
      <c r="G236" t="str">
        <f t="shared" si="3"/>
        <v/>
      </c>
      <c r="H236" t="b">
        <f t="shared" si="4"/>
        <v>0</v>
      </c>
      <c r="I236" s="439">
        <f>IF(OR(ISBLANK(A236),ISNA(MATCH(A236&amp;"",AthleteNumbers,0))),0,MATCH(A236&amp;"",AthleteNumbers,0))</f>
        <v>0</v>
      </c>
      <c r="J236" s="209">
        <f t="array" ref="J236">IF(I236&gt;0,INDEX(DB,$I236,6),0)</f>
        <v>0</v>
      </c>
      <c r="K236" s="440">
        <f t="shared" si="5"/>
        <v>0</v>
      </c>
      <c r="L236" s="440">
        <f t="shared" si="6"/>
        <v>0</v>
      </c>
      <c r="M236" s="441">
        <f>IF(AND(L236&gt;O236,O236&gt;0),MinPoints,IF(L236&lt;N236,100,+INT((O236-$L236)/P236)+MinPoints))</f>
        <v>100</v>
      </c>
      <c r="N236" s="440">
        <f t="shared" si="7"/>
        <v>7</v>
      </c>
      <c r="O236" s="440">
        <f t="shared" si="8"/>
        <v>16</v>
      </c>
      <c r="P236" s="440">
        <f t="shared" si="9"/>
        <v>0.1</v>
      </c>
      <c r="Q236">
        <f t="array" ref="Q236">IF(I236&gt;0,INDEX(DB,I236,9),EventIndex)</f>
        <v>6</v>
      </c>
      <c r="S236" s="442">
        <f t="array" ref="S236">INDEX(MINVALUES,$Q236,$K$1)</f>
        <v>16</v>
      </c>
      <c r="T236">
        <f t="array" ref="T236">INDEX(INCVALUES,$Q236,$K$1)</f>
        <v>0.1</v>
      </c>
      <c r="V236">
        <f t="array" ref="V236">+J236+(4*(INDEX(MatchScoreTable,$Q236,20)-1))</f>
        <v>4</v>
      </c>
      <c r="W236">
        <f t="array" ref="W236">INDEX(INC_MINVALUES,$V236,$K$1)</f>
        <v>34</v>
      </c>
      <c r="X236" s="212">
        <f t="array" ref="X236">INDEX(INC_INCVALUES,$V236,$K$1)</f>
        <v>0.3</v>
      </c>
    </row>
    <row r="237" ht="15.75" customHeight="1">
      <c r="A237" s="435"/>
      <c r="B237" s="436"/>
      <c r="C237" s="95" t="str">
        <f t="array" ref="C237">IF(I237&gt;0,INDEX(DB,I237,8),"")</f>
        <v/>
      </c>
      <c r="D237" s="437">
        <f t="shared" si="1"/>
        <v>0</v>
      </c>
      <c r="F237" s="438">
        <f t="shared" si="2"/>
        <v>0</v>
      </c>
      <c r="G237" t="str">
        <f t="shared" si="3"/>
        <v/>
      </c>
      <c r="H237" t="b">
        <f t="shared" si="4"/>
        <v>0</v>
      </c>
      <c r="I237" s="439">
        <f>IF(OR(ISBLANK(A237),ISNA(MATCH(A237&amp;"",AthleteNumbers,0))),0,MATCH(A237&amp;"",AthleteNumbers,0))</f>
        <v>0</v>
      </c>
      <c r="J237" s="209">
        <f t="array" ref="J237">IF(I237&gt;0,INDEX(DB,$I237,6),0)</f>
        <v>0</v>
      </c>
      <c r="K237" s="440">
        <f t="shared" si="5"/>
        <v>0</v>
      </c>
      <c r="L237" s="440">
        <f t="shared" si="6"/>
        <v>0</v>
      </c>
      <c r="M237" s="441">
        <f>IF(AND(L237&gt;O237,O237&gt;0),MinPoints,IF(L237&lt;N237,100,+INT((O237-$L237)/P237)+MinPoints))</f>
        <v>100</v>
      </c>
      <c r="N237" s="440">
        <f t="shared" si="7"/>
        <v>7</v>
      </c>
      <c r="O237" s="440">
        <f t="shared" si="8"/>
        <v>16</v>
      </c>
      <c r="P237" s="440">
        <f t="shared" si="9"/>
        <v>0.1</v>
      </c>
      <c r="Q237">
        <f t="array" ref="Q237">IF(I237&gt;0,INDEX(DB,I237,9),EventIndex)</f>
        <v>6</v>
      </c>
      <c r="S237" s="442">
        <f t="array" ref="S237">INDEX(MINVALUES,$Q237,$K$1)</f>
        <v>16</v>
      </c>
      <c r="T237">
        <f t="array" ref="T237">INDEX(INCVALUES,$Q237,$K$1)</f>
        <v>0.1</v>
      </c>
      <c r="V237">
        <f t="array" ref="V237">+J237+(4*(INDEX(MatchScoreTable,$Q237,20)-1))</f>
        <v>4</v>
      </c>
      <c r="W237">
        <f t="array" ref="W237">INDEX(INC_MINVALUES,$V237,$K$1)</f>
        <v>34</v>
      </c>
      <c r="X237" s="212">
        <f t="array" ref="X237">INDEX(INC_INCVALUES,$V237,$K$1)</f>
        <v>0.3</v>
      </c>
    </row>
    <row r="238" ht="15.75" customHeight="1">
      <c r="A238" s="435"/>
      <c r="B238" s="436"/>
      <c r="C238" s="95" t="str">
        <f t="array" ref="C238">IF(I238&gt;0,INDEX(DB,I238,8),"")</f>
        <v/>
      </c>
      <c r="D238" s="437">
        <f t="shared" si="1"/>
        <v>0</v>
      </c>
      <c r="F238" s="438">
        <f t="shared" si="2"/>
        <v>0</v>
      </c>
      <c r="G238" t="str">
        <f t="shared" si="3"/>
        <v/>
      </c>
      <c r="H238" t="b">
        <f t="shared" si="4"/>
        <v>0</v>
      </c>
      <c r="I238" s="439">
        <f>IF(OR(ISBLANK(A238),ISNA(MATCH(A238&amp;"",AthleteNumbers,0))),0,MATCH(A238&amp;"",AthleteNumbers,0))</f>
        <v>0</v>
      </c>
      <c r="J238" s="209">
        <f t="array" ref="J238">IF(I238&gt;0,INDEX(DB,$I238,6),0)</f>
        <v>0</v>
      </c>
      <c r="K238" s="440">
        <f t="shared" si="5"/>
        <v>0</v>
      </c>
      <c r="L238" s="440">
        <f t="shared" si="6"/>
        <v>0</v>
      </c>
      <c r="M238" s="441">
        <f>IF(AND(L238&gt;O238,O238&gt;0),MinPoints,IF(L238&lt;N238,100,+INT((O238-$L238)/P238)+MinPoints))</f>
        <v>100</v>
      </c>
      <c r="N238" s="440">
        <f t="shared" si="7"/>
        <v>7</v>
      </c>
      <c r="O238" s="440">
        <f t="shared" si="8"/>
        <v>16</v>
      </c>
      <c r="P238" s="440">
        <f t="shared" si="9"/>
        <v>0.1</v>
      </c>
      <c r="Q238">
        <f t="array" ref="Q238">IF(I238&gt;0,INDEX(DB,I238,9),EventIndex)</f>
        <v>6</v>
      </c>
      <c r="S238" s="442">
        <f t="array" ref="S238">INDEX(MINVALUES,$Q238,$K$1)</f>
        <v>16</v>
      </c>
      <c r="T238">
        <f t="array" ref="T238">INDEX(INCVALUES,$Q238,$K$1)</f>
        <v>0.1</v>
      </c>
      <c r="V238">
        <f t="array" ref="V238">+J238+(4*(INDEX(MatchScoreTable,$Q238,20)-1))</f>
        <v>4</v>
      </c>
      <c r="W238">
        <f t="array" ref="W238">INDEX(INC_MINVALUES,$V238,$K$1)</f>
        <v>34</v>
      </c>
      <c r="X238" s="212">
        <f t="array" ref="X238">INDEX(INC_INCVALUES,$V238,$K$1)</f>
        <v>0.3</v>
      </c>
    </row>
    <row r="239" ht="15.75" customHeight="1">
      <c r="A239" s="435"/>
      <c r="B239" s="436"/>
      <c r="C239" s="95" t="str">
        <f t="array" ref="C239">IF(I239&gt;0,INDEX(DB,I239,8),"")</f>
        <v/>
      </c>
      <c r="D239" s="437">
        <f t="shared" si="1"/>
        <v>0</v>
      </c>
      <c r="F239" s="438">
        <f t="shared" si="2"/>
        <v>0</v>
      </c>
      <c r="G239" t="str">
        <f t="shared" si="3"/>
        <v/>
      </c>
      <c r="H239" t="b">
        <f t="shared" si="4"/>
        <v>0</v>
      </c>
      <c r="I239" s="439">
        <f>IF(OR(ISBLANK(A239),ISNA(MATCH(A239&amp;"",AthleteNumbers,0))),0,MATCH(A239&amp;"",AthleteNumbers,0))</f>
        <v>0</v>
      </c>
      <c r="J239" s="209">
        <f t="array" ref="J239">IF(I239&gt;0,INDEX(DB,$I239,6),0)</f>
        <v>0</v>
      </c>
      <c r="K239" s="440">
        <f t="shared" si="5"/>
        <v>0</v>
      </c>
      <c r="L239" s="440">
        <f t="shared" si="6"/>
        <v>0</v>
      </c>
      <c r="M239" s="441">
        <f>IF(AND(L239&gt;O239,O239&gt;0),MinPoints,IF(L239&lt;N239,100,+INT((O239-$L239)/P239)+MinPoints))</f>
        <v>100</v>
      </c>
      <c r="N239" s="440">
        <f t="shared" si="7"/>
        <v>7</v>
      </c>
      <c r="O239" s="440">
        <f t="shared" si="8"/>
        <v>16</v>
      </c>
      <c r="P239" s="440">
        <f t="shared" si="9"/>
        <v>0.1</v>
      </c>
      <c r="Q239">
        <f t="array" ref="Q239">IF(I239&gt;0,INDEX(DB,I239,9),EventIndex)</f>
        <v>6</v>
      </c>
      <c r="S239" s="442">
        <f t="array" ref="S239">INDEX(MINVALUES,$Q239,$K$1)</f>
        <v>16</v>
      </c>
      <c r="T239">
        <f t="array" ref="T239">INDEX(INCVALUES,$Q239,$K$1)</f>
        <v>0.1</v>
      </c>
      <c r="V239">
        <f t="array" ref="V239">+J239+(4*(INDEX(MatchScoreTable,$Q239,20)-1))</f>
        <v>4</v>
      </c>
      <c r="W239">
        <f t="array" ref="W239">INDEX(INC_MINVALUES,$V239,$K$1)</f>
        <v>34</v>
      </c>
      <c r="X239" s="212">
        <f t="array" ref="X239">INDEX(INC_INCVALUES,$V239,$K$1)</f>
        <v>0.3</v>
      </c>
    </row>
    <row r="240" ht="15.75" customHeight="1">
      <c r="A240" s="435"/>
      <c r="B240" s="436"/>
      <c r="C240" s="95" t="str">
        <f t="array" ref="C240">IF(I240&gt;0,INDEX(DB,I240,8),"")</f>
        <v/>
      </c>
      <c r="D240" s="437">
        <f t="shared" si="1"/>
        <v>0</v>
      </c>
      <c r="F240" s="438">
        <f t="shared" si="2"/>
        <v>0</v>
      </c>
      <c r="G240" t="str">
        <f t="shared" si="3"/>
        <v/>
      </c>
      <c r="H240" t="b">
        <f t="shared" si="4"/>
        <v>0</v>
      </c>
      <c r="I240" s="439">
        <f>IF(OR(ISBLANK(A240),ISNA(MATCH(A240&amp;"",AthleteNumbers,0))),0,MATCH(A240&amp;"",AthleteNumbers,0))</f>
        <v>0</v>
      </c>
      <c r="J240" s="209">
        <f t="array" ref="J240">IF(I240&gt;0,INDEX(DB,$I240,6),0)</f>
        <v>0</v>
      </c>
      <c r="K240" s="440">
        <f t="shared" si="5"/>
        <v>0</v>
      </c>
      <c r="L240" s="440">
        <f t="shared" si="6"/>
        <v>0</v>
      </c>
      <c r="M240" s="441">
        <f>IF(AND(L240&gt;O240,O240&gt;0),MinPoints,IF(L240&lt;N240,100,+INT((O240-$L240)/P240)+MinPoints))</f>
        <v>100</v>
      </c>
      <c r="N240" s="440">
        <f t="shared" si="7"/>
        <v>7</v>
      </c>
      <c r="O240" s="440">
        <f t="shared" si="8"/>
        <v>16</v>
      </c>
      <c r="P240" s="440">
        <f t="shared" si="9"/>
        <v>0.1</v>
      </c>
      <c r="Q240">
        <f t="array" ref="Q240">IF(I240&gt;0,INDEX(DB,I240,9),EventIndex)</f>
        <v>6</v>
      </c>
      <c r="S240" s="442">
        <f t="array" ref="S240">INDEX(MINVALUES,$Q240,$K$1)</f>
        <v>16</v>
      </c>
      <c r="T240">
        <f t="array" ref="T240">INDEX(INCVALUES,$Q240,$K$1)</f>
        <v>0.1</v>
      </c>
      <c r="V240">
        <f t="array" ref="V240">+J240+(4*(INDEX(MatchScoreTable,$Q240,20)-1))</f>
        <v>4</v>
      </c>
      <c r="W240">
        <f t="array" ref="W240">INDEX(INC_MINVALUES,$V240,$K$1)</f>
        <v>34</v>
      </c>
      <c r="X240" s="212">
        <f t="array" ref="X240">INDEX(INC_INCVALUES,$V240,$K$1)</f>
        <v>0.3</v>
      </c>
    </row>
    <row r="241" ht="15.75" customHeight="1">
      <c r="A241" s="435"/>
      <c r="B241" s="436"/>
      <c r="C241" s="95" t="str">
        <f t="array" ref="C241">IF(I241&gt;0,INDEX(DB,I241,8),"")</f>
        <v/>
      </c>
      <c r="D241" s="437">
        <f t="shared" si="1"/>
        <v>0</v>
      </c>
      <c r="F241" s="438">
        <f t="shared" si="2"/>
        <v>0</v>
      </c>
      <c r="G241" t="str">
        <f t="shared" si="3"/>
        <v/>
      </c>
      <c r="H241" t="b">
        <f t="shared" si="4"/>
        <v>0</v>
      </c>
      <c r="I241" s="439">
        <f>IF(OR(ISBLANK(A241),ISNA(MATCH(A241&amp;"",AthleteNumbers,0))),0,MATCH(A241&amp;"",AthleteNumbers,0))</f>
        <v>0</v>
      </c>
      <c r="J241" s="209">
        <f t="array" ref="J241">IF(I241&gt;0,INDEX(DB,$I241,6),0)</f>
        <v>0</v>
      </c>
      <c r="K241" s="440">
        <f t="shared" si="5"/>
        <v>0</v>
      </c>
      <c r="L241" s="440">
        <f t="shared" si="6"/>
        <v>0</v>
      </c>
      <c r="M241" s="441">
        <f>IF(AND(L241&gt;O241,O241&gt;0),MinPoints,IF(L241&lt;N241,100,+INT((O241-$L241)/P241)+MinPoints))</f>
        <v>100</v>
      </c>
      <c r="N241" s="440">
        <f t="shared" si="7"/>
        <v>7</v>
      </c>
      <c r="O241" s="440">
        <f t="shared" si="8"/>
        <v>16</v>
      </c>
      <c r="P241" s="440">
        <f t="shared" si="9"/>
        <v>0.1</v>
      </c>
      <c r="Q241">
        <f t="array" ref="Q241">IF(I241&gt;0,INDEX(DB,I241,9),EventIndex)</f>
        <v>6</v>
      </c>
      <c r="S241" s="442">
        <f t="array" ref="S241">INDEX(MINVALUES,$Q241,$K$1)</f>
        <v>16</v>
      </c>
      <c r="T241">
        <f t="array" ref="T241">INDEX(INCVALUES,$Q241,$K$1)</f>
        <v>0.1</v>
      </c>
      <c r="V241">
        <f t="array" ref="V241">+J241+(4*(INDEX(MatchScoreTable,$Q241,20)-1))</f>
        <v>4</v>
      </c>
      <c r="W241">
        <f t="array" ref="W241">INDEX(INC_MINVALUES,$V241,$K$1)</f>
        <v>34</v>
      </c>
      <c r="X241" s="212">
        <f t="array" ref="X241">INDEX(INC_INCVALUES,$V241,$K$1)</f>
        <v>0.3</v>
      </c>
    </row>
    <row r="242" ht="15.75" customHeight="1">
      <c r="A242" s="435"/>
      <c r="B242" s="436"/>
      <c r="C242" s="95" t="str">
        <f t="array" ref="C242">IF(I242&gt;0,INDEX(DB,I242,8),"")</f>
        <v/>
      </c>
      <c r="D242" s="437">
        <f t="shared" si="1"/>
        <v>0</v>
      </c>
      <c r="F242" s="438">
        <f t="shared" si="2"/>
        <v>0</v>
      </c>
      <c r="G242" t="str">
        <f t="shared" si="3"/>
        <v/>
      </c>
      <c r="H242" t="b">
        <f t="shared" si="4"/>
        <v>0</v>
      </c>
      <c r="I242" s="439">
        <f>IF(OR(ISBLANK(A242),ISNA(MATCH(A242&amp;"",AthleteNumbers,0))),0,MATCH(A242&amp;"",AthleteNumbers,0))</f>
        <v>0</v>
      </c>
      <c r="J242" s="209">
        <f t="array" ref="J242">IF(I242&gt;0,INDEX(DB,$I242,6),0)</f>
        <v>0</v>
      </c>
      <c r="K242" s="440">
        <f t="shared" si="5"/>
        <v>0</v>
      </c>
      <c r="L242" s="440">
        <f t="shared" si="6"/>
        <v>0</v>
      </c>
      <c r="M242" s="441">
        <f>IF(AND(L242&gt;O242,O242&gt;0),MinPoints,IF(L242&lt;N242,100,+INT((O242-$L242)/P242)+MinPoints))</f>
        <v>100</v>
      </c>
      <c r="N242" s="440">
        <f t="shared" si="7"/>
        <v>7</v>
      </c>
      <c r="O242" s="440">
        <f t="shared" si="8"/>
        <v>16</v>
      </c>
      <c r="P242" s="440">
        <f t="shared" si="9"/>
        <v>0.1</v>
      </c>
      <c r="Q242">
        <f t="array" ref="Q242">IF(I242&gt;0,INDEX(DB,I242,9),EventIndex)</f>
        <v>6</v>
      </c>
      <c r="S242" s="442">
        <f t="array" ref="S242">INDEX(MINVALUES,$Q242,$K$1)</f>
        <v>16</v>
      </c>
      <c r="T242">
        <f t="array" ref="T242">INDEX(INCVALUES,$Q242,$K$1)</f>
        <v>0.1</v>
      </c>
      <c r="V242">
        <f t="array" ref="V242">+J242+(4*(INDEX(MatchScoreTable,$Q242,20)-1))</f>
        <v>4</v>
      </c>
      <c r="W242">
        <f t="array" ref="W242">INDEX(INC_MINVALUES,$V242,$K$1)</f>
        <v>34</v>
      </c>
      <c r="X242" s="212">
        <f t="array" ref="X242">INDEX(INC_INCVALUES,$V242,$K$1)</f>
        <v>0.3</v>
      </c>
    </row>
    <row r="243" ht="15.75" customHeight="1">
      <c r="A243" s="435"/>
      <c r="B243" s="436"/>
      <c r="C243" s="95" t="str">
        <f t="array" ref="C243">IF(I243&gt;0,INDEX(DB,I243,8),"")</f>
        <v/>
      </c>
      <c r="D243" s="437">
        <f t="shared" si="1"/>
        <v>0</v>
      </c>
      <c r="F243" s="438">
        <f t="shared" si="2"/>
        <v>0</v>
      </c>
      <c r="G243" t="str">
        <f t="shared" si="3"/>
        <v/>
      </c>
      <c r="H243" t="b">
        <f t="shared" si="4"/>
        <v>0</v>
      </c>
      <c r="I243" s="439">
        <f>IF(OR(ISBLANK(A243),ISNA(MATCH(A243&amp;"",AthleteNumbers,0))),0,MATCH(A243&amp;"",AthleteNumbers,0))</f>
        <v>0</v>
      </c>
      <c r="J243" s="209">
        <f t="array" ref="J243">IF(I243&gt;0,INDEX(DB,$I243,6),0)</f>
        <v>0</v>
      </c>
      <c r="K243" s="440">
        <f t="shared" si="5"/>
        <v>0</v>
      </c>
      <c r="L243" s="440">
        <f t="shared" si="6"/>
        <v>0</v>
      </c>
      <c r="M243" s="441">
        <f>IF(AND(L243&gt;O243,O243&gt;0),MinPoints,IF(L243&lt;N243,100,+INT((O243-$L243)/P243)+MinPoints))</f>
        <v>100</v>
      </c>
      <c r="N243" s="440">
        <f t="shared" si="7"/>
        <v>7</v>
      </c>
      <c r="O243" s="440">
        <f t="shared" si="8"/>
        <v>16</v>
      </c>
      <c r="P243" s="440">
        <f t="shared" si="9"/>
        <v>0.1</v>
      </c>
      <c r="Q243">
        <f t="array" ref="Q243">IF(I243&gt;0,INDEX(DB,I243,9),EventIndex)</f>
        <v>6</v>
      </c>
      <c r="S243" s="442">
        <f t="array" ref="S243">INDEX(MINVALUES,$Q243,$K$1)</f>
        <v>16</v>
      </c>
      <c r="T243">
        <f t="array" ref="T243">INDEX(INCVALUES,$Q243,$K$1)</f>
        <v>0.1</v>
      </c>
      <c r="V243">
        <f t="array" ref="V243">+J243+(4*(INDEX(MatchScoreTable,$Q243,20)-1))</f>
        <v>4</v>
      </c>
      <c r="W243">
        <f t="array" ref="W243">INDEX(INC_MINVALUES,$V243,$K$1)</f>
        <v>34</v>
      </c>
      <c r="X243" s="212">
        <f t="array" ref="X243">INDEX(INC_INCVALUES,$V243,$K$1)</f>
        <v>0.3</v>
      </c>
    </row>
    <row r="244" ht="15.75" customHeight="1">
      <c r="A244" s="435"/>
      <c r="B244" s="436"/>
      <c r="C244" s="95" t="str">
        <f t="array" ref="C244">IF(I244&gt;0,INDEX(DB,I244,8),"")</f>
        <v/>
      </c>
      <c r="D244" s="437">
        <f t="shared" si="1"/>
        <v>0</v>
      </c>
      <c r="F244" s="438">
        <f t="shared" si="2"/>
        <v>0</v>
      </c>
      <c r="G244" t="str">
        <f t="shared" si="3"/>
        <v/>
      </c>
      <c r="H244" t="b">
        <f t="shared" si="4"/>
        <v>0</v>
      </c>
      <c r="I244" s="439">
        <f>IF(OR(ISBLANK(A244),ISNA(MATCH(A244&amp;"",AthleteNumbers,0))),0,MATCH(A244&amp;"",AthleteNumbers,0))</f>
        <v>0</v>
      </c>
      <c r="J244" s="209">
        <f t="array" ref="J244">IF(I244&gt;0,INDEX(DB,$I244,6),0)</f>
        <v>0</v>
      </c>
      <c r="K244" s="440">
        <f t="shared" si="5"/>
        <v>0</v>
      </c>
      <c r="L244" s="440">
        <f t="shared" si="6"/>
        <v>0</v>
      </c>
      <c r="M244" s="441">
        <f>IF(AND(L244&gt;O244,O244&gt;0),MinPoints,IF(L244&lt;N244,100,+INT((O244-$L244)/P244)+MinPoints))</f>
        <v>100</v>
      </c>
      <c r="N244" s="440">
        <f t="shared" si="7"/>
        <v>7</v>
      </c>
      <c r="O244" s="440">
        <f t="shared" si="8"/>
        <v>16</v>
      </c>
      <c r="P244" s="440">
        <f t="shared" si="9"/>
        <v>0.1</v>
      </c>
      <c r="Q244">
        <f t="array" ref="Q244">IF(I244&gt;0,INDEX(DB,I244,9),EventIndex)</f>
        <v>6</v>
      </c>
      <c r="S244" s="442">
        <f t="array" ref="S244">INDEX(MINVALUES,$Q244,$K$1)</f>
        <v>16</v>
      </c>
      <c r="T244">
        <f t="array" ref="T244">INDEX(INCVALUES,$Q244,$K$1)</f>
        <v>0.1</v>
      </c>
      <c r="V244">
        <f t="array" ref="V244">+J244+(4*(INDEX(MatchScoreTable,$Q244,20)-1))</f>
        <v>4</v>
      </c>
      <c r="W244">
        <f t="array" ref="W244">INDEX(INC_MINVALUES,$V244,$K$1)</f>
        <v>34</v>
      </c>
      <c r="X244" s="212">
        <f t="array" ref="X244">INDEX(INC_INCVALUES,$V244,$K$1)</f>
        <v>0.3</v>
      </c>
    </row>
    <row r="245" ht="15.75" customHeight="1">
      <c r="A245" s="435"/>
      <c r="B245" s="436"/>
      <c r="C245" s="95" t="str">
        <f t="array" ref="C245">IF(I245&gt;0,INDEX(DB,I245,8),"")</f>
        <v/>
      </c>
      <c r="D245" s="437">
        <f t="shared" si="1"/>
        <v>0</v>
      </c>
      <c r="F245" s="438">
        <f t="shared" si="2"/>
        <v>0</v>
      </c>
      <c r="G245" t="str">
        <f t="shared" si="3"/>
        <v/>
      </c>
      <c r="H245" t="b">
        <f t="shared" si="4"/>
        <v>0</v>
      </c>
      <c r="I245" s="439">
        <f>IF(OR(ISBLANK(A245),ISNA(MATCH(A245&amp;"",AthleteNumbers,0))),0,MATCH(A245&amp;"",AthleteNumbers,0))</f>
        <v>0</v>
      </c>
      <c r="J245" s="209">
        <f t="array" ref="J245">IF(I245&gt;0,INDEX(DB,$I245,6),0)</f>
        <v>0</v>
      </c>
      <c r="K245" s="440">
        <f t="shared" si="5"/>
        <v>0</v>
      </c>
      <c r="L245" s="440">
        <f t="shared" si="6"/>
        <v>0</v>
      </c>
      <c r="M245" s="441">
        <f>IF(AND(L245&gt;O245,O245&gt;0),MinPoints,IF(L245&lt;N245,100,+INT((O245-$L245)/P245)+MinPoints))</f>
        <v>100</v>
      </c>
      <c r="N245" s="440">
        <f t="shared" si="7"/>
        <v>7</v>
      </c>
      <c r="O245" s="440">
        <f t="shared" si="8"/>
        <v>16</v>
      </c>
      <c r="P245" s="440">
        <f t="shared" si="9"/>
        <v>0.1</v>
      </c>
      <c r="Q245">
        <f t="array" ref="Q245">IF(I245&gt;0,INDEX(DB,I245,9),EventIndex)</f>
        <v>6</v>
      </c>
      <c r="S245" s="442">
        <f t="array" ref="S245">INDEX(MINVALUES,$Q245,$K$1)</f>
        <v>16</v>
      </c>
      <c r="T245">
        <f t="array" ref="T245">INDEX(INCVALUES,$Q245,$K$1)</f>
        <v>0.1</v>
      </c>
      <c r="V245">
        <f t="array" ref="V245">+J245+(4*(INDEX(MatchScoreTable,$Q245,20)-1))</f>
        <v>4</v>
      </c>
      <c r="W245">
        <f t="array" ref="W245">INDEX(INC_MINVALUES,$V245,$K$1)</f>
        <v>34</v>
      </c>
      <c r="X245" s="212">
        <f t="array" ref="X245">INDEX(INC_INCVALUES,$V245,$K$1)</f>
        <v>0.3</v>
      </c>
    </row>
    <row r="246" ht="15.75" customHeight="1">
      <c r="A246" s="435"/>
      <c r="B246" s="436"/>
      <c r="C246" s="95" t="str">
        <f t="array" ref="C246">IF(I246&gt;0,INDEX(DB,I246,8),"")</f>
        <v/>
      </c>
      <c r="D246" s="437">
        <f t="shared" si="1"/>
        <v>0</v>
      </c>
      <c r="F246" s="438">
        <f t="shared" si="2"/>
        <v>0</v>
      </c>
      <c r="G246" t="str">
        <f t="shared" si="3"/>
        <v/>
      </c>
      <c r="H246" t="b">
        <f t="shared" si="4"/>
        <v>0</v>
      </c>
      <c r="I246" s="439">
        <f>IF(OR(ISBLANK(A246),ISNA(MATCH(A246&amp;"",AthleteNumbers,0))),0,MATCH(A246&amp;"",AthleteNumbers,0))</f>
        <v>0</v>
      </c>
      <c r="J246" s="209">
        <f t="array" ref="J246">IF(I246&gt;0,INDEX(DB,$I246,6),0)</f>
        <v>0</v>
      </c>
      <c r="K246" s="440">
        <f t="shared" si="5"/>
        <v>0</v>
      </c>
      <c r="L246" s="440">
        <f t="shared" si="6"/>
        <v>0</v>
      </c>
      <c r="M246" s="441">
        <f>IF(AND(L246&gt;O246,O246&gt;0),MinPoints,IF(L246&lt;N246,100,+INT((O246-$L246)/P246)+MinPoints))</f>
        <v>100</v>
      </c>
      <c r="N246" s="440">
        <f t="shared" si="7"/>
        <v>7</v>
      </c>
      <c r="O246" s="440">
        <f t="shared" si="8"/>
        <v>16</v>
      </c>
      <c r="P246" s="440">
        <f t="shared" si="9"/>
        <v>0.1</v>
      </c>
      <c r="Q246">
        <f t="array" ref="Q246">IF(I246&gt;0,INDEX(DB,I246,9),EventIndex)</f>
        <v>6</v>
      </c>
      <c r="S246" s="442">
        <f t="array" ref="S246">INDEX(MINVALUES,$Q246,$K$1)</f>
        <v>16</v>
      </c>
      <c r="T246">
        <f t="array" ref="T246">INDEX(INCVALUES,$Q246,$K$1)</f>
        <v>0.1</v>
      </c>
      <c r="V246">
        <f t="array" ref="V246">+J246+(4*(INDEX(MatchScoreTable,$Q246,20)-1))</f>
        <v>4</v>
      </c>
      <c r="W246">
        <f t="array" ref="W246">INDEX(INC_MINVALUES,$V246,$K$1)</f>
        <v>34</v>
      </c>
      <c r="X246" s="212">
        <f t="array" ref="X246">INDEX(INC_INCVALUES,$V246,$K$1)</f>
        <v>0.3</v>
      </c>
    </row>
    <row r="247" ht="15.75" customHeight="1">
      <c r="A247" s="435"/>
      <c r="B247" s="436"/>
      <c r="C247" s="95" t="str">
        <f t="array" ref="C247">IF(I247&gt;0,INDEX(DB,I247,8),"")</f>
        <v/>
      </c>
      <c r="D247" s="437">
        <f t="shared" si="1"/>
        <v>0</v>
      </c>
      <c r="F247" s="438">
        <f t="shared" si="2"/>
        <v>0</v>
      </c>
      <c r="G247" t="str">
        <f t="shared" si="3"/>
        <v/>
      </c>
      <c r="H247" t="b">
        <f t="shared" si="4"/>
        <v>0</v>
      </c>
      <c r="I247" s="439">
        <f>IF(OR(ISBLANK(A247),ISNA(MATCH(A247&amp;"",AthleteNumbers,0))),0,MATCH(A247&amp;"",AthleteNumbers,0))</f>
        <v>0</v>
      </c>
      <c r="J247" s="209">
        <f t="array" ref="J247">IF(I247&gt;0,INDEX(DB,$I247,6),0)</f>
        <v>0</v>
      </c>
      <c r="K247" s="440">
        <f t="shared" si="5"/>
        <v>0</v>
      </c>
      <c r="L247" s="440">
        <f t="shared" si="6"/>
        <v>0</v>
      </c>
      <c r="M247" s="441">
        <f>IF(AND(L247&gt;O247,O247&gt;0),MinPoints,IF(L247&lt;N247,100,+INT((O247-$L247)/P247)+MinPoints))</f>
        <v>100</v>
      </c>
      <c r="N247" s="440">
        <f t="shared" si="7"/>
        <v>7</v>
      </c>
      <c r="O247" s="440">
        <f t="shared" si="8"/>
        <v>16</v>
      </c>
      <c r="P247" s="440">
        <f t="shared" si="9"/>
        <v>0.1</v>
      </c>
      <c r="Q247">
        <f t="array" ref="Q247">IF(I247&gt;0,INDEX(DB,I247,9),EventIndex)</f>
        <v>6</v>
      </c>
      <c r="S247" s="442">
        <f t="array" ref="S247">INDEX(MINVALUES,$Q247,$K$1)</f>
        <v>16</v>
      </c>
      <c r="T247">
        <f t="array" ref="T247">INDEX(INCVALUES,$Q247,$K$1)</f>
        <v>0.1</v>
      </c>
      <c r="V247">
        <f t="array" ref="V247">+J247+(4*(INDEX(MatchScoreTable,$Q247,20)-1))</f>
        <v>4</v>
      </c>
      <c r="W247">
        <f t="array" ref="W247">INDEX(INC_MINVALUES,$V247,$K$1)</f>
        <v>34</v>
      </c>
      <c r="X247" s="212">
        <f t="array" ref="X247">INDEX(INC_INCVALUES,$V247,$K$1)</f>
        <v>0.3</v>
      </c>
    </row>
    <row r="248" ht="15.75" customHeight="1">
      <c r="A248" s="435"/>
      <c r="B248" s="436"/>
      <c r="C248" s="95" t="str">
        <f t="array" ref="C248">IF(I248&gt;0,INDEX(DB,I248,8),"")</f>
        <v/>
      </c>
      <c r="D248" s="437">
        <f t="shared" si="1"/>
        <v>0</v>
      </c>
      <c r="F248" s="438">
        <f t="shared" si="2"/>
        <v>0</v>
      </c>
      <c r="G248" t="str">
        <f t="shared" si="3"/>
        <v/>
      </c>
      <c r="H248" t="b">
        <f t="shared" si="4"/>
        <v>0</v>
      </c>
      <c r="I248" s="439">
        <f>IF(OR(ISBLANK(A248),ISNA(MATCH(A248&amp;"",AthleteNumbers,0))),0,MATCH(A248&amp;"",AthleteNumbers,0))</f>
        <v>0</v>
      </c>
      <c r="J248" s="209">
        <f t="array" ref="J248">IF(I248&gt;0,INDEX(DB,$I248,6),0)</f>
        <v>0</v>
      </c>
      <c r="K248" s="440">
        <f t="shared" si="5"/>
        <v>0</v>
      </c>
      <c r="L248" s="440">
        <f t="shared" si="6"/>
        <v>0</v>
      </c>
      <c r="M248" s="441">
        <f>IF(AND(L248&gt;O248,O248&gt;0),MinPoints,IF(L248&lt;N248,100,+INT((O248-$L248)/P248)+MinPoints))</f>
        <v>100</v>
      </c>
      <c r="N248" s="440">
        <f t="shared" si="7"/>
        <v>7</v>
      </c>
      <c r="O248" s="440">
        <f t="shared" si="8"/>
        <v>16</v>
      </c>
      <c r="P248" s="440">
        <f t="shared" si="9"/>
        <v>0.1</v>
      </c>
      <c r="Q248">
        <f t="array" ref="Q248">IF(I248&gt;0,INDEX(DB,I248,9),EventIndex)</f>
        <v>6</v>
      </c>
      <c r="S248" s="442">
        <f t="array" ref="S248">INDEX(MINVALUES,$Q248,$K$1)</f>
        <v>16</v>
      </c>
      <c r="T248">
        <f t="array" ref="T248">INDEX(INCVALUES,$Q248,$K$1)</f>
        <v>0.1</v>
      </c>
      <c r="V248">
        <f t="array" ref="V248">+J248+(4*(INDEX(MatchScoreTable,$Q248,20)-1))</f>
        <v>4</v>
      </c>
      <c r="W248">
        <f t="array" ref="W248">INDEX(INC_MINVALUES,$V248,$K$1)</f>
        <v>34</v>
      </c>
      <c r="X248" s="212">
        <f t="array" ref="X248">INDEX(INC_INCVALUES,$V248,$K$1)</f>
        <v>0.3</v>
      </c>
    </row>
    <row r="249" ht="15.75" customHeight="1">
      <c r="A249" s="435"/>
      <c r="B249" s="436"/>
      <c r="C249" s="95" t="str">
        <f t="array" ref="C249">IF(I249&gt;0,INDEX(DB,I249,8),"")</f>
        <v/>
      </c>
      <c r="D249" s="437">
        <f t="shared" si="1"/>
        <v>0</v>
      </c>
      <c r="F249" s="438">
        <f t="shared" si="2"/>
        <v>0</v>
      </c>
      <c r="G249" t="str">
        <f t="shared" si="3"/>
        <v/>
      </c>
      <c r="H249" t="b">
        <f t="shared" si="4"/>
        <v>0</v>
      </c>
      <c r="I249" s="439">
        <f>IF(OR(ISBLANK(A249),ISNA(MATCH(A249&amp;"",AthleteNumbers,0))),0,MATCH(A249&amp;"",AthleteNumbers,0))</f>
        <v>0</v>
      </c>
      <c r="J249" s="209">
        <f t="array" ref="J249">IF(I249&gt;0,INDEX(DB,$I249,6),0)</f>
        <v>0</v>
      </c>
      <c r="K249" s="440">
        <f t="shared" si="5"/>
        <v>0</v>
      </c>
      <c r="L249" s="440">
        <f t="shared" si="6"/>
        <v>0</v>
      </c>
      <c r="M249" s="441">
        <f>IF(AND(L249&gt;O249,O249&gt;0),MinPoints,IF(L249&lt;N249,100,+INT((O249-$L249)/P249)+MinPoints))</f>
        <v>100</v>
      </c>
      <c r="N249" s="440">
        <f t="shared" si="7"/>
        <v>7</v>
      </c>
      <c r="O249" s="440">
        <f t="shared" si="8"/>
        <v>16</v>
      </c>
      <c r="P249" s="440">
        <f t="shared" si="9"/>
        <v>0.1</v>
      </c>
      <c r="Q249">
        <f t="array" ref="Q249">IF(I249&gt;0,INDEX(DB,I249,9),EventIndex)</f>
        <v>6</v>
      </c>
      <c r="S249" s="442">
        <f t="array" ref="S249">INDEX(MINVALUES,$Q249,$K$1)</f>
        <v>16</v>
      </c>
      <c r="T249">
        <f t="array" ref="T249">INDEX(INCVALUES,$Q249,$K$1)</f>
        <v>0.1</v>
      </c>
      <c r="V249">
        <f t="array" ref="V249">+J249+(4*(INDEX(MatchScoreTable,$Q249,20)-1))</f>
        <v>4</v>
      </c>
      <c r="W249">
        <f t="array" ref="W249">INDEX(INC_MINVALUES,$V249,$K$1)</f>
        <v>34</v>
      </c>
      <c r="X249" s="212">
        <f t="array" ref="X249">INDEX(INC_INCVALUES,$V249,$K$1)</f>
        <v>0.3</v>
      </c>
    </row>
    <row r="250" ht="15.75" customHeight="1">
      <c r="A250" s="435"/>
      <c r="B250" s="436"/>
      <c r="C250" s="95" t="str">
        <f t="array" ref="C250">IF(I250&gt;0,INDEX(DB,I250,8),"")</f>
        <v/>
      </c>
      <c r="D250" s="437">
        <f t="shared" si="1"/>
        <v>0</v>
      </c>
      <c r="F250" s="438">
        <f t="shared" si="2"/>
        <v>0</v>
      </c>
      <c r="G250" t="str">
        <f t="shared" si="3"/>
        <v/>
      </c>
      <c r="H250" t="b">
        <f t="shared" si="4"/>
        <v>0</v>
      </c>
      <c r="I250" s="439">
        <f>IF(OR(ISBLANK(A250),ISNA(MATCH(A250&amp;"",AthleteNumbers,0))),0,MATCH(A250&amp;"",AthleteNumbers,0))</f>
        <v>0</v>
      </c>
      <c r="J250" s="209">
        <f t="array" ref="J250">IF(I250&gt;0,INDEX(DB,$I250,6),0)</f>
        <v>0</v>
      </c>
      <c r="K250" s="440">
        <f t="shared" si="5"/>
        <v>0</v>
      </c>
      <c r="L250" s="440">
        <f t="shared" si="6"/>
        <v>0</v>
      </c>
      <c r="M250" s="441">
        <f>IF(AND(L250&gt;O250,O250&gt;0),MinPoints,IF(L250&lt;N250,100,+INT((O250-$L250)/P250)+MinPoints))</f>
        <v>100</v>
      </c>
      <c r="N250" s="440">
        <f t="shared" si="7"/>
        <v>7</v>
      </c>
      <c r="O250" s="440">
        <f t="shared" si="8"/>
        <v>16</v>
      </c>
      <c r="P250" s="440">
        <f t="shared" si="9"/>
        <v>0.1</v>
      </c>
      <c r="Q250">
        <f t="array" ref="Q250">IF(I250&gt;0,INDEX(DB,I250,9),EventIndex)</f>
        <v>6</v>
      </c>
      <c r="S250" s="442">
        <f t="array" ref="S250">INDEX(MINVALUES,$Q250,$K$1)</f>
        <v>16</v>
      </c>
      <c r="T250">
        <f t="array" ref="T250">INDEX(INCVALUES,$Q250,$K$1)</f>
        <v>0.1</v>
      </c>
      <c r="V250">
        <f t="array" ref="V250">+J250+(4*(INDEX(MatchScoreTable,$Q250,20)-1))</f>
        <v>4</v>
      </c>
      <c r="W250">
        <f t="array" ref="W250">INDEX(INC_MINVALUES,$V250,$K$1)</f>
        <v>34</v>
      </c>
      <c r="X250" s="212">
        <f t="array" ref="X250">INDEX(INC_INCVALUES,$V250,$K$1)</f>
        <v>0.3</v>
      </c>
    </row>
    <row r="251" ht="15.75" customHeight="1">
      <c r="A251" s="435"/>
      <c r="B251" s="436"/>
      <c r="C251" s="95" t="str">
        <f t="array" ref="C251">IF(I251&gt;0,INDEX(DB,I251,8),"")</f>
        <v/>
      </c>
      <c r="D251" s="437">
        <f t="shared" si="1"/>
        <v>0</v>
      </c>
      <c r="F251" s="438">
        <f t="shared" si="2"/>
        <v>0</v>
      </c>
      <c r="G251" t="str">
        <f t="shared" si="3"/>
        <v/>
      </c>
      <c r="H251" t="b">
        <f t="shared" si="4"/>
        <v>0</v>
      </c>
      <c r="I251" s="439">
        <f>IF(OR(ISBLANK(A251),ISNA(MATCH(A251&amp;"",AthleteNumbers,0))),0,MATCH(A251&amp;"",AthleteNumbers,0))</f>
        <v>0</v>
      </c>
      <c r="J251" s="209">
        <f t="array" ref="J251">IF(I251&gt;0,INDEX(DB,$I251,6),0)</f>
        <v>0</v>
      </c>
      <c r="K251" s="440">
        <f t="shared" si="5"/>
        <v>0</v>
      </c>
      <c r="L251" s="440">
        <f t="shared" si="6"/>
        <v>0</v>
      </c>
      <c r="M251" s="441">
        <f>IF(AND(L251&gt;O251,O251&gt;0),MinPoints,IF(L251&lt;N251,100,+INT((O251-$L251)/P251)+MinPoints))</f>
        <v>100</v>
      </c>
      <c r="N251" s="440">
        <f t="shared" si="7"/>
        <v>7</v>
      </c>
      <c r="O251" s="440">
        <f t="shared" si="8"/>
        <v>16</v>
      </c>
      <c r="P251" s="440">
        <f t="shared" si="9"/>
        <v>0.1</v>
      </c>
      <c r="Q251">
        <f t="array" ref="Q251">IF(I251&gt;0,INDEX(DB,I251,9),EventIndex)</f>
        <v>6</v>
      </c>
      <c r="S251" s="442">
        <f t="array" ref="S251">INDEX(MINVALUES,$Q251,$K$1)</f>
        <v>16</v>
      </c>
      <c r="T251">
        <f t="array" ref="T251">INDEX(INCVALUES,$Q251,$K$1)</f>
        <v>0.1</v>
      </c>
      <c r="V251">
        <f t="array" ref="V251">+J251+(4*(INDEX(MatchScoreTable,$Q251,20)-1))</f>
        <v>4</v>
      </c>
      <c r="W251">
        <f t="array" ref="W251">INDEX(INC_MINVALUES,$V251,$K$1)</f>
        <v>34</v>
      </c>
      <c r="X251" s="212">
        <f t="array" ref="X251">INDEX(INC_INCVALUES,$V251,$K$1)</f>
        <v>0.3</v>
      </c>
    </row>
    <row r="252" ht="15.75" customHeight="1">
      <c r="A252" s="435"/>
      <c r="B252" s="436"/>
      <c r="C252" s="95" t="str">
        <f t="array" ref="C252">IF(I252&gt;0,INDEX(DB,I252,8),"")</f>
        <v/>
      </c>
      <c r="D252" s="437">
        <f t="shared" si="1"/>
        <v>0</v>
      </c>
      <c r="F252" s="438">
        <f t="shared" si="2"/>
        <v>0</v>
      </c>
      <c r="G252" t="str">
        <f t="shared" si="3"/>
        <v/>
      </c>
      <c r="H252" t="b">
        <f t="shared" si="4"/>
        <v>0</v>
      </c>
      <c r="I252" s="439">
        <f>IF(OR(ISBLANK(A252),ISNA(MATCH(A252&amp;"",AthleteNumbers,0))),0,MATCH(A252&amp;"",AthleteNumbers,0))</f>
        <v>0</v>
      </c>
      <c r="J252" s="209">
        <f t="array" ref="J252">IF(I252&gt;0,INDEX(DB,$I252,6),0)</f>
        <v>0</v>
      </c>
      <c r="K252" s="440">
        <f t="shared" si="5"/>
        <v>0</v>
      </c>
      <c r="L252" s="440">
        <f t="shared" si="6"/>
        <v>0</v>
      </c>
      <c r="M252" s="441">
        <f>IF(AND(L252&gt;O252,O252&gt;0),MinPoints,IF(L252&lt;N252,100,+INT((O252-$L252)/P252)+MinPoints))</f>
        <v>100</v>
      </c>
      <c r="N252" s="440">
        <f t="shared" si="7"/>
        <v>7</v>
      </c>
      <c r="O252" s="440">
        <f t="shared" si="8"/>
        <v>16</v>
      </c>
      <c r="P252" s="440">
        <f t="shared" si="9"/>
        <v>0.1</v>
      </c>
      <c r="Q252">
        <f t="array" ref="Q252">IF(I252&gt;0,INDEX(DB,I252,9),EventIndex)</f>
        <v>6</v>
      </c>
      <c r="S252" s="442">
        <f t="array" ref="S252">INDEX(MINVALUES,$Q252,$K$1)</f>
        <v>16</v>
      </c>
      <c r="T252">
        <f t="array" ref="T252">INDEX(INCVALUES,$Q252,$K$1)</f>
        <v>0.1</v>
      </c>
      <c r="V252">
        <f t="array" ref="V252">+J252+(4*(INDEX(MatchScoreTable,$Q252,20)-1))</f>
        <v>4</v>
      </c>
      <c r="W252">
        <f t="array" ref="W252">INDEX(INC_MINVALUES,$V252,$K$1)</f>
        <v>34</v>
      </c>
      <c r="X252" s="212">
        <f t="array" ref="X252">INDEX(INC_INCVALUES,$V252,$K$1)</f>
        <v>0.3</v>
      </c>
    </row>
    <row r="253" ht="15.75" customHeight="1">
      <c r="A253" s="435"/>
      <c r="B253" s="436"/>
      <c r="C253" s="95" t="str">
        <f t="array" ref="C253">IF(I253&gt;0,INDEX(DB,I253,8),"")</f>
        <v/>
      </c>
      <c r="D253" s="437">
        <f t="shared" si="1"/>
        <v>0</v>
      </c>
      <c r="F253" s="438">
        <f t="shared" si="2"/>
        <v>0</v>
      </c>
      <c r="G253" t="str">
        <f t="shared" si="3"/>
        <v/>
      </c>
      <c r="H253" t="b">
        <f t="shared" si="4"/>
        <v>0</v>
      </c>
      <c r="I253" s="439">
        <f>IF(OR(ISBLANK(A253),ISNA(MATCH(A253&amp;"",AthleteNumbers,0))),0,MATCH(A253&amp;"",AthleteNumbers,0))</f>
        <v>0</v>
      </c>
      <c r="J253" s="209">
        <f t="array" ref="J253">IF(I253&gt;0,INDEX(DB,$I253,6),0)</f>
        <v>0</v>
      </c>
      <c r="K253" s="440">
        <f t="shared" si="5"/>
        <v>0</v>
      </c>
      <c r="L253" s="440">
        <f t="shared" si="6"/>
        <v>0</v>
      </c>
      <c r="M253" s="441">
        <f>IF(AND(L253&gt;O253,O253&gt;0),MinPoints,IF(L253&lt;N253,100,+INT((O253-$L253)/P253)+MinPoints))</f>
        <v>100</v>
      </c>
      <c r="N253" s="440">
        <f t="shared" si="7"/>
        <v>7</v>
      </c>
      <c r="O253" s="440">
        <f t="shared" si="8"/>
        <v>16</v>
      </c>
      <c r="P253" s="440">
        <f t="shared" si="9"/>
        <v>0.1</v>
      </c>
      <c r="Q253">
        <f t="array" ref="Q253">IF(I253&gt;0,INDEX(DB,I253,9),EventIndex)</f>
        <v>6</v>
      </c>
      <c r="S253" s="442">
        <f t="array" ref="S253">INDEX(MINVALUES,$Q253,$K$1)</f>
        <v>16</v>
      </c>
      <c r="T253">
        <f t="array" ref="T253">INDEX(INCVALUES,$Q253,$K$1)</f>
        <v>0.1</v>
      </c>
      <c r="V253">
        <f t="array" ref="V253">+J253+(4*(INDEX(MatchScoreTable,$Q253,20)-1))</f>
        <v>4</v>
      </c>
      <c r="W253">
        <f t="array" ref="W253">INDEX(INC_MINVALUES,$V253,$K$1)</f>
        <v>34</v>
      </c>
      <c r="X253" s="212">
        <f t="array" ref="X253">INDEX(INC_INCVALUES,$V253,$K$1)</f>
        <v>0.3</v>
      </c>
    </row>
    <row r="254" ht="15.75" customHeight="1">
      <c r="A254" s="435"/>
      <c r="B254" s="436"/>
      <c r="C254" s="95" t="str">
        <f t="array" ref="C254">IF(I254&gt;0,INDEX(DB,I254,8),"")</f>
        <v/>
      </c>
      <c r="D254" s="437">
        <f t="shared" si="1"/>
        <v>0</v>
      </c>
      <c r="F254" s="438">
        <f t="shared" si="2"/>
        <v>0</v>
      </c>
      <c r="G254" t="str">
        <f t="shared" si="3"/>
        <v/>
      </c>
      <c r="H254" t="b">
        <f t="shared" si="4"/>
        <v>0</v>
      </c>
      <c r="I254" s="439">
        <f>IF(OR(ISBLANK(A254),ISNA(MATCH(A254&amp;"",AthleteNumbers,0))),0,MATCH(A254&amp;"",AthleteNumbers,0))</f>
        <v>0</v>
      </c>
      <c r="J254" s="209">
        <f t="array" ref="J254">IF(I254&gt;0,INDEX(DB,$I254,6),0)</f>
        <v>0</v>
      </c>
      <c r="K254" s="440">
        <f t="shared" si="5"/>
        <v>0</v>
      </c>
      <c r="L254" s="440">
        <f t="shared" si="6"/>
        <v>0</v>
      </c>
      <c r="M254" s="441">
        <f>IF(AND(L254&gt;O254,O254&gt;0),MinPoints,IF(L254&lt;N254,100,+INT((O254-$L254)/P254)+MinPoints))</f>
        <v>100</v>
      </c>
      <c r="N254" s="440">
        <f t="shared" si="7"/>
        <v>7</v>
      </c>
      <c r="O254" s="440">
        <f t="shared" si="8"/>
        <v>16</v>
      </c>
      <c r="P254" s="440">
        <f t="shared" si="9"/>
        <v>0.1</v>
      </c>
      <c r="Q254">
        <f t="array" ref="Q254">IF(I254&gt;0,INDEX(DB,I254,9),EventIndex)</f>
        <v>6</v>
      </c>
      <c r="S254" s="442">
        <f t="array" ref="S254">INDEX(MINVALUES,$Q254,$K$1)</f>
        <v>16</v>
      </c>
      <c r="T254">
        <f t="array" ref="T254">INDEX(INCVALUES,$Q254,$K$1)</f>
        <v>0.1</v>
      </c>
      <c r="V254">
        <f t="array" ref="V254">+J254+(4*(INDEX(MatchScoreTable,$Q254,20)-1))</f>
        <v>4</v>
      </c>
      <c r="W254">
        <f t="array" ref="W254">INDEX(INC_MINVALUES,$V254,$K$1)</f>
        <v>34</v>
      </c>
      <c r="X254" s="212">
        <f t="array" ref="X254">INDEX(INC_INCVALUES,$V254,$K$1)</f>
        <v>0.3</v>
      </c>
    </row>
    <row r="255" ht="15.75" customHeight="1">
      <c r="A255" s="435"/>
      <c r="B255" s="436"/>
      <c r="C255" s="95" t="str">
        <f t="array" ref="C255">IF(I255&gt;0,INDEX(DB,I255,8),"")</f>
        <v/>
      </c>
      <c r="D255" s="437">
        <f t="shared" si="1"/>
        <v>0</v>
      </c>
      <c r="F255" s="438">
        <f t="shared" si="2"/>
        <v>0</v>
      </c>
      <c r="G255" t="str">
        <f t="shared" si="3"/>
        <v/>
      </c>
      <c r="H255" t="b">
        <f t="shared" si="4"/>
        <v>0</v>
      </c>
      <c r="I255" s="439">
        <f>IF(OR(ISBLANK(A255),ISNA(MATCH(A255&amp;"",AthleteNumbers,0))),0,MATCH(A255&amp;"",AthleteNumbers,0))</f>
        <v>0</v>
      </c>
      <c r="J255" s="209">
        <f t="array" ref="J255">IF(I255&gt;0,INDEX(DB,$I255,6),0)</f>
        <v>0</v>
      </c>
      <c r="K255" s="440">
        <f t="shared" si="5"/>
        <v>0</v>
      </c>
      <c r="L255" s="440">
        <f t="shared" si="6"/>
        <v>0</v>
      </c>
      <c r="M255" s="441">
        <f>IF(AND(L255&gt;O255,O255&gt;0),MinPoints,IF(L255&lt;N255,100,+INT((O255-$L255)/P255)+MinPoints))</f>
        <v>100</v>
      </c>
      <c r="N255" s="440">
        <f t="shared" si="7"/>
        <v>7</v>
      </c>
      <c r="O255" s="440">
        <f t="shared" si="8"/>
        <v>16</v>
      </c>
      <c r="P255" s="440">
        <f t="shared" si="9"/>
        <v>0.1</v>
      </c>
      <c r="Q255">
        <f t="array" ref="Q255">IF(I255&gt;0,INDEX(DB,I255,9),EventIndex)</f>
        <v>6</v>
      </c>
      <c r="S255" s="442">
        <f t="array" ref="S255">INDEX(MINVALUES,$Q255,$K$1)</f>
        <v>16</v>
      </c>
      <c r="T255">
        <f t="array" ref="T255">INDEX(INCVALUES,$Q255,$K$1)</f>
        <v>0.1</v>
      </c>
      <c r="V255">
        <f t="array" ref="V255">+J255+(4*(INDEX(MatchScoreTable,$Q255,20)-1))</f>
        <v>4</v>
      </c>
      <c r="W255">
        <f t="array" ref="W255">INDEX(INC_MINVALUES,$V255,$K$1)</f>
        <v>34</v>
      </c>
      <c r="X255" s="212">
        <f t="array" ref="X255">INDEX(INC_INCVALUES,$V255,$K$1)</f>
        <v>0.3</v>
      </c>
    </row>
    <row r="256" ht="15.75" customHeight="1">
      <c r="A256" s="435"/>
      <c r="B256" s="436"/>
      <c r="C256" s="95" t="str">
        <f t="array" ref="C256">IF(I256&gt;0,INDEX(DB,I256,8),"")</f>
        <v/>
      </c>
      <c r="D256" s="437">
        <f t="shared" si="1"/>
        <v>0</v>
      </c>
      <c r="F256" s="438">
        <f t="shared" si="2"/>
        <v>0</v>
      </c>
      <c r="G256" t="str">
        <f t="shared" si="3"/>
        <v/>
      </c>
      <c r="H256" t="b">
        <f t="shared" si="4"/>
        <v>0</v>
      </c>
      <c r="I256" s="439">
        <f>IF(OR(ISBLANK(A256),ISNA(MATCH(A256&amp;"",AthleteNumbers,0))),0,MATCH(A256&amp;"",AthleteNumbers,0))</f>
        <v>0</v>
      </c>
      <c r="J256" s="209">
        <f t="array" ref="J256">IF(I256&gt;0,INDEX(DB,$I256,6),0)</f>
        <v>0</v>
      </c>
      <c r="K256" s="440">
        <f t="shared" si="5"/>
        <v>0</v>
      </c>
      <c r="L256" s="440">
        <f t="shared" si="6"/>
        <v>0</v>
      </c>
      <c r="M256" s="441">
        <f>IF(AND(L256&gt;O256,O256&gt;0),MinPoints,IF(L256&lt;N256,100,+INT((O256-$L256)/P256)+MinPoints))</f>
        <v>100</v>
      </c>
      <c r="N256" s="440">
        <f t="shared" si="7"/>
        <v>7</v>
      </c>
      <c r="O256" s="440">
        <f t="shared" si="8"/>
        <v>16</v>
      </c>
      <c r="P256" s="440">
        <f t="shared" si="9"/>
        <v>0.1</v>
      </c>
      <c r="Q256">
        <f t="array" ref="Q256">IF(I256&gt;0,INDEX(DB,I256,9),EventIndex)</f>
        <v>6</v>
      </c>
      <c r="S256" s="442">
        <f t="array" ref="S256">INDEX(MINVALUES,$Q256,$K$1)</f>
        <v>16</v>
      </c>
      <c r="T256">
        <f t="array" ref="T256">INDEX(INCVALUES,$Q256,$K$1)</f>
        <v>0.1</v>
      </c>
      <c r="V256">
        <f t="array" ref="V256">+J256+(4*(INDEX(MatchScoreTable,$Q256,20)-1))</f>
        <v>4</v>
      </c>
      <c r="W256">
        <f t="array" ref="W256">INDEX(INC_MINVALUES,$V256,$K$1)</f>
        <v>34</v>
      </c>
      <c r="X256" s="212">
        <f t="array" ref="X256">INDEX(INC_INCVALUES,$V256,$K$1)</f>
        <v>0.3</v>
      </c>
    </row>
    <row r="257" ht="15.75" customHeight="1">
      <c r="A257" s="435"/>
      <c r="B257" s="436"/>
      <c r="C257" s="95" t="str">
        <f t="array" ref="C257">IF(I257&gt;0,INDEX(DB,I257,8),"")</f>
        <v/>
      </c>
      <c r="D257" s="437">
        <f t="shared" si="1"/>
        <v>0</v>
      </c>
      <c r="F257" s="438">
        <f t="shared" si="2"/>
        <v>0</v>
      </c>
      <c r="G257" t="str">
        <f t="shared" si="3"/>
        <v/>
      </c>
      <c r="H257" t="b">
        <f t="shared" si="4"/>
        <v>0</v>
      </c>
      <c r="I257" s="439">
        <f>IF(OR(ISBLANK(A257),ISNA(MATCH(A257&amp;"",AthleteNumbers,0))),0,MATCH(A257&amp;"",AthleteNumbers,0))</f>
        <v>0</v>
      </c>
      <c r="J257" s="209">
        <f t="array" ref="J257">IF(I257&gt;0,INDEX(DB,$I257,6),0)</f>
        <v>0</v>
      </c>
      <c r="K257" s="440">
        <f t="shared" si="5"/>
        <v>0</v>
      </c>
      <c r="L257" s="440">
        <f t="shared" si="6"/>
        <v>0</v>
      </c>
      <c r="M257" s="441">
        <f>IF(AND(L257&gt;O257,O257&gt;0),MinPoints,IF(L257&lt;N257,100,+INT((O257-$L257)/P257)+MinPoints))</f>
        <v>100</v>
      </c>
      <c r="N257" s="440">
        <f t="shared" si="7"/>
        <v>7</v>
      </c>
      <c r="O257" s="440">
        <f t="shared" si="8"/>
        <v>16</v>
      </c>
      <c r="P257" s="440">
        <f t="shared" si="9"/>
        <v>0.1</v>
      </c>
      <c r="Q257">
        <f t="array" ref="Q257">IF(I257&gt;0,INDEX(DB,I257,9),EventIndex)</f>
        <v>6</v>
      </c>
      <c r="S257" s="442">
        <f t="array" ref="S257">INDEX(MINVALUES,$Q257,$K$1)</f>
        <v>16</v>
      </c>
      <c r="T257">
        <f t="array" ref="T257">INDEX(INCVALUES,$Q257,$K$1)</f>
        <v>0.1</v>
      </c>
      <c r="V257">
        <f t="array" ref="V257">+J257+(4*(INDEX(MatchScoreTable,$Q257,20)-1))</f>
        <v>4</v>
      </c>
      <c r="W257">
        <f t="array" ref="W257">INDEX(INC_MINVALUES,$V257,$K$1)</f>
        <v>34</v>
      </c>
      <c r="X257" s="212">
        <f t="array" ref="X257">INDEX(INC_INCVALUES,$V257,$K$1)</f>
        <v>0.3</v>
      </c>
    </row>
    <row r="258" ht="15.75" customHeight="1">
      <c r="A258" s="435"/>
      <c r="B258" s="436"/>
      <c r="C258" s="95" t="str">
        <f t="array" ref="C258">IF(I258&gt;0,INDEX(DB,I258,8),"")</f>
        <v/>
      </c>
      <c r="D258" s="437">
        <f t="shared" si="1"/>
        <v>0</v>
      </c>
      <c r="F258" s="438">
        <f t="shared" si="2"/>
        <v>0</v>
      </c>
      <c r="G258" t="str">
        <f t="shared" si="3"/>
        <v/>
      </c>
      <c r="H258" t="b">
        <f t="shared" si="4"/>
        <v>0</v>
      </c>
      <c r="I258" s="439">
        <f>IF(OR(ISBLANK(A258),ISNA(MATCH(A258&amp;"",AthleteNumbers,0))),0,MATCH(A258&amp;"",AthleteNumbers,0))</f>
        <v>0</v>
      </c>
      <c r="J258" s="209">
        <f t="array" ref="J258">IF(I258&gt;0,INDEX(DB,$I258,6),0)</f>
        <v>0</v>
      </c>
      <c r="K258" s="440">
        <f t="shared" si="5"/>
        <v>0</v>
      </c>
      <c r="L258" s="440">
        <f t="shared" si="6"/>
        <v>0</v>
      </c>
      <c r="M258" s="441">
        <f>IF(AND(L258&gt;O258,O258&gt;0),MinPoints,IF(L258&lt;N258,100,+INT((O258-$L258)/P258)+MinPoints))</f>
        <v>100</v>
      </c>
      <c r="N258" s="440">
        <f t="shared" si="7"/>
        <v>7</v>
      </c>
      <c r="O258" s="440">
        <f t="shared" si="8"/>
        <v>16</v>
      </c>
      <c r="P258" s="440">
        <f t="shared" si="9"/>
        <v>0.1</v>
      </c>
      <c r="Q258">
        <f t="array" ref="Q258">IF(I258&gt;0,INDEX(DB,I258,9),EventIndex)</f>
        <v>6</v>
      </c>
      <c r="S258" s="442">
        <f t="array" ref="S258">INDEX(MINVALUES,$Q258,$K$1)</f>
        <v>16</v>
      </c>
      <c r="T258">
        <f t="array" ref="T258">INDEX(INCVALUES,$Q258,$K$1)</f>
        <v>0.1</v>
      </c>
      <c r="V258">
        <f t="array" ref="V258">+J258+(4*(INDEX(MatchScoreTable,$Q258,20)-1))</f>
        <v>4</v>
      </c>
      <c r="W258">
        <f t="array" ref="W258">INDEX(INC_MINVALUES,$V258,$K$1)</f>
        <v>34</v>
      </c>
      <c r="X258" s="212">
        <f t="array" ref="X258">INDEX(INC_INCVALUES,$V258,$K$1)</f>
        <v>0.3</v>
      </c>
    </row>
    <row r="259" ht="15.75" customHeight="1">
      <c r="A259" s="435"/>
      <c r="B259" s="436"/>
      <c r="C259" s="95" t="str">
        <f t="array" ref="C259">IF(I259&gt;0,INDEX(DB,I259,8),"")</f>
        <v/>
      </c>
      <c r="D259" s="437">
        <f t="shared" si="1"/>
        <v>0</v>
      </c>
      <c r="F259" s="438">
        <f t="shared" si="2"/>
        <v>0</v>
      </c>
      <c r="G259" t="str">
        <f t="shared" si="3"/>
        <v/>
      </c>
      <c r="H259" t="b">
        <f t="shared" si="4"/>
        <v>0</v>
      </c>
      <c r="I259" s="439">
        <f>IF(OR(ISBLANK(A259),ISNA(MATCH(A259&amp;"",AthleteNumbers,0))),0,MATCH(A259&amp;"",AthleteNumbers,0))</f>
        <v>0</v>
      </c>
      <c r="J259" s="209">
        <f t="array" ref="J259">IF(I259&gt;0,INDEX(DB,$I259,6),0)</f>
        <v>0</v>
      </c>
      <c r="K259" s="440">
        <f t="shared" si="5"/>
        <v>0</v>
      </c>
      <c r="L259" s="440">
        <f t="shared" si="6"/>
        <v>0</v>
      </c>
      <c r="M259" s="441">
        <f>IF(AND(L259&gt;O259,O259&gt;0),MinPoints,IF(L259&lt;N259,100,+INT((O259-$L259)/P259)+MinPoints))</f>
        <v>100</v>
      </c>
      <c r="N259" s="440">
        <f t="shared" si="7"/>
        <v>7</v>
      </c>
      <c r="O259" s="440">
        <f t="shared" si="8"/>
        <v>16</v>
      </c>
      <c r="P259" s="440">
        <f t="shared" si="9"/>
        <v>0.1</v>
      </c>
      <c r="Q259">
        <f t="array" ref="Q259">IF(I259&gt;0,INDEX(DB,I259,9),EventIndex)</f>
        <v>6</v>
      </c>
      <c r="S259" s="442">
        <f t="array" ref="S259">INDEX(MINVALUES,$Q259,$K$1)</f>
        <v>16</v>
      </c>
      <c r="T259">
        <f t="array" ref="T259">INDEX(INCVALUES,$Q259,$K$1)</f>
        <v>0.1</v>
      </c>
      <c r="V259">
        <f t="array" ref="V259">+J259+(4*(INDEX(MatchScoreTable,$Q259,20)-1))</f>
        <v>4</v>
      </c>
      <c r="W259">
        <f t="array" ref="W259">INDEX(INC_MINVALUES,$V259,$K$1)</f>
        <v>34</v>
      </c>
      <c r="X259" s="212">
        <f t="array" ref="X259">INDEX(INC_INCVALUES,$V259,$K$1)</f>
        <v>0.3</v>
      </c>
    </row>
    <row r="260" ht="15.75" customHeight="1">
      <c r="A260" s="435"/>
      <c r="B260" s="436"/>
      <c r="C260" s="95" t="str">
        <f t="array" ref="C260">IF(I260&gt;0,INDEX(DB,I260,8),"")</f>
        <v/>
      </c>
      <c r="D260" s="437">
        <f t="shared" si="1"/>
        <v>0</v>
      </c>
      <c r="F260" s="438">
        <f t="shared" si="2"/>
        <v>0</v>
      </c>
      <c r="G260" t="str">
        <f t="shared" si="3"/>
        <v/>
      </c>
      <c r="H260" t="b">
        <f t="shared" si="4"/>
        <v>0</v>
      </c>
      <c r="I260" s="439">
        <f>IF(OR(ISBLANK(A260),ISNA(MATCH(A260&amp;"",AthleteNumbers,0))),0,MATCH(A260&amp;"",AthleteNumbers,0))</f>
        <v>0</v>
      </c>
      <c r="J260" s="209">
        <f t="array" ref="J260">IF(I260&gt;0,INDEX(DB,$I260,6),0)</f>
        <v>0</v>
      </c>
      <c r="K260" s="440">
        <f t="shared" si="5"/>
        <v>0</v>
      </c>
      <c r="L260" s="440">
        <f t="shared" si="6"/>
        <v>0</v>
      </c>
      <c r="M260" s="441">
        <f>IF(AND(L260&gt;O260,O260&gt;0),MinPoints,IF(L260&lt;N260,100,+INT((O260-$L260)/P260)+MinPoints))</f>
        <v>100</v>
      </c>
      <c r="N260" s="440">
        <f t="shared" si="7"/>
        <v>7</v>
      </c>
      <c r="O260" s="440">
        <f t="shared" si="8"/>
        <v>16</v>
      </c>
      <c r="P260" s="440">
        <f t="shared" si="9"/>
        <v>0.1</v>
      </c>
      <c r="Q260">
        <f t="array" ref="Q260">IF(I260&gt;0,INDEX(DB,I260,9),EventIndex)</f>
        <v>6</v>
      </c>
      <c r="S260" s="442">
        <f t="array" ref="S260">INDEX(MINVALUES,$Q260,$K$1)</f>
        <v>16</v>
      </c>
      <c r="T260">
        <f t="array" ref="T260">INDEX(INCVALUES,$Q260,$K$1)</f>
        <v>0.1</v>
      </c>
      <c r="V260">
        <f t="array" ref="V260">+J260+(4*(INDEX(MatchScoreTable,$Q260,20)-1))</f>
        <v>4</v>
      </c>
      <c r="W260">
        <f t="array" ref="W260">INDEX(INC_MINVALUES,$V260,$K$1)</f>
        <v>34</v>
      </c>
      <c r="X260" s="212">
        <f t="array" ref="X260">INDEX(INC_INCVALUES,$V260,$K$1)</f>
        <v>0.3</v>
      </c>
    </row>
    <row r="261" ht="15.75" customHeight="1">
      <c r="A261" s="435"/>
      <c r="B261" s="436"/>
      <c r="C261" s="95" t="str">
        <f t="array" ref="C261">IF(I261&gt;0,INDEX(DB,I261,8),"")</f>
        <v/>
      </c>
      <c r="D261" s="437">
        <f t="shared" si="1"/>
        <v>0</v>
      </c>
      <c r="F261" s="438">
        <f t="shared" si="2"/>
        <v>0</v>
      </c>
      <c r="G261" t="str">
        <f t="shared" si="3"/>
        <v/>
      </c>
      <c r="H261" t="b">
        <f t="shared" si="4"/>
        <v>0</v>
      </c>
      <c r="I261" s="439">
        <f>IF(OR(ISBLANK(A261),ISNA(MATCH(A261&amp;"",AthleteNumbers,0))),0,MATCH(A261&amp;"",AthleteNumbers,0))</f>
        <v>0</v>
      </c>
      <c r="J261" s="209">
        <f t="array" ref="J261">IF(I261&gt;0,INDEX(DB,$I261,6),0)</f>
        <v>0</v>
      </c>
      <c r="K261" s="440">
        <f t="shared" si="5"/>
        <v>0</v>
      </c>
      <c r="L261" s="440">
        <f t="shared" si="6"/>
        <v>0</v>
      </c>
      <c r="M261" s="441">
        <f>IF(AND(L261&gt;O261,O261&gt;0),MinPoints,IF(L261&lt;N261,100,+INT((O261-$L261)/P261)+MinPoints))</f>
        <v>100</v>
      </c>
      <c r="N261" s="440">
        <f t="shared" si="7"/>
        <v>7</v>
      </c>
      <c r="O261" s="440">
        <f t="shared" si="8"/>
        <v>16</v>
      </c>
      <c r="P261" s="440">
        <f t="shared" si="9"/>
        <v>0.1</v>
      </c>
      <c r="Q261">
        <f t="array" ref="Q261">IF(I261&gt;0,INDEX(DB,I261,9),EventIndex)</f>
        <v>6</v>
      </c>
      <c r="S261" s="442">
        <f t="array" ref="S261">INDEX(MINVALUES,$Q261,$K$1)</f>
        <v>16</v>
      </c>
      <c r="T261">
        <f t="array" ref="T261">INDEX(INCVALUES,$Q261,$K$1)</f>
        <v>0.1</v>
      </c>
      <c r="V261">
        <f t="array" ref="V261">+J261+(4*(INDEX(MatchScoreTable,$Q261,20)-1))</f>
        <v>4</v>
      </c>
      <c r="W261">
        <f t="array" ref="W261">INDEX(INC_MINVALUES,$V261,$K$1)</f>
        <v>34</v>
      </c>
      <c r="X261" s="212">
        <f t="array" ref="X261">INDEX(INC_INCVALUES,$V261,$K$1)</f>
        <v>0.3</v>
      </c>
    </row>
    <row r="262" ht="15.75" customHeight="1">
      <c r="A262" s="435"/>
      <c r="B262" s="436"/>
      <c r="C262" s="95" t="str">
        <f t="array" ref="C262">IF(I262&gt;0,INDEX(DB,I262,8),"")</f>
        <v/>
      </c>
      <c r="D262" s="437">
        <f t="shared" si="1"/>
        <v>0</v>
      </c>
      <c r="F262" s="438">
        <f t="shared" si="2"/>
        <v>0</v>
      </c>
      <c r="G262" t="str">
        <f t="shared" si="3"/>
        <v/>
      </c>
      <c r="H262" t="b">
        <f t="shared" si="4"/>
        <v>0</v>
      </c>
      <c r="I262" s="439">
        <f>IF(OR(ISBLANK(A262),ISNA(MATCH(A262&amp;"",AthleteNumbers,0))),0,MATCH(A262&amp;"",AthleteNumbers,0))</f>
        <v>0</v>
      </c>
      <c r="J262" s="209">
        <f t="array" ref="J262">IF(I262&gt;0,INDEX(DB,$I262,6),0)</f>
        <v>0</v>
      </c>
      <c r="K262" s="440">
        <f t="shared" si="5"/>
        <v>0</v>
      </c>
      <c r="L262" s="440">
        <f t="shared" si="6"/>
        <v>0</v>
      </c>
      <c r="M262" s="441">
        <f>IF(AND(L262&gt;O262,O262&gt;0),MinPoints,IF(L262&lt;N262,100,+INT((O262-$L262)/P262)+MinPoints))</f>
        <v>100</v>
      </c>
      <c r="N262" s="440">
        <f t="shared" si="7"/>
        <v>7</v>
      </c>
      <c r="O262" s="440">
        <f t="shared" si="8"/>
        <v>16</v>
      </c>
      <c r="P262" s="440">
        <f t="shared" si="9"/>
        <v>0.1</v>
      </c>
      <c r="Q262">
        <f t="array" ref="Q262">IF(I262&gt;0,INDEX(DB,I262,9),EventIndex)</f>
        <v>6</v>
      </c>
      <c r="S262" s="442">
        <f t="array" ref="S262">INDEX(MINVALUES,$Q262,$K$1)</f>
        <v>16</v>
      </c>
      <c r="T262">
        <f t="array" ref="T262">INDEX(INCVALUES,$Q262,$K$1)</f>
        <v>0.1</v>
      </c>
      <c r="V262">
        <f t="array" ref="V262">+J262+(4*(INDEX(MatchScoreTable,$Q262,20)-1))</f>
        <v>4</v>
      </c>
      <c r="W262">
        <f t="array" ref="W262">INDEX(INC_MINVALUES,$V262,$K$1)</f>
        <v>34</v>
      </c>
      <c r="X262" s="212">
        <f t="array" ref="X262">INDEX(INC_INCVALUES,$V262,$K$1)</f>
        <v>0.3</v>
      </c>
    </row>
    <row r="263" ht="15.75" customHeight="1">
      <c r="A263" s="435"/>
      <c r="B263" s="436"/>
      <c r="C263" s="95" t="str">
        <f t="array" ref="C263">IF(I263&gt;0,INDEX(DB,I263,8),"")</f>
        <v/>
      </c>
      <c r="D263" s="437">
        <f t="shared" si="1"/>
        <v>0</v>
      </c>
      <c r="F263" s="438">
        <f t="shared" si="2"/>
        <v>0</v>
      </c>
      <c r="G263" t="str">
        <f t="shared" si="3"/>
        <v/>
      </c>
      <c r="H263" t="b">
        <f t="shared" si="4"/>
        <v>0</v>
      </c>
      <c r="I263" s="439">
        <f>IF(OR(ISBLANK(A263),ISNA(MATCH(A263&amp;"",AthleteNumbers,0))),0,MATCH(A263&amp;"",AthleteNumbers,0))</f>
        <v>0</v>
      </c>
      <c r="J263" s="209">
        <f t="array" ref="J263">IF(I263&gt;0,INDEX(DB,$I263,6),0)</f>
        <v>0</v>
      </c>
      <c r="K263" s="440">
        <f t="shared" si="5"/>
        <v>0</v>
      </c>
      <c r="L263" s="440">
        <f t="shared" si="6"/>
        <v>0</v>
      </c>
      <c r="M263" s="441">
        <f>IF(AND(L263&gt;O263,O263&gt;0),MinPoints,IF(L263&lt;N263,100,+INT((O263-$L263)/P263)+MinPoints))</f>
        <v>100</v>
      </c>
      <c r="N263" s="440">
        <f t="shared" si="7"/>
        <v>7</v>
      </c>
      <c r="O263" s="440">
        <f t="shared" si="8"/>
        <v>16</v>
      </c>
      <c r="P263" s="440">
        <f t="shared" si="9"/>
        <v>0.1</v>
      </c>
      <c r="Q263">
        <f t="array" ref="Q263">IF(I263&gt;0,INDEX(DB,I263,9),EventIndex)</f>
        <v>6</v>
      </c>
      <c r="S263" s="442">
        <f t="array" ref="S263">INDEX(MINVALUES,$Q263,$K$1)</f>
        <v>16</v>
      </c>
      <c r="T263">
        <f t="array" ref="T263">INDEX(INCVALUES,$Q263,$K$1)</f>
        <v>0.1</v>
      </c>
      <c r="V263">
        <f t="array" ref="V263">+J263+(4*(INDEX(MatchScoreTable,$Q263,20)-1))</f>
        <v>4</v>
      </c>
      <c r="W263">
        <f t="array" ref="W263">INDEX(INC_MINVALUES,$V263,$K$1)</f>
        <v>34</v>
      </c>
      <c r="X263" s="212">
        <f t="array" ref="X263">INDEX(INC_INCVALUES,$V263,$K$1)</f>
        <v>0.3</v>
      </c>
    </row>
    <row r="264" ht="15.75" customHeight="1">
      <c r="A264" s="435"/>
      <c r="B264" s="436"/>
      <c r="C264" s="95" t="str">
        <f t="array" ref="C264">IF(I264&gt;0,INDEX(DB,I264,8),"")</f>
        <v/>
      </c>
      <c r="D264" s="437">
        <f t="shared" si="1"/>
        <v>0</v>
      </c>
      <c r="F264" s="438">
        <f t="shared" si="2"/>
        <v>0</v>
      </c>
      <c r="G264" t="str">
        <f t="shared" si="3"/>
        <v/>
      </c>
      <c r="H264" t="b">
        <f t="shared" si="4"/>
        <v>0</v>
      </c>
      <c r="I264" s="439">
        <f>IF(OR(ISBLANK(A264),ISNA(MATCH(A264&amp;"",AthleteNumbers,0))),0,MATCH(A264&amp;"",AthleteNumbers,0))</f>
        <v>0</v>
      </c>
      <c r="J264" s="209">
        <f t="array" ref="J264">IF(I264&gt;0,INDEX(DB,$I264,6),0)</f>
        <v>0</v>
      </c>
      <c r="K264" s="440">
        <f t="shared" si="5"/>
        <v>0</v>
      </c>
      <c r="L264" s="440">
        <f t="shared" si="6"/>
        <v>0</v>
      </c>
      <c r="M264" s="441">
        <f>IF(AND(L264&gt;O264,O264&gt;0),MinPoints,IF(L264&lt;N264,100,+INT((O264-$L264)/P264)+MinPoints))</f>
        <v>100</v>
      </c>
      <c r="N264" s="440">
        <f t="shared" si="7"/>
        <v>7</v>
      </c>
      <c r="O264" s="440">
        <f t="shared" si="8"/>
        <v>16</v>
      </c>
      <c r="P264" s="440">
        <f t="shared" si="9"/>
        <v>0.1</v>
      </c>
      <c r="Q264">
        <f t="array" ref="Q264">IF(I264&gt;0,INDEX(DB,I264,9),EventIndex)</f>
        <v>6</v>
      </c>
      <c r="S264" s="442">
        <f t="array" ref="S264">INDEX(MINVALUES,$Q264,$K$1)</f>
        <v>16</v>
      </c>
      <c r="T264">
        <f t="array" ref="T264">INDEX(INCVALUES,$Q264,$K$1)</f>
        <v>0.1</v>
      </c>
      <c r="V264">
        <f t="array" ref="V264">+J264+(4*(INDEX(MatchScoreTable,$Q264,20)-1))</f>
        <v>4</v>
      </c>
      <c r="W264">
        <f t="array" ref="W264">INDEX(INC_MINVALUES,$V264,$K$1)</f>
        <v>34</v>
      </c>
      <c r="X264" s="212">
        <f t="array" ref="X264">INDEX(INC_INCVALUES,$V264,$K$1)</f>
        <v>0.3</v>
      </c>
    </row>
    <row r="265" ht="15.75" customHeight="1">
      <c r="A265" s="435"/>
      <c r="B265" s="436"/>
      <c r="C265" s="95" t="str">
        <f t="array" ref="C265">IF(I265&gt;0,INDEX(DB,I265,8),"")</f>
        <v/>
      </c>
      <c r="D265" s="437">
        <f t="shared" si="1"/>
        <v>0</v>
      </c>
      <c r="F265" s="438">
        <f t="shared" si="2"/>
        <v>0</v>
      </c>
      <c r="G265" t="str">
        <f t="shared" si="3"/>
        <v/>
      </c>
      <c r="H265" t="b">
        <f t="shared" si="4"/>
        <v>0</v>
      </c>
      <c r="I265" s="439">
        <f>IF(OR(ISBLANK(A265),ISNA(MATCH(A265&amp;"",AthleteNumbers,0))),0,MATCH(A265&amp;"",AthleteNumbers,0))</f>
        <v>0</v>
      </c>
      <c r="J265" s="209">
        <f t="array" ref="J265">IF(I265&gt;0,INDEX(DB,$I265,6),0)</f>
        <v>0</v>
      </c>
      <c r="K265" s="440">
        <f t="shared" si="5"/>
        <v>0</v>
      </c>
      <c r="L265" s="440">
        <f t="shared" si="6"/>
        <v>0</v>
      </c>
      <c r="M265" s="441">
        <f>IF(AND(L265&gt;O265,O265&gt;0),MinPoints,IF(L265&lt;N265,100,+INT((O265-$L265)/P265)+MinPoints))</f>
        <v>100</v>
      </c>
      <c r="N265" s="440">
        <f t="shared" si="7"/>
        <v>7</v>
      </c>
      <c r="O265" s="440">
        <f t="shared" si="8"/>
        <v>16</v>
      </c>
      <c r="P265" s="440">
        <f t="shared" si="9"/>
        <v>0.1</v>
      </c>
      <c r="Q265">
        <f t="array" ref="Q265">IF(I265&gt;0,INDEX(DB,I265,9),EventIndex)</f>
        <v>6</v>
      </c>
      <c r="S265" s="442">
        <f t="array" ref="S265">INDEX(MINVALUES,$Q265,$K$1)</f>
        <v>16</v>
      </c>
      <c r="T265">
        <f t="array" ref="T265">INDEX(INCVALUES,$Q265,$K$1)</f>
        <v>0.1</v>
      </c>
      <c r="V265">
        <f t="array" ref="V265">+J265+(4*(INDEX(MatchScoreTable,$Q265,20)-1))</f>
        <v>4</v>
      </c>
      <c r="W265">
        <f t="array" ref="W265">INDEX(INC_MINVALUES,$V265,$K$1)</f>
        <v>34</v>
      </c>
      <c r="X265" s="212">
        <f t="array" ref="X265">INDEX(INC_INCVALUES,$V265,$K$1)</f>
        <v>0.3</v>
      </c>
    </row>
    <row r="266" ht="15.75" customHeight="1">
      <c r="A266" s="435"/>
      <c r="B266" s="436"/>
      <c r="C266" s="95" t="str">
        <f t="array" ref="C266">IF(I266&gt;0,INDEX(DB,I266,8),"")</f>
        <v/>
      </c>
      <c r="D266" s="437">
        <f t="shared" si="1"/>
        <v>0</v>
      </c>
      <c r="F266" s="438">
        <f t="shared" si="2"/>
        <v>0</v>
      </c>
      <c r="G266" t="str">
        <f t="shared" si="3"/>
        <v/>
      </c>
      <c r="H266" t="b">
        <f t="shared" si="4"/>
        <v>0</v>
      </c>
      <c r="I266" s="439">
        <f>IF(OR(ISBLANK(A266),ISNA(MATCH(A266&amp;"",AthleteNumbers,0))),0,MATCH(A266&amp;"",AthleteNumbers,0))</f>
        <v>0</v>
      </c>
      <c r="J266" s="209">
        <f t="array" ref="J266">IF(I266&gt;0,INDEX(DB,$I266,6),0)</f>
        <v>0</v>
      </c>
      <c r="K266" s="440">
        <f t="shared" si="5"/>
        <v>0</v>
      </c>
      <c r="L266" s="440">
        <f t="shared" si="6"/>
        <v>0</v>
      </c>
      <c r="M266" s="441">
        <f>IF(AND(L266&gt;O266,O266&gt;0),MinPoints,IF(L266&lt;N266,100,+INT((O266-$L266)/P266)+MinPoints))</f>
        <v>100</v>
      </c>
      <c r="N266" s="440">
        <f t="shared" si="7"/>
        <v>7</v>
      </c>
      <c r="O266" s="440">
        <f t="shared" si="8"/>
        <v>16</v>
      </c>
      <c r="P266" s="440">
        <f t="shared" si="9"/>
        <v>0.1</v>
      </c>
      <c r="Q266">
        <f t="array" ref="Q266">IF(I266&gt;0,INDEX(DB,I266,9),EventIndex)</f>
        <v>6</v>
      </c>
      <c r="S266" s="442">
        <f t="array" ref="S266">INDEX(MINVALUES,$Q266,$K$1)</f>
        <v>16</v>
      </c>
      <c r="T266">
        <f t="array" ref="T266">INDEX(INCVALUES,$Q266,$K$1)</f>
        <v>0.1</v>
      </c>
      <c r="V266">
        <f t="array" ref="V266">+J266+(4*(INDEX(MatchScoreTable,$Q266,20)-1))</f>
        <v>4</v>
      </c>
      <c r="W266">
        <f t="array" ref="W266">INDEX(INC_MINVALUES,$V266,$K$1)</f>
        <v>34</v>
      </c>
      <c r="X266" s="212">
        <f t="array" ref="X266">INDEX(INC_INCVALUES,$V266,$K$1)</f>
        <v>0.3</v>
      </c>
    </row>
    <row r="267" ht="15.75" customHeight="1">
      <c r="A267" s="435"/>
      <c r="B267" s="436"/>
      <c r="C267" s="95" t="str">
        <f t="array" ref="C267">IF(I267&gt;0,INDEX(DB,I267,8),"")</f>
        <v/>
      </c>
      <c r="D267" s="437">
        <f t="shared" si="1"/>
        <v>0</v>
      </c>
      <c r="F267" s="438">
        <f t="shared" si="2"/>
        <v>0</v>
      </c>
      <c r="G267" t="str">
        <f t="shared" si="3"/>
        <v/>
      </c>
      <c r="H267" t="b">
        <f t="shared" si="4"/>
        <v>0</v>
      </c>
      <c r="I267" s="439">
        <f>IF(OR(ISBLANK(A267),ISNA(MATCH(A267&amp;"",AthleteNumbers,0))),0,MATCH(A267&amp;"",AthleteNumbers,0))</f>
        <v>0</v>
      </c>
      <c r="J267" s="209">
        <f t="array" ref="J267">IF(I267&gt;0,INDEX(DB,$I267,6),0)</f>
        <v>0</v>
      </c>
      <c r="K267" s="440">
        <f t="shared" si="5"/>
        <v>0</v>
      </c>
      <c r="L267" s="440">
        <f t="shared" si="6"/>
        <v>0</v>
      </c>
      <c r="M267" s="441">
        <f>IF(AND(L267&gt;O267,O267&gt;0),MinPoints,IF(L267&lt;N267,100,+INT((O267-$L267)/P267)+MinPoints))</f>
        <v>100</v>
      </c>
      <c r="N267" s="440">
        <f t="shared" si="7"/>
        <v>7</v>
      </c>
      <c r="O267" s="440">
        <f t="shared" si="8"/>
        <v>16</v>
      </c>
      <c r="P267" s="440">
        <f t="shared" si="9"/>
        <v>0.1</v>
      </c>
      <c r="Q267">
        <f t="array" ref="Q267">IF(I267&gt;0,INDEX(DB,I267,9),EventIndex)</f>
        <v>6</v>
      </c>
      <c r="S267" s="442">
        <f t="array" ref="S267">INDEX(MINVALUES,$Q267,$K$1)</f>
        <v>16</v>
      </c>
      <c r="T267">
        <f t="array" ref="T267">INDEX(INCVALUES,$Q267,$K$1)</f>
        <v>0.1</v>
      </c>
      <c r="V267">
        <f t="array" ref="V267">+J267+(4*(INDEX(MatchScoreTable,$Q267,20)-1))</f>
        <v>4</v>
      </c>
      <c r="W267">
        <f t="array" ref="W267">INDEX(INC_MINVALUES,$V267,$K$1)</f>
        <v>34</v>
      </c>
      <c r="X267" s="212">
        <f t="array" ref="X267">INDEX(INC_INCVALUES,$V267,$K$1)</f>
        <v>0.3</v>
      </c>
    </row>
    <row r="268" ht="15.75" customHeight="1">
      <c r="A268" s="435"/>
      <c r="B268" s="436"/>
      <c r="C268" s="95" t="str">
        <f t="array" ref="C268">IF(I268&gt;0,INDEX(DB,I268,8),"")</f>
        <v/>
      </c>
      <c r="D268" s="437">
        <f t="shared" si="1"/>
        <v>0</v>
      </c>
      <c r="F268" s="438">
        <f t="shared" si="2"/>
        <v>0</v>
      </c>
      <c r="G268" t="str">
        <f t="shared" si="3"/>
        <v/>
      </c>
      <c r="H268" t="b">
        <f t="shared" si="4"/>
        <v>0</v>
      </c>
      <c r="I268" s="439">
        <f>IF(OR(ISBLANK(A268),ISNA(MATCH(A268&amp;"",AthleteNumbers,0))),0,MATCH(A268&amp;"",AthleteNumbers,0))</f>
        <v>0</v>
      </c>
      <c r="J268" s="209">
        <f t="array" ref="J268">IF(I268&gt;0,INDEX(DB,$I268,6),0)</f>
        <v>0</v>
      </c>
      <c r="K268" s="440">
        <f t="shared" si="5"/>
        <v>0</v>
      </c>
      <c r="L268" s="440">
        <f t="shared" si="6"/>
        <v>0</v>
      </c>
      <c r="M268" s="441">
        <f>IF(AND(L268&gt;O268,O268&gt;0),MinPoints,IF(L268&lt;N268,100,+INT((O268-$L268)/P268)+MinPoints))</f>
        <v>100</v>
      </c>
      <c r="N268" s="440">
        <f t="shared" si="7"/>
        <v>7</v>
      </c>
      <c r="O268" s="440">
        <f t="shared" si="8"/>
        <v>16</v>
      </c>
      <c r="P268" s="440">
        <f t="shared" si="9"/>
        <v>0.1</v>
      </c>
      <c r="Q268">
        <f t="array" ref="Q268">IF(I268&gt;0,INDEX(DB,I268,9),EventIndex)</f>
        <v>6</v>
      </c>
      <c r="S268" s="442">
        <f t="array" ref="S268">INDEX(MINVALUES,$Q268,$K$1)</f>
        <v>16</v>
      </c>
      <c r="T268">
        <f t="array" ref="T268">INDEX(INCVALUES,$Q268,$K$1)</f>
        <v>0.1</v>
      </c>
      <c r="V268">
        <f t="array" ref="V268">+J268+(4*(INDEX(MatchScoreTable,$Q268,20)-1))</f>
        <v>4</v>
      </c>
      <c r="W268">
        <f t="array" ref="W268">INDEX(INC_MINVALUES,$V268,$K$1)</f>
        <v>34</v>
      </c>
      <c r="X268" s="212">
        <f t="array" ref="X268">INDEX(INC_INCVALUES,$V268,$K$1)</f>
        <v>0.3</v>
      </c>
    </row>
    <row r="269" ht="15.75" customHeight="1">
      <c r="A269" s="435"/>
      <c r="B269" s="436"/>
      <c r="C269" s="95" t="str">
        <f t="array" ref="C269">IF(I269&gt;0,INDEX(DB,I269,8),"")</f>
        <v/>
      </c>
      <c r="D269" s="437">
        <f t="shared" si="1"/>
        <v>0</v>
      </c>
      <c r="F269" s="438">
        <f t="shared" si="2"/>
        <v>0</v>
      </c>
      <c r="G269" t="str">
        <f t="shared" si="3"/>
        <v/>
      </c>
      <c r="H269" t="b">
        <f t="shared" si="4"/>
        <v>0</v>
      </c>
      <c r="I269" s="439">
        <f>IF(OR(ISBLANK(A269),ISNA(MATCH(A269&amp;"",AthleteNumbers,0))),0,MATCH(A269&amp;"",AthleteNumbers,0))</f>
        <v>0</v>
      </c>
      <c r="J269" s="209">
        <f t="array" ref="J269">IF(I269&gt;0,INDEX(DB,$I269,6),0)</f>
        <v>0</v>
      </c>
      <c r="K269" s="440">
        <f t="shared" si="5"/>
        <v>0</v>
      </c>
      <c r="L269" s="440">
        <f t="shared" si="6"/>
        <v>0</v>
      </c>
      <c r="M269" s="441">
        <f>IF(AND(L269&gt;O269,O269&gt;0),MinPoints,IF(L269&lt;N269,100,+INT((O269-$L269)/P269)+MinPoints))</f>
        <v>100</v>
      </c>
      <c r="N269" s="440">
        <f t="shared" si="7"/>
        <v>7</v>
      </c>
      <c r="O269" s="440">
        <f t="shared" si="8"/>
        <v>16</v>
      </c>
      <c r="P269" s="440">
        <f t="shared" si="9"/>
        <v>0.1</v>
      </c>
      <c r="Q269">
        <f t="array" ref="Q269">IF(I269&gt;0,INDEX(DB,I269,9),EventIndex)</f>
        <v>6</v>
      </c>
      <c r="S269" s="442">
        <f t="array" ref="S269">INDEX(MINVALUES,$Q269,$K$1)</f>
        <v>16</v>
      </c>
      <c r="T269">
        <f t="array" ref="T269">INDEX(INCVALUES,$Q269,$K$1)</f>
        <v>0.1</v>
      </c>
      <c r="V269">
        <f t="array" ref="V269">+J269+(4*(INDEX(MatchScoreTable,$Q269,20)-1))</f>
        <v>4</v>
      </c>
      <c r="W269">
        <f t="array" ref="W269">INDEX(INC_MINVALUES,$V269,$K$1)</f>
        <v>34</v>
      </c>
      <c r="X269" s="212">
        <f t="array" ref="X269">INDEX(INC_INCVALUES,$V269,$K$1)</f>
        <v>0.3</v>
      </c>
    </row>
    <row r="270" ht="15.75" customHeight="1">
      <c r="A270" s="435"/>
      <c r="B270" s="436"/>
      <c r="C270" s="95" t="str">
        <f t="array" ref="C270">IF(I270&gt;0,INDEX(DB,I270,8),"")</f>
        <v/>
      </c>
      <c r="D270" s="437">
        <f t="shared" si="1"/>
        <v>0</v>
      </c>
      <c r="F270" s="438">
        <f t="shared" si="2"/>
        <v>0</v>
      </c>
      <c r="G270" t="str">
        <f t="shared" si="3"/>
        <v/>
      </c>
      <c r="H270" t="b">
        <f t="shared" si="4"/>
        <v>0</v>
      </c>
      <c r="I270" s="439">
        <f>IF(OR(ISBLANK(A270),ISNA(MATCH(A270&amp;"",AthleteNumbers,0))),0,MATCH(A270&amp;"",AthleteNumbers,0))</f>
        <v>0</v>
      </c>
      <c r="J270" s="209">
        <f t="array" ref="J270">IF(I270&gt;0,INDEX(DB,$I270,6),0)</f>
        <v>0</v>
      </c>
      <c r="K270" s="440">
        <f t="shared" si="5"/>
        <v>0</v>
      </c>
      <c r="L270" s="440">
        <f t="shared" si="6"/>
        <v>0</v>
      </c>
      <c r="M270" s="441">
        <f>IF(AND(L270&gt;O270,O270&gt;0),MinPoints,IF(L270&lt;N270,100,+INT((O270-$L270)/P270)+MinPoints))</f>
        <v>100</v>
      </c>
      <c r="N270" s="440">
        <f t="shared" si="7"/>
        <v>7</v>
      </c>
      <c r="O270" s="440">
        <f t="shared" si="8"/>
        <v>16</v>
      </c>
      <c r="P270" s="440">
        <f t="shared" si="9"/>
        <v>0.1</v>
      </c>
      <c r="Q270">
        <f t="array" ref="Q270">IF(I270&gt;0,INDEX(DB,I270,9),EventIndex)</f>
        <v>6</v>
      </c>
      <c r="S270" s="442">
        <f t="array" ref="S270">INDEX(MINVALUES,$Q270,$K$1)</f>
        <v>16</v>
      </c>
      <c r="T270">
        <f t="array" ref="T270">INDEX(INCVALUES,$Q270,$K$1)</f>
        <v>0.1</v>
      </c>
      <c r="V270">
        <f t="array" ref="V270">+J270+(4*(INDEX(MatchScoreTable,$Q270,20)-1))</f>
        <v>4</v>
      </c>
      <c r="W270">
        <f t="array" ref="W270">INDEX(INC_MINVALUES,$V270,$K$1)</f>
        <v>34</v>
      </c>
      <c r="X270" s="212">
        <f t="array" ref="X270">INDEX(INC_INCVALUES,$V270,$K$1)</f>
        <v>0.3</v>
      </c>
    </row>
    <row r="271" ht="15.75" customHeight="1">
      <c r="A271" s="435"/>
      <c r="B271" s="436"/>
      <c r="C271" s="95" t="str">
        <f t="array" ref="C271">IF(I271&gt;0,INDEX(DB,I271,8),"")</f>
        <v/>
      </c>
      <c r="D271" s="437">
        <f t="shared" si="1"/>
        <v>0</v>
      </c>
      <c r="F271" s="438">
        <f t="shared" si="2"/>
        <v>0</v>
      </c>
      <c r="G271" t="str">
        <f t="shared" si="3"/>
        <v/>
      </c>
      <c r="H271" t="b">
        <f t="shared" si="4"/>
        <v>0</v>
      </c>
      <c r="I271" s="439">
        <f>IF(OR(ISBLANK(A271),ISNA(MATCH(A271&amp;"",AthleteNumbers,0))),0,MATCH(A271&amp;"",AthleteNumbers,0))</f>
        <v>0</v>
      </c>
      <c r="J271" s="209">
        <f t="array" ref="J271">IF(I271&gt;0,INDEX(DB,$I271,6),0)</f>
        <v>0</v>
      </c>
      <c r="K271" s="440">
        <f t="shared" si="5"/>
        <v>0</v>
      </c>
      <c r="L271" s="440">
        <f t="shared" si="6"/>
        <v>0</v>
      </c>
      <c r="M271" s="441">
        <f>IF(AND(L271&gt;O271,O271&gt;0),MinPoints,IF(L271&lt;N271,100,+INT((O271-$L271)/P271)+MinPoints))</f>
        <v>100</v>
      </c>
      <c r="N271" s="440">
        <f t="shared" si="7"/>
        <v>7</v>
      </c>
      <c r="O271" s="440">
        <f t="shared" si="8"/>
        <v>16</v>
      </c>
      <c r="P271" s="440">
        <f t="shared" si="9"/>
        <v>0.1</v>
      </c>
      <c r="Q271">
        <f t="array" ref="Q271">IF(I271&gt;0,INDEX(DB,I271,9),EventIndex)</f>
        <v>6</v>
      </c>
      <c r="S271" s="442">
        <f t="array" ref="S271">INDEX(MINVALUES,$Q271,$K$1)</f>
        <v>16</v>
      </c>
      <c r="T271">
        <f t="array" ref="T271">INDEX(INCVALUES,$Q271,$K$1)</f>
        <v>0.1</v>
      </c>
      <c r="V271">
        <f t="array" ref="V271">+J271+(4*(INDEX(MatchScoreTable,$Q271,20)-1))</f>
        <v>4</v>
      </c>
      <c r="W271">
        <f t="array" ref="W271">INDEX(INC_MINVALUES,$V271,$K$1)</f>
        <v>34</v>
      </c>
      <c r="X271" s="212">
        <f t="array" ref="X271">INDEX(INC_INCVALUES,$V271,$K$1)</f>
        <v>0.3</v>
      </c>
    </row>
    <row r="272" ht="15.75" customHeight="1">
      <c r="A272" s="435"/>
      <c r="B272" s="436"/>
      <c r="C272" s="95" t="str">
        <f t="array" ref="C272">IF(I272&gt;0,INDEX(DB,I272,8),"")</f>
        <v/>
      </c>
      <c r="D272" s="437">
        <f t="shared" si="1"/>
        <v>0</v>
      </c>
      <c r="F272" s="438">
        <f t="shared" si="2"/>
        <v>0</v>
      </c>
      <c r="G272" t="str">
        <f t="shared" si="3"/>
        <v/>
      </c>
      <c r="H272" t="b">
        <f t="shared" si="4"/>
        <v>0</v>
      </c>
      <c r="I272" s="439">
        <f>IF(OR(ISBLANK(A272),ISNA(MATCH(A272&amp;"",AthleteNumbers,0))),0,MATCH(A272&amp;"",AthleteNumbers,0))</f>
        <v>0</v>
      </c>
      <c r="J272" s="209">
        <f t="array" ref="J272">IF(I272&gt;0,INDEX(DB,$I272,6),0)</f>
        <v>0</v>
      </c>
      <c r="K272" s="440">
        <f t="shared" si="5"/>
        <v>0</v>
      </c>
      <c r="L272" s="440">
        <f t="shared" si="6"/>
        <v>0</v>
      </c>
      <c r="M272" s="441">
        <f>IF(AND(L272&gt;O272,O272&gt;0),MinPoints,IF(L272&lt;N272,100,+INT((O272-$L272)/P272)+MinPoints))</f>
        <v>100</v>
      </c>
      <c r="N272" s="440">
        <f t="shared" si="7"/>
        <v>7</v>
      </c>
      <c r="O272" s="440">
        <f t="shared" si="8"/>
        <v>16</v>
      </c>
      <c r="P272" s="440">
        <f t="shared" si="9"/>
        <v>0.1</v>
      </c>
      <c r="Q272">
        <f t="array" ref="Q272">IF(I272&gt;0,INDEX(DB,I272,9),EventIndex)</f>
        <v>6</v>
      </c>
      <c r="S272" s="442">
        <f t="array" ref="S272">INDEX(MINVALUES,$Q272,$K$1)</f>
        <v>16</v>
      </c>
      <c r="T272">
        <f t="array" ref="T272">INDEX(INCVALUES,$Q272,$K$1)</f>
        <v>0.1</v>
      </c>
      <c r="V272">
        <f t="array" ref="V272">+J272+(4*(INDEX(MatchScoreTable,$Q272,20)-1))</f>
        <v>4</v>
      </c>
      <c r="W272">
        <f t="array" ref="W272">INDEX(INC_MINVALUES,$V272,$K$1)</f>
        <v>34</v>
      </c>
      <c r="X272" s="212">
        <f t="array" ref="X272">INDEX(INC_INCVALUES,$V272,$K$1)</f>
        <v>0.3</v>
      </c>
    </row>
    <row r="273" ht="15.75" customHeight="1">
      <c r="A273" s="435"/>
      <c r="B273" s="436"/>
      <c r="C273" s="95" t="str">
        <f t="array" ref="C273">IF(I273&gt;0,INDEX(DB,I273,8),"")</f>
        <v/>
      </c>
      <c r="D273" s="437">
        <f t="shared" si="1"/>
        <v>0</v>
      </c>
      <c r="F273" s="438">
        <f t="shared" si="2"/>
        <v>0</v>
      </c>
      <c r="G273" t="str">
        <f t="shared" si="3"/>
        <v/>
      </c>
      <c r="H273" t="b">
        <f t="shared" si="4"/>
        <v>0</v>
      </c>
      <c r="I273" s="439">
        <f>IF(OR(ISBLANK(A273),ISNA(MATCH(A273&amp;"",AthleteNumbers,0))),0,MATCH(A273&amp;"",AthleteNumbers,0))</f>
        <v>0</v>
      </c>
      <c r="J273" s="209">
        <f t="array" ref="J273">IF(I273&gt;0,INDEX(DB,$I273,6),0)</f>
        <v>0</v>
      </c>
      <c r="K273" s="440">
        <f t="shared" si="5"/>
        <v>0</v>
      </c>
      <c r="L273" s="440">
        <f t="shared" si="6"/>
        <v>0</v>
      </c>
      <c r="M273" s="441">
        <f>IF(AND(L273&gt;O273,O273&gt;0),MinPoints,IF(L273&lt;N273,100,+INT((O273-$L273)/P273)+MinPoints))</f>
        <v>100</v>
      </c>
      <c r="N273" s="440">
        <f t="shared" si="7"/>
        <v>7</v>
      </c>
      <c r="O273" s="440">
        <f t="shared" si="8"/>
        <v>16</v>
      </c>
      <c r="P273" s="440">
        <f t="shared" si="9"/>
        <v>0.1</v>
      </c>
      <c r="Q273">
        <f t="array" ref="Q273">IF(I273&gt;0,INDEX(DB,I273,9),EventIndex)</f>
        <v>6</v>
      </c>
      <c r="S273" s="442">
        <f t="array" ref="S273">INDEX(MINVALUES,$Q273,$K$1)</f>
        <v>16</v>
      </c>
      <c r="T273">
        <f t="array" ref="T273">INDEX(INCVALUES,$Q273,$K$1)</f>
        <v>0.1</v>
      </c>
      <c r="V273">
        <f t="array" ref="V273">+J273+(4*(INDEX(MatchScoreTable,$Q273,20)-1))</f>
        <v>4</v>
      </c>
      <c r="W273">
        <f t="array" ref="W273">INDEX(INC_MINVALUES,$V273,$K$1)</f>
        <v>34</v>
      </c>
      <c r="X273" s="212">
        <f t="array" ref="X273">INDEX(INC_INCVALUES,$V273,$K$1)</f>
        <v>0.3</v>
      </c>
    </row>
    <row r="274" ht="15.75" customHeight="1">
      <c r="A274" s="435"/>
      <c r="B274" s="436"/>
      <c r="C274" s="95" t="str">
        <f t="array" ref="C274">IF(I274&gt;0,INDEX(DB,I274,8),"")</f>
        <v/>
      </c>
      <c r="D274" s="437">
        <f t="shared" si="1"/>
        <v>0</v>
      </c>
      <c r="F274" s="438">
        <f t="shared" si="2"/>
        <v>0</v>
      </c>
      <c r="G274" t="str">
        <f t="shared" si="3"/>
        <v/>
      </c>
      <c r="H274" t="b">
        <f t="shared" si="4"/>
        <v>0</v>
      </c>
      <c r="I274" s="439">
        <f>IF(OR(ISBLANK(A274),ISNA(MATCH(A274&amp;"",AthleteNumbers,0))),0,MATCH(A274&amp;"",AthleteNumbers,0))</f>
        <v>0</v>
      </c>
      <c r="J274" s="209">
        <f t="array" ref="J274">IF(I274&gt;0,INDEX(DB,$I274,6),0)</f>
        <v>0</v>
      </c>
      <c r="K274" s="440">
        <f t="shared" si="5"/>
        <v>0</v>
      </c>
      <c r="L274" s="440">
        <f t="shared" si="6"/>
        <v>0</v>
      </c>
      <c r="M274" s="441">
        <f>IF(AND(L274&gt;O274,O274&gt;0),MinPoints,IF(L274&lt;N274,100,+INT((O274-$L274)/P274)+MinPoints))</f>
        <v>100</v>
      </c>
      <c r="N274" s="440">
        <f t="shared" si="7"/>
        <v>7</v>
      </c>
      <c r="O274" s="440">
        <f t="shared" si="8"/>
        <v>16</v>
      </c>
      <c r="P274" s="440">
        <f t="shared" si="9"/>
        <v>0.1</v>
      </c>
      <c r="Q274">
        <f t="array" ref="Q274">IF(I274&gt;0,INDEX(DB,I274,9),EventIndex)</f>
        <v>6</v>
      </c>
      <c r="S274" s="442">
        <f t="array" ref="S274">INDEX(MINVALUES,$Q274,$K$1)</f>
        <v>16</v>
      </c>
      <c r="T274">
        <f t="array" ref="T274">INDEX(INCVALUES,$Q274,$K$1)</f>
        <v>0.1</v>
      </c>
      <c r="V274">
        <f t="array" ref="V274">+J274+(4*(INDEX(MatchScoreTable,$Q274,20)-1))</f>
        <v>4</v>
      </c>
      <c r="W274">
        <f t="array" ref="W274">INDEX(INC_MINVALUES,$V274,$K$1)</f>
        <v>34</v>
      </c>
      <c r="X274" s="212">
        <f t="array" ref="X274">INDEX(INC_INCVALUES,$V274,$K$1)</f>
        <v>0.3</v>
      </c>
    </row>
    <row r="275" ht="15.75" customHeight="1">
      <c r="A275" s="435"/>
      <c r="B275" s="436"/>
      <c r="C275" s="95" t="str">
        <f t="array" ref="C275">IF(I275&gt;0,INDEX(DB,I275,8),"")</f>
        <v/>
      </c>
      <c r="D275" s="437">
        <f t="shared" si="1"/>
        <v>0</v>
      </c>
      <c r="F275" s="438">
        <f t="shared" si="2"/>
        <v>0</v>
      </c>
      <c r="G275" t="str">
        <f t="shared" si="3"/>
        <v/>
      </c>
      <c r="H275" t="b">
        <f t="shared" si="4"/>
        <v>0</v>
      </c>
      <c r="I275" s="439">
        <f>IF(OR(ISBLANK(A275),ISNA(MATCH(A275&amp;"",AthleteNumbers,0))),0,MATCH(A275&amp;"",AthleteNumbers,0))</f>
        <v>0</v>
      </c>
      <c r="J275" s="209">
        <f t="array" ref="J275">IF(I275&gt;0,INDEX(DB,$I275,6),0)</f>
        <v>0</v>
      </c>
      <c r="K275" s="440">
        <f t="shared" si="5"/>
        <v>0</v>
      </c>
      <c r="L275" s="440">
        <f t="shared" si="6"/>
        <v>0</v>
      </c>
      <c r="M275" s="441">
        <f>IF(AND(L275&gt;O275,O275&gt;0),MinPoints,IF(L275&lt;N275,100,+INT((O275-$L275)/P275)+MinPoints))</f>
        <v>100</v>
      </c>
      <c r="N275" s="440">
        <f t="shared" si="7"/>
        <v>7</v>
      </c>
      <c r="O275" s="440">
        <f t="shared" si="8"/>
        <v>16</v>
      </c>
      <c r="P275" s="440">
        <f t="shared" si="9"/>
        <v>0.1</v>
      </c>
      <c r="Q275">
        <f t="array" ref="Q275">IF(I275&gt;0,INDEX(DB,I275,9),EventIndex)</f>
        <v>6</v>
      </c>
      <c r="S275" s="442">
        <f t="array" ref="S275">INDEX(MINVALUES,$Q275,$K$1)</f>
        <v>16</v>
      </c>
      <c r="T275">
        <f t="array" ref="T275">INDEX(INCVALUES,$Q275,$K$1)</f>
        <v>0.1</v>
      </c>
      <c r="V275">
        <f t="array" ref="V275">+J275+(4*(INDEX(MatchScoreTable,$Q275,20)-1))</f>
        <v>4</v>
      </c>
      <c r="W275">
        <f t="array" ref="W275">INDEX(INC_MINVALUES,$V275,$K$1)</f>
        <v>34</v>
      </c>
      <c r="X275" s="212">
        <f t="array" ref="X275">INDEX(INC_INCVALUES,$V275,$K$1)</f>
        <v>0.3</v>
      </c>
    </row>
    <row r="276" ht="15.75" customHeight="1">
      <c r="A276" s="435"/>
      <c r="B276" s="436"/>
      <c r="C276" s="95" t="str">
        <f t="array" ref="C276">IF(I276&gt;0,INDEX(DB,I276,8),"")</f>
        <v/>
      </c>
      <c r="D276" s="437">
        <f t="shared" si="1"/>
        <v>0</v>
      </c>
      <c r="F276" s="438">
        <f t="shared" si="2"/>
        <v>0</v>
      </c>
      <c r="G276" t="str">
        <f t="shared" si="3"/>
        <v/>
      </c>
      <c r="H276" t="b">
        <f t="shared" si="4"/>
        <v>0</v>
      </c>
      <c r="I276" s="439">
        <f>IF(OR(ISBLANK(A276),ISNA(MATCH(A276&amp;"",AthleteNumbers,0))),0,MATCH(A276&amp;"",AthleteNumbers,0))</f>
        <v>0</v>
      </c>
      <c r="J276" s="209">
        <f t="array" ref="J276">IF(I276&gt;0,INDEX(DB,$I276,6),0)</f>
        <v>0</v>
      </c>
      <c r="K276" s="440">
        <f t="shared" si="5"/>
        <v>0</v>
      </c>
      <c r="L276" s="440">
        <f t="shared" si="6"/>
        <v>0</v>
      </c>
      <c r="M276" s="441">
        <f>IF(AND(L276&gt;O276,O276&gt;0),MinPoints,IF(L276&lt;N276,100,+INT((O276-$L276)/P276)+MinPoints))</f>
        <v>100</v>
      </c>
      <c r="N276" s="440">
        <f t="shared" si="7"/>
        <v>7</v>
      </c>
      <c r="O276" s="440">
        <f t="shared" si="8"/>
        <v>16</v>
      </c>
      <c r="P276" s="440">
        <f t="shared" si="9"/>
        <v>0.1</v>
      </c>
      <c r="Q276">
        <f t="array" ref="Q276">IF(I276&gt;0,INDEX(DB,I276,9),EventIndex)</f>
        <v>6</v>
      </c>
      <c r="S276" s="442">
        <f t="array" ref="S276">INDEX(MINVALUES,$Q276,$K$1)</f>
        <v>16</v>
      </c>
      <c r="T276">
        <f t="array" ref="T276">INDEX(INCVALUES,$Q276,$K$1)</f>
        <v>0.1</v>
      </c>
      <c r="V276">
        <f t="array" ref="V276">+J276+(4*(INDEX(MatchScoreTable,$Q276,20)-1))</f>
        <v>4</v>
      </c>
      <c r="W276">
        <f t="array" ref="W276">INDEX(INC_MINVALUES,$V276,$K$1)</f>
        <v>34</v>
      </c>
      <c r="X276" s="212">
        <f t="array" ref="X276">INDEX(INC_INCVALUES,$V276,$K$1)</f>
        <v>0.3</v>
      </c>
    </row>
    <row r="277" ht="15.75" customHeight="1">
      <c r="A277" s="435"/>
      <c r="B277" s="436"/>
      <c r="C277" s="95" t="str">
        <f t="array" ref="C277">IF(I277&gt;0,INDEX(DB,I277,8),"")</f>
        <v/>
      </c>
      <c r="D277" s="437">
        <f t="shared" si="1"/>
        <v>0</v>
      </c>
      <c r="F277" s="438">
        <f t="shared" si="2"/>
        <v>0</v>
      </c>
      <c r="G277" t="str">
        <f t="shared" si="3"/>
        <v/>
      </c>
      <c r="H277" t="b">
        <f t="shared" si="4"/>
        <v>0</v>
      </c>
      <c r="I277" s="439">
        <f>IF(OR(ISBLANK(A277),ISNA(MATCH(A277&amp;"",AthleteNumbers,0))),0,MATCH(A277&amp;"",AthleteNumbers,0))</f>
        <v>0</v>
      </c>
      <c r="J277" s="209">
        <f t="array" ref="J277">IF(I277&gt;0,INDEX(DB,$I277,6),0)</f>
        <v>0</v>
      </c>
      <c r="K277" s="440">
        <f t="shared" si="5"/>
        <v>0</v>
      </c>
      <c r="L277" s="440">
        <f t="shared" si="6"/>
        <v>0</v>
      </c>
      <c r="M277" s="441">
        <f>IF(AND(L277&gt;O277,O277&gt;0),MinPoints,IF(L277&lt;N277,100,+INT((O277-$L277)/P277)+MinPoints))</f>
        <v>100</v>
      </c>
      <c r="N277" s="440">
        <f t="shared" si="7"/>
        <v>7</v>
      </c>
      <c r="O277" s="440">
        <f t="shared" si="8"/>
        <v>16</v>
      </c>
      <c r="P277" s="440">
        <f t="shared" si="9"/>
        <v>0.1</v>
      </c>
      <c r="Q277">
        <f t="array" ref="Q277">IF(I277&gt;0,INDEX(DB,I277,9),EventIndex)</f>
        <v>6</v>
      </c>
      <c r="S277" s="442">
        <f t="array" ref="S277">INDEX(MINVALUES,$Q277,$K$1)</f>
        <v>16</v>
      </c>
      <c r="T277">
        <f t="array" ref="T277">INDEX(INCVALUES,$Q277,$K$1)</f>
        <v>0.1</v>
      </c>
      <c r="V277">
        <f t="array" ref="V277">+J277+(4*(INDEX(MatchScoreTable,$Q277,20)-1))</f>
        <v>4</v>
      </c>
      <c r="W277">
        <f t="array" ref="W277">INDEX(INC_MINVALUES,$V277,$K$1)</f>
        <v>34</v>
      </c>
      <c r="X277" s="212">
        <f t="array" ref="X277">INDEX(INC_INCVALUES,$V277,$K$1)</f>
        <v>0.3</v>
      </c>
    </row>
    <row r="278" ht="15.75" customHeight="1">
      <c r="A278" s="435"/>
      <c r="B278" s="436"/>
      <c r="C278" s="95" t="str">
        <f t="array" ref="C278">IF(I278&gt;0,INDEX(DB,I278,8),"")</f>
        <v/>
      </c>
      <c r="D278" s="437">
        <f t="shared" si="1"/>
        <v>0</v>
      </c>
      <c r="F278" s="438">
        <f t="shared" si="2"/>
        <v>0</v>
      </c>
      <c r="G278" t="str">
        <f t="shared" si="3"/>
        <v/>
      </c>
      <c r="H278" t="b">
        <f t="shared" si="4"/>
        <v>0</v>
      </c>
      <c r="I278" s="439">
        <f>IF(OR(ISBLANK(A278),ISNA(MATCH(A278&amp;"",AthleteNumbers,0))),0,MATCH(A278&amp;"",AthleteNumbers,0))</f>
        <v>0</v>
      </c>
      <c r="J278" s="209">
        <f t="array" ref="J278">IF(I278&gt;0,INDEX(DB,$I278,6),0)</f>
        <v>0</v>
      </c>
      <c r="K278" s="440">
        <f t="shared" si="5"/>
        <v>0</v>
      </c>
      <c r="L278" s="440">
        <f t="shared" si="6"/>
        <v>0</v>
      </c>
      <c r="M278" s="441">
        <f>IF(AND(L278&gt;O278,O278&gt;0),MinPoints,IF(L278&lt;N278,100,+INT((O278-$L278)/P278)+MinPoints))</f>
        <v>100</v>
      </c>
      <c r="N278" s="440">
        <f t="shared" si="7"/>
        <v>7</v>
      </c>
      <c r="O278" s="440">
        <f t="shared" si="8"/>
        <v>16</v>
      </c>
      <c r="P278" s="440">
        <f t="shared" si="9"/>
        <v>0.1</v>
      </c>
      <c r="Q278">
        <f t="array" ref="Q278">IF(I278&gt;0,INDEX(DB,I278,9),EventIndex)</f>
        <v>6</v>
      </c>
      <c r="S278" s="442">
        <f t="array" ref="S278">INDEX(MINVALUES,$Q278,$K$1)</f>
        <v>16</v>
      </c>
      <c r="T278">
        <f t="array" ref="T278">INDEX(INCVALUES,$Q278,$K$1)</f>
        <v>0.1</v>
      </c>
      <c r="V278">
        <f t="array" ref="V278">+J278+(4*(INDEX(MatchScoreTable,$Q278,20)-1))</f>
        <v>4</v>
      </c>
      <c r="W278">
        <f t="array" ref="W278">INDEX(INC_MINVALUES,$V278,$K$1)</f>
        <v>34</v>
      </c>
      <c r="X278" s="212">
        <f t="array" ref="X278">INDEX(INC_INCVALUES,$V278,$K$1)</f>
        <v>0.3</v>
      </c>
    </row>
    <row r="279" ht="15.75" customHeight="1">
      <c r="A279" s="435"/>
      <c r="B279" s="436"/>
      <c r="C279" s="95" t="str">
        <f t="array" ref="C279">IF(I279&gt;0,INDEX(DB,I279,8),"")</f>
        <v/>
      </c>
      <c r="D279" s="437">
        <f t="shared" si="1"/>
        <v>0</v>
      </c>
      <c r="F279" s="438">
        <f t="shared" si="2"/>
        <v>0</v>
      </c>
      <c r="G279" t="str">
        <f t="shared" si="3"/>
        <v/>
      </c>
      <c r="H279" t="b">
        <f t="shared" si="4"/>
        <v>0</v>
      </c>
      <c r="I279" s="439">
        <f>IF(OR(ISBLANK(A279),ISNA(MATCH(A279&amp;"",AthleteNumbers,0))),0,MATCH(A279&amp;"",AthleteNumbers,0))</f>
        <v>0</v>
      </c>
      <c r="J279" s="209">
        <f t="array" ref="J279">IF(I279&gt;0,INDEX(DB,$I279,6),0)</f>
        <v>0</v>
      </c>
      <c r="K279" s="440">
        <f t="shared" si="5"/>
        <v>0</v>
      </c>
      <c r="L279" s="440">
        <f t="shared" si="6"/>
        <v>0</v>
      </c>
      <c r="M279" s="441">
        <f>IF(AND(L279&gt;O279,O279&gt;0),MinPoints,IF(L279&lt;N279,100,+INT((O279-$L279)/P279)+MinPoints))</f>
        <v>100</v>
      </c>
      <c r="N279" s="440">
        <f t="shared" si="7"/>
        <v>7</v>
      </c>
      <c r="O279" s="440">
        <f t="shared" si="8"/>
        <v>16</v>
      </c>
      <c r="P279" s="440">
        <f t="shared" si="9"/>
        <v>0.1</v>
      </c>
      <c r="Q279">
        <f t="array" ref="Q279">IF(I279&gt;0,INDEX(DB,I279,9),EventIndex)</f>
        <v>6</v>
      </c>
      <c r="S279" s="442">
        <f t="array" ref="S279">INDEX(MINVALUES,$Q279,$K$1)</f>
        <v>16</v>
      </c>
      <c r="T279">
        <f t="array" ref="T279">INDEX(INCVALUES,$Q279,$K$1)</f>
        <v>0.1</v>
      </c>
      <c r="V279">
        <f t="array" ref="V279">+J279+(4*(INDEX(MatchScoreTable,$Q279,20)-1))</f>
        <v>4</v>
      </c>
      <c r="W279">
        <f t="array" ref="W279">INDEX(INC_MINVALUES,$V279,$K$1)</f>
        <v>34</v>
      </c>
      <c r="X279" s="212">
        <f t="array" ref="X279">INDEX(INC_INCVALUES,$V279,$K$1)</f>
        <v>0.3</v>
      </c>
    </row>
    <row r="280" ht="15.75" customHeight="1">
      <c r="A280" s="435"/>
      <c r="B280" s="436"/>
      <c r="C280" s="95" t="str">
        <f t="array" ref="C280">IF(I280&gt;0,INDEX(DB,I280,8),"")</f>
        <v/>
      </c>
      <c r="D280" s="437">
        <f t="shared" si="1"/>
        <v>0</v>
      </c>
      <c r="F280" s="438">
        <f t="shared" si="2"/>
        <v>0</v>
      </c>
      <c r="G280" t="str">
        <f t="shared" si="3"/>
        <v/>
      </c>
      <c r="H280" t="b">
        <f t="shared" si="4"/>
        <v>0</v>
      </c>
      <c r="I280" s="439">
        <f>IF(OR(ISBLANK(A280),ISNA(MATCH(A280&amp;"",AthleteNumbers,0))),0,MATCH(A280&amp;"",AthleteNumbers,0))</f>
        <v>0</v>
      </c>
      <c r="J280" s="209">
        <f t="array" ref="J280">IF(I280&gt;0,INDEX(DB,$I280,6),0)</f>
        <v>0</v>
      </c>
      <c r="K280" s="440">
        <f t="shared" si="5"/>
        <v>0</v>
      </c>
      <c r="L280" s="440">
        <f t="shared" si="6"/>
        <v>0</v>
      </c>
      <c r="M280" s="441">
        <f>IF(AND(L280&gt;O280,O280&gt;0),MinPoints,IF(L280&lt;N280,100,+INT((O280-$L280)/P280)+MinPoints))</f>
        <v>100</v>
      </c>
      <c r="N280" s="440">
        <f t="shared" si="7"/>
        <v>7</v>
      </c>
      <c r="O280" s="440">
        <f t="shared" si="8"/>
        <v>16</v>
      </c>
      <c r="P280" s="440">
        <f t="shared" si="9"/>
        <v>0.1</v>
      </c>
      <c r="Q280">
        <f t="array" ref="Q280">IF(I280&gt;0,INDEX(DB,I280,9),EventIndex)</f>
        <v>6</v>
      </c>
      <c r="S280" s="442">
        <f t="array" ref="S280">INDEX(MINVALUES,$Q280,$K$1)</f>
        <v>16</v>
      </c>
      <c r="T280">
        <f t="array" ref="T280">INDEX(INCVALUES,$Q280,$K$1)</f>
        <v>0.1</v>
      </c>
      <c r="V280">
        <f t="array" ref="V280">+J280+(4*(INDEX(MatchScoreTable,$Q280,20)-1))</f>
        <v>4</v>
      </c>
      <c r="W280">
        <f t="array" ref="W280">INDEX(INC_MINVALUES,$V280,$K$1)</f>
        <v>34</v>
      </c>
      <c r="X280" s="212">
        <f t="array" ref="X280">INDEX(INC_INCVALUES,$V280,$K$1)</f>
        <v>0.3</v>
      </c>
    </row>
    <row r="281" ht="15.75" customHeight="1">
      <c r="A281" s="435"/>
      <c r="B281" s="436"/>
      <c r="C281" s="95" t="str">
        <f t="array" ref="C281">IF(I281&gt;0,INDEX(DB,I281,8),"")</f>
        <v/>
      </c>
      <c r="D281" s="437">
        <f t="shared" si="1"/>
        <v>0</v>
      </c>
      <c r="F281" s="438">
        <f t="shared" si="2"/>
        <v>0</v>
      </c>
      <c r="G281" t="str">
        <f t="shared" si="3"/>
        <v/>
      </c>
      <c r="H281" t="b">
        <f t="shared" si="4"/>
        <v>0</v>
      </c>
      <c r="I281" s="439">
        <f>IF(OR(ISBLANK(A281),ISNA(MATCH(A281&amp;"",AthleteNumbers,0))),0,MATCH(A281&amp;"",AthleteNumbers,0))</f>
        <v>0</v>
      </c>
      <c r="J281" s="209">
        <f t="array" ref="J281">IF(I281&gt;0,INDEX(DB,$I281,6),0)</f>
        <v>0</v>
      </c>
      <c r="K281" s="440">
        <f t="shared" si="5"/>
        <v>0</v>
      </c>
      <c r="L281" s="440">
        <f t="shared" si="6"/>
        <v>0</v>
      </c>
      <c r="M281" s="441">
        <f>IF(AND(L281&gt;O281,O281&gt;0),MinPoints,IF(L281&lt;N281,100,+INT((O281-$L281)/P281)+MinPoints))</f>
        <v>100</v>
      </c>
      <c r="N281" s="440">
        <f t="shared" si="7"/>
        <v>7</v>
      </c>
      <c r="O281" s="440">
        <f t="shared" si="8"/>
        <v>16</v>
      </c>
      <c r="P281" s="440">
        <f t="shared" si="9"/>
        <v>0.1</v>
      </c>
      <c r="Q281">
        <f t="array" ref="Q281">IF(I281&gt;0,INDEX(DB,I281,9),EventIndex)</f>
        <v>6</v>
      </c>
      <c r="S281" s="442">
        <f t="array" ref="S281">INDEX(MINVALUES,$Q281,$K$1)</f>
        <v>16</v>
      </c>
      <c r="T281">
        <f t="array" ref="T281">INDEX(INCVALUES,$Q281,$K$1)</f>
        <v>0.1</v>
      </c>
      <c r="V281">
        <f t="array" ref="V281">+J281+(4*(INDEX(MatchScoreTable,$Q281,20)-1))</f>
        <v>4</v>
      </c>
      <c r="W281">
        <f t="array" ref="W281">INDEX(INC_MINVALUES,$V281,$K$1)</f>
        <v>34</v>
      </c>
      <c r="X281" s="212">
        <f t="array" ref="X281">INDEX(INC_INCVALUES,$V281,$K$1)</f>
        <v>0.3</v>
      </c>
    </row>
    <row r="282" ht="15.75" customHeight="1">
      <c r="A282" s="435"/>
      <c r="B282" s="436"/>
      <c r="C282" s="95" t="str">
        <f t="array" ref="C282">IF(I282&gt;0,INDEX(DB,I282,8),"")</f>
        <v/>
      </c>
      <c r="D282" s="437">
        <f t="shared" si="1"/>
        <v>0</v>
      </c>
      <c r="F282" s="438">
        <f t="shared" si="2"/>
        <v>0</v>
      </c>
      <c r="G282" t="str">
        <f t="shared" si="3"/>
        <v/>
      </c>
      <c r="H282" t="b">
        <f t="shared" si="4"/>
        <v>0</v>
      </c>
      <c r="I282" s="439">
        <f>IF(OR(ISBLANK(A282),ISNA(MATCH(A282&amp;"",AthleteNumbers,0))),0,MATCH(A282&amp;"",AthleteNumbers,0))</f>
        <v>0</v>
      </c>
      <c r="J282" s="209">
        <f t="array" ref="J282">IF(I282&gt;0,INDEX(DB,$I282,6),0)</f>
        <v>0</v>
      </c>
      <c r="K282" s="440">
        <f t="shared" si="5"/>
        <v>0</v>
      </c>
      <c r="L282" s="440">
        <f t="shared" si="6"/>
        <v>0</v>
      </c>
      <c r="M282" s="441">
        <f>IF(AND(L282&gt;O282,O282&gt;0),MinPoints,IF(L282&lt;N282,100,+INT((O282-$L282)/P282)+MinPoints))</f>
        <v>100</v>
      </c>
      <c r="N282" s="440">
        <f t="shared" si="7"/>
        <v>7</v>
      </c>
      <c r="O282" s="440">
        <f t="shared" si="8"/>
        <v>16</v>
      </c>
      <c r="P282" s="440">
        <f t="shared" si="9"/>
        <v>0.1</v>
      </c>
      <c r="Q282">
        <f t="array" ref="Q282">IF(I282&gt;0,INDEX(DB,I282,9),EventIndex)</f>
        <v>6</v>
      </c>
      <c r="S282" s="442">
        <f t="array" ref="S282">INDEX(MINVALUES,$Q282,$K$1)</f>
        <v>16</v>
      </c>
      <c r="T282">
        <f t="array" ref="T282">INDEX(INCVALUES,$Q282,$K$1)</f>
        <v>0.1</v>
      </c>
      <c r="V282">
        <f t="array" ref="V282">+J282+(4*(INDEX(MatchScoreTable,$Q282,20)-1))</f>
        <v>4</v>
      </c>
      <c r="W282">
        <f t="array" ref="W282">INDEX(INC_MINVALUES,$V282,$K$1)</f>
        <v>34</v>
      </c>
      <c r="X282" s="212">
        <f t="array" ref="X282">INDEX(INC_INCVALUES,$V282,$K$1)</f>
        <v>0.3</v>
      </c>
    </row>
    <row r="283" ht="15.75" customHeight="1">
      <c r="A283" s="435"/>
      <c r="B283" s="436"/>
      <c r="C283" s="95" t="str">
        <f t="array" ref="C283">IF(I283&gt;0,INDEX(DB,I283,8),"")</f>
        <v/>
      </c>
      <c r="D283" s="437">
        <f t="shared" si="1"/>
        <v>0</v>
      </c>
      <c r="F283" s="438">
        <f t="shared" si="2"/>
        <v>0</v>
      </c>
      <c r="G283" t="str">
        <f t="shared" si="3"/>
        <v/>
      </c>
      <c r="H283" t="b">
        <f t="shared" si="4"/>
        <v>0</v>
      </c>
      <c r="I283" s="439">
        <f>IF(OR(ISBLANK(A283),ISNA(MATCH(A283&amp;"",AthleteNumbers,0))),0,MATCH(A283&amp;"",AthleteNumbers,0))</f>
        <v>0</v>
      </c>
      <c r="J283" s="209">
        <f t="array" ref="J283">IF(I283&gt;0,INDEX(DB,$I283,6),0)</f>
        <v>0</v>
      </c>
      <c r="K283" s="440">
        <f t="shared" si="5"/>
        <v>0</v>
      </c>
      <c r="L283" s="440">
        <f t="shared" si="6"/>
        <v>0</v>
      </c>
      <c r="M283" s="441">
        <f>IF(AND(L283&gt;O283,O283&gt;0),MinPoints,IF(L283&lt;N283,100,+INT((O283-$L283)/P283)+MinPoints))</f>
        <v>100</v>
      </c>
      <c r="N283" s="440">
        <f t="shared" si="7"/>
        <v>7</v>
      </c>
      <c r="O283" s="440">
        <f t="shared" si="8"/>
        <v>16</v>
      </c>
      <c r="P283" s="440">
        <f t="shared" si="9"/>
        <v>0.1</v>
      </c>
      <c r="Q283">
        <f t="array" ref="Q283">IF(I283&gt;0,INDEX(DB,I283,9),EventIndex)</f>
        <v>6</v>
      </c>
      <c r="S283" s="442">
        <f t="array" ref="S283">INDEX(MINVALUES,$Q283,$K$1)</f>
        <v>16</v>
      </c>
      <c r="T283">
        <f t="array" ref="T283">INDEX(INCVALUES,$Q283,$K$1)</f>
        <v>0.1</v>
      </c>
      <c r="V283">
        <f t="array" ref="V283">+J283+(4*(INDEX(MatchScoreTable,$Q283,20)-1))</f>
        <v>4</v>
      </c>
      <c r="W283">
        <f t="array" ref="W283">INDEX(INC_MINVALUES,$V283,$K$1)</f>
        <v>34</v>
      </c>
      <c r="X283" s="212">
        <f t="array" ref="X283">INDEX(INC_INCVALUES,$V283,$K$1)</f>
        <v>0.3</v>
      </c>
    </row>
    <row r="284" ht="15.75" customHeight="1">
      <c r="A284" s="435"/>
      <c r="B284" s="436"/>
      <c r="C284" s="95" t="str">
        <f t="array" ref="C284">IF(I284&gt;0,INDEX(DB,I284,8),"")</f>
        <v/>
      </c>
      <c r="D284" s="437">
        <f t="shared" si="1"/>
        <v>0</v>
      </c>
      <c r="F284" s="438">
        <f t="shared" si="2"/>
        <v>0</v>
      </c>
      <c r="G284" t="str">
        <f t="shared" si="3"/>
        <v/>
      </c>
      <c r="H284" t="b">
        <f t="shared" si="4"/>
        <v>0</v>
      </c>
      <c r="I284" s="439">
        <f>IF(OR(ISBLANK(A284),ISNA(MATCH(A284&amp;"",AthleteNumbers,0))),0,MATCH(A284&amp;"",AthleteNumbers,0))</f>
        <v>0</v>
      </c>
      <c r="J284" s="209">
        <f t="array" ref="J284">IF(I284&gt;0,INDEX(DB,$I284,6),0)</f>
        <v>0</v>
      </c>
      <c r="K284" s="440">
        <f t="shared" si="5"/>
        <v>0</v>
      </c>
      <c r="L284" s="440">
        <f t="shared" si="6"/>
        <v>0</v>
      </c>
      <c r="M284" s="441">
        <f>IF(AND(L284&gt;O284,O284&gt;0),MinPoints,IF(L284&lt;N284,100,+INT((O284-$L284)/P284)+MinPoints))</f>
        <v>100</v>
      </c>
      <c r="N284" s="440">
        <f t="shared" si="7"/>
        <v>7</v>
      </c>
      <c r="O284" s="440">
        <f t="shared" si="8"/>
        <v>16</v>
      </c>
      <c r="P284" s="440">
        <f t="shared" si="9"/>
        <v>0.1</v>
      </c>
      <c r="Q284">
        <f t="array" ref="Q284">IF(I284&gt;0,INDEX(DB,I284,9),EventIndex)</f>
        <v>6</v>
      </c>
      <c r="S284" s="442">
        <f t="array" ref="S284">INDEX(MINVALUES,$Q284,$K$1)</f>
        <v>16</v>
      </c>
      <c r="T284">
        <f t="array" ref="T284">INDEX(INCVALUES,$Q284,$K$1)</f>
        <v>0.1</v>
      </c>
      <c r="V284">
        <f t="array" ref="V284">+J284+(4*(INDEX(MatchScoreTable,$Q284,20)-1))</f>
        <v>4</v>
      </c>
      <c r="W284">
        <f t="array" ref="W284">INDEX(INC_MINVALUES,$V284,$K$1)</f>
        <v>34</v>
      </c>
      <c r="X284" s="212">
        <f t="array" ref="X284">INDEX(INC_INCVALUES,$V284,$K$1)</f>
        <v>0.3</v>
      </c>
    </row>
    <row r="285" ht="15.75" customHeight="1">
      <c r="A285" s="435"/>
      <c r="B285" s="436"/>
      <c r="C285" s="95" t="str">
        <f t="array" ref="C285">IF(I285&gt;0,INDEX(DB,I285,8),"")</f>
        <v/>
      </c>
      <c r="D285" s="437">
        <f t="shared" si="1"/>
        <v>0</v>
      </c>
      <c r="F285" s="438">
        <f t="shared" si="2"/>
        <v>0</v>
      </c>
      <c r="G285" t="str">
        <f t="shared" si="3"/>
        <v/>
      </c>
      <c r="H285" t="b">
        <f t="shared" si="4"/>
        <v>0</v>
      </c>
      <c r="I285" s="439">
        <f>IF(OR(ISBLANK(A285),ISNA(MATCH(A285&amp;"",AthleteNumbers,0))),0,MATCH(A285&amp;"",AthleteNumbers,0))</f>
        <v>0</v>
      </c>
      <c r="J285" s="209">
        <f t="array" ref="J285">IF(I285&gt;0,INDEX(DB,$I285,6),0)</f>
        <v>0</v>
      </c>
      <c r="K285" s="440">
        <f t="shared" si="5"/>
        <v>0</v>
      </c>
      <c r="L285" s="440">
        <f t="shared" si="6"/>
        <v>0</v>
      </c>
      <c r="M285" s="441">
        <f>IF(AND(L285&gt;O285,O285&gt;0),MinPoints,IF(L285&lt;N285,100,+INT((O285-$L285)/P285)+MinPoints))</f>
        <v>100</v>
      </c>
      <c r="N285" s="440">
        <f t="shared" si="7"/>
        <v>7</v>
      </c>
      <c r="O285" s="440">
        <f t="shared" si="8"/>
        <v>16</v>
      </c>
      <c r="P285" s="440">
        <f t="shared" si="9"/>
        <v>0.1</v>
      </c>
      <c r="Q285">
        <f t="array" ref="Q285">IF(I285&gt;0,INDEX(DB,I285,9),EventIndex)</f>
        <v>6</v>
      </c>
      <c r="S285" s="442">
        <f t="array" ref="S285">INDEX(MINVALUES,$Q285,$K$1)</f>
        <v>16</v>
      </c>
      <c r="T285">
        <f t="array" ref="T285">INDEX(INCVALUES,$Q285,$K$1)</f>
        <v>0.1</v>
      </c>
      <c r="V285">
        <f t="array" ref="V285">+J285+(4*(INDEX(MatchScoreTable,$Q285,20)-1))</f>
        <v>4</v>
      </c>
      <c r="W285">
        <f t="array" ref="W285">INDEX(INC_MINVALUES,$V285,$K$1)</f>
        <v>34</v>
      </c>
      <c r="X285" s="212">
        <f t="array" ref="X285">INDEX(INC_INCVALUES,$V285,$K$1)</f>
        <v>0.3</v>
      </c>
    </row>
    <row r="286" ht="15.75" customHeight="1">
      <c r="A286" s="435"/>
      <c r="B286" s="436"/>
      <c r="C286" s="95" t="str">
        <f t="array" ref="C286">IF(I286&gt;0,INDEX(DB,I286,8),"")</f>
        <v/>
      </c>
      <c r="D286" s="437">
        <f t="shared" si="1"/>
        <v>0</v>
      </c>
      <c r="F286" s="438">
        <f t="shared" si="2"/>
        <v>0</v>
      </c>
      <c r="G286" t="str">
        <f t="shared" si="3"/>
        <v/>
      </c>
      <c r="H286" t="b">
        <f t="shared" si="4"/>
        <v>0</v>
      </c>
      <c r="I286" s="439">
        <f>IF(OR(ISBLANK(A286),ISNA(MATCH(A286&amp;"",AthleteNumbers,0))),0,MATCH(A286&amp;"",AthleteNumbers,0))</f>
        <v>0</v>
      </c>
      <c r="J286" s="209">
        <f t="array" ref="J286">IF(I286&gt;0,INDEX(DB,$I286,6),0)</f>
        <v>0</v>
      </c>
      <c r="K286" s="440">
        <f t="shared" si="5"/>
        <v>0</v>
      </c>
      <c r="L286" s="440">
        <f t="shared" si="6"/>
        <v>0</v>
      </c>
      <c r="M286" s="441">
        <f>IF(AND(L286&gt;O286,O286&gt;0),MinPoints,IF(L286&lt;N286,100,+INT((O286-$L286)/P286)+MinPoints))</f>
        <v>100</v>
      </c>
      <c r="N286" s="440">
        <f t="shared" si="7"/>
        <v>7</v>
      </c>
      <c r="O286" s="440">
        <f t="shared" si="8"/>
        <v>16</v>
      </c>
      <c r="P286" s="440">
        <f t="shared" si="9"/>
        <v>0.1</v>
      </c>
      <c r="Q286">
        <f t="array" ref="Q286">IF(I286&gt;0,INDEX(DB,I286,9),EventIndex)</f>
        <v>6</v>
      </c>
      <c r="S286" s="442">
        <f t="array" ref="S286">INDEX(MINVALUES,$Q286,$K$1)</f>
        <v>16</v>
      </c>
      <c r="T286">
        <f t="array" ref="T286">INDEX(INCVALUES,$Q286,$K$1)</f>
        <v>0.1</v>
      </c>
      <c r="V286">
        <f t="array" ref="V286">+J286+(4*(INDEX(MatchScoreTable,$Q286,20)-1))</f>
        <v>4</v>
      </c>
      <c r="W286">
        <f t="array" ref="W286">INDEX(INC_MINVALUES,$V286,$K$1)</f>
        <v>34</v>
      </c>
      <c r="X286" s="212">
        <f t="array" ref="X286">INDEX(INC_INCVALUES,$V286,$K$1)</f>
        <v>0.3</v>
      </c>
    </row>
    <row r="287" ht="15.75" customHeight="1">
      <c r="A287" s="435"/>
      <c r="B287" s="436"/>
      <c r="C287" s="95" t="str">
        <f t="array" ref="C287">IF(I287&gt;0,INDEX(DB,I287,8),"")</f>
        <v/>
      </c>
      <c r="D287" s="437">
        <f t="shared" si="1"/>
        <v>0</v>
      </c>
      <c r="F287" s="438">
        <f t="shared" si="2"/>
        <v>0</v>
      </c>
      <c r="G287" t="str">
        <f t="shared" si="3"/>
        <v/>
      </c>
      <c r="H287" t="b">
        <f t="shared" si="4"/>
        <v>0</v>
      </c>
      <c r="I287" s="439">
        <f>IF(OR(ISBLANK(A287),ISNA(MATCH(A287&amp;"",AthleteNumbers,0))),0,MATCH(A287&amp;"",AthleteNumbers,0))</f>
        <v>0</v>
      </c>
      <c r="J287" s="209">
        <f t="array" ref="J287">IF(I287&gt;0,INDEX(DB,$I287,6),0)</f>
        <v>0</v>
      </c>
      <c r="K287" s="440">
        <f t="shared" si="5"/>
        <v>0</v>
      </c>
      <c r="L287" s="440">
        <f t="shared" si="6"/>
        <v>0</v>
      </c>
      <c r="M287" s="441">
        <f>IF(AND(L287&gt;O287,O287&gt;0),MinPoints,IF(L287&lt;N287,100,+INT((O287-$L287)/P287)+MinPoints))</f>
        <v>100</v>
      </c>
      <c r="N287" s="440">
        <f t="shared" si="7"/>
        <v>7</v>
      </c>
      <c r="O287" s="440">
        <f t="shared" si="8"/>
        <v>16</v>
      </c>
      <c r="P287" s="440">
        <f t="shared" si="9"/>
        <v>0.1</v>
      </c>
      <c r="Q287">
        <f t="array" ref="Q287">IF(I287&gt;0,INDEX(DB,I287,9),EventIndex)</f>
        <v>6</v>
      </c>
      <c r="S287" s="442">
        <f t="array" ref="S287">INDEX(MINVALUES,$Q287,$K$1)</f>
        <v>16</v>
      </c>
      <c r="T287">
        <f t="array" ref="T287">INDEX(INCVALUES,$Q287,$K$1)</f>
        <v>0.1</v>
      </c>
      <c r="V287">
        <f t="array" ref="V287">+J287+(4*(INDEX(MatchScoreTable,$Q287,20)-1))</f>
        <v>4</v>
      </c>
      <c r="W287">
        <f t="array" ref="W287">INDEX(INC_MINVALUES,$V287,$K$1)</f>
        <v>34</v>
      </c>
      <c r="X287" s="212">
        <f t="array" ref="X287">INDEX(INC_INCVALUES,$V287,$K$1)</f>
        <v>0.3</v>
      </c>
    </row>
    <row r="288" ht="15.75" customHeight="1">
      <c r="A288" s="435"/>
      <c r="B288" s="436"/>
      <c r="C288" s="95" t="str">
        <f t="array" ref="C288">IF(I288&gt;0,INDEX(DB,I288,8),"")</f>
        <v/>
      </c>
      <c r="D288" s="437">
        <f t="shared" si="1"/>
        <v>0</v>
      </c>
      <c r="F288" s="438">
        <f t="shared" si="2"/>
        <v>0</v>
      </c>
      <c r="G288" t="str">
        <f t="shared" si="3"/>
        <v/>
      </c>
      <c r="H288" t="b">
        <f t="shared" si="4"/>
        <v>0</v>
      </c>
      <c r="I288" s="439">
        <f>IF(OR(ISBLANK(A288),ISNA(MATCH(A288&amp;"",AthleteNumbers,0))),0,MATCH(A288&amp;"",AthleteNumbers,0))</f>
        <v>0</v>
      </c>
      <c r="J288" s="209">
        <f t="array" ref="J288">IF(I288&gt;0,INDEX(DB,$I288,6),0)</f>
        <v>0</v>
      </c>
      <c r="K288" s="440">
        <f t="shared" si="5"/>
        <v>0</v>
      </c>
      <c r="L288" s="440">
        <f t="shared" si="6"/>
        <v>0</v>
      </c>
      <c r="M288" s="441">
        <f>IF(AND(L288&gt;O288,O288&gt;0),MinPoints,IF(L288&lt;N288,100,+INT((O288-$L288)/P288)+MinPoints))</f>
        <v>100</v>
      </c>
      <c r="N288" s="440">
        <f t="shared" si="7"/>
        <v>7</v>
      </c>
      <c r="O288" s="440">
        <f t="shared" si="8"/>
        <v>16</v>
      </c>
      <c r="P288" s="440">
        <f t="shared" si="9"/>
        <v>0.1</v>
      </c>
      <c r="Q288">
        <f t="array" ref="Q288">IF(I288&gt;0,INDEX(DB,I288,9),EventIndex)</f>
        <v>6</v>
      </c>
      <c r="S288" s="442">
        <f t="array" ref="S288">INDEX(MINVALUES,$Q288,$K$1)</f>
        <v>16</v>
      </c>
      <c r="T288">
        <f t="array" ref="T288">INDEX(INCVALUES,$Q288,$K$1)</f>
        <v>0.1</v>
      </c>
      <c r="V288">
        <f t="array" ref="V288">+J288+(4*(INDEX(MatchScoreTable,$Q288,20)-1))</f>
        <v>4</v>
      </c>
      <c r="W288">
        <f t="array" ref="W288">INDEX(INC_MINVALUES,$V288,$K$1)</f>
        <v>34</v>
      </c>
      <c r="X288" s="212">
        <f t="array" ref="X288">INDEX(INC_INCVALUES,$V288,$K$1)</f>
        <v>0.3</v>
      </c>
    </row>
    <row r="289" ht="15.75" customHeight="1">
      <c r="A289" s="435"/>
      <c r="B289" s="436"/>
      <c r="C289" s="95" t="str">
        <f t="array" ref="C289">IF(I289&gt;0,INDEX(DB,I289,8),"")</f>
        <v/>
      </c>
      <c r="D289" s="437">
        <f t="shared" si="1"/>
        <v>0</v>
      </c>
      <c r="F289" s="438">
        <f t="shared" si="2"/>
        <v>0</v>
      </c>
      <c r="G289" t="str">
        <f t="shared" si="3"/>
        <v/>
      </c>
      <c r="H289" t="b">
        <f t="shared" si="4"/>
        <v>0</v>
      </c>
      <c r="I289" s="439">
        <f>IF(OR(ISBLANK(A289),ISNA(MATCH(A289&amp;"",AthleteNumbers,0))),0,MATCH(A289&amp;"",AthleteNumbers,0))</f>
        <v>0</v>
      </c>
      <c r="J289" s="209">
        <f t="array" ref="J289">IF(I289&gt;0,INDEX(DB,$I289,6),0)</f>
        <v>0</v>
      </c>
      <c r="K289" s="440">
        <f t="shared" si="5"/>
        <v>0</v>
      </c>
      <c r="L289" s="440">
        <f t="shared" si="6"/>
        <v>0</v>
      </c>
      <c r="M289" s="441">
        <f>IF(AND(L289&gt;O289,O289&gt;0),MinPoints,IF(L289&lt;N289,100,+INT((O289-$L289)/P289)+MinPoints))</f>
        <v>100</v>
      </c>
      <c r="N289" s="440">
        <f t="shared" si="7"/>
        <v>7</v>
      </c>
      <c r="O289" s="440">
        <f t="shared" si="8"/>
        <v>16</v>
      </c>
      <c r="P289" s="440">
        <f t="shared" si="9"/>
        <v>0.1</v>
      </c>
      <c r="Q289">
        <f t="array" ref="Q289">IF(I289&gt;0,INDEX(DB,I289,9),EventIndex)</f>
        <v>6</v>
      </c>
      <c r="S289" s="442">
        <f t="array" ref="S289">INDEX(MINVALUES,$Q289,$K$1)</f>
        <v>16</v>
      </c>
      <c r="T289">
        <f t="array" ref="T289">INDEX(INCVALUES,$Q289,$K$1)</f>
        <v>0.1</v>
      </c>
      <c r="V289">
        <f t="array" ref="V289">+J289+(4*(INDEX(MatchScoreTable,$Q289,20)-1))</f>
        <v>4</v>
      </c>
      <c r="W289">
        <f t="array" ref="W289">INDEX(INC_MINVALUES,$V289,$K$1)</f>
        <v>34</v>
      </c>
      <c r="X289" s="212">
        <f t="array" ref="X289">INDEX(INC_INCVALUES,$V289,$K$1)</f>
        <v>0.3</v>
      </c>
    </row>
    <row r="290" ht="15.75" customHeight="1">
      <c r="A290" s="435"/>
      <c r="B290" s="436"/>
      <c r="C290" s="95" t="str">
        <f t="array" ref="C290">IF(I290&gt;0,INDEX(DB,I290,8),"")</f>
        <v/>
      </c>
      <c r="D290" s="437">
        <f t="shared" si="1"/>
        <v>0</v>
      </c>
      <c r="F290" s="438">
        <f t="shared" si="2"/>
        <v>0</v>
      </c>
      <c r="G290" t="str">
        <f t="shared" si="3"/>
        <v/>
      </c>
      <c r="H290" t="b">
        <f t="shared" si="4"/>
        <v>0</v>
      </c>
      <c r="I290" s="439">
        <f>IF(OR(ISBLANK(A290),ISNA(MATCH(A290&amp;"",AthleteNumbers,0))),0,MATCH(A290&amp;"",AthleteNumbers,0))</f>
        <v>0</v>
      </c>
      <c r="J290" s="209">
        <f t="array" ref="J290">IF(I290&gt;0,INDEX(DB,$I290,6),0)</f>
        <v>0</v>
      </c>
      <c r="K290" s="440">
        <f t="shared" si="5"/>
        <v>0</v>
      </c>
      <c r="L290" s="440">
        <f t="shared" si="6"/>
        <v>0</v>
      </c>
      <c r="M290" s="441">
        <f>IF(AND(L290&gt;O290,O290&gt;0),MinPoints,IF(L290&lt;N290,100,+INT((O290-$L290)/P290)+MinPoints))</f>
        <v>100</v>
      </c>
      <c r="N290" s="440">
        <f t="shared" si="7"/>
        <v>7</v>
      </c>
      <c r="O290" s="440">
        <f t="shared" si="8"/>
        <v>16</v>
      </c>
      <c r="P290" s="440">
        <f t="shared" si="9"/>
        <v>0.1</v>
      </c>
      <c r="Q290">
        <f t="array" ref="Q290">IF(I290&gt;0,INDEX(DB,I290,9),EventIndex)</f>
        <v>6</v>
      </c>
      <c r="S290" s="442">
        <f t="array" ref="S290">INDEX(MINVALUES,$Q290,$K$1)</f>
        <v>16</v>
      </c>
      <c r="T290">
        <f t="array" ref="T290">INDEX(INCVALUES,$Q290,$K$1)</f>
        <v>0.1</v>
      </c>
      <c r="V290">
        <f t="array" ref="V290">+J290+(4*(INDEX(MatchScoreTable,$Q290,20)-1))</f>
        <v>4</v>
      </c>
      <c r="W290">
        <f t="array" ref="W290">INDEX(INC_MINVALUES,$V290,$K$1)</f>
        <v>34</v>
      </c>
      <c r="X290" s="212">
        <f t="array" ref="X290">INDEX(INC_INCVALUES,$V290,$K$1)</f>
        <v>0.3</v>
      </c>
    </row>
    <row r="291" ht="15.75" customHeight="1">
      <c r="A291" s="435"/>
      <c r="B291" s="436"/>
      <c r="C291" s="95" t="str">
        <f t="array" ref="C291">IF(I291&gt;0,INDEX(DB,I291,8),"")</f>
        <v/>
      </c>
      <c r="D291" s="437">
        <f t="shared" si="1"/>
        <v>0</v>
      </c>
      <c r="F291" s="438">
        <f t="shared" si="2"/>
        <v>0</v>
      </c>
      <c r="G291" t="str">
        <f t="shared" si="3"/>
        <v/>
      </c>
      <c r="H291" t="b">
        <f t="shared" si="4"/>
        <v>0</v>
      </c>
      <c r="I291" s="439">
        <f>IF(OR(ISBLANK(A291),ISNA(MATCH(A291&amp;"",AthleteNumbers,0))),0,MATCH(A291&amp;"",AthleteNumbers,0))</f>
        <v>0</v>
      </c>
      <c r="J291" s="209">
        <f t="array" ref="J291">IF(I291&gt;0,INDEX(DB,$I291,6),0)</f>
        <v>0</v>
      </c>
      <c r="K291" s="440">
        <f t="shared" si="5"/>
        <v>0</v>
      </c>
      <c r="L291" s="440">
        <f t="shared" si="6"/>
        <v>0</v>
      </c>
      <c r="M291" s="441">
        <f>IF(AND(L291&gt;O291,O291&gt;0),MinPoints,IF(L291&lt;N291,100,+INT((O291-$L291)/P291)+MinPoints))</f>
        <v>100</v>
      </c>
      <c r="N291" s="440">
        <f t="shared" si="7"/>
        <v>7</v>
      </c>
      <c r="O291" s="440">
        <f t="shared" si="8"/>
        <v>16</v>
      </c>
      <c r="P291" s="440">
        <f t="shared" si="9"/>
        <v>0.1</v>
      </c>
      <c r="Q291">
        <f t="array" ref="Q291">IF(I291&gt;0,INDEX(DB,I291,9),EventIndex)</f>
        <v>6</v>
      </c>
      <c r="S291" s="442">
        <f t="array" ref="S291">INDEX(MINVALUES,$Q291,$K$1)</f>
        <v>16</v>
      </c>
      <c r="T291">
        <f t="array" ref="T291">INDEX(INCVALUES,$Q291,$K$1)</f>
        <v>0.1</v>
      </c>
      <c r="V291">
        <f t="array" ref="V291">+J291+(4*(INDEX(MatchScoreTable,$Q291,20)-1))</f>
        <v>4</v>
      </c>
      <c r="W291">
        <f t="array" ref="W291">INDEX(INC_MINVALUES,$V291,$K$1)</f>
        <v>34</v>
      </c>
      <c r="X291" s="212">
        <f t="array" ref="X291">INDEX(INC_INCVALUES,$V291,$K$1)</f>
        <v>0.3</v>
      </c>
    </row>
    <row r="292" ht="15.75" customHeight="1">
      <c r="A292" s="435"/>
      <c r="B292" s="436"/>
      <c r="C292" s="95" t="str">
        <f t="array" ref="C292">IF(I292&gt;0,INDEX(DB,I292,8),"")</f>
        <v/>
      </c>
      <c r="D292" s="437">
        <f t="shared" si="1"/>
        <v>0</v>
      </c>
      <c r="F292" s="438">
        <f t="shared" si="2"/>
        <v>0</v>
      </c>
      <c r="G292" t="str">
        <f t="shared" si="3"/>
        <v/>
      </c>
      <c r="H292" t="b">
        <f t="shared" si="4"/>
        <v>0</v>
      </c>
      <c r="I292" s="439">
        <f>IF(OR(ISBLANK(A292),ISNA(MATCH(A292&amp;"",AthleteNumbers,0))),0,MATCH(A292&amp;"",AthleteNumbers,0))</f>
        <v>0</v>
      </c>
      <c r="J292" s="209">
        <f t="array" ref="J292">IF(I292&gt;0,INDEX(DB,$I292,6),0)</f>
        <v>0</v>
      </c>
      <c r="K292" s="440">
        <f t="shared" si="5"/>
        <v>0</v>
      </c>
      <c r="L292" s="440">
        <f t="shared" si="6"/>
        <v>0</v>
      </c>
      <c r="M292" s="441">
        <f>IF(AND(L292&gt;O292,O292&gt;0),MinPoints,IF(L292&lt;N292,100,+INT((O292-$L292)/P292)+MinPoints))</f>
        <v>100</v>
      </c>
      <c r="N292" s="440">
        <f t="shared" si="7"/>
        <v>7</v>
      </c>
      <c r="O292" s="440">
        <f t="shared" si="8"/>
        <v>16</v>
      </c>
      <c r="P292" s="440">
        <f t="shared" si="9"/>
        <v>0.1</v>
      </c>
      <c r="Q292">
        <f t="array" ref="Q292">IF(I292&gt;0,INDEX(DB,I292,9),EventIndex)</f>
        <v>6</v>
      </c>
      <c r="S292" s="442">
        <f t="array" ref="S292">INDEX(MINVALUES,$Q292,$K$1)</f>
        <v>16</v>
      </c>
      <c r="T292">
        <f t="array" ref="T292">INDEX(INCVALUES,$Q292,$K$1)</f>
        <v>0.1</v>
      </c>
      <c r="V292">
        <f t="array" ref="V292">+J292+(4*(INDEX(MatchScoreTable,$Q292,20)-1))</f>
        <v>4</v>
      </c>
      <c r="W292">
        <f t="array" ref="W292">INDEX(INC_MINVALUES,$V292,$K$1)</f>
        <v>34</v>
      </c>
      <c r="X292" s="212">
        <f t="array" ref="X292">INDEX(INC_INCVALUES,$V292,$K$1)</f>
        <v>0.3</v>
      </c>
    </row>
    <row r="293" ht="15.75" customHeight="1">
      <c r="A293" s="435"/>
      <c r="B293" s="436"/>
      <c r="C293" s="95" t="str">
        <f t="array" ref="C293">IF(I293&gt;0,INDEX(DB,I293,8),"")</f>
        <v/>
      </c>
      <c r="D293" s="437">
        <f t="shared" si="1"/>
        <v>0</v>
      </c>
      <c r="F293" s="438">
        <f t="shared" si="2"/>
        <v>0</v>
      </c>
      <c r="G293" t="str">
        <f t="shared" si="3"/>
        <v/>
      </c>
      <c r="H293" t="b">
        <f t="shared" si="4"/>
        <v>0</v>
      </c>
      <c r="I293" s="439">
        <f>IF(OR(ISBLANK(A293),ISNA(MATCH(A293&amp;"",AthleteNumbers,0))),0,MATCH(A293&amp;"",AthleteNumbers,0))</f>
        <v>0</v>
      </c>
      <c r="J293" s="209">
        <f t="array" ref="J293">IF(I293&gt;0,INDEX(DB,$I293,6),0)</f>
        <v>0</v>
      </c>
      <c r="K293" s="440">
        <f t="shared" si="5"/>
        <v>0</v>
      </c>
      <c r="L293" s="440">
        <f t="shared" si="6"/>
        <v>0</v>
      </c>
      <c r="M293" s="441">
        <f>IF(AND(L293&gt;O293,O293&gt;0),MinPoints,IF(L293&lt;N293,100,+INT((O293-$L293)/P293)+MinPoints))</f>
        <v>100</v>
      </c>
      <c r="N293" s="440">
        <f t="shared" si="7"/>
        <v>7</v>
      </c>
      <c r="O293" s="440">
        <f t="shared" si="8"/>
        <v>16</v>
      </c>
      <c r="P293" s="440">
        <f t="shared" si="9"/>
        <v>0.1</v>
      </c>
      <c r="Q293">
        <f t="array" ref="Q293">IF(I293&gt;0,INDEX(DB,I293,9),EventIndex)</f>
        <v>6</v>
      </c>
      <c r="S293" s="442">
        <f t="array" ref="S293">INDEX(MINVALUES,$Q293,$K$1)</f>
        <v>16</v>
      </c>
      <c r="T293">
        <f t="array" ref="T293">INDEX(INCVALUES,$Q293,$K$1)</f>
        <v>0.1</v>
      </c>
      <c r="V293">
        <f t="array" ref="V293">+J293+(4*(INDEX(MatchScoreTable,$Q293,20)-1))</f>
        <v>4</v>
      </c>
      <c r="W293">
        <f t="array" ref="W293">INDEX(INC_MINVALUES,$V293,$K$1)</f>
        <v>34</v>
      </c>
      <c r="X293" s="212">
        <f t="array" ref="X293">INDEX(INC_INCVALUES,$V293,$K$1)</f>
        <v>0.3</v>
      </c>
    </row>
    <row r="294" ht="15.75" customHeight="1">
      <c r="A294" s="435"/>
      <c r="B294" s="436"/>
      <c r="C294" s="95" t="str">
        <f t="array" ref="C294">IF(I294&gt;0,INDEX(DB,I294,8),"")</f>
        <v/>
      </c>
      <c r="D294" s="437">
        <f t="shared" si="1"/>
        <v>0</v>
      </c>
      <c r="F294" s="438">
        <f t="shared" si="2"/>
        <v>0</v>
      </c>
      <c r="G294" t="str">
        <f t="shared" si="3"/>
        <v/>
      </c>
      <c r="H294" t="b">
        <f t="shared" si="4"/>
        <v>0</v>
      </c>
      <c r="I294" s="439">
        <f>IF(OR(ISBLANK(A294),ISNA(MATCH(A294&amp;"",AthleteNumbers,0))),0,MATCH(A294&amp;"",AthleteNumbers,0))</f>
        <v>0</v>
      </c>
      <c r="J294" s="209">
        <f t="array" ref="J294">IF(I294&gt;0,INDEX(DB,$I294,6),0)</f>
        <v>0</v>
      </c>
      <c r="K294" s="440">
        <f t="shared" si="5"/>
        <v>0</v>
      </c>
      <c r="L294" s="440">
        <f t="shared" si="6"/>
        <v>0</v>
      </c>
      <c r="M294" s="441">
        <f>IF(AND(L294&gt;O294,O294&gt;0),MinPoints,IF(L294&lt;N294,100,+INT((O294-$L294)/P294)+MinPoints))</f>
        <v>100</v>
      </c>
      <c r="N294" s="440">
        <f t="shared" si="7"/>
        <v>7</v>
      </c>
      <c r="O294" s="440">
        <f t="shared" si="8"/>
        <v>16</v>
      </c>
      <c r="P294" s="440">
        <f t="shared" si="9"/>
        <v>0.1</v>
      </c>
      <c r="Q294">
        <f t="array" ref="Q294">IF(I294&gt;0,INDEX(DB,I294,9),EventIndex)</f>
        <v>6</v>
      </c>
      <c r="S294" s="442">
        <f t="array" ref="S294">INDEX(MINVALUES,$Q294,$K$1)</f>
        <v>16</v>
      </c>
      <c r="T294">
        <f t="array" ref="T294">INDEX(INCVALUES,$Q294,$K$1)</f>
        <v>0.1</v>
      </c>
      <c r="V294">
        <f t="array" ref="V294">+J294+(4*(INDEX(MatchScoreTable,$Q294,20)-1))</f>
        <v>4</v>
      </c>
      <c r="W294">
        <f t="array" ref="W294">INDEX(INC_MINVALUES,$V294,$K$1)</f>
        <v>34</v>
      </c>
      <c r="X294" s="212">
        <f t="array" ref="X294">INDEX(INC_INCVALUES,$V294,$K$1)</f>
        <v>0.3</v>
      </c>
    </row>
    <row r="295" ht="15.75" customHeight="1">
      <c r="A295" s="435"/>
      <c r="B295" s="436"/>
      <c r="C295" s="95" t="str">
        <f t="array" ref="C295">IF(I295&gt;0,INDEX(DB,I295,8),"")</f>
        <v/>
      </c>
      <c r="D295" s="437">
        <f t="shared" si="1"/>
        <v>0</v>
      </c>
      <c r="F295" s="438">
        <f t="shared" si="2"/>
        <v>0</v>
      </c>
      <c r="G295" t="str">
        <f t="shared" si="3"/>
        <v/>
      </c>
      <c r="H295" t="b">
        <f t="shared" si="4"/>
        <v>0</v>
      </c>
      <c r="I295" s="439">
        <f>IF(OR(ISBLANK(A295),ISNA(MATCH(A295&amp;"",AthleteNumbers,0))),0,MATCH(A295&amp;"",AthleteNumbers,0))</f>
        <v>0</v>
      </c>
      <c r="J295" s="209">
        <f t="array" ref="J295">IF(I295&gt;0,INDEX(DB,$I295,6),0)</f>
        <v>0</v>
      </c>
      <c r="K295" s="440">
        <f t="shared" si="5"/>
        <v>0</v>
      </c>
      <c r="L295" s="440">
        <f t="shared" si="6"/>
        <v>0</v>
      </c>
      <c r="M295" s="441">
        <f>IF(AND(L295&gt;O295,O295&gt;0),MinPoints,IF(L295&lt;N295,100,+INT((O295-$L295)/P295)+MinPoints))</f>
        <v>100</v>
      </c>
      <c r="N295" s="440">
        <f t="shared" si="7"/>
        <v>7</v>
      </c>
      <c r="O295" s="440">
        <f t="shared" si="8"/>
        <v>16</v>
      </c>
      <c r="P295" s="440">
        <f t="shared" si="9"/>
        <v>0.1</v>
      </c>
      <c r="Q295">
        <f t="array" ref="Q295">IF(I295&gt;0,INDEX(DB,I295,9),EventIndex)</f>
        <v>6</v>
      </c>
      <c r="S295" s="442">
        <f t="array" ref="S295">INDEX(MINVALUES,$Q295,$K$1)</f>
        <v>16</v>
      </c>
      <c r="T295">
        <f t="array" ref="T295">INDEX(INCVALUES,$Q295,$K$1)</f>
        <v>0.1</v>
      </c>
      <c r="V295">
        <f t="array" ref="V295">+J295+(4*(INDEX(MatchScoreTable,$Q295,20)-1))</f>
        <v>4</v>
      </c>
      <c r="W295">
        <f t="array" ref="W295">INDEX(INC_MINVALUES,$V295,$K$1)</f>
        <v>34</v>
      </c>
      <c r="X295" s="212">
        <f t="array" ref="X295">INDEX(INC_INCVALUES,$V295,$K$1)</f>
        <v>0.3</v>
      </c>
    </row>
    <row r="296" ht="15.75" customHeight="1">
      <c r="A296" s="435"/>
      <c r="B296" s="436"/>
      <c r="C296" s="95" t="str">
        <f t="array" ref="C296">IF(I296&gt;0,INDEX(DB,I296,8),"")</f>
        <v/>
      </c>
      <c r="D296" s="437">
        <f t="shared" si="1"/>
        <v>0</v>
      </c>
      <c r="F296" s="438">
        <f t="shared" si="2"/>
        <v>0</v>
      </c>
      <c r="G296" t="str">
        <f t="shared" si="3"/>
        <v/>
      </c>
      <c r="H296" t="b">
        <f t="shared" si="4"/>
        <v>0</v>
      </c>
      <c r="I296" s="439">
        <f>IF(OR(ISBLANK(A296),ISNA(MATCH(A296&amp;"",AthleteNumbers,0))),0,MATCH(A296&amp;"",AthleteNumbers,0))</f>
        <v>0</v>
      </c>
      <c r="J296" s="209">
        <f t="array" ref="J296">IF(I296&gt;0,INDEX(DB,$I296,6),0)</f>
        <v>0</v>
      </c>
      <c r="K296" s="440">
        <f t="shared" si="5"/>
        <v>0</v>
      </c>
      <c r="L296" s="440">
        <f t="shared" si="6"/>
        <v>0</v>
      </c>
      <c r="M296" s="441">
        <f>IF(AND(L296&gt;O296,O296&gt;0),MinPoints,IF(L296&lt;N296,100,+INT((O296-$L296)/P296)+MinPoints))</f>
        <v>100</v>
      </c>
      <c r="N296" s="440">
        <f t="shared" si="7"/>
        <v>7</v>
      </c>
      <c r="O296" s="440">
        <f t="shared" si="8"/>
        <v>16</v>
      </c>
      <c r="P296" s="440">
        <f t="shared" si="9"/>
        <v>0.1</v>
      </c>
      <c r="Q296">
        <f t="array" ref="Q296">IF(I296&gt;0,INDEX(DB,I296,9),EventIndex)</f>
        <v>6</v>
      </c>
      <c r="S296" s="442">
        <f t="array" ref="S296">INDEX(MINVALUES,$Q296,$K$1)</f>
        <v>16</v>
      </c>
      <c r="T296">
        <f t="array" ref="T296">INDEX(INCVALUES,$Q296,$K$1)</f>
        <v>0.1</v>
      </c>
      <c r="V296">
        <f t="array" ref="V296">+J296+(4*(INDEX(MatchScoreTable,$Q296,20)-1))</f>
        <v>4</v>
      </c>
      <c r="W296">
        <f t="array" ref="W296">INDEX(INC_MINVALUES,$V296,$K$1)</f>
        <v>34</v>
      </c>
      <c r="X296" s="212">
        <f t="array" ref="X296">INDEX(INC_INCVALUES,$V296,$K$1)</f>
        <v>0.3</v>
      </c>
    </row>
    <row r="297" ht="15.75" customHeight="1">
      <c r="A297" s="435"/>
      <c r="B297" s="436"/>
      <c r="C297" s="95" t="str">
        <f t="array" ref="C297">IF(I297&gt;0,INDEX(DB,I297,8),"")</f>
        <v/>
      </c>
      <c r="D297" s="437">
        <f t="shared" si="1"/>
        <v>0</v>
      </c>
      <c r="F297" s="438">
        <f t="shared" si="2"/>
        <v>0</v>
      </c>
      <c r="G297" t="str">
        <f t="shared" si="3"/>
        <v/>
      </c>
      <c r="H297" t="b">
        <f t="shared" si="4"/>
        <v>0</v>
      </c>
      <c r="I297" s="439">
        <f>IF(OR(ISBLANK(A297),ISNA(MATCH(A297&amp;"",AthleteNumbers,0))),0,MATCH(A297&amp;"",AthleteNumbers,0))</f>
        <v>0</v>
      </c>
      <c r="J297" s="209">
        <f t="array" ref="J297">IF(I297&gt;0,INDEX(DB,$I297,6),0)</f>
        <v>0</v>
      </c>
      <c r="K297" s="440">
        <f t="shared" si="5"/>
        <v>0</v>
      </c>
      <c r="L297" s="440">
        <f t="shared" si="6"/>
        <v>0</v>
      </c>
      <c r="M297" s="441">
        <f>IF(AND(L297&gt;O297,O297&gt;0),MinPoints,IF(L297&lt;N297,100,+INT((O297-$L297)/P297)+MinPoints))</f>
        <v>100</v>
      </c>
      <c r="N297" s="440">
        <f t="shared" si="7"/>
        <v>7</v>
      </c>
      <c r="O297" s="440">
        <f t="shared" si="8"/>
        <v>16</v>
      </c>
      <c r="P297" s="440">
        <f t="shared" si="9"/>
        <v>0.1</v>
      </c>
      <c r="Q297">
        <f t="array" ref="Q297">IF(I297&gt;0,INDEX(DB,I297,9),EventIndex)</f>
        <v>6</v>
      </c>
      <c r="S297" s="442">
        <f t="array" ref="S297">INDEX(MINVALUES,$Q297,$K$1)</f>
        <v>16</v>
      </c>
      <c r="T297">
        <f t="array" ref="T297">INDEX(INCVALUES,$Q297,$K$1)</f>
        <v>0.1</v>
      </c>
      <c r="V297">
        <f t="array" ref="V297">+J297+(4*(INDEX(MatchScoreTable,$Q297,20)-1))</f>
        <v>4</v>
      </c>
      <c r="W297">
        <f t="array" ref="W297">INDEX(INC_MINVALUES,$V297,$K$1)</f>
        <v>34</v>
      </c>
      <c r="X297" s="212">
        <f t="array" ref="X297">INDEX(INC_INCVALUES,$V297,$K$1)</f>
        <v>0.3</v>
      </c>
    </row>
    <row r="298" ht="15.75" customHeight="1">
      <c r="A298" s="435"/>
      <c r="B298" s="436"/>
      <c r="C298" s="95" t="str">
        <f t="array" ref="C298">IF(I298&gt;0,INDEX(DB,I298,8),"")</f>
        <v/>
      </c>
      <c r="D298" s="437">
        <f t="shared" si="1"/>
        <v>0</v>
      </c>
      <c r="F298" s="438">
        <f t="shared" si="2"/>
        <v>0</v>
      </c>
      <c r="G298" t="str">
        <f t="shared" si="3"/>
        <v/>
      </c>
      <c r="H298" t="b">
        <f t="shared" si="4"/>
        <v>0</v>
      </c>
      <c r="I298" s="439">
        <f>IF(OR(ISBLANK(A298),ISNA(MATCH(A298&amp;"",AthleteNumbers,0))),0,MATCH(A298&amp;"",AthleteNumbers,0))</f>
        <v>0</v>
      </c>
      <c r="J298" s="209">
        <f t="array" ref="J298">IF(I298&gt;0,INDEX(DB,$I298,6),0)</f>
        <v>0</v>
      </c>
      <c r="K298" s="440">
        <f t="shared" si="5"/>
        <v>0</v>
      </c>
      <c r="L298" s="440">
        <f t="shared" si="6"/>
        <v>0</v>
      </c>
      <c r="M298" s="441">
        <f>IF(AND(L298&gt;O298,O298&gt;0),MinPoints,IF(L298&lt;N298,100,+INT((O298-$L298)/P298)+MinPoints))</f>
        <v>100</v>
      </c>
      <c r="N298" s="440">
        <f t="shared" si="7"/>
        <v>7</v>
      </c>
      <c r="O298" s="440">
        <f t="shared" si="8"/>
        <v>16</v>
      </c>
      <c r="P298" s="440">
        <f t="shared" si="9"/>
        <v>0.1</v>
      </c>
      <c r="Q298">
        <f t="array" ref="Q298">IF(I298&gt;0,INDEX(DB,I298,9),EventIndex)</f>
        <v>6</v>
      </c>
      <c r="S298" s="442">
        <f t="array" ref="S298">INDEX(MINVALUES,$Q298,$K$1)</f>
        <v>16</v>
      </c>
      <c r="T298">
        <f t="array" ref="T298">INDEX(INCVALUES,$Q298,$K$1)</f>
        <v>0.1</v>
      </c>
      <c r="V298">
        <f t="array" ref="V298">+J298+(4*(INDEX(MatchScoreTable,$Q298,20)-1))</f>
        <v>4</v>
      </c>
      <c r="W298">
        <f t="array" ref="W298">INDEX(INC_MINVALUES,$V298,$K$1)</f>
        <v>34</v>
      </c>
      <c r="X298" s="212">
        <f t="array" ref="X298">INDEX(INC_INCVALUES,$V298,$K$1)</f>
        <v>0.3</v>
      </c>
    </row>
    <row r="299" ht="15.75" customHeight="1">
      <c r="A299" s="435"/>
      <c r="B299" s="436"/>
      <c r="C299" s="95" t="str">
        <f t="array" ref="C299">IF(I299&gt;0,INDEX(DB,I299,8),"")</f>
        <v/>
      </c>
      <c r="D299" s="437">
        <f t="shared" si="1"/>
        <v>0</v>
      </c>
      <c r="F299" s="438">
        <f t="shared" si="2"/>
        <v>0</v>
      </c>
      <c r="G299" t="str">
        <f t="shared" si="3"/>
        <v/>
      </c>
      <c r="H299" t="b">
        <f t="shared" si="4"/>
        <v>0</v>
      </c>
      <c r="I299" s="439">
        <f>IF(OR(ISBLANK(A299),ISNA(MATCH(A299&amp;"",AthleteNumbers,0))),0,MATCH(A299&amp;"",AthleteNumbers,0))</f>
        <v>0</v>
      </c>
      <c r="J299" s="209">
        <f t="array" ref="J299">IF(I299&gt;0,INDEX(DB,$I299,6),0)</f>
        <v>0</v>
      </c>
      <c r="K299" s="440">
        <f t="shared" si="5"/>
        <v>0</v>
      </c>
      <c r="L299" s="440">
        <f t="shared" si="6"/>
        <v>0</v>
      </c>
      <c r="M299" s="441">
        <f>IF(AND(L299&gt;O299,O299&gt;0),MinPoints,IF(L299&lt;N299,100,+INT((O299-$L299)/P299)+MinPoints))</f>
        <v>100</v>
      </c>
      <c r="N299" s="440">
        <f t="shared" si="7"/>
        <v>7</v>
      </c>
      <c r="O299" s="440">
        <f t="shared" si="8"/>
        <v>16</v>
      </c>
      <c r="P299" s="440">
        <f t="shared" si="9"/>
        <v>0.1</v>
      </c>
      <c r="Q299">
        <f t="array" ref="Q299">IF(I299&gt;0,INDEX(DB,I299,9),EventIndex)</f>
        <v>6</v>
      </c>
      <c r="S299" s="442">
        <f t="array" ref="S299">INDEX(MINVALUES,$Q299,$K$1)</f>
        <v>16</v>
      </c>
      <c r="T299">
        <f t="array" ref="T299">INDEX(INCVALUES,$Q299,$K$1)</f>
        <v>0.1</v>
      </c>
      <c r="V299">
        <f t="array" ref="V299">+J299+(4*(INDEX(MatchScoreTable,$Q299,20)-1))</f>
        <v>4</v>
      </c>
      <c r="W299">
        <f t="array" ref="W299">INDEX(INC_MINVALUES,$V299,$K$1)</f>
        <v>34</v>
      </c>
      <c r="X299" s="212">
        <f t="array" ref="X299">INDEX(INC_INCVALUES,$V299,$K$1)</f>
        <v>0.3</v>
      </c>
    </row>
    <row r="300" ht="15.75" customHeight="1">
      <c r="A300" s="435"/>
      <c r="B300" s="436"/>
      <c r="C300" s="95" t="str">
        <f t="array" ref="C300">IF(I300&gt;0,INDEX(DB,I300,8),"")</f>
        <v/>
      </c>
      <c r="D300" s="437">
        <f t="shared" si="1"/>
        <v>0</v>
      </c>
      <c r="F300" s="438">
        <f t="shared" si="2"/>
        <v>0</v>
      </c>
      <c r="G300" t="str">
        <f t="shared" si="3"/>
        <v/>
      </c>
      <c r="H300" t="b">
        <f t="shared" si="4"/>
        <v>0</v>
      </c>
      <c r="I300" s="439">
        <f>IF(OR(ISBLANK(A300),ISNA(MATCH(A300&amp;"",AthleteNumbers,0))),0,MATCH(A300&amp;"",AthleteNumbers,0))</f>
        <v>0</v>
      </c>
      <c r="J300" s="209">
        <f t="array" ref="J300">IF(I300&gt;0,INDEX(DB,$I300,6),0)</f>
        <v>0</v>
      </c>
      <c r="K300" s="440">
        <f t="shared" si="5"/>
        <v>0</v>
      </c>
      <c r="L300" s="440">
        <f t="shared" si="6"/>
        <v>0</v>
      </c>
      <c r="M300" s="441">
        <f>IF(AND(L300&gt;O300,O300&gt;0),MinPoints,IF(L300&lt;N300,100,+INT((O300-$L300)/P300)+MinPoints))</f>
        <v>100</v>
      </c>
      <c r="N300" s="440">
        <f t="shared" si="7"/>
        <v>7</v>
      </c>
      <c r="O300" s="440">
        <f t="shared" si="8"/>
        <v>16</v>
      </c>
      <c r="P300" s="440">
        <f t="shared" si="9"/>
        <v>0.1</v>
      </c>
      <c r="Q300">
        <f t="array" ref="Q300">IF(I300&gt;0,INDEX(DB,I300,9),EventIndex)</f>
        <v>6</v>
      </c>
      <c r="S300" s="442">
        <f t="array" ref="S300">INDEX(MINVALUES,$Q300,$K$1)</f>
        <v>16</v>
      </c>
      <c r="T300">
        <f t="array" ref="T300">INDEX(INCVALUES,$Q300,$K$1)</f>
        <v>0.1</v>
      </c>
      <c r="V300">
        <f t="array" ref="V300">+J300+(4*(INDEX(MatchScoreTable,$Q300,20)-1))</f>
        <v>4</v>
      </c>
      <c r="W300">
        <f t="array" ref="W300">INDEX(INC_MINVALUES,$V300,$K$1)</f>
        <v>34</v>
      </c>
      <c r="X300" s="212">
        <f t="array" ref="X300">INDEX(INC_INCVALUES,$V300,$K$1)</f>
        <v>0.3</v>
      </c>
    </row>
    <row r="301" ht="15.75" customHeight="1">
      <c r="A301" s="435"/>
      <c r="B301" s="436"/>
      <c r="C301" s="95" t="str">
        <f t="array" ref="C301">IF(I301&gt;0,INDEX(DB,I301,8),"")</f>
        <v/>
      </c>
      <c r="D301" s="437">
        <f t="shared" si="1"/>
        <v>0</v>
      </c>
      <c r="F301" s="438">
        <f t="shared" si="2"/>
        <v>0</v>
      </c>
      <c r="G301" t="str">
        <f t="shared" si="3"/>
        <v/>
      </c>
      <c r="H301" t="b">
        <f t="shared" si="4"/>
        <v>0</v>
      </c>
      <c r="I301" s="439">
        <f>IF(OR(ISBLANK(A301),ISNA(MATCH(A301&amp;"",AthleteNumbers,0))),0,MATCH(A301&amp;"",AthleteNumbers,0))</f>
        <v>0</v>
      </c>
      <c r="J301" s="209">
        <f t="array" ref="J301">IF(I301&gt;0,INDEX(DB,$I301,6),0)</f>
        <v>0</v>
      </c>
      <c r="K301" s="440">
        <f t="shared" si="5"/>
        <v>0</v>
      </c>
      <c r="L301" s="440">
        <f t="shared" si="6"/>
        <v>0</v>
      </c>
      <c r="M301" s="441">
        <f>IF(AND(L301&gt;O301,O301&gt;0),MinPoints,IF(L301&lt;N301,100,+INT((O301-$L301)/P301)+MinPoints))</f>
        <v>100</v>
      </c>
      <c r="N301" s="440">
        <f t="shared" si="7"/>
        <v>7</v>
      </c>
      <c r="O301" s="440">
        <f t="shared" si="8"/>
        <v>16</v>
      </c>
      <c r="P301" s="440">
        <f t="shared" si="9"/>
        <v>0.1</v>
      </c>
      <c r="Q301">
        <f t="array" ref="Q301">IF(I301&gt;0,INDEX(DB,I301,9),EventIndex)</f>
        <v>6</v>
      </c>
      <c r="S301" s="442">
        <f t="array" ref="S301">INDEX(MINVALUES,$Q301,$K$1)</f>
        <v>16</v>
      </c>
      <c r="T301">
        <f t="array" ref="T301">INDEX(INCVALUES,$Q301,$K$1)</f>
        <v>0.1</v>
      </c>
      <c r="V301">
        <f t="array" ref="V301">+J301+(4*(INDEX(MatchScoreTable,$Q301,20)-1))</f>
        <v>4</v>
      </c>
      <c r="W301">
        <f t="array" ref="W301">INDEX(INC_MINVALUES,$V301,$K$1)</f>
        <v>34</v>
      </c>
      <c r="X301" s="212">
        <f t="array" ref="X301">INDEX(INC_INCVALUES,$V301,$K$1)</f>
        <v>0.3</v>
      </c>
    </row>
    <row r="302" ht="15.75" customHeight="1">
      <c r="A302" s="435"/>
      <c r="B302" s="436"/>
      <c r="C302" s="95" t="str">
        <f t="array" ref="C302">IF(I302&gt;0,INDEX(DB,I302,8),"")</f>
        <v/>
      </c>
      <c r="D302" s="437">
        <f t="shared" si="1"/>
        <v>0</v>
      </c>
      <c r="F302" s="438">
        <f t="shared" si="2"/>
        <v>0</v>
      </c>
      <c r="G302" t="str">
        <f t="shared" si="3"/>
        <v/>
      </c>
      <c r="H302" t="b">
        <f t="shared" si="4"/>
        <v>0</v>
      </c>
      <c r="I302" s="439">
        <f>IF(OR(ISBLANK(A302),ISNA(MATCH(A302&amp;"",AthleteNumbers,0))),0,MATCH(A302&amp;"",AthleteNumbers,0))</f>
        <v>0</v>
      </c>
      <c r="J302" s="209">
        <f t="array" ref="J302">IF(I302&gt;0,INDEX(DB,$I302,6),0)</f>
        <v>0</v>
      </c>
      <c r="K302" s="440">
        <f t="shared" si="5"/>
        <v>0</v>
      </c>
      <c r="L302" s="440">
        <f t="shared" si="6"/>
        <v>0</v>
      </c>
      <c r="M302" s="441">
        <f>IF(AND(L302&gt;O302,O302&gt;0),MinPoints,IF(L302&lt;N302,100,+INT((O302-$L302)/P302)+MinPoints))</f>
        <v>100</v>
      </c>
      <c r="N302" s="440">
        <f t="shared" si="7"/>
        <v>7</v>
      </c>
      <c r="O302" s="440">
        <f t="shared" si="8"/>
        <v>16</v>
      </c>
      <c r="P302" s="440">
        <f t="shared" si="9"/>
        <v>0.1</v>
      </c>
      <c r="Q302">
        <f t="array" ref="Q302">IF(I302&gt;0,INDEX(DB,I302,9),EventIndex)</f>
        <v>6</v>
      </c>
      <c r="S302" s="442">
        <f t="array" ref="S302">INDEX(MINVALUES,$Q302,$K$1)</f>
        <v>16</v>
      </c>
      <c r="T302">
        <f t="array" ref="T302">INDEX(INCVALUES,$Q302,$K$1)</f>
        <v>0.1</v>
      </c>
      <c r="V302">
        <f t="array" ref="V302">+J302+(4*(INDEX(MatchScoreTable,$Q302,20)-1))</f>
        <v>4</v>
      </c>
      <c r="W302">
        <f t="array" ref="W302">INDEX(INC_MINVALUES,$V302,$K$1)</f>
        <v>34</v>
      </c>
      <c r="X302" s="212">
        <f t="array" ref="X302">INDEX(INC_INCVALUES,$V302,$K$1)</f>
        <v>0.3</v>
      </c>
    </row>
    <row r="303" ht="15.75" customHeight="1">
      <c r="A303" s="435"/>
      <c r="B303" s="436"/>
      <c r="C303" s="95" t="str">
        <f t="array" ref="C303">IF(I303&gt;0,INDEX(DB,I303,8),"")</f>
        <v/>
      </c>
      <c r="D303" s="437">
        <f t="shared" si="1"/>
        <v>0</v>
      </c>
      <c r="F303" s="438">
        <f t="shared" si="2"/>
        <v>0</v>
      </c>
      <c r="G303" t="str">
        <f t="shared" si="3"/>
        <v/>
      </c>
      <c r="H303" t="b">
        <f t="shared" si="4"/>
        <v>0</v>
      </c>
      <c r="I303" s="439">
        <f>IF(OR(ISBLANK(A303),ISNA(MATCH(A303&amp;"",AthleteNumbers,0))),0,MATCH(A303&amp;"",AthleteNumbers,0))</f>
        <v>0</v>
      </c>
      <c r="J303" s="209">
        <f t="array" ref="J303">IF(I303&gt;0,INDEX(DB,$I303,6),0)</f>
        <v>0</v>
      </c>
      <c r="K303" s="440">
        <f t="shared" si="5"/>
        <v>0</v>
      </c>
      <c r="L303" s="440">
        <f t="shared" si="6"/>
        <v>0</v>
      </c>
      <c r="M303" s="441">
        <f>IF(AND(L303&gt;O303,O303&gt;0),MinPoints,IF(L303&lt;N303,100,+INT((O303-$L303)/P303)+MinPoints))</f>
        <v>100</v>
      </c>
      <c r="N303" s="440">
        <f t="shared" si="7"/>
        <v>7</v>
      </c>
      <c r="O303" s="440">
        <f t="shared" si="8"/>
        <v>16</v>
      </c>
      <c r="P303" s="440">
        <f t="shared" si="9"/>
        <v>0.1</v>
      </c>
      <c r="Q303">
        <f t="array" ref="Q303">IF(I303&gt;0,INDEX(DB,I303,9),EventIndex)</f>
        <v>6</v>
      </c>
      <c r="S303" s="442">
        <f t="array" ref="S303">INDEX(MINVALUES,$Q303,$K$1)</f>
        <v>16</v>
      </c>
      <c r="T303">
        <f t="array" ref="T303">INDEX(INCVALUES,$Q303,$K$1)</f>
        <v>0.1</v>
      </c>
      <c r="V303">
        <f t="array" ref="V303">+J303+(4*(INDEX(MatchScoreTable,$Q303,20)-1))</f>
        <v>4</v>
      </c>
      <c r="W303">
        <f t="array" ref="W303">INDEX(INC_MINVALUES,$V303,$K$1)</f>
        <v>34</v>
      </c>
      <c r="X303" s="212">
        <f t="array" ref="X303">INDEX(INC_INCVALUES,$V303,$K$1)</f>
        <v>0.3</v>
      </c>
    </row>
    <row r="304" ht="15.75" customHeight="1">
      <c r="A304" s="435"/>
      <c r="B304" s="436"/>
      <c r="C304" s="95" t="str">
        <f t="array" ref="C304">IF(I304&gt;0,INDEX(DB,I304,8),"")</f>
        <v/>
      </c>
      <c r="D304" s="437">
        <f t="shared" si="1"/>
        <v>0</v>
      </c>
      <c r="F304" s="438">
        <f t="shared" si="2"/>
        <v>0</v>
      </c>
      <c r="G304" t="str">
        <f t="shared" si="3"/>
        <v/>
      </c>
      <c r="H304" t="b">
        <f t="shared" si="4"/>
        <v>0</v>
      </c>
      <c r="I304" s="439">
        <f>IF(OR(ISBLANK(A304),ISNA(MATCH(A304&amp;"",AthleteNumbers,0))),0,MATCH(A304&amp;"",AthleteNumbers,0))</f>
        <v>0</v>
      </c>
      <c r="J304" s="209">
        <f t="array" ref="J304">IF(I304&gt;0,INDEX(DB,$I304,6),0)</f>
        <v>0</v>
      </c>
      <c r="K304" s="440">
        <f t="shared" si="5"/>
        <v>0</v>
      </c>
      <c r="L304" s="440">
        <f t="shared" si="6"/>
        <v>0</v>
      </c>
      <c r="M304" s="441">
        <f>IF(AND(L304&gt;O304,O304&gt;0),MinPoints,IF(L304&lt;N304,100,+INT((O304-$L304)/P304)+MinPoints))</f>
        <v>100</v>
      </c>
      <c r="N304" s="440">
        <f t="shared" si="7"/>
        <v>7</v>
      </c>
      <c r="O304" s="440">
        <f t="shared" si="8"/>
        <v>16</v>
      </c>
      <c r="P304" s="440">
        <f t="shared" si="9"/>
        <v>0.1</v>
      </c>
      <c r="Q304">
        <f t="array" ref="Q304">IF(I304&gt;0,INDEX(DB,I304,9),EventIndex)</f>
        <v>6</v>
      </c>
      <c r="S304" s="442">
        <f t="array" ref="S304">INDEX(MINVALUES,$Q304,$K$1)</f>
        <v>16</v>
      </c>
      <c r="T304">
        <f t="array" ref="T304">INDEX(INCVALUES,$Q304,$K$1)</f>
        <v>0.1</v>
      </c>
      <c r="V304">
        <f t="array" ref="V304">+J304+(4*(INDEX(MatchScoreTable,$Q304,20)-1))</f>
        <v>4</v>
      </c>
      <c r="W304">
        <f t="array" ref="W304">INDEX(INC_MINVALUES,$V304,$K$1)</f>
        <v>34</v>
      </c>
      <c r="X304" s="212">
        <f t="array" ref="X304">INDEX(INC_INCVALUES,$V304,$K$1)</f>
        <v>0.3</v>
      </c>
    </row>
    <row r="305" ht="15.75" customHeight="1">
      <c r="A305" s="435"/>
      <c r="B305" s="436"/>
      <c r="C305" s="95" t="str">
        <f t="array" ref="C305">IF(I305&gt;0,INDEX(DB,I305,8),"")</f>
        <v/>
      </c>
      <c r="D305" s="437">
        <f t="shared" si="1"/>
        <v>0</v>
      </c>
      <c r="F305" s="438">
        <f t="shared" si="2"/>
        <v>0</v>
      </c>
      <c r="G305" t="str">
        <f t="shared" si="3"/>
        <v/>
      </c>
      <c r="H305" t="b">
        <f t="shared" si="4"/>
        <v>0</v>
      </c>
      <c r="I305" s="439">
        <f>IF(OR(ISBLANK(A305),ISNA(MATCH(A305&amp;"",AthleteNumbers,0))),0,MATCH(A305&amp;"",AthleteNumbers,0))</f>
        <v>0</v>
      </c>
      <c r="J305" s="209">
        <f t="array" ref="J305">IF(I305&gt;0,INDEX(DB,$I305,6),0)</f>
        <v>0</v>
      </c>
      <c r="K305" s="440">
        <f t="shared" si="5"/>
        <v>0</v>
      </c>
      <c r="L305" s="440">
        <f t="shared" si="6"/>
        <v>0</v>
      </c>
      <c r="M305" s="441">
        <f>IF(AND(L305&gt;O305,O305&gt;0),MinPoints,IF(L305&lt;N305,100,+INT((O305-$L305)/P305)+MinPoints))</f>
        <v>100</v>
      </c>
      <c r="N305" s="440">
        <f t="shared" si="7"/>
        <v>7</v>
      </c>
      <c r="O305" s="440">
        <f t="shared" si="8"/>
        <v>16</v>
      </c>
      <c r="P305" s="440">
        <f t="shared" si="9"/>
        <v>0.1</v>
      </c>
      <c r="Q305">
        <f t="array" ref="Q305">IF(I305&gt;0,INDEX(DB,I305,9),EventIndex)</f>
        <v>6</v>
      </c>
      <c r="S305" s="442">
        <f t="array" ref="S305">INDEX(MINVALUES,$Q305,$K$1)</f>
        <v>16</v>
      </c>
      <c r="T305">
        <f t="array" ref="T305">INDEX(INCVALUES,$Q305,$K$1)</f>
        <v>0.1</v>
      </c>
      <c r="V305">
        <f t="array" ref="V305">+J305+(4*(INDEX(MatchScoreTable,$Q305,20)-1))</f>
        <v>4</v>
      </c>
      <c r="W305">
        <f t="array" ref="W305">INDEX(INC_MINVALUES,$V305,$K$1)</f>
        <v>34</v>
      </c>
      <c r="X305" s="212">
        <f t="array" ref="X305">INDEX(INC_INCVALUES,$V305,$K$1)</f>
        <v>0.3</v>
      </c>
    </row>
    <row r="306" ht="15.75" customHeight="1">
      <c r="A306" s="435"/>
      <c r="B306" s="436"/>
      <c r="C306" s="95" t="str">
        <f t="array" ref="C306">IF(I306&gt;0,INDEX(DB,I306,8),"")</f>
        <v/>
      </c>
      <c r="D306" s="437">
        <f t="shared" si="1"/>
        <v>0</v>
      </c>
      <c r="F306" s="438">
        <f t="shared" si="2"/>
        <v>0</v>
      </c>
      <c r="G306" t="str">
        <f t="shared" si="3"/>
        <v/>
      </c>
      <c r="H306" t="b">
        <f t="shared" si="4"/>
        <v>0</v>
      </c>
      <c r="I306" s="439">
        <f>IF(OR(ISBLANK(A306),ISNA(MATCH(A306&amp;"",AthleteNumbers,0))),0,MATCH(A306&amp;"",AthleteNumbers,0))</f>
        <v>0</v>
      </c>
      <c r="J306" s="209">
        <f t="array" ref="J306">IF(I306&gt;0,INDEX(DB,$I306,6),0)</f>
        <v>0</v>
      </c>
      <c r="K306" s="440">
        <f t="shared" si="5"/>
        <v>0</v>
      </c>
      <c r="L306" s="440">
        <f t="shared" si="6"/>
        <v>0</v>
      </c>
      <c r="M306" s="441">
        <f>IF(AND(L306&gt;O306,O306&gt;0),MinPoints,IF(L306&lt;N306,100,+INT((O306-$L306)/P306)+MinPoints))</f>
        <v>100</v>
      </c>
      <c r="N306" s="440">
        <f t="shared" si="7"/>
        <v>7</v>
      </c>
      <c r="O306" s="440">
        <f t="shared" si="8"/>
        <v>16</v>
      </c>
      <c r="P306" s="440">
        <f t="shared" si="9"/>
        <v>0.1</v>
      </c>
      <c r="Q306">
        <f t="array" ref="Q306">IF(I306&gt;0,INDEX(DB,I306,9),EventIndex)</f>
        <v>6</v>
      </c>
      <c r="S306" s="442">
        <f t="array" ref="S306">INDEX(MINVALUES,$Q306,$K$1)</f>
        <v>16</v>
      </c>
      <c r="T306">
        <f t="array" ref="T306">INDEX(INCVALUES,$Q306,$K$1)</f>
        <v>0.1</v>
      </c>
      <c r="V306">
        <f t="array" ref="V306">+J306+(4*(INDEX(MatchScoreTable,$Q306,20)-1))</f>
        <v>4</v>
      </c>
      <c r="W306">
        <f t="array" ref="W306">INDEX(INC_MINVALUES,$V306,$K$1)</f>
        <v>34</v>
      </c>
      <c r="X306" s="212">
        <f t="array" ref="X306">INDEX(INC_INCVALUES,$V306,$K$1)</f>
        <v>0.3</v>
      </c>
    </row>
    <row r="307" ht="15.75" customHeight="1">
      <c r="A307" s="435"/>
      <c r="B307" s="436"/>
      <c r="C307" s="95" t="str">
        <f t="array" ref="C307">IF(I307&gt;0,INDEX(DB,I307,8),"")</f>
        <v/>
      </c>
      <c r="D307" s="437">
        <f t="shared" si="1"/>
        <v>0</v>
      </c>
      <c r="F307" s="438">
        <f t="shared" si="2"/>
        <v>0</v>
      </c>
      <c r="G307" t="str">
        <f t="shared" si="3"/>
        <v/>
      </c>
      <c r="H307" t="b">
        <f t="shared" si="4"/>
        <v>0</v>
      </c>
      <c r="I307" s="439">
        <f>IF(OR(ISBLANK(A307),ISNA(MATCH(A307&amp;"",AthleteNumbers,0))),0,MATCH(A307&amp;"",AthleteNumbers,0))</f>
        <v>0</v>
      </c>
      <c r="J307" s="209">
        <f t="array" ref="J307">IF(I307&gt;0,INDEX(DB,$I307,6),0)</f>
        <v>0</v>
      </c>
      <c r="K307" s="440">
        <f t="shared" si="5"/>
        <v>0</v>
      </c>
      <c r="L307" s="440">
        <f t="shared" si="6"/>
        <v>0</v>
      </c>
      <c r="M307" s="441">
        <f>IF(AND(L307&gt;O307,O307&gt;0),MinPoints,IF(L307&lt;N307,100,+INT((O307-$L307)/P307)+MinPoints))</f>
        <v>100</v>
      </c>
      <c r="N307" s="440">
        <f t="shared" si="7"/>
        <v>7</v>
      </c>
      <c r="O307" s="440">
        <f t="shared" si="8"/>
        <v>16</v>
      </c>
      <c r="P307" s="440">
        <f t="shared" si="9"/>
        <v>0.1</v>
      </c>
      <c r="Q307">
        <f t="array" ref="Q307">IF(I307&gt;0,INDEX(DB,I307,9),EventIndex)</f>
        <v>6</v>
      </c>
      <c r="S307" s="442">
        <f t="array" ref="S307">INDEX(MINVALUES,$Q307,$K$1)</f>
        <v>16</v>
      </c>
      <c r="T307">
        <f t="array" ref="T307">INDEX(INCVALUES,$Q307,$K$1)</f>
        <v>0.1</v>
      </c>
      <c r="V307">
        <f t="array" ref="V307">+J307+(4*(INDEX(MatchScoreTable,$Q307,20)-1))</f>
        <v>4</v>
      </c>
      <c r="W307">
        <f t="array" ref="W307">INDEX(INC_MINVALUES,$V307,$K$1)</f>
        <v>34</v>
      </c>
      <c r="X307" s="212">
        <f t="array" ref="X307">INDEX(INC_INCVALUES,$V307,$K$1)</f>
        <v>0.3</v>
      </c>
    </row>
    <row r="308" ht="15.75" customHeight="1">
      <c r="A308" s="435"/>
      <c r="B308" s="436"/>
      <c r="C308" s="95" t="str">
        <f t="array" ref="C308">IF(I308&gt;0,INDEX(DB,I308,8),"")</f>
        <v/>
      </c>
      <c r="D308" s="437">
        <f t="shared" si="1"/>
        <v>0</v>
      </c>
      <c r="F308" s="438">
        <f t="shared" si="2"/>
        <v>0</v>
      </c>
      <c r="G308" t="str">
        <f t="shared" si="3"/>
        <v/>
      </c>
      <c r="H308" t="b">
        <f t="shared" si="4"/>
        <v>0</v>
      </c>
      <c r="I308" s="439">
        <f>IF(OR(ISBLANK(A308),ISNA(MATCH(A308&amp;"",AthleteNumbers,0))),0,MATCH(A308&amp;"",AthleteNumbers,0))</f>
        <v>0</v>
      </c>
      <c r="J308" s="209">
        <f t="array" ref="J308">IF(I308&gt;0,INDEX(DB,$I308,6),0)</f>
        <v>0</v>
      </c>
      <c r="K308" s="440">
        <f t="shared" si="5"/>
        <v>0</v>
      </c>
      <c r="L308" s="440">
        <f t="shared" si="6"/>
        <v>0</v>
      </c>
      <c r="M308" s="441">
        <f>IF(AND(L308&gt;O308,O308&gt;0),MinPoints,IF(L308&lt;N308,100,+INT((O308-$L308)/P308)+MinPoints))</f>
        <v>100</v>
      </c>
      <c r="N308" s="440">
        <f t="shared" si="7"/>
        <v>7</v>
      </c>
      <c r="O308" s="440">
        <f t="shared" si="8"/>
        <v>16</v>
      </c>
      <c r="P308" s="440">
        <f t="shared" si="9"/>
        <v>0.1</v>
      </c>
      <c r="Q308">
        <f t="array" ref="Q308">IF(I308&gt;0,INDEX(DB,I308,9),EventIndex)</f>
        <v>6</v>
      </c>
      <c r="S308" s="442">
        <f t="array" ref="S308">INDEX(MINVALUES,$Q308,$K$1)</f>
        <v>16</v>
      </c>
      <c r="T308">
        <f t="array" ref="T308">INDEX(INCVALUES,$Q308,$K$1)</f>
        <v>0.1</v>
      </c>
      <c r="V308">
        <f t="array" ref="V308">+J308+(4*(INDEX(MatchScoreTable,$Q308,20)-1))</f>
        <v>4</v>
      </c>
      <c r="W308">
        <f t="array" ref="W308">INDEX(INC_MINVALUES,$V308,$K$1)</f>
        <v>34</v>
      </c>
      <c r="X308" s="212">
        <f t="array" ref="X308">INDEX(INC_INCVALUES,$V308,$K$1)</f>
        <v>0.3</v>
      </c>
    </row>
    <row r="309" ht="15.75" customHeight="1">
      <c r="A309" s="435"/>
      <c r="B309" s="436"/>
      <c r="C309" s="95" t="str">
        <f t="array" ref="C309">IF(I309&gt;0,INDEX(DB,I309,8),"")</f>
        <v/>
      </c>
      <c r="D309" s="437">
        <f t="shared" si="1"/>
        <v>0</v>
      </c>
      <c r="F309" s="438">
        <f t="shared" si="2"/>
        <v>0</v>
      </c>
      <c r="G309" t="str">
        <f t="shared" si="3"/>
        <v/>
      </c>
      <c r="H309" t="b">
        <f t="shared" si="4"/>
        <v>0</v>
      </c>
      <c r="I309" s="439">
        <f>IF(OR(ISBLANK(A309),ISNA(MATCH(A309&amp;"",AthleteNumbers,0))),0,MATCH(A309&amp;"",AthleteNumbers,0))</f>
        <v>0</v>
      </c>
      <c r="J309" s="209">
        <f t="array" ref="J309">IF(I309&gt;0,INDEX(DB,$I309,6),0)</f>
        <v>0</v>
      </c>
      <c r="K309" s="440">
        <f t="shared" si="5"/>
        <v>0</v>
      </c>
      <c r="L309" s="440">
        <f t="shared" si="6"/>
        <v>0</v>
      </c>
      <c r="M309" s="441">
        <f>IF(AND(L309&gt;O309,O309&gt;0),MinPoints,IF(L309&lt;N309,100,+INT((O309-$L309)/P309)+MinPoints))</f>
        <v>100</v>
      </c>
      <c r="N309" s="440">
        <f t="shared" si="7"/>
        <v>7</v>
      </c>
      <c r="O309" s="440">
        <f t="shared" si="8"/>
        <v>16</v>
      </c>
      <c r="P309" s="440">
        <f t="shared" si="9"/>
        <v>0.1</v>
      </c>
      <c r="Q309">
        <f t="array" ref="Q309">IF(I309&gt;0,INDEX(DB,I309,9),EventIndex)</f>
        <v>6</v>
      </c>
      <c r="S309" s="442">
        <f t="array" ref="S309">INDEX(MINVALUES,$Q309,$K$1)</f>
        <v>16</v>
      </c>
      <c r="T309">
        <f t="array" ref="T309">INDEX(INCVALUES,$Q309,$K$1)</f>
        <v>0.1</v>
      </c>
      <c r="V309">
        <f t="array" ref="V309">+J309+(4*(INDEX(MatchScoreTable,$Q309,20)-1))</f>
        <v>4</v>
      </c>
      <c r="W309">
        <f t="array" ref="W309">INDEX(INC_MINVALUES,$V309,$K$1)</f>
        <v>34</v>
      </c>
      <c r="X309" s="212">
        <f t="array" ref="X309">INDEX(INC_INCVALUES,$V309,$K$1)</f>
        <v>0.3</v>
      </c>
    </row>
    <row r="310" ht="15.75" customHeight="1">
      <c r="A310" s="435"/>
      <c r="B310" s="436"/>
      <c r="C310" s="95" t="str">
        <f t="array" ref="C310">IF(I310&gt;0,INDEX(DB,I310,8),"")</f>
        <v/>
      </c>
      <c r="D310" s="437">
        <f t="shared" si="1"/>
        <v>0</v>
      </c>
      <c r="F310" s="438">
        <f t="shared" si="2"/>
        <v>0</v>
      </c>
      <c r="G310" t="str">
        <f t="shared" si="3"/>
        <v/>
      </c>
      <c r="H310" t="b">
        <f t="shared" si="4"/>
        <v>0</v>
      </c>
      <c r="I310" s="439">
        <f>IF(OR(ISBLANK(A310),ISNA(MATCH(A310&amp;"",AthleteNumbers,0))),0,MATCH(A310&amp;"",AthleteNumbers,0))</f>
        <v>0</v>
      </c>
      <c r="J310" s="209">
        <f t="array" ref="J310">IF(I310&gt;0,INDEX(DB,$I310,6),0)</f>
        <v>0</v>
      </c>
      <c r="K310" s="440">
        <f t="shared" si="5"/>
        <v>0</v>
      </c>
      <c r="L310" s="440">
        <f t="shared" si="6"/>
        <v>0</v>
      </c>
      <c r="M310" s="441">
        <f>IF(AND(L310&gt;O310,O310&gt;0),MinPoints,IF(L310&lt;N310,100,+INT((O310-$L310)/P310)+MinPoints))</f>
        <v>100</v>
      </c>
      <c r="N310" s="440">
        <f t="shared" si="7"/>
        <v>7</v>
      </c>
      <c r="O310" s="440">
        <f t="shared" si="8"/>
        <v>16</v>
      </c>
      <c r="P310" s="440">
        <f t="shared" si="9"/>
        <v>0.1</v>
      </c>
      <c r="Q310">
        <f t="array" ref="Q310">IF(I310&gt;0,INDEX(DB,I310,9),EventIndex)</f>
        <v>6</v>
      </c>
      <c r="S310" s="442">
        <f t="array" ref="S310">INDEX(MINVALUES,$Q310,$K$1)</f>
        <v>16</v>
      </c>
      <c r="T310">
        <f t="array" ref="T310">INDEX(INCVALUES,$Q310,$K$1)</f>
        <v>0.1</v>
      </c>
      <c r="V310">
        <f t="array" ref="V310">+J310+(4*(INDEX(MatchScoreTable,$Q310,20)-1))</f>
        <v>4</v>
      </c>
      <c r="W310">
        <f t="array" ref="W310">INDEX(INC_MINVALUES,$V310,$K$1)</f>
        <v>34</v>
      </c>
      <c r="X310" s="212">
        <f t="array" ref="X310">INDEX(INC_INCVALUES,$V310,$K$1)</f>
        <v>0.3</v>
      </c>
    </row>
    <row r="311" ht="15.75" customHeight="1">
      <c r="A311" s="435"/>
      <c r="B311" s="436"/>
      <c r="C311" s="95" t="str">
        <f t="array" ref="C311">IF(I311&gt;0,INDEX(DB,I311,8),"")</f>
        <v/>
      </c>
      <c r="D311" s="437">
        <f t="shared" si="1"/>
        <v>0</v>
      </c>
      <c r="F311" s="438">
        <f t="shared" si="2"/>
        <v>0</v>
      </c>
      <c r="G311" t="str">
        <f t="shared" si="3"/>
        <v/>
      </c>
      <c r="H311" t="b">
        <f t="shared" si="4"/>
        <v>0</v>
      </c>
      <c r="I311" s="439">
        <f>IF(OR(ISBLANK(A311),ISNA(MATCH(A311&amp;"",AthleteNumbers,0))),0,MATCH(A311&amp;"",AthleteNumbers,0))</f>
        <v>0</v>
      </c>
      <c r="J311" s="209">
        <f t="array" ref="J311">IF(I311&gt;0,INDEX(DB,$I311,6),0)</f>
        <v>0</v>
      </c>
      <c r="K311" s="440">
        <f t="shared" si="5"/>
        <v>0</v>
      </c>
      <c r="L311" s="440">
        <f t="shared" si="6"/>
        <v>0</v>
      </c>
      <c r="M311" s="441">
        <f>IF(AND(L311&gt;O311,O311&gt;0),MinPoints,IF(L311&lt;N311,100,+INT((O311-$L311)/P311)+MinPoints))</f>
        <v>100</v>
      </c>
      <c r="N311" s="440">
        <f t="shared" si="7"/>
        <v>7</v>
      </c>
      <c r="O311" s="440">
        <f t="shared" si="8"/>
        <v>16</v>
      </c>
      <c r="P311" s="440">
        <f t="shared" si="9"/>
        <v>0.1</v>
      </c>
      <c r="Q311">
        <f t="array" ref="Q311">IF(I311&gt;0,INDEX(DB,I311,9),EventIndex)</f>
        <v>6</v>
      </c>
      <c r="S311" s="442">
        <f t="array" ref="S311">INDEX(MINVALUES,$Q311,$K$1)</f>
        <v>16</v>
      </c>
      <c r="T311">
        <f t="array" ref="T311">INDEX(INCVALUES,$Q311,$K$1)</f>
        <v>0.1</v>
      </c>
      <c r="V311">
        <f t="array" ref="V311">+J311+(4*(INDEX(MatchScoreTable,$Q311,20)-1))</f>
        <v>4</v>
      </c>
      <c r="W311">
        <f t="array" ref="W311">INDEX(INC_MINVALUES,$V311,$K$1)</f>
        <v>34</v>
      </c>
      <c r="X311" s="212">
        <f t="array" ref="X311">INDEX(INC_INCVALUES,$V311,$K$1)</f>
        <v>0.3</v>
      </c>
    </row>
    <row r="312" ht="15.75" customHeight="1">
      <c r="A312" s="435"/>
      <c r="B312" s="436"/>
      <c r="C312" s="95" t="str">
        <f t="array" ref="C312">IF(I312&gt;0,INDEX(DB,I312,8),"")</f>
        <v/>
      </c>
      <c r="D312" s="437">
        <f t="shared" si="1"/>
        <v>0</v>
      </c>
      <c r="F312" s="438">
        <f t="shared" si="2"/>
        <v>0</v>
      </c>
      <c r="G312" t="str">
        <f t="shared" si="3"/>
        <v/>
      </c>
      <c r="H312" t="b">
        <f t="shared" si="4"/>
        <v>0</v>
      </c>
      <c r="I312" s="439">
        <f>IF(OR(ISBLANK(A312),ISNA(MATCH(A312&amp;"",AthleteNumbers,0))),0,MATCH(A312&amp;"",AthleteNumbers,0))</f>
        <v>0</v>
      </c>
      <c r="J312" s="209">
        <f t="array" ref="J312">IF(I312&gt;0,INDEX(DB,$I312,6),0)</f>
        <v>0</v>
      </c>
      <c r="K312" s="440">
        <f t="shared" si="5"/>
        <v>0</v>
      </c>
      <c r="L312" s="440">
        <f t="shared" si="6"/>
        <v>0</v>
      </c>
      <c r="M312" s="441">
        <f>IF(AND(L312&gt;O312,O312&gt;0),MinPoints,IF(L312&lt;N312,100,+INT((O312-$L312)/P312)+MinPoints))</f>
        <v>100</v>
      </c>
      <c r="N312" s="440">
        <f t="shared" si="7"/>
        <v>7</v>
      </c>
      <c r="O312" s="440">
        <f t="shared" si="8"/>
        <v>16</v>
      </c>
      <c r="P312" s="440">
        <f t="shared" si="9"/>
        <v>0.1</v>
      </c>
      <c r="Q312">
        <f t="array" ref="Q312">IF(I312&gt;0,INDEX(DB,I312,9),EventIndex)</f>
        <v>6</v>
      </c>
      <c r="S312" s="442">
        <f t="array" ref="S312">INDEX(MINVALUES,$Q312,$K$1)</f>
        <v>16</v>
      </c>
      <c r="T312">
        <f t="array" ref="T312">INDEX(INCVALUES,$Q312,$K$1)</f>
        <v>0.1</v>
      </c>
      <c r="V312">
        <f t="array" ref="V312">+J312+(4*(INDEX(MatchScoreTable,$Q312,20)-1))</f>
        <v>4</v>
      </c>
      <c r="W312">
        <f t="array" ref="W312">INDEX(INC_MINVALUES,$V312,$K$1)</f>
        <v>34</v>
      </c>
      <c r="X312" s="212">
        <f t="array" ref="X312">INDEX(INC_INCVALUES,$V312,$K$1)</f>
        <v>0.3</v>
      </c>
    </row>
    <row r="313" ht="15.75" customHeight="1">
      <c r="A313" s="435"/>
      <c r="B313" s="436"/>
      <c r="C313" s="95" t="str">
        <f t="array" ref="C313">IF(I313&gt;0,INDEX(DB,I313,8),"")</f>
        <v/>
      </c>
      <c r="D313" s="437">
        <f t="shared" si="1"/>
        <v>0</v>
      </c>
      <c r="F313" s="438">
        <f t="shared" si="2"/>
        <v>0</v>
      </c>
      <c r="G313" t="str">
        <f t="shared" si="3"/>
        <v/>
      </c>
      <c r="H313" t="b">
        <f t="shared" si="4"/>
        <v>0</v>
      </c>
      <c r="I313" s="439">
        <f>IF(OR(ISBLANK(A313),ISNA(MATCH(A313&amp;"",AthleteNumbers,0))),0,MATCH(A313&amp;"",AthleteNumbers,0))</f>
        <v>0</v>
      </c>
      <c r="J313" s="209">
        <f t="array" ref="J313">IF(I313&gt;0,INDEX(DB,$I313,6),0)</f>
        <v>0</v>
      </c>
      <c r="K313" s="440">
        <f t="shared" si="5"/>
        <v>0</v>
      </c>
      <c r="L313" s="440">
        <f t="shared" si="6"/>
        <v>0</v>
      </c>
      <c r="M313" s="441">
        <f>IF(AND(L313&gt;O313,O313&gt;0),MinPoints,IF(L313&lt;N313,100,+INT((O313-$L313)/P313)+MinPoints))</f>
        <v>100</v>
      </c>
      <c r="N313" s="440">
        <f t="shared" si="7"/>
        <v>7</v>
      </c>
      <c r="O313" s="440">
        <f t="shared" si="8"/>
        <v>16</v>
      </c>
      <c r="P313" s="440">
        <f t="shared" si="9"/>
        <v>0.1</v>
      </c>
      <c r="Q313">
        <f t="array" ref="Q313">IF(I313&gt;0,INDEX(DB,I313,9),EventIndex)</f>
        <v>6</v>
      </c>
      <c r="S313" s="442">
        <f t="array" ref="S313">INDEX(MINVALUES,$Q313,$K$1)</f>
        <v>16</v>
      </c>
      <c r="T313">
        <f t="array" ref="T313">INDEX(INCVALUES,$Q313,$K$1)</f>
        <v>0.1</v>
      </c>
      <c r="V313">
        <f t="array" ref="V313">+J313+(4*(INDEX(MatchScoreTable,$Q313,20)-1))</f>
        <v>4</v>
      </c>
      <c r="W313">
        <f t="array" ref="W313">INDEX(INC_MINVALUES,$V313,$K$1)</f>
        <v>34</v>
      </c>
      <c r="X313" s="212">
        <f t="array" ref="X313">INDEX(INC_INCVALUES,$V313,$K$1)</f>
        <v>0.3</v>
      </c>
    </row>
    <row r="314" ht="15.75" customHeight="1">
      <c r="A314" s="435"/>
      <c r="B314" s="436"/>
      <c r="C314" s="95" t="str">
        <f t="array" ref="C314">IF(I314&gt;0,INDEX(DB,I314,8),"")</f>
        <v/>
      </c>
      <c r="D314" s="437">
        <f t="shared" si="1"/>
        <v>0</v>
      </c>
      <c r="F314" s="438">
        <f t="shared" si="2"/>
        <v>0</v>
      </c>
      <c r="G314" t="str">
        <f t="shared" si="3"/>
        <v/>
      </c>
      <c r="H314" t="b">
        <f t="shared" si="4"/>
        <v>0</v>
      </c>
      <c r="I314" s="439">
        <f>IF(OR(ISBLANK(A314),ISNA(MATCH(A314&amp;"",AthleteNumbers,0))),0,MATCH(A314&amp;"",AthleteNumbers,0))</f>
        <v>0</v>
      </c>
      <c r="J314" s="209">
        <f t="array" ref="J314">IF(I314&gt;0,INDEX(DB,$I314,6),0)</f>
        <v>0</v>
      </c>
      <c r="K314" s="440">
        <f t="shared" si="5"/>
        <v>0</v>
      </c>
      <c r="L314" s="440">
        <f t="shared" si="6"/>
        <v>0</v>
      </c>
      <c r="M314" s="441">
        <f>IF(AND(L314&gt;O314,O314&gt;0),MinPoints,IF(L314&lt;N314,100,+INT((O314-$L314)/P314)+MinPoints))</f>
        <v>100</v>
      </c>
      <c r="N314" s="440">
        <f t="shared" si="7"/>
        <v>7</v>
      </c>
      <c r="O314" s="440">
        <f t="shared" si="8"/>
        <v>16</v>
      </c>
      <c r="P314" s="440">
        <f t="shared" si="9"/>
        <v>0.1</v>
      </c>
      <c r="Q314">
        <f t="array" ref="Q314">IF(I314&gt;0,INDEX(DB,I314,9),EventIndex)</f>
        <v>6</v>
      </c>
      <c r="S314" s="442">
        <f t="array" ref="S314">INDEX(MINVALUES,$Q314,$K$1)</f>
        <v>16</v>
      </c>
      <c r="T314">
        <f t="array" ref="T314">INDEX(INCVALUES,$Q314,$K$1)</f>
        <v>0.1</v>
      </c>
      <c r="V314">
        <f t="array" ref="V314">+J314+(4*(INDEX(MatchScoreTable,$Q314,20)-1))</f>
        <v>4</v>
      </c>
      <c r="W314">
        <f t="array" ref="W314">INDEX(INC_MINVALUES,$V314,$K$1)</f>
        <v>34</v>
      </c>
      <c r="X314" s="212">
        <f t="array" ref="X314">INDEX(INC_INCVALUES,$V314,$K$1)</f>
        <v>0.3</v>
      </c>
    </row>
    <row r="315" ht="15.75" customHeight="1">
      <c r="A315" s="435"/>
      <c r="B315" s="436"/>
      <c r="C315" s="95" t="str">
        <f t="array" ref="C315">IF(I315&gt;0,INDEX(DB,I315,8),"")</f>
        <v/>
      </c>
      <c r="D315" s="437">
        <f t="shared" si="1"/>
        <v>0</v>
      </c>
      <c r="F315" s="438">
        <f t="shared" si="2"/>
        <v>0</v>
      </c>
      <c r="G315" t="str">
        <f t="shared" si="3"/>
        <v/>
      </c>
      <c r="H315" t="b">
        <f t="shared" si="4"/>
        <v>0</v>
      </c>
      <c r="I315" s="439">
        <f>IF(OR(ISBLANK(A315),ISNA(MATCH(A315&amp;"",AthleteNumbers,0))),0,MATCH(A315&amp;"",AthleteNumbers,0))</f>
        <v>0</v>
      </c>
      <c r="J315" s="209">
        <f t="array" ref="J315">IF(I315&gt;0,INDEX(DB,$I315,6),0)</f>
        <v>0</v>
      </c>
      <c r="K315" s="440">
        <f t="shared" si="5"/>
        <v>0</v>
      </c>
      <c r="L315" s="440">
        <f t="shared" si="6"/>
        <v>0</v>
      </c>
      <c r="M315" s="441">
        <f>IF(AND(L315&gt;O315,O315&gt;0),MinPoints,IF(L315&lt;N315,100,+INT((O315-$L315)/P315)+MinPoints))</f>
        <v>100</v>
      </c>
      <c r="N315" s="440">
        <f t="shared" si="7"/>
        <v>7</v>
      </c>
      <c r="O315" s="440">
        <f t="shared" si="8"/>
        <v>16</v>
      </c>
      <c r="P315" s="440">
        <f t="shared" si="9"/>
        <v>0.1</v>
      </c>
      <c r="Q315">
        <f t="array" ref="Q315">IF(I315&gt;0,INDEX(DB,I315,9),EventIndex)</f>
        <v>6</v>
      </c>
      <c r="S315" s="442">
        <f t="array" ref="S315">INDEX(MINVALUES,$Q315,$K$1)</f>
        <v>16</v>
      </c>
      <c r="T315">
        <f t="array" ref="T315">INDEX(INCVALUES,$Q315,$K$1)</f>
        <v>0.1</v>
      </c>
      <c r="V315">
        <f t="array" ref="V315">+J315+(4*(INDEX(MatchScoreTable,$Q315,20)-1))</f>
        <v>4</v>
      </c>
      <c r="W315">
        <f t="array" ref="W315">INDEX(INC_MINVALUES,$V315,$K$1)</f>
        <v>34</v>
      </c>
      <c r="X315" s="212">
        <f t="array" ref="X315">INDEX(INC_INCVALUES,$V315,$K$1)</f>
        <v>0.3</v>
      </c>
    </row>
    <row r="316" ht="15.75" customHeight="1">
      <c r="A316" s="435"/>
      <c r="B316" s="436"/>
      <c r="C316" s="95" t="str">
        <f t="array" ref="C316">IF(I316&gt;0,INDEX(DB,I316,8),"")</f>
        <v/>
      </c>
      <c r="D316" s="437">
        <f t="shared" si="1"/>
        <v>0</v>
      </c>
      <c r="F316" s="438">
        <f t="shared" si="2"/>
        <v>0</v>
      </c>
      <c r="G316" t="str">
        <f t="shared" si="3"/>
        <v/>
      </c>
      <c r="H316" t="b">
        <f t="shared" si="4"/>
        <v>0</v>
      </c>
      <c r="I316" s="439">
        <f>IF(OR(ISBLANK(A316),ISNA(MATCH(A316&amp;"",AthleteNumbers,0))),0,MATCH(A316&amp;"",AthleteNumbers,0))</f>
        <v>0</v>
      </c>
      <c r="J316" s="209">
        <f t="array" ref="J316">IF(I316&gt;0,INDEX(DB,$I316,6),0)</f>
        <v>0</v>
      </c>
      <c r="K316" s="440">
        <f t="shared" si="5"/>
        <v>0</v>
      </c>
      <c r="L316" s="440">
        <f t="shared" si="6"/>
        <v>0</v>
      </c>
      <c r="M316" s="441">
        <f>IF(AND(L316&gt;O316,O316&gt;0),MinPoints,IF(L316&lt;N316,100,+INT((O316-$L316)/P316)+MinPoints))</f>
        <v>100</v>
      </c>
      <c r="N316" s="440">
        <f t="shared" si="7"/>
        <v>7</v>
      </c>
      <c r="O316" s="440">
        <f t="shared" si="8"/>
        <v>16</v>
      </c>
      <c r="P316" s="440">
        <f t="shared" si="9"/>
        <v>0.1</v>
      </c>
      <c r="Q316">
        <f t="array" ref="Q316">IF(I316&gt;0,INDEX(DB,I316,9),EventIndex)</f>
        <v>6</v>
      </c>
      <c r="S316" s="442">
        <f t="array" ref="S316">INDEX(MINVALUES,$Q316,$K$1)</f>
        <v>16</v>
      </c>
      <c r="T316">
        <f t="array" ref="T316">INDEX(INCVALUES,$Q316,$K$1)</f>
        <v>0.1</v>
      </c>
      <c r="V316">
        <f t="array" ref="V316">+J316+(4*(INDEX(MatchScoreTable,$Q316,20)-1))</f>
        <v>4</v>
      </c>
      <c r="W316">
        <f t="array" ref="W316">INDEX(INC_MINVALUES,$V316,$K$1)</f>
        <v>34</v>
      </c>
      <c r="X316" s="212">
        <f t="array" ref="X316">INDEX(INC_INCVALUES,$V316,$K$1)</f>
        <v>0.3</v>
      </c>
    </row>
    <row r="317" ht="15.75" customHeight="1">
      <c r="A317" s="435"/>
      <c r="B317" s="436"/>
      <c r="C317" s="95" t="str">
        <f t="array" ref="C317">IF(I317&gt;0,INDEX(DB,I317,8),"")</f>
        <v/>
      </c>
      <c r="D317" s="437">
        <f t="shared" si="1"/>
        <v>0</v>
      </c>
      <c r="F317" s="438">
        <f t="shared" si="2"/>
        <v>0</v>
      </c>
      <c r="G317" t="str">
        <f t="shared" si="3"/>
        <v/>
      </c>
      <c r="H317" t="b">
        <f t="shared" si="4"/>
        <v>0</v>
      </c>
      <c r="I317" s="439">
        <f>IF(OR(ISBLANK(A317),ISNA(MATCH(A317&amp;"",AthleteNumbers,0))),0,MATCH(A317&amp;"",AthleteNumbers,0))</f>
        <v>0</v>
      </c>
      <c r="J317" s="209">
        <f t="array" ref="J317">IF(I317&gt;0,INDEX(DB,$I317,6),0)</f>
        <v>0</v>
      </c>
      <c r="K317" s="440">
        <f t="shared" si="5"/>
        <v>0</v>
      </c>
      <c r="L317" s="440">
        <f t="shared" si="6"/>
        <v>0</v>
      </c>
      <c r="M317" s="441">
        <f>IF(AND(L317&gt;O317,O317&gt;0),MinPoints,IF(L317&lt;N317,100,+INT((O317-$L317)/P317)+MinPoints))</f>
        <v>100</v>
      </c>
      <c r="N317" s="440">
        <f t="shared" si="7"/>
        <v>7</v>
      </c>
      <c r="O317" s="440">
        <f t="shared" si="8"/>
        <v>16</v>
      </c>
      <c r="P317" s="440">
        <f t="shared" si="9"/>
        <v>0.1</v>
      </c>
      <c r="Q317">
        <f t="array" ref="Q317">IF(I317&gt;0,INDEX(DB,I317,9),EventIndex)</f>
        <v>6</v>
      </c>
      <c r="S317" s="442">
        <f t="array" ref="S317">INDEX(MINVALUES,$Q317,$K$1)</f>
        <v>16</v>
      </c>
      <c r="T317">
        <f t="array" ref="T317">INDEX(INCVALUES,$Q317,$K$1)</f>
        <v>0.1</v>
      </c>
      <c r="V317">
        <f t="array" ref="V317">+J317+(4*(INDEX(MatchScoreTable,$Q317,20)-1))</f>
        <v>4</v>
      </c>
      <c r="W317">
        <f t="array" ref="W317">INDEX(INC_MINVALUES,$V317,$K$1)</f>
        <v>34</v>
      </c>
      <c r="X317" s="212">
        <f t="array" ref="X317">INDEX(INC_INCVALUES,$V317,$K$1)</f>
        <v>0.3</v>
      </c>
    </row>
    <row r="318" ht="15.75" customHeight="1">
      <c r="A318" s="435"/>
      <c r="B318" s="436"/>
      <c r="C318" s="95" t="str">
        <f t="array" ref="C318">IF(I318&gt;0,INDEX(DB,I318,8),"")</f>
        <v/>
      </c>
      <c r="D318" s="437">
        <f t="shared" si="1"/>
        <v>0</v>
      </c>
      <c r="F318" s="438">
        <f t="shared" si="2"/>
        <v>0</v>
      </c>
      <c r="G318" t="str">
        <f t="shared" si="3"/>
        <v/>
      </c>
      <c r="H318" t="b">
        <f t="shared" si="4"/>
        <v>0</v>
      </c>
      <c r="I318" s="439">
        <f>IF(OR(ISBLANK(A318),ISNA(MATCH(A318&amp;"",AthleteNumbers,0))),0,MATCH(A318&amp;"",AthleteNumbers,0))</f>
        <v>0</v>
      </c>
      <c r="J318" s="209">
        <f t="array" ref="J318">IF(I318&gt;0,INDEX(DB,$I318,6),0)</f>
        <v>0</v>
      </c>
      <c r="K318" s="440">
        <f t="shared" si="5"/>
        <v>0</v>
      </c>
      <c r="L318" s="440">
        <f t="shared" si="6"/>
        <v>0</v>
      </c>
      <c r="M318" s="441">
        <f>IF(AND(L318&gt;O318,O318&gt;0),MinPoints,IF(L318&lt;N318,100,+INT((O318-$L318)/P318)+MinPoints))</f>
        <v>100</v>
      </c>
      <c r="N318" s="440">
        <f t="shared" si="7"/>
        <v>7</v>
      </c>
      <c r="O318" s="440">
        <f t="shared" si="8"/>
        <v>16</v>
      </c>
      <c r="P318" s="440">
        <f t="shared" si="9"/>
        <v>0.1</v>
      </c>
      <c r="Q318">
        <f t="array" ref="Q318">IF(I318&gt;0,INDEX(DB,I318,9),EventIndex)</f>
        <v>6</v>
      </c>
      <c r="S318" s="442">
        <f t="array" ref="S318">INDEX(MINVALUES,$Q318,$K$1)</f>
        <v>16</v>
      </c>
      <c r="T318">
        <f t="array" ref="T318">INDEX(INCVALUES,$Q318,$K$1)</f>
        <v>0.1</v>
      </c>
      <c r="V318">
        <f t="array" ref="V318">+J318+(4*(INDEX(MatchScoreTable,$Q318,20)-1))</f>
        <v>4</v>
      </c>
      <c r="W318">
        <f t="array" ref="W318">INDEX(INC_MINVALUES,$V318,$K$1)</f>
        <v>34</v>
      </c>
      <c r="X318" s="212">
        <f t="array" ref="X318">INDEX(INC_INCVALUES,$V318,$K$1)</f>
        <v>0.3</v>
      </c>
    </row>
    <row r="319" ht="15.75" customHeight="1">
      <c r="A319" s="435"/>
      <c r="B319" s="436"/>
      <c r="C319" s="95" t="str">
        <f t="array" ref="C319">IF(I319&gt;0,INDEX(DB,I319,8),"")</f>
        <v/>
      </c>
      <c r="D319" s="437">
        <f t="shared" si="1"/>
        <v>0</v>
      </c>
      <c r="F319" s="438">
        <f t="shared" si="2"/>
        <v>0</v>
      </c>
      <c r="G319" t="str">
        <f t="shared" si="3"/>
        <v/>
      </c>
      <c r="H319" t="b">
        <f t="shared" si="4"/>
        <v>0</v>
      </c>
      <c r="I319" s="439">
        <f>IF(OR(ISBLANK(A319),ISNA(MATCH(A319&amp;"",AthleteNumbers,0))),0,MATCH(A319&amp;"",AthleteNumbers,0))</f>
        <v>0</v>
      </c>
      <c r="J319" s="209">
        <f t="array" ref="J319">IF(I319&gt;0,INDEX(DB,$I319,6),0)</f>
        <v>0</v>
      </c>
      <c r="K319" s="440">
        <f t="shared" si="5"/>
        <v>0</v>
      </c>
      <c r="L319" s="440">
        <f t="shared" si="6"/>
        <v>0</v>
      </c>
      <c r="M319" s="441">
        <f>IF(AND(L319&gt;O319,O319&gt;0),MinPoints,IF(L319&lt;N319,100,+INT((O319-$L319)/P319)+MinPoints))</f>
        <v>100</v>
      </c>
      <c r="N319" s="440">
        <f t="shared" si="7"/>
        <v>7</v>
      </c>
      <c r="O319" s="440">
        <f t="shared" si="8"/>
        <v>16</v>
      </c>
      <c r="P319" s="440">
        <f t="shared" si="9"/>
        <v>0.1</v>
      </c>
      <c r="Q319">
        <f t="array" ref="Q319">IF(I319&gt;0,INDEX(DB,I319,9),EventIndex)</f>
        <v>6</v>
      </c>
      <c r="S319" s="442">
        <f t="array" ref="S319">INDEX(MINVALUES,$Q319,$K$1)</f>
        <v>16</v>
      </c>
      <c r="T319">
        <f t="array" ref="T319">INDEX(INCVALUES,$Q319,$K$1)</f>
        <v>0.1</v>
      </c>
      <c r="V319">
        <f t="array" ref="V319">+J319+(4*(INDEX(MatchScoreTable,$Q319,20)-1))</f>
        <v>4</v>
      </c>
      <c r="W319">
        <f t="array" ref="W319">INDEX(INC_MINVALUES,$V319,$K$1)</f>
        <v>34</v>
      </c>
      <c r="X319" s="212">
        <f t="array" ref="X319">INDEX(INC_INCVALUES,$V319,$K$1)</f>
        <v>0.3</v>
      </c>
    </row>
    <row r="320" ht="15.75" customHeight="1">
      <c r="A320" s="435"/>
      <c r="B320" s="436"/>
      <c r="C320" s="95" t="str">
        <f t="array" ref="C320">IF(I320&gt;0,INDEX(DB,I320,8),"")</f>
        <v/>
      </c>
      <c r="D320" s="437">
        <f t="shared" si="1"/>
        <v>0</v>
      </c>
      <c r="F320" s="438">
        <f t="shared" si="2"/>
        <v>0</v>
      </c>
      <c r="G320" t="str">
        <f t="shared" si="3"/>
        <v/>
      </c>
      <c r="H320" t="b">
        <f t="shared" si="4"/>
        <v>0</v>
      </c>
      <c r="I320" s="439">
        <f>IF(OR(ISBLANK(A320),ISNA(MATCH(A320&amp;"",AthleteNumbers,0))),0,MATCH(A320&amp;"",AthleteNumbers,0))</f>
        <v>0</v>
      </c>
      <c r="J320" s="209">
        <f t="array" ref="J320">IF(I320&gt;0,INDEX(DB,$I320,6),0)</f>
        <v>0</v>
      </c>
      <c r="K320" s="440">
        <f t="shared" si="5"/>
        <v>0</v>
      </c>
      <c r="L320" s="440">
        <f t="shared" si="6"/>
        <v>0</v>
      </c>
      <c r="M320" s="441">
        <f>IF(AND(L320&gt;O320,O320&gt;0),MinPoints,IF(L320&lt;N320,100,+INT((O320-$L320)/P320)+MinPoints))</f>
        <v>100</v>
      </c>
      <c r="N320" s="440">
        <f t="shared" si="7"/>
        <v>7</v>
      </c>
      <c r="O320" s="440">
        <f t="shared" si="8"/>
        <v>16</v>
      </c>
      <c r="P320" s="440">
        <f t="shared" si="9"/>
        <v>0.1</v>
      </c>
      <c r="Q320">
        <f t="array" ref="Q320">IF(I320&gt;0,INDEX(DB,I320,9),EventIndex)</f>
        <v>6</v>
      </c>
      <c r="S320" s="442">
        <f t="array" ref="S320">INDEX(MINVALUES,$Q320,$K$1)</f>
        <v>16</v>
      </c>
      <c r="T320">
        <f t="array" ref="T320">INDEX(INCVALUES,$Q320,$K$1)</f>
        <v>0.1</v>
      </c>
      <c r="V320">
        <f t="array" ref="V320">+J320+(4*(INDEX(MatchScoreTable,$Q320,20)-1))</f>
        <v>4</v>
      </c>
      <c r="W320">
        <f t="array" ref="W320">INDEX(INC_MINVALUES,$V320,$K$1)</f>
        <v>34</v>
      </c>
      <c r="X320" s="212">
        <f t="array" ref="X320">INDEX(INC_INCVALUES,$V320,$K$1)</f>
        <v>0.3</v>
      </c>
    </row>
    <row r="321" ht="15.75" customHeight="1">
      <c r="A321" s="435"/>
      <c r="B321" s="436"/>
      <c r="C321" s="95" t="str">
        <f t="array" ref="C321">IF(I321&gt;0,INDEX(DB,I321,8),"")</f>
        <v/>
      </c>
      <c r="D321" s="437">
        <f t="shared" si="1"/>
        <v>0</v>
      </c>
      <c r="F321" s="438">
        <f t="shared" si="2"/>
        <v>0</v>
      </c>
      <c r="G321" t="str">
        <f t="shared" si="3"/>
        <v/>
      </c>
      <c r="H321" t="b">
        <f t="shared" si="4"/>
        <v>0</v>
      </c>
      <c r="I321" s="439">
        <f>IF(OR(ISBLANK(A321),ISNA(MATCH(A321&amp;"",AthleteNumbers,0))),0,MATCH(A321&amp;"",AthleteNumbers,0))</f>
        <v>0</v>
      </c>
      <c r="J321" s="209">
        <f t="array" ref="J321">IF(I321&gt;0,INDEX(DB,$I321,6),0)</f>
        <v>0</v>
      </c>
      <c r="K321" s="440">
        <f t="shared" si="5"/>
        <v>0</v>
      </c>
      <c r="L321" s="440">
        <f t="shared" si="6"/>
        <v>0</v>
      </c>
      <c r="M321" s="441">
        <f>IF(AND(L321&gt;O321,O321&gt;0),MinPoints,IF(L321&lt;N321,100,+INT((O321-$L321)/P321)+MinPoints))</f>
        <v>100</v>
      </c>
      <c r="N321" s="440">
        <f t="shared" si="7"/>
        <v>7</v>
      </c>
      <c r="O321" s="440">
        <f t="shared" si="8"/>
        <v>16</v>
      </c>
      <c r="P321" s="440">
        <f t="shared" si="9"/>
        <v>0.1</v>
      </c>
      <c r="Q321">
        <f t="array" ref="Q321">IF(I321&gt;0,INDEX(DB,I321,9),EventIndex)</f>
        <v>6</v>
      </c>
      <c r="S321" s="442">
        <f t="array" ref="S321">INDEX(MINVALUES,$Q321,$K$1)</f>
        <v>16</v>
      </c>
      <c r="T321">
        <f t="array" ref="T321">INDEX(INCVALUES,$Q321,$K$1)</f>
        <v>0.1</v>
      </c>
      <c r="V321">
        <f t="array" ref="V321">+J321+(4*(INDEX(MatchScoreTable,$Q321,20)-1))</f>
        <v>4</v>
      </c>
      <c r="W321">
        <f t="array" ref="W321">INDEX(INC_MINVALUES,$V321,$K$1)</f>
        <v>34</v>
      </c>
      <c r="X321" s="212">
        <f t="array" ref="X321">INDEX(INC_INCVALUES,$V321,$K$1)</f>
        <v>0.3</v>
      </c>
    </row>
    <row r="322" ht="15.75" customHeight="1">
      <c r="A322" s="435"/>
      <c r="B322" s="436"/>
      <c r="C322" s="95" t="str">
        <f t="array" ref="C322">IF(I322&gt;0,INDEX(DB,I322,8),"")</f>
        <v/>
      </c>
      <c r="D322" s="437">
        <f t="shared" si="1"/>
        <v>0</v>
      </c>
      <c r="F322" s="438">
        <f t="shared" si="2"/>
        <v>0</v>
      </c>
      <c r="G322" t="str">
        <f t="shared" si="3"/>
        <v/>
      </c>
      <c r="H322" t="b">
        <f t="shared" si="4"/>
        <v>0</v>
      </c>
      <c r="I322" s="439">
        <f>IF(OR(ISBLANK(A322),ISNA(MATCH(A322&amp;"",AthleteNumbers,0))),0,MATCH(A322&amp;"",AthleteNumbers,0))</f>
        <v>0</v>
      </c>
      <c r="J322" s="209">
        <f t="array" ref="J322">IF(I322&gt;0,INDEX(DB,$I322,6),0)</f>
        <v>0</v>
      </c>
      <c r="K322" s="440">
        <f t="shared" si="5"/>
        <v>0</v>
      </c>
      <c r="L322" s="440">
        <f t="shared" si="6"/>
        <v>0</v>
      </c>
      <c r="M322" s="441">
        <f>IF(AND(L322&gt;O322,O322&gt;0),MinPoints,IF(L322&lt;N322,100,+INT((O322-$L322)/P322)+MinPoints))</f>
        <v>100</v>
      </c>
      <c r="N322" s="440">
        <f t="shared" si="7"/>
        <v>7</v>
      </c>
      <c r="O322" s="440">
        <f t="shared" si="8"/>
        <v>16</v>
      </c>
      <c r="P322" s="440">
        <f t="shared" si="9"/>
        <v>0.1</v>
      </c>
      <c r="Q322">
        <f t="array" ref="Q322">IF(I322&gt;0,INDEX(DB,I322,9),EventIndex)</f>
        <v>6</v>
      </c>
      <c r="S322" s="442">
        <f t="array" ref="S322">INDEX(MINVALUES,$Q322,$K$1)</f>
        <v>16</v>
      </c>
      <c r="T322">
        <f t="array" ref="T322">INDEX(INCVALUES,$Q322,$K$1)</f>
        <v>0.1</v>
      </c>
      <c r="V322">
        <f t="array" ref="V322">+J322+(4*(INDEX(MatchScoreTable,$Q322,20)-1))</f>
        <v>4</v>
      </c>
      <c r="W322">
        <f t="array" ref="W322">INDEX(INC_MINVALUES,$V322,$K$1)</f>
        <v>34</v>
      </c>
      <c r="X322" s="212">
        <f t="array" ref="X322">INDEX(INC_INCVALUES,$V322,$K$1)</f>
        <v>0.3</v>
      </c>
    </row>
    <row r="323" ht="15.75" customHeight="1">
      <c r="A323" s="435"/>
      <c r="B323" s="436"/>
      <c r="C323" s="95" t="str">
        <f t="array" ref="C323">IF(I323&gt;0,INDEX(DB,I323,8),"")</f>
        <v/>
      </c>
      <c r="D323" s="437">
        <f t="shared" si="1"/>
        <v>0</v>
      </c>
      <c r="F323" s="438">
        <f t="shared" si="2"/>
        <v>0</v>
      </c>
      <c r="G323" t="str">
        <f t="shared" si="3"/>
        <v/>
      </c>
      <c r="H323" t="b">
        <f t="shared" si="4"/>
        <v>0</v>
      </c>
      <c r="I323" s="439">
        <f>IF(OR(ISBLANK(A323),ISNA(MATCH(A323&amp;"",AthleteNumbers,0))),0,MATCH(A323&amp;"",AthleteNumbers,0))</f>
        <v>0</v>
      </c>
      <c r="J323" s="209">
        <f t="array" ref="J323">IF(I323&gt;0,INDEX(DB,$I323,6),0)</f>
        <v>0</v>
      </c>
      <c r="K323" s="440">
        <f t="shared" si="5"/>
        <v>0</v>
      </c>
      <c r="L323" s="440">
        <f t="shared" si="6"/>
        <v>0</v>
      </c>
      <c r="M323" s="441">
        <f>IF(AND(L323&gt;O323,O323&gt;0),MinPoints,IF(L323&lt;N323,100,+INT((O323-$L323)/P323)+MinPoints))</f>
        <v>100</v>
      </c>
      <c r="N323" s="440">
        <f t="shared" si="7"/>
        <v>7</v>
      </c>
      <c r="O323" s="440">
        <f t="shared" si="8"/>
        <v>16</v>
      </c>
      <c r="P323" s="440">
        <f t="shared" si="9"/>
        <v>0.1</v>
      </c>
      <c r="Q323">
        <f t="array" ref="Q323">IF(I323&gt;0,INDEX(DB,I323,9),EventIndex)</f>
        <v>6</v>
      </c>
      <c r="S323" s="442">
        <f t="array" ref="S323">INDEX(MINVALUES,$Q323,$K$1)</f>
        <v>16</v>
      </c>
      <c r="T323">
        <f t="array" ref="T323">INDEX(INCVALUES,$Q323,$K$1)</f>
        <v>0.1</v>
      </c>
      <c r="V323">
        <f t="array" ref="V323">+J323+(4*(INDEX(MatchScoreTable,$Q323,20)-1))</f>
        <v>4</v>
      </c>
      <c r="W323">
        <f t="array" ref="W323">INDEX(INC_MINVALUES,$V323,$K$1)</f>
        <v>34</v>
      </c>
      <c r="X323" s="212">
        <f t="array" ref="X323">INDEX(INC_INCVALUES,$V323,$K$1)</f>
        <v>0.3</v>
      </c>
    </row>
    <row r="324" ht="15.75" customHeight="1">
      <c r="A324" s="435"/>
      <c r="B324" s="436"/>
      <c r="C324" s="95" t="str">
        <f t="array" ref="C324">IF(I324&gt;0,INDEX(DB,I324,8),"")</f>
        <v/>
      </c>
      <c r="D324" s="437">
        <f t="shared" si="1"/>
        <v>0</v>
      </c>
      <c r="F324" s="438">
        <f t="shared" si="2"/>
        <v>0</v>
      </c>
      <c r="G324" t="str">
        <f t="shared" si="3"/>
        <v/>
      </c>
      <c r="H324" t="b">
        <f t="shared" si="4"/>
        <v>0</v>
      </c>
      <c r="I324" s="439">
        <f>IF(OR(ISBLANK(A324),ISNA(MATCH(A324&amp;"",AthleteNumbers,0))),0,MATCH(A324&amp;"",AthleteNumbers,0))</f>
        <v>0</v>
      </c>
      <c r="J324" s="209">
        <f t="array" ref="J324">IF(I324&gt;0,INDEX(DB,$I324,6),0)</f>
        <v>0</v>
      </c>
      <c r="K324" s="440">
        <f t="shared" si="5"/>
        <v>0</v>
      </c>
      <c r="L324" s="440">
        <f t="shared" si="6"/>
        <v>0</v>
      </c>
      <c r="M324" s="441">
        <f>IF(AND(L324&gt;O324,O324&gt;0),MinPoints,IF(L324&lt;N324,100,+INT((O324-$L324)/P324)+MinPoints))</f>
        <v>100</v>
      </c>
      <c r="N324" s="440">
        <f t="shared" si="7"/>
        <v>7</v>
      </c>
      <c r="O324" s="440">
        <f t="shared" si="8"/>
        <v>16</v>
      </c>
      <c r="P324" s="440">
        <f t="shared" si="9"/>
        <v>0.1</v>
      </c>
      <c r="Q324">
        <f t="array" ref="Q324">IF(I324&gt;0,INDEX(DB,I324,9),EventIndex)</f>
        <v>6</v>
      </c>
      <c r="S324" s="442">
        <f t="array" ref="S324">INDEX(MINVALUES,$Q324,$K$1)</f>
        <v>16</v>
      </c>
      <c r="T324">
        <f t="array" ref="T324">INDEX(INCVALUES,$Q324,$K$1)</f>
        <v>0.1</v>
      </c>
      <c r="V324">
        <f t="array" ref="V324">+J324+(4*(INDEX(MatchScoreTable,$Q324,20)-1))</f>
        <v>4</v>
      </c>
      <c r="W324">
        <f t="array" ref="W324">INDEX(INC_MINVALUES,$V324,$K$1)</f>
        <v>34</v>
      </c>
      <c r="X324" s="212">
        <f t="array" ref="X324">INDEX(INC_INCVALUES,$V324,$K$1)</f>
        <v>0.3</v>
      </c>
    </row>
    <row r="325" ht="15.75" customHeight="1">
      <c r="A325" s="435"/>
      <c r="B325" s="436"/>
      <c r="C325" s="95" t="str">
        <f t="array" ref="C325">IF(I325&gt;0,INDEX(DB,I325,8),"")</f>
        <v/>
      </c>
      <c r="D325" s="437">
        <f t="shared" si="1"/>
        <v>0</v>
      </c>
      <c r="F325" s="438">
        <f t="shared" si="2"/>
        <v>0</v>
      </c>
      <c r="G325" t="str">
        <f t="shared" si="3"/>
        <v/>
      </c>
      <c r="H325" t="b">
        <f t="shared" si="4"/>
        <v>0</v>
      </c>
      <c r="I325" s="439">
        <f>IF(OR(ISBLANK(A325),ISNA(MATCH(A325&amp;"",AthleteNumbers,0))),0,MATCH(A325&amp;"",AthleteNumbers,0))</f>
        <v>0</v>
      </c>
      <c r="J325" s="209">
        <f t="array" ref="J325">IF(I325&gt;0,INDEX(DB,$I325,6),0)</f>
        <v>0</v>
      </c>
      <c r="K325" s="440">
        <f t="shared" si="5"/>
        <v>0</v>
      </c>
      <c r="L325" s="440">
        <f t="shared" si="6"/>
        <v>0</v>
      </c>
      <c r="M325" s="441">
        <f>IF(AND(L325&gt;O325,O325&gt;0),MinPoints,IF(L325&lt;N325,100,+INT((O325-$L325)/P325)+MinPoints))</f>
        <v>100</v>
      </c>
      <c r="N325" s="440">
        <f t="shared" si="7"/>
        <v>7</v>
      </c>
      <c r="O325" s="440">
        <f t="shared" si="8"/>
        <v>16</v>
      </c>
      <c r="P325" s="440">
        <f t="shared" si="9"/>
        <v>0.1</v>
      </c>
      <c r="Q325">
        <f t="array" ref="Q325">IF(I325&gt;0,INDEX(DB,I325,9),EventIndex)</f>
        <v>6</v>
      </c>
      <c r="S325" s="442">
        <f t="array" ref="S325">INDEX(MINVALUES,$Q325,$K$1)</f>
        <v>16</v>
      </c>
      <c r="T325">
        <f t="array" ref="T325">INDEX(INCVALUES,$Q325,$K$1)</f>
        <v>0.1</v>
      </c>
      <c r="V325">
        <f t="array" ref="V325">+J325+(4*(INDEX(MatchScoreTable,$Q325,20)-1))</f>
        <v>4</v>
      </c>
      <c r="W325">
        <f t="array" ref="W325">INDEX(INC_MINVALUES,$V325,$K$1)</f>
        <v>34</v>
      </c>
      <c r="X325" s="212">
        <f t="array" ref="X325">INDEX(INC_INCVALUES,$V325,$K$1)</f>
        <v>0.3</v>
      </c>
    </row>
    <row r="326" ht="15.75" customHeight="1">
      <c r="A326" s="435"/>
      <c r="B326" s="436"/>
      <c r="C326" s="95" t="str">
        <f t="array" ref="C326">IF(I326&gt;0,INDEX(DB,I326,8),"")</f>
        <v/>
      </c>
      <c r="D326" s="437">
        <f t="shared" si="1"/>
        <v>0</v>
      </c>
      <c r="F326" s="438">
        <f t="shared" si="2"/>
        <v>0</v>
      </c>
      <c r="G326" t="str">
        <f t="shared" si="3"/>
        <v/>
      </c>
      <c r="H326" t="b">
        <f t="shared" si="4"/>
        <v>0</v>
      </c>
      <c r="I326" s="439">
        <f>IF(OR(ISBLANK(A326),ISNA(MATCH(A326&amp;"",AthleteNumbers,0))),0,MATCH(A326&amp;"",AthleteNumbers,0))</f>
        <v>0</v>
      </c>
      <c r="J326" s="209">
        <f t="array" ref="J326">IF(I326&gt;0,INDEX(DB,$I326,6),0)</f>
        <v>0</v>
      </c>
      <c r="K326" s="440">
        <f t="shared" si="5"/>
        <v>0</v>
      </c>
      <c r="L326" s="440">
        <f t="shared" si="6"/>
        <v>0</v>
      </c>
      <c r="M326" s="441">
        <f>IF(AND(L326&gt;O326,O326&gt;0),MinPoints,IF(L326&lt;N326,100,+INT((O326-$L326)/P326)+MinPoints))</f>
        <v>100</v>
      </c>
      <c r="N326" s="440">
        <f t="shared" si="7"/>
        <v>7</v>
      </c>
      <c r="O326" s="440">
        <f t="shared" si="8"/>
        <v>16</v>
      </c>
      <c r="P326" s="440">
        <f t="shared" si="9"/>
        <v>0.1</v>
      </c>
      <c r="Q326">
        <f t="array" ref="Q326">IF(I326&gt;0,INDEX(DB,I326,9),EventIndex)</f>
        <v>6</v>
      </c>
      <c r="S326" s="442">
        <f t="array" ref="S326">INDEX(MINVALUES,$Q326,$K$1)</f>
        <v>16</v>
      </c>
      <c r="T326">
        <f t="array" ref="T326">INDEX(INCVALUES,$Q326,$K$1)</f>
        <v>0.1</v>
      </c>
      <c r="V326">
        <f t="array" ref="V326">+J326+(4*(INDEX(MatchScoreTable,$Q326,20)-1))</f>
        <v>4</v>
      </c>
      <c r="W326">
        <f t="array" ref="W326">INDEX(INC_MINVALUES,$V326,$K$1)</f>
        <v>34</v>
      </c>
      <c r="X326" s="212">
        <f t="array" ref="X326">INDEX(INC_INCVALUES,$V326,$K$1)</f>
        <v>0.3</v>
      </c>
    </row>
    <row r="327" ht="15.75" customHeight="1">
      <c r="A327" s="435"/>
      <c r="B327" s="436"/>
      <c r="C327" s="95" t="str">
        <f t="array" ref="C327">IF(I327&gt;0,INDEX(DB,I327,8),"")</f>
        <v/>
      </c>
      <c r="D327" s="437">
        <f t="shared" si="1"/>
        <v>0</v>
      </c>
      <c r="F327" s="438">
        <f t="shared" si="2"/>
        <v>0</v>
      </c>
      <c r="G327" t="str">
        <f t="shared" si="3"/>
        <v/>
      </c>
      <c r="H327" t="b">
        <f t="shared" si="4"/>
        <v>0</v>
      </c>
      <c r="I327" s="439">
        <f>IF(OR(ISBLANK(A327),ISNA(MATCH(A327&amp;"",AthleteNumbers,0))),0,MATCH(A327&amp;"",AthleteNumbers,0))</f>
        <v>0</v>
      </c>
      <c r="J327" s="209">
        <f t="array" ref="J327">IF(I327&gt;0,INDEX(DB,$I327,6),0)</f>
        <v>0</v>
      </c>
      <c r="K327" s="440">
        <f t="shared" si="5"/>
        <v>0</v>
      </c>
      <c r="L327" s="440">
        <f t="shared" si="6"/>
        <v>0</v>
      </c>
      <c r="M327" s="441">
        <f>IF(AND(L327&gt;O327,O327&gt;0),MinPoints,IF(L327&lt;N327,100,+INT((O327-$L327)/P327)+MinPoints))</f>
        <v>100</v>
      </c>
      <c r="N327" s="440">
        <f t="shared" si="7"/>
        <v>7</v>
      </c>
      <c r="O327" s="440">
        <f t="shared" si="8"/>
        <v>16</v>
      </c>
      <c r="P327" s="440">
        <f t="shared" si="9"/>
        <v>0.1</v>
      </c>
      <c r="Q327">
        <f t="array" ref="Q327">IF(I327&gt;0,INDEX(DB,I327,9),EventIndex)</f>
        <v>6</v>
      </c>
      <c r="S327" s="442">
        <f t="array" ref="S327">INDEX(MINVALUES,$Q327,$K$1)</f>
        <v>16</v>
      </c>
      <c r="T327">
        <f t="array" ref="T327">INDEX(INCVALUES,$Q327,$K$1)</f>
        <v>0.1</v>
      </c>
      <c r="V327">
        <f t="array" ref="V327">+J327+(4*(INDEX(MatchScoreTable,$Q327,20)-1))</f>
        <v>4</v>
      </c>
      <c r="W327">
        <f t="array" ref="W327">INDEX(INC_MINVALUES,$V327,$K$1)</f>
        <v>34</v>
      </c>
      <c r="X327" s="212">
        <f t="array" ref="X327">INDEX(INC_INCVALUES,$V327,$K$1)</f>
        <v>0.3</v>
      </c>
    </row>
    <row r="328" ht="15.75" customHeight="1">
      <c r="A328" s="435"/>
      <c r="B328" s="436"/>
      <c r="C328" s="95" t="str">
        <f t="array" ref="C328">IF(I328&gt;0,INDEX(DB,I328,8),"")</f>
        <v/>
      </c>
      <c r="D328" s="437">
        <f t="shared" si="1"/>
        <v>0</v>
      </c>
      <c r="F328" s="438">
        <f t="shared" si="2"/>
        <v>0</v>
      </c>
      <c r="G328" t="str">
        <f t="shared" si="3"/>
        <v/>
      </c>
      <c r="H328" t="b">
        <f t="shared" si="4"/>
        <v>0</v>
      </c>
      <c r="I328" s="439">
        <f>IF(OR(ISBLANK(A328),ISNA(MATCH(A328&amp;"",AthleteNumbers,0))),0,MATCH(A328&amp;"",AthleteNumbers,0))</f>
        <v>0</v>
      </c>
      <c r="J328" s="209">
        <f t="array" ref="J328">IF(I328&gt;0,INDEX(DB,$I328,6),0)</f>
        <v>0</v>
      </c>
      <c r="K328" s="440">
        <f t="shared" si="5"/>
        <v>0</v>
      </c>
      <c r="L328" s="440">
        <f t="shared" si="6"/>
        <v>0</v>
      </c>
      <c r="M328" s="441">
        <f>IF(AND(L328&gt;O328,O328&gt;0),MinPoints,IF(L328&lt;N328,100,+INT((O328-$L328)/P328)+MinPoints))</f>
        <v>100</v>
      </c>
      <c r="N328" s="440">
        <f t="shared" si="7"/>
        <v>7</v>
      </c>
      <c r="O328" s="440">
        <f t="shared" si="8"/>
        <v>16</v>
      </c>
      <c r="P328" s="440">
        <f t="shared" si="9"/>
        <v>0.1</v>
      </c>
      <c r="Q328">
        <f t="array" ref="Q328">IF(I328&gt;0,INDEX(DB,I328,9),EventIndex)</f>
        <v>6</v>
      </c>
      <c r="S328" s="442">
        <f t="array" ref="S328">INDEX(MINVALUES,$Q328,$K$1)</f>
        <v>16</v>
      </c>
      <c r="T328">
        <f t="array" ref="T328">INDEX(INCVALUES,$Q328,$K$1)</f>
        <v>0.1</v>
      </c>
      <c r="V328">
        <f t="array" ref="V328">+J328+(4*(INDEX(MatchScoreTable,$Q328,20)-1))</f>
        <v>4</v>
      </c>
      <c r="W328">
        <f t="array" ref="W328">INDEX(INC_MINVALUES,$V328,$K$1)</f>
        <v>34</v>
      </c>
      <c r="X328" s="212">
        <f t="array" ref="X328">INDEX(INC_INCVALUES,$V328,$K$1)</f>
        <v>0.3</v>
      </c>
    </row>
    <row r="329" ht="15.75" customHeight="1">
      <c r="A329" s="435"/>
      <c r="B329" s="436"/>
      <c r="C329" s="95" t="str">
        <f t="array" ref="C329">IF(I329&gt;0,INDEX(DB,I329,8),"")</f>
        <v/>
      </c>
      <c r="D329" s="437">
        <f t="shared" si="1"/>
        <v>0</v>
      </c>
      <c r="F329" s="438">
        <f t="shared" si="2"/>
        <v>0</v>
      </c>
      <c r="G329" t="str">
        <f t="shared" si="3"/>
        <v/>
      </c>
      <c r="H329" t="b">
        <f t="shared" si="4"/>
        <v>0</v>
      </c>
      <c r="I329" s="439">
        <f>IF(OR(ISBLANK(A329),ISNA(MATCH(A329&amp;"",AthleteNumbers,0))),0,MATCH(A329&amp;"",AthleteNumbers,0))</f>
        <v>0</v>
      </c>
      <c r="J329" s="209">
        <f t="array" ref="J329">IF(I329&gt;0,INDEX(DB,$I329,6),0)</f>
        <v>0</v>
      </c>
      <c r="K329" s="440">
        <f t="shared" si="5"/>
        <v>0</v>
      </c>
      <c r="L329" s="440">
        <f t="shared" si="6"/>
        <v>0</v>
      </c>
      <c r="M329" s="441">
        <f>IF(AND(L329&gt;O329,O329&gt;0),MinPoints,IF(L329&lt;N329,100,+INT((O329-$L329)/P329)+MinPoints))</f>
        <v>100</v>
      </c>
      <c r="N329" s="440">
        <f t="shared" si="7"/>
        <v>7</v>
      </c>
      <c r="O329" s="440">
        <f t="shared" si="8"/>
        <v>16</v>
      </c>
      <c r="P329" s="440">
        <f t="shared" si="9"/>
        <v>0.1</v>
      </c>
      <c r="Q329">
        <f t="array" ref="Q329">IF(I329&gt;0,INDEX(DB,I329,9),EventIndex)</f>
        <v>6</v>
      </c>
      <c r="S329" s="442">
        <f t="array" ref="S329">INDEX(MINVALUES,$Q329,$K$1)</f>
        <v>16</v>
      </c>
      <c r="T329">
        <f t="array" ref="T329">INDEX(INCVALUES,$Q329,$K$1)</f>
        <v>0.1</v>
      </c>
      <c r="V329">
        <f t="array" ref="V329">+J329+(4*(INDEX(MatchScoreTable,$Q329,20)-1))</f>
        <v>4</v>
      </c>
      <c r="W329">
        <f t="array" ref="W329">INDEX(INC_MINVALUES,$V329,$K$1)</f>
        <v>34</v>
      </c>
      <c r="X329" s="212">
        <f t="array" ref="X329">INDEX(INC_INCVALUES,$V329,$K$1)</f>
        <v>0.3</v>
      </c>
    </row>
    <row r="330" ht="15.75" customHeight="1">
      <c r="A330" s="435"/>
      <c r="B330" s="436"/>
      <c r="C330" s="95" t="str">
        <f t="array" ref="C330">IF(I330&gt;0,INDEX(DB,I330,8),"")</f>
        <v/>
      </c>
      <c r="D330" s="437">
        <f t="shared" si="1"/>
        <v>0</v>
      </c>
      <c r="F330" s="438">
        <f t="shared" si="2"/>
        <v>0</v>
      </c>
      <c r="G330" t="str">
        <f t="shared" si="3"/>
        <v/>
      </c>
      <c r="H330" t="b">
        <f t="shared" si="4"/>
        <v>0</v>
      </c>
      <c r="I330" s="439">
        <f>IF(OR(ISBLANK(A330),ISNA(MATCH(A330&amp;"",AthleteNumbers,0))),0,MATCH(A330&amp;"",AthleteNumbers,0))</f>
        <v>0</v>
      </c>
      <c r="J330" s="209">
        <f t="array" ref="J330">IF(I330&gt;0,INDEX(DB,$I330,6),0)</f>
        <v>0</v>
      </c>
      <c r="K330" s="440">
        <f t="shared" si="5"/>
        <v>0</v>
      </c>
      <c r="L330" s="440">
        <f t="shared" si="6"/>
        <v>0</v>
      </c>
      <c r="M330" s="441">
        <f>IF(AND(L330&gt;O330,O330&gt;0),MinPoints,IF(L330&lt;N330,100,+INT((O330-$L330)/P330)+MinPoints))</f>
        <v>100</v>
      </c>
      <c r="N330" s="440">
        <f t="shared" si="7"/>
        <v>7</v>
      </c>
      <c r="O330" s="440">
        <f t="shared" si="8"/>
        <v>16</v>
      </c>
      <c r="P330" s="440">
        <f t="shared" si="9"/>
        <v>0.1</v>
      </c>
      <c r="Q330">
        <f t="array" ref="Q330">IF(I330&gt;0,INDEX(DB,I330,9),EventIndex)</f>
        <v>6</v>
      </c>
      <c r="S330" s="442">
        <f t="array" ref="S330">INDEX(MINVALUES,$Q330,$K$1)</f>
        <v>16</v>
      </c>
      <c r="T330">
        <f t="array" ref="T330">INDEX(INCVALUES,$Q330,$K$1)</f>
        <v>0.1</v>
      </c>
      <c r="V330">
        <f t="array" ref="V330">+J330+(4*(INDEX(MatchScoreTable,$Q330,20)-1))</f>
        <v>4</v>
      </c>
      <c r="W330">
        <f t="array" ref="W330">INDEX(INC_MINVALUES,$V330,$K$1)</f>
        <v>34</v>
      </c>
      <c r="X330" s="212">
        <f t="array" ref="X330">INDEX(INC_INCVALUES,$V330,$K$1)</f>
        <v>0.3</v>
      </c>
    </row>
    <row r="331" ht="15.75" customHeight="1">
      <c r="A331" s="435"/>
      <c r="B331" s="436"/>
      <c r="C331" s="95" t="str">
        <f t="array" ref="C331">IF(I331&gt;0,INDEX(DB,I331,8),"")</f>
        <v/>
      </c>
      <c r="D331" s="437">
        <f t="shared" si="1"/>
        <v>0</v>
      </c>
      <c r="F331" s="438">
        <f t="shared" si="2"/>
        <v>0</v>
      </c>
      <c r="G331" t="str">
        <f t="shared" si="3"/>
        <v/>
      </c>
      <c r="H331" t="b">
        <f t="shared" si="4"/>
        <v>0</v>
      </c>
      <c r="I331" s="439">
        <f>IF(OR(ISBLANK(A331),ISNA(MATCH(A331&amp;"",AthleteNumbers,0))),0,MATCH(A331&amp;"",AthleteNumbers,0))</f>
        <v>0</v>
      </c>
      <c r="J331" s="209">
        <f t="array" ref="J331">IF(I331&gt;0,INDEX(DB,$I331,6),0)</f>
        <v>0</v>
      </c>
      <c r="K331" s="440">
        <f t="shared" si="5"/>
        <v>0</v>
      </c>
      <c r="L331" s="440">
        <f t="shared" si="6"/>
        <v>0</v>
      </c>
      <c r="M331" s="441">
        <f>IF(AND(L331&gt;O331,O331&gt;0),MinPoints,IF(L331&lt;N331,100,+INT((O331-$L331)/P331)+MinPoints))</f>
        <v>100</v>
      </c>
      <c r="N331" s="440">
        <f t="shared" si="7"/>
        <v>7</v>
      </c>
      <c r="O331" s="440">
        <f t="shared" si="8"/>
        <v>16</v>
      </c>
      <c r="P331" s="440">
        <f t="shared" si="9"/>
        <v>0.1</v>
      </c>
      <c r="Q331">
        <f t="array" ref="Q331">IF(I331&gt;0,INDEX(DB,I331,9),EventIndex)</f>
        <v>6</v>
      </c>
      <c r="S331" s="442">
        <f t="array" ref="S331">INDEX(MINVALUES,$Q331,$K$1)</f>
        <v>16</v>
      </c>
      <c r="T331">
        <f t="array" ref="T331">INDEX(INCVALUES,$Q331,$K$1)</f>
        <v>0.1</v>
      </c>
      <c r="V331">
        <f t="array" ref="V331">+J331+(4*(INDEX(MatchScoreTable,$Q331,20)-1))</f>
        <v>4</v>
      </c>
      <c r="W331">
        <f t="array" ref="W331">INDEX(INC_MINVALUES,$V331,$K$1)</f>
        <v>34</v>
      </c>
      <c r="X331" s="212">
        <f t="array" ref="X331">INDEX(INC_INCVALUES,$V331,$K$1)</f>
        <v>0.3</v>
      </c>
    </row>
    <row r="332" ht="15.75" customHeight="1">
      <c r="A332" s="435"/>
      <c r="B332" s="436"/>
      <c r="C332" s="95" t="str">
        <f t="array" ref="C332">IF(I332&gt;0,INDEX(DB,I332,8),"")</f>
        <v/>
      </c>
      <c r="D332" s="437">
        <f t="shared" si="1"/>
        <v>0</v>
      </c>
      <c r="F332" s="438">
        <f t="shared" si="2"/>
        <v>0</v>
      </c>
      <c r="G332" t="str">
        <f t="shared" si="3"/>
        <v/>
      </c>
      <c r="H332" t="b">
        <f t="shared" si="4"/>
        <v>0</v>
      </c>
      <c r="I332" s="439">
        <f>IF(OR(ISBLANK(A332),ISNA(MATCH(A332&amp;"",AthleteNumbers,0))),0,MATCH(A332&amp;"",AthleteNumbers,0))</f>
        <v>0</v>
      </c>
      <c r="J332" s="209">
        <f t="array" ref="J332">IF(I332&gt;0,INDEX(DB,$I332,6),0)</f>
        <v>0</v>
      </c>
      <c r="K332" s="440">
        <f t="shared" si="5"/>
        <v>0</v>
      </c>
      <c r="L332" s="440">
        <f t="shared" si="6"/>
        <v>0</v>
      </c>
      <c r="M332" s="441">
        <f>IF(AND(L332&gt;O332,O332&gt;0),MinPoints,IF(L332&lt;N332,100,+INT((O332-$L332)/P332)+MinPoints))</f>
        <v>100</v>
      </c>
      <c r="N332" s="440">
        <f t="shared" si="7"/>
        <v>7</v>
      </c>
      <c r="O332" s="440">
        <f t="shared" si="8"/>
        <v>16</v>
      </c>
      <c r="P332" s="440">
        <f t="shared" si="9"/>
        <v>0.1</v>
      </c>
      <c r="Q332">
        <f t="array" ref="Q332">IF(I332&gt;0,INDEX(DB,I332,9),EventIndex)</f>
        <v>6</v>
      </c>
      <c r="S332" s="442">
        <f t="array" ref="S332">INDEX(MINVALUES,$Q332,$K$1)</f>
        <v>16</v>
      </c>
      <c r="T332">
        <f t="array" ref="T332">INDEX(INCVALUES,$Q332,$K$1)</f>
        <v>0.1</v>
      </c>
      <c r="V332">
        <f t="array" ref="V332">+J332+(4*(INDEX(MatchScoreTable,$Q332,20)-1))</f>
        <v>4</v>
      </c>
      <c r="W332">
        <f t="array" ref="W332">INDEX(INC_MINVALUES,$V332,$K$1)</f>
        <v>34</v>
      </c>
      <c r="X332" s="212">
        <f t="array" ref="X332">INDEX(INC_INCVALUES,$V332,$K$1)</f>
        <v>0.3</v>
      </c>
    </row>
    <row r="333" ht="15.75" customHeight="1">
      <c r="A333" s="435"/>
      <c r="B333" s="436"/>
      <c r="C333" s="95" t="str">
        <f t="array" ref="C333">IF(I333&gt;0,INDEX(DB,I333,8),"")</f>
        <v/>
      </c>
      <c r="D333" s="437">
        <f t="shared" si="1"/>
        <v>0</v>
      </c>
      <c r="F333" s="438">
        <f t="shared" si="2"/>
        <v>0</v>
      </c>
      <c r="G333" t="str">
        <f t="shared" si="3"/>
        <v/>
      </c>
      <c r="H333" t="b">
        <f t="shared" si="4"/>
        <v>0</v>
      </c>
      <c r="I333" s="439">
        <f>IF(OR(ISBLANK(A333),ISNA(MATCH(A333&amp;"",AthleteNumbers,0))),0,MATCH(A333&amp;"",AthleteNumbers,0))</f>
        <v>0</v>
      </c>
      <c r="J333" s="209">
        <f t="array" ref="J333">IF(I333&gt;0,INDEX(DB,$I333,6),0)</f>
        <v>0</v>
      </c>
      <c r="K333" s="440">
        <f t="shared" si="5"/>
        <v>0</v>
      </c>
      <c r="L333" s="440">
        <f t="shared" si="6"/>
        <v>0</v>
      </c>
      <c r="M333" s="441">
        <f>IF(AND(L333&gt;O333,O333&gt;0),MinPoints,IF(L333&lt;N333,100,+INT((O333-$L333)/P333)+MinPoints))</f>
        <v>100</v>
      </c>
      <c r="N333" s="440">
        <f t="shared" si="7"/>
        <v>7</v>
      </c>
      <c r="O333" s="440">
        <f t="shared" si="8"/>
        <v>16</v>
      </c>
      <c r="P333" s="440">
        <f t="shared" si="9"/>
        <v>0.1</v>
      </c>
      <c r="Q333">
        <f t="array" ref="Q333">IF(I333&gt;0,INDEX(DB,I333,9),EventIndex)</f>
        <v>6</v>
      </c>
      <c r="S333" s="442">
        <f t="array" ref="S333">INDEX(MINVALUES,$Q333,$K$1)</f>
        <v>16</v>
      </c>
      <c r="T333">
        <f t="array" ref="T333">INDEX(INCVALUES,$Q333,$K$1)</f>
        <v>0.1</v>
      </c>
      <c r="V333">
        <f t="array" ref="V333">+J333+(4*(INDEX(MatchScoreTable,$Q333,20)-1))</f>
        <v>4</v>
      </c>
      <c r="W333">
        <f t="array" ref="W333">INDEX(INC_MINVALUES,$V333,$K$1)</f>
        <v>34</v>
      </c>
      <c r="X333" s="212">
        <f t="array" ref="X333">INDEX(INC_INCVALUES,$V333,$K$1)</f>
        <v>0.3</v>
      </c>
    </row>
    <row r="334" ht="15.75" customHeight="1">
      <c r="A334" s="435"/>
      <c r="B334" s="436"/>
      <c r="C334" s="95" t="str">
        <f t="array" ref="C334">IF(I334&gt;0,INDEX(DB,I334,8),"")</f>
        <v/>
      </c>
      <c r="D334" s="437">
        <f t="shared" si="1"/>
        <v>0</v>
      </c>
      <c r="F334" s="438">
        <f t="shared" si="2"/>
        <v>0</v>
      </c>
      <c r="G334" t="str">
        <f t="shared" si="3"/>
        <v/>
      </c>
      <c r="H334" t="b">
        <f t="shared" si="4"/>
        <v>0</v>
      </c>
      <c r="I334" s="439">
        <f>IF(OR(ISBLANK(A334),ISNA(MATCH(A334&amp;"",AthleteNumbers,0))),0,MATCH(A334&amp;"",AthleteNumbers,0))</f>
        <v>0</v>
      </c>
      <c r="J334" s="209">
        <f t="array" ref="J334">IF(I334&gt;0,INDEX(DB,$I334,6),0)</f>
        <v>0</v>
      </c>
      <c r="K334" s="440">
        <f t="shared" si="5"/>
        <v>0</v>
      </c>
      <c r="L334" s="440">
        <f t="shared" si="6"/>
        <v>0</v>
      </c>
      <c r="M334" s="441">
        <f>IF(AND(L334&gt;O334,O334&gt;0),MinPoints,IF(L334&lt;N334,100,+INT((O334-$L334)/P334)+MinPoints))</f>
        <v>100</v>
      </c>
      <c r="N334" s="440">
        <f t="shared" si="7"/>
        <v>7</v>
      </c>
      <c r="O334" s="440">
        <f t="shared" si="8"/>
        <v>16</v>
      </c>
      <c r="P334" s="440">
        <f t="shared" si="9"/>
        <v>0.1</v>
      </c>
      <c r="Q334">
        <f t="array" ref="Q334">IF(I334&gt;0,INDEX(DB,I334,9),EventIndex)</f>
        <v>6</v>
      </c>
      <c r="S334" s="442">
        <f t="array" ref="S334">INDEX(MINVALUES,$Q334,$K$1)</f>
        <v>16</v>
      </c>
      <c r="T334">
        <f t="array" ref="T334">INDEX(INCVALUES,$Q334,$K$1)</f>
        <v>0.1</v>
      </c>
      <c r="V334">
        <f t="array" ref="V334">+J334+(4*(INDEX(MatchScoreTable,$Q334,20)-1))</f>
        <v>4</v>
      </c>
      <c r="W334">
        <f t="array" ref="W334">INDEX(INC_MINVALUES,$V334,$K$1)</f>
        <v>34</v>
      </c>
      <c r="X334" s="212">
        <f t="array" ref="X334">INDEX(INC_INCVALUES,$V334,$K$1)</f>
        <v>0.3</v>
      </c>
    </row>
    <row r="335" ht="15.75" customHeight="1">
      <c r="A335" s="435"/>
      <c r="B335" s="436"/>
      <c r="C335" s="95" t="str">
        <f t="array" ref="C335">IF(I335&gt;0,INDEX(DB,I335,8),"")</f>
        <v/>
      </c>
      <c r="D335" s="437">
        <f t="shared" si="1"/>
        <v>0</v>
      </c>
      <c r="F335" s="438">
        <f t="shared" si="2"/>
        <v>0</v>
      </c>
      <c r="G335" t="str">
        <f t="shared" si="3"/>
        <v/>
      </c>
      <c r="H335" t="b">
        <f t="shared" si="4"/>
        <v>0</v>
      </c>
      <c r="I335" s="439">
        <f>IF(OR(ISBLANK(A335),ISNA(MATCH(A335&amp;"",AthleteNumbers,0))),0,MATCH(A335&amp;"",AthleteNumbers,0))</f>
        <v>0</v>
      </c>
      <c r="J335" s="209">
        <f t="array" ref="J335">IF(I335&gt;0,INDEX(DB,$I335,6),0)</f>
        <v>0</v>
      </c>
      <c r="K335" s="440">
        <f t="shared" si="5"/>
        <v>0</v>
      </c>
      <c r="L335" s="440">
        <f t="shared" si="6"/>
        <v>0</v>
      </c>
      <c r="M335" s="441">
        <f>IF(AND(L335&gt;O335,O335&gt;0),MinPoints,IF(L335&lt;N335,100,+INT((O335-$L335)/P335)+MinPoints))</f>
        <v>100</v>
      </c>
      <c r="N335" s="440">
        <f t="shared" si="7"/>
        <v>7</v>
      </c>
      <c r="O335" s="440">
        <f t="shared" si="8"/>
        <v>16</v>
      </c>
      <c r="P335" s="440">
        <f t="shared" si="9"/>
        <v>0.1</v>
      </c>
      <c r="Q335">
        <f t="array" ref="Q335">IF(I335&gt;0,INDEX(DB,I335,9),EventIndex)</f>
        <v>6</v>
      </c>
      <c r="S335" s="442">
        <f t="array" ref="S335">INDEX(MINVALUES,$Q335,$K$1)</f>
        <v>16</v>
      </c>
      <c r="T335">
        <f t="array" ref="T335">INDEX(INCVALUES,$Q335,$K$1)</f>
        <v>0.1</v>
      </c>
      <c r="V335">
        <f t="array" ref="V335">+J335+(4*(INDEX(MatchScoreTable,$Q335,20)-1))</f>
        <v>4</v>
      </c>
      <c r="W335">
        <f t="array" ref="W335">INDEX(INC_MINVALUES,$V335,$K$1)</f>
        <v>34</v>
      </c>
      <c r="X335" s="212">
        <f t="array" ref="X335">INDEX(INC_INCVALUES,$V335,$K$1)</f>
        <v>0.3</v>
      </c>
    </row>
    <row r="336" ht="15.75" customHeight="1">
      <c r="A336" s="435"/>
      <c r="B336" s="436"/>
      <c r="C336" s="95" t="str">
        <f t="array" ref="C336">IF(I336&gt;0,INDEX(DB,I336,8),"")</f>
        <v/>
      </c>
      <c r="D336" s="437">
        <f t="shared" si="1"/>
        <v>0</v>
      </c>
      <c r="F336" s="438">
        <f t="shared" si="2"/>
        <v>0</v>
      </c>
      <c r="G336" t="str">
        <f t="shared" si="3"/>
        <v/>
      </c>
      <c r="H336" t="b">
        <f t="shared" si="4"/>
        <v>0</v>
      </c>
      <c r="I336" s="439">
        <f>IF(OR(ISBLANK(A336),ISNA(MATCH(A336&amp;"",AthleteNumbers,0))),0,MATCH(A336&amp;"",AthleteNumbers,0))</f>
        <v>0</v>
      </c>
      <c r="J336" s="209">
        <f t="array" ref="J336">IF(I336&gt;0,INDEX(DB,$I336,6),0)</f>
        <v>0</v>
      </c>
      <c r="K336" s="440">
        <f t="shared" si="5"/>
        <v>0</v>
      </c>
      <c r="L336" s="440">
        <f t="shared" si="6"/>
        <v>0</v>
      </c>
      <c r="M336" s="441">
        <f>IF(AND(L336&gt;O336,O336&gt;0),MinPoints,IF(L336&lt;N336,100,+INT((O336-$L336)/P336)+MinPoints))</f>
        <v>100</v>
      </c>
      <c r="N336" s="440">
        <f t="shared" si="7"/>
        <v>7</v>
      </c>
      <c r="O336" s="440">
        <f t="shared" si="8"/>
        <v>16</v>
      </c>
      <c r="P336" s="440">
        <f t="shared" si="9"/>
        <v>0.1</v>
      </c>
      <c r="Q336">
        <f t="array" ref="Q336">IF(I336&gt;0,INDEX(DB,I336,9),EventIndex)</f>
        <v>6</v>
      </c>
      <c r="S336" s="442">
        <f t="array" ref="S336">INDEX(MINVALUES,$Q336,$K$1)</f>
        <v>16</v>
      </c>
      <c r="T336">
        <f t="array" ref="T336">INDEX(INCVALUES,$Q336,$K$1)</f>
        <v>0.1</v>
      </c>
      <c r="V336">
        <f t="array" ref="V336">+J336+(4*(INDEX(MatchScoreTable,$Q336,20)-1))</f>
        <v>4</v>
      </c>
      <c r="W336">
        <f t="array" ref="W336">INDEX(INC_MINVALUES,$V336,$K$1)</f>
        <v>34</v>
      </c>
      <c r="X336" s="212">
        <f t="array" ref="X336">INDEX(INC_INCVALUES,$V336,$K$1)</f>
        <v>0.3</v>
      </c>
    </row>
    <row r="337" ht="15.75" customHeight="1">
      <c r="A337" s="435"/>
      <c r="B337" s="436"/>
      <c r="C337" s="95" t="str">
        <f t="array" ref="C337">IF(I337&gt;0,INDEX(DB,I337,8),"")</f>
        <v/>
      </c>
      <c r="D337" s="437">
        <f t="shared" si="1"/>
        <v>0</v>
      </c>
      <c r="F337" s="438">
        <f t="shared" si="2"/>
        <v>0</v>
      </c>
      <c r="G337" t="str">
        <f t="shared" si="3"/>
        <v/>
      </c>
      <c r="H337" t="b">
        <f t="shared" si="4"/>
        <v>0</v>
      </c>
      <c r="I337" s="439">
        <f>IF(OR(ISBLANK(A337),ISNA(MATCH(A337&amp;"",AthleteNumbers,0))),0,MATCH(A337&amp;"",AthleteNumbers,0))</f>
        <v>0</v>
      </c>
      <c r="J337" s="209">
        <f t="array" ref="J337">IF(I337&gt;0,INDEX(DB,$I337,6),0)</f>
        <v>0</v>
      </c>
      <c r="K337" s="440">
        <f t="shared" si="5"/>
        <v>0</v>
      </c>
      <c r="L337" s="440">
        <f t="shared" si="6"/>
        <v>0</v>
      </c>
      <c r="M337" s="441">
        <f>IF(AND(L337&gt;O337,O337&gt;0),MinPoints,IF(L337&lt;N337,100,+INT((O337-$L337)/P337)+MinPoints))</f>
        <v>100</v>
      </c>
      <c r="N337" s="440">
        <f t="shared" si="7"/>
        <v>7</v>
      </c>
      <c r="O337" s="440">
        <f t="shared" si="8"/>
        <v>16</v>
      </c>
      <c r="P337" s="440">
        <f t="shared" si="9"/>
        <v>0.1</v>
      </c>
      <c r="Q337">
        <f t="array" ref="Q337">IF(I337&gt;0,INDEX(DB,I337,9),EventIndex)</f>
        <v>6</v>
      </c>
      <c r="S337" s="442">
        <f t="array" ref="S337">INDEX(MINVALUES,$Q337,$K$1)</f>
        <v>16</v>
      </c>
      <c r="T337">
        <f t="array" ref="T337">INDEX(INCVALUES,$Q337,$K$1)</f>
        <v>0.1</v>
      </c>
      <c r="V337">
        <f t="array" ref="V337">+J337+(4*(INDEX(MatchScoreTable,$Q337,20)-1))</f>
        <v>4</v>
      </c>
      <c r="W337">
        <f t="array" ref="W337">INDEX(INC_MINVALUES,$V337,$K$1)</f>
        <v>34</v>
      </c>
      <c r="X337" s="212">
        <f t="array" ref="X337">INDEX(INC_INCVALUES,$V337,$K$1)</f>
        <v>0.3</v>
      </c>
    </row>
    <row r="338" ht="15.75" customHeight="1">
      <c r="A338" s="435"/>
      <c r="B338" s="436"/>
      <c r="C338" s="95" t="str">
        <f t="array" ref="C338">IF(I338&gt;0,INDEX(DB,I338,8),"")</f>
        <v/>
      </c>
      <c r="D338" s="437">
        <f t="shared" si="1"/>
        <v>0</v>
      </c>
      <c r="F338" s="438">
        <f t="shared" si="2"/>
        <v>0</v>
      </c>
      <c r="G338" t="str">
        <f t="shared" si="3"/>
        <v/>
      </c>
      <c r="H338" t="b">
        <f t="shared" si="4"/>
        <v>0</v>
      </c>
      <c r="I338" s="439">
        <f>IF(OR(ISBLANK(A338),ISNA(MATCH(A338&amp;"",AthleteNumbers,0))),0,MATCH(A338&amp;"",AthleteNumbers,0))</f>
        <v>0</v>
      </c>
      <c r="J338" s="209">
        <f t="array" ref="J338">IF(I338&gt;0,INDEX(DB,$I338,6),0)</f>
        <v>0</v>
      </c>
      <c r="K338" s="440">
        <f t="shared" si="5"/>
        <v>0</v>
      </c>
      <c r="L338" s="440">
        <f t="shared" si="6"/>
        <v>0</v>
      </c>
      <c r="M338" s="441">
        <f>IF(AND(L338&gt;O338,O338&gt;0),MinPoints,IF(L338&lt;N338,100,+INT((O338-$L338)/P338)+MinPoints))</f>
        <v>100</v>
      </c>
      <c r="N338" s="440">
        <f t="shared" si="7"/>
        <v>7</v>
      </c>
      <c r="O338" s="440">
        <f t="shared" si="8"/>
        <v>16</v>
      </c>
      <c r="P338" s="440">
        <f t="shared" si="9"/>
        <v>0.1</v>
      </c>
      <c r="Q338">
        <f t="array" ref="Q338">IF(I338&gt;0,INDEX(DB,I338,9),EventIndex)</f>
        <v>6</v>
      </c>
      <c r="S338" s="442">
        <f t="array" ref="S338">INDEX(MINVALUES,$Q338,$K$1)</f>
        <v>16</v>
      </c>
      <c r="T338">
        <f t="array" ref="T338">INDEX(INCVALUES,$Q338,$K$1)</f>
        <v>0.1</v>
      </c>
      <c r="V338">
        <f t="array" ref="V338">+J338+(4*(INDEX(MatchScoreTable,$Q338,20)-1))</f>
        <v>4</v>
      </c>
      <c r="W338">
        <f t="array" ref="W338">INDEX(INC_MINVALUES,$V338,$K$1)</f>
        <v>34</v>
      </c>
      <c r="X338" s="212">
        <f t="array" ref="X338">INDEX(INC_INCVALUES,$V338,$K$1)</f>
        <v>0.3</v>
      </c>
    </row>
    <row r="339" ht="15.75" customHeight="1">
      <c r="A339" s="435"/>
      <c r="B339" s="436"/>
      <c r="C339" s="95" t="str">
        <f t="array" ref="C339">IF(I339&gt;0,INDEX(DB,I339,8),"")</f>
        <v/>
      </c>
      <c r="D339" s="437">
        <f t="shared" si="1"/>
        <v>0</v>
      </c>
      <c r="F339" s="438">
        <f t="shared" si="2"/>
        <v>0</v>
      </c>
      <c r="G339" t="str">
        <f t="shared" si="3"/>
        <v/>
      </c>
      <c r="H339" t="b">
        <f t="shared" si="4"/>
        <v>0</v>
      </c>
      <c r="I339" s="439">
        <f>IF(OR(ISBLANK(A339),ISNA(MATCH(A339&amp;"",AthleteNumbers,0))),0,MATCH(A339&amp;"",AthleteNumbers,0))</f>
        <v>0</v>
      </c>
      <c r="J339" s="209">
        <f t="array" ref="J339">IF(I339&gt;0,INDEX(DB,$I339,6),0)</f>
        <v>0</v>
      </c>
      <c r="K339" s="440">
        <f t="shared" si="5"/>
        <v>0</v>
      </c>
      <c r="L339" s="440">
        <f t="shared" si="6"/>
        <v>0</v>
      </c>
      <c r="M339" s="441">
        <f>IF(AND(L339&gt;O339,O339&gt;0),MinPoints,IF(L339&lt;N339,100,+INT((O339-$L339)/P339)+MinPoints))</f>
        <v>100</v>
      </c>
      <c r="N339" s="440">
        <f t="shared" si="7"/>
        <v>7</v>
      </c>
      <c r="O339" s="440">
        <f t="shared" si="8"/>
        <v>16</v>
      </c>
      <c r="P339" s="440">
        <f t="shared" si="9"/>
        <v>0.1</v>
      </c>
      <c r="Q339">
        <f t="array" ref="Q339">IF(I339&gt;0,INDEX(DB,I339,9),EventIndex)</f>
        <v>6</v>
      </c>
      <c r="S339" s="442">
        <f t="array" ref="S339">INDEX(MINVALUES,$Q339,$K$1)</f>
        <v>16</v>
      </c>
      <c r="T339">
        <f t="array" ref="T339">INDEX(INCVALUES,$Q339,$K$1)</f>
        <v>0.1</v>
      </c>
      <c r="V339">
        <f t="array" ref="V339">+J339+(4*(INDEX(MatchScoreTable,$Q339,20)-1))</f>
        <v>4</v>
      </c>
      <c r="W339">
        <f t="array" ref="W339">INDEX(INC_MINVALUES,$V339,$K$1)</f>
        <v>34</v>
      </c>
      <c r="X339" s="212">
        <f t="array" ref="X339">INDEX(INC_INCVALUES,$V339,$K$1)</f>
        <v>0.3</v>
      </c>
    </row>
    <row r="340" ht="15.75" customHeight="1">
      <c r="A340" s="435"/>
      <c r="B340" s="436"/>
      <c r="C340" s="95" t="str">
        <f t="array" ref="C340">IF(I340&gt;0,INDEX(DB,I340,8),"")</f>
        <v/>
      </c>
      <c r="D340" s="437">
        <f t="shared" si="1"/>
        <v>0</v>
      </c>
      <c r="F340" s="438">
        <f t="shared" si="2"/>
        <v>0</v>
      </c>
      <c r="G340" t="str">
        <f t="shared" si="3"/>
        <v/>
      </c>
      <c r="H340" t="b">
        <f t="shared" si="4"/>
        <v>0</v>
      </c>
      <c r="I340" s="439">
        <f>IF(OR(ISBLANK(A340),ISNA(MATCH(A340&amp;"",AthleteNumbers,0))),0,MATCH(A340&amp;"",AthleteNumbers,0))</f>
        <v>0</v>
      </c>
      <c r="J340" s="209">
        <f t="array" ref="J340">IF(I340&gt;0,INDEX(DB,$I340,6),0)</f>
        <v>0</v>
      </c>
      <c r="K340" s="440">
        <f t="shared" si="5"/>
        <v>0</v>
      </c>
      <c r="L340" s="440">
        <f t="shared" si="6"/>
        <v>0</v>
      </c>
      <c r="M340" s="441">
        <f>IF(AND(L340&gt;O340,O340&gt;0),MinPoints,IF(L340&lt;N340,100,+INT((O340-$L340)/P340)+MinPoints))</f>
        <v>100</v>
      </c>
      <c r="N340" s="440">
        <f t="shared" si="7"/>
        <v>7</v>
      </c>
      <c r="O340" s="440">
        <f t="shared" si="8"/>
        <v>16</v>
      </c>
      <c r="P340" s="440">
        <f t="shared" si="9"/>
        <v>0.1</v>
      </c>
      <c r="Q340">
        <f t="array" ref="Q340">IF(I340&gt;0,INDEX(DB,I340,9),EventIndex)</f>
        <v>6</v>
      </c>
      <c r="S340" s="442">
        <f t="array" ref="S340">INDEX(MINVALUES,$Q340,$K$1)</f>
        <v>16</v>
      </c>
      <c r="T340">
        <f t="array" ref="T340">INDEX(INCVALUES,$Q340,$K$1)</f>
        <v>0.1</v>
      </c>
      <c r="V340">
        <f t="array" ref="V340">+J340+(4*(INDEX(MatchScoreTable,$Q340,20)-1))</f>
        <v>4</v>
      </c>
      <c r="W340">
        <f t="array" ref="W340">INDEX(INC_MINVALUES,$V340,$K$1)</f>
        <v>34</v>
      </c>
      <c r="X340" s="212">
        <f t="array" ref="X340">INDEX(INC_INCVALUES,$V340,$K$1)</f>
        <v>0.3</v>
      </c>
    </row>
    <row r="341" ht="15.75" customHeight="1">
      <c r="A341" s="435"/>
      <c r="B341" s="436"/>
      <c r="C341" s="95" t="str">
        <f t="array" ref="C341">IF(I341&gt;0,INDEX(DB,I341,8),"")</f>
        <v/>
      </c>
      <c r="D341" s="437">
        <f t="shared" si="1"/>
        <v>0</v>
      </c>
      <c r="F341" s="438">
        <f t="shared" si="2"/>
        <v>0</v>
      </c>
      <c r="G341" t="str">
        <f t="shared" si="3"/>
        <v/>
      </c>
      <c r="H341" t="b">
        <f t="shared" si="4"/>
        <v>0</v>
      </c>
      <c r="I341" s="439">
        <f>IF(OR(ISBLANK(A341),ISNA(MATCH(A341&amp;"",AthleteNumbers,0))),0,MATCH(A341&amp;"",AthleteNumbers,0))</f>
        <v>0</v>
      </c>
      <c r="J341" s="209">
        <f t="array" ref="J341">IF(I341&gt;0,INDEX(DB,$I341,6),0)</f>
        <v>0</v>
      </c>
      <c r="K341" s="440">
        <f t="shared" si="5"/>
        <v>0</v>
      </c>
      <c r="L341" s="440">
        <f t="shared" si="6"/>
        <v>0</v>
      </c>
      <c r="M341" s="441">
        <f>IF(AND(L341&gt;O341,O341&gt;0),MinPoints,IF(L341&lt;N341,100,+INT((O341-$L341)/P341)+MinPoints))</f>
        <v>100</v>
      </c>
      <c r="N341" s="440">
        <f t="shared" si="7"/>
        <v>7</v>
      </c>
      <c r="O341" s="440">
        <f t="shared" si="8"/>
        <v>16</v>
      </c>
      <c r="P341" s="440">
        <f t="shared" si="9"/>
        <v>0.1</v>
      </c>
      <c r="Q341">
        <f t="array" ref="Q341">IF(I341&gt;0,INDEX(DB,I341,9),EventIndex)</f>
        <v>6</v>
      </c>
      <c r="S341" s="442">
        <f t="array" ref="S341">INDEX(MINVALUES,$Q341,$K$1)</f>
        <v>16</v>
      </c>
      <c r="T341">
        <f t="array" ref="T341">INDEX(INCVALUES,$Q341,$K$1)</f>
        <v>0.1</v>
      </c>
      <c r="V341">
        <f t="array" ref="V341">+J341+(4*(INDEX(MatchScoreTable,$Q341,20)-1))</f>
        <v>4</v>
      </c>
      <c r="W341">
        <f t="array" ref="W341">INDEX(INC_MINVALUES,$V341,$K$1)</f>
        <v>34</v>
      </c>
      <c r="X341" s="212">
        <f t="array" ref="X341">INDEX(INC_INCVALUES,$V341,$K$1)</f>
        <v>0.3</v>
      </c>
    </row>
    <row r="342" ht="15.75" customHeight="1">
      <c r="A342" s="435"/>
      <c r="B342" s="436"/>
      <c r="C342" s="95" t="str">
        <f t="array" ref="C342">IF(I342&gt;0,INDEX(DB,I342,8),"")</f>
        <v/>
      </c>
      <c r="D342" s="437">
        <f t="shared" si="1"/>
        <v>0</v>
      </c>
      <c r="F342" s="438">
        <f t="shared" si="2"/>
        <v>0</v>
      </c>
      <c r="G342" t="str">
        <f t="shared" si="3"/>
        <v/>
      </c>
      <c r="H342" t="b">
        <f t="shared" si="4"/>
        <v>0</v>
      </c>
      <c r="I342" s="439">
        <f>IF(OR(ISBLANK(A342),ISNA(MATCH(A342&amp;"",AthleteNumbers,0))),0,MATCH(A342&amp;"",AthleteNumbers,0))</f>
        <v>0</v>
      </c>
      <c r="J342" s="209">
        <f t="array" ref="J342">IF(I342&gt;0,INDEX(DB,$I342,6),0)</f>
        <v>0</v>
      </c>
      <c r="K342" s="440">
        <f t="shared" si="5"/>
        <v>0</v>
      </c>
      <c r="L342" s="440">
        <f t="shared" si="6"/>
        <v>0</v>
      </c>
      <c r="M342" s="441">
        <f>IF(AND(L342&gt;O342,O342&gt;0),MinPoints,IF(L342&lt;N342,100,+INT((O342-$L342)/P342)+MinPoints))</f>
        <v>100</v>
      </c>
      <c r="N342" s="440">
        <f t="shared" si="7"/>
        <v>7</v>
      </c>
      <c r="O342" s="440">
        <f t="shared" si="8"/>
        <v>16</v>
      </c>
      <c r="P342" s="440">
        <f t="shared" si="9"/>
        <v>0.1</v>
      </c>
      <c r="Q342">
        <f t="array" ref="Q342">IF(I342&gt;0,INDEX(DB,I342,9),EventIndex)</f>
        <v>6</v>
      </c>
      <c r="S342" s="442">
        <f t="array" ref="S342">INDEX(MINVALUES,$Q342,$K$1)</f>
        <v>16</v>
      </c>
      <c r="T342">
        <f t="array" ref="T342">INDEX(INCVALUES,$Q342,$K$1)</f>
        <v>0.1</v>
      </c>
      <c r="V342">
        <f t="array" ref="V342">+J342+(4*(INDEX(MatchScoreTable,$Q342,20)-1))</f>
        <v>4</v>
      </c>
      <c r="W342">
        <f t="array" ref="W342">INDEX(INC_MINVALUES,$V342,$K$1)</f>
        <v>34</v>
      </c>
      <c r="X342" s="212">
        <f t="array" ref="X342">INDEX(INC_INCVALUES,$V342,$K$1)</f>
        <v>0.3</v>
      </c>
    </row>
    <row r="343" ht="15.75" customHeight="1">
      <c r="A343" s="435"/>
      <c r="B343" s="436"/>
      <c r="C343" s="95" t="str">
        <f t="array" ref="C343">IF(I343&gt;0,INDEX(DB,I343,8),"")</f>
        <v/>
      </c>
      <c r="D343" s="437">
        <f t="shared" si="1"/>
        <v>0</v>
      </c>
      <c r="F343" s="438">
        <f t="shared" si="2"/>
        <v>0</v>
      </c>
      <c r="G343" t="str">
        <f t="shared" si="3"/>
        <v/>
      </c>
      <c r="H343" t="b">
        <f t="shared" si="4"/>
        <v>0</v>
      </c>
      <c r="I343" s="439">
        <f>IF(OR(ISBLANK(A343),ISNA(MATCH(A343&amp;"",AthleteNumbers,0))),0,MATCH(A343&amp;"",AthleteNumbers,0))</f>
        <v>0</v>
      </c>
      <c r="J343" s="209">
        <f t="array" ref="J343">IF(I343&gt;0,INDEX(DB,$I343,6),0)</f>
        <v>0</v>
      </c>
      <c r="K343" s="440">
        <f t="shared" si="5"/>
        <v>0</v>
      </c>
      <c r="L343" s="440">
        <f t="shared" si="6"/>
        <v>0</v>
      </c>
      <c r="M343" s="441">
        <f>IF(AND(L343&gt;O343,O343&gt;0),MinPoints,IF(L343&lt;N343,100,+INT((O343-$L343)/P343)+MinPoints))</f>
        <v>100</v>
      </c>
      <c r="N343" s="440">
        <f t="shared" si="7"/>
        <v>7</v>
      </c>
      <c r="O343" s="440">
        <f t="shared" si="8"/>
        <v>16</v>
      </c>
      <c r="P343" s="440">
        <f t="shared" si="9"/>
        <v>0.1</v>
      </c>
      <c r="Q343">
        <f t="array" ref="Q343">IF(I343&gt;0,INDEX(DB,I343,9),EventIndex)</f>
        <v>6</v>
      </c>
      <c r="S343" s="442">
        <f t="array" ref="S343">INDEX(MINVALUES,$Q343,$K$1)</f>
        <v>16</v>
      </c>
      <c r="T343">
        <f t="array" ref="T343">INDEX(INCVALUES,$Q343,$K$1)</f>
        <v>0.1</v>
      </c>
      <c r="V343">
        <f t="array" ref="V343">+J343+(4*(INDEX(MatchScoreTable,$Q343,20)-1))</f>
        <v>4</v>
      </c>
      <c r="W343">
        <f t="array" ref="W343">INDEX(INC_MINVALUES,$V343,$K$1)</f>
        <v>34</v>
      </c>
      <c r="X343" s="212">
        <f t="array" ref="X343">INDEX(INC_INCVALUES,$V343,$K$1)</f>
        <v>0.3</v>
      </c>
    </row>
    <row r="344" ht="15.75" customHeight="1">
      <c r="A344" s="435"/>
      <c r="B344" s="436"/>
      <c r="C344" s="95" t="str">
        <f t="array" ref="C344">IF(I344&gt;0,INDEX(DB,I344,8),"")</f>
        <v/>
      </c>
      <c r="D344" s="437">
        <f t="shared" si="1"/>
        <v>0</v>
      </c>
      <c r="F344" s="438">
        <f t="shared" si="2"/>
        <v>0</v>
      </c>
      <c r="G344" t="str">
        <f t="shared" si="3"/>
        <v/>
      </c>
      <c r="H344" t="b">
        <f t="shared" si="4"/>
        <v>0</v>
      </c>
      <c r="I344" s="439">
        <f>IF(OR(ISBLANK(A344),ISNA(MATCH(A344&amp;"",AthleteNumbers,0))),0,MATCH(A344&amp;"",AthleteNumbers,0))</f>
        <v>0</v>
      </c>
      <c r="J344" s="209">
        <f t="array" ref="J344">IF(I344&gt;0,INDEX(DB,$I344,6),0)</f>
        <v>0</v>
      </c>
      <c r="K344" s="440">
        <f t="shared" si="5"/>
        <v>0</v>
      </c>
      <c r="L344" s="440">
        <f t="shared" si="6"/>
        <v>0</v>
      </c>
      <c r="M344" s="441">
        <f>IF(AND(L344&gt;O344,O344&gt;0),MinPoints,IF(L344&lt;N344,100,+INT((O344-$L344)/P344)+MinPoints))</f>
        <v>100</v>
      </c>
      <c r="N344" s="440">
        <f t="shared" si="7"/>
        <v>7</v>
      </c>
      <c r="O344" s="440">
        <f t="shared" si="8"/>
        <v>16</v>
      </c>
      <c r="P344" s="440">
        <f t="shared" si="9"/>
        <v>0.1</v>
      </c>
      <c r="Q344">
        <f t="array" ref="Q344">IF(I344&gt;0,INDEX(DB,I344,9),EventIndex)</f>
        <v>6</v>
      </c>
      <c r="S344" s="442">
        <f t="array" ref="S344">INDEX(MINVALUES,$Q344,$K$1)</f>
        <v>16</v>
      </c>
      <c r="T344">
        <f t="array" ref="T344">INDEX(INCVALUES,$Q344,$K$1)</f>
        <v>0.1</v>
      </c>
      <c r="V344">
        <f t="array" ref="V344">+J344+(4*(INDEX(MatchScoreTable,$Q344,20)-1))</f>
        <v>4</v>
      </c>
      <c r="W344">
        <f t="array" ref="W344">INDEX(INC_MINVALUES,$V344,$K$1)</f>
        <v>34</v>
      </c>
      <c r="X344" s="212">
        <f t="array" ref="X344">INDEX(INC_INCVALUES,$V344,$K$1)</f>
        <v>0.3</v>
      </c>
    </row>
    <row r="345" ht="15.75" customHeight="1">
      <c r="A345" s="435"/>
      <c r="B345" s="436"/>
      <c r="C345" s="95" t="str">
        <f t="array" ref="C345">IF(I345&gt;0,INDEX(DB,I345,8),"")</f>
        <v/>
      </c>
      <c r="D345" s="437">
        <f t="shared" si="1"/>
        <v>0</v>
      </c>
      <c r="F345" s="438">
        <f t="shared" si="2"/>
        <v>0</v>
      </c>
      <c r="G345" t="str">
        <f t="shared" si="3"/>
        <v/>
      </c>
      <c r="H345" t="b">
        <f t="shared" si="4"/>
        <v>0</v>
      </c>
      <c r="I345" s="439">
        <f>IF(OR(ISBLANK(A345),ISNA(MATCH(A345&amp;"",AthleteNumbers,0))),0,MATCH(A345&amp;"",AthleteNumbers,0))</f>
        <v>0</v>
      </c>
      <c r="J345" s="209">
        <f t="array" ref="J345">IF(I345&gt;0,INDEX(DB,$I345,6),0)</f>
        <v>0</v>
      </c>
      <c r="K345" s="440">
        <f t="shared" si="5"/>
        <v>0</v>
      </c>
      <c r="L345" s="440">
        <f t="shared" si="6"/>
        <v>0</v>
      </c>
      <c r="M345" s="441">
        <f>IF(AND(L345&gt;O345,O345&gt;0),MinPoints,IF(L345&lt;N345,100,+INT((O345-$L345)/P345)+MinPoints))</f>
        <v>100</v>
      </c>
      <c r="N345" s="440">
        <f t="shared" si="7"/>
        <v>7</v>
      </c>
      <c r="O345" s="440">
        <f t="shared" si="8"/>
        <v>16</v>
      </c>
      <c r="P345" s="440">
        <f t="shared" si="9"/>
        <v>0.1</v>
      </c>
      <c r="Q345">
        <f t="array" ref="Q345">IF(I345&gt;0,INDEX(DB,I345,9),EventIndex)</f>
        <v>6</v>
      </c>
      <c r="S345" s="442">
        <f t="array" ref="S345">INDEX(MINVALUES,$Q345,$K$1)</f>
        <v>16</v>
      </c>
      <c r="T345">
        <f t="array" ref="T345">INDEX(INCVALUES,$Q345,$K$1)</f>
        <v>0.1</v>
      </c>
      <c r="V345">
        <f t="array" ref="V345">+J345+(4*(INDEX(MatchScoreTable,$Q345,20)-1))</f>
        <v>4</v>
      </c>
      <c r="W345">
        <f t="array" ref="W345">INDEX(INC_MINVALUES,$V345,$K$1)</f>
        <v>34</v>
      </c>
      <c r="X345" s="212">
        <f t="array" ref="X345">INDEX(INC_INCVALUES,$V345,$K$1)</f>
        <v>0.3</v>
      </c>
    </row>
    <row r="346" ht="15.75" customHeight="1">
      <c r="A346" s="435"/>
      <c r="B346" s="436"/>
      <c r="C346" s="95" t="str">
        <f t="array" ref="C346">IF(I346&gt;0,INDEX(DB,I346,8),"")</f>
        <v/>
      </c>
      <c r="D346" s="437">
        <f t="shared" si="1"/>
        <v>0</v>
      </c>
      <c r="F346" s="438">
        <f t="shared" si="2"/>
        <v>0</v>
      </c>
      <c r="G346" t="str">
        <f t="shared" si="3"/>
        <v/>
      </c>
      <c r="H346" t="b">
        <f t="shared" si="4"/>
        <v>0</v>
      </c>
      <c r="I346" s="439">
        <f>IF(OR(ISBLANK(A346),ISNA(MATCH(A346&amp;"",AthleteNumbers,0))),0,MATCH(A346&amp;"",AthleteNumbers,0))</f>
        <v>0</v>
      </c>
      <c r="J346" s="209">
        <f t="array" ref="J346">IF(I346&gt;0,INDEX(DB,$I346,6),0)</f>
        <v>0</v>
      </c>
      <c r="K346" s="440">
        <f t="shared" si="5"/>
        <v>0</v>
      </c>
      <c r="L346" s="440">
        <f t="shared" si="6"/>
        <v>0</v>
      </c>
      <c r="M346" s="441">
        <f>IF(AND(L346&gt;O346,O346&gt;0),MinPoints,IF(L346&lt;N346,100,+INT((O346-$L346)/P346)+MinPoints))</f>
        <v>100</v>
      </c>
      <c r="N346" s="440">
        <f t="shared" si="7"/>
        <v>7</v>
      </c>
      <c r="O346" s="440">
        <f t="shared" si="8"/>
        <v>16</v>
      </c>
      <c r="P346" s="440">
        <f t="shared" si="9"/>
        <v>0.1</v>
      </c>
      <c r="Q346">
        <f t="array" ref="Q346">IF(I346&gt;0,INDEX(DB,I346,9),EventIndex)</f>
        <v>6</v>
      </c>
      <c r="S346" s="442">
        <f t="array" ref="S346">INDEX(MINVALUES,$Q346,$K$1)</f>
        <v>16</v>
      </c>
      <c r="T346">
        <f t="array" ref="T346">INDEX(INCVALUES,$Q346,$K$1)</f>
        <v>0.1</v>
      </c>
      <c r="V346">
        <f t="array" ref="V346">+J346+(4*(INDEX(MatchScoreTable,$Q346,20)-1))</f>
        <v>4</v>
      </c>
      <c r="W346">
        <f t="array" ref="W346">INDEX(INC_MINVALUES,$V346,$K$1)</f>
        <v>34</v>
      </c>
      <c r="X346" s="212">
        <f t="array" ref="X346">INDEX(INC_INCVALUES,$V346,$K$1)</f>
        <v>0.3</v>
      </c>
    </row>
    <row r="347" ht="15.75" customHeight="1">
      <c r="A347" s="435"/>
      <c r="B347" s="436"/>
      <c r="C347" s="95" t="str">
        <f t="array" ref="C347">IF(I347&gt;0,INDEX(DB,I347,8),"")</f>
        <v/>
      </c>
      <c r="D347" s="437">
        <f t="shared" si="1"/>
        <v>0</v>
      </c>
      <c r="F347" s="438">
        <f t="shared" si="2"/>
        <v>0</v>
      </c>
      <c r="G347" t="str">
        <f t="shared" si="3"/>
        <v/>
      </c>
      <c r="H347" t="b">
        <f t="shared" si="4"/>
        <v>0</v>
      </c>
      <c r="I347" s="439">
        <f>IF(OR(ISBLANK(A347),ISNA(MATCH(A347&amp;"",AthleteNumbers,0))),0,MATCH(A347&amp;"",AthleteNumbers,0))</f>
        <v>0</v>
      </c>
      <c r="J347" s="209">
        <f t="array" ref="J347">IF(I347&gt;0,INDEX(DB,$I347,6),0)</f>
        <v>0</v>
      </c>
      <c r="K347" s="440">
        <f t="shared" si="5"/>
        <v>0</v>
      </c>
      <c r="L347" s="440">
        <f t="shared" si="6"/>
        <v>0</v>
      </c>
      <c r="M347" s="441">
        <f>IF(AND(L347&gt;O347,O347&gt;0),MinPoints,IF(L347&lt;N347,100,+INT((O347-$L347)/P347)+MinPoints))</f>
        <v>100</v>
      </c>
      <c r="N347" s="440">
        <f t="shared" si="7"/>
        <v>7</v>
      </c>
      <c r="O347" s="440">
        <f t="shared" si="8"/>
        <v>16</v>
      </c>
      <c r="P347" s="440">
        <f t="shared" si="9"/>
        <v>0.1</v>
      </c>
      <c r="Q347">
        <f t="array" ref="Q347">IF(I347&gt;0,INDEX(DB,I347,9),EventIndex)</f>
        <v>6</v>
      </c>
      <c r="S347" s="442">
        <f t="array" ref="S347">INDEX(MINVALUES,$Q347,$K$1)</f>
        <v>16</v>
      </c>
      <c r="T347">
        <f t="array" ref="T347">INDEX(INCVALUES,$Q347,$K$1)</f>
        <v>0.1</v>
      </c>
      <c r="V347">
        <f t="array" ref="V347">+J347+(4*(INDEX(MatchScoreTable,$Q347,20)-1))</f>
        <v>4</v>
      </c>
      <c r="W347">
        <f t="array" ref="W347">INDEX(INC_MINVALUES,$V347,$K$1)</f>
        <v>34</v>
      </c>
      <c r="X347" s="212">
        <f t="array" ref="X347">INDEX(INC_INCVALUES,$V347,$K$1)</f>
        <v>0.3</v>
      </c>
    </row>
    <row r="348" ht="15.75" customHeight="1">
      <c r="A348" s="435"/>
      <c r="B348" s="436"/>
      <c r="C348" s="95" t="str">
        <f t="array" ref="C348">IF(I348&gt;0,INDEX(DB,I348,8),"")</f>
        <v/>
      </c>
      <c r="D348" s="437">
        <f t="shared" si="1"/>
        <v>0</v>
      </c>
      <c r="F348" s="438">
        <f t="shared" si="2"/>
        <v>0</v>
      </c>
      <c r="G348" t="str">
        <f t="shared" si="3"/>
        <v/>
      </c>
      <c r="H348" t="b">
        <f t="shared" si="4"/>
        <v>0</v>
      </c>
      <c r="I348" s="439">
        <f>IF(OR(ISBLANK(A348),ISNA(MATCH(A348&amp;"",AthleteNumbers,0))),0,MATCH(A348&amp;"",AthleteNumbers,0))</f>
        <v>0</v>
      </c>
      <c r="J348" s="209">
        <f t="array" ref="J348">IF(I348&gt;0,INDEX(DB,$I348,6),0)</f>
        <v>0</v>
      </c>
      <c r="K348" s="440">
        <f t="shared" si="5"/>
        <v>0</v>
      </c>
      <c r="L348" s="440">
        <f t="shared" si="6"/>
        <v>0</v>
      </c>
      <c r="M348" s="441">
        <f>IF(AND(L348&gt;O348,O348&gt;0),MinPoints,IF(L348&lt;N348,100,+INT((O348-$L348)/P348)+MinPoints))</f>
        <v>100</v>
      </c>
      <c r="N348" s="440">
        <f t="shared" si="7"/>
        <v>7</v>
      </c>
      <c r="O348" s="440">
        <f t="shared" si="8"/>
        <v>16</v>
      </c>
      <c r="P348" s="440">
        <f t="shared" si="9"/>
        <v>0.1</v>
      </c>
      <c r="Q348">
        <f t="array" ref="Q348">IF(I348&gt;0,INDEX(DB,I348,9),EventIndex)</f>
        <v>6</v>
      </c>
      <c r="S348" s="442">
        <f t="array" ref="S348">INDEX(MINVALUES,$Q348,$K$1)</f>
        <v>16</v>
      </c>
      <c r="T348">
        <f t="array" ref="T348">INDEX(INCVALUES,$Q348,$K$1)</f>
        <v>0.1</v>
      </c>
      <c r="V348">
        <f t="array" ref="V348">+J348+(4*(INDEX(MatchScoreTable,$Q348,20)-1))</f>
        <v>4</v>
      </c>
      <c r="W348">
        <f t="array" ref="W348">INDEX(INC_MINVALUES,$V348,$K$1)</f>
        <v>34</v>
      </c>
      <c r="X348" s="212">
        <f t="array" ref="X348">INDEX(INC_INCVALUES,$V348,$K$1)</f>
        <v>0.3</v>
      </c>
    </row>
    <row r="349" ht="15.75" customHeight="1">
      <c r="A349" s="435"/>
      <c r="B349" s="436"/>
      <c r="C349" s="95" t="str">
        <f t="array" ref="C349">IF(I349&gt;0,INDEX(DB,I349,8),"")</f>
        <v/>
      </c>
      <c r="D349" s="437">
        <f t="shared" si="1"/>
        <v>0</v>
      </c>
      <c r="F349" s="438">
        <f t="shared" si="2"/>
        <v>0</v>
      </c>
      <c r="G349" t="str">
        <f t="shared" si="3"/>
        <v/>
      </c>
      <c r="H349" t="b">
        <f t="shared" si="4"/>
        <v>0</v>
      </c>
      <c r="I349" s="439">
        <f>IF(OR(ISBLANK(A349),ISNA(MATCH(A349&amp;"",AthleteNumbers,0))),0,MATCH(A349&amp;"",AthleteNumbers,0))</f>
        <v>0</v>
      </c>
      <c r="J349" s="209">
        <f t="array" ref="J349">IF(I349&gt;0,INDEX(DB,$I349,6),0)</f>
        <v>0</v>
      </c>
      <c r="K349" s="440">
        <f t="shared" si="5"/>
        <v>0</v>
      </c>
      <c r="L349" s="440">
        <f t="shared" si="6"/>
        <v>0</v>
      </c>
      <c r="M349" s="441">
        <f>IF(AND(L349&gt;O349,O349&gt;0),MinPoints,IF(L349&lt;N349,100,+INT((O349-$L349)/P349)+MinPoints))</f>
        <v>100</v>
      </c>
      <c r="N349" s="440">
        <f t="shared" si="7"/>
        <v>7</v>
      </c>
      <c r="O349" s="440">
        <f t="shared" si="8"/>
        <v>16</v>
      </c>
      <c r="P349" s="440">
        <f t="shared" si="9"/>
        <v>0.1</v>
      </c>
      <c r="Q349">
        <f t="array" ref="Q349">IF(I349&gt;0,INDEX(DB,I349,9),EventIndex)</f>
        <v>6</v>
      </c>
      <c r="S349" s="442">
        <f t="array" ref="S349">INDEX(MINVALUES,$Q349,$K$1)</f>
        <v>16</v>
      </c>
      <c r="T349">
        <f t="array" ref="T349">INDEX(INCVALUES,$Q349,$K$1)</f>
        <v>0.1</v>
      </c>
      <c r="V349">
        <f t="array" ref="V349">+J349+(4*(INDEX(MatchScoreTable,$Q349,20)-1))</f>
        <v>4</v>
      </c>
      <c r="W349">
        <f t="array" ref="W349">INDEX(INC_MINVALUES,$V349,$K$1)</f>
        <v>34</v>
      </c>
      <c r="X349" s="212">
        <f t="array" ref="X349">INDEX(INC_INCVALUES,$V349,$K$1)</f>
        <v>0.3</v>
      </c>
    </row>
    <row r="350" ht="15.75" customHeight="1">
      <c r="A350" s="435"/>
      <c r="B350" s="436"/>
      <c r="C350" s="95" t="str">
        <f t="array" ref="C350">IF(I350&gt;0,INDEX(DB,I350,8),"")</f>
        <v/>
      </c>
      <c r="D350" s="437">
        <f t="shared" si="1"/>
        <v>0</v>
      </c>
      <c r="F350" s="438">
        <f t="shared" si="2"/>
        <v>0</v>
      </c>
      <c r="G350" t="str">
        <f t="shared" si="3"/>
        <v/>
      </c>
      <c r="H350" t="b">
        <f t="shared" si="4"/>
        <v>0</v>
      </c>
      <c r="I350" s="439">
        <f>IF(OR(ISBLANK(A350),ISNA(MATCH(A350&amp;"",AthleteNumbers,0))),0,MATCH(A350&amp;"",AthleteNumbers,0))</f>
        <v>0</v>
      </c>
      <c r="J350" s="209">
        <f t="array" ref="J350">IF(I350&gt;0,INDEX(DB,$I350,6),0)</f>
        <v>0</v>
      </c>
      <c r="K350" s="440">
        <f t="shared" si="5"/>
        <v>0</v>
      </c>
      <c r="L350" s="440">
        <f t="shared" si="6"/>
        <v>0</v>
      </c>
      <c r="M350" s="441">
        <f>IF(AND(L350&gt;O350,O350&gt;0),MinPoints,IF(L350&lt;N350,100,+INT((O350-$L350)/P350)+MinPoints))</f>
        <v>100</v>
      </c>
      <c r="N350" s="440">
        <f t="shared" si="7"/>
        <v>7</v>
      </c>
      <c r="O350" s="440">
        <f t="shared" si="8"/>
        <v>16</v>
      </c>
      <c r="P350" s="440">
        <f t="shared" si="9"/>
        <v>0.1</v>
      </c>
      <c r="Q350">
        <f t="array" ref="Q350">IF(I350&gt;0,INDEX(DB,I350,9),EventIndex)</f>
        <v>6</v>
      </c>
      <c r="S350" s="442">
        <f t="array" ref="S350">INDEX(MINVALUES,$Q350,$K$1)</f>
        <v>16</v>
      </c>
      <c r="T350">
        <f t="array" ref="T350">INDEX(INCVALUES,$Q350,$K$1)</f>
        <v>0.1</v>
      </c>
      <c r="V350">
        <f t="array" ref="V350">+J350+(4*(INDEX(MatchScoreTable,$Q350,20)-1))</f>
        <v>4</v>
      </c>
      <c r="W350">
        <f t="array" ref="W350">INDEX(INC_MINVALUES,$V350,$K$1)</f>
        <v>34</v>
      </c>
      <c r="X350" s="212">
        <f t="array" ref="X350">INDEX(INC_INCVALUES,$V350,$K$1)</f>
        <v>0.3</v>
      </c>
    </row>
    <row r="351" ht="15.75" customHeight="1">
      <c r="A351" s="435"/>
      <c r="B351" s="436"/>
      <c r="C351" s="95" t="str">
        <f t="array" ref="C351">IF(I351&gt;0,INDEX(DB,I351,8),"")</f>
        <v/>
      </c>
      <c r="D351" s="437">
        <f t="shared" si="1"/>
        <v>0</v>
      </c>
      <c r="F351" s="438">
        <f t="shared" si="2"/>
        <v>0</v>
      </c>
      <c r="G351" t="str">
        <f t="shared" si="3"/>
        <v/>
      </c>
      <c r="H351" t="b">
        <f t="shared" si="4"/>
        <v>0</v>
      </c>
      <c r="I351" s="439">
        <f>IF(OR(ISBLANK(A351),ISNA(MATCH(A351&amp;"",AthleteNumbers,0))),0,MATCH(A351&amp;"",AthleteNumbers,0))</f>
        <v>0</v>
      </c>
      <c r="J351" s="209">
        <f t="array" ref="J351">IF(I351&gt;0,INDEX(DB,$I351,6),0)</f>
        <v>0</v>
      </c>
      <c r="K351" s="440">
        <f t="shared" si="5"/>
        <v>0</v>
      </c>
      <c r="L351" s="440">
        <f t="shared" si="6"/>
        <v>0</v>
      </c>
      <c r="M351" s="441">
        <f>IF(AND(L351&gt;O351,O351&gt;0),MinPoints,IF(L351&lt;N351,100,+INT((O351-$L351)/P351)+MinPoints))</f>
        <v>100</v>
      </c>
      <c r="N351" s="440">
        <f t="shared" si="7"/>
        <v>7</v>
      </c>
      <c r="O351" s="440">
        <f t="shared" si="8"/>
        <v>16</v>
      </c>
      <c r="P351" s="440">
        <f t="shared" si="9"/>
        <v>0.1</v>
      </c>
      <c r="Q351">
        <f t="array" ref="Q351">IF(I351&gt;0,INDEX(DB,I351,9),EventIndex)</f>
        <v>6</v>
      </c>
      <c r="S351" s="442">
        <f t="array" ref="S351">INDEX(MINVALUES,$Q351,$K$1)</f>
        <v>16</v>
      </c>
      <c r="T351">
        <f t="array" ref="T351">INDEX(INCVALUES,$Q351,$K$1)</f>
        <v>0.1</v>
      </c>
      <c r="V351">
        <f t="array" ref="V351">+J351+(4*(INDEX(MatchScoreTable,$Q351,20)-1))</f>
        <v>4</v>
      </c>
      <c r="W351">
        <f t="array" ref="W351">INDEX(INC_MINVALUES,$V351,$K$1)</f>
        <v>34</v>
      </c>
      <c r="X351" s="212">
        <f t="array" ref="X351">INDEX(INC_INCVALUES,$V351,$K$1)</f>
        <v>0.3</v>
      </c>
    </row>
    <row r="352" ht="15.75" customHeight="1">
      <c r="A352" s="435"/>
      <c r="B352" s="436"/>
      <c r="C352" s="95" t="str">
        <f t="array" ref="C352">IF(I352&gt;0,INDEX(DB,I352,8),"")</f>
        <v/>
      </c>
      <c r="D352" s="437">
        <f t="shared" si="1"/>
        <v>0</v>
      </c>
      <c r="F352" s="438">
        <f t="shared" si="2"/>
        <v>0</v>
      </c>
      <c r="G352" t="str">
        <f t="shared" si="3"/>
        <v/>
      </c>
      <c r="H352" t="b">
        <f t="shared" si="4"/>
        <v>0</v>
      </c>
      <c r="I352" s="439">
        <f>IF(OR(ISBLANK(A352),ISNA(MATCH(A352&amp;"",AthleteNumbers,0))),0,MATCH(A352&amp;"",AthleteNumbers,0))</f>
        <v>0</v>
      </c>
      <c r="J352" s="209">
        <f t="array" ref="J352">IF(I352&gt;0,INDEX(DB,$I352,6),0)</f>
        <v>0</v>
      </c>
      <c r="K352" s="440">
        <f t="shared" si="5"/>
        <v>0</v>
      </c>
      <c r="L352" s="440">
        <f t="shared" si="6"/>
        <v>0</v>
      </c>
      <c r="M352" s="441">
        <f>IF(AND(L352&gt;O352,O352&gt;0),MinPoints,IF(L352&lt;N352,100,+INT((O352-$L352)/P352)+MinPoints))</f>
        <v>100</v>
      </c>
      <c r="N352" s="440">
        <f t="shared" si="7"/>
        <v>7</v>
      </c>
      <c r="O352" s="440">
        <f t="shared" si="8"/>
        <v>16</v>
      </c>
      <c r="P352" s="440">
        <f t="shared" si="9"/>
        <v>0.1</v>
      </c>
      <c r="Q352">
        <f t="array" ref="Q352">IF(I352&gt;0,INDEX(DB,I352,9),EventIndex)</f>
        <v>6</v>
      </c>
      <c r="S352" s="442">
        <f t="array" ref="S352">INDEX(MINVALUES,$Q352,$K$1)</f>
        <v>16</v>
      </c>
      <c r="T352">
        <f t="array" ref="T352">INDEX(INCVALUES,$Q352,$K$1)</f>
        <v>0.1</v>
      </c>
      <c r="V352">
        <f t="array" ref="V352">+J352+(4*(INDEX(MatchScoreTable,$Q352,20)-1))</f>
        <v>4</v>
      </c>
      <c r="W352">
        <f t="array" ref="W352">INDEX(INC_MINVALUES,$V352,$K$1)</f>
        <v>34</v>
      </c>
      <c r="X352" s="212">
        <f t="array" ref="X352">INDEX(INC_INCVALUES,$V352,$K$1)</f>
        <v>0.3</v>
      </c>
    </row>
    <row r="353" ht="15.75" customHeight="1">
      <c r="A353" s="435"/>
      <c r="B353" s="436"/>
      <c r="C353" s="95" t="str">
        <f t="array" ref="C353">IF(I353&gt;0,INDEX(DB,I353,8),"")</f>
        <v/>
      </c>
      <c r="D353" s="437">
        <f t="shared" si="1"/>
        <v>0</v>
      </c>
      <c r="F353" s="438">
        <f t="shared" si="2"/>
        <v>0</v>
      </c>
      <c r="G353" t="str">
        <f t="shared" si="3"/>
        <v/>
      </c>
      <c r="H353" t="b">
        <f t="shared" si="4"/>
        <v>0</v>
      </c>
      <c r="I353" s="439">
        <f>IF(OR(ISBLANK(A353),ISNA(MATCH(A353&amp;"",AthleteNumbers,0))),0,MATCH(A353&amp;"",AthleteNumbers,0))</f>
        <v>0</v>
      </c>
      <c r="J353" s="209">
        <f t="array" ref="J353">IF(I353&gt;0,INDEX(DB,$I353,6),0)</f>
        <v>0</v>
      </c>
      <c r="K353" s="440">
        <f t="shared" si="5"/>
        <v>0</v>
      </c>
      <c r="L353" s="440">
        <f t="shared" si="6"/>
        <v>0</v>
      </c>
      <c r="M353" s="441">
        <f>IF(AND(L353&gt;O353,O353&gt;0),MinPoints,IF(L353&lt;N353,100,+INT((O353-$L353)/P353)+MinPoints))</f>
        <v>100</v>
      </c>
      <c r="N353" s="440">
        <f t="shared" si="7"/>
        <v>7</v>
      </c>
      <c r="O353" s="440">
        <f t="shared" si="8"/>
        <v>16</v>
      </c>
      <c r="P353" s="440">
        <f t="shared" si="9"/>
        <v>0.1</v>
      </c>
      <c r="Q353">
        <f t="array" ref="Q353">IF(I353&gt;0,INDEX(DB,I353,9),EventIndex)</f>
        <v>6</v>
      </c>
      <c r="S353" s="442">
        <f t="array" ref="S353">INDEX(MINVALUES,$Q353,$K$1)</f>
        <v>16</v>
      </c>
      <c r="T353">
        <f t="array" ref="T353">INDEX(INCVALUES,$Q353,$K$1)</f>
        <v>0.1</v>
      </c>
      <c r="V353">
        <f t="array" ref="V353">+J353+(4*(INDEX(MatchScoreTable,$Q353,20)-1))</f>
        <v>4</v>
      </c>
      <c r="W353">
        <f t="array" ref="W353">INDEX(INC_MINVALUES,$V353,$K$1)</f>
        <v>34</v>
      </c>
      <c r="X353" s="212">
        <f t="array" ref="X353">INDEX(INC_INCVALUES,$V353,$K$1)</f>
        <v>0.3</v>
      </c>
    </row>
    <row r="354" ht="15.75" customHeight="1">
      <c r="A354" s="435"/>
      <c r="B354" s="436"/>
      <c r="C354" s="95" t="str">
        <f t="array" ref="C354">IF(I354&gt;0,INDEX(DB,I354,8),"")</f>
        <v/>
      </c>
      <c r="D354" s="437">
        <f t="shared" si="1"/>
        <v>0</v>
      </c>
      <c r="F354" s="438">
        <f t="shared" si="2"/>
        <v>0</v>
      </c>
      <c r="G354" t="str">
        <f t="shared" si="3"/>
        <v/>
      </c>
      <c r="H354" t="b">
        <f t="shared" si="4"/>
        <v>0</v>
      </c>
      <c r="I354" s="439">
        <f>IF(OR(ISBLANK(A354),ISNA(MATCH(A354&amp;"",AthleteNumbers,0))),0,MATCH(A354&amp;"",AthleteNumbers,0))</f>
        <v>0</v>
      </c>
      <c r="J354" s="209">
        <f t="array" ref="J354">IF(I354&gt;0,INDEX(DB,$I354,6),0)</f>
        <v>0</v>
      </c>
      <c r="K354" s="440">
        <f t="shared" si="5"/>
        <v>0</v>
      </c>
      <c r="L354" s="440">
        <f t="shared" si="6"/>
        <v>0</v>
      </c>
      <c r="M354" s="441">
        <f>IF(AND(L354&gt;O354,O354&gt;0),MinPoints,IF(L354&lt;N354,100,+INT((O354-$L354)/P354)+MinPoints))</f>
        <v>100</v>
      </c>
      <c r="N354" s="440">
        <f t="shared" si="7"/>
        <v>7</v>
      </c>
      <c r="O354" s="440">
        <f t="shared" si="8"/>
        <v>16</v>
      </c>
      <c r="P354" s="440">
        <f t="shared" si="9"/>
        <v>0.1</v>
      </c>
      <c r="Q354">
        <f t="array" ref="Q354">IF(I354&gt;0,INDEX(DB,I354,9),EventIndex)</f>
        <v>6</v>
      </c>
      <c r="S354" s="442">
        <f t="array" ref="S354">INDEX(MINVALUES,$Q354,$K$1)</f>
        <v>16</v>
      </c>
      <c r="T354">
        <f t="array" ref="T354">INDEX(INCVALUES,$Q354,$K$1)</f>
        <v>0.1</v>
      </c>
      <c r="V354">
        <f t="array" ref="V354">+J354+(4*(INDEX(MatchScoreTable,$Q354,20)-1))</f>
        <v>4</v>
      </c>
      <c r="W354">
        <f t="array" ref="W354">INDEX(INC_MINVALUES,$V354,$K$1)</f>
        <v>34</v>
      </c>
      <c r="X354" s="212">
        <f t="array" ref="X354">INDEX(INC_INCVALUES,$V354,$K$1)</f>
        <v>0.3</v>
      </c>
    </row>
    <row r="355" ht="15.75" customHeight="1">
      <c r="A355" s="435"/>
      <c r="B355" s="436"/>
      <c r="C355" s="95" t="str">
        <f t="array" ref="C355">IF(I355&gt;0,INDEX(DB,I355,8),"")</f>
        <v/>
      </c>
      <c r="D355" s="437">
        <f t="shared" si="1"/>
        <v>0</v>
      </c>
      <c r="F355" s="438">
        <f t="shared" si="2"/>
        <v>0</v>
      </c>
      <c r="G355" t="str">
        <f t="shared" si="3"/>
        <v/>
      </c>
      <c r="H355" t="b">
        <f t="shared" si="4"/>
        <v>0</v>
      </c>
      <c r="I355" s="439">
        <f>IF(OR(ISBLANK(A355),ISNA(MATCH(A355&amp;"",AthleteNumbers,0))),0,MATCH(A355&amp;"",AthleteNumbers,0))</f>
        <v>0</v>
      </c>
      <c r="J355" s="209">
        <f t="array" ref="J355">IF(I355&gt;0,INDEX(DB,$I355,6),0)</f>
        <v>0</v>
      </c>
      <c r="K355" s="440">
        <f t="shared" si="5"/>
        <v>0</v>
      </c>
      <c r="L355" s="440">
        <f t="shared" si="6"/>
        <v>0</v>
      </c>
      <c r="M355" s="441">
        <f>IF(AND(L355&gt;O355,O355&gt;0),MinPoints,IF(L355&lt;N355,100,+INT((O355-$L355)/P355)+MinPoints))</f>
        <v>100</v>
      </c>
      <c r="N355" s="440">
        <f t="shared" si="7"/>
        <v>7</v>
      </c>
      <c r="O355" s="440">
        <f t="shared" si="8"/>
        <v>16</v>
      </c>
      <c r="P355" s="440">
        <f t="shared" si="9"/>
        <v>0.1</v>
      </c>
      <c r="Q355">
        <f t="array" ref="Q355">IF(I355&gt;0,INDEX(DB,I355,9),EventIndex)</f>
        <v>6</v>
      </c>
      <c r="S355" s="442">
        <f t="array" ref="S355">INDEX(MINVALUES,$Q355,$K$1)</f>
        <v>16</v>
      </c>
      <c r="T355">
        <f t="array" ref="T355">INDEX(INCVALUES,$Q355,$K$1)</f>
        <v>0.1</v>
      </c>
      <c r="V355">
        <f t="array" ref="V355">+J355+(4*(INDEX(MatchScoreTable,$Q355,20)-1))</f>
        <v>4</v>
      </c>
      <c r="W355">
        <f t="array" ref="W355">INDEX(INC_MINVALUES,$V355,$K$1)</f>
        <v>34</v>
      </c>
      <c r="X355" s="212">
        <f t="array" ref="X355">INDEX(INC_INCVALUES,$V355,$K$1)</f>
        <v>0.3</v>
      </c>
    </row>
    <row r="356" ht="15.75" customHeight="1">
      <c r="A356" s="435"/>
      <c r="B356" s="436"/>
      <c r="C356" s="95" t="str">
        <f t="array" ref="C356">IF(I356&gt;0,INDEX(DB,I356,8),"")</f>
        <v/>
      </c>
      <c r="D356" s="437">
        <f t="shared" si="1"/>
        <v>0</v>
      </c>
      <c r="F356" s="438">
        <f t="shared" si="2"/>
        <v>0</v>
      </c>
      <c r="G356" t="str">
        <f t="shared" si="3"/>
        <v/>
      </c>
      <c r="H356" t="b">
        <f t="shared" si="4"/>
        <v>0</v>
      </c>
      <c r="I356" s="439">
        <f>IF(OR(ISBLANK(A356),ISNA(MATCH(A356&amp;"",AthleteNumbers,0))),0,MATCH(A356&amp;"",AthleteNumbers,0))</f>
        <v>0</v>
      </c>
      <c r="J356" s="209">
        <f t="array" ref="J356">IF(I356&gt;0,INDEX(DB,$I356,6),0)</f>
        <v>0</v>
      </c>
      <c r="K356" s="440">
        <f t="shared" si="5"/>
        <v>0</v>
      </c>
      <c r="L356" s="440">
        <f t="shared" si="6"/>
        <v>0</v>
      </c>
      <c r="M356" s="441">
        <f>IF(AND(L356&gt;O356,O356&gt;0),MinPoints,IF(L356&lt;N356,100,+INT((O356-$L356)/P356)+MinPoints))</f>
        <v>100</v>
      </c>
      <c r="N356" s="440">
        <f t="shared" si="7"/>
        <v>7</v>
      </c>
      <c r="O356" s="440">
        <f t="shared" si="8"/>
        <v>16</v>
      </c>
      <c r="P356" s="440">
        <f t="shared" si="9"/>
        <v>0.1</v>
      </c>
      <c r="Q356">
        <f t="array" ref="Q356">IF(I356&gt;0,INDEX(DB,I356,9),EventIndex)</f>
        <v>6</v>
      </c>
      <c r="S356" s="442">
        <f t="array" ref="S356">INDEX(MINVALUES,$Q356,$K$1)</f>
        <v>16</v>
      </c>
      <c r="T356">
        <f t="array" ref="T356">INDEX(INCVALUES,$Q356,$K$1)</f>
        <v>0.1</v>
      </c>
      <c r="V356">
        <f t="array" ref="V356">+J356+(4*(INDEX(MatchScoreTable,$Q356,20)-1))</f>
        <v>4</v>
      </c>
      <c r="W356">
        <f t="array" ref="W356">INDEX(INC_MINVALUES,$V356,$K$1)</f>
        <v>34</v>
      </c>
      <c r="X356" s="212">
        <f t="array" ref="X356">INDEX(INC_INCVALUES,$V356,$K$1)</f>
        <v>0.3</v>
      </c>
    </row>
    <row r="357" ht="15.75" customHeight="1">
      <c r="A357" s="435"/>
      <c r="B357" s="436"/>
      <c r="C357" s="95" t="str">
        <f t="array" ref="C357">IF(I357&gt;0,INDEX(DB,I357,8),"")</f>
        <v/>
      </c>
      <c r="D357" s="437">
        <f t="shared" si="1"/>
        <v>0</v>
      </c>
      <c r="F357" s="438">
        <f t="shared" si="2"/>
        <v>0</v>
      </c>
      <c r="G357" t="str">
        <f t="shared" si="3"/>
        <v/>
      </c>
      <c r="H357" t="b">
        <f t="shared" si="4"/>
        <v>0</v>
      </c>
      <c r="I357" s="439">
        <f>IF(OR(ISBLANK(A357),ISNA(MATCH(A357&amp;"",AthleteNumbers,0))),0,MATCH(A357&amp;"",AthleteNumbers,0))</f>
        <v>0</v>
      </c>
      <c r="J357" s="209">
        <f t="array" ref="J357">IF(I357&gt;0,INDEX(DB,$I357,6),0)</f>
        <v>0</v>
      </c>
      <c r="K357" s="440">
        <f t="shared" si="5"/>
        <v>0</v>
      </c>
      <c r="L357" s="440">
        <f t="shared" si="6"/>
        <v>0</v>
      </c>
      <c r="M357" s="441">
        <f>IF(AND(L357&gt;O357,O357&gt;0),MinPoints,IF(L357&lt;N357,100,+INT((O357-$L357)/P357)+MinPoints))</f>
        <v>100</v>
      </c>
      <c r="N357" s="440">
        <f t="shared" si="7"/>
        <v>7</v>
      </c>
      <c r="O357" s="440">
        <f t="shared" si="8"/>
        <v>16</v>
      </c>
      <c r="P357" s="440">
        <f t="shared" si="9"/>
        <v>0.1</v>
      </c>
      <c r="Q357">
        <f t="array" ref="Q357">IF(I357&gt;0,INDEX(DB,I357,9),EventIndex)</f>
        <v>6</v>
      </c>
      <c r="S357" s="442">
        <f t="array" ref="S357">INDEX(MINVALUES,$Q357,$K$1)</f>
        <v>16</v>
      </c>
      <c r="T357">
        <f t="array" ref="T357">INDEX(INCVALUES,$Q357,$K$1)</f>
        <v>0.1</v>
      </c>
      <c r="V357">
        <f t="array" ref="V357">+J357+(4*(INDEX(MatchScoreTable,$Q357,20)-1))</f>
        <v>4</v>
      </c>
      <c r="W357">
        <f t="array" ref="W357">INDEX(INC_MINVALUES,$V357,$K$1)</f>
        <v>34</v>
      </c>
      <c r="X357" s="212">
        <f t="array" ref="X357">INDEX(INC_INCVALUES,$V357,$K$1)</f>
        <v>0.3</v>
      </c>
    </row>
    <row r="358" ht="15.75" customHeight="1">
      <c r="A358" s="435"/>
      <c r="B358" s="436"/>
      <c r="C358" s="95" t="str">
        <f t="array" ref="C358">IF(I358&gt;0,INDEX(DB,I358,8),"")</f>
        <v/>
      </c>
      <c r="D358" s="437">
        <f t="shared" si="1"/>
        <v>0</v>
      </c>
      <c r="F358" s="438">
        <f t="shared" si="2"/>
        <v>0</v>
      </c>
      <c r="G358" t="str">
        <f t="shared" si="3"/>
        <v/>
      </c>
      <c r="H358" t="b">
        <f t="shared" si="4"/>
        <v>0</v>
      </c>
      <c r="I358" s="439">
        <f>IF(OR(ISBLANK(A358),ISNA(MATCH(A358&amp;"",AthleteNumbers,0))),0,MATCH(A358&amp;"",AthleteNumbers,0))</f>
        <v>0</v>
      </c>
      <c r="J358" s="209">
        <f t="array" ref="J358">IF(I358&gt;0,INDEX(DB,$I358,6),0)</f>
        <v>0</v>
      </c>
      <c r="K358" s="440">
        <f t="shared" si="5"/>
        <v>0</v>
      </c>
      <c r="L358" s="440">
        <f t="shared" si="6"/>
        <v>0</v>
      </c>
      <c r="M358" s="441">
        <f>IF(AND(L358&gt;O358,O358&gt;0),MinPoints,IF(L358&lt;N358,100,+INT((O358-$L358)/P358)+MinPoints))</f>
        <v>100</v>
      </c>
      <c r="N358" s="440">
        <f t="shared" si="7"/>
        <v>7</v>
      </c>
      <c r="O358" s="440">
        <f t="shared" si="8"/>
        <v>16</v>
      </c>
      <c r="P358" s="440">
        <f t="shared" si="9"/>
        <v>0.1</v>
      </c>
      <c r="Q358">
        <f t="array" ref="Q358">IF(I358&gt;0,INDEX(DB,I358,9),EventIndex)</f>
        <v>6</v>
      </c>
      <c r="S358" s="442">
        <f t="array" ref="S358">INDEX(MINVALUES,$Q358,$K$1)</f>
        <v>16</v>
      </c>
      <c r="T358">
        <f t="array" ref="T358">INDEX(INCVALUES,$Q358,$K$1)</f>
        <v>0.1</v>
      </c>
      <c r="V358">
        <f t="array" ref="V358">+J358+(4*(INDEX(MatchScoreTable,$Q358,20)-1))</f>
        <v>4</v>
      </c>
      <c r="W358">
        <f t="array" ref="W358">INDEX(INC_MINVALUES,$V358,$K$1)</f>
        <v>34</v>
      </c>
      <c r="X358" s="212">
        <f t="array" ref="X358">INDEX(INC_INCVALUES,$V358,$K$1)</f>
        <v>0.3</v>
      </c>
    </row>
    <row r="359" ht="15.75" customHeight="1">
      <c r="A359" s="435"/>
      <c r="B359" s="436"/>
      <c r="C359" s="95" t="str">
        <f t="array" ref="C359">IF(I359&gt;0,INDEX(DB,I359,8),"")</f>
        <v/>
      </c>
      <c r="D359" s="437">
        <f t="shared" si="1"/>
        <v>0</v>
      </c>
      <c r="F359" s="438">
        <f t="shared" si="2"/>
        <v>0</v>
      </c>
      <c r="G359" t="str">
        <f t="shared" si="3"/>
        <v/>
      </c>
      <c r="H359" t="b">
        <f t="shared" si="4"/>
        <v>0</v>
      </c>
      <c r="I359" s="439">
        <f>IF(OR(ISBLANK(A359),ISNA(MATCH(A359&amp;"",AthleteNumbers,0))),0,MATCH(A359&amp;"",AthleteNumbers,0))</f>
        <v>0</v>
      </c>
      <c r="J359" s="209">
        <f t="array" ref="J359">IF(I359&gt;0,INDEX(DB,$I359,6),0)</f>
        <v>0</v>
      </c>
      <c r="K359" s="440">
        <f t="shared" si="5"/>
        <v>0</v>
      </c>
      <c r="L359" s="440">
        <f t="shared" si="6"/>
        <v>0</v>
      </c>
      <c r="M359" s="441">
        <f>IF(AND(L359&gt;O359,O359&gt;0),MinPoints,IF(L359&lt;N359,100,+INT((O359-$L359)/P359)+MinPoints))</f>
        <v>100</v>
      </c>
      <c r="N359" s="440">
        <f t="shared" si="7"/>
        <v>7</v>
      </c>
      <c r="O359" s="440">
        <f t="shared" si="8"/>
        <v>16</v>
      </c>
      <c r="P359" s="440">
        <f t="shared" si="9"/>
        <v>0.1</v>
      </c>
      <c r="Q359">
        <f t="array" ref="Q359">IF(I359&gt;0,INDEX(DB,I359,9),EventIndex)</f>
        <v>6</v>
      </c>
      <c r="S359" s="442">
        <f t="array" ref="S359">INDEX(MINVALUES,$Q359,$K$1)</f>
        <v>16</v>
      </c>
      <c r="T359">
        <f t="array" ref="T359">INDEX(INCVALUES,$Q359,$K$1)</f>
        <v>0.1</v>
      </c>
      <c r="V359">
        <f t="array" ref="V359">+J359+(4*(INDEX(MatchScoreTable,$Q359,20)-1))</f>
        <v>4</v>
      </c>
      <c r="W359">
        <f t="array" ref="W359">INDEX(INC_MINVALUES,$V359,$K$1)</f>
        <v>34</v>
      </c>
      <c r="X359" s="212">
        <f t="array" ref="X359">INDEX(INC_INCVALUES,$V359,$K$1)</f>
        <v>0.3</v>
      </c>
    </row>
    <row r="360" ht="15.75" customHeight="1">
      <c r="A360" s="435"/>
      <c r="B360" s="436"/>
      <c r="C360" s="95" t="str">
        <f t="array" ref="C360">IF(I360&gt;0,INDEX(DB,I360,8),"")</f>
        <v/>
      </c>
      <c r="D360" s="437">
        <f t="shared" si="1"/>
        <v>0</v>
      </c>
      <c r="F360" s="438">
        <f t="shared" si="2"/>
        <v>0</v>
      </c>
      <c r="G360" t="str">
        <f t="shared" si="3"/>
        <v/>
      </c>
      <c r="H360" t="b">
        <f t="shared" si="4"/>
        <v>0</v>
      </c>
      <c r="I360" s="439">
        <f>IF(OR(ISBLANK(A360),ISNA(MATCH(A360&amp;"",AthleteNumbers,0))),0,MATCH(A360&amp;"",AthleteNumbers,0))</f>
        <v>0</v>
      </c>
      <c r="J360" s="209">
        <f t="array" ref="J360">IF(I360&gt;0,INDEX(DB,$I360,6),0)</f>
        <v>0</v>
      </c>
      <c r="K360" s="440">
        <f t="shared" si="5"/>
        <v>0</v>
      </c>
      <c r="L360" s="440">
        <f t="shared" si="6"/>
        <v>0</v>
      </c>
      <c r="M360" s="441">
        <f>IF(AND(L360&gt;O360,O360&gt;0),MinPoints,IF(L360&lt;N360,100,+INT((O360-$L360)/P360)+MinPoints))</f>
        <v>100</v>
      </c>
      <c r="N360" s="440">
        <f t="shared" si="7"/>
        <v>7</v>
      </c>
      <c r="O360" s="440">
        <f t="shared" si="8"/>
        <v>16</v>
      </c>
      <c r="P360" s="440">
        <f t="shared" si="9"/>
        <v>0.1</v>
      </c>
      <c r="Q360">
        <f t="array" ref="Q360">IF(I360&gt;0,INDEX(DB,I360,9),EventIndex)</f>
        <v>6</v>
      </c>
      <c r="S360" s="442">
        <f t="array" ref="S360">INDEX(MINVALUES,$Q360,$K$1)</f>
        <v>16</v>
      </c>
      <c r="T360">
        <f t="array" ref="T360">INDEX(INCVALUES,$Q360,$K$1)</f>
        <v>0.1</v>
      </c>
      <c r="V360">
        <f t="array" ref="V360">+J360+(4*(INDEX(MatchScoreTable,$Q360,20)-1))</f>
        <v>4</v>
      </c>
      <c r="W360">
        <f t="array" ref="W360">INDEX(INC_MINVALUES,$V360,$K$1)</f>
        <v>34</v>
      </c>
      <c r="X360" s="212">
        <f t="array" ref="X360">INDEX(INC_INCVALUES,$V360,$K$1)</f>
        <v>0.3</v>
      </c>
    </row>
    <row r="361" ht="15.75" customHeight="1">
      <c r="A361" s="435"/>
      <c r="B361" s="436"/>
      <c r="C361" s="95" t="str">
        <f t="array" ref="C361">IF(I361&gt;0,INDEX(DB,I361,8),"")</f>
        <v/>
      </c>
      <c r="D361" s="437">
        <f t="shared" si="1"/>
        <v>0</v>
      </c>
      <c r="F361" s="438">
        <f t="shared" si="2"/>
        <v>0</v>
      </c>
      <c r="G361" t="str">
        <f t="shared" si="3"/>
        <v/>
      </c>
      <c r="H361" t="b">
        <f t="shared" si="4"/>
        <v>0</v>
      </c>
      <c r="I361" s="439">
        <f>IF(OR(ISBLANK(A361),ISNA(MATCH(A361&amp;"",AthleteNumbers,0))),0,MATCH(A361&amp;"",AthleteNumbers,0))</f>
        <v>0</v>
      </c>
      <c r="J361" s="209">
        <f t="array" ref="J361">IF(I361&gt;0,INDEX(DB,$I361,6),0)</f>
        <v>0</v>
      </c>
      <c r="K361" s="440">
        <f t="shared" si="5"/>
        <v>0</v>
      </c>
      <c r="L361" s="440">
        <f t="shared" si="6"/>
        <v>0</v>
      </c>
      <c r="M361" s="441">
        <f>IF(AND(L361&gt;O361,O361&gt;0),MinPoints,IF(L361&lt;N361,100,+INT((O361-$L361)/P361)+MinPoints))</f>
        <v>100</v>
      </c>
      <c r="N361" s="440">
        <f t="shared" si="7"/>
        <v>7</v>
      </c>
      <c r="O361" s="440">
        <f t="shared" si="8"/>
        <v>16</v>
      </c>
      <c r="P361" s="440">
        <f t="shared" si="9"/>
        <v>0.1</v>
      </c>
      <c r="Q361">
        <f t="array" ref="Q361">IF(I361&gt;0,INDEX(DB,I361,9),EventIndex)</f>
        <v>6</v>
      </c>
      <c r="S361" s="442">
        <f t="array" ref="S361">INDEX(MINVALUES,$Q361,$K$1)</f>
        <v>16</v>
      </c>
      <c r="T361">
        <f t="array" ref="T361">INDEX(INCVALUES,$Q361,$K$1)</f>
        <v>0.1</v>
      </c>
      <c r="V361">
        <f t="array" ref="V361">+J361+(4*(INDEX(MatchScoreTable,$Q361,20)-1))</f>
        <v>4</v>
      </c>
      <c r="W361">
        <f t="array" ref="W361">INDEX(INC_MINVALUES,$V361,$K$1)</f>
        <v>34</v>
      </c>
      <c r="X361" s="212">
        <f t="array" ref="X361">INDEX(INC_INCVALUES,$V361,$K$1)</f>
        <v>0.3</v>
      </c>
    </row>
    <row r="362" ht="15.75" customHeight="1">
      <c r="A362" s="435"/>
      <c r="B362" s="436"/>
      <c r="C362" s="95" t="str">
        <f t="array" ref="C362">IF(I362&gt;0,INDEX(DB,I362,8),"")</f>
        <v/>
      </c>
      <c r="D362" s="437">
        <f t="shared" si="1"/>
        <v>0</v>
      </c>
      <c r="F362" s="438">
        <f t="shared" si="2"/>
        <v>0</v>
      </c>
      <c r="G362" t="str">
        <f t="shared" si="3"/>
        <v/>
      </c>
      <c r="H362" t="b">
        <f t="shared" si="4"/>
        <v>0</v>
      </c>
      <c r="I362" s="439">
        <f>IF(OR(ISBLANK(A362),ISNA(MATCH(A362&amp;"",AthleteNumbers,0))),0,MATCH(A362&amp;"",AthleteNumbers,0))</f>
        <v>0</v>
      </c>
      <c r="J362" s="209">
        <f t="array" ref="J362">IF(I362&gt;0,INDEX(DB,$I362,6),0)</f>
        <v>0</v>
      </c>
      <c r="K362" s="440">
        <f t="shared" si="5"/>
        <v>0</v>
      </c>
      <c r="L362" s="440">
        <f t="shared" si="6"/>
        <v>0</v>
      </c>
      <c r="M362" s="441">
        <f>IF(AND(L362&gt;O362,O362&gt;0),MinPoints,IF(L362&lt;N362,100,+INT((O362-$L362)/P362)+MinPoints))</f>
        <v>100</v>
      </c>
      <c r="N362" s="440">
        <f t="shared" si="7"/>
        <v>7</v>
      </c>
      <c r="O362" s="440">
        <f t="shared" si="8"/>
        <v>16</v>
      </c>
      <c r="P362" s="440">
        <f t="shared" si="9"/>
        <v>0.1</v>
      </c>
      <c r="Q362">
        <f t="array" ref="Q362">IF(I362&gt;0,INDEX(DB,I362,9),EventIndex)</f>
        <v>6</v>
      </c>
      <c r="S362" s="442">
        <f t="array" ref="S362">INDEX(MINVALUES,$Q362,$K$1)</f>
        <v>16</v>
      </c>
      <c r="T362">
        <f t="array" ref="T362">INDEX(INCVALUES,$Q362,$K$1)</f>
        <v>0.1</v>
      </c>
      <c r="V362">
        <f t="array" ref="V362">+J362+(4*(INDEX(MatchScoreTable,$Q362,20)-1))</f>
        <v>4</v>
      </c>
      <c r="W362">
        <f t="array" ref="W362">INDEX(INC_MINVALUES,$V362,$K$1)</f>
        <v>34</v>
      </c>
      <c r="X362" s="212">
        <f t="array" ref="X362">INDEX(INC_INCVALUES,$V362,$K$1)</f>
        <v>0.3</v>
      </c>
    </row>
    <row r="363" ht="15.75" customHeight="1">
      <c r="A363" s="435"/>
      <c r="B363" s="436"/>
      <c r="C363" s="95" t="str">
        <f t="array" ref="C363">IF(I363&gt;0,INDEX(DB,I363,8),"")</f>
        <v/>
      </c>
      <c r="D363" s="437">
        <f t="shared" si="1"/>
        <v>0</v>
      </c>
      <c r="F363" s="438">
        <f t="shared" si="2"/>
        <v>0</v>
      </c>
      <c r="G363" t="str">
        <f t="shared" si="3"/>
        <v/>
      </c>
      <c r="H363" t="b">
        <f t="shared" si="4"/>
        <v>0</v>
      </c>
      <c r="I363" s="439">
        <f>IF(OR(ISBLANK(A363),ISNA(MATCH(A363&amp;"",AthleteNumbers,0))),0,MATCH(A363&amp;"",AthleteNumbers,0))</f>
        <v>0</v>
      </c>
      <c r="J363" s="209">
        <f t="array" ref="J363">IF(I363&gt;0,INDEX(DB,$I363,6),0)</f>
        <v>0</v>
      </c>
      <c r="K363" s="440">
        <f t="shared" si="5"/>
        <v>0</v>
      </c>
      <c r="L363" s="440">
        <f t="shared" si="6"/>
        <v>0</v>
      </c>
      <c r="M363" s="441">
        <f>IF(AND(L363&gt;O363,O363&gt;0),MinPoints,IF(L363&lt;N363,100,+INT((O363-$L363)/P363)+MinPoints))</f>
        <v>100</v>
      </c>
      <c r="N363" s="440">
        <f t="shared" si="7"/>
        <v>7</v>
      </c>
      <c r="O363" s="440">
        <f t="shared" si="8"/>
        <v>16</v>
      </c>
      <c r="P363" s="440">
        <f t="shared" si="9"/>
        <v>0.1</v>
      </c>
      <c r="Q363">
        <f t="array" ref="Q363">IF(I363&gt;0,INDEX(DB,I363,9),EventIndex)</f>
        <v>6</v>
      </c>
      <c r="S363" s="442">
        <f t="array" ref="S363">INDEX(MINVALUES,$Q363,$K$1)</f>
        <v>16</v>
      </c>
      <c r="T363">
        <f t="array" ref="T363">INDEX(INCVALUES,$Q363,$K$1)</f>
        <v>0.1</v>
      </c>
      <c r="V363">
        <f t="array" ref="V363">+J363+(4*(INDEX(MatchScoreTable,$Q363,20)-1))</f>
        <v>4</v>
      </c>
      <c r="W363">
        <f t="array" ref="W363">INDEX(INC_MINVALUES,$V363,$K$1)</f>
        <v>34</v>
      </c>
      <c r="X363" s="212">
        <f t="array" ref="X363">INDEX(INC_INCVALUES,$V363,$K$1)</f>
        <v>0.3</v>
      </c>
    </row>
    <row r="364" ht="15.75" customHeight="1">
      <c r="A364" s="435"/>
      <c r="B364" s="436"/>
      <c r="C364" s="95" t="str">
        <f t="array" ref="C364">IF(I364&gt;0,INDEX(DB,I364,8),"")</f>
        <v/>
      </c>
      <c r="D364" s="437">
        <f t="shared" si="1"/>
        <v>0</v>
      </c>
      <c r="F364" s="438">
        <f t="shared" si="2"/>
        <v>0</v>
      </c>
      <c r="G364" t="str">
        <f t="shared" si="3"/>
        <v/>
      </c>
      <c r="H364" t="b">
        <f t="shared" si="4"/>
        <v>0</v>
      </c>
      <c r="I364" s="439">
        <f>IF(OR(ISBLANK(A364),ISNA(MATCH(A364&amp;"",AthleteNumbers,0))),0,MATCH(A364&amp;"",AthleteNumbers,0))</f>
        <v>0</v>
      </c>
      <c r="J364" s="209">
        <f t="array" ref="J364">IF(I364&gt;0,INDEX(DB,$I364,6),0)</f>
        <v>0</v>
      </c>
      <c r="K364" s="440">
        <f t="shared" si="5"/>
        <v>0</v>
      </c>
      <c r="L364" s="440">
        <f t="shared" si="6"/>
        <v>0</v>
      </c>
      <c r="M364" s="441">
        <f>IF(AND(L364&gt;O364,O364&gt;0),MinPoints,IF(L364&lt;N364,100,+INT((O364-$L364)/P364)+MinPoints))</f>
        <v>100</v>
      </c>
      <c r="N364" s="440">
        <f t="shared" si="7"/>
        <v>7</v>
      </c>
      <c r="O364" s="440">
        <f t="shared" si="8"/>
        <v>16</v>
      </c>
      <c r="P364" s="440">
        <f t="shared" si="9"/>
        <v>0.1</v>
      </c>
      <c r="Q364">
        <f t="array" ref="Q364">IF(I364&gt;0,INDEX(DB,I364,9),EventIndex)</f>
        <v>6</v>
      </c>
      <c r="S364" s="442">
        <f t="array" ref="S364">INDEX(MINVALUES,$Q364,$K$1)</f>
        <v>16</v>
      </c>
      <c r="T364">
        <f t="array" ref="T364">INDEX(INCVALUES,$Q364,$K$1)</f>
        <v>0.1</v>
      </c>
      <c r="V364">
        <f t="array" ref="V364">+J364+(4*(INDEX(MatchScoreTable,$Q364,20)-1))</f>
        <v>4</v>
      </c>
      <c r="W364">
        <f t="array" ref="W364">INDEX(INC_MINVALUES,$V364,$K$1)</f>
        <v>34</v>
      </c>
      <c r="X364" s="212">
        <f t="array" ref="X364">INDEX(INC_INCVALUES,$V364,$K$1)</f>
        <v>0.3</v>
      </c>
    </row>
    <row r="365" ht="15.75" customHeight="1">
      <c r="A365" s="435"/>
      <c r="B365" s="436"/>
      <c r="C365" s="95" t="str">
        <f t="array" ref="C365">IF(I365&gt;0,INDEX(DB,I365,8),"")</f>
        <v/>
      </c>
      <c r="D365" s="437">
        <f t="shared" si="1"/>
        <v>0</v>
      </c>
      <c r="F365" s="438">
        <f t="shared" si="2"/>
        <v>0</v>
      </c>
      <c r="G365" t="str">
        <f t="shared" si="3"/>
        <v/>
      </c>
      <c r="H365" t="b">
        <f t="shared" si="4"/>
        <v>0</v>
      </c>
      <c r="I365" s="439">
        <f>IF(OR(ISBLANK(A365),ISNA(MATCH(A365&amp;"",AthleteNumbers,0))),0,MATCH(A365&amp;"",AthleteNumbers,0))</f>
        <v>0</v>
      </c>
      <c r="J365" s="209">
        <f t="array" ref="J365">IF(I365&gt;0,INDEX(DB,$I365,6),0)</f>
        <v>0</v>
      </c>
      <c r="K365" s="440">
        <f t="shared" si="5"/>
        <v>0</v>
      </c>
      <c r="L365" s="440">
        <f t="shared" si="6"/>
        <v>0</v>
      </c>
      <c r="M365" s="441">
        <f>IF(AND(L365&gt;O365,O365&gt;0),MinPoints,IF(L365&lt;N365,100,+INT((O365-$L365)/P365)+MinPoints))</f>
        <v>100</v>
      </c>
      <c r="N365" s="440">
        <f t="shared" si="7"/>
        <v>7</v>
      </c>
      <c r="O365" s="440">
        <f t="shared" si="8"/>
        <v>16</v>
      </c>
      <c r="P365" s="440">
        <f t="shared" si="9"/>
        <v>0.1</v>
      </c>
      <c r="Q365">
        <f t="array" ref="Q365">IF(I365&gt;0,INDEX(DB,I365,9),EventIndex)</f>
        <v>6</v>
      </c>
      <c r="S365" s="442">
        <f t="array" ref="S365">INDEX(MINVALUES,$Q365,$K$1)</f>
        <v>16</v>
      </c>
      <c r="T365">
        <f t="array" ref="T365">INDEX(INCVALUES,$Q365,$K$1)</f>
        <v>0.1</v>
      </c>
      <c r="V365">
        <f t="array" ref="V365">+J365+(4*(INDEX(MatchScoreTable,$Q365,20)-1))</f>
        <v>4</v>
      </c>
      <c r="W365">
        <f t="array" ref="W365">INDEX(INC_MINVALUES,$V365,$K$1)</f>
        <v>34</v>
      </c>
      <c r="X365" s="212">
        <f t="array" ref="X365">INDEX(INC_INCVALUES,$V365,$K$1)</f>
        <v>0.3</v>
      </c>
    </row>
    <row r="366" ht="15.75" customHeight="1">
      <c r="A366" s="435"/>
      <c r="B366" s="436"/>
      <c r="C366" s="95" t="str">
        <f t="array" ref="C366">IF(I366&gt;0,INDEX(DB,I366,8),"")</f>
        <v/>
      </c>
      <c r="D366" s="437">
        <f t="shared" si="1"/>
        <v>0</v>
      </c>
      <c r="F366" s="438">
        <f t="shared" si="2"/>
        <v>0</v>
      </c>
      <c r="G366" t="str">
        <f t="shared" si="3"/>
        <v/>
      </c>
      <c r="H366" t="b">
        <f t="shared" si="4"/>
        <v>0</v>
      </c>
      <c r="I366" s="439">
        <f>IF(OR(ISBLANK(A366),ISNA(MATCH(A366&amp;"",AthleteNumbers,0))),0,MATCH(A366&amp;"",AthleteNumbers,0))</f>
        <v>0</v>
      </c>
      <c r="J366" s="209">
        <f t="array" ref="J366">IF(I366&gt;0,INDEX(DB,$I366,6),0)</f>
        <v>0</v>
      </c>
      <c r="K366" s="440">
        <f t="shared" si="5"/>
        <v>0</v>
      </c>
      <c r="L366" s="440">
        <f t="shared" si="6"/>
        <v>0</v>
      </c>
      <c r="M366" s="441">
        <f>IF(AND(L366&gt;O366,O366&gt;0),MinPoints,IF(L366&lt;N366,100,+INT((O366-$L366)/P366)+MinPoints))</f>
        <v>100</v>
      </c>
      <c r="N366" s="440">
        <f t="shared" si="7"/>
        <v>7</v>
      </c>
      <c r="O366" s="440">
        <f t="shared" si="8"/>
        <v>16</v>
      </c>
      <c r="P366" s="440">
        <f t="shared" si="9"/>
        <v>0.1</v>
      </c>
      <c r="Q366">
        <f t="array" ref="Q366">IF(I366&gt;0,INDEX(DB,I366,9),EventIndex)</f>
        <v>6</v>
      </c>
      <c r="S366" s="442">
        <f t="array" ref="S366">INDEX(MINVALUES,$Q366,$K$1)</f>
        <v>16</v>
      </c>
      <c r="T366">
        <f t="array" ref="T366">INDEX(INCVALUES,$Q366,$K$1)</f>
        <v>0.1</v>
      </c>
      <c r="V366">
        <f t="array" ref="V366">+J366+(4*(INDEX(MatchScoreTable,$Q366,20)-1))</f>
        <v>4</v>
      </c>
      <c r="W366">
        <f t="array" ref="W366">INDEX(INC_MINVALUES,$V366,$K$1)</f>
        <v>34</v>
      </c>
      <c r="X366" s="212">
        <f t="array" ref="X366">INDEX(INC_INCVALUES,$V366,$K$1)</f>
        <v>0.3</v>
      </c>
    </row>
    <row r="367" ht="15.75" customHeight="1">
      <c r="A367" s="435"/>
      <c r="B367" s="436"/>
      <c r="C367" s="95" t="str">
        <f t="array" ref="C367">IF(I367&gt;0,INDEX(DB,I367,8),"")</f>
        <v/>
      </c>
      <c r="D367" s="437">
        <f t="shared" si="1"/>
        <v>0</v>
      </c>
      <c r="F367" s="438">
        <f t="shared" si="2"/>
        <v>0</v>
      </c>
      <c r="G367" t="str">
        <f t="shared" si="3"/>
        <v/>
      </c>
      <c r="H367" t="b">
        <f t="shared" si="4"/>
        <v>0</v>
      </c>
      <c r="I367" s="439">
        <f>IF(OR(ISBLANK(A367),ISNA(MATCH(A367&amp;"",AthleteNumbers,0))),0,MATCH(A367&amp;"",AthleteNumbers,0))</f>
        <v>0</v>
      </c>
      <c r="J367" s="209">
        <f t="array" ref="J367">IF(I367&gt;0,INDEX(DB,$I367,6),0)</f>
        <v>0</v>
      </c>
      <c r="K367" s="440">
        <f t="shared" si="5"/>
        <v>0</v>
      </c>
      <c r="L367" s="440">
        <f t="shared" si="6"/>
        <v>0</v>
      </c>
      <c r="M367" s="441">
        <f>IF(AND(L367&gt;O367,O367&gt;0),MinPoints,IF(L367&lt;N367,100,+INT((O367-$L367)/P367)+MinPoints))</f>
        <v>100</v>
      </c>
      <c r="N367" s="440">
        <f t="shared" si="7"/>
        <v>7</v>
      </c>
      <c r="O367" s="440">
        <f t="shared" si="8"/>
        <v>16</v>
      </c>
      <c r="P367" s="440">
        <f t="shared" si="9"/>
        <v>0.1</v>
      </c>
      <c r="Q367">
        <f t="array" ref="Q367">IF(I367&gt;0,INDEX(DB,I367,9),EventIndex)</f>
        <v>6</v>
      </c>
      <c r="S367" s="442">
        <f t="array" ref="S367">INDEX(MINVALUES,$Q367,$K$1)</f>
        <v>16</v>
      </c>
      <c r="T367">
        <f t="array" ref="T367">INDEX(INCVALUES,$Q367,$K$1)</f>
        <v>0.1</v>
      </c>
      <c r="V367">
        <f t="array" ref="V367">+J367+(4*(INDEX(MatchScoreTable,$Q367,20)-1))</f>
        <v>4</v>
      </c>
      <c r="W367">
        <f t="array" ref="W367">INDEX(INC_MINVALUES,$V367,$K$1)</f>
        <v>34</v>
      </c>
      <c r="X367" s="212">
        <f t="array" ref="X367">INDEX(INC_INCVALUES,$V367,$K$1)</f>
        <v>0.3</v>
      </c>
    </row>
    <row r="368" ht="15.75" customHeight="1">
      <c r="A368" s="435"/>
      <c r="B368" s="436"/>
      <c r="C368" s="95" t="str">
        <f t="array" ref="C368">IF(I368&gt;0,INDEX(DB,I368,8),"")</f>
        <v/>
      </c>
      <c r="D368" s="437">
        <f t="shared" si="1"/>
        <v>0</v>
      </c>
      <c r="F368" s="438">
        <f t="shared" si="2"/>
        <v>0</v>
      </c>
      <c r="G368" t="str">
        <f t="shared" si="3"/>
        <v/>
      </c>
      <c r="H368" t="b">
        <f t="shared" si="4"/>
        <v>0</v>
      </c>
      <c r="I368" s="439">
        <f>IF(OR(ISBLANK(A368),ISNA(MATCH(A368&amp;"",AthleteNumbers,0))),0,MATCH(A368&amp;"",AthleteNumbers,0))</f>
        <v>0</v>
      </c>
      <c r="J368" s="209">
        <f t="array" ref="J368">IF(I368&gt;0,INDEX(DB,$I368,6),0)</f>
        <v>0</v>
      </c>
      <c r="K368" s="440">
        <f t="shared" si="5"/>
        <v>0</v>
      </c>
      <c r="L368" s="440">
        <f t="shared" si="6"/>
        <v>0</v>
      </c>
      <c r="M368" s="441">
        <f>IF(AND(L368&gt;O368,O368&gt;0),MinPoints,IF(L368&lt;N368,100,+INT((O368-$L368)/P368)+MinPoints))</f>
        <v>100</v>
      </c>
      <c r="N368" s="440">
        <f t="shared" si="7"/>
        <v>7</v>
      </c>
      <c r="O368" s="440">
        <f t="shared" si="8"/>
        <v>16</v>
      </c>
      <c r="P368" s="440">
        <f t="shared" si="9"/>
        <v>0.1</v>
      </c>
      <c r="Q368">
        <f t="array" ref="Q368">IF(I368&gt;0,INDEX(DB,I368,9),EventIndex)</f>
        <v>6</v>
      </c>
      <c r="S368" s="442">
        <f t="array" ref="S368">INDEX(MINVALUES,$Q368,$K$1)</f>
        <v>16</v>
      </c>
      <c r="T368">
        <f t="array" ref="T368">INDEX(INCVALUES,$Q368,$K$1)</f>
        <v>0.1</v>
      </c>
      <c r="V368">
        <f t="array" ref="V368">+J368+(4*(INDEX(MatchScoreTable,$Q368,20)-1))</f>
        <v>4</v>
      </c>
      <c r="W368">
        <f t="array" ref="W368">INDEX(INC_MINVALUES,$V368,$K$1)</f>
        <v>34</v>
      </c>
      <c r="X368" s="212">
        <f t="array" ref="X368">INDEX(INC_INCVALUES,$V368,$K$1)</f>
        <v>0.3</v>
      </c>
    </row>
    <row r="369" ht="15.75" customHeight="1">
      <c r="A369" s="435"/>
      <c r="B369" s="436"/>
      <c r="C369" s="95" t="str">
        <f t="array" ref="C369">IF(I369&gt;0,INDEX(DB,I369,8),"")</f>
        <v/>
      </c>
      <c r="D369" s="437">
        <f t="shared" si="1"/>
        <v>0</v>
      </c>
      <c r="F369" s="438">
        <f t="shared" si="2"/>
        <v>0</v>
      </c>
      <c r="G369" t="str">
        <f t="shared" si="3"/>
        <v/>
      </c>
      <c r="H369" t="b">
        <f t="shared" si="4"/>
        <v>0</v>
      </c>
      <c r="I369" s="439">
        <f>IF(OR(ISBLANK(A369),ISNA(MATCH(A369&amp;"",AthleteNumbers,0))),0,MATCH(A369&amp;"",AthleteNumbers,0))</f>
        <v>0</v>
      </c>
      <c r="J369" s="209">
        <f t="array" ref="J369">IF(I369&gt;0,INDEX(DB,$I369,6),0)</f>
        <v>0</v>
      </c>
      <c r="K369" s="440">
        <f t="shared" si="5"/>
        <v>0</v>
      </c>
      <c r="L369" s="440">
        <f t="shared" si="6"/>
        <v>0</v>
      </c>
      <c r="M369" s="441">
        <f>IF(AND(L369&gt;O369,O369&gt;0),MinPoints,IF(L369&lt;N369,100,+INT((O369-$L369)/P369)+MinPoints))</f>
        <v>100</v>
      </c>
      <c r="N369" s="440">
        <f t="shared" si="7"/>
        <v>7</v>
      </c>
      <c r="O369" s="440">
        <f t="shared" si="8"/>
        <v>16</v>
      </c>
      <c r="P369" s="440">
        <f t="shared" si="9"/>
        <v>0.1</v>
      </c>
      <c r="Q369">
        <f t="array" ref="Q369">IF(I369&gt;0,INDEX(DB,I369,9),EventIndex)</f>
        <v>6</v>
      </c>
      <c r="S369" s="442">
        <f t="array" ref="S369">INDEX(MINVALUES,$Q369,$K$1)</f>
        <v>16</v>
      </c>
      <c r="T369">
        <f t="array" ref="T369">INDEX(INCVALUES,$Q369,$K$1)</f>
        <v>0.1</v>
      </c>
      <c r="V369">
        <f t="array" ref="V369">+J369+(4*(INDEX(MatchScoreTable,$Q369,20)-1))</f>
        <v>4</v>
      </c>
      <c r="W369">
        <f t="array" ref="W369">INDEX(INC_MINVALUES,$V369,$K$1)</f>
        <v>34</v>
      </c>
      <c r="X369" s="212">
        <f t="array" ref="X369">INDEX(INC_INCVALUES,$V369,$K$1)</f>
        <v>0.3</v>
      </c>
    </row>
    <row r="370" ht="15.75" customHeight="1">
      <c r="A370" s="435"/>
      <c r="B370" s="436"/>
      <c r="C370" s="95" t="str">
        <f t="array" ref="C370">IF(I370&gt;0,INDEX(DB,I370,8),"")</f>
        <v/>
      </c>
      <c r="D370" s="437">
        <f t="shared" si="1"/>
        <v>0</v>
      </c>
      <c r="F370" s="438">
        <f t="shared" si="2"/>
        <v>0</v>
      </c>
      <c r="G370" t="str">
        <f t="shared" si="3"/>
        <v/>
      </c>
      <c r="H370" t="b">
        <f t="shared" si="4"/>
        <v>0</v>
      </c>
      <c r="I370" s="439">
        <f>IF(OR(ISBLANK(A370),ISNA(MATCH(A370&amp;"",AthleteNumbers,0))),0,MATCH(A370&amp;"",AthleteNumbers,0))</f>
        <v>0</v>
      </c>
      <c r="J370" s="209">
        <f t="array" ref="J370">IF(I370&gt;0,INDEX(DB,$I370,6),0)</f>
        <v>0</v>
      </c>
      <c r="K370" s="440">
        <f t="shared" si="5"/>
        <v>0</v>
      </c>
      <c r="L370" s="440">
        <f t="shared" si="6"/>
        <v>0</v>
      </c>
      <c r="M370" s="441">
        <f>IF(AND(L370&gt;O370,O370&gt;0),MinPoints,IF(L370&lt;N370,100,+INT((O370-$L370)/P370)+MinPoints))</f>
        <v>100</v>
      </c>
      <c r="N370" s="440">
        <f t="shared" si="7"/>
        <v>7</v>
      </c>
      <c r="O370" s="440">
        <f t="shared" si="8"/>
        <v>16</v>
      </c>
      <c r="P370" s="440">
        <f t="shared" si="9"/>
        <v>0.1</v>
      </c>
      <c r="Q370">
        <f t="array" ref="Q370">IF(I370&gt;0,INDEX(DB,I370,9),EventIndex)</f>
        <v>6</v>
      </c>
      <c r="S370" s="442">
        <f t="array" ref="S370">INDEX(MINVALUES,$Q370,$K$1)</f>
        <v>16</v>
      </c>
      <c r="T370">
        <f t="array" ref="T370">INDEX(INCVALUES,$Q370,$K$1)</f>
        <v>0.1</v>
      </c>
      <c r="V370">
        <f t="array" ref="V370">+J370+(4*(INDEX(MatchScoreTable,$Q370,20)-1))</f>
        <v>4</v>
      </c>
      <c r="W370">
        <f t="array" ref="W370">INDEX(INC_MINVALUES,$V370,$K$1)</f>
        <v>34</v>
      </c>
      <c r="X370" s="212">
        <f t="array" ref="X370">INDEX(INC_INCVALUES,$V370,$K$1)</f>
        <v>0.3</v>
      </c>
    </row>
    <row r="371" ht="15.75" customHeight="1">
      <c r="A371" s="435"/>
      <c r="B371" s="436"/>
      <c r="C371" s="95" t="str">
        <f t="array" ref="C371">IF(I371&gt;0,INDEX(DB,I371,8),"")</f>
        <v/>
      </c>
      <c r="D371" s="437">
        <f t="shared" si="1"/>
        <v>0</v>
      </c>
      <c r="F371" s="438">
        <f t="shared" si="2"/>
        <v>0</v>
      </c>
      <c r="G371" t="str">
        <f t="shared" si="3"/>
        <v/>
      </c>
      <c r="H371" t="b">
        <f t="shared" si="4"/>
        <v>0</v>
      </c>
      <c r="I371" s="439">
        <f>IF(OR(ISBLANK(A371),ISNA(MATCH(A371&amp;"",AthleteNumbers,0))),0,MATCH(A371&amp;"",AthleteNumbers,0))</f>
        <v>0</v>
      </c>
      <c r="J371" s="209">
        <f t="array" ref="J371">IF(I371&gt;0,INDEX(DB,$I371,6),0)</f>
        <v>0</v>
      </c>
      <c r="K371" s="440">
        <f t="shared" si="5"/>
        <v>0</v>
      </c>
      <c r="L371" s="440">
        <f t="shared" si="6"/>
        <v>0</v>
      </c>
      <c r="M371" s="441">
        <f>IF(AND(L371&gt;O371,O371&gt;0),MinPoints,IF(L371&lt;N371,100,+INT((O371-$L371)/P371)+MinPoints))</f>
        <v>100</v>
      </c>
      <c r="N371" s="440">
        <f t="shared" si="7"/>
        <v>7</v>
      </c>
      <c r="O371" s="440">
        <f t="shared" si="8"/>
        <v>16</v>
      </c>
      <c r="P371" s="440">
        <f t="shared" si="9"/>
        <v>0.1</v>
      </c>
      <c r="Q371">
        <f t="array" ref="Q371">IF(I371&gt;0,INDEX(DB,I371,9),EventIndex)</f>
        <v>6</v>
      </c>
      <c r="S371" s="442">
        <f t="array" ref="S371">INDEX(MINVALUES,$Q371,$K$1)</f>
        <v>16</v>
      </c>
      <c r="T371">
        <f t="array" ref="T371">INDEX(INCVALUES,$Q371,$K$1)</f>
        <v>0.1</v>
      </c>
      <c r="V371">
        <f t="array" ref="V371">+J371+(4*(INDEX(MatchScoreTable,$Q371,20)-1))</f>
        <v>4</v>
      </c>
      <c r="W371">
        <f t="array" ref="W371">INDEX(INC_MINVALUES,$V371,$K$1)</f>
        <v>34</v>
      </c>
      <c r="X371" s="212">
        <f t="array" ref="X371">INDEX(INC_INCVALUES,$V371,$K$1)</f>
        <v>0.3</v>
      </c>
    </row>
    <row r="372" ht="15.75" customHeight="1">
      <c r="A372" s="435"/>
      <c r="B372" s="436"/>
      <c r="C372" s="95" t="str">
        <f t="array" ref="C372">IF(I372&gt;0,INDEX(DB,I372,8),"")</f>
        <v/>
      </c>
      <c r="D372" s="437">
        <f t="shared" si="1"/>
        <v>0</v>
      </c>
      <c r="F372" s="438">
        <f t="shared" si="2"/>
        <v>0</v>
      </c>
      <c r="G372" t="str">
        <f t="shared" si="3"/>
        <v/>
      </c>
      <c r="H372" t="b">
        <f t="shared" si="4"/>
        <v>0</v>
      </c>
      <c r="I372" s="439">
        <f>IF(OR(ISBLANK(A372),ISNA(MATCH(A372&amp;"",AthleteNumbers,0))),0,MATCH(A372&amp;"",AthleteNumbers,0))</f>
        <v>0</v>
      </c>
      <c r="J372" s="209">
        <f t="array" ref="J372">IF(I372&gt;0,INDEX(DB,$I372,6),0)</f>
        <v>0</v>
      </c>
      <c r="K372" s="440">
        <f t="shared" si="5"/>
        <v>0</v>
      </c>
      <c r="L372" s="440">
        <f t="shared" si="6"/>
        <v>0</v>
      </c>
      <c r="M372" s="441">
        <f>IF(AND(L372&gt;O372,O372&gt;0),MinPoints,IF(L372&lt;N372,100,+INT((O372-$L372)/P372)+MinPoints))</f>
        <v>100</v>
      </c>
      <c r="N372" s="440">
        <f t="shared" si="7"/>
        <v>7</v>
      </c>
      <c r="O372" s="440">
        <f t="shared" si="8"/>
        <v>16</v>
      </c>
      <c r="P372" s="440">
        <f t="shared" si="9"/>
        <v>0.1</v>
      </c>
      <c r="Q372">
        <f t="array" ref="Q372">IF(I372&gt;0,INDEX(DB,I372,9),EventIndex)</f>
        <v>6</v>
      </c>
      <c r="S372" s="442">
        <f t="array" ref="S372">INDEX(MINVALUES,$Q372,$K$1)</f>
        <v>16</v>
      </c>
      <c r="T372">
        <f t="array" ref="T372">INDEX(INCVALUES,$Q372,$K$1)</f>
        <v>0.1</v>
      </c>
      <c r="V372">
        <f t="array" ref="V372">+J372+(4*(INDEX(MatchScoreTable,$Q372,20)-1))</f>
        <v>4</v>
      </c>
      <c r="W372">
        <f t="array" ref="W372">INDEX(INC_MINVALUES,$V372,$K$1)</f>
        <v>34</v>
      </c>
      <c r="X372" s="212">
        <f t="array" ref="X372">INDEX(INC_INCVALUES,$V372,$K$1)</f>
        <v>0.3</v>
      </c>
    </row>
    <row r="373" ht="15.75" customHeight="1">
      <c r="A373" s="435"/>
      <c r="B373" s="436"/>
      <c r="C373" s="95" t="str">
        <f t="array" ref="C373">IF(I373&gt;0,INDEX(DB,I373,8),"")</f>
        <v/>
      </c>
      <c r="D373" s="437">
        <f t="shared" si="1"/>
        <v>0</v>
      </c>
      <c r="F373" s="438">
        <f t="shared" si="2"/>
        <v>0</v>
      </c>
      <c r="G373" t="str">
        <f t="shared" si="3"/>
        <v/>
      </c>
      <c r="H373" t="b">
        <f t="shared" si="4"/>
        <v>0</v>
      </c>
      <c r="I373" s="439">
        <f>IF(OR(ISBLANK(A373),ISNA(MATCH(A373&amp;"",AthleteNumbers,0))),0,MATCH(A373&amp;"",AthleteNumbers,0))</f>
        <v>0</v>
      </c>
      <c r="J373" s="209">
        <f t="array" ref="J373">IF(I373&gt;0,INDEX(DB,$I373,6),0)</f>
        <v>0</v>
      </c>
      <c r="K373" s="440">
        <f t="shared" si="5"/>
        <v>0</v>
      </c>
      <c r="L373" s="440">
        <f t="shared" si="6"/>
        <v>0</v>
      </c>
      <c r="M373" s="441">
        <f>IF(AND(L373&gt;O373,O373&gt;0),MinPoints,IF(L373&lt;N373,100,+INT((O373-$L373)/P373)+MinPoints))</f>
        <v>100</v>
      </c>
      <c r="N373" s="440">
        <f t="shared" si="7"/>
        <v>7</v>
      </c>
      <c r="O373" s="440">
        <f t="shared" si="8"/>
        <v>16</v>
      </c>
      <c r="P373" s="440">
        <f t="shared" si="9"/>
        <v>0.1</v>
      </c>
      <c r="Q373">
        <f t="array" ref="Q373">IF(I373&gt;0,INDEX(DB,I373,9),EventIndex)</f>
        <v>6</v>
      </c>
      <c r="S373" s="442">
        <f t="array" ref="S373">INDEX(MINVALUES,$Q373,$K$1)</f>
        <v>16</v>
      </c>
      <c r="T373">
        <f t="array" ref="T373">INDEX(INCVALUES,$Q373,$K$1)</f>
        <v>0.1</v>
      </c>
      <c r="V373">
        <f t="array" ref="V373">+J373+(4*(INDEX(MatchScoreTable,$Q373,20)-1))</f>
        <v>4</v>
      </c>
      <c r="W373">
        <f t="array" ref="W373">INDEX(INC_MINVALUES,$V373,$K$1)</f>
        <v>34</v>
      </c>
      <c r="X373" s="212">
        <f t="array" ref="X373">INDEX(INC_INCVALUES,$V373,$K$1)</f>
        <v>0.3</v>
      </c>
    </row>
    <row r="374" ht="15.75" customHeight="1">
      <c r="A374" s="435"/>
      <c r="B374" s="436"/>
      <c r="C374" s="95" t="str">
        <f t="array" ref="C374">IF(I374&gt;0,INDEX(DB,I374,8),"")</f>
        <v/>
      </c>
      <c r="D374" s="437">
        <f t="shared" si="1"/>
        <v>0</v>
      </c>
      <c r="F374" s="438">
        <f t="shared" si="2"/>
        <v>0</v>
      </c>
      <c r="G374" t="str">
        <f t="shared" si="3"/>
        <v/>
      </c>
      <c r="H374" t="b">
        <f t="shared" si="4"/>
        <v>0</v>
      </c>
      <c r="I374" s="439">
        <f>IF(OR(ISBLANK(A374),ISNA(MATCH(A374&amp;"",AthleteNumbers,0))),0,MATCH(A374&amp;"",AthleteNumbers,0))</f>
        <v>0</v>
      </c>
      <c r="J374" s="209">
        <f t="array" ref="J374">IF(I374&gt;0,INDEX(DB,$I374,6),0)</f>
        <v>0</v>
      </c>
      <c r="K374" s="440">
        <f t="shared" si="5"/>
        <v>0</v>
      </c>
      <c r="L374" s="440">
        <f t="shared" si="6"/>
        <v>0</v>
      </c>
      <c r="M374" s="441">
        <f>IF(AND(L374&gt;O374,O374&gt;0),MinPoints,IF(L374&lt;N374,100,+INT((O374-$L374)/P374)+MinPoints))</f>
        <v>100</v>
      </c>
      <c r="N374" s="440">
        <f t="shared" si="7"/>
        <v>7</v>
      </c>
      <c r="O374" s="440">
        <f t="shared" si="8"/>
        <v>16</v>
      </c>
      <c r="P374" s="440">
        <f t="shared" si="9"/>
        <v>0.1</v>
      </c>
      <c r="Q374">
        <f t="array" ref="Q374">IF(I374&gt;0,INDEX(DB,I374,9),EventIndex)</f>
        <v>6</v>
      </c>
      <c r="S374" s="442">
        <f t="array" ref="S374">INDEX(MINVALUES,$Q374,$K$1)</f>
        <v>16</v>
      </c>
      <c r="T374">
        <f t="array" ref="T374">INDEX(INCVALUES,$Q374,$K$1)</f>
        <v>0.1</v>
      </c>
      <c r="V374">
        <f t="array" ref="V374">+J374+(4*(INDEX(MatchScoreTable,$Q374,20)-1))</f>
        <v>4</v>
      </c>
      <c r="W374">
        <f t="array" ref="W374">INDEX(INC_MINVALUES,$V374,$K$1)</f>
        <v>34</v>
      </c>
      <c r="X374" s="212">
        <f t="array" ref="X374">INDEX(INC_INCVALUES,$V374,$K$1)</f>
        <v>0.3</v>
      </c>
    </row>
    <row r="375" ht="15.75" customHeight="1">
      <c r="A375" s="435"/>
      <c r="B375" s="436"/>
      <c r="C375" s="95" t="str">
        <f t="array" ref="C375">IF(I375&gt;0,INDEX(DB,I375,8),"")</f>
        <v/>
      </c>
      <c r="D375" s="437">
        <f t="shared" si="1"/>
        <v>0</v>
      </c>
      <c r="F375" s="438">
        <f t="shared" si="2"/>
        <v>0</v>
      </c>
      <c r="G375" t="str">
        <f t="shared" si="3"/>
        <v/>
      </c>
      <c r="H375" t="b">
        <f t="shared" si="4"/>
        <v>0</v>
      </c>
      <c r="I375" s="439">
        <f>IF(OR(ISBLANK(A375),ISNA(MATCH(A375&amp;"",AthleteNumbers,0))),0,MATCH(A375&amp;"",AthleteNumbers,0))</f>
        <v>0</v>
      </c>
      <c r="J375" s="209">
        <f t="array" ref="J375">IF(I375&gt;0,INDEX(DB,$I375,6),0)</f>
        <v>0</v>
      </c>
      <c r="K375" s="440">
        <f t="shared" si="5"/>
        <v>0</v>
      </c>
      <c r="L375" s="440">
        <f t="shared" si="6"/>
        <v>0</v>
      </c>
      <c r="M375" s="441">
        <f>IF(AND(L375&gt;O375,O375&gt;0),MinPoints,IF(L375&lt;N375,100,+INT((O375-$L375)/P375)+MinPoints))</f>
        <v>100</v>
      </c>
      <c r="N375" s="440">
        <f t="shared" si="7"/>
        <v>7</v>
      </c>
      <c r="O375" s="440">
        <f t="shared" si="8"/>
        <v>16</v>
      </c>
      <c r="P375" s="440">
        <f t="shared" si="9"/>
        <v>0.1</v>
      </c>
      <c r="Q375">
        <f t="array" ref="Q375">IF(I375&gt;0,INDEX(DB,I375,9),EventIndex)</f>
        <v>6</v>
      </c>
      <c r="S375" s="442">
        <f t="array" ref="S375">INDEX(MINVALUES,$Q375,$K$1)</f>
        <v>16</v>
      </c>
      <c r="T375">
        <f t="array" ref="T375">INDEX(INCVALUES,$Q375,$K$1)</f>
        <v>0.1</v>
      </c>
      <c r="V375">
        <f t="array" ref="V375">+J375+(4*(INDEX(MatchScoreTable,$Q375,20)-1))</f>
        <v>4</v>
      </c>
      <c r="W375">
        <f t="array" ref="W375">INDEX(INC_MINVALUES,$V375,$K$1)</f>
        <v>34</v>
      </c>
      <c r="X375" s="212">
        <f t="array" ref="X375">INDEX(INC_INCVALUES,$V375,$K$1)</f>
        <v>0.3</v>
      </c>
    </row>
    <row r="376" ht="15.75" customHeight="1">
      <c r="A376" s="435"/>
      <c r="B376" s="436"/>
      <c r="C376" s="95" t="str">
        <f t="array" ref="C376">IF(I376&gt;0,INDEX(DB,I376,8),"")</f>
        <v/>
      </c>
      <c r="D376" s="437">
        <f t="shared" si="1"/>
        <v>0</v>
      </c>
      <c r="F376" s="438">
        <f t="shared" si="2"/>
        <v>0</v>
      </c>
      <c r="G376" t="str">
        <f t="shared" si="3"/>
        <v/>
      </c>
      <c r="H376" t="b">
        <f t="shared" si="4"/>
        <v>0</v>
      </c>
      <c r="I376" s="439">
        <f>IF(OR(ISBLANK(A376),ISNA(MATCH(A376&amp;"",AthleteNumbers,0))),0,MATCH(A376&amp;"",AthleteNumbers,0))</f>
        <v>0</v>
      </c>
      <c r="J376" s="209">
        <f t="array" ref="J376">IF(I376&gt;0,INDEX(DB,$I376,6),0)</f>
        <v>0</v>
      </c>
      <c r="K376" s="440">
        <f t="shared" si="5"/>
        <v>0</v>
      </c>
      <c r="L376" s="440">
        <f t="shared" si="6"/>
        <v>0</v>
      </c>
      <c r="M376" s="441">
        <f>IF(AND(L376&gt;O376,O376&gt;0),MinPoints,IF(L376&lt;N376,100,+INT((O376-$L376)/P376)+MinPoints))</f>
        <v>100</v>
      </c>
      <c r="N376" s="440">
        <f t="shared" si="7"/>
        <v>7</v>
      </c>
      <c r="O376" s="440">
        <f t="shared" si="8"/>
        <v>16</v>
      </c>
      <c r="P376" s="440">
        <f t="shared" si="9"/>
        <v>0.1</v>
      </c>
      <c r="Q376">
        <f t="array" ref="Q376">IF(I376&gt;0,INDEX(DB,I376,9),EventIndex)</f>
        <v>6</v>
      </c>
      <c r="S376" s="442">
        <f t="array" ref="S376">INDEX(MINVALUES,$Q376,$K$1)</f>
        <v>16</v>
      </c>
      <c r="T376">
        <f t="array" ref="T376">INDEX(INCVALUES,$Q376,$K$1)</f>
        <v>0.1</v>
      </c>
      <c r="V376">
        <f t="array" ref="V376">+J376+(4*(INDEX(MatchScoreTable,$Q376,20)-1))</f>
        <v>4</v>
      </c>
      <c r="W376">
        <f t="array" ref="W376">INDEX(INC_MINVALUES,$V376,$K$1)</f>
        <v>34</v>
      </c>
      <c r="X376" s="212">
        <f t="array" ref="X376">INDEX(INC_INCVALUES,$V376,$K$1)</f>
        <v>0.3</v>
      </c>
    </row>
    <row r="377" ht="15.75" customHeight="1">
      <c r="A377" s="435"/>
      <c r="B377" s="436"/>
      <c r="C377" s="95" t="str">
        <f t="array" ref="C377">IF(I377&gt;0,INDEX(DB,I377,8),"")</f>
        <v/>
      </c>
      <c r="D377" s="437">
        <f t="shared" si="1"/>
        <v>0</v>
      </c>
      <c r="F377" s="438">
        <f t="shared" si="2"/>
        <v>0</v>
      </c>
      <c r="G377" t="str">
        <f t="shared" si="3"/>
        <v/>
      </c>
      <c r="H377" t="b">
        <f t="shared" si="4"/>
        <v>0</v>
      </c>
      <c r="I377" s="439">
        <f>IF(OR(ISBLANK(A377),ISNA(MATCH(A377&amp;"",AthleteNumbers,0))),0,MATCH(A377&amp;"",AthleteNumbers,0))</f>
        <v>0</v>
      </c>
      <c r="J377" s="209">
        <f t="array" ref="J377">IF(I377&gt;0,INDEX(DB,$I377,6),0)</f>
        <v>0</v>
      </c>
      <c r="K377" s="440">
        <f t="shared" si="5"/>
        <v>0</v>
      </c>
      <c r="L377" s="440">
        <f t="shared" si="6"/>
        <v>0</v>
      </c>
      <c r="M377" s="441">
        <f>IF(AND(L377&gt;O377,O377&gt;0),MinPoints,IF(L377&lt;N377,100,+INT((O377-$L377)/P377)+MinPoints))</f>
        <v>100</v>
      </c>
      <c r="N377" s="440">
        <f t="shared" si="7"/>
        <v>7</v>
      </c>
      <c r="O377" s="440">
        <f t="shared" si="8"/>
        <v>16</v>
      </c>
      <c r="P377" s="440">
        <f t="shared" si="9"/>
        <v>0.1</v>
      </c>
      <c r="Q377">
        <f t="array" ref="Q377">IF(I377&gt;0,INDEX(DB,I377,9),EventIndex)</f>
        <v>6</v>
      </c>
      <c r="S377" s="442">
        <f t="array" ref="S377">INDEX(MINVALUES,$Q377,$K$1)</f>
        <v>16</v>
      </c>
      <c r="T377">
        <f t="array" ref="T377">INDEX(INCVALUES,$Q377,$K$1)</f>
        <v>0.1</v>
      </c>
      <c r="V377">
        <f t="array" ref="V377">+J377+(4*(INDEX(MatchScoreTable,$Q377,20)-1))</f>
        <v>4</v>
      </c>
      <c r="W377">
        <f t="array" ref="W377">INDEX(INC_MINVALUES,$V377,$K$1)</f>
        <v>34</v>
      </c>
      <c r="X377" s="212">
        <f t="array" ref="X377">INDEX(INC_INCVALUES,$V377,$K$1)</f>
        <v>0.3</v>
      </c>
    </row>
    <row r="378" ht="15.75" customHeight="1">
      <c r="A378" s="435"/>
      <c r="B378" s="436"/>
      <c r="C378" s="95" t="str">
        <f t="array" ref="C378">IF(I378&gt;0,INDEX(DB,I378,8),"")</f>
        <v/>
      </c>
      <c r="D378" s="437">
        <f t="shared" si="1"/>
        <v>0</v>
      </c>
      <c r="F378" s="438">
        <f t="shared" si="2"/>
        <v>0</v>
      </c>
      <c r="G378" t="str">
        <f t="shared" si="3"/>
        <v/>
      </c>
      <c r="H378" t="b">
        <f t="shared" si="4"/>
        <v>0</v>
      </c>
      <c r="I378" s="439">
        <f>IF(OR(ISBLANK(A378),ISNA(MATCH(A378&amp;"",AthleteNumbers,0))),0,MATCH(A378&amp;"",AthleteNumbers,0))</f>
        <v>0</v>
      </c>
      <c r="J378" s="209">
        <f t="array" ref="J378">IF(I378&gt;0,INDEX(DB,$I378,6),0)</f>
        <v>0</v>
      </c>
      <c r="K378" s="440">
        <f t="shared" si="5"/>
        <v>0</v>
      </c>
      <c r="L378" s="440">
        <f t="shared" si="6"/>
        <v>0</v>
      </c>
      <c r="M378" s="441">
        <f>IF(AND(L378&gt;O378,O378&gt;0),MinPoints,IF(L378&lt;N378,100,+INT((O378-$L378)/P378)+MinPoints))</f>
        <v>100</v>
      </c>
      <c r="N378" s="440">
        <f t="shared" si="7"/>
        <v>7</v>
      </c>
      <c r="O378" s="440">
        <f t="shared" si="8"/>
        <v>16</v>
      </c>
      <c r="P378" s="440">
        <f t="shared" si="9"/>
        <v>0.1</v>
      </c>
      <c r="Q378">
        <f t="array" ref="Q378">IF(I378&gt;0,INDEX(DB,I378,9),EventIndex)</f>
        <v>6</v>
      </c>
      <c r="S378" s="442">
        <f t="array" ref="S378">INDEX(MINVALUES,$Q378,$K$1)</f>
        <v>16</v>
      </c>
      <c r="T378">
        <f t="array" ref="T378">INDEX(INCVALUES,$Q378,$K$1)</f>
        <v>0.1</v>
      </c>
      <c r="V378">
        <f t="array" ref="V378">+J378+(4*(INDEX(MatchScoreTable,$Q378,20)-1))</f>
        <v>4</v>
      </c>
      <c r="W378">
        <f t="array" ref="W378">INDEX(INC_MINVALUES,$V378,$K$1)</f>
        <v>34</v>
      </c>
      <c r="X378" s="212">
        <f t="array" ref="X378">INDEX(INC_INCVALUES,$V378,$K$1)</f>
        <v>0.3</v>
      </c>
    </row>
    <row r="379" ht="15.75" customHeight="1">
      <c r="A379" s="435"/>
      <c r="B379" s="436"/>
      <c r="C379" s="95" t="str">
        <f t="array" ref="C379">IF(I379&gt;0,INDEX(DB,I379,8),"")</f>
        <v/>
      </c>
      <c r="D379" s="437">
        <f t="shared" si="1"/>
        <v>0</v>
      </c>
      <c r="F379" s="438">
        <f t="shared" si="2"/>
        <v>0</v>
      </c>
      <c r="G379" t="str">
        <f t="shared" si="3"/>
        <v/>
      </c>
      <c r="H379" t="b">
        <f t="shared" si="4"/>
        <v>0</v>
      </c>
      <c r="I379" s="439">
        <f>IF(OR(ISBLANK(A379),ISNA(MATCH(A379&amp;"",AthleteNumbers,0))),0,MATCH(A379&amp;"",AthleteNumbers,0))</f>
        <v>0</v>
      </c>
      <c r="J379" s="209">
        <f t="array" ref="J379">IF(I379&gt;0,INDEX(DB,$I379,6),0)</f>
        <v>0</v>
      </c>
      <c r="K379" s="440">
        <f t="shared" si="5"/>
        <v>0</v>
      </c>
      <c r="L379" s="440">
        <f t="shared" si="6"/>
        <v>0</v>
      </c>
      <c r="M379" s="441">
        <f>IF(AND(L379&gt;O379,O379&gt;0),MinPoints,IF(L379&lt;N379,100,+INT((O379-$L379)/P379)+MinPoints))</f>
        <v>100</v>
      </c>
      <c r="N379" s="440">
        <f t="shared" si="7"/>
        <v>7</v>
      </c>
      <c r="O379" s="440">
        <f t="shared" si="8"/>
        <v>16</v>
      </c>
      <c r="P379" s="440">
        <f t="shared" si="9"/>
        <v>0.1</v>
      </c>
      <c r="Q379">
        <f t="array" ref="Q379">IF(I379&gt;0,INDEX(DB,I379,9),EventIndex)</f>
        <v>6</v>
      </c>
      <c r="S379" s="442">
        <f t="array" ref="S379">INDEX(MINVALUES,$Q379,$K$1)</f>
        <v>16</v>
      </c>
      <c r="T379">
        <f t="array" ref="T379">INDEX(INCVALUES,$Q379,$K$1)</f>
        <v>0.1</v>
      </c>
      <c r="V379">
        <f t="array" ref="V379">+J379+(4*(INDEX(MatchScoreTable,$Q379,20)-1))</f>
        <v>4</v>
      </c>
      <c r="W379">
        <f t="array" ref="W379">INDEX(INC_MINVALUES,$V379,$K$1)</f>
        <v>34</v>
      </c>
      <c r="X379" s="212">
        <f t="array" ref="X379">INDEX(INC_INCVALUES,$V379,$K$1)</f>
        <v>0.3</v>
      </c>
    </row>
    <row r="380" ht="15.75" customHeight="1">
      <c r="A380" s="435"/>
      <c r="B380" s="436"/>
      <c r="C380" s="95" t="str">
        <f t="array" ref="C380">IF(I380&gt;0,INDEX(DB,I380,8),"")</f>
        <v/>
      </c>
      <c r="D380" s="437">
        <f t="shared" si="1"/>
        <v>0</v>
      </c>
      <c r="F380" s="438">
        <f t="shared" si="2"/>
        <v>0</v>
      </c>
      <c r="G380" t="str">
        <f t="shared" si="3"/>
        <v/>
      </c>
      <c r="H380" t="b">
        <f t="shared" si="4"/>
        <v>0</v>
      </c>
      <c r="I380" s="439">
        <f>IF(OR(ISBLANK(A380),ISNA(MATCH(A380&amp;"",AthleteNumbers,0))),0,MATCH(A380&amp;"",AthleteNumbers,0))</f>
        <v>0</v>
      </c>
      <c r="J380" s="209">
        <f t="array" ref="J380">IF(I380&gt;0,INDEX(DB,$I380,6),0)</f>
        <v>0</v>
      </c>
      <c r="K380" s="440">
        <f t="shared" si="5"/>
        <v>0</v>
      </c>
      <c r="L380" s="440">
        <f t="shared" si="6"/>
        <v>0</v>
      </c>
      <c r="M380" s="441">
        <f>IF(AND(L380&gt;O380,O380&gt;0),MinPoints,IF(L380&lt;N380,100,+INT((O380-$L380)/P380)+MinPoints))</f>
        <v>100</v>
      </c>
      <c r="N380" s="440">
        <f t="shared" si="7"/>
        <v>7</v>
      </c>
      <c r="O380" s="440">
        <f t="shared" si="8"/>
        <v>16</v>
      </c>
      <c r="P380" s="440">
        <f t="shared" si="9"/>
        <v>0.1</v>
      </c>
      <c r="Q380">
        <f t="array" ref="Q380">IF(I380&gt;0,INDEX(DB,I380,9),EventIndex)</f>
        <v>6</v>
      </c>
      <c r="S380" s="442">
        <f t="array" ref="S380">INDEX(MINVALUES,$Q380,$K$1)</f>
        <v>16</v>
      </c>
      <c r="T380">
        <f t="array" ref="T380">INDEX(INCVALUES,$Q380,$K$1)</f>
        <v>0.1</v>
      </c>
      <c r="V380">
        <f t="array" ref="V380">+J380+(4*(INDEX(MatchScoreTable,$Q380,20)-1))</f>
        <v>4</v>
      </c>
      <c r="W380">
        <f t="array" ref="W380">INDEX(INC_MINVALUES,$V380,$K$1)</f>
        <v>34</v>
      </c>
      <c r="X380" s="212">
        <f t="array" ref="X380">INDEX(INC_INCVALUES,$V380,$K$1)</f>
        <v>0.3</v>
      </c>
    </row>
    <row r="381" ht="15.75" customHeight="1">
      <c r="A381" s="435"/>
      <c r="B381" s="436"/>
      <c r="C381" s="95" t="str">
        <f t="array" ref="C381">IF(I381&gt;0,INDEX(DB,I381,8),"")</f>
        <v/>
      </c>
      <c r="D381" s="437">
        <f t="shared" si="1"/>
        <v>0</v>
      </c>
      <c r="F381" s="438">
        <f t="shared" si="2"/>
        <v>0</v>
      </c>
      <c r="G381" t="str">
        <f t="shared" si="3"/>
        <v/>
      </c>
      <c r="H381" t="b">
        <f t="shared" si="4"/>
        <v>0</v>
      </c>
      <c r="I381" s="439">
        <f>IF(OR(ISBLANK(A381),ISNA(MATCH(A381&amp;"",AthleteNumbers,0))),0,MATCH(A381&amp;"",AthleteNumbers,0))</f>
        <v>0</v>
      </c>
      <c r="J381" s="209">
        <f t="array" ref="J381">IF(I381&gt;0,INDEX(DB,$I381,6),0)</f>
        <v>0</v>
      </c>
      <c r="K381" s="440">
        <f t="shared" si="5"/>
        <v>0</v>
      </c>
      <c r="L381" s="440">
        <f t="shared" si="6"/>
        <v>0</v>
      </c>
      <c r="M381" s="441">
        <f>IF(AND(L381&gt;O381,O381&gt;0),MinPoints,IF(L381&lt;N381,100,+INT((O381-$L381)/P381)+MinPoints))</f>
        <v>100</v>
      </c>
      <c r="N381" s="440">
        <f t="shared" si="7"/>
        <v>7</v>
      </c>
      <c r="O381" s="440">
        <f t="shared" si="8"/>
        <v>16</v>
      </c>
      <c r="P381" s="440">
        <f t="shared" si="9"/>
        <v>0.1</v>
      </c>
      <c r="Q381">
        <f t="array" ref="Q381">IF(I381&gt;0,INDEX(DB,I381,9),EventIndex)</f>
        <v>6</v>
      </c>
      <c r="S381" s="442">
        <f t="array" ref="S381">INDEX(MINVALUES,$Q381,$K$1)</f>
        <v>16</v>
      </c>
      <c r="T381">
        <f t="array" ref="T381">INDEX(INCVALUES,$Q381,$K$1)</f>
        <v>0.1</v>
      </c>
      <c r="V381">
        <f t="array" ref="V381">+J381+(4*(INDEX(MatchScoreTable,$Q381,20)-1))</f>
        <v>4</v>
      </c>
      <c r="W381">
        <f t="array" ref="W381">INDEX(INC_MINVALUES,$V381,$K$1)</f>
        <v>34</v>
      </c>
      <c r="X381" s="212">
        <f t="array" ref="X381">INDEX(INC_INCVALUES,$V381,$K$1)</f>
        <v>0.3</v>
      </c>
    </row>
    <row r="382" ht="15.75" customHeight="1">
      <c r="A382" s="435"/>
      <c r="B382" s="436"/>
      <c r="C382" s="95" t="str">
        <f t="array" ref="C382">IF(I382&gt;0,INDEX(DB,I382,8),"")</f>
        <v/>
      </c>
      <c r="D382" s="437">
        <f t="shared" si="1"/>
        <v>0</v>
      </c>
      <c r="F382" s="438">
        <f t="shared" si="2"/>
        <v>0</v>
      </c>
      <c r="G382" t="str">
        <f t="shared" si="3"/>
        <v/>
      </c>
      <c r="H382" t="b">
        <f t="shared" si="4"/>
        <v>0</v>
      </c>
      <c r="I382" s="439">
        <f>IF(OR(ISBLANK(A382),ISNA(MATCH(A382&amp;"",AthleteNumbers,0))),0,MATCH(A382&amp;"",AthleteNumbers,0))</f>
        <v>0</v>
      </c>
      <c r="J382" s="209">
        <f t="array" ref="J382">IF(I382&gt;0,INDEX(DB,$I382,6),0)</f>
        <v>0</v>
      </c>
      <c r="K382" s="440">
        <f t="shared" si="5"/>
        <v>0</v>
      </c>
      <c r="L382" s="440">
        <f t="shared" si="6"/>
        <v>0</v>
      </c>
      <c r="M382" s="441">
        <f>IF(AND(L382&gt;O382,O382&gt;0),MinPoints,IF(L382&lt;N382,100,+INT((O382-$L382)/P382)+MinPoints))</f>
        <v>100</v>
      </c>
      <c r="N382" s="440">
        <f t="shared" si="7"/>
        <v>7</v>
      </c>
      <c r="O382" s="440">
        <f t="shared" si="8"/>
        <v>16</v>
      </c>
      <c r="P382" s="440">
        <f t="shared" si="9"/>
        <v>0.1</v>
      </c>
      <c r="Q382">
        <f t="array" ref="Q382">IF(I382&gt;0,INDEX(DB,I382,9),EventIndex)</f>
        <v>6</v>
      </c>
      <c r="S382" s="442">
        <f t="array" ref="S382">INDEX(MINVALUES,$Q382,$K$1)</f>
        <v>16</v>
      </c>
      <c r="T382">
        <f t="array" ref="T382">INDEX(INCVALUES,$Q382,$K$1)</f>
        <v>0.1</v>
      </c>
      <c r="V382">
        <f t="array" ref="V382">+J382+(4*(INDEX(MatchScoreTable,$Q382,20)-1))</f>
        <v>4</v>
      </c>
      <c r="W382">
        <f t="array" ref="W382">INDEX(INC_MINVALUES,$V382,$K$1)</f>
        <v>34</v>
      </c>
      <c r="X382" s="212">
        <f t="array" ref="X382">INDEX(INC_INCVALUES,$V382,$K$1)</f>
        <v>0.3</v>
      </c>
    </row>
    <row r="383" ht="15.75" customHeight="1">
      <c r="A383" s="435"/>
      <c r="B383" s="436"/>
      <c r="C383" s="95" t="str">
        <f t="array" ref="C383">IF(I383&gt;0,INDEX(DB,I383,8),"")</f>
        <v/>
      </c>
      <c r="D383" s="437">
        <f t="shared" si="1"/>
        <v>0</v>
      </c>
      <c r="F383" s="438">
        <f t="shared" si="2"/>
        <v>0</v>
      </c>
      <c r="G383" t="str">
        <f t="shared" si="3"/>
        <v/>
      </c>
      <c r="H383" t="b">
        <f t="shared" si="4"/>
        <v>0</v>
      </c>
      <c r="I383" s="439">
        <f>IF(OR(ISBLANK(A383),ISNA(MATCH(A383&amp;"",AthleteNumbers,0))),0,MATCH(A383&amp;"",AthleteNumbers,0))</f>
        <v>0</v>
      </c>
      <c r="J383" s="209">
        <f t="array" ref="J383">IF(I383&gt;0,INDEX(DB,$I383,6),0)</f>
        <v>0</v>
      </c>
      <c r="K383" s="440">
        <f t="shared" si="5"/>
        <v>0</v>
      </c>
      <c r="L383" s="440">
        <f t="shared" si="6"/>
        <v>0</v>
      </c>
      <c r="M383" s="441">
        <f>IF(AND(L383&gt;O383,O383&gt;0),MinPoints,IF(L383&lt;N383,100,+INT((O383-$L383)/P383)+MinPoints))</f>
        <v>100</v>
      </c>
      <c r="N383" s="440">
        <f t="shared" si="7"/>
        <v>7</v>
      </c>
      <c r="O383" s="440">
        <f t="shared" si="8"/>
        <v>16</v>
      </c>
      <c r="P383" s="440">
        <f t="shared" si="9"/>
        <v>0.1</v>
      </c>
      <c r="Q383">
        <f t="array" ref="Q383">IF(I383&gt;0,INDEX(DB,I383,9),EventIndex)</f>
        <v>6</v>
      </c>
      <c r="S383" s="442">
        <f t="array" ref="S383">INDEX(MINVALUES,$Q383,$K$1)</f>
        <v>16</v>
      </c>
      <c r="T383">
        <f t="array" ref="T383">INDEX(INCVALUES,$Q383,$K$1)</f>
        <v>0.1</v>
      </c>
      <c r="V383">
        <f t="array" ref="V383">+J383+(4*(INDEX(MatchScoreTable,$Q383,20)-1))</f>
        <v>4</v>
      </c>
      <c r="W383">
        <f t="array" ref="W383">INDEX(INC_MINVALUES,$V383,$K$1)</f>
        <v>34</v>
      </c>
      <c r="X383" s="212">
        <f t="array" ref="X383">INDEX(INC_INCVALUES,$V383,$K$1)</f>
        <v>0.3</v>
      </c>
    </row>
    <row r="384" ht="15.75" customHeight="1">
      <c r="A384" s="435"/>
      <c r="B384" s="436"/>
      <c r="C384" s="95" t="str">
        <f t="array" ref="C384">IF(I384&gt;0,INDEX(DB,I384,8),"")</f>
        <v/>
      </c>
      <c r="D384" s="437">
        <f t="shared" si="1"/>
        <v>0</v>
      </c>
      <c r="F384" s="438">
        <f t="shared" si="2"/>
        <v>0</v>
      </c>
      <c r="G384" t="str">
        <f t="shared" si="3"/>
        <v/>
      </c>
      <c r="H384" t="b">
        <f t="shared" si="4"/>
        <v>0</v>
      </c>
      <c r="I384" s="439">
        <f>IF(OR(ISBLANK(A384),ISNA(MATCH(A384&amp;"",AthleteNumbers,0))),0,MATCH(A384&amp;"",AthleteNumbers,0))</f>
        <v>0</v>
      </c>
      <c r="J384" s="209">
        <f t="array" ref="J384">IF(I384&gt;0,INDEX(DB,$I384,6),0)</f>
        <v>0</v>
      </c>
      <c r="K384" s="440">
        <f t="shared" si="5"/>
        <v>0</v>
      </c>
      <c r="L384" s="440">
        <f t="shared" si="6"/>
        <v>0</v>
      </c>
      <c r="M384" s="441">
        <f>IF(AND(L384&gt;O384,O384&gt;0),MinPoints,IF(L384&lt;N384,100,+INT((O384-$L384)/P384)+MinPoints))</f>
        <v>100</v>
      </c>
      <c r="N384" s="440">
        <f t="shared" si="7"/>
        <v>7</v>
      </c>
      <c r="O384" s="440">
        <f t="shared" si="8"/>
        <v>16</v>
      </c>
      <c r="P384" s="440">
        <f t="shared" si="9"/>
        <v>0.1</v>
      </c>
      <c r="Q384">
        <f t="array" ref="Q384">IF(I384&gt;0,INDEX(DB,I384,9),EventIndex)</f>
        <v>6</v>
      </c>
      <c r="S384" s="442">
        <f t="array" ref="S384">INDEX(MINVALUES,$Q384,$K$1)</f>
        <v>16</v>
      </c>
      <c r="T384">
        <f t="array" ref="T384">INDEX(INCVALUES,$Q384,$K$1)</f>
        <v>0.1</v>
      </c>
      <c r="V384">
        <f t="array" ref="V384">+J384+(4*(INDEX(MatchScoreTable,$Q384,20)-1))</f>
        <v>4</v>
      </c>
      <c r="W384">
        <f t="array" ref="W384">INDEX(INC_MINVALUES,$V384,$K$1)</f>
        <v>34</v>
      </c>
      <c r="X384" s="212">
        <f t="array" ref="X384">INDEX(INC_INCVALUES,$V384,$K$1)</f>
        <v>0.3</v>
      </c>
    </row>
    <row r="385" ht="15.75" customHeight="1">
      <c r="A385" s="435"/>
      <c r="B385" s="436"/>
      <c r="C385" s="95" t="str">
        <f t="array" ref="C385">IF(I385&gt;0,INDEX(DB,I385,8),"")</f>
        <v/>
      </c>
      <c r="D385" s="437">
        <f t="shared" si="1"/>
        <v>0</v>
      </c>
      <c r="F385" s="438">
        <f t="shared" si="2"/>
        <v>0</v>
      </c>
      <c r="G385" t="str">
        <f t="shared" si="3"/>
        <v/>
      </c>
      <c r="H385" t="b">
        <f t="shared" si="4"/>
        <v>0</v>
      </c>
      <c r="I385" s="439">
        <f>IF(OR(ISBLANK(A385),ISNA(MATCH(A385&amp;"",AthleteNumbers,0))),0,MATCH(A385&amp;"",AthleteNumbers,0))</f>
        <v>0</v>
      </c>
      <c r="J385" s="209">
        <f t="array" ref="J385">IF(I385&gt;0,INDEX(DB,$I385,6),0)</f>
        <v>0</v>
      </c>
      <c r="K385" s="440">
        <f t="shared" si="5"/>
        <v>0</v>
      </c>
      <c r="L385" s="440">
        <f t="shared" si="6"/>
        <v>0</v>
      </c>
      <c r="M385" s="441">
        <f>IF(AND(L385&gt;O385,O385&gt;0),MinPoints,IF(L385&lt;N385,100,+INT((O385-$L385)/P385)+MinPoints))</f>
        <v>100</v>
      </c>
      <c r="N385" s="440">
        <f t="shared" si="7"/>
        <v>7</v>
      </c>
      <c r="O385" s="440">
        <f t="shared" si="8"/>
        <v>16</v>
      </c>
      <c r="P385" s="440">
        <f t="shared" si="9"/>
        <v>0.1</v>
      </c>
      <c r="Q385">
        <f t="array" ref="Q385">IF(I385&gt;0,INDEX(DB,I385,9),EventIndex)</f>
        <v>6</v>
      </c>
      <c r="S385" s="442">
        <f t="array" ref="S385">INDEX(MINVALUES,$Q385,$K$1)</f>
        <v>16</v>
      </c>
      <c r="T385">
        <f t="array" ref="T385">INDEX(INCVALUES,$Q385,$K$1)</f>
        <v>0.1</v>
      </c>
      <c r="V385">
        <f t="array" ref="V385">+J385+(4*(INDEX(MatchScoreTable,$Q385,20)-1))</f>
        <v>4</v>
      </c>
      <c r="W385">
        <f t="array" ref="W385">INDEX(INC_MINVALUES,$V385,$K$1)</f>
        <v>34</v>
      </c>
      <c r="X385" s="212">
        <f t="array" ref="X385">INDEX(INC_INCVALUES,$V385,$K$1)</f>
        <v>0.3</v>
      </c>
    </row>
    <row r="386" ht="15.75" customHeight="1">
      <c r="A386" s="435"/>
      <c r="B386" s="436"/>
      <c r="C386" s="95" t="str">
        <f t="array" ref="C386">IF(I386&gt;0,INDEX(DB,I386,8),"")</f>
        <v/>
      </c>
      <c r="D386" s="437">
        <f t="shared" si="1"/>
        <v>0</v>
      </c>
      <c r="F386" s="438">
        <f t="shared" si="2"/>
        <v>0</v>
      </c>
      <c r="G386" t="str">
        <f t="shared" si="3"/>
        <v/>
      </c>
      <c r="H386" t="b">
        <f t="shared" si="4"/>
        <v>0</v>
      </c>
      <c r="I386" s="439">
        <f>IF(OR(ISBLANK(A386),ISNA(MATCH(A386&amp;"",AthleteNumbers,0))),0,MATCH(A386&amp;"",AthleteNumbers,0))</f>
        <v>0</v>
      </c>
      <c r="J386" s="209">
        <f t="array" ref="J386">IF(I386&gt;0,INDEX(DB,$I386,6),0)</f>
        <v>0</v>
      </c>
      <c r="K386" s="440">
        <f t="shared" si="5"/>
        <v>0</v>
      </c>
      <c r="L386" s="440">
        <f t="shared" si="6"/>
        <v>0</v>
      </c>
      <c r="M386" s="441">
        <f>IF(AND(L386&gt;O386,O386&gt;0),MinPoints,IF(L386&lt;N386,100,+INT((O386-$L386)/P386)+MinPoints))</f>
        <v>100</v>
      </c>
      <c r="N386" s="440">
        <f t="shared" si="7"/>
        <v>7</v>
      </c>
      <c r="O386" s="440">
        <f t="shared" si="8"/>
        <v>16</v>
      </c>
      <c r="P386" s="440">
        <f t="shared" si="9"/>
        <v>0.1</v>
      </c>
      <c r="Q386">
        <f t="array" ref="Q386">IF(I386&gt;0,INDEX(DB,I386,9),EventIndex)</f>
        <v>6</v>
      </c>
      <c r="S386" s="442">
        <f t="array" ref="S386">INDEX(MINVALUES,$Q386,$K$1)</f>
        <v>16</v>
      </c>
      <c r="T386">
        <f t="array" ref="T386">INDEX(INCVALUES,$Q386,$K$1)</f>
        <v>0.1</v>
      </c>
      <c r="V386">
        <f t="array" ref="V386">+J386+(4*(INDEX(MatchScoreTable,$Q386,20)-1))</f>
        <v>4</v>
      </c>
      <c r="W386">
        <f t="array" ref="W386">INDEX(INC_MINVALUES,$V386,$K$1)</f>
        <v>34</v>
      </c>
      <c r="X386" s="212">
        <f t="array" ref="X386">INDEX(INC_INCVALUES,$V386,$K$1)</f>
        <v>0.3</v>
      </c>
    </row>
    <row r="387" ht="15.75" customHeight="1">
      <c r="A387" s="435"/>
      <c r="B387" s="436"/>
      <c r="C387" s="95" t="str">
        <f t="array" ref="C387">IF(I387&gt;0,INDEX(DB,I387,8),"")</f>
        <v/>
      </c>
      <c r="D387" s="437">
        <f t="shared" si="1"/>
        <v>0</v>
      </c>
      <c r="F387" s="438">
        <f t="shared" si="2"/>
        <v>0</v>
      </c>
      <c r="G387" t="str">
        <f t="shared" si="3"/>
        <v/>
      </c>
      <c r="H387" t="b">
        <f t="shared" si="4"/>
        <v>0</v>
      </c>
      <c r="I387" s="439">
        <f>IF(OR(ISBLANK(A387),ISNA(MATCH(A387&amp;"",AthleteNumbers,0))),0,MATCH(A387&amp;"",AthleteNumbers,0))</f>
        <v>0</v>
      </c>
      <c r="J387" s="209">
        <f t="array" ref="J387">IF(I387&gt;0,INDEX(DB,$I387,6),0)</f>
        <v>0</v>
      </c>
      <c r="K387" s="440">
        <f t="shared" si="5"/>
        <v>0</v>
      </c>
      <c r="L387" s="440">
        <f t="shared" si="6"/>
        <v>0</v>
      </c>
      <c r="M387" s="441">
        <f>IF(AND(L387&gt;O387,O387&gt;0),MinPoints,IF(L387&lt;N387,100,+INT((O387-$L387)/P387)+MinPoints))</f>
        <v>100</v>
      </c>
      <c r="N387" s="440">
        <f t="shared" si="7"/>
        <v>7</v>
      </c>
      <c r="O387" s="440">
        <f t="shared" si="8"/>
        <v>16</v>
      </c>
      <c r="P387" s="440">
        <f t="shared" si="9"/>
        <v>0.1</v>
      </c>
      <c r="Q387">
        <f t="array" ref="Q387">IF(I387&gt;0,INDEX(DB,I387,9),EventIndex)</f>
        <v>6</v>
      </c>
      <c r="S387" s="442">
        <f t="array" ref="S387">INDEX(MINVALUES,$Q387,$K$1)</f>
        <v>16</v>
      </c>
      <c r="T387">
        <f t="array" ref="T387">INDEX(INCVALUES,$Q387,$K$1)</f>
        <v>0.1</v>
      </c>
      <c r="V387">
        <f t="array" ref="V387">+J387+(4*(INDEX(MatchScoreTable,$Q387,20)-1))</f>
        <v>4</v>
      </c>
      <c r="W387">
        <f t="array" ref="W387">INDEX(INC_MINVALUES,$V387,$K$1)</f>
        <v>34</v>
      </c>
      <c r="X387" s="212">
        <f t="array" ref="X387">INDEX(INC_INCVALUES,$V387,$K$1)</f>
        <v>0.3</v>
      </c>
    </row>
    <row r="388" ht="15.75" customHeight="1">
      <c r="A388" s="435"/>
      <c r="B388" s="436"/>
      <c r="C388" s="95" t="str">
        <f t="array" ref="C388">IF(I388&gt;0,INDEX(DB,I388,8),"")</f>
        <v/>
      </c>
      <c r="D388" s="437">
        <f t="shared" si="1"/>
        <v>0</v>
      </c>
      <c r="F388" s="438">
        <f t="shared" si="2"/>
        <v>0</v>
      </c>
      <c r="G388" t="str">
        <f t="shared" si="3"/>
        <v/>
      </c>
      <c r="H388" t="b">
        <f t="shared" si="4"/>
        <v>0</v>
      </c>
      <c r="I388" s="439">
        <f>IF(OR(ISBLANK(A388),ISNA(MATCH(A388&amp;"",AthleteNumbers,0))),0,MATCH(A388&amp;"",AthleteNumbers,0))</f>
        <v>0</v>
      </c>
      <c r="J388" s="209">
        <f t="array" ref="J388">IF(I388&gt;0,INDEX(DB,$I388,6),0)</f>
        <v>0</v>
      </c>
      <c r="K388" s="440">
        <f t="shared" si="5"/>
        <v>0</v>
      </c>
      <c r="L388" s="440">
        <f t="shared" si="6"/>
        <v>0</v>
      </c>
      <c r="M388" s="441">
        <f>IF(AND(L388&gt;O388,O388&gt;0),MinPoints,IF(L388&lt;N388,100,+INT((O388-$L388)/P388)+MinPoints))</f>
        <v>100</v>
      </c>
      <c r="N388" s="440">
        <f t="shared" si="7"/>
        <v>7</v>
      </c>
      <c r="O388" s="440">
        <f t="shared" si="8"/>
        <v>16</v>
      </c>
      <c r="P388" s="440">
        <f t="shared" si="9"/>
        <v>0.1</v>
      </c>
      <c r="Q388">
        <f t="array" ref="Q388">IF(I388&gt;0,INDEX(DB,I388,9),EventIndex)</f>
        <v>6</v>
      </c>
      <c r="S388" s="442">
        <f t="array" ref="S388">INDEX(MINVALUES,$Q388,$K$1)</f>
        <v>16</v>
      </c>
      <c r="T388">
        <f t="array" ref="T388">INDEX(INCVALUES,$Q388,$K$1)</f>
        <v>0.1</v>
      </c>
      <c r="V388">
        <f t="array" ref="V388">+J388+(4*(INDEX(MatchScoreTable,$Q388,20)-1))</f>
        <v>4</v>
      </c>
      <c r="W388">
        <f t="array" ref="W388">INDEX(INC_MINVALUES,$V388,$K$1)</f>
        <v>34</v>
      </c>
      <c r="X388" s="212">
        <f t="array" ref="X388">INDEX(INC_INCVALUES,$V388,$K$1)</f>
        <v>0.3</v>
      </c>
    </row>
    <row r="389" ht="15.75" customHeight="1">
      <c r="A389" s="435"/>
      <c r="B389" s="436"/>
      <c r="C389" s="95" t="str">
        <f t="array" ref="C389">IF(I389&gt;0,INDEX(DB,I389,8),"")</f>
        <v/>
      </c>
      <c r="D389" s="437">
        <f t="shared" si="1"/>
        <v>0</v>
      </c>
      <c r="F389" s="438">
        <f t="shared" si="2"/>
        <v>0</v>
      </c>
      <c r="G389" t="str">
        <f t="shared" si="3"/>
        <v/>
      </c>
      <c r="H389" t="b">
        <f t="shared" si="4"/>
        <v>0</v>
      </c>
      <c r="I389" s="439">
        <f>IF(OR(ISBLANK(A389),ISNA(MATCH(A389&amp;"",AthleteNumbers,0))),0,MATCH(A389&amp;"",AthleteNumbers,0))</f>
        <v>0</v>
      </c>
      <c r="J389" s="209">
        <f t="array" ref="J389">IF(I389&gt;0,INDEX(DB,$I389,6),0)</f>
        <v>0</v>
      </c>
      <c r="K389" s="440">
        <f t="shared" si="5"/>
        <v>0</v>
      </c>
      <c r="L389" s="440">
        <f t="shared" si="6"/>
        <v>0</v>
      </c>
      <c r="M389" s="441">
        <f>IF(AND(L389&gt;O389,O389&gt;0),MinPoints,IF(L389&lt;N389,100,+INT((O389-$L389)/P389)+MinPoints))</f>
        <v>100</v>
      </c>
      <c r="N389" s="440">
        <f t="shared" si="7"/>
        <v>7</v>
      </c>
      <c r="O389" s="440">
        <f t="shared" si="8"/>
        <v>16</v>
      </c>
      <c r="P389" s="440">
        <f t="shared" si="9"/>
        <v>0.1</v>
      </c>
      <c r="Q389">
        <f t="array" ref="Q389">IF(I389&gt;0,INDEX(DB,I389,9),EventIndex)</f>
        <v>6</v>
      </c>
      <c r="S389" s="442">
        <f t="array" ref="S389">INDEX(MINVALUES,$Q389,$K$1)</f>
        <v>16</v>
      </c>
      <c r="T389">
        <f t="array" ref="T389">INDEX(INCVALUES,$Q389,$K$1)</f>
        <v>0.1</v>
      </c>
      <c r="V389">
        <f t="array" ref="V389">+J389+(4*(INDEX(MatchScoreTable,$Q389,20)-1))</f>
        <v>4</v>
      </c>
      <c r="W389">
        <f t="array" ref="W389">INDEX(INC_MINVALUES,$V389,$K$1)</f>
        <v>34</v>
      </c>
      <c r="X389" s="212">
        <f t="array" ref="X389">INDEX(INC_INCVALUES,$V389,$K$1)</f>
        <v>0.3</v>
      </c>
    </row>
    <row r="390" ht="15.75" customHeight="1">
      <c r="A390" s="435"/>
      <c r="B390" s="436"/>
      <c r="C390" s="95" t="str">
        <f t="array" ref="C390">IF(I390&gt;0,INDEX(DB,I390,8),"")</f>
        <v/>
      </c>
      <c r="D390" s="437">
        <f t="shared" si="1"/>
        <v>0</v>
      </c>
      <c r="F390" s="438">
        <f t="shared" si="2"/>
        <v>0</v>
      </c>
      <c r="G390" t="str">
        <f t="shared" si="3"/>
        <v/>
      </c>
      <c r="H390" t="b">
        <f t="shared" si="4"/>
        <v>0</v>
      </c>
      <c r="I390" s="439">
        <f>IF(OR(ISBLANK(A390),ISNA(MATCH(A390&amp;"",AthleteNumbers,0))),0,MATCH(A390&amp;"",AthleteNumbers,0))</f>
        <v>0</v>
      </c>
      <c r="J390" s="209">
        <f t="array" ref="J390">IF(I390&gt;0,INDEX(DB,$I390,6),0)</f>
        <v>0</v>
      </c>
      <c r="K390" s="440">
        <f t="shared" si="5"/>
        <v>0</v>
      </c>
      <c r="L390" s="440">
        <f t="shared" si="6"/>
        <v>0</v>
      </c>
      <c r="M390" s="441">
        <f>IF(AND(L390&gt;O390,O390&gt;0),MinPoints,IF(L390&lt;N390,100,+INT((O390-$L390)/P390)+MinPoints))</f>
        <v>100</v>
      </c>
      <c r="N390" s="440">
        <f t="shared" si="7"/>
        <v>7</v>
      </c>
      <c r="O390" s="440">
        <f t="shared" si="8"/>
        <v>16</v>
      </c>
      <c r="P390" s="440">
        <f t="shared" si="9"/>
        <v>0.1</v>
      </c>
      <c r="Q390">
        <f t="array" ref="Q390">IF(I390&gt;0,INDEX(DB,I390,9),EventIndex)</f>
        <v>6</v>
      </c>
      <c r="S390" s="442">
        <f t="array" ref="S390">INDEX(MINVALUES,$Q390,$K$1)</f>
        <v>16</v>
      </c>
      <c r="T390">
        <f t="array" ref="T390">INDEX(INCVALUES,$Q390,$K$1)</f>
        <v>0.1</v>
      </c>
      <c r="V390">
        <f t="array" ref="V390">+J390+(4*(INDEX(MatchScoreTable,$Q390,20)-1))</f>
        <v>4</v>
      </c>
      <c r="W390">
        <f t="array" ref="W390">INDEX(INC_MINVALUES,$V390,$K$1)</f>
        <v>34</v>
      </c>
      <c r="X390" s="212">
        <f t="array" ref="X390">INDEX(INC_INCVALUES,$V390,$K$1)</f>
        <v>0.3</v>
      </c>
    </row>
    <row r="391" ht="15.75" customHeight="1">
      <c r="A391" s="435"/>
      <c r="B391" s="436"/>
      <c r="C391" s="95" t="str">
        <f t="array" ref="C391">IF(I391&gt;0,INDEX(DB,I391,8),"")</f>
        <v/>
      </c>
      <c r="D391" s="437">
        <f t="shared" si="1"/>
        <v>0</v>
      </c>
      <c r="F391" s="438">
        <f t="shared" si="2"/>
        <v>0</v>
      </c>
      <c r="G391" t="str">
        <f t="shared" si="3"/>
        <v/>
      </c>
      <c r="H391" t="b">
        <f t="shared" si="4"/>
        <v>0</v>
      </c>
      <c r="I391" s="439">
        <f>IF(OR(ISBLANK(A391),ISNA(MATCH(A391&amp;"",AthleteNumbers,0))),0,MATCH(A391&amp;"",AthleteNumbers,0))</f>
        <v>0</v>
      </c>
      <c r="J391" s="209">
        <f t="array" ref="J391">IF(I391&gt;0,INDEX(DB,$I391,6),0)</f>
        <v>0</v>
      </c>
      <c r="K391" s="440">
        <f t="shared" si="5"/>
        <v>0</v>
      </c>
      <c r="L391" s="440">
        <f t="shared" si="6"/>
        <v>0</v>
      </c>
      <c r="M391" s="441">
        <f>IF(AND(L391&gt;O391,O391&gt;0),MinPoints,IF(L391&lt;N391,100,+INT((O391-$L391)/P391)+MinPoints))</f>
        <v>100</v>
      </c>
      <c r="N391" s="440">
        <f t="shared" si="7"/>
        <v>7</v>
      </c>
      <c r="O391" s="440">
        <f t="shared" si="8"/>
        <v>16</v>
      </c>
      <c r="P391" s="440">
        <f t="shared" si="9"/>
        <v>0.1</v>
      </c>
      <c r="Q391">
        <f t="array" ref="Q391">IF(I391&gt;0,INDEX(DB,I391,9),EventIndex)</f>
        <v>6</v>
      </c>
      <c r="S391" s="442">
        <f t="array" ref="S391">INDEX(MINVALUES,$Q391,$K$1)</f>
        <v>16</v>
      </c>
      <c r="T391">
        <f t="array" ref="T391">INDEX(INCVALUES,$Q391,$K$1)</f>
        <v>0.1</v>
      </c>
      <c r="V391">
        <f t="array" ref="V391">+J391+(4*(INDEX(MatchScoreTable,$Q391,20)-1))</f>
        <v>4</v>
      </c>
      <c r="W391">
        <f t="array" ref="W391">INDEX(INC_MINVALUES,$V391,$K$1)</f>
        <v>34</v>
      </c>
      <c r="X391" s="212">
        <f t="array" ref="X391">INDEX(INC_INCVALUES,$V391,$K$1)</f>
        <v>0.3</v>
      </c>
    </row>
    <row r="392" ht="15.75" customHeight="1">
      <c r="A392" s="435"/>
      <c r="B392" s="436"/>
      <c r="C392" s="95" t="str">
        <f t="array" ref="C392">IF(I392&gt;0,INDEX(DB,I392,8),"")</f>
        <v/>
      </c>
      <c r="D392" s="437">
        <f t="shared" si="1"/>
        <v>0</v>
      </c>
      <c r="F392" s="438">
        <f t="shared" si="2"/>
        <v>0</v>
      </c>
      <c r="G392" t="str">
        <f t="shared" si="3"/>
        <v/>
      </c>
      <c r="H392" t="b">
        <f t="shared" si="4"/>
        <v>0</v>
      </c>
      <c r="I392" s="439">
        <f>IF(OR(ISBLANK(A392),ISNA(MATCH(A392&amp;"",AthleteNumbers,0))),0,MATCH(A392&amp;"",AthleteNumbers,0))</f>
        <v>0</v>
      </c>
      <c r="J392" s="209">
        <f t="array" ref="J392">IF(I392&gt;0,INDEX(DB,$I392,6),0)</f>
        <v>0</v>
      </c>
      <c r="K392" s="440">
        <f t="shared" si="5"/>
        <v>0</v>
      </c>
      <c r="L392" s="440">
        <f t="shared" si="6"/>
        <v>0</v>
      </c>
      <c r="M392" s="441">
        <f>IF(AND(L392&gt;O392,O392&gt;0),MinPoints,IF(L392&lt;N392,100,+INT((O392-$L392)/P392)+MinPoints))</f>
        <v>100</v>
      </c>
      <c r="N392" s="440">
        <f t="shared" si="7"/>
        <v>7</v>
      </c>
      <c r="O392" s="440">
        <f t="shared" si="8"/>
        <v>16</v>
      </c>
      <c r="P392" s="440">
        <f t="shared" si="9"/>
        <v>0.1</v>
      </c>
      <c r="Q392">
        <f t="array" ref="Q392">IF(I392&gt;0,INDEX(DB,I392,9),EventIndex)</f>
        <v>6</v>
      </c>
      <c r="S392" s="442">
        <f t="array" ref="S392">INDEX(MINVALUES,$Q392,$K$1)</f>
        <v>16</v>
      </c>
      <c r="T392">
        <f t="array" ref="T392">INDEX(INCVALUES,$Q392,$K$1)</f>
        <v>0.1</v>
      </c>
      <c r="V392">
        <f t="array" ref="V392">+J392+(4*(INDEX(MatchScoreTable,$Q392,20)-1))</f>
        <v>4</v>
      </c>
      <c r="W392">
        <f t="array" ref="W392">INDEX(INC_MINVALUES,$V392,$K$1)</f>
        <v>34</v>
      </c>
      <c r="X392" s="212">
        <f t="array" ref="X392">INDEX(INC_INCVALUES,$V392,$K$1)</f>
        <v>0.3</v>
      </c>
    </row>
    <row r="393" ht="15.75" customHeight="1">
      <c r="A393" s="435"/>
      <c r="B393" s="436"/>
      <c r="C393" s="95" t="str">
        <f t="array" ref="C393">IF(I393&gt;0,INDEX(DB,I393,8),"")</f>
        <v/>
      </c>
      <c r="D393" s="437">
        <f t="shared" si="1"/>
        <v>0</v>
      </c>
      <c r="F393" s="438">
        <f t="shared" si="2"/>
        <v>0</v>
      </c>
      <c r="G393" t="str">
        <f t="shared" si="3"/>
        <v/>
      </c>
      <c r="H393" t="b">
        <f t="shared" si="4"/>
        <v>0</v>
      </c>
      <c r="I393" s="439">
        <f>IF(OR(ISBLANK(A393),ISNA(MATCH(A393&amp;"",AthleteNumbers,0))),0,MATCH(A393&amp;"",AthleteNumbers,0))</f>
        <v>0</v>
      </c>
      <c r="J393" s="209">
        <f t="array" ref="J393">IF(I393&gt;0,INDEX(DB,$I393,6),0)</f>
        <v>0</v>
      </c>
      <c r="K393" s="440">
        <f t="shared" si="5"/>
        <v>0</v>
      </c>
      <c r="L393" s="440">
        <f t="shared" si="6"/>
        <v>0</v>
      </c>
      <c r="M393" s="441">
        <f>IF(AND(L393&gt;O393,O393&gt;0),MinPoints,IF(L393&lt;N393,100,+INT((O393-$L393)/P393)+MinPoints))</f>
        <v>100</v>
      </c>
      <c r="N393" s="440">
        <f t="shared" si="7"/>
        <v>7</v>
      </c>
      <c r="O393" s="440">
        <f t="shared" si="8"/>
        <v>16</v>
      </c>
      <c r="P393" s="440">
        <f t="shared" si="9"/>
        <v>0.1</v>
      </c>
      <c r="Q393">
        <f t="array" ref="Q393">IF(I393&gt;0,INDEX(DB,I393,9),EventIndex)</f>
        <v>6</v>
      </c>
      <c r="S393" s="442">
        <f t="array" ref="S393">INDEX(MINVALUES,$Q393,$K$1)</f>
        <v>16</v>
      </c>
      <c r="T393">
        <f t="array" ref="T393">INDEX(INCVALUES,$Q393,$K$1)</f>
        <v>0.1</v>
      </c>
      <c r="V393">
        <f t="array" ref="V393">+J393+(4*(INDEX(MatchScoreTable,$Q393,20)-1))</f>
        <v>4</v>
      </c>
      <c r="W393">
        <f t="array" ref="W393">INDEX(INC_MINVALUES,$V393,$K$1)</f>
        <v>34</v>
      </c>
      <c r="X393" s="212">
        <f t="array" ref="X393">INDEX(INC_INCVALUES,$V393,$K$1)</f>
        <v>0.3</v>
      </c>
    </row>
    <row r="394" ht="15.75" customHeight="1">
      <c r="A394" s="435"/>
      <c r="B394" s="436"/>
      <c r="C394" s="95" t="str">
        <f t="array" ref="C394">IF(I394&gt;0,INDEX(DB,I394,8),"")</f>
        <v/>
      </c>
      <c r="D394" s="437">
        <f t="shared" si="1"/>
        <v>0</v>
      </c>
      <c r="F394" s="438">
        <f t="shared" si="2"/>
        <v>0</v>
      </c>
      <c r="G394" t="str">
        <f t="shared" si="3"/>
        <v/>
      </c>
      <c r="H394" t="b">
        <f t="shared" si="4"/>
        <v>0</v>
      </c>
      <c r="I394" s="439">
        <f>IF(OR(ISBLANK(A394),ISNA(MATCH(A394&amp;"",AthleteNumbers,0))),0,MATCH(A394&amp;"",AthleteNumbers,0))</f>
        <v>0</v>
      </c>
      <c r="J394" s="209">
        <f t="array" ref="J394">IF(I394&gt;0,INDEX(DB,$I394,6),0)</f>
        <v>0</v>
      </c>
      <c r="K394" s="440">
        <f t="shared" si="5"/>
        <v>0</v>
      </c>
      <c r="L394" s="440">
        <f t="shared" si="6"/>
        <v>0</v>
      </c>
      <c r="M394" s="441">
        <f>IF(AND(L394&gt;O394,O394&gt;0),MinPoints,IF(L394&lt;N394,100,+INT((O394-$L394)/P394)+MinPoints))</f>
        <v>100</v>
      </c>
      <c r="N394" s="440">
        <f t="shared" si="7"/>
        <v>7</v>
      </c>
      <c r="O394" s="440">
        <f t="shared" si="8"/>
        <v>16</v>
      </c>
      <c r="P394" s="440">
        <f t="shared" si="9"/>
        <v>0.1</v>
      </c>
      <c r="Q394">
        <f t="array" ref="Q394">IF(I394&gt;0,INDEX(DB,I394,9),EventIndex)</f>
        <v>6</v>
      </c>
      <c r="S394" s="442">
        <f t="array" ref="S394">INDEX(MINVALUES,$Q394,$K$1)</f>
        <v>16</v>
      </c>
      <c r="T394">
        <f t="array" ref="T394">INDEX(INCVALUES,$Q394,$K$1)</f>
        <v>0.1</v>
      </c>
      <c r="V394">
        <f t="array" ref="V394">+J394+(4*(INDEX(MatchScoreTable,$Q394,20)-1))</f>
        <v>4</v>
      </c>
      <c r="W394">
        <f t="array" ref="W394">INDEX(INC_MINVALUES,$V394,$K$1)</f>
        <v>34</v>
      </c>
      <c r="X394" s="212">
        <f t="array" ref="X394">INDEX(INC_INCVALUES,$V394,$K$1)</f>
        <v>0.3</v>
      </c>
    </row>
    <row r="395" ht="15.75" customHeight="1">
      <c r="A395" s="435"/>
      <c r="B395" s="436"/>
      <c r="C395" s="95" t="str">
        <f t="array" ref="C395">IF(I395&gt;0,INDEX(DB,I395,8),"")</f>
        <v/>
      </c>
      <c r="D395" s="437">
        <f t="shared" si="1"/>
        <v>0</v>
      </c>
      <c r="F395" s="438">
        <f t="shared" si="2"/>
        <v>0</v>
      </c>
      <c r="G395" t="str">
        <f t="shared" si="3"/>
        <v/>
      </c>
      <c r="H395" t="b">
        <f t="shared" si="4"/>
        <v>0</v>
      </c>
      <c r="I395" s="439">
        <f>IF(OR(ISBLANK(A395),ISNA(MATCH(A395&amp;"",AthleteNumbers,0))),0,MATCH(A395&amp;"",AthleteNumbers,0))</f>
        <v>0</v>
      </c>
      <c r="J395" s="209">
        <f t="array" ref="J395">IF(I395&gt;0,INDEX(DB,$I395,6),0)</f>
        <v>0</v>
      </c>
      <c r="K395" s="440">
        <f t="shared" si="5"/>
        <v>0</v>
      </c>
      <c r="L395" s="440">
        <f t="shared" si="6"/>
        <v>0</v>
      </c>
      <c r="M395" s="441">
        <f>IF(AND(L395&gt;O395,O395&gt;0),MinPoints,IF(L395&lt;N395,100,+INT((O395-$L395)/P395)+MinPoints))</f>
        <v>100</v>
      </c>
      <c r="N395" s="440">
        <f t="shared" si="7"/>
        <v>7</v>
      </c>
      <c r="O395" s="440">
        <f t="shared" si="8"/>
        <v>16</v>
      </c>
      <c r="P395" s="440">
        <f t="shared" si="9"/>
        <v>0.1</v>
      </c>
      <c r="Q395">
        <f t="array" ref="Q395">IF(I395&gt;0,INDEX(DB,I395,9),EventIndex)</f>
        <v>6</v>
      </c>
      <c r="S395" s="442">
        <f t="array" ref="S395">INDEX(MINVALUES,$Q395,$K$1)</f>
        <v>16</v>
      </c>
      <c r="T395">
        <f t="array" ref="T395">INDEX(INCVALUES,$Q395,$K$1)</f>
        <v>0.1</v>
      </c>
      <c r="V395">
        <f t="array" ref="V395">+J395+(4*(INDEX(MatchScoreTable,$Q395,20)-1))</f>
        <v>4</v>
      </c>
      <c r="W395">
        <f t="array" ref="W395">INDEX(INC_MINVALUES,$V395,$K$1)</f>
        <v>34</v>
      </c>
      <c r="X395" s="212">
        <f t="array" ref="X395">INDEX(INC_INCVALUES,$V395,$K$1)</f>
        <v>0.3</v>
      </c>
    </row>
    <row r="396" ht="15.75" customHeight="1">
      <c r="A396" s="435"/>
      <c r="B396" s="436"/>
      <c r="C396" s="95" t="str">
        <f t="array" ref="C396">IF(I396&gt;0,INDEX(DB,I396,8),"")</f>
        <v/>
      </c>
      <c r="D396" s="437">
        <f t="shared" si="1"/>
        <v>0</v>
      </c>
      <c r="F396" s="438">
        <f t="shared" si="2"/>
        <v>0</v>
      </c>
      <c r="G396" t="str">
        <f t="shared" si="3"/>
        <v/>
      </c>
      <c r="H396" t="b">
        <f t="shared" si="4"/>
        <v>0</v>
      </c>
      <c r="I396" s="439">
        <f>IF(OR(ISBLANK(A396),ISNA(MATCH(A396&amp;"",AthleteNumbers,0))),0,MATCH(A396&amp;"",AthleteNumbers,0))</f>
        <v>0</v>
      </c>
      <c r="J396" s="209">
        <f t="array" ref="J396">IF(I396&gt;0,INDEX(DB,$I396,6),0)</f>
        <v>0</v>
      </c>
      <c r="K396" s="440">
        <f t="shared" si="5"/>
        <v>0</v>
      </c>
      <c r="L396" s="440">
        <f t="shared" si="6"/>
        <v>0</v>
      </c>
      <c r="M396" s="441">
        <f>IF(AND(L396&gt;O396,O396&gt;0),MinPoints,IF(L396&lt;N396,100,+INT((O396-$L396)/P396)+MinPoints))</f>
        <v>100</v>
      </c>
      <c r="N396" s="440">
        <f t="shared" si="7"/>
        <v>7</v>
      </c>
      <c r="O396" s="440">
        <f t="shared" si="8"/>
        <v>16</v>
      </c>
      <c r="P396" s="440">
        <f t="shared" si="9"/>
        <v>0.1</v>
      </c>
      <c r="Q396">
        <f t="array" ref="Q396">IF(I396&gt;0,INDEX(DB,I396,9),EventIndex)</f>
        <v>6</v>
      </c>
      <c r="S396" s="442">
        <f t="array" ref="S396">INDEX(MINVALUES,$Q396,$K$1)</f>
        <v>16</v>
      </c>
      <c r="T396">
        <f t="array" ref="T396">INDEX(INCVALUES,$Q396,$K$1)</f>
        <v>0.1</v>
      </c>
      <c r="V396">
        <f t="array" ref="V396">+J396+(4*(INDEX(MatchScoreTable,$Q396,20)-1))</f>
        <v>4</v>
      </c>
      <c r="W396">
        <f t="array" ref="W396">INDEX(INC_MINVALUES,$V396,$K$1)</f>
        <v>34</v>
      </c>
      <c r="X396" s="212">
        <f t="array" ref="X396">INDEX(INC_INCVALUES,$V396,$K$1)</f>
        <v>0.3</v>
      </c>
    </row>
    <row r="397" ht="15.75" customHeight="1">
      <c r="A397" s="435"/>
      <c r="B397" s="436"/>
      <c r="C397" s="95" t="str">
        <f t="array" ref="C397">IF(I397&gt;0,INDEX(DB,I397,8),"")</f>
        <v/>
      </c>
      <c r="D397" s="437">
        <f t="shared" si="1"/>
        <v>0</v>
      </c>
      <c r="F397" s="438">
        <f t="shared" si="2"/>
        <v>0</v>
      </c>
      <c r="G397" t="str">
        <f t="shared" si="3"/>
        <v/>
      </c>
      <c r="H397" t="b">
        <f t="shared" si="4"/>
        <v>0</v>
      </c>
      <c r="I397" s="439">
        <f>IF(OR(ISBLANK(A397),ISNA(MATCH(A397&amp;"",AthleteNumbers,0))),0,MATCH(A397&amp;"",AthleteNumbers,0))</f>
        <v>0</v>
      </c>
      <c r="J397" s="209">
        <f t="array" ref="J397">IF(I397&gt;0,INDEX(DB,$I397,6),0)</f>
        <v>0</v>
      </c>
      <c r="K397" s="440">
        <f t="shared" si="5"/>
        <v>0</v>
      </c>
      <c r="L397" s="440">
        <f t="shared" si="6"/>
        <v>0</v>
      </c>
      <c r="M397" s="441">
        <f>IF(AND(L397&gt;O397,O397&gt;0),MinPoints,IF(L397&lt;N397,100,+INT((O397-$L397)/P397)+MinPoints))</f>
        <v>100</v>
      </c>
      <c r="N397" s="440">
        <f t="shared" si="7"/>
        <v>7</v>
      </c>
      <c r="O397" s="440">
        <f t="shared" si="8"/>
        <v>16</v>
      </c>
      <c r="P397" s="440">
        <f t="shared" si="9"/>
        <v>0.1</v>
      </c>
      <c r="Q397">
        <f t="array" ref="Q397">IF(I397&gt;0,INDEX(DB,I397,9),EventIndex)</f>
        <v>6</v>
      </c>
      <c r="S397" s="442">
        <f t="array" ref="S397">INDEX(MINVALUES,$Q397,$K$1)</f>
        <v>16</v>
      </c>
      <c r="T397">
        <f t="array" ref="T397">INDEX(INCVALUES,$Q397,$K$1)</f>
        <v>0.1</v>
      </c>
      <c r="V397">
        <f t="array" ref="V397">+J397+(4*(INDEX(MatchScoreTable,$Q397,20)-1))</f>
        <v>4</v>
      </c>
      <c r="W397">
        <f t="array" ref="W397">INDEX(INC_MINVALUES,$V397,$K$1)</f>
        <v>34</v>
      </c>
      <c r="X397" s="212">
        <f t="array" ref="X397">INDEX(INC_INCVALUES,$V397,$K$1)</f>
        <v>0.3</v>
      </c>
    </row>
    <row r="398" ht="15.75" customHeight="1">
      <c r="A398" s="435"/>
      <c r="B398" s="436"/>
      <c r="C398" s="95" t="str">
        <f t="array" ref="C398">IF(I398&gt;0,INDEX(DB,I398,8),"")</f>
        <v/>
      </c>
      <c r="D398" s="437">
        <f t="shared" si="1"/>
        <v>0</v>
      </c>
      <c r="F398" s="438">
        <f t="shared" si="2"/>
        <v>0</v>
      </c>
      <c r="G398" t="str">
        <f t="shared" si="3"/>
        <v/>
      </c>
      <c r="H398" t="b">
        <f t="shared" si="4"/>
        <v>0</v>
      </c>
      <c r="I398" s="439">
        <f>IF(OR(ISBLANK(A398),ISNA(MATCH(A398&amp;"",AthleteNumbers,0))),0,MATCH(A398&amp;"",AthleteNumbers,0))</f>
        <v>0</v>
      </c>
      <c r="J398" s="209">
        <f t="array" ref="J398">IF(I398&gt;0,INDEX(DB,$I398,6),0)</f>
        <v>0</v>
      </c>
      <c r="K398" s="440">
        <f t="shared" si="5"/>
        <v>0</v>
      </c>
      <c r="L398" s="440">
        <f t="shared" si="6"/>
        <v>0</v>
      </c>
      <c r="M398" s="441">
        <f>IF(AND(L398&gt;O398,O398&gt;0),MinPoints,IF(L398&lt;N398,100,+INT((O398-$L398)/P398)+MinPoints))</f>
        <v>100</v>
      </c>
      <c r="N398" s="440">
        <f t="shared" si="7"/>
        <v>7</v>
      </c>
      <c r="O398" s="440">
        <f t="shared" si="8"/>
        <v>16</v>
      </c>
      <c r="P398" s="440">
        <f t="shared" si="9"/>
        <v>0.1</v>
      </c>
      <c r="Q398">
        <f t="array" ref="Q398">IF(I398&gt;0,INDEX(DB,I398,9),EventIndex)</f>
        <v>6</v>
      </c>
      <c r="S398" s="442">
        <f t="array" ref="S398">INDEX(MINVALUES,$Q398,$K$1)</f>
        <v>16</v>
      </c>
      <c r="T398">
        <f t="array" ref="T398">INDEX(INCVALUES,$Q398,$K$1)</f>
        <v>0.1</v>
      </c>
      <c r="V398">
        <f t="array" ref="V398">+J398+(4*(INDEX(MatchScoreTable,$Q398,20)-1))</f>
        <v>4</v>
      </c>
      <c r="W398">
        <f t="array" ref="W398">INDEX(INC_MINVALUES,$V398,$K$1)</f>
        <v>34</v>
      </c>
      <c r="X398" s="212">
        <f t="array" ref="X398">INDEX(INC_INCVALUES,$V398,$K$1)</f>
        <v>0.3</v>
      </c>
    </row>
    <row r="399" ht="15.75" customHeight="1">
      <c r="A399" s="435"/>
      <c r="B399" s="436"/>
      <c r="C399" s="95" t="str">
        <f t="array" ref="C399">IF(I399&gt;0,INDEX(DB,I399,8),"")</f>
        <v/>
      </c>
      <c r="D399" s="437">
        <f t="shared" si="1"/>
        <v>0</v>
      </c>
      <c r="F399" s="438">
        <f t="shared" si="2"/>
        <v>0</v>
      </c>
      <c r="G399" t="str">
        <f t="shared" si="3"/>
        <v/>
      </c>
      <c r="H399" t="b">
        <f t="shared" si="4"/>
        <v>0</v>
      </c>
      <c r="I399" s="439">
        <f>IF(OR(ISBLANK(A399),ISNA(MATCH(A399&amp;"",AthleteNumbers,0))),0,MATCH(A399&amp;"",AthleteNumbers,0))</f>
        <v>0</v>
      </c>
      <c r="J399" s="209">
        <f t="array" ref="J399">IF(I399&gt;0,INDEX(DB,$I399,6),0)</f>
        <v>0</v>
      </c>
      <c r="K399" s="440">
        <f t="shared" si="5"/>
        <v>0</v>
      </c>
      <c r="L399" s="440">
        <f t="shared" si="6"/>
        <v>0</v>
      </c>
      <c r="M399" s="441">
        <f>IF(AND(L399&gt;O399,O399&gt;0),MinPoints,IF(L399&lt;N399,100,+INT((O399-$L399)/P399)+MinPoints))</f>
        <v>100</v>
      </c>
      <c r="N399" s="440">
        <f t="shared" si="7"/>
        <v>7</v>
      </c>
      <c r="O399" s="440">
        <f t="shared" si="8"/>
        <v>16</v>
      </c>
      <c r="P399" s="440">
        <f t="shared" si="9"/>
        <v>0.1</v>
      </c>
      <c r="Q399">
        <f t="array" ref="Q399">IF(I399&gt;0,INDEX(DB,I399,9),EventIndex)</f>
        <v>6</v>
      </c>
      <c r="S399" s="442">
        <f t="array" ref="S399">INDEX(MINVALUES,$Q399,$K$1)</f>
        <v>16</v>
      </c>
      <c r="T399">
        <f t="array" ref="T399">INDEX(INCVALUES,$Q399,$K$1)</f>
        <v>0.1</v>
      </c>
      <c r="V399">
        <f t="array" ref="V399">+J399+(4*(INDEX(MatchScoreTable,$Q399,20)-1))</f>
        <v>4</v>
      </c>
      <c r="W399">
        <f t="array" ref="W399">INDEX(INC_MINVALUES,$V399,$K$1)</f>
        <v>34</v>
      </c>
      <c r="X399" s="212">
        <f t="array" ref="X399">INDEX(INC_INCVALUES,$V399,$K$1)</f>
        <v>0.3</v>
      </c>
    </row>
    <row r="400" ht="15.75" customHeight="1">
      <c r="A400" s="435"/>
      <c r="B400" s="436"/>
      <c r="C400" s="95" t="str">
        <f t="array" ref="C400">IF(I400&gt;0,INDEX(DB,I400,8),"")</f>
        <v/>
      </c>
      <c r="D400" s="437">
        <f t="shared" si="1"/>
        <v>0</v>
      </c>
      <c r="F400" s="438">
        <f t="shared" si="2"/>
        <v>0</v>
      </c>
      <c r="G400" t="str">
        <f t="shared" si="3"/>
        <v/>
      </c>
      <c r="H400" t="b">
        <f t="shared" si="4"/>
        <v>0</v>
      </c>
      <c r="I400" s="439">
        <f>IF(OR(ISBLANK(A400),ISNA(MATCH(A400&amp;"",AthleteNumbers,0))),0,MATCH(A400&amp;"",AthleteNumbers,0))</f>
        <v>0</v>
      </c>
      <c r="J400" s="209">
        <f t="array" ref="J400">IF(I400&gt;0,INDEX(DB,$I400,6),0)</f>
        <v>0</v>
      </c>
      <c r="K400" s="440">
        <f t="shared" si="5"/>
        <v>0</v>
      </c>
      <c r="L400" s="440">
        <f t="shared" si="6"/>
        <v>0</v>
      </c>
      <c r="M400" s="441">
        <f>IF(AND(L400&gt;O400,O400&gt;0),MinPoints,IF(L400&lt;N400,100,+INT((O400-$L400)/P400)+MinPoints))</f>
        <v>100</v>
      </c>
      <c r="N400" s="440">
        <f t="shared" si="7"/>
        <v>7</v>
      </c>
      <c r="O400" s="440">
        <f t="shared" si="8"/>
        <v>16</v>
      </c>
      <c r="P400" s="440">
        <f t="shared" si="9"/>
        <v>0.1</v>
      </c>
      <c r="Q400">
        <f t="array" ref="Q400">IF(I400&gt;0,INDEX(DB,I400,9),EventIndex)</f>
        <v>6</v>
      </c>
      <c r="S400" s="442">
        <f t="array" ref="S400">INDEX(MINVALUES,$Q400,$K$1)</f>
        <v>16</v>
      </c>
      <c r="T400">
        <f t="array" ref="T400">INDEX(INCVALUES,$Q400,$K$1)</f>
        <v>0.1</v>
      </c>
      <c r="V400">
        <f t="array" ref="V400">+J400+(4*(INDEX(MatchScoreTable,$Q400,20)-1))</f>
        <v>4</v>
      </c>
      <c r="W400">
        <f t="array" ref="W400">INDEX(INC_MINVALUES,$V400,$K$1)</f>
        <v>34</v>
      </c>
      <c r="X400" s="212">
        <f t="array" ref="X400">INDEX(INC_INCVALUES,$V400,$K$1)</f>
        <v>0.3</v>
      </c>
    </row>
    <row r="401" ht="15.75" customHeight="1">
      <c r="A401" s="435"/>
      <c r="B401" s="436"/>
      <c r="C401" s="95" t="str">
        <f t="array" ref="C401">IF(I401&gt;0,INDEX(DB,I401,8),"")</f>
        <v/>
      </c>
      <c r="D401" s="437">
        <f t="shared" si="1"/>
        <v>0</v>
      </c>
      <c r="F401" s="438">
        <f t="shared" si="2"/>
        <v>0</v>
      </c>
      <c r="G401" t="str">
        <f t="shared" si="3"/>
        <v/>
      </c>
      <c r="H401" t="b">
        <f t="shared" si="4"/>
        <v>0</v>
      </c>
      <c r="I401" s="439">
        <f>IF(OR(ISBLANK(A401),ISNA(MATCH(A401&amp;"",AthleteNumbers,0))),0,MATCH(A401&amp;"",AthleteNumbers,0))</f>
        <v>0</v>
      </c>
      <c r="J401" s="209">
        <f t="array" ref="J401">IF(I401&gt;0,INDEX(DB,$I401,6),0)</f>
        <v>0</v>
      </c>
      <c r="K401" s="440">
        <f t="shared" si="5"/>
        <v>0</v>
      </c>
      <c r="L401" s="440">
        <f t="shared" si="6"/>
        <v>0</v>
      </c>
      <c r="M401" s="441">
        <f>IF(AND(L401&gt;O401,O401&gt;0),MinPoints,IF(L401&lt;N401,100,+INT((O401-$L401)/P401)+MinPoints))</f>
        <v>100</v>
      </c>
      <c r="N401" s="440">
        <f t="shared" si="7"/>
        <v>7</v>
      </c>
      <c r="O401" s="440">
        <f t="shared" si="8"/>
        <v>16</v>
      </c>
      <c r="P401" s="440">
        <f t="shared" si="9"/>
        <v>0.1</v>
      </c>
      <c r="Q401">
        <f t="array" ref="Q401">IF(I401&gt;0,INDEX(DB,I401,9),EventIndex)</f>
        <v>6</v>
      </c>
      <c r="S401" s="442">
        <f t="array" ref="S401">INDEX(MINVALUES,$Q401,$K$1)</f>
        <v>16</v>
      </c>
      <c r="T401">
        <f t="array" ref="T401">INDEX(INCVALUES,$Q401,$K$1)</f>
        <v>0.1</v>
      </c>
      <c r="V401">
        <f t="array" ref="V401">+J401+(4*(INDEX(MatchScoreTable,$Q401,20)-1))</f>
        <v>4</v>
      </c>
      <c r="W401">
        <f t="array" ref="W401">INDEX(INC_MINVALUES,$V401,$K$1)</f>
        <v>34</v>
      </c>
      <c r="X401" s="212">
        <f t="array" ref="X401">INDEX(INC_INCVALUES,$V401,$K$1)</f>
        <v>0.3</v>
      </c>
    </row>
    <row r="402" ht="15.75" customHeight="1">
      <c r="A402" s="435"/>
      <c r="B402" s="436"/>
      <c r="C402" s="95" t="str">
        <f t="array" ref="C402">IF(I402&gt;0,INDEX(DB,I402,8),"")</f>
        <v/>
      </c>
      <c r="D402" s="437">
        <f t="shared" si="1"/>
        <v>0</v>
      </c>
      <c r="F402" s="438">
        <f t="shared" si="2"/>
        <v>0</v>
      </c>
      <c r="G402" t="str">
        <f t="shared" si="3"/>
        <v/>
      </c>
      <c r="H402" t="b">
        <f t="shared" si="4"/>
        <v>0</v>
      </c>
      <c r="I402" s="439">
        <f>IF(OR(ISBLANK(A402),ISNA(MATCH(A402&amp;"",AthleteNumbers,0))),0,MATCH(A402&amp;"",AthleteNumbers,0))</f>
        <v>0</v>
      </c>
      <c r="J402" s="209">
        <f t="array" ref="J402">IF(I402&gt;0,INDEX(DB,$I402,6),0)</f>
        <v>0</v>
      </c>
      <c r="K402" s="440">
        <f t="shared" si="5"/>
        <v>0</v>
      </c>
      <c r="L402" s="440">
        <f t="shared" si="6"/>
        <v>0</v>
      </c>
      <c r="M402" s="441">
        <f>IF(AND(L402&gt;O402,O402&gt;0),MinPoints,IF(L402&lt;N402,100,+INT((O402-$L402)/P402)+MinPoints))</f>
        <v>100</v>
      </c>
      <c r="N402" s="440">
        <f t="shared" si="7"/>
        <v>7</v>
      </c>
      <c r="O402" s="440">
        <f t="shared" si="8"/>
        <v>16</v>
      </c>
      <c r="P402" s="440">
        <f t="shared" si="9"/>
        <v>0.1</v>
      </c>
      <c r="Q402">
        <f t="array" ref="Q402">IF(I402&gt;0,INDEX(DB,I402,9),EventIndex)</f>
        <v>6</v>
      </c>
      <c r="S402" s="442">
        <f t="array" ref="S402">INDEX(MINVALUES,$Q402,$K$1)</f>
        <v>16</v>
      </c>
      <c r="T402">
        <f t="array" ref="T402">INDEX(INCVALUES,$Q402,$K$1)</f>
        <v>0.1</v>
      </c>
      <c r="V402">
        <f t="array" ref="V402">+J402+(4*(INDEX(MatchScoreTable,$Q402,20)-1))</f>
        <v>4</v>
      </c>
      <c r="W402">
        <f t="array" ref="W402">INDEX(INC_MINVALUES,$V402,$K$1)</f>
        <v>34</v>
      </c>
      <c r="X402" s="212">
        <f t="array" ref="X402">INDEX(INC_INCVALUES,$V402,$K$1)</f>
        <v>0.3</v>
      </c>
    </row>
    <row r="403" ht="15.75" customHeight="1">
      <c r="A403" s="435"/>
      <c r="B403" s="436"/>
      <c r="C403" s="95" t="str">
        <f t="array" ref="C403">IF(I403&gt;0,INDEX(DB,I403,8),"")</f>
        <v/>
      </c>
      <c r="D403" s="437">
        <f t="shared" si="1"/>
        <v>0</v>
      </c>
      <c r="F403" s="438">
        <f t="shared" si="2"/>
        <v>0</v>
      </c>
      <c r="G403" t="str">
        <f t="shared" si="3"/>
        <v/>
      </c>
      <c r="H403" t="b">
        <f t="shared" si="4"/>
        <v>0</v>
      </c>
      <c r="I403" s="439">
        <f>IF(OR(ISBLANK(A403),ISNA(MATCH(A403&amp;"",AthleteNumbers,0))),0,MATCH(A403&amp;"",AthleteNumbers,0))</f>
        <v>0</v>
      </c>
      <c r="J403" s="209">
        <f t="array" ref="J403">IF(I403&gt;0,INDEX(DB,$I403,6),0)</f>
        <v>0</v>
      </c>
      <c r="K403" s="440">
        <f t="shared" si="5"/>
        <v>0</v>
      </c>
      <c r="L403" s="440">
        <f t="shared" si="6"/>
        <v>0</v>
      </c>
      <c r="M403" s="441">
        <f>IF(AND(L403&gt;O403,O403&gt;0),MinPoints,IF(L403&lt;N403,100,+INT((O403-$L403)/P403)+MinPoints))</f>
        <v>100</v>
      </c>
      <c r="N403" s="440">
        <f t="shared" si="7"/>
        <v>7</v>
      </c>
      <c r="O403" s="440">
        <f t="shared" si="8"/>
        <v>16</v>
      </c>
      <c r="P403" s="440">
        <f t="shared" si="9"/>
        <v>0.1</v>
      </c>
      <c r="Q403">
        <f t="array" ref="Q403">IF(I403&gt;0,INDEX(DB,I403,9),EventIndex)</f>
        <v>6</v>
      </c>
      <c r="S403" s="442">
        <f t="array" ref="S403">INDEX(MINVALUES,$Q403,$K$1)</f>
        <v>16</v>
      </c>
      <c r="T403">
        <f t="array" ref="T403">INDEX(INCVALUES,$Q403,$K$1)</f>
        <v>0.1</v>
      </c>
      <c r="V403">
        <f t="array" ref="V403">+J403+(4*(INDEX(MatchScoreTable,$Q403,20)-1))</f>
        <v>4</v>
      </c>
      <c r="W403">
        <f t="array" ref="W403">INDEX(INC_MINVALUES,$V403,$K$1)</f>
        <v>34</v>
      </c>
      <c r="X403" s="212">
        <f t="array" ref="X403">INDEX(INC_INCVALUES,$V403,$K$1)</f>
        <v>0.3</v>
      </c>
    </row>
    <row r="404" ht="15.75" customHeight="1">
      <c r="A404" s="435"/>
      <c r="B404" s="436"/>
      <c r="C404" s="95" t="str">
        <f t="array" ref="C404">IF(I404&gt;0,INDEX(DB,I404,8),"")</f>
        <v/>
      </c>
      <c r="D404" s="437">
        <f t="shared" si="1"/>
        <v>0</v>
      </c>
      <c r="F404" s="438">
        <f t="shared" si="2"/>
        <v>0</v>
      </c>
      <c r="G404" t="str">
        <f t="shared" si="3"/>
        <v/>
      </c>
      <c r="H404" t="b">
        <f t="shared" si="4"/>
        <v>0</v>
      </c>
      <c r="I404" s="439">
        <f>IF(OR(ISBLANK(A404),ISNA(MATCH(A404&amp;"",AthleteNumbers,0))),0,MATCH(A404&amp;"",AthleteNumbers,0))</f>
        <v>0</v>
      </c>
      <c r="J404" s="209">
        <f t="array" ref="J404">IF(I404&gt;0,INDEX(DB,$I404,6),0)</f>
        <v>0</v>
      </c>
      <c r="K404" s="440">
        <f t="shared" si="5"/>
        <v>0</v>
      </c>
      <c r="L404" s="440">
        <f t="shared" si="6"/>
        <v>0</v>
      </c>
      <c r="M404" s="441">
        <f>IF(AND(L404&gt;O404,O404&gt;0),MinPoints,IF(L404&lt;N404,100,+INT((O404-$L404)/P404)+MinPoints))</f>
        <v>100</v>
      </c>
      <c r="N404" s="440">
        <f t="shared" si="7"/>
        <v>7</v>
      </c>
      <c r="O404" s="440">
        <f t="shared" si="8"/>
        <v>16</v>
      </c>
      <c r="P404" s="440">
        <f t="shared" si="9"/>
        <v>0.1</v>
      </c>
      <c r="Q404">
        <f t="array" ref="Q404">IF(I404&gt;0,INDEX(DB,I404,9),EventIndex)</f>
        <v>6</v>
      </c>
      <c r="S404" s="442">
        <f t="array" ref="S404">INDEX(MINVALUES,$Q404,$K$1)</f>
        <v>16</v>
      </c>
      <c r="T404">
        <f t="array" ref="T404">INDEX(INCVALUES,$Q404,$K$1)</f>
        <v>0.1</v>
      </c>
      <c r="V404">
        <f t="array" ref="V404">+J404+(4*(INDEX(MatchScoreTable,$Q404,20)-1))</f>
        <v>4</v>
      </c>
      <c r="W404">
        <f t="array" ref="W404">INDEX(INC_MINVALUES,$V404,$K$1)</f>
        <v>34</v>
      </c>
      <c r="X404" s="212">
        <f t="array" ref="X404">INDEX(INC_INCVALUES,$V404,$K$1)</f>
        <v>0.3</v>
      </c>
    </row>
    <row r="405" ht="15.75" customHeight="1">
      <c r="A405" s="435"/>
      <c r="B405" s="436"/>
      <c r="C405" s="95" t="str">
        <f t="array" ref="C405">IF(I405&gt;0,INDEX(DB,I405,8),"")</f>
        <v/>
      </c>
      <c r="D405" s="437">
        <f t="shared" si="1"/>
        <v>0</v>
      </c>
      <c r="F405" s="438">
        <f t="shared" si="2"/>
        <v>0</v>
      </c>
      <c r="G405" t="str">
        <f t="shared" si="3"/>
        <v/>
      </c>
      <c r="H405" t="b">
        <f t="shared" si="4"/>
        <v>0</v>
      </c>
      <c r="I405" s="439">
        <f>IF(OR(ISBLANK(A405),ISNA(MATCH(A405&amp;"",AthleteNumbers,0))),0,MATCH(A405&amp;"",AthleteNumbers,0))</f>
        <v>0</v>
      </c>
      <c r="J405" s="209">
        <f t="array" ref="J405">IF(I405&gt;0,INDEX(DB,$I405,6),0)</f>
        <v>0</v>
      </c>
      <c r="K405" s="440">
        <f t="shared" si="5"/>
        <v>0</v>
      </c>
      <c r="L405" s="440">
        <f t="shared" si="6"/>
        <v>0</v>
      </c>
      <c r="M405" s="441">
        <f>IF(AND(L405&gt;O405,O405&gt;0),MinPoints,IF(L405&lt;N405,100,+INT((O405-$L405)/P405)+MinPoints))</f>
        <v>100</v>
      </c>
      <c r="N405" s="440">
        <f t="shared" si="7"/>
        <v>7</v>
      </c>
      <c r="O405" s="440">
        <f t="shared" si="8"/>
        <v>16</v>
      </c>
      <c r="P405" s="440">
        <f t="shared" si="9"/>
        <v>0.1</v>
      </c>
      <c r="Q405">
        <f t="array" ref="Q405">IF(I405&gt;0,INDEX(DB,I405,9),EventIndex)</f>
        <v>6</v>
      </c>
      <c r="S405" s="442">
        <f t="array" ref="S405">INDEX(MINVALUES,$Q405,$K$1)</f>
        <v>16</v>
      </c>
      <c r="T405">
        <f t="array" ref="T405">INDEX(INCVALUES,$Q405,$K$1)</f>
        <v>0.1</v>
      </c>
      <c r="V405">
        <f t="array" ref="V405">+J405+(4*(INDEX(MatchScoreTable,$Q405,20)-1))</f>
        <v>4</v>
      </c>
      <c r="W405">
        <f t="array" ref="W405">INDEX(INC_MINVALUES,$V405,$K$1)</f>
        <v>34</v>
      </c>
      <c r="X405" s="212">
        <f t="array" ref="X405">INDEX(INC_INCVALUES,$V405,$K$1)</f>
        <v>0.3</v>
      </c>
    </row>
    <row r="406" ht="15.75" customHeight="1">
      <c r="A406" s="435"/>
      <c r="B406" s="436"/>
      <c r="C406" s="95" t="str">
        <f t="array" ref="C406">IF(I406&gt;0,INDEX(DB,I406,8),"")</f>
        <v/>
      </c>
      <c r="D406" s="437">
        <f t="shared" si="1"/>
        <v>0</v>
      </c>
      <c r="F406" s="438">
        <f t="shared" si="2"/>
        <v>0</v>
      </c>
      <c r="G406" t="str">
        <f t="shared" si="3"/>
        <v/>
      </c>
      <c r="H406" t="b">
        <f t="shared" si="4"/>
        <v>0</v>
      </c>
      <c r="I406" s="439">
        <f>IF(OR(ISBLANK(A406),ISNA(MATCH(A406&amp;"",AthleteNumbers,0))),0,MATCH(A406&amp;"",AthleteNumbers,0))</f>
        <v>0</v>
      </c>
      <c r="J406" s="209">
        <f t="array" ref="J406">IF(I406&gt;0,INDEX(DB,$I406,6),0)</f>
        <v>0</v>
      </c>
      <c r="K406" s="440">
        <f t="shared" si="5"/>
        <v>0</v>
      </c>
      <c r="L406" s="440">
        <f t="shared" si="6"/>
        <v>0</v>
      </c>
      <c r="M406" s="441">
        <f>IF(AND(L406&gt;O406,O406&gt;0),MinPoints,IF(L406&lt;N406,100,+INT((O406-$L406)/P406)+MinPoints))</f>
        <v>100</v>
      </c>
      <c r="N406" s="440">
        <f t="shared" si="7"/>
        <v>7</v>
      </c>
      <c r="O406" s="440">
        <f t="shared" si="8"/>
        <v>16</v>
      </c>
      <c r="P406" s="440">
        <f t="shared" si="9"/>
        <v>0.1</v>
      </c>
      <c r="Q406">
        <f t="array" ref="Q406">IF(I406&gt;0,INDEX(DB,I406,9),EventIndex)</f>
        <v>6</v>
      </c>
      <c r="S406" s="442">
        <f t="array" ref="S406">INDEX(MINVALUES,$Q406,$K$1)</f>
        <v>16</v>
      </c>
      <c r="T406">
        <f t="array" ref="T406">INDEX(INCVALUES,$Q406,$K$1)</f>
        <v>0.1</v>
      </c>
      <c r="V406">
        <f t="array" ref="V406">+J406+(4*(INDEX(MatchScoreTable,$Q406,20)-1))</f>
        <v>4</v>
      </c>
      <c r="W406">
        <f t="array" ref="W406">INDEX(INC_MINVALUES,$V406,$K$1)</f>
        <v>34</v>
      </c>
      <c r="X406" s="212">
        <f t="array" ref="X406">INDEX(INC_INCVALUES,$V406,$K$1)</f>
        <v>0.3</v>
      </c>
    </row>
    <row r="407" ht="15.75" customHeight="1">
      <c r="A407" s="435"/>
      <c r="B407" s="436"/>
      <c r="C407" s="95" t="str">
        <f t="array" ref="C407">IF(I407&gt;0,INDEX(DB,I407,8),"")</f>
        <v/>
      </c>
      <c r="D407" s="437">
        <f t="shared" si="1"/>
        <v>0</v>
      </c>
      <c r="F407" s="438">
        <f t="shared" si="2"/>
        <v>0</v>
      </c>
      <c r="G407" t="str">
        <f t="shared" si="3"/>
        <v/>
      </c>
      <c r="H407" t="b">
        <f t="shared" si="4"/>
        <v>0</v>
      </c>
      <c r="I407" s="439">
        <f>IF(OR(ISBLANK(A407),ISNA(MATCH(A407&amp;"",AthleteNumbers,0))),0,MATCH(A407&amp;"",AthleteNumbers,0))</f>
        <v>0</v>
      </c>
      <c r="J407" s="209">
        <f t="array" ref="J407">IF(I407&gt;0,INDEX(DB,$I407,6),0)</f>
        <v>0</v>
      </c>
      <c r="K407" s="440">
        <f t="shared" si="5"/>
        <v>0</v>
      </c>
      <c r="L407" s="440">
        <f t="shared" si="6"/>
        <v>0</v>
      </c>
      <c r="M407" s="441">
        <f>IF(AND(L407&gt;O407,O407&gt;0),MinPoints,IF(L407&lt;N407,100,+INT((O407-$L407)/P407)+MinPoints))</f>
        <v>100</v>
      </c>
      <c r="N407" s="440">
        <f t="shared" si="7"/>
        <v>7</v>
      </c>
      <c r="O407" s="440">
        <f t="shared" si="8"/>
        <v>16</v>
      </c>
      <c r="P407" s="440">
        <f t="shared" si="9"/>
        <v>0.1</v>
      </c>
      <c r="Q407">
        <f t="array" ref="Q407">IF(I407&gt;0,INDEX(DB,I407,9),EventIndex)</f>
        <v>6</v>
      </c>
      <c r="S407" s="442">
        <f t="array" ref="S407">INDEX(MINVALUES,$Q407,$K$1)</f>
        <v>16</v>
      </c>
      <c r="T407">
        <f t="array" ref="T407">INDEX(INCVALUES,$Q407,$K$1)</f>
        <v>0.1</v>
      </c>
      <c r="V407">
        <f t="array" ref="V407">+J407+(4*(INDEX(MatchScoreTable,$Q407,20)-1))</f>
        <v>4</v>
      </c>
      <c r="W407">
        <f t="array" ref="W407">INDEX(INC_MINVALUES,$V407,$K$1)</f>
        <v>34</v>
      </c>
      <c r="X407" s="212">
        <f t="array" ref="X407">INDEX(INC_INCVALUES,$V407,$K$1)</f>
        <v>0.3</v>
      </c>
    </row>
    <row r="408" ht="15.75" customHeight="1">
      <c r="A408" s="435"/>
      <c r="B408" s="436"/>
      <c r="C408" s="95" t="str">
        <f t="array" ref="C408">IF(I408&gt;0,INDEX(DB,I408,8),"")</f>
        <v/>
      </c>
      <c r="D408" s="437">
        <f t="shared" si="1"/>
        <v>0</v>
      </c>
      <c r="F408" s="438">
        <f t="shared" si="2"/>
        <v>0</v>
      </c>
      <c r="G408" t="str">
        <f t="shared" si="3"/>
        <v/>
      </c>
      <c r="H408" t="b">
        <f t="shared" si="4"/>
        <v>0</v>
      </c>
      <c r="I408" s="439">
        <f>IF(OR(ISBLANK(A408),ISNA(MATCH(A408&amp;"",AthleteNumbers,0))),0,MATCH(A408&amp;"",AthleteNumbers,0))</f>
        <v>0</v>
      </c>
      <c r="J408" s="209">
        <f t="array" ref="J408">IF(I408&gt;0,INDEX(DB,$I408,6),0)</f>
        <v>0</v>
      </c>
      <c r="K408" s="440">
        <f t="shared" si="5"/>
        <v>0</v>
      </c>
      <c r="L408" s="440">
        <f t="shared" si="6"/>
        <v>0</v>
      </c>
      <c r="M408" s="441">
        <f>IF(AND(L408&gt;O408,O408&gt;0),MinPoints,IF(L408&lt;N408,100,+INT((O408-$L408)/P408)+MinPoints))</f>
        <v>100</v>
      </c>
      <c r="N408" s="440">
        <f t="shared" si="7"/>
        <v>7</v>
      </c>
      <c r="O408" s="440">
        <f t="shared" si="8"/>
        <v>16</v>
      </c>
      <c r="P408" s="440">
        <f t="shared" si="9"/>
        <v>0.1</v>
      </c>
      <c r="Q408">
        <f t="array" ref="Q408">IF(I408&gt;0,INDEX(DB,I408,9),EventIndex)</f>
        <v>6</v>
      </c>
      <c r="S408" s="442">
        <f t="array" ref="S408">INDEX(MINVALUES,$Q408,$K$1)</f>
        <v>16</v>
      </c>
      <c r="T408">
        <f t="array" ref="T408">INDEX(INCVALUES,$Q408,$K$1)</f>
        <v>0.1</v>
      </c>
      <c r="V408">
        <f t="array" ref="V408">+J408+(4*(INDEX(MatchScoreTable,$Q408,20)-1))</f>
        <v>4</v>
      </c>
      <c r="W408">
        <f t="array" ref="W408">INDEX(INC_MINVALUES,$V408,$K$1)</f>
        <v>34</v>
      </c>
      <c r="X408" s="212">
        <f t="array" ref="X408">INDEX(INC_INCVALUES,$V408,$K$1)</f>
        <v>0.3</v>
      </c>
    </row>
    <row r="409" ht="15.75" customHeight="1">
      <c r="A409" s="435"/>
      <c r="B409" s="436"/>
      <c r="C409" s="95" t="str">
        <f t="array" ref="C409">IF(I409&gt;0,INDEX(DB,I409,8),"")</f>
        <v/>
      </c>
      <c r="D409" s="437">
        <f t="shared" si="1"/>
        <v>0</v>
      </c>
      <c r="F409" s="438">
        <f t="shared" si="2"/>
        <v>0</v>
      </c>
      <c r="G409" t="str">
        <f t="shared" si="3"/>
        <v/>
      </c>
      <c r="H409" t="b">
        <f t="shared" si="4"/>
        <v>0</v>
      </c>
      <c r="I409" s="439">
        <f>IF(OR(ISBLANK(A409),ISNA(MATCH(A409&amp;"",AthleteNumbers,0))),0,MATCH(A409&amp;"",AthleteNumbers,0))</f>
        <v>0</v>
      </c>
      <c r="J409" s="209">
        <f t="array" ref="J409">IF(I409&gt;0,INDEX(DB,$I409,6),0)</f>
        <v>0</v>
      </c>
      <c r="K409" s="440">
        <f t="shared" si="5"/>
        <v>0</v>
      </c>
      <c r="L409" s="440">
        <f t="shared" si="6"/>
        <v>0</v>
      </c>
      <c r="M409" s="441">
        <f>IF(AND(L409&gt;O409,O409&gt;0),MinPoints,IF(L409&lt;N409,100,+INT((O409-$L409)/P409)+MinPoints))</f>
        <v>100</v>
      </c>
      <c r="N409" s="440">
        <f t="shared" si="7"/>
        <v>7</v>
      </c>
      <c r="O409" s="440">
        <f t="shared" si="8"/>
        <v>16</v>
      </c>
      <c r="P409" s="440">
        <f t="shared" si="9"/>
        <v>0.1</v>
      </c>
      <c r="Q409">
        <f t="array" ref="Q409">IF(I409&gt;0,INDEX(DB,I409,9),EventIndex)</f>
        <v>6</v>
      </c>
      <c r="S409" s="442">
        <f t="array" ref="S409">INDEX(MINVALUES,$Q409,$K$1)</f>
        <v>16</v>
      </c>
      <c r="T409">
        <f t="array" ref="T409">INDEX(INCVALUES,$Q409,$K$1)</f>
        <v>0.1</v>
      </c>
      <c r="V409">
        <f t="array" ref="V409">+J409+(4*(INDEX(MatchScoreTable,$Q409,20)-1))</f>
        <v>4</v>
      </c>
      <c r="W409">
        <f t="array" ref="W409">INDEX(INC_MINVALUES,$V409,$K$1)</f>
        <v>34</v>
      </c>
      <c r="X409" s="212">
        <f t="array" ref="X409">INDEX(INC_INCVALUES,$V409,$K$1)</f>
        <v>0.3</v>
      </c>
    </row>
    <row r="410" ht="15.75" customHeight="1">
      <c r="A410" s="435"/>
      <c r="B410" s="436"/>
      <c r="C410" s="95" t="str">
        <f t="array" ref="C410">IF(I410&gt;0,INDEX(DB,I410,8),"")</f>
        <v/>
      </c>
      <c r="D410" s="437">
        <f t="shared" si="1"/>
        <v>0</v>
      </c>
      <c r="F410" s="438">
        <f t="shared" si="2"/>
        <v>0</v>
      </c>
      <c r="G410" t="str">
        <f t="shared" si="3"/>
        <v/>
      </c>
      <c r="H410" t="b">
        <f t="shared" si="4"/>
        <v>0</v>
      </c>
      <c r="I410" s="439">
        <f>IF(OR(ISBLANK(A410),ISNA(MATCH(A410&amp;"",AthleteNumbers,0))),0,MATCH(A410&amp;"",AthleteNumbers,0))</f>
        <v>0</v>
      </c>
      <c r="J410" s="209">
        <f t="array" ref="J410">IF(I410&gt;0,INDEX(DB,$I410,6),0)</f>
        <v>0</v>
      </c>
      <c r="K410" s="440">
        <f t="shared" si="5"/>
        <v>0</v>
      </c>
      <c r="L410" s="440">
        <f t="shared" si="6"/>
        <v>0</v>
      </c>
      <c r="M410" s="441">
        <f>IF(AND(L410&gt;O410,O410&gt;0),MinPoints,IF(L410&lt;N410,100,+INT((O410-$L410)/P410)+MinPoints))</f>
        <v>100</v>
      </c>
      <c r="N410" s="440">
        <f t="shared" si="7"/>
        <v>7</v>
      </c>
      <c r="O410" s="440">
        <f t="shared" si="8"/>
        <v>16</v>
      </c>
      <c r="P410" s="440">
        <f t="shared" si="9"/>
        <v>0.1</v>
      </c>
      <c r="Q410">
        <f t="array" ref="Q410">IF(I410&gt;0,INDEX(DB,I410,9),EventIndex)</f>
        <v>6</v>
      </c>
      <c r="S410" s="442">
        <f t="array" ref="S410">INDEX(MINVALUES,$Q410,$K$1)</f>
        <v>16</v>
      </c>
      <c r="T410">
        <f t="array" ref="T410">INDEX(INCVALUES,$Q410,$K$1)</f>
        <v>0.1</v>
      </c>
      <c r="V410">
        <f t="array" ref="V410">+J410+(4*(INDEX(MatchScoreTable,$Q410,20)-1))</f>
        <v>4</v>
      </c>
      <c r="W410">
        <f t="array" ref="W410">INDEX(INC_MINVALUES,$V410,$K$1)</f>
        <v>34</v>
      </c>
      <c r="X410" s="212">
        <f t="array" ref="X410">INDEX(INC_INCVALUES,$V410,$K$1)</f>
        <v>0.3</v>
      </c>
    </row>
    <row r="411" ht="15.75" customHeight="1">
      <c r="A411" s="435"/>
      <c r="B411" s="436"/>
      <c r="C411" s="95" t="str">
        <f t="array" ref="C411">IF(I411&gt;0,INDEX(DB,I411,8),"")</f>
        <v/>
      </c>
      <c r="D411" s="437">
        <f t="shared" si="1"/>
        <v>0</v>
      </c>
      <c r="F411" s="438">
        <f t="shared" si="2"/>
        <v>0</v>
      </c>
      <c r="G411" t="str">
        <f t="shared" si="3"/>
        <v/>
      </c>
      <c r="H411" t="b">
        <f t="shared" si="4"/>
        <v>0</v>
      </c>
      <c r="I411" s="439">
        <f>IF(OR(ISBLANK(A411),ISNA(MATCH(A411&amp;"",AthleteNumbers,0))),0,MATCH(A411&amp;"",AthleteNumbers,0))</f>
        <v>0</v>
      </c>
      <c r="J411" s="209">
        <f t="array" ref="J411">IF(I411&gt;0,INDEX(DB,$I411,6),0)</f>
        <v>0</v>
      </c>
      <c r="K411" s="440">
        <f t="shared" si="5"/>
        <v>0</v>
      </c>
      <c r="L411" s="440">
        <f t="shared" si="6"/>
        <v>0</v>
      </c>
      <c r="M411" s="441">
        <f>IF(AND(L411&gt;O411,O411&gt;0),MinPoints,IF(L411&lt;N411,100,+INT((O411-$L411)/P411)+MinPoints))</f>
        <v>100</v>
      </c>
      <c r="N411" s="440">
        <f t="shared" si="7"/>
        <v>7</v>
      </c>
      <c r="O411" s="440">
        <f t="shared" si="8"/>
        <v>16</v>
      </c>
      <c r="P411" s="440">
        <f t="shared" si="9"/>
        <v>0.1</v>
      </c>
      <c r="Q411">
        <f t="array" ref="Q411">IF(I411&gt;0,INDEX(DB,I411,9),EventIndex)</f>
        <v>6</v>
      </c>
      <c r="S411" s="442">
        <f t="array" ref="S411">INDEX(MINVALUES,$Q411,$K$1)</f>
        <v>16</v>
      </c>
      <c r="T411">
        <f t="array" ref="T411">INDEX(INCVALUES,$Q411,$K$1)</f>
        <v>0.1</v>
      </c>
      <c r="V411">
        <f t="array" ref="V411">+J411+(4*(INDEX(MatchScoreTable,$Q411,20)-1))</f>
        <v>4</v>
      </c>
      <c r="W411">
        <f t="array" ref="W411">INDEX(INC_MINVALUES,$V411,$K$1)</f>
        <v>34</v>
      </c>
      <c r="X411" s="212">
        <f t="array" ref="X411">INDEX(INC_INCVALUES,$V411,$K$1)</f>
        <v>0.3</v>
      </c>
    </row>
    <row r="412" ht="15.75" customHeight="1">
      <c r="A412" s="435"/>
      <c r="B412" s="436"/>
      <c r="C412" s="95" t="str">
        <f t="array" ref="C412">IF(I412&gt;0,INDEX(DB,I412,8),"")</f>
        <v/>
      </c>
      <c r="D412" s="437">
        <f t="shared" si="1"/>
        <v>0</v>
      </c>
      <c r="F412" s="438">
        <f t="shared" si="2"/>
        <v>0</v>
      </c>
      <c r="G412" t="str">
        <f t="shared" si="3"/>
        <v/>
      </c>
      <c r="H412" t="b">
        <f t="shared" si="4"/>
        <v>0</v>
      </c>
      <c r="I412" s="439">
        <f>IF(OR(ISBLANK(A412),ISNA(MATCH(A412&amp;"",AthleteNumbers,0))),0,MATCH(A412&amp;"",AthleteNumbers,0))</f>
        <v>0</v>
      </c>
      <c r="J412" s="209">
        <f t="array" ref="J412">IF(I412&gt;0,INDEX(DB,$I412,6),0)</f>
        <v>0</v>
      </c>
      <c r="K412" s="440">
        <f t="shared" si="5"/>
        <v>0</v>
      </c>
      <c r="L412" s="440">
        <f t="shared" si="6"/>
        <v>0</v>
      </c>
      <c r="M412" s="441">
        <f>IF(AND(L412&gt;O412,O412&gt;0),MinPoints,IF(L412&lt;N412,100,+INT((O412-$L412)/P412)+MinPoints))</f>
        <v>100</v>
      </c>
      <c r="N412" s="440">
        <f t="shared" si="7"/>
        <v>7</v>
      </c>
      <c r="O412" s="440">
        <f t="shared" si="8"/>
        <v>16</v>
      </c>
      <c r="P412" s="440">
        <f t="shared" si="9"/>
        <v>0.1</v>
      </c>
      <c r="Q412">
        <f t="array" ref="Q412">IF(I412&gt;0,INDEX(DB,I412,9),EventIndex)</f>
        <v>6</v>
      </c>
      <c r="S412" s="442">
        <f t="array" ref="S412">INDEX(MINVALUES,$Q412,$K$1)</f>
        <v>16</v>
      </c>
      <c r="T412">
        <f t="array" ref="T412">INDEX(INCVALUES,$Q412,$K$1)</f>
        <v>0.1</v>
      </c>
      <c r="V412">
        <f t="array" ref="V412">+J412+(4*(INDEX(MatchScoreTable,$Q412,20)-1))</f>
        <v>4</v>
      </c>
      <c r="W412">
        <f t="array" ref="W412">INDEX(INC_MINVALUES,$V412,$K$1)</f>
        <v>34</v>
      </c>
      <c r="X412" s="212">
        <f t="array" ref="X412">INDEX(INC_INCVALUES,$V412,$K$1)</f>
        <v>0.3</v>
      </c>
    </row>
    <row r="413" ht="15.75" customHeight="1">
      <c r="A413" s="435"/>
      <c r="B413" s="436"/>
      <c r="C413" s="95" t="str">
        <f t="array" ref="C413">IF(I413&gt;0,INDEX(DB,I413,8),"")</f>
        <v/>
      </c>
      <c r="D413" s="437">
        <f t="shared" si="1"/>
        <v>0</v>
      </c>
      <c r="F413" s="438">
        <f t="shared" si="2"/>
        <v>0</v>
      </c>
      <c r="G413" t="str">
        <f t="shared" si="3"/>
        <v/>
      </c>
      <c r="H413" t="b">
        <f t="shared" si="4"/>
        <v>0</v>
      </c>
      <c r="I413" s="439">
        <f>IF(OR(ISBLANK(A413),ISNA(MATCH(A413&amp;"",AthleteNumbers,0))),0,MATCH(A413&amp;"",AthleteNumbers,0))</f>
        <v>0</v>
      </c>
      <c r="J413" s="209">
        <f t="array" ref="J413">IF(I413&gt;0,INDEX(DB,$I413,6),0)</f>
        <v>0</v>
      </c>
      <c r="K413" s="440">
        <f t="shared" si="5"/>
        <v>0</v>
      </c>
      <c r="L413" s="440">
        <f t="shared" si="6"/>
        <v>0</v>
      </c>
      <c r="M413" s="441">
        <f>IF(AND(L413&gt;O413,O413&gt;0),MinPoints,IF(L413&lt;N413,100,+INT((O413-$L413)/P413)+MinPoints))</f>
        <v>100</v>
      </c>
      <c r="N413" s="440">
        <f t="shared" si="7"/>
        <v>7</v>
      </c>
      <c r="O413" s="440">
        <f t="shared" si="8"/>
        <v>16</v>
      </c>
      <c r="P413" s="440">
        <f t="shared" si="9"/>
        <v>0.1</v>
      </c>
      <c r="Q413">
        <f t="array" ref="Q413">IF(I413&gt;0,INDEX(DB,I413,9),EventIndex)</f>
        <v>6</v>
      </c>
      <c r="S413" s="442">
        <f t="array" ref="S413">INDEX(MINVALUES,$Q413,$K$1)</f>
        <v>16</v>
      </c>
      <c r="T413">
        <f t="array" ref="T413">INDEX(INCVALUES,$Q413,$K$1)</f>
        <v>0.1</v>
      </c>
      <c r="V413">
        <f t="array" ref="V413">+J413+(4*(INDEX(MatchScoreTable,$Q413,20)-1))</f>
        <v>4</v>
      </c>
      <c r="W413">
        <f t="array" ref="W413">INDEX(INC_MINVALUES,$V413,$K$1)</f>
        <v>34</v>
      </c>
      <c r="X413" s="212">
        <f t="array" ref="X413">INDEX(INC_INCVALUES,$V413,$K$1)</f>
        <v>0.3</v>
      </c>
    </row>
    <row r="414" ht="15.75" customHeight="1">
      <c r="A414" s="435"/>
      <c r="B414" s="436"/>
      <c r="C414" s="95" t="str">
        <f t="array" ref="C414">IF(I414&gt;0,INDEX(DB,I414,8),"")</f>
        <v/>
      </c>
      <c r="D414" s="437">
        <f t="shared" si="1"/>
        <v>0</v>
      </c>
      <c r="F414" s="438">
        <f t="shared" si="2"/>
        <v>0</v>
      </c>
      <c r="G414" t="str">
        <f t="shared" si="3"/>
        <v/>
      </c>
      <c r="H414" t="b">
        <f t="shared" si="4"/>
        <v>0</v>
      </c>
      <c r="I414" s="439">
        <f>IF(OR(ISBLANK(A414),ISNA(MATCH(A414&amp;"",AthleteNumbers,0))),0,MATCH(A414&amp;"",AthleteNumbers,0))</f>
        <v>0</v>
      </c>
      <c r="J414" s="209">
        <f t="array" ref="J414">IF(I414&gt;0,INDEX(DB,$I414,6),0)</f>
        <v>0</v>
      </c>
      <c r="K414" s="440">
        <f t="shared" si="5"/>
        <v>0</v>
      </c>
      <c r="L414" s="440">
        <f t="shared" si="6"/>
        <v>0</v>
      </c>
      <c r="M414" s="441">
        <f>IF(AND(L414&gt;O414,O414&gt;0),MinPoints,IF(L414&lt;N414,100,+INT((O414-$L414)/P414)+MinPoints))</f>
        <v>100</v>
      </c>
      <c r="N414" s="440">
        <f t="shared" si="7"/>
        <v>7</v>
      </c>
      <c r="O414" s="440">
        <f t="shared" si="8"/>
        <v>16</v>
      </c>
      <c r="P414" s="440">
        <f t="shared" si="9"/>
        <v>0.1</v>
      </c>
      <c r="Q414">
        <f t="array" ref="Q414">IF(I414&gt;0,INDEX(DB,I414,9),EventIndex)</f>
        <v>6</v>
      </c>
      <c r="S414" s="442">
        <f t="array" ref="S414">INDEX(MINVALUES,$Q414,$K$1)</f>
        <v>16</v>
      </c>
      <c r="T414">
        <f t="array" ref="T414">INDEX(INCVALUES,$Q414,$K$1)</f>
        <v>0.1</v>
      </c>
      <c r="V414">
        <f t="array" ref="V414">+J414+(4*(INDEX(MatchScoreTable,$Q414,20)-1))</f>
        <v>4</v>
      </c>
      <c r="W414">
        <f t="array" ref="W414">INDEX(INC_MINVALUES,$V414,$K$1)</f>
        <v>34</v>
      </c>
      <c r="X414" s="212">
        <f t="array" ref="X414">INDEX(INC_INCVALUES,$V414,$K$1)</f>
        <v>0.3</v>
      </c>
    </row>
    <row r="415" ht="15.75" customHeight="1">
      <c r="A415" s="435"/>
      <c r="B415" s="436"/>
      <c r="C415" s="95" t="str">
        <f t="array" ref="C415">IF(I415&gt;0,INDEX(DB,I415,8),"")</f>
        <v/>
      </c>
      <c r="D415" s="437">
        <f t="shared" si="1"/>
        <v>0</v>
      </c>
      <c r="F415" s="438">
        <f t="shared" si="2"/>
        <v>0</v>
      </c>
      <c r="G415" t="str">
        <f t="shared" si="3"/>
        <v/>
      </c>
      <c r="H415" t="b">
        <f t="shared" si="4"/>
        <v>0</v>
      </c>
      <c r="I415" s="439">
        <f>IF(OR(ISBLANK(A415),ISNA(MATCH(A415&amp;"",AthleteNumbers,0))),0,MATCH(A415&amp;"",AthleteNumbers,0))</f>
        <v>0</v>
      </c>
      <c r="J415" s="209">
        <f t="array" ref="J415">IF(I415&gt;0,INDEX(DB,$I415,6),0)</f>
        <v>0</v>
      </c>
      <c r="K415" s="440">
        <f t="shared" si="5"/>
        <v>0</v>
      </c>
      <c r="L415" s="440">
        <f t="shared" si="6"/>
        <v>0</v>
      </c>
      <c r="M415" s="441">
        <f>IF(AND(L415&gt;O415,O415&gt;0),MinPoints,IF(L415&lt;N415,100,+INT((O415-$L415)/P415)+MinPoints))</f>
        <v>100</v>
      </c>
      <c r="N415" s="440">
        <f t="shared" si="7"/>
        <v>7</v>
      </c>
      <c r="O415" s="440">
        <f t="shared" si="8"/>
        <v>16</v>
      </c>
      <c r="P415" s="440">
        <f t="shared" si="9"/>
        <v>0.1</v>
      </c>
      <c r="Q415">
        <f t="array" ref="Q415">IF(I415&gt;0,INDEX(DB,I415,9),EventIndex)</f>
        <v>6</v>
      </c>
      <c r="S415" s="442">
        <f t="array" ref="S415">INDEX(MINVALUES,$Q415,$K$1)</f>
        <v>16</v>
      </c>
      <c r="T415">
        <f t="array" ref="T415">INDEX(INCVALUES,$Q415,$K$1)</f>
        <v>0.1</v>
      </c>
      <c r="V415">
        <f t="array" ref="V415">+J415+(4*(INDEX(MatchScoreTable,$Q415,20)-1))</f>
        <v>4</v>
      </c>
      <c r="W415">
        <f t="array" ref="W415">INDEX(INC_MINVALUES,$V415,$K$1)</f>
        <v>34</v>
      </c>
      <c r="X415" s="212">
        <f t="array" ref="X415">INDEX(INC_INCVALUES,$V415,$K$1)</f>
        <v>0.3</v>
      </c>
    </row>
    <row r="416" ht="15.75" customHeight="1">
      <c r="A416" s="435"/>
      <c r="B416" s="436"/>
      <c r="C416" s="95" t="str">
        <f t="array" ref="C416">IF(I416&gt;0,INDEX(DB,I416,8),"")</f>
        <v/>
      </c>
      <c r="D416" s="437">
        <f t="shared" si="1"/>
        <v>0</v>
      </c>
      <c r="F416" s="438">
        <f t="shared" si="2"/>
        <v>0</v>
      </c>
      <c r="G416" t="str">
        <f t="shared" si="3"/>
        <v/>
      </c>
      <c r="H416" t="b">
        <f t="shared" si="4"/>
        <v>0</v>
      </c>
      <c r="I416" s="439">
        <f>IF(OR(ISBLANK(A416),ISNA(MATCH(A416&amp;"",AthleteNumbers,0))),0,MATCH(A416&amp;"",AthleteNumbers,0))</f>
        <v>0</v>
      </c>
      <c r="J416" s="209">
        <f t="array" ref="J416">IF(I416&gt;0,INDEX(DB,$I416,6),0)</f>
        <v>0</v>
      </c>
      <c r="K416" s="440">
        <f t="shared" si="5"/>
        <v>0</v>
      </c>
      <c r="L416" s="440">
        <f t="shared" si="6"/>
        <v>0</v>
      </c>
      <c r="M416" s="441">
        <f>IF(AND(L416&gt;O416,O416&gt;0),MinPoints,IF(L416&lt;N416,100,+INT((O416-$L416)/P416)+MinPoints))</f>
        <v>100</v>
      </c>
      <c r="N416" s="440">
        <f t="shared" si="7"/>
        <v>7</v>
      </c>
      <c r="O416" s="440">
        <f t="shared" si="8"/>
        <v>16</v>
      </c>
      <c r="P416" s="440">
        <f t="shared" si="9"/>
        <v>0.1</v>
      </c>
      <c r="Q416">
        <f t="array" ref="Q416">IF(I416&gt;0,INDEX(DB,I416,9),EventIndex)</f>
        <v>6</v>
      </c>
      <c r="S416" s="442">
        <f t="array" ref="S416">INDEX(MINVALUES,$Q416,$K$1)</f>
        <v>16</v>
      </c>
      <c r="T416">
        <f t="array" ref="T416">INDEX(INCVALUES,$Q416,$K$1)</f>
        <v>0.1</v>
      </c>
      <c r="V416">
        <f t="array" ref="V416">+J416+(4*(INDEX(MatchScoreTable,$Q416,20)-1))</f>
        <v>4</v>
      </c>
      <c r="W416">
        <f t="array" ref="W416">INDEX(INC_MINVALUES,$V416,$K$1)</f>
        <v>34</v>
      </c>
      <c r="X416" s="212">
        <f t="array" ref="X416">INDEX(INC_INCVALUES,$V416,$K$1)</f>
        <v>0.3</v>
      </c>
    </row>
    <row r="417" ht="15.75" customHeight="1">
      <c r="A417" s="435"/>
      <c r="B417" s="436"/>
      <c r="C417" s="95" t="str">
        <f t="array" ref="C417">IF(I417&gt;0,INDEX(DB,I417,8),"")</f>
        <v/>
      </c>
      <c r="D417" s="437">
        <f t="shared" si="1"/>
        <v>0</v>
      </c>
      <c r="F417" s="438">
        <f t="shared" si="2"/>
        <v>0</v>
      </c>
      <c r="G417" t="str">
        <f t="shared" si="3"/>
        <v/>
      </c>
      <c r="H417" t="b">
        <f t="shared" si="4"/>
        <v>0</v>
      </c>
      <c r="I417" s="439">
        <f>IF(OR(ISBLANK(A417),ISNA(MATCH(A417&amp;"",AthleteNumbers,0))),0,MATCH(A417&amp;"",AthleteNumbers,0))</f>
        <v>0</v>
      </c>
      <c r="J417" s="209">
        <f t="array" ref="J417">IF(I417&gt;0,INDEX(DB,$I417,6),0)</f>
        <v>0</v>
      </c>
      <c r="K417" s="440">
        <f t="shared" si="5"/>
        <v>0</v>
      </c>
      <c r="L417" s="440">
        <f t="shared" si="6"/>
        <v>0</v>
      </c>
      <c r="M417" s="441">
        <f>IF(AND(L417&gt;O417,O417&gt;0),MinPoints,IF(L417&lt;N417,100,+INT((O417-$L417)/P417)+MinPoints))</f>
        <v>100</v>
      </c>
      <c r="N417" s="440">
        <f t="shared" si="7"/>
        <v>7</v>
      </c>
      <c r="O417" s="440">
        <f t="shared" si="8"/>
        <v>16</v>
      </c>
      <c r="P417" s="440">
        <f t="shared" si="9"/>
        <v>0.1</v>
      </c>
      <c r="Q417">
        <f t="array" ref="Q417">IF(I417&gt;0,INDEX(DB,I417,9),EventIndex)</f>
        <v>6</v>
      </c>
      <c r="S417" s="442">
        <f t="array" ref="S417">INDEX(MINVALUES,$Q417,$K$1)</f>
        <v>16</v>
      </c>
      <c r="T417">
        <f t="array" ref="T417">INDEX(INCVALUES,$Q417,$K$1)</f>
        <v>0.1</v>
      </c>
      <c r="V417">
        <f t="array" ref="V417">+J417+(4*(INDEX(MatchScoreTable,$Q417,20)-1))</f>
        <v>4</v>
      </c>
      <c r="W417">
        <f t="array" ref="W417">INDEX(INC_MINVALUES,$V417,$K$1)</f>
        <v>34</v>
      </c>
      <c r="X417" s="212">
        <f t="array" ref="X417">INDEX(INC_INCVALUES,$V417,$K$1)</f>
        <v>0.3</v>
      </c>
    </row>
    <row r="418" ht="15.75" customHeight="1">
      <c r="A418" s="435"/>
      <c r="B418" s="436"/>
      <c r="C418" s="95" t="str">
        <f t="array" ref="C418">IF(I418&gt;0,INDEX(DB,I418,8),"")</f>
        <v/>
      </c>
      <c r="D418" s="437">
        <f t="shared" si="1"/>
        <v>0</v>
      </c>
      <c r="F418" s="438">
        <f t="shared" si="2"/>
        <v>0</v>
      </c>
      <c r="G418" t="str">
        <f t="shared" si="3"/>
        <v/>
      </c>
      <c r="H418" t="b">
        <f t="shared" si="4"/>
        <v>0</v>
      </c>
      <c r="I418" s="439">
        <f>IF(OR(ISBLANK(A418),ISNA(MATCH(A418&amp;"",AthleteNumbers,0))),0,MATCH(A418&amp;"",AthleteNumbers,0))</f>
        <v>0</v>
      </c>
      <c r="J418" s="209">
        <f t="array" ref="J418">IF(I418&gt;0,INDEX(DB,$I418,6),0)</f>
        <v>0</v>
      </c>
      <c r="K418" s="440">
        <f t="shared" si="5"/>
        <v>0</v>
      </c>
      <c r="L418" s="440">
        <f t="shared" si="6"/>
        <v>0</v>
      </c>
      <c r="M418" s="441">
        <f>IF(AND(L418&gt;O418,O418&gt;0),MinPoints,IF(L418&lt;N418,100,+INT((O418-$L418)/P418)+MinPoints))</f>
        <v>100</v>
      </c>
      <c r="N418" s="440">
        <f t="shared" si="7"/>
        <v>7</v>
      </c>
      <c r="O418" s="440">
        <f t="shared" si="8"/>
        <v>16</v>
      </c>
      <c r="P418" s="440">
        <f t="shared" si="9"/>
        <v>0.1</v>
      </c>
      <c r="Q418">
        <f t="array" ref="Q418">IF(I418&gt;0,INDEX(DB,I418,9),EventIndex)</f>
        <v>6</v>
      </c>
      <c r="S418" s="442">
        <f t="array" ref="S418">INDEX(MINVALUES,$Q418,$K$1)</f>
        <v>16</v>
      </c>
      <c r="T418">
        <f t="array" ref="T418">INDEX(INCVALUES,$Q418,$K$1)</f>
        <v>0.1</v>
      </c>
      <c r="V418">
        <f t="array" ref="V418">+J418+(4*(INDEX(MatchScoreTable,$Q418,20)-1))</f>
        <v>4</v>
      </c>
      <c r="W418">
        <f t="array" ref="W418">INDEX(INC_MINVALUES,$V418,$K$1)</f>
        <v>34</v>
      </c>
      <c r="X418" s="212">
        <f t="array" ref="X418">INDEX(INC_INCVALUES,$V418,$K$1)</f>
        <v>0.3</v>
      </c>
    </row>
    <row r="419" ht="15.75" customHeight="1">
      <c r="A419" s="435"/>
      <c r="B419" s="436"/>
      <c r="C419" s="95" t="str">
        <f t="array" ref="C419">IF(I419&gt;0,INDEX(DB,I419,8),"")</f>
        <v/>
      </c>
      <c r="D419" s="437">
        <f t="shared" si="1"/>
        <v>0</v>
      </c>
      <c r="F419" s="438">
        <f t="shared" si="2"/>
        <v>0</v>
      </c>
      <c r="G419" t="str">
        <f t="shared" si="3"/>
        <v/>
      </c>
      <c r="H419" t="b">
        <f t="shared" si="4"/>
        <v>0</v>
      </c>
      <c r="I419" s="439">
        <f>IF(OR(ISBLANK(A419),ISNA(MATCH(A419&amp;"",AthleteNumbers,0))),0,MATCH(A419&amp;"",AthleteNumbers,0))</f>
        <v>0</v>
      </c>
      <c r="J419" s="209">
        <f t="array" ref="J419">IF(I419&gt;0,INDEX(DB,$I419,6),0)</f>
        <v>0</v>
      </c>
      <c r="K419" s="440">
        <f t="shared" si="5"/>
        <v>0</v>
      </c>
      <c r="L419" s="440">
        <f t="shared" si="6"/>
        <v>0</v>
      </c>
      <c r="M419" s="441">
        <f>IF(AND(L419&gt;O419,O419&gt;0),MinPoints,IF(L419&lt;N419,100,+INT((O419-$L419)/P419)+MinPoints))</f>
        <v>100</v>
      </c>
      <c r="N419" s="440">
        <f t="shared" si="7"/>
        <v>7</v>
      </c>
      <c r="O419" s="440">
        <f t="shared" si="8"/>
        <v>16</v>
      </c>
      <c r="P419" s="440">
        <f t="shared" si="9"/>
        <v>0.1</v>
      </c>
      <c r="Q419">
        <f t="array" ref="Q419">IF(I419&gt;0,INDEX(DB,I419,9),EventIndex)</f>
        <v>6</v>
      </c>
      <c r="S419" s="442">
        <f t="array" ref="S419">INDEX(MINVALUES,$Q419,$K$1)</f>
        <v>16</v>
      </c>
      <c r="T419">
        <f t="array" ref="T419">INDEX(INCVALUES,$Q419,$K$1)</f>
        <v>0.1</v>
      </c>
      <c r="V419">
        <f t="array" ref="V419">+J419+(4*(INDEX(MatchScoreTable,$Q419,20)-1))</f>
        <v>4</v>
      </c>
      <c r="W419">
        <f t="array" ref="W419">INDEX(INC_MINVALUES,$V419,$K$1)</f>
        <v>34</v>
      </c>
      <c r="X419" s="212">
        <f t="array" ref="X419">INDEX(INC_INCVALUES,$V419,$K$1)</f>
        <v>0.3</v>
      </c>
    </row>
    <row r="420" ht="15.75" customHeight="1">
      <c r="A420" s="435"/>
      <c r="B420" s="436"/>
      <c r="C420" s="95" t="str">
        <f t="array" ref="C420">IF(I420&gt;0,INDEX(DB,I420,8),"")</f>
        <v/>
      </c>
      <c r="D420" s="437">
        <f t="shared" si="1"/>
        <v>0</v>
      </c>
      <c r="F420" s="438">
        <f t="shared" si="2"/>
        <v>0</v>
      </c>
      <c r="G420" t="str">
        <f t="shared" si="3"/>
        <v/>
      </c>
      <c r="H420" t="b">
        <f t="shared" si="4"/>
        <v>0</v>
      </c>
      <c r="I420" s="439">
        <f>IF(OR(ISBLANK(A420),ISNA(MATCH(A420&amp;"",AthleteNumbers,0))),0,MATCH(A420&amp;"",AthleteNumbers,0))</f>
        <v>0</v>
      </c>
      <c r="J420" s="209">
        <f t="array" ref="J420">IF(I420&gt;0,INDEX(DB,$I420,6),0)</f>
        <v>0</v>
      </c>
      <c r="K420" s="440">
        <f t="shared" si="5"/>
        <v>0</v>
      </c>
      <c r="L420" s="440">
        <f t="shared" si="6"/>
        <v>0</v>
      </c>
      <c r="M420" s="441">
        <f>IF(AND(L420&gt;O420,O420&gt;0),MinPoints,IF(L420&lt;N420,100,+INT((O420-$L420)/P420)+MinPoints))</f>
        <v>100</v>
      </c>
      <c r="N420" s="440">
        <f t="shared" si="7"/>
        <v>7</v>
      </c>
      <c r="O420" s="440">
        <f t="shared" si="8"/>
        <v>16</v>
      </c>
      <c r="P420" s="440">
        <f t="shared" si="9"/>
        <v>0.1</v>
      </c>
      <c r="Q420">
        <f t="array" ref="Q420">IF(I420&gt;0,INDEX(DB,I420,9),EventIndex)</f>
        <v>6</v>
      </c>
      <c r="S420" s="442">
        <f t="array" ref="S420">INDEX(MINVALUES,$Q420,$K$1)</f>
        <v>16</v>
      </c>
      <c r="T420">
        <f t="array" ref="T420">INDEX(INCVALUES,$Q420,$K$1)</f>
        <v>0.1</v>
      </c>
      <c r="V420">
        <f t="array" ref="V420">+J420+(4*(INDEX(MatchScoreTable,$Q420,20)-1))</f>
        <v>4</v>
      </c>
      <c r="W420">
        <f t="array" ref="W420">INDEX(INC_MINVALUES,$V420,$K$1)</f>
        <v>34</v>
      </c>
      <c r="X420" s="212">
        <f t="array" ref="X420">INDEX(INC_INCVALUES,$V420,$K$1)</f>
        <v>0.3</v>
      </c>
    </row>
    <row r="421" ht="15.75" customHeight="1">
      <c r="A421" s="435"/>
      <c r="B421" s="436"/>
      <c r="C421" s="95" t="str">
        <f t="array" ref="C421">IF(I421&gt;0,INDEX(DB,I421,8),"")</f>
        <v/>
      </c>
      <c r="D421" s="437">
        <f t="shared" si="1"/>
        <v>0</v>
      </c>
      <c r="F421" s="438">
        <f t="shared" si="2"/>
        <v>0</v>
      </c>
      <c r="G421" t="str">
        <f t="shared" si="3"/>
        <v/>
      </c>
      <c r="H421" t="b">
        <f t="shared" si="4"/>
        <v>0</v>
      </c>
      <c r="I421" s="439">
        <f>IF(OR(ISBLANK(A421),ISNA(MATCH(A421&amp;"",AthleteNumbers,0))),0,MATCH(A421&amp;"",AthleteNumbers,0))</f>
        <v>0</v>
      </c>
      <c r="J421" s="209">
        <f t="array" ref="J421">IF(I421&gt;0,INDEX(DB,$I421,6),0)</f>
        <v>0</v>
      </c>
      <c r="K421" s="440">
        <f t="shared" si="5"/>
        <v>0</v>
      </c>
      <c r="L421" s="440">
        <f t="shared" si="6"/>
        <v>0</v>
      </c>
      <c r="M421" s="441">
        <f>IF(AND(L421&gt;O421,O421&gt;0),MinPoints,IF(L421&lt;N421,100,+INT((O421-$L421)/P421)+MinPoints))</f>
        <v>100</v>
      </c>
      <c r="N421" s="440">
        <f t="shared" si="7"/>
        <v>7</v>
      </c>
      <c r="O421" s="440">
        <f t="shared" si="8"/>
        <v>16</v>
      </c>
      <c r="P421" s="440">
        <f t="shared" si="9"/>
        <v>0.1</v>
      </c>
      <c r="Q421">
        <f t="array" ref="Q421">IF(I421&gt;0,INDEX(DB,I421,9),EventIndex)</f>
        <v>6</v>
      </c>
      <c r="S421" s="442">
        <f t="array" ref="S421">INDEX(MINVALUES,$Q421,$K$1)</f>
        <v>16</v>
      </c>
      <c r="T421">
        <f t="array" ref="T421">INDEX(INCVALUES,$Q421,$K$1)</f>
        <v>0.1</v>
      </c>
      <c r="V421">
        <f t="array" ref="V421">+J421+(4*(INDEX(MatchScoreTable,$Q421,20)-1))</f>
        <v>4</v>
      </c>
      <c r="W421">
        <f t="array" ref="W421">INDEX(INC_MINVALUES,$V421,$K$1)</f>
        <v>34</v>
      </c>
      <c r="X421" s="212">
        <f t="array" ref="X421">INDEX(INC_INCVALUES,$V421,$K$1)</f>
        <v>0.3</v>
      </c>
    </row>
    <row r="422" ht="15.75" customHeight="1">
      <c r="A422" s="435"/>
      <c r="B422" s="436"/>
      <c r="C422" s="95" t="str">
        <f t="array" ref="C422">IF(I422&gt;0,INDEX(DB,I422,8),"")</f>
        <v/>
      </c>
      <c r="D422" s="437">
        <f t="shared" si="1"/>
        <v>0</v>
      </c>
      <c r="F422" s="438">
        <f t="shared" si="2"/>
        <v>0</v>
      </c>
      <c r="G422" t="str">
        <f t="shared" si="3"/>
        <v/>
      </c>
      <c r="H422" t="b">
        <f t="shared" si="4"/>
        <v>0</v>
      </c>
      <c r="I422" s="439">
        <f>IF(OR(ISBLANK(A422),ISNA(MATCH(A422&amp;"",AthleteNumbers,0))),0,MATCH(A422&amp;"",AthleteNumbers,0))</f>
        <v>0</v>
      </c>
      <c r="J422" s="209">
        <f t="array" ref="J422">IF(I422&gt;0,INDEX(DB,$I422,6),0)</f>
        <v>0</v>
      </c>
      <c r="K422" s="440">
        <f t="shared" si="5"/>
        <v>0</v>
      </c>
      <c r="L422" s="440">
        <f t="shared" si="6"/>
        <v>0</v>
      </c>
      <c r="M422" s="441">
        <f>IF(AND(L422&gt;O422,O422&gt;0),MinPoints,IF(L422&lt;N422,100,+INT((O422-$L422)/P422)+MinPoints))</f>
        <v>100</v>
      </c>
      <c r="N422" s="440">
        <f t="shared" si="7"/>
        <v>7</v>
      </c>
      <c r="O422" s="440">
        <f t="shared" si="8"/>
        <v>16</v>
      </c>
      <c r="P422" s="440">
        <f t="shared" si="9"/>
        <v>0.1</v>
      </c>
      <c r="Q422">
        <f t="array" ref="Q422">IF(I422&gt;0,INDEX(DB,I422,9),EventIndex)</f>
        <v>6</v>
      </c>
      <c r="S422" s="442">
        <f t="array" ref="S422">INDEX(MINVALUES,$Q422,$K$1)</f>
        <v>16</v>
      </c>
      <c r="T422">
        <f t="array" ref="T422">INDEX(INCVALUES,$Q422,$K$1)</f>
        <v>0.1</v>
      </c>
      <c r="V422">
        <f t="array" ref="V422">+J422+(4*(INDEX(MatchScoreTable,$Q422,20)-1))</f>
        <v>4</v>
      </c>
      <c r="W422">
        <f t="array" ref="W422">INDEX(INC_MINVALUES,$V422,$K$1)</f>
        <v>34</v>
      </c>
      <c r="X422" s="212">
        <f t="array" ref="X422">INDEX(INC_INCVALUES,$V422,$K$1)</f>
        <v>0.3</v>
      </c>
    </row>
    <row r="423" ht="15.75" customHeight="1">
      <c r="A423" s="435"/>
      <c r="B423" s="436"/>
      <c r="C423" s="95" t="str">
        <f t="array" ref="C423">IF(I423&gt;0,INDEX(DB,I423,8),"")</f>
        <v/>
      </c>
      <c r="D423" s="437">
        <f t="shared" si="1"/>
        <v>0</v>
      </c>
      <c r="F423" s="438">
        <f t="shared" si="2"/>
        <v>0</v>
      </c>
      <c r="G423" t="str">
        <f t="shared" si="3"/>
        <v/>
      </c>
      <c r="H423" t="b">
        <f t="shared" si="4"/>
        <v>0</v>
      </c>
      <c r="I423" s="439">
        <f>IF(OR(ISBLANK(A423),ISNA(MATCH(A423&amp;"",AthleteNumbers,0))),0,MATCH(A423&amp;"",AthleteNumbers,0))</f>
        <v>0</v>
      </c>
      <c r="J423" s="209">
        <f t="array" ref="J423">IF(I423&gt;0,INDEX(DB,$I423,6),0)</f>
        <v>0</v>
      </c>
      <c r="K423" s="440">
        <f t="shared" si="5"/>
        <v>0</v>
      </c>
      <c r="L423" s="440">
        <f t="shared" si="6"/>
        <v>0</v>
      </c>
      <c r="M423" s="441">
        <f>IF(AND(L423&gt;O423,O423&gt;0),MinPoints,IF(L423&lt;N423,100,+INT((O423-$L423)/P423)+MinPoints))</f>
        <v>100</v>
      </c>
      <c r="N423" s="440">
        <f t="shared" si="7"/>
        <v>7</v>
      </c>
      <c r="O423" s="440">
        <f t="shared" si="8"/>
        <v>16</v>
      </c>
      <c r="P423" s="440">
        <f t="shared" si="9"/>
        <v>0.1</v>
      </c>
      <c r="Q423">
        <f t="array" ref="Q423">IF(I423&gt;0,INDEX(DB,I423,9),EventIndex)</f>
        <v>6</v>
      </c>
      <c r="S423" s="442">
        <f t="array" ref="S423">INDEX(MINVALUES,$Q423,$K$1)</f>
        <v>16</v>
      </c>
      <c r="T423">
        <f t="array" ref="T423">INDEX(INCVALUES,$Q423,$K$1)</f>
        <v>0.1</v>
      </c>
      <c r="V423">
        <f t="array" ref="V423">+J423+(4*(INDEX(MatchScoreTable,$Q423,20)-1))</f>
        <v>4</v>
      </c>
      <c r="W423">
        <f t="array" ref="W423">INDEX(INC_MINVALUES,$V423,$K$1)</f>
        <v>34</v>
      </c>
      <c r="X423" s="212">
        <f t="array" ref="X423">INDEX(INC_INCVALUES,$V423,$K$1)</f>
        <v>0.3</v>
      </c>
    </row>
    <row r="424" ht="15.75" customHeight="1">
      <c r="A424" s="435"/>
      <c r="B424" s="436"/>
      <c r="C424" s="95" t="str">
        <f t="array" ref="C424">IF(I424&gt;0,INDEX(DB,I424,8),"")</f>
        <v/>
      </c>
      <c r="D424" s="437">
        <f t="shared" si="1"/>
        <v>0</v>
      </c>
      <c r="F424" s="438">
        <f t="shared" si="2"/>
        <v>0</v>
      </c>
      <c r="G424" t="str">
        <f t="shared" si="3"/>
        <v/>
      </c>
      <c r="H424" t="b">
        <f t="shared" si="4"/>
        <v>0</v>
      </c>
      <c r="I424" s="439">
        <f>IF(OR(ISBLANK(A424),ISNA(MATCH(A424&amp;"",AthleteNumbers,0))),0,MATCH(A424&amp;"",AthleteNumbers,0))</f>
        <v>0</v>
      </c>
      <c r="J424" s="209">
        <f t="array" ref="J424">IF(I424&gt;0,INDEX(DB,$I424,6),0)</f>
        <v>0</v>
      </c>
      <c r="K424" s="440">
        <f t="shared" si="5"/>
        <v>0</v>
      </c>
      <c r="L424" s="440">
        <f t="shared" si="6"/>
        <v>0</v>
      </c>
      <c r="M424" s="441">
        <f>IF(AND(L424&gt;O424,O424&gt;0),MinPoints,IF(L424&lt;N424,100,+INT((O424-$L424)/P424)+MinPoints))</f>
        <v>100</v>
      </c>
      <c r="N424" s="440">
        <f t="shared" si="7"/>
        <v>7</v>
      </c>
      <c r="O424" s="440">
        <f t="shared" si="8"/>
        <v>16</v>
      </c>
      <c r="P424" s="440">
        <f t="shared" si="9"/>
        <v>0.1</v>
      </c>
      <c r="Q424">
        <f t="array" ref="Q424">IF(I424&gt;0,INDEX(DB,I424,9),EventIndex)</f>
        <v>6</v>
      </c>
      <c r="S424" s="442">
        <f t="array" ref="S424">INDEX(MINVALUES,$Q424,$K$1)</f>
        <v>16</v>
      </c>
      <c r="T424">
        <f t="array" ref="T424">INDEX(INCVALUES,$Q424,$K$1)</f>
        <v>0.1</v>
      </c>
      <c r="V424">
        <f t="array" ref="V424">+J424+(4*(INDEX(MatchScoreTable,$Q424,20)-1))</f>
        <v>4</v>
      </c>
      <c r="W424">
        <f t="array" ref="W424">INDEX(INC_MINVALUES,$V424,$K$1)</f>
        <v>34</v>
      </c>
      <c r="X424" s="212">
        <f t="array" ref="X424">INDEX(INC_INCVALUES,$V424,$K$1)</f>
        <v>0.3</v>
      </c>
    </row>
    <row r="425" ht="15.75" customHeight="1">
      <c r="A425" s="435"/>
      <c r="B425" s="436"/>
      <c r="C425" s="95" t="str">
        <f t="array" ref="C425">IF(I425&gt;0,INDEX(DB,I425,8),"")</f>
        <v/>
      </c>
      <c r="D425" s="437">
        <f t="shared" si="1"/>
        <v>0</v>
      </c>
      <c r="F425" s="438">
        <f t="shared" si="2"/>
        <v>0</v>
      </c>
      <c r="G425" t="str">
        <f t="shared" si="3"/>
        <v/>
      </c>
      <c r="H425" t="b">
        <f t="shared" si="4"/>
        <v>0</v>
      </c>
      <c r="I425" s="439">
        <f>IF(OR(ISBLANK(A425),ISNA(MATCH(A425&amp;"",AthleteNumbers,0))),0,MATCH(A425&amp;"",AthleteNumbers,0))</f>
        <v>0</v>
      </c>
      <c r="J425" s="209">
        <f t="array" ref="J425">IF(I425&gt;0,INDEX(DB,$I425,6),0)</f>
        <v>0</v>
      </c>
      <c r="K425" s="440">
        <f t="shared" si="5"/>
        <v>0</v>
      </c>
      <c r="L425" s="440">
        <f t="shared" si="6"/>
        <v>0</v>
      </c>
      <c r="M425" s="441">
        <f>IF(AND(L425&gt;O425,O425&gt;0),MinPoints,IF(L425&lt;N425,100,+INT((O425-$L425)/P425)+MinPoints))</f>
        <v>100</v>
      </c>
      <c r="N425" s="440">
        <f t="shared" si="7"/>
        <v>7</v>
      </c>
      <c r="O425" s="440">
        <f t="shared" si="8"/>
        <v>16</v>
      </c>
      <c r="P425" s="440">
        <f t="shared" si="9"/>
        <v>0.1</v>
      </c>
      <c r="Q425">
        <f t="array" ref="Q425">IF(I425&gt;0,INDEX(DB,I425,9),EventIndex)</f>
        <v>6</v>
      </c>
      <c r="S425" s="442">
        <f t="array" ref="S425">INDEX(MINVALUES,$Q425,$K$1)</f>
        <v>16</v>
      </c>
      <c r="T425">
        <f t="array" ref="T425">INDEX(INCVALUES,$Q425,$K$1)</f>
        <v>0.1</v>
      </c>
      <c r="V425">
        <f t="array" ref="V425">+J425+(4*(INDEX(MatchScoreTable,$Q425,20)-1))</f>
        <v>4</v>
      </c>
      <c r="W425">
        <f t="array" ref="W425">INDEX(INC_MINVALUES,$V425,$K$1)</f>
        <v>34</v>
      </c>
      <c r="X425" s="212">
        <f t="array" ref="X425">INDEX(INC_INCVALUES,$V425,$K$1)</f>
        <v>0.3</v>
      </c>
    </row>
    <row r="426" ht="15.75" customHeight="1">
      <c r="A426" s="435"/>
      <c r="B426" s="436"/>
      <c r="C426" s="95" t="str">
        <f t="array" ref="C426">IF(I426&gt;0,INDEX(DB,I426,8),"")</f>
        <v/>
      </c>
      <c r="D426" s="437">
        <f t="shared" si="1"/>
        <v>0</v>
      </c>
      <c r="F426" s="438">
        <f t="shared" si="2"/>
        <v>0</v>
      </c>
      <c r="G426" t="str">
        <f t="shared" si="3"/>
        <v/>
      </c>
      <c r="H426" t="b">
        <f t="shared" si="4"/>
        <v>0</v>
      </c>
      <c r="I426" s="439">
        <f>IF(OR(ISBLANK(A426),ISNA(MATCH(A426&amp;"",AthleteNumbers,0))),0,MATCH(A426&amp;"",AthleteNumbers,0))</f>
        <v>0</v>
      </c>
      <c r="J426" s="209">
        <f t="array" ref="J426">IF(I426&gt;0,INDEX(DB,$I426,6),0)</f>
        <v>0</v>
      </c>
      <c r="K426" s="440">
        <f t="shared" si="5"/>
        <v>0</v>
      </c>
      <c r="L426" s="440">
        <f t="shared" si="6"/>
        <v>0</v>
      </c>
      <c r="M426" s="441">
        <f>IF(AND(L426&gt;O426,O426&gt;0),MinPoints,IF(L426&lt;N426,100,+INT((O426-$L426)/P426)+MinPoints))</f>
        <v>100</v>
      </c>
      <c r="N426" s="440">
        <f t="shared" si="7"/>
        <v>7</v>
      </c>
      <c r="O426" s="440">
        <f t="shared" si="8"/>
        <v>16</v>
      </c>
      <c r="P426" s="440">
        <f t="shared" si="9"/>
        <v>0.1</v>
      </c>
      <c r="Q426">
        <f t="array" ref="Q426">IF(I426&gt;0,INDEX(DB,I426,9),EventIndex)</f>
        <v>6</v>
      </c>
      <c r="S426" s="442">
        <f t="array" ref="S426">INDEX(MINVALUES,$Q426,$K$1)</f>
        <v>16</v>
      </c>
      <c r="T426">
        <f t="array" ref="T426">INDEX(INCVALUES,$Q426,$K$1)</f>
        <v>0.1</v>
      </c>
      <c r="V426">
        <f t="array" ref="V426">+J426+(4*(INDEX(MatchScoreTable,$Q426,20)-1))</f>
        <v>4</v>
      </c>
      <c r="W426">
        <f t="array" ref="W426">INDEX(INC_MINVALUES,$V426,$K$1)</f>
        <v>34</v>
      </c>
      <c r="X426" s="212">
        <f t="array" ref="X426">INDEX(INC_INCVALUES,$V426,$K$1)</f>
        <v>0.3</v>
      </c>
    </row>
    <row r="427" ht="15.75" customHeight="1">
      <c r="A427" s="435"/>
      <c r="B427" s="436"/>
      <c r="C427" s="95" t="str">
        <f t="array" ref="C427">IF(I427&gt;0,INDEX(DB,I427,8),"")</f>
        <v/>
      </c>
      <c r="D427" s="437">
        <f t="shared" si="1"/>
        <v>0</v>
      </c>
      <c r="F427" s="438">
        <f t="shared" si="2"/>
        <v>0</v>
      </c>
      <c r="G427" t="str">
        <f t="shared" si="3"/>
        <v/>
      </c>
      <c r="H427" t="b">
        <f t="shared" si="4"/>
        <v>0</v>
      </c>
      <c r="I427" s="439">
        <f>IF(OR(ISBLANK(A427),ISNA(MATCH(A427&amp;"",AthleteNumbers,0))),0,MATCH(A427&amp;"",AthleteNumbers,0))</f>
        <v>0</v>
      </c>
      <c r="J427" s="209">
        <f t="array" ref="J427">IF(I427&gt;0,INDEX(DB,$I427,6),0)</f>
        <v>0</v>
      </c>
      <c r="K427" s="440">
        <f t="shared" si="5"/>
        <v>0</v>
      </c>
      <c r="L427" s="440">
        <f t="shared" si="6"/>
        <v>0</v>
      </c>
      <c r="M427" s="441">
        <f>IF(AND(L427&gt;O427,O427&gt;0),MinPoints,IF(L427&lt;N427,100,+INT((O427-$L427)/P427)+MinPoints))</f>
        <v>100</v>
      </c>
      <c r="N427" s="440">
        <f t="shared" si="7"/>
        <v>7</v>
      </c>
      <c r="O427" s="440">
        <f t="shared" si="8"/>
        <v>16</v>
      </c>
      <c r="P427" s="440">
        <f t="shared" si="9"/>
        <v>0.1</v>
      </c>
      <c r="Q427">
        <f t="array" ref="Q427">IF(I427&gt;0,INDEX(DB,I427,9),EventIndex)</f>
        <v>6</v>
      </c>
      <c r="S427" s="442">
        <f t="array" ref="S427">INDEX(MINVALUES,$Q427,$K$1)</f>
        <v>16</v>
      </c>
      <c r="T427">
        <f t="array" ref="T427">INDEX(INCVALUES,$Q427,$K$1)</f>
        <v>0.1</v>
      </c>
      <c r="V427">
        <f t="array" ref="V427">+J427+(4*(INDEX(MatchScoreTable,$Q427,20)-1))</f>
        <v>4</v>
      </c>
      <c r="W427">
        <f t="array" ref="W427">INDEX(INC_MINVALUES,$V427,$K$1)</f>
        <v>34</v>
      </c>
      <c r="X427" s="212">
        <f t="array" ref="X427">INDEX(INC_INCVALUES,$V427,$K$1)</f>
        <v>0.3</v>
      </c>
    </row>
    <row r="428" ht="15.75" customHeight="1">
      <c r="A428" s="435"/>
      <c r="B428" s="436"/>
      <c r="C428" s="95" t="str">
        <f t="array" ref="C428">IF(I428&gt;0,INDEX(DB,I428,8),"")</f>
        <v/>
      </c>
      <c r="D428" s="437">
        <f t="shared" si="1"/>
        <v>0</v>
      </c>
      <c r="F428" s="438">
        <f t="shared" si="2"/>
        <v>0</v>
      </c>
      <c r="G428" t="str">
        <f t="shared" si="3"/>
        <v/>
      </c>
      <c r="H428" t="b">
        <f t="shared" si="4"/>
        <v>0</v>
      </c>
      <c r="I428" s="439">
        <f>IF(OR(ISBLANK(A428),ISNA(MATCH(A428&amp;"",AthleteNumbers,0))),0,MATCH(A428&amp;"",AthleteNumbers,0))</f>
        <v>0</v>
      </c>
      <c r="J428" s="209">
        <f t="array" ref="J428">IF(I428&gt;0,INDEX(DB,$I428,6),0)</f>
        <v>0</v>
      </c>
      <c r="K428" s="440">
        <f t="shared" si="5"/>
        <v>0</v>
      </c>
      <c r="L428" s="440">
        <f t="shared" si="6"/>
        <v>0</v>
      </c>
      <c r="M428" s="441">
        <f>IF(AND(L428&gt;O428,O428&gt;0),MinPoints,IF(L428&lt;N428,100,+INT((O428-$L428)/P428)+MinPoints))</f>
        <v>100</v>
      </c>
      <c r="N428" s="440">
        <f t="shared" si="7"/>
        <v>7</v>
      </c>
      <c r="O428" s="440">
        <f t="shared" si="8"/>
        <v>16</v>
      </c>
      <c r="P428" s="440">
        <f t="shared" si="9"/>
        <v>0.1</v>
      </c>
      <c r="Q428">
        <f t="array" ref="Q428">IF(I428&gt;0,INDEX(DB,I428,9),EventIndex)</f>
        <v>6</v>
      </c>
      <c r="S428" s="442">
        <f t="array" ref="S428">INDEX(MINVALUES,$Q428,$K$1)</f>
        <v>16</v>
      </c>
      <c r="T428">
        <f t="array" ref="T428">INDEX(INCVALUES,$Q428,$K$1)</f>
        <v>0.1</v>
      </c>
      <c r="V428">
        <f t="array" ref="V428">+J428+(4*(INDEX(MatchScoreTable,$Q428,20)-1))</f>
        <v>4</v>
      </c>
      <c r="W428">
        <f t="array" ref="W428">INDEX(INC_MINVALUES,$V428,$K$1)</f>
        <v>34</v>
      </c>
      <c r="X428" s="212">
        <f t="array" ref="X428">INDEX(INC_INCVALUES,$V428,$K$1)</f>
        <v>0.3</v>
      </c>
    </row>
    <row r="429" ht="15.75" customHeight="1">
      <c r="A429" s="435"/>
      <c r="B429" s="436"/>
      <c r="C429" s="95" t="str">
        <f t="array" ref="C429">IF(I429&gt;0,INDEX(DB,I429,8),"")</f>
        <v/>
      </c>
      <c r="D429" s="437">
        <f t="shared" si="1"/>
        <v>0</v>
      </c>
      <c r="F429" s="438">
        <f t="shared" si="2"/>
        <v>0</v>
      </c>
      <c r="G429" t="str">
        <f t="shared" si="3"/>
        <v/>
      </c>
      <c r="H429" t="b">
        <f t="shared" si="4"/>
        <v>0</v>
      </c>
      <c r="I429" s="439">
        <f>IF(OR(ISBLANK(A429),ISNA(MATCH(A429&amp;"",AthleteNumbers,0))),0,MATCH(A429&amp;"",AthleteNumbers,0))</f>
        <v>0</v>
      </c>
      <c r="J429" s="209">
        <f t="array" ref="J429">IF(I429&gt;0,INDEX(DB,$I429,6),0)</f>
        <v>0</v>
      </c>
      <c r="K429" s="440">
        <f t="shared" si="5"/>
        <v>0</v>
      </c>
      <c r="L429" s="440">
        <f t="shared" si="6"/>
        <v>0</v>
      </c>
      <c r="M429" s="441">
        <f>IF(AND(L429&gt;O429,O429&gt;0),MinPoints,IF(L429&lt;N429,100,+INT((O429-$L429)/P429)+MinPoints))</f>
        <v>100</v>
      </c>
      <c r="N429" s="440">
        <f t="shared" si="7"/>
        <v>7</v>
      </c>
      <c r="O429" s="440">
        <f t="shared" si="8"/>
        <v>16</v>
      </c>
      <c r="P429" s="440">
        <f t="shared" si="9"/>
        <v>0.1</v>
      </c>
      <c r="Q429">
        <f t="array" ref="Q429">IF(I429&gt;0,INDEX(DB,I429,9),EventIndex)</f>
        <v>6</v>
      </c>
      <c r="S429" s="442">
        <f t="array" ref="S429">INDEX(MINVALUES,$Q429,$K$1)</f>
        <v>16</v>
      </c>
      <c r="T429">
        <f t="array" ref="T429">INDEX(INCVALUES,$Q429,$K$1)</f>
        <v>0.1</v>
      </c>
      <c r="V429">
        <f t="array" ref="V429">+J429+(4*(INDEX(MatchScoreTable,$Q429,20)-1))</f>
        <v>4</v>
      </c>
      <c r="W429">
        <f t="array" ref="W429">INDEX(INC_MINVALUES,$V429,$K$1)</f>
        <v>34</v>
      </c>
      <c r="X429" s="212">
        <f t="array" ref="X429">INDEX(INC_INCVALUES,$V429,$K$1)</f>
        <v>0.3</v>
      </c>
    </row>
    <row r="430" ht="15.75" customHeight="1">
      <c r="A430" s="435"/>
      <c r="B430" s="436"/>
      <c r="C430" s="95" t="str">
        <f t="array" ref="C430">IF(I430&gt;0,INDEX(DB,I430,8),"")</f>
        <v/>
      </c>
      <c r="D430" s="437">
        <f t="shared" si="1"/>
        <v>0</v>
      </c>
      <c r="F430" s="438">
        <f t="shared" si="2"/>
        <v>0</v>
      </c>
      <c r="G430" t="str">
        <f t="shared" si="3"/>
        <v/>
      </c>
      <c r="H430" t="b">
        <f t="shared" si="4"/>
        <v>0</v>
      </c>
      <c r="I430" s="439">
        <f>IF(OR(ISBLANK(A430),ISNA(MATCH(A430&amp;"",AthleteNumbers,0))),0,MATCH(A430&amp;"",AthleteNumbers,0))</f>
        <v>0</v>
      </c>
      <c r="J430" s="209">
        <f t="array" ref="J430">IF(I430&gt;0,INDEX(DB,$I430,6),0)</f>
        <v>0</v>
      </c>
      <c r="K430" s="440">
        <f t="shared" si="5"/>
        <v>0</v>
      </c>
      <c r="L430" s="440">
        <f t="shared" si="6"/>
        <v>0</v>
      </c>
      <c r="M430" s="441">
        <f>IF(AND(L430&gt;O430,O430&gt;0),MinPoints,IF(L430&lt;N430,100,+INT((O430-$L430)/P430)+MinPoints))</f>
        <v>100</v>
      </c>
      <c r="N430" s="440">
        <f t="shared" si="7"/>
        <v>7</v>
      </c>
      <c r="O430" s="440">
        <f t="shared" si="8"/>
        <v>16</v>
      </c>
      <c r="P430" s="440">
        <f t="shared" si="9"/>
        <v>0.1</v>
      </c>
      <c r="Q430">
        <f t="array" ref="Q430">IF(I430&gt;0,INDEX(DB,I430,9),EventIndex)</f>
        <v>6</v>
      </c>
      <c r="S430" s="442">
        <f t="array" ref="S430">INDEX(MINVALUES,$Q430,$K$1)</f>
        <v>16</v>
      </c>
      <c r="T430">
        <f t="array" ref="T430">INDEX(INCVALUES,$Q430,$K$1)</f>
        <v>0.1</v>
      </c>
      <c r="V430">
        <f t="array" ref="V430">+J430+(4*(INDEX(MatchScoreTable,$Q430,20)-1))</f>
        <v>4</v>
      </c>
      <c r="W430">
        <f t="array" ref="W430">INDEX(INC_MINVALUES,$V430,$K$1)</f>
        <v>34</v>
      </c>
      <c r="X430" s="212">
        <f t="array" ref="X430">INDEX(INC_INCVALUES,$V430,$K$1)</f>
        <v>0.3</v>
      </c>
    </row>
    <row r="431" ht="15.75" customHeight="1">
      <c r="A431" s="435"/>
      <c r="B431" s="436"/>
      <c r="C431" s="95" t="str">
        <f t="array" ref="C431">IF(I431&gt;0,INDEX(DB,I431,8),"")</f>
        <v/>
      </c>
      <c r="D431" s="437">
        <f t="shared" si="1"/>
        <v>0</v>
      </c>
      <c r="F431" s="438">
        <f t="shared" si="2"/>
        <v>0</v>
      </c>
      <c r="G431" t="str">
        <f t="shared" si="3"/>
        <v/>
      </c>
      <c r="H431" t="b">
        <f t="shared" si="4"/>
        <v>0</v>
      </c>
      <c r="I431" s="439">
        <f>IF(OR(ISBLANK(A431),ISNA(MATCH(A431&amp;"",AthleteNumbers,0))),0,MATCH(A431&amp;"",AthleteNumbers,0))</f>
        <v>0</v>
      </c>
      <c r="J431" s="209">
        <f t="array" ref="J431">IF(I431&gt;0,INDEX(DB,$I431,6),0)</f>
        <v>0</v>
      </c>
      <c r="K431" s="440">
        <f t="shared" si="5"/>
        <v>0</v>
      </c>
      <c r="L431" s="440">
        <f t="shared" si="6"/>
        <v>0</v>
      </c>
      <c r="M431" s="441">
        <f>IF(AND(L431&gt;O431,O431&gt;0),MinPoints,IF(L431&lt;N431,100,+INT((O431-$L431)/P431)+MinPoints))</f>
        <v>100</v>
      </c>
      <c r="N431" s="440">
        <f t="shared" si="7"/>
        <v>7</v>
      </c>
      <c r="O431" s="440">
        <f t="shared" si="8"/>
        <v>16</v>
      </c>
      <c r="P431" s="440">
        <f t="shared" si="9"/>
        <v>0.1</v>
      </c>
      <c r="Q431">
        <f t="array" ref="Q431">IF(I431&gt;0,INDEX(DB,I431,9),EventIndex)</f>
        <v>6</v>
      </c>
      <c r="S431" s="442">
        <f t="array" ref="S431">INDEX(MINVALUES,$Q431,$K$1)</f>
        <v>16</v>
      </c>
      <c r="T431">
        <f t="array" ref="T431">INDEX(INCVALUES,$Q431,$K$1)</f>
        <v>0.1</v>
      </c>
      <c r="V431">
        <f t="array" ref="V431">+J431+(4*(INDEX(MatchScoreTable,$Q431,20)-1))</f>
        <v>4</v>
      </c>
      <c r="W431">
        <f t="array" ref="W431">INDEX(INC_MINVALUES,$V431,$K$1)</f>
        <v>34</v>
      </c>
      <c r="X431" s="212">
        <f t="array" ref="X431">INDEX(INC_INCVALUES,$V431,$K$1)</f>
        <v>0.3</v>
      </c>
    </row>
    <row r="432" ht="15.75" customHeight="1">
      <c r="A432" s="435"/>
      <c r="B432" s="436"/>
      <c r="C432" s="95" t="str">
        <f t="array" ref="C432">IF(I432&gt;0,INDEX(DB,I432,8),"")</f>
        <v/>
      </c>
      <c r="D432" s="437">
        <f t="shared" si="1"/>
        <v>0</v>
      </c>
      <c r="F432" s="438">
        <f t="shared" si="2"/>
        <v>0</v>
      </c>
      <c r="G432" t="str">
        <f t="shared" si="3"/>
        <v/>
      </c>
      <c r="H432" t="b">
        <f t="shared" si="4"/>
        <v>0</v>
      </c>
      <c r="I432" s="439">
        <f>IF(OR(ISBLANK(A432),ISNA(MATCH(A432&amp;"",AthleteNumbers,0))),0,MATCH(A432&amp;"",AthleteNumbers,0))</f>
        <v>0</v>
      </c>
      <c r="J432" s="209">
        <f t="array" ref="J432">IF(I432&gt;0,INDEX(DB,$I432,6),0)</f>
        <v>0</v>
      </c>
      <c r="K432" s="440">
        <f t="shared" si="5"/>
        <v>0</v>
      </c>
      <c r="L432" s="440">
        <f t="shared" si="6"/>
        <v>0</v>
      </c>
      <c r="M432" s="441">
        <f>IF(AND(L432&gt;O432,O432&gt;0),MinPoints,IF(L432&lt;N432,100,+INT((O432-$L432)/P432)+MinPoints))</f>
        <v>100</v>
      </c>
      <c r="N432" s="440">
        <f t="shared" si="7"/>
        <v>7</v>
      </c>
      <c r="O432" s="440">
        <f t="shared" si="8"/>
        <v>16</v>
      </c>
      <c r="P432" s="440">
        <f t="shared" si="9"/>
        <v>0.1</v>
      </c>
      <c r="Q432">
        <f t="array" ref="Q432">IF(I432&gt;0,INDEX(DB,I432,9),EventIndex)</f>
        <v>6</v>
      </c>
      <c r="S432" s="442">
        <f t="array" ref="S432">INDEX(MINVALUES,$Q432,$K$1)</f>
        <v>16</v>
      </c>
      <c r="T432">
        <f t="array" ref="T432">INDEX(INCVALUES,$Q432,$K$1)</f>
        <v>0.1</v>
      </c>
      <c r="V432">
        <f t="array" ref="V432">+J432+(4*(INDEX(MatchScoreTable,$Q432,20)-1))</f>
        <v>4</v>
      </c>
      <c r="W432">
        <f t="array" ref="W432">INDEX(INC_MINVALUES,$V432,$K$1)</f>
        <v>34</v>
      </c>
      <c r="X432" s="212">
        <f t="array" ref="X432">INDEX(INC_INCVALUES,$V432,$K$1)</f>
        <v>0.3</v>
      </c>
    </row>
    <row r="433" ht="15.75" customHeight="1">
      <c r="A433" s="435"/>
      <c r="B433" s="436"/>
      <c r="C433" s="95" t="str">
        <f t="array" ref="C433">IF(I433&gt;0,INDEX(DB,I433,8),"")</f>
        <v/>
      </c>
      <c r="D433" s="437">
        <f t="shared" si="1"/>
        <v>0</v>
      </c>
      <c r="F433" s="438">
        <f t="shared" si="2"/>
        <v>0</v>
      </c>
      <c r="G433" t="str">
        <f t="shared" si="3"/>
        <v/>
      </c>
      <c r="H433" t="b">
        <f t="shared" si="4"/>
        <v>0</v>
      </c>
      <c r="I433" s="439">
        <f>IF(OR(ISBLANK(A433),ISNA(MATCH(A433&amp;"",AthleteNumbers,0))),0,MATCH(A433&amp;"",AthleteNumbers,0))</f>
        <v>0</v>
      </c>
      <c r="J433" s="209">
        <f t="array" ref="J433">IF(I433&gt;0,INDEX(DB,$I433,6),0)</f>
        <v>0</v>
      </c>
      <c r="K433" s="440">
        <f t="shared" si="5"/>
        <v>0</v>
      </c>
      <c r="L433" s="440">
        <f t="shared" si="6"/>
        <v>0</v>
      </c>
      <c r="M433" s="441">
        <f>IF(AND(L433&gt;O433,O433&gt;0),MinPoints,IF(L433&lt;N433,100,+INT((O433-$L433)/P433)+MinPoints))</f>
        <v>100</v>
      </c>
      <c r="N433" s="440">
        <f t="shared" si="7"/>
        <v>7</v>
      </c>
      <c r="O433" s="440">
        <f t="shared" si="8"/>
        <v>16</v>
      </c>
      <c r="P433" s="440">
        <f t="shared" si="9"/>
        <v>0.1</v>
      </c>
      <c r="Q433">
        <f t="array" ref="Q433">IF(I433&gt;0,INDEX(DB,I433,9),EventIndex)</f>
        <v>6</v>
      </c>
      <c r="S433" s="442">
        <f t="array" ref="S433">INDEX(MINVALUES,$Q433,$K$1)</f>
        <v>16</v>
      </c>
      <c r="T433">
        <f t="array" ref="T433">INDEX(INCVALUES,$Q433,$K$1)</f>
        <v>0.1</v>
      </c>
      <c r="V433">
        <f t="array" ref="V433">+J433+(4*(INDEX(MatchScoreTable,$Q433,20)-1))</f>
        <v>4</v>
      </c>
      <c r="W433">
        <f t="array" ref="W433">INDEX(INC_MINVALUES,$V433,$K$1)</f>
        <v>34</v>
      </c>
      <c r="X433" s="212">
        <f t="array" ref="X433">INDEX(INC_INCVALUES,$V433,$K$1)</f>
        <v>0.3</v>
      </c>
    </row>
    <row r="434" ht="15.75" customHeight="1">
      <c r="A434" s="435"/>
      <c r="B434" s="436"/>
      <c r="C434" s="95" t="str">
        <f t="array" ref="C434">IF(I434&gt;0,INDEX(DB,I434,8),"")</f>
        <v/>
      </c>
      <c r="D434" s="437">
        <f t="shared" si="1"/>
        <v>0</v>
      </c>
      <c r="F434" s="438">
        <f t="shared" si="2"/>
        <v>0</v>
      </c>
      <c r="G434" t="str">
        <f t="shared" si="3"/>
        <v/>
      </c>
      <c r="H434" t="b">
        <f t="shared" si="4"/>
        <v>0</v>
      </c>
      <c r="I434" s="439">
        <f>IF(OR(ISBLANK(A434),ISNA(MATCH(A434&amp;"",AthleteNumbers,0))),0,MATCH(A434&amp;"",AthleteNumbers,0))</f>
        <v>0</v>
      </c>
      <c r="J434" s="209">
        <f t="array" ref="J434">IF(I434&gt;0,INDEX(DB,$I434,6),0)</f>
        <v>0</v>
      </c>
      <c r="K434" s="440">
        <f t="shared" si="5"/>
        <v>0</v>
      </c>
      <c r="L434" s="440">
        <f t="shared" si="6"/>
        <v>0</v>
      </c>
      <c r="M434" s="441">
        <f>IF(AND(L434&gt;O434,O434&gt;0),MinPoints,IF(L434&lt;N434,100,+INT((O434-$L434)/P434)+MinPoints))</f>
        <v>100</v>
      </c>
      <c r="N434" s="440">
        <f t="shared" si="7"/>
        <v>7</v>
      </c>
      <c r="O434" s="440">
        <f t="shared" si="8"/>
        <v>16</v>
      </c>
      <c r="P434" s="440">
        <f t="shared" si="9"/>
        <v>0.1</v>
      </c>
      <c r="Q434">
        <f t="array" ref="Q434">IF(I434&gt;0,INDEX(DB,I434,9),EventIndex)</f>
        <v>6</v>
      </c>
      <c r="S434" s="442">
        <f t="array" ref="S434">INDEX(MINVALUES,$Q434,$K$1)</f>
        <v>16</v>
      </c>
      <c r="T434">
        <f t="array" ref="T434">INDEX(INCVALUES,$Q434,$K$1)</f>
        <v>0.1</v>
      </c>
      <c r="V434">
        <f t="array" ref="V434">+J434+(4*(INDEX(MatchScoreTable,$Q434,20)-1))</f>
        <v>4</v>
      </c>
      <c r="W434">
        <f t="array" ref="W434">INDEX(INC_MINVALUES,$V434,$K$1)</f>
        <v>34</v>
      </c>
      <c r="X434" s="212">
        <f t="array" ref="X434">INDEX(INC_INCVALUES,$V434,$K$1)</f>
        <v>0.3</v>
      </c>
    </row>
    <row r="435" ht="15.75" customHeight="1">
      <c r="A435" s="435"/>
      <c r="B435" s="436"/>
      <c r="C435" s="95" t="str">
        <f t="array" ref="C435">IF(I435&gt;0,INDEX(DB,I435,8),"")</f>
        <v/>
      </c>
      <c r="D435" s="437">
        <f t="shared" si="1"/>
        <v>0</v>
      </c>
      <c r="F435" s="438">
        <f t="shared" si="2"/>
        <v>0</v>
      </c>
      <c r="G435" t="str">
        <f t="shared" si="3"/>
        <v/>
      </c>
      <c r="H435" t="b">
        <f t="shared" si="4"/>
        <v>0</v>
      </c>
      <c r="I435" s="439">
        <f>IF(OR(ISBLANK(A435),ISNA(MATCH(A435&amp;"",AthleteNumbers,0))),0,MATCH(A435&amp;"",AthleteNumbers,0))</f>
        <v>0</v>
      </c>
      <c r="J435" s="209">
        <f t="array" ref="J435">IF(I435&gt;0,INDEX(DB,$I435,6),0)</f>
        <v>0</v>
      </c>
      <c r="K435" s="440">
        <f t="shared" si="5"/>
        <v>0</v>
      </c>
      <c r="L435" s="440">
        <f t="shared" si="6"/>
        <v>0</v>
      </c>
      <c r="M435" s="441">
        <f>IF(AND(L435&gt;O435,O435&gt;0),MinPoints,IF(L435&lt;N435,100,+INT((O435-$L435)/P435)+MinPoints))</f>
        <v>100</v>
      </c>
      <c r="N435" s="440">
        <f t="shared" si="7"/>
        <v>7</v>
      </c>
      <c r="O435" s="440">
        <f t="shared" si="8"/>
        <v>16</v>
      </c>
      <c r="P435" s="440">
        <f t="shared" si="9"/>
        <v>0.1</v>
      </c>
      <c r="Q435">
        <f t="array" ref="Q435">IF(I435&gt;0,INDEX(DB,I435,9),EventIndex)</f>
        <v>6</v>
      </c>
      <c r="S435" s="442">
        <f t="array" ref="S435">INDEX(MINVALUES,$Q435,$K$1)</f>
        <v>16</v>
      </c>
      <c r="T435">
        <f t="array" ref="T435">INDEX(INCVALUES,$Q435,$K$1)</f>
        <v>0.1</v>
      </c>
      <c r="V435">
        <f t="array" ref="V435">+J435+(4*(INDEX(MatchScoreTable,$Q435,20)-1))</f>
        <v>4</v>
      </c>
      <c r="W435">
        <f t="array" ref="W435">INDEX(INC_MINVALUES,$V435,$K$1)</f>
        <v>34</v>
      </c>
      <c r="X435" s="212">
        <f t="array" ref="X435">INDEX(INC_INCVALUES,$V435,$K$1)</f>
        <v>0.3</v>
      </c>
    </row>
    <row r="436" ht="15.75" customHeight="1">
      <c r="A436" s="435"/>
      <c r="B436" s="436"/>
      <c r="C436" s="95" t="str">
        <f t="array" ref="C436">IF(I436&gt;0,INDEX(DB,I436,8),"")</f>
        <v/>
      </c>
      <c r="D436" s="437">
        <f t="shared" si="1"/>
        <v>0</v>
      </c>
      <c r="F436" s="438">
        <f t="shared" si="2"/>
        <v>0</v>
      </c>
      <c r="G436" t="str">
        <f t="shared" si="3"/>
        <v/>
      </c>
      <c r="H436" t="b">
        <f t="shared" si="4"/>
        <v>0</v>
      </c>
      <c r="I436" s="439">
        <f>IF(OR(ISBLANK(A436),ISNA(MATCH(A436&amp;"",AthleteNumbers,0))),0,MATCH(A436&amp;"",AthleteNumbers,0))</f>
        <v>0</v>
      </c>
      <c r="J436" s="209">
        <f t="array" ref="J436">IF(I436&gt;0,INDEX(DB,$I436,6),0)</f>
        <v>0</v>
      </c>
      <c r="K436" s="440">
        <f t="shared" si="5"/>
        <v>0</v>
      </c>
      <c r="L436" s="440">
        <f t="shared" si="6"/>
        <v>0</v>
      </c>
      <c r="M436" s="441">
        <f>IF(AND(L436&gt;O436,O436&gt;0),MinPoints,IF(L436&lt;N436,100,+INT((O436-$L436)/P436)+MinPoints))</f>
        <v>100</v>
      </c>
      <c r="N436" s="440">
        <f t="shared" si="7"/>
        <v>7</v>
      </c>
      <c r="O436" s="440">
        <f t="shared" si="8"/>
        <v>16</v>
      </c>
      <c r="P436" s="440">
        <f t="shared" si="9"/>
        <v>0.1</v>
      </c>
      <c r="Q436">
        <f t="array" ref="Q436">IF(I436&gt;0,INDEX(DB,I436,9),EventIndex)</f>
        <v>6</v>
      </c>
      <c r="S436" s="442">
        <f t="array" ref="S436">INDEX(MINVALUES,$Q436,$K$1)</f>
        <v>16</v>
      </c>
      <c r="T436">
        <f t="array" ref="T436">INDEX(INCVALUES,$Q436,$K$1)</f>
        <v>0.1</v>
      </c>
      <c r="V436">
        <f t="array" ref="V436">+J436+(4*(INDEX(MatchScoreTable,$Q436,20)-1))</f>
        <v>4</v>
      </c>
      <c r="W436">
        <f t="array" ref="W436">INDEX(INC_MINVALUES,$V436,$K$1)</f>
        <v>34</v>
      </c>
      <c r="X436" s="212">
        <f t="array" ref="X436">INDEX(INC_INCVALUES,$V436,$K$1)</f>
        <v>0.3</v>
      </c>
    </row>
    <row r="437" ht="15.75" customHeight="1">
      <c r="A437" s="435"/>
      <c r="B437" s="436"/>
      <c r="C437" s="95" t="str">
        <f t="array" ref="C437">IF(I437&gt;0,INDEX(DB,I437,8),"")</f>
        <v/>
      </c>
      <c r="D437" s="437">
        <f t="shared" si="1"/>
        <v>0</v>
      </c>
      <c r="F437" s="438">
        <f t="shared" si="2"/>
        <v>0</v>
      </c>
      <c r="G437" t="str">
        <f t="shared" si="3"/>
        <v/>
      </c>
      <c r="H437" t="b">
        <f t="shared" si="4"/>
        <v>0</v>
      </c>
      <c r="I437" s="439">
        <f>IF(OR(ISBLANK(A437),ISNA(MATCH(A437&amp;"",AthleteNumbers,0))),0,MATCH(A437&amp;"",AthleteNumbers,0))</f>
        <v>0</v>
      </c>
      <c r="J437" s="209">
        <f t="array" ref="J437">IF(I437&gt;0,INDEX(DB,$I437,6),0)</f>
        <v>0</v>
      </c>
      <c r="K437" s="440">
        <f t="shared" si="5"/>
        <v>0</v>
      </c>
      <c r="L437" s="440">
        <f t="shared" si="6"/>
        <v>0</v>
      </c>
      <c r="M437" s="441">
        <f>IF(AND(L437&gt;O437,O437&gt;0),MinPoints,IF(L437&lt;N437,100,+INT((O437-$L437)/P437)+MinPoints))</f>
        <v>100</v>
      </c>
      <c r="N437" s="440">
        <f t="shared" si="7"/>
        <v>7</v>
      </c>
      <c r="O437" s="440">
        <f t="shared" si="8"/>
        <v>16</v>
      </c>
      <c r="P437" s="440">
        <f t="shared" si="9"/>
        <v>0.1</v>
      </c>
      <c r="Q437">
        <f t="array" ref="Q437">IF(I437&gt;0,INDEX(DB,I437,9),EventIndex)</f>
        <v>6</v>
      </c>
      <c r="S437" s="442">
        <f t="array" ref="S437">INDEX(MINVALUES,$Q437,$K$1)</f>
        <v>16</v>
      </c>
      <c r="T437">
        <f t="array" ref="T437">INDEX(INCVALUES,$Q437,$K$1)</f>
        <v>0.1</v>
      </c>
      <c r="V437">
        <f t="array" ref="V437">+J437+(4*(INDEX(MatchScoreTable,$Q437,20)-1))</f>
        <v>4</v>
      </c>
      <c r="W437">
        <f t="array" ref="W437">INDEX(INC_MINVALUES,$V437,$K$1)</f>
        <v>34</v>
      </c>
      <c r="X437" s="212">
        <f t="array" ref="X437">INDEX(INC_INCVALUES,$V437,$K$1)</f>
        <v>0.3</v>
      </c>
    </row>
    <row r="438" ht="15.75" customHeight="1">
      <c r="A438" s="435"/>
      <c r="B438" s="436"/>
      <c r="C438" s="95" t="str">
        <f t="array" ref="C438">IF(I438&gt;0,INDEX(DB,I438,8),"")</f>
        <v/>
      </c>
      <c r="D438" s="437">
        <f t="shared" si="1"/>
        <v>0</v>
      </c>
      <c r="F438" s="438">
        <f t="shared" si="2"/>
        <v>0</v>
      </c>
      <c r="G438" t="str">
        <f t="shared" si="3"/>
        <v/>
      </c>
      <c r="H438" t="b">
        <f t="shared" si="4"/>
        <v>0</v>
      </c>
      <c r="I438" s="439">
        <f>IF(OR(ISBLANK(A438),ISNA(MATCH(A438&amp;"",AthleteNumbers,0))),0,MATCH(A438&amp;"",AthleteNumbers,0))</f>
        <v>0</v>
      </c>
      <c r="J438" s="209">
        <f t="array" ref="J438">IF(I438&gt;0,INDEX(DB,$I438,6),0)</f>
        <v>0</v>
      </c>
      <c r="K438" s="440">
        <f t="shared" si="5"/>
        <v>0</v>
      </c>
      <c r="L438" s="440">
        <f t="shared" si="6"/>
        <v>0</v>
      </c>
      <c r="M438" s="441">
        <f>IF(AND(L438&gt;O438,O438&gt;0),MinPoints,IF(L438&lt;N438,100,+INT((O438-$L438)/P438)+MinPoints))</f>
        <v>100</v>
      </c>
      <c r="N438" s="440">
        <f t="shared" si="7"/>
        <v>7</v>
      </c>
      <c r="O438" s="440">
        <f t="shared" si="8"/>
        <v>16</v>
      </c>
      <c r="P438" s="440">
        <f t="shared" si="9"/>
        <v>0.1</v>
      </c>
      <c r="Q438">
        <f t="array" ref="Q438">IF(I438&gt;0,INDEX(DB,I438,9),EventIndex)</f>
        <v>6</v>
      </c>
      <c r="S438" s="442">
        <f t="array" ref="S438">INDEX(MINVALUES,$Q438,$K$1)</f>
        <v>16</v>
      </c>
      <c r="T438">
        <f t="array" ref="T438">INDEX(INCVALUES,$Q438,$K$1)</f>
        <v>0.1</v>
      </c>
      <c r="V438">
        <f t="array" ref="V438">+J438+(4*(INDEX(MatchScoreTable,$Q438,20)-1))</f>
        <v>4</v>
      </c>
      <c r="W438">
        <f t="array" ref="W438">INDEX(INC_MINVALUES,$V438,$K$1)</f>
        <v>34</v>
      </c>
      <c r="X438" s="212">
        <f t="array" ref="X438">INDEX(INC_INCVALUES,$V438,$K$1)</f>
        <v>0.3</v>
      </c>
    </row>
    <row r="439" ht="15.75" customHeight="1">
      <c r="A439" s="435"/>
      <c r="B439" s="436"/>
      <c r="C439" s="95" t="str">
        <f t="array" ref="C439">IF(I439&gt;0,INDEX(DB,I439,8),"")</f>
        <v/>
      </c>
      <c r="D439" s="437">
        <f t="shared" si="1"/>
        <v>0</v>
      </c>
      <c r="F439" s="438">
        <f t="shared" si="2"/>
        <v>0</v>
      </c>
      <c r="G439" t="str">
        <f t="shared" si="3"/>
        <v/>
      </c>
      <c r="H439" t="b">
        <f t="shared" si="4"/>
        <v>0</v>
      </c>
      <c r="I439" s="439">
        <f>IF(OR(ISBLANK(A439),ISNA(MATCH(A439&amp;"",AthleteNumbers,0))),0,MATCH(A439&amp;"",AthleteNumbers,0))</f>
        <v>0</v>
      </c>
      <c r="J439" s="209">
        <f t="array" ref="J439">IF(I439&gt;0,INDEX(DB,$I439,6),0)</f>
        <v>0</v>
      </c>
      <c r="K439" s="440">
        <f t="shared" si="5"/>
        <v>0</v>
      </c>
      <c r="L439" s="440">
        <f t="shared" si="6"/>
        <v>0</v>
      </c>
      <c r="M439" s="441">
        <f>IF(AND(L439&gt;O439,O439&gt;0),MinPoints,IF(L439&lt;N439,100,+INT((O439-$L439)/P439)+MinPoints))</f>
        <v>100</v>
      </c>
      <c r="N439" s="440">
        <f t="shared" si="7"/>
        <v>7</v>
      </c>
      <c r="O439" s="440">
        <f t="shared" si="8"/>
        <v>16</v>
      </c>
      <c r="P439" s="440">
        <f t="shared" si="9"/>
        <v>0.1</v>
      </c>
      <c r="Q439">
        <f t="array" ref="Q439">IF(I439&gt;0,INDEX(DB,I439,9),EventIndex)</f>
        <v>6</v>
      </c>
      <c r="S439" s="442">
        <f t="array" ref="S439">INDEX(MINVALUES,$Q439,$K$1)</f>
        <v>16</v>
      </c>
      <c r="T439">
        <f t="array" ref="T439">INDEX(INCVALUES,$Q439,$K$1)</f>
        <v>0.1</v>
      </c>
      <c r="V439">
        <f t="array" ref="V439">+J439+(4*(INDEX(MatchScoreTable,$Q439,20)-1))</f>
        <v>4</v>
      </c>
      <c r="W439">
        <f t="array" ref="W439">INDEX(INC_MINVALUES,$V439,$K$1)</f>
        <v>34</v>
      </c>
      <c r="X439" s="212">
        <f t="array" ref="X439">INDEX(INC_INCVALUES,$V439,$K$1)</f>
        <v>0.3</v>
      </c>
    </row>
    <row r="440" ht="15.75" customHeight="1">
      <c r="A440" s="435"/>
      <c r="B440" s="436"/>
      <c r="C440" s="95" t="str">
        <f t="array" ref="C440">IF(I440&gt;0,INDEX(DB,I440,8),"")</f>
        <v/>
      </c>
      <c r="D440" s="437">
        <f t="shared" si="1"/>
        <v>0</v>
      </c>
      <c r="F440" s="438">
        <f t="shared" si="2"/>
        <v>0</v>
      </c>
      <c r="G440" t="str">
        <f t="shared" si="3"/>
        <v/>
      </c>
      <c r="H440" t="b">
        <f t="shared" si="4"/>
        <v>0</v>
      </c>
      <c r="I440" s="439">
        <f>IF(OR(ISBLANK(A440),ISNA(MATCH(A440&amp;"",AthleteNumbers,0))),0,MATCH(A440&amp;"",AthleteNumbers,0))</f>
        <v>0</v>
      </c>
      <c r="J440" s="209">
        <f t="array" ref="J440">IF(I440&gt;0,INDEX(DB,$I440,6),0)</f>
        <v>0</v>
      </c>
      <c r="K440" s="440">
        <f t="shared" si="5"/>
        <v>0</v>
      </c>
      <c r="L440" s="440">
        <f t="shared" si="6"/>
        <v>0</v>
      </c>
      <c r="M440" s="441">
        <f>IF(AND(L440&gt;O440,O440&gt;0),MinPoints,IF(L440&lt;N440,100,+INT((O440-$L440)/P440)+MinPoints))</f>
        <v>100</v>
      </c>
      <c r="N440" s="440">
        <f t="shared" si="7"/>
        <v>7</v>
      </c>
      <c r="O440" s="440">
        <f t="shared" si="8"/>
        <v>16</v>
      </c>
      <c r="P440" s="440">
        <f t="shared" si="9"/>
        <v>0.1</v>
      </c>
      <c r="Q440">
        <f t="array" ref="Q440">IF(I440&gt;0,INDEX(DB,I440,9),EventIndex)</f>
        <v>6</v>
      </c>
      <c r="S440" s="442">
        <f t="array" ref="S440">INDEX(MINVALUES,$Q440,$K$1)</f>
        <v>16</v>
      </c>
      <c r="T440">
        <f t="array" ref="T440">INDEX(INCVALUES,$Q440,$K$1)</f>
        <v>0.1</v>
      </c>
      <c r="V440">
        <f t="array" ref="V440">+J440+(4*(INDEX(MatchScoreTable,$Q440,20)-1))</f>
        <v>4</v>
      </c>
      <c r="W440">
        <f t="array" ref="W440">INDEX(INC_MINVALUES,$V440,$K$1)</f>
        <v>34</v>
      </c>
      <c r="X440" s="212">
        <f t="array" ref="X440">INDEX(INC_INCVALUES,$V440,$K$1)</f>
        <v>0.3</v>
      </c>
    </row>
    <row r="441" ht="15.75" customHeight="1">
      <c r="A441" s="435"/>
      <c r="B441" s="436"/>
      <c r="C441" s="95" t="str">
        <f t="array" ref="C441">IF(I441&gt;0,INDEX(DB,I441,8),"")</f>
        <v/>
      </c>
      <c r="D441" s="437">
        <f t="shared" si="1"/>
        <v>0</v>
      </c>
      <c r="F441" s="438">
        <f t="shared" si="2"/>
        <v>0</v>
      </c>
      <c r="G441" t="str">
        <f t="shared" si="3"/>
        <v/>
      </c>
      <c r="H441" t="b">
        <f t="shared" si="4"/>
        <v>0</v>
      </c>
      <c r="I441" s="439">
        <f>IF(OR(ISBLANK(A441),ISNA(MATCH(A441&amp;"",AthleteNumbers,0))),0,MATCH(A441&amp;"",AthleteNumbers,0))</f>
        <v>0</v>
      </c>
      <c r="J441" s="209">
        <f t="array" ref="J441">IF(I441&gt;0,INDEX(DB,$I441,6),0)</f>
        <v>0</v>
      </c>
      <c r="K441" s="440">
        <f t="shared" si="5"/>
        <v>0</v>
      </c>
      <c r="L441" s="440">
        <f t="shared" si="6"/>
        <v>0</v>
      </c>
      <c r="M441" s="441">
        <f>IF(AND(L441&gt;O441,O441&gt;0),MinPoints,IF(L441&lt;N441,100,+INT((O441-$L441)/P441)+MinPoints))</f>
        <v>100</v>
      </c>
      <c r="N441" s="440">
        <f t="shared" si="7"/>
        <v>7</v>
      </c>
      <c r="O441" s="440">
        <f t="shared" si="8"/>
        <v>16</v>
      </c>
      <c r="P441" s="440">
        <f t="shared" si="9"/>
        <v>0.1</v>
      </c>
      <c r="Q441">
        <f t="array" ref="Q441">IF(I441&gt;0,INDEX(DB,I441,9),EventIndex)</f>
        <v>6</v>
      </c>
      <c r="S441" s="442">
        <f t="array" ref="S441">INDEX(MINVALUES,$Q441,$K$1)</f>
        <v>16</v>
      </c>
      <c r="T441">
        <f t="array" ref="T441">INDEX(INCVALUES,$Q441,$K$1)</f>
        <v>0.1</v>
      </c>
      <c r="V441">
        <f t="array" ref="V441">+J441+(4*(INDEX(MatchScoreTable,$Q441,20)-1))</f>
        <v>4</v>
      </c>
      <c r="W441">
        <f t="array" ref="W441">INDEX(INC_MINVALUES,$V441,$K$1)</f>
        <v>34</v>
      </c>
      <c r="X441" s="212">
        <f t="array" ref="X441">INDEX(INC_INCVALUES,$V441,$K$1)</f>
        <v>0.3</v>
      </c>
    </row>
    <row r="442" ht="15.75" customHeight="1">
      <c r="A442" s="435"/>
      <c r="B442" s="436"/>
      <c r="C442" s="95" t="str">
        <f t="array" ref="C442">IF(I442&gt;0,INDEX(DB,I442,8),"")</f>
        <v/>
      </c>
      <c r="D442" s="437">
        <f t="shared" si="1"/>
        <v>0</v>
      </c>
      <c r="F442" s="438">
        <f t="shared" si="2"/>
        <v>0</v>
      </c>
      <c r="G442" t="str">
        <f t="shared" si="3"/>
        <v/>
      </c>
      <c r="H442" t="b">
        <f t="shared" si="4"/>
        <v>0</v>
      </c>
      <c r="I442" s="439">
        <f>IF(OR(ISBLANK(A442),ISNA(MATCH(A442&amp;"",AthleteNumbers,0))),0,MATCH(A442&amp;"",AthleteNumbers,0))</f>
        <v>0</v>
      </c>
      <c r="J442" s="209">
        <f t="array" ref="J442">IF(I442&gt;0,INDEX(DB,$I442,6),0)</f>
        <v>0</v>
      </c>
      <c r="K442" s="440">
        <f t="shared" si="5"/>
        <v>0</v>
      </c>
      <c r="L442" s="440">
        <f t="shared" si="6"/>
        <v>0</v>
      </c>
      <c r="M442" s="441">
        <f>IF(AND(L442&gt;O442,O442&gt;0),MinPoints,IF(L442&lt;N442,100,+INT((O442-$L442)/P442)+MinPoints))</f>
        <v>100</v>
      </c>
      <c r="N442" s="440">
        <f t="shared" si="7"/>
        <v>7</v>
      </c>
      <c r="O442" s="440">
        <f t="shared" si="8"/>
        <v>16</v>
      </c>
      <c r="P442" s="440">
        <f t="shared" si="9"/>
        <v>0.1</v>
      </c>
      <c r="Q442">
        <f t="array" ref="Q442">IF(I442&gt;0,INDEX(DB,I442,9),EventIndex)</f>
        <v>6</v>
      </c>
      <c r="S442" s="442">
        <f t="array" ref="S442">INDEX(MINVALUES,$Q442,$K$1)</f>
        <v>16</v>
      </c>
      <c r="T442">
        <f t="array" ref="T442">INDEX(INCVALUES,$Q442,$K$1)</f>
        <v>0.1</v>
      </c>
      <c r="V442">
        <f t="array" ref="V442">+J442+(4*(INDEX(MatchScoreTable,$Q442,20)-1))</f>
        <v>4</v>
      </c>
      <c r="W442">
        <f t="array" ref="W442">INDEX(INC_MINVALUES,$V442,$K$1)</f>
        <v>34</v>
      </c>
      <c r="X442" s="212">
        <f t="array" ref="X442">INDEX(INC_INCVALUES,$V442,$K$1)</f>
        <v>0.3</v>
      </c>
    </row>
    <row r="443" ht="15.75" customHeight="1">
      <c r="A443" s="435"/>
      <c r="B443" s="436"/>
      <c r="C443" s="95" t="str">
        <f t="array" ref="C443">IF(I443&gt;0,INDEX(DB,I443,8),"")</f>
        <v/>
      </c>
      <c r="D443" s="437">
        <f t="shared" si="1"/>
        <v>0</v>
      </c>
      <c r="F443" s="438">
        <f t="shared" si="2"/>
        <v>0</v>
      </c>
      <c r="G443" t="str">
        <f t="shared" si="3"/>
        <v/>
      </c>
      <c r="H443" t="b">
        <f t="shared" si="4"/>
        <v>0</v>
      </c>
      <c r="I443" s="439">
        <f>IF(OR(ISBLANK(A443),ISNA(MATCH(A443&amp;"",AthleteNumbers,0))),0,MATCH(A443&amp;"",AthleteNumbers,0))</f>
        <v>0</v>
      </c>
      <c r="J443" s="209">
        <f t="array" ref="J443">IF(I443&gt;0,INDEX(DB,$I443,6),0)</f>
        <v>0</v>
      </c>
      <c r="K443" s="440">
        <f t="shared" si="5"/>
        <v>0</v>
      </c>
      <c r="L443" s="440">
        <f t="shared" si="6"/>
        <v>0</v>
      </c>
      <c r="M443" s="441">
        <f>IF(AND(L443&gt;O443,O443&gt;0),MinPoints,IF(L443&lt;N443,100,+INT((O443-$L443)/P443)+MinPoints))</f>
        <v>100</v>
      </c>
      <c r="N443" s="440">
        <f t="shared" si="7"/>
        <v>7</v>
      </c>
      <c r="O443" s="440">
        <f t="shared" si="8"/>
        <v>16</v>
      </c>
      <c r="P443" s="440">
        <f t="shared" si="9"/>
        <v>0.1</v>
      </c>
      <c r="Q443">
        <f t="array" ref="Q443">IF(I443&gt;0,INDEX(DB,I443,9),EventIndex)</f>
        <v>6</v>
      </c>
      <c r="S443" s="442">
        <f t="array" ref="S443">INDEX(MINVALUES,$Q443,$K$1)</f>
        <v>16</v>
      </c>
      <c r="T443">
        <f t="array" ref="T443">INDEX(INCVALUES,$Q443,$K$1)</f>
        <v>0.1</v>
      </c>
      <c r="V443">
        <f t="array" ref="V443">+J443+(4*(INDEX(MatchScoreTable,$Q443,20)-1))</f>
        <v>4</v>
      </c>
      <c r="W443">
        <f t="array" ref="W443">INDEX(INC_MINVALUES,$V443,$K$1)</f>
        <v>34</v>
      </c>
      <c r="X443" s="212">
        <f t="array" ref="X443">INDEX(INC_INCVALUES,$V443,$K$1)</f>
        <v>0.3</v>
      </c>
    </row>
    <row r="444" ht="15.75" customHeight="1">
      <c r="A444" s="435"/>
      <c r="B444" s="436"/>
      <c r="C444" s="95" t="str">
        <f t="array" ref="C444">IF(I444&gt;0,INDEX(DB,I444,8),"")</f>
        <v/>
      </c>
      <c r="D444" s="437">
        <f t="shared" si="1"/>
        <v>0</v>
      </c>
      <c r="F444" s="438">
        <f t="shared" si="2"/>
        <v>0</v>
      </c>
      <c r="G444" t="str">
        <f t="shared" si="3"/>
        <v/>
      </c>
      <c r="H444" t="b">
        <f t="shared" si="4"/>
        <v>0</v>
      </c>
      <c r="I444" s="439">
        <f>IF(OR(ISBLANK(A444),ISNA(MATCH(A444&amp;"",AthleteNumbers,0))),0,MATCH(A444&amp;"",AthleteNumbers,0))</f>
        <v>0</v>
      </c>
      <c r="J444" s="209">
        <f t="array" ref="J444">IF(I444&gt;0,INDEX(DB,$I444,6),0)</f>
        <v>0</v>
      </c>
      <c r="K444" s="440">
        <f t="shared" si="5"/>
        <v>0</v>
      </c>
      <c r="L444" s="440">
        <f t="shared" si="6"/>
        <v>0</v>
      </c>
      <c r="M444" s="441">
        <f>IF(AND(L444&gt;O444,O444&gt;0),MinPoints,IF(L444&lt;N444,100,+INT((O444-$L444)/P444)+MinPoints))</f>
        <v>100</v>
      </c>
      <c r="N444" s="440">
        <f t="shared" si="7"/>
        <v>7</v>
      </c>
      <c r="O444" s="440">
        <f t="shared" si="8"/>
        <v>16</v>
      </c>
      <c r="P444" s="440">
        <f t="shared" si="9"/>
        <v>0.1</v>
      </c>
      <c r="Q444">
        <f t="array" ref="Q444">IF(I444&gt;0,INDEX(DB,I444,9),EventIndex)</f>
        <v>6</v>
      </c>
      <c r="S444" s="442">
        <f t="array" ref="S444">INDEX(MINVALUES,$Q444,$K$1)</f>
        <v>16</v>
      </c>
      <c r="T444">
        <f t="array" ref="T444">INDEX(INCVALUES,$Q444,$K$1)</f>
        <v>0.1</v>
      </c>
      <c r="V444">
        <f t="array" ref="V444">+J444+(4*(INDEX(MatchScoreTable,$Q444,20)-1))</f>
        <v>4</v>
      </c>
      <c r="W444">
        <f t="array" ref="W444">INDEX(INC_MINVALUES,$V444,$K$1)</f>
        <v>34</v>
      </c>
      <c r="X444" s="212">
        <f t="array" ref="X444">INDEX(INC_INCVALUES,$V444,$K$1)</f>
        <v>0.3</v>
      </c>
    </row>
    <row r="445" ht="15.75" customHeight="1">
      <c r="A445" s="435"/>
      <c r="B445" s="436"/>
      <c r="C445" s="95" t="str">
        <f t="array" ref="C445">IF(I445&gt;0,INDEX(DB,I445,8),"")</f>
        <v/>
      </c>
      <c r="D445" s="437">
        <f t="shared" si="1"/>
        <v>0</v>
      </c>
      <c r="F445" s="438">
        <f t="shared" si="2"/>
        <v>0</v>
      </c>
      <c r="G445" t="str">
        <f t="shared" si="3"/>
        <v/>
      </c>
      <c r="H445" t="b">
        <f t="shared" si="4"/>
        <v>0</v>
      </c>
      <c r="I445" s="439">
        <f>IF(OR(ISBLANK(A445),ISNA(MATCH(A445&amp;"",AthleteNumbers,0))),0,MATCH(A445&amp;"",AthleteNumbers,0))</f>
        <v>0</v>
      </c>
      <c r="J445" s="209">
        <f t="array" ref="J445">IF(I445&gt;0,INDEX(DB,$I445,6),0)</f>
        <v>0</v>
      </c>
      <c r="K445" s="440">
        <f t="shared" si="5"/>
        <v>0</v>
      </c>
      <c r="L445" s="440">
        <f t="shared" si="6"/>
        <v>0</v>
      </c>
      <c r="M445" s="441">
        <f>IF(AND(L445&gt;O445,O445&gt;0),MinPoints,IF(L445&lt;N445,100,+INT((O445-$L445)/P445)+MinPoints))</f>
        <v>100</v>
      </c>
      <c r="N445" s="440">
        <f t="shared" si="7"/>
        <v>7</v>
      </c>
      <c r="O445" s="440">
        <f t="shared" si="8"/>
        <v>16</v>
      </c>
      <c r="P445" s="440">
        <f t="shared" si="9"/>
        <v>0.1</v>
      </c>
      <c r="Q445">
        <f t="array" ref="Q445">IF(I445&gt;0,INDEX(DB,I445,9),EventIndex)</f>
        <v>6</v>
      </c>
      <c r="S445" s="442">
        <f t="array" ref="S445">INDEX(MINVALUES,$Q445,$K$1)</f>
        <v>16</v>
      </c>
      <c r="T445">
        <f t="array" ref="T445">INDEX(INCVALUES,$Q445,$K$1)</f>
        <v>0.1</v>
      </c>
      <c r="V445">
        <f t="array" ref="V445">+J445+(4*(INDEX(MatchScoreTable,$Q445,20)-1))</f>
        <v>4</v>
      </c>
      <c r="W445">
        <f t="array" ref="W445">INDEX(INC_MINVALUES,$V445,$K$1)</f>
        <v>34</v>
      </c>
      <c r="X445" s="212">
        <f t="array" ref="X445">INDEX(INC_INCVALUES,$V445,$K$1)</f>
        <v>0.3</v>
      </c>
    </row>
    <row r="446" ht="15.75" customHeight="1">
      <c r="A446" s="435"/>
      <c r="B446" s="436"/>
      <c r="C446" s="95" t="str">
        <f t="array" ref="C446">IF(I446&gt;0,INDEX(DB,I446,8),"")</f>
        <v/>
      </c>
      <c r="D446" s="437">
        <f t="shared" si="1"/>
        <v>0</v>
      </c>
      <c r="F446" s="438">
        <f t="shared" si="2"/>
        <v>0</v>
      </c>
      <c r="G446" t="str">
        <f t="shared" si="3"/>
        <v/>
      </c>
      <c r="H446" t="b">
        <f t="shared" si="4"/>
        <v>0</v>
      </c>
      <c r="I446" s="439">
        <f>IF(OR(ISBLANK(A446),ISNA(MATCH(A446&amp;"",AthleteNumbers,0))),0,MATCH(A446&amp;"",AthleteNumbers,0))</f>
        <v>0</v>
      </c>
      <c r="J446" s="209">
        <f t="array" ref="J446">IF(I446&gt;0,INDEX(DB,$I446,6),0)</f>
        <v>0</v>
      </c>
      <c r="K446" s="440">
        <f t="shared" si="5"/>
        <v>0</v>
      </c>
      <c r="L446" s="440">
        <f t="shared" si="6"/>
        <v>0</v>
      </c>
      <c r="M446" s="441">
        <f>IF(AND(L446&gt;O446,O446&gt;0),MinPoints,IF(L446&lt;N446,100,+INT((O446-$L446)/P446)+MinPoints))</f>
        <v>100</v>
      </c>
      <c r="N446" s="440">
        <f t="shared" si="7"/>
        <v>7</v>
      </c>
      <c r="O446" s="440">
        <f t="shared" si="8"/>
        <v>16</v>
      </c>
      <c r="P446" s="440">
        <f t="shared" si="9"/>
        <v>0.1</v>
      </c>
      <c r="Q446">
        <f t="array" ref="Q446">IF(I446&gt;0,INDEX(DB,I446,9),EventIndex)</f>
        <v>6</v>
      </c>
      <c r="S446" s="442">
        <f t="array" ref="S446">INDEX(MINVALUES,$Q446,$K$1)</f>
        <v>16</v>
      </c>
      <c r="T446">
        <f t="array" ref="T446">INDEX(INCVALUES,$Q446,$K$1)</f>
        <v>0.1</v>
      </c>
      <c r="V446">
        <f t="array" ref="V446">+J446+(4*(INDEX(MatchScoreTable,$Q446,20)-1))</f>
        <v>4</v>
      </c>
      <c r="W446">
        <f t="array" ref="W446">INDEX(INC_MINVALUES,$V446,$K$1)</f>
        <v>34</v>
      </c>
      <c r="X446" s="212">
        <f t="array" ref="X446">INDEX(INC_INCVALUES,$V446,$K$1)</f>
        <v>0.3</v>
      </c>
    </row>
    <row r="447" ht="15.75" customHeight="1">
      <c r="A447" s="435"/>
      <c r="B447" s="436"/>
      <c r="C447" s="95" t="str">
        <f t="array" ref="C447">IF(I447&gt;0,INDEX(DB,I447,8),"")</f>
        <v/>
      </c>
      <c r="D447" s="437">
        <f t="shared" si="1"/>
        <v>0</v>
      </c>
      <c r="F447" s="438">
        <f t="shared" si="2"/>
        <v>0</v>
      </c>
      <c r="G447" t="str">
        <f t="shared" si="3"/>
        <v/>
      </c>
      <c r="H447" t="b">
        <f t="shared" si="4"/>
        <v>0</v>
      </c>
      <c r="I447" s="439">
        <f>IF(OR(ISBLANK(A447),ISNA(MATCH(A447&amp;"",AthleteNumbers,0))),0,MATCH(A447&amp;"",AthleteNumbers,0))</f>
        <v>0</v>
      </c>
      <c r="J447" s="209">
        <f t="array" ref="J447">IF(I447&gt;0,INDEX(DB,$I447,6),0)</f>
        <v>0</v>
      </c>
      <c r="K447" s="440">
        <f t="shared" si="5"/>
        <v>0</v>
      </c>
      <c r="L447" s="440">
        <f t="shared" si="6"/>
        <v>0</v>
      </c>
      <c r="M447" s="441">
        <f>IF(AND(L447&gt;O447,O447&gt;0),MinPoints,IF(L447&lt;N447,100,+INT((O447-$L447)/P447)+MinPoints))</f>
        <v>100</v>
      </c>
      <c r="N447" s="440">
        <f t="shared" si="7"/>
        <v>7</v>
      </c>
      <c r="O447" s="440">
        <f t="shared" si="8"/>
        <v>16</v>
      </c>
      <c r="P447" s="440">
        <f t="shared" si="9"/>
        <v>0.1</v>
      </c>
      <c r="Q447">
        <f t="array" ref="Q447">IF(I447&gt;0,INDEX(DB,I447,9),EventIndex)</f>
        <v>6</v>
      </c>
      <c r="S447" s="442">
        <f t="array" ref="S447">INDEX(MINVALUES,$Q447,$K$1)</f>
        <v>16</v>
      </c>
      <c r="T447">
        <f t="array" ref="T447">INDEX(INCVALUES,$Q447,$K$1)</f>
        <v>0.1</v>
      </c>
      <c r="V447">
        <f t="array" ref="V447">+J447+(4*(INDEX(MatchScoreTable,$Q447,20)-1))</f>
        <v>4</v>
      </c>
      <c r="W447">
        <f t="array" ref="W447">INDEX(INC_MINVALUES,$V447,$K$1)</f>
        <v>34</v>
      </c>
      <c r="X447" s="212">
        <f t="array" ref="X447">INDEX(INC_INCVALUES,$V447,$K$1)</f>
        <v>0.3</v>
      </c>
    </row>
    <row r="448" ht="15.75" customHeight="1">
      <c r="A448" s="435"/>
      <c r="B448" s="436"/>
      <c r="C448" s="95" t="str">
        <f t="array" ref="C448">IF(I448&gt;0,INDEX(DB,I448,8),"")</f>
        <v/>
      </c>
      <c r="D448" s="437">
        <f t="shared" si="1"/>
        <v>0</v>
      </c>
      <c r="F448" s="438">
        <f t="shared" si="2"/>
        <v>0</v>
      </c>
      <c r="G448" t="str">
        <f t="shared" si="3"/>
        <v/>
      </c>
      <c r="H448" t="b">
        <f t="shared" si="4"/>
        <v>0</v>
      </c>
      <c r="I448" s="439">
        <f>IF(OR(ISBLANK(A448),ISNA(MATCH(A448&amp;"",AthleteNumbers,0))),0,MATCH(A448&amp;"",AthleteNumbers,0))</f>
        <v>0</v>
      </c>
      <c r="J448" s="209">
        <f t="array" ref="J448">IF(I448&gt;0,INDEX(DB,$I448,6),0)</f>
        <v>0</v>
      </c>
      <c r="K448" s="440">
        <f t="shared" si="5"/>
        <v>0</v>
      </c>
      <c r="L448" s="440">
        <f t="shared" si="6"/>
        <v>0</v>
      </c>
      <c r="M448" s="441">
        <f>IF(AND(L448&gt;O448,O448&gt;0),MinPoints,IF(L448&lt;N448,100,+INT((O448-$L448)/P448)+MinPoints))</f>
        <v>100</v>
      </c>
      <c r="N448" s="440">
        <f t="shared" si="7"/>
        <v>7</v>
      </c>
      <c r="O448" s="440">
        <f t="shared" si="8"/>
        <v>16</v>
      </c>
      <c r="P448" s="440">
        <f t="shared" si="9"/>
        <v>0.1</v>
      </c>
      <c r="Q448">
        <f t="array" ref="Q448">IF(I448&gt;0,INDEX(DB,I448,9),EventIndex)</f>
        <v>6</v>
      </c>
      <c r="S448" s="442">
        <f t="array" ref="S448">INDEX(MINVALUES,$Q448,$K$1)</f>
        <v>16</v>
      </c>
      <c r="T448">
        <f t="array" ref="T448">INDEX(INCVALUES,$Q448,$K$1)</f>
        <v>0.1</v>
      </c>
      <c r="V448">
        <f t="array" ref="V448">+J448+(4*(INDEX(MatchScoreTable,$Q448,20)-1))</f>
        <v>4</v>
      </c>
      <c r="W448">
        <f t="array" ref="W448">INDEX(INC_MINVALUES,$V448,$K$1)</f>
        <v>34</v>
      </c>
      <c r="X448" s="212">
        <f t="array" ref="X448">INDEX(INC_INCVALUES,$V448,$K$1)</f>
        <v>0.3</v>
      </c>
    </row>
    <row r="449" ht="15.75" customHeight="1">
      <c r="A449" s="435"/>
      <c r="B449" s="436"/>
      <c r="C449" s="95" t="str">
        <f t="array" ref="C449">IF(I449&gt;0,INDEX(DB,I449,8),"")</f>
        <v/>
      </c>
      <c r="D449" s="437">
        <f t="shared" si="1"/>
        <v>0</v>
      </c>
      <c r="F449" s="438">
        <f t="shared" si="2"/>
        <v>0</v>
      </c>
      <c r="G449" t="str">
        <f t="shared" si="3"/>
        <v/>
      </c>
      <c r="H449" t="b">
        <f t="shared" si="4"/>
        <v>0</v>
      </c>
      <c r="I449" s="439">
        <f>IF(OR(ISBLANK(A449),ISNA(MATCH(A449&amp;"",AthleteNumbers,0))),0,MATCH(A449&amp;"",AthleteNumbers,0))</f>
        <v>0</v>
      </c>
      <c r="J449" s="209">
        <f t="array" ref="J449">IF(I449&gt;0,INDEX(DB,$I449,6),0)</f>
        <v>0</v>
      </c>
      <c r="K449" s="440">
        <f t="shared" si="5"/>
        <v>0</v>
      </c>
      <c r="L449" s="440">
        <f t="shared" si="6"/>
        <v>0</v>
      </c>
      <c r="M449" s="441">
        <f>IF(AND(L449&gt;O449,O449&gt;0),MinPoints,IF(L449&lt;N449,100,+INT((O449-$L449)/P449)+MinPoints))</f>
        <v>100</v>
      </c>
      <c r="N449" s="440">
        <f t="shared" si="7"/>
        <v>7</v>
      </c>
      <c r="O449" s="440">
        <f t="shared" si="8"/>
        <v>16</v>
      </c>
      <c r="P449" s="440">
        <f t="shared" si="9"/>
        <v>0.1</v>
      </c>
      <c r="Q449">
        <f t="array" ref="Q449">IF(I449&gt;0,INDEX(DB,I449,9),EventIndex)</f>
        <v>6</v>
      </c>
      <c r="S449" s="442">
        <f t="array" ref="S449">INDEX(MINVALUES,$Q449,$K$1)</f>
        <v>16</v>
      </c>
      <c r="T449">
        <f t="array" ref="T449">INDEX(INCVALUES,$Q449,$K$1)</f>
        <v>0.1</v>
      </c>
      <c r="V449">
        <f t="array" ref="V449">+J449+(4*(INDEX(MatchScoreTable,$Q449,20)-1))</f>
        <v>4</v>
      </c>
      <c r="W449">
        <f t="array" ref="W449">INDEX(INC_MINVALUES,$V449,$K$1)</f>
        <v>34</v>
      </c>
      <c r="X449" s="212">
        <f t="array" ref="X449">INDEX(INC_INCVALUES,$V449,$K$1)</f>
        <v>0.3</v>
      </c>
    </row>
    <row r="450" ht="15.75" customHeight="1">
      <c r="A450" s="435"/>
      <c r="B450" s="436"/>
      <c r="C450" s="95" t="str">
        <f t="array" ref="C450">IF(I450&gt;0,INDEX(DB,I450,8),"")</f>
        <v/>
      </c>
      <c r="D450" s="437">
        <f t="shared" si="1"/>
        <v>0</v>
      </c>
      <c r="F450" s="438">
        <f t="shared" si="2"/>
        <v>0</v>
      </c>
      <c r="G450" t="str">
        <f t="shared" si="3"/>
        <v/>
      </c>
      <c r="H450" t="b">
        <f t="shared" si="4"/>
        <v>0</v>
      </c>
      <c r="I450" s="439">
        <f>IF(OR(ISBLANK(A450),ISNA(MATCH(A450&amp;"",AthleteNumbers,0))),0,MATCH(A450&amp;"",AthleteNumbers,0))</f>
        <v>0</v>
      </c>
      <c r="J450" s="209">
        <f t="array" ref="J450">IF(I450&gt;0,INDEX(DB,$I450,6),0)</f>
        <v>0</v>
      </c>
      <c r="K450" s="440">
        <f t="shared" si="5"/>
        <v>0</v>
      </c>
      <c r="L450" s="440">
        <f t="shared" si="6"/>
        <v>0</v>
      </c>
      <c r="M450" s="441">
        <f>IF(AND(L450&gt;O450,O450&gt;0),MinPoints,IF(L450&lt;N450,100,+INT((O450-$L450)/P450)+MinPoints))</f>
        <v>100</v>
      </c>
      <c r="N450" s="440">
        <f t="shared" si="7"/>
        <v>7</v>
      </c>
      <c r="O450" s="440">
        <f t="shared" si="8"/>
        <v>16</v>
      </c>
      <c r="P450" s="440">
        <f t="shared" si="9"/>
        <v>0.1</v>
      </c>
      <c r="Q450">
        <f t="array" ref="Q450">IF(I450&gt;0,INDEX(DB,I450,9),EventIndex)</f>
        <v>6</v>
      </c>
      <c r="S450" s="442">
        <f t="array" ref="S450">INDEX(MINVALUES,$Q450,$K$1)</f>
        <v>16</v>
      </c>
      <c r="T450">
        <f t="array" ref="T450">INDEX(INCVALUES,$Q450,$K$1)</f>
        <v>0.1</v>
      </c>
      <c r="V450">
        <f t="array" ref="V450">+J450+(4*(INDEX(MatchScoreTable,$Q450,20)-1))</f>
        <v>4</v>
      </c>
      <c r="W450">
        <f t="array" ref="W450">INDEX(INC_MINVALUES,$V450,$K$1)</f>
        <v>34</v>
      </c>
      <c r="X450" s="212">
        <f t="array" ref="X450">INDEX(INC_INCVALUES,$V450,$K$1)</f>
        <v>0.3</v>
      </c>
    </row>
    <row r="451" ht="15.75" customHeight="1">
      <c r="A451" s="435"/>
      <c r="B451" s="436"/>
      <c r="C451" s="95" t="str">
        <f t="array" ref="C451">IF(I451&gt;0,INDEX(DB,I451,8),"")</f>
        <v/>
      </c>
      <c r="D451" s="437">
        <f t="shared" si="1"/>
        <v>0</v>
      </c>
      <c r="F451" s="438">
        <f t="shared" si="2"/>
        <v>0</v>
      </c>
      <c r="G451" t="str">
        <f t="shared" si="3"/>
        <v/>
      </c>
      <c r="H451" t="b">
        <f t="shared" si="4"/>
        <v>0</v>
      </c>
      <c r="I451" s="439">
        <f>IF(OR(ISBLANK(A451),ISNA(MATCH(A451&amp;"",AthleteNumbers,0))),0,MATCH(A451&amp;"",AthleteNumbers,0))</f>
        <v>0</v>
      </c>
      <c r="J451" s="209">
        <f t="array" ref="J451">IF(I451&gt;0,INDEX(DB,$I451,6),0)</f>
        <v>0</v>
      </c>
      <c r="K451" s="440">
        <f t="shared" si="5"/>
        <v>0</v>
      </c>
      <c r="L451" s="440">
        <f t="shared" si="6"/>
        <v>0</v>
      </c>
      <c r="M451" s="441">
        <f>IF(AND(L451&gt;O451,O451&gt;0),MinPoints,IF(L451&lt;N451,100,+INT((O451-$L451)/P451)+MinPoints))</f>
        <v>100</v>
      </c>
      <c r="N451" s="440">
        <f t="shared" si="7"/>
        <v>7</v>
      </c>
      <c r="O451" s="440">
        <f t="shared" si="8"/>
        <v>16</v>
      </c>
      <c r="P451" s="440">
        <f t="shared" si="9"/>
        <v>0.1</v>
      </c>
      <c r="Q451">
        <f t="array" ref="Q451">IF(I451&gt;0,INDEX(DB,I451,9),EventIndex)</f>
        <v>6</v>
      </c>
      <c r="S451" s="442">
        <f t="array" ref="S451">INDEX(MINVALUES,$Q451,$K$1)</f>
        <v>16</v>
      </c>
      <c r="T451">
        <f t="array" ref="T451">INDEX(INCVALUES,$Q451,$K$1)</f>
        <v>0.1</v>
      </c>
      <c r="V451">
        <f t="array" ref="V451">+J451+(4*(INDEX(MatchScoreTable,$Q451,20)-1))</f>
        <v>4</v>
      </c>
      <c r="W451">
        <f t="array" ref="W451">INDEX(INC_MINVALUES,$V451,$K$1)</f>
        <v>34</v>
      </c>
      <c r="X451" s="212">
        <f t="array" ref="X451">INDEX(INC_INCVALUES,$V451,$K$1)</f>
        <v>0.3</v>
      </c>
    </row>
    <row r="452" ht="15.75" customHeight="1">
      <c r="A452" s="435"/>
      <c r="B452" s="436"/>
      <c r="C452" s="95" t="str">
        <f t="array" ref="C452">IF(I452&gt;0,INDEX(DB,I452,8),"")</f>
        <v/>
      </c>
      <c r="D452" s="437">
        <f t="shared" si="1"/>
        <v>0</v>
      </c>
      <c r="F452" s="438">
        <f t="shared" si="2"/>
        <v>0</v>
      </c>
      <c r="G452" t="str">
        <f t="shared" si="3"/>
        <v/>
      </c>
      <c r="H452" t="b">
        <f t="shared" si="4"/>
        <v>0</v>
      </c>
      <c r="I452" s="439">
        <f>IF(OR(ISBLANK(A452),ISNA(MATCH(A452&amp;"",AthleteNumbers,0))),0,MATCH(A452&amp;"",AthleteNumbers,0))</f>
        <v>0</v>
      </c>
      <c r="J452" s="209">
        <f t="array" ref="J452">IF(I452&gt;0,INDEX(DB,$I452,6),0)</f>
        <v>0</v>
      </c>
      <c r="K452" s="440">
        <f t="shared" si="5"/>
        <v>0</v>
      </c>
      <c r="L452" s="440">
        <f t="shared" si="6"/>
        <v>0</v>
      </c>
      <c r="M452" s="441">
        <f>IF(AND(L452&gt;O452,O452&gt;0),MinPoints,IF(L452&lt;N452,100,+INT((O452-$L452)/P452)+MinPoints))</f>
        <v>100</v>
      </c>
      <c r="N452" s="440">
        <f t="shared" si="7"/>
        <v>7</v>
      </c>
      <c r="O452" s="440">
        <f t="shared" si="8"/>
        <v>16</v>
      </c>
      <c r="P452" s="440">
        <f t="shared" si="9"/>
        <v>0.1</v>
      </c>
      <c r="Q452">
        <f t="array" ref="Q452">IF(I452&gt;0,INDEX(DB,I452,9),EventIndex)</f>
        <v>6</v>
      </c>
      <c r="S452" s="442">
        <f t="array" ref="S452">INDEX(MINVALUES,$Q452,$K$1)</f>
        <v>16</v>
      </c>
      <c r="T452">
        <f t="array" ref="T452">INDEX(INCVALUES,$Q452,$K$1)</f>
        <v>0.1</v>
      </c>
      <c r="V452">
        <f t="array" ref="V452">+J452+(4*(INDEX(MatchScoreTable,$Q452,20)-1))</f>
        <v>4</v>
      </c>
      <c r="W452">
        <f t="array" ref="W452">INDEX(INC_MINVALUES,$V452,$K$1)</f>
        <v>34</v>
      </c>
      <c r="X452" s="212">
        <f t="array" ref="X452">INDEX(INC_INCVALUES,$V452,$K$1)</f>
        <v>0.3</v>
      </c>
    </row>
    <row r="453" ht="15.75" customHeight="1">
      <c r="A453" s="435"/>
      <c r="B453" s="436"/>
      <c r="C453" s="95" t="str">
        <f t="array" ref="C453">IF(I453&gt;0,INDEX(DB,I453,8),"")</f>
        <v/>
      </c>
      <c r="D453" s="437">
        <f t="shared" si="1"/>
        <v>0</v>
      </c>
      <c r="F453" s="438">
        <f t="shared" si="2"/>
        <v>0</v>
      </c>
      <c r="G453" t="str">
        <f t="shared" si="3"/>
        <v/>
      </c>
      <c r="H453" t="b">
        <f t="shared" si="4"/>
        <v>0</v>
      </c>
      <c r="I453" s="439">
        <f>IF(OR(ISBLANK(A453),ISNA(MATCH(A453&amp;"",AthleteNumbers,0))),0,MATCH(A453&amp;"",AthleteNumbers,0))</f>
        <v>0</v>
      </c>
      <c r="J453" s="209">
        <f t="array" ref="J453">IF(I453&gt;0,INDEX(DB,$I453,6),0)</f>
        <v>0</v>
      </c>
      <c r="K453" s="440">
        <f t="shared" si="5"/>
        <v>0</v>
      </c>
      <c r="L453" s="440">
        <f t="shared" si="6"/>
        <v>0</v>
      </c>
      <c r="M453" s="441">
        <f>IF(AND(L453&gt;O453,O453&gt;0),MinPoints,IF(L453&lt;N453,100,+INT((O453-$L453)/P453)+MinPoints))</f>
        <v>100</v>
      </c>
      <c r="N453" s="440">
        <f t="shared" si="7"/>
        <v>7</v>
      </c>
      <c r="O453" s="440">
        <f t="shared" si="8"/>
        <v>16</v>
      </c>
      <c r="P453" s="440">
        <f t="shared" si="9"/>
        <v>0.1</v>
      </c>
      <c r="Q453">
        <f t="array" ref="Q453">IF(I453&gt;0,INDEX(DB,I453,9),EventIndex)</f>
        <v>6</v>
      </c>
      <c r="S453" s="442">
        <f t="array" ref="S453">INDEX(MINVALUES,$Q453,$K$1)</f>
        <v>16</v>
      </c>
      <c r="T453">
        <f t="array" ref="T453">INDEX(INCVALUES,$Q453,$K$1)</f>
        <v>0.1</v>
      </c>
      <c r="V453">
        <f t="array" ref="V453">+J453+(4*(INDEX(MatchScoreTable,$Q453,20)-1))</f>
        <v>4</v>
      </c>
      <c r="W453">
        <f t="array" ref="W453">INDEX(INC_MINVALUES,$V453,$K$1)</f>
        <v>34</v>
      </c>
      <c r="X453" s="212">
        <f t="array" ref="X453">INDEX(INC_INCVALUES,$V453,$K$1)</f>
        <v>0.3</v>
      </c>
    </row>
    <row r="454" ht="15.75" customHeight="1">
      <c r="A454" s="435"/>
      <c r="B454" s="436"/>
      <c r="C454" s="95" t="str">
        <f t="array" ref="C454">IF(I454&gt;0,INDEX(DB,I454,8),"")</f>
        <v/>
      </c>
      <c r="D454" s="437">
        <f t="shared" si="1"/>
        <v>0</v>
      </c>
      <c r="F454" s="438">
        <f t="shared" si="2"/>
        <v>0</v>
      </c>
      <c r="G454" t="str">
        <f t="shared" si="3"/>
        <v/>
      </c>
      <c r="H454" t="b">
        <f t="shared" si="4"/>
        <v>0</v>
      </c>
      <c r="I454" s="439">
        <f>IF(OR(ISBLANK(A454),ISNA(MATCH(A454&amp;"",AthleteNumbers,0))),0,MATCH(A454&amp;"",AthleteNumbers,0))</f>
        <v>0</v>
      </c>
      <c r="J454" s="209">
        <f t="array" ref="J454">IF(I454&gt;0,INDEX(DB,$I454,6),0)</f>
        <v>0</v>
      </c>
      <c r="K454" s="440">
        <f t="shared" si="5"/>
        <v>0</v>
      </c>
      <c r="L454" s="440">
        <f t="shared" si="6"/>
        <v>0</v>
      </c>
      <c r="M454" s="441">
        <f>IF(AND(L454&gt;O454,O454&gt;0),MinPoints,IF(L454&lt;N454,100,+INT((O454-$L454)/P454)+MinPoints))</f>
        <v>100</v>
      </c>
      <c r="N454" s="440">
        <f t="shared" si="7"/>
        <v>7</v>
      </c>
      <c r="O454" s="440">
        <f t="shared" si="8"/>
        <v>16</v>
      </c>
      <c r="P454" s="440">
        <f t="shared" si="9"/>
        <v>0.1</v>
      </c>
      <c r="Q454">
        <f t="array" ref="Q454">IF(I454&gt;0,INDEX(DB,I454,9),EventIndex)</f>
        <v>6</v>
      </c>
      <c r="S454" s="442">
        <f t="array" ref="S454">INDEX(MINVALUES,$Q454,$K$1)</f>
        <v>16</v>
      </c>
      <c r="T454">
        <f t="array" ref="T454">INDEX(INCVALUES,$Q454,$K$1)</f>
        <v>0.1</v>
      </c>
      <c r="V454">
        <f t="array" ref="V454">+J454+(4*(INDEX(MatchScoreTable,$Q454,20)-1))</f>
        <v>4</v>
      </c>
      <c r="W454">
        <f t="array" ref="W454">INDEX(INC_MINVALUES,$V454,$K$1)</f>
        <v>34</v>
      </c>
      <c r="X454" s="212">
        <f t="array" ref="X454">INDEX(INC_INCVALUES,$V454,$K$1)</f>
        <v>0.3</v>
      </c>
    </row>
    <row r="455" ht="15.75" customHeight="1">
      <c r="A455" s="435"/>
      <c r="B455" s="436"/>
      <c r="C455" s="95" t="str">
        <f t="array" ref="C455">IF(I455&gt;0,INDEX(DB,I455,8),"")</f>
        <v/>
      </c>
      <c r="D455" s="437">
        <f t="shared" si="1"/>
        <v>0</v>
      </c>
      <c r="F455" s="438">
        <f t="shared" si="2"/>
        <v>0</v>
      </c>
      <c r="G455" t="str">
        <f t="shared" si="3"/>
        <v/>
      </c>
      <c r="H455" t="b">
        <f t="shared" si="4"/>
        <v>0</v>
      </c>
      <c r="I455" s="439">
        <f>IF(OR(ISBLANK(A455),ISNA(MATCH(A455&amp;"",AthleteNumbers,0))),0,MATCH(A455&amp;"",AthleteNumbers,0))</f>
        <v>0</v>
      </c>
      <c r="J455" s="209">
        <f t="array" ref="J455">IF(I455&gt;0,INDEX(DB,$I455,6),0)</f>
        <v>0</v>
      </c>
      <c r="K455" s="440">
        <f t="shared" si="5"/>
        <v>0</v>
      </c>
      <c r="L455" s="440">
        <f t="shared" si="6"/>
        <v>0</v>
      </c>
      <c r="M455" s="441">
        <f>IF(AND(L455&gt;O455,O455&gt;0),MinPoints,IF(L455&lt;N455,100,+INT((O455-$L455)/P455)+MinPoints))</f>
        <v>100</v>
      </c>
      <c r="N455" s="440">
        <f t="shared" si="7"/>
        <v>7</v>
      </c>
      <c r="O455" s="440">
        <f t="shared" si="8"/>
        <v>16</v>
      </c>
      <c r="P455" s="440">
        <f t="shared" si="9"/>
        <v>0.1</v>
      </c>
      <c r="Q455">
        <f t="array" ref="Q455">IF(I455&gt;0,INDEX(DB,I455,9),EventIndex)</f>
        <v>6</v>
      </c>
      <c r="S455" s="442">
        <f t="array" ref="S455">INDEX(MINVALUES,$Q455,$K$1)</f>
        <v>16</v>
      </c>
      <c r="T455">
        <f t="array" ref="T455">INDEX(INCVALUES,$Q455,$K$1)</f>
        <v>0.1</v>
      </c>
      <c r="V455">
        <f t="array" ref="V455">+J455+(4*(INDEX(MatchScoreTable,$Q455,20)-1))</f>
        <v>4</v>
      </c>
      <c r="W455">
        <f t="array" ref="W455">INDEX(INC_MINVALUES,$V455,$K$1)</f>
        <v>34</v>
      </c>
      <c r="X455" s="212">
        <f t="array" ref="X455">INDEX(INC_INCVALUES,$V455,$K$1)</f>
        <v>0.3</v>
      </c>
    </row>
    <row r="456" ht="15.75" customHeight="1">
      <c r="A456" s="435"/>
      <c r="B456" s="436"/>
      <c r="C456" s="95" t="str">
        <f t="array" ref="C456">IF(I456&gt;0,INDEX(DB,I456,8),"")</f>
        <v/>
      </c>
      <c r="D456" s="437">
        <f t="shared" si="1"/>
        <v>0</v>
      </c>
      <c r="F456" s="438">
        <f t="shared" si="2"/>
        <v>0</v>
      </c>
      <c r="G456" t="str">
        <f t="shared" si="3"/>
        <v/>
      </c>
      <c r="H456" t="b">
        <f t="shared" si="4"/>
        <v>0</v>
      </c>
      <c r="I456" s="439">
        <f>IF(OR(ISBLANK(A456),ISNA(MATCH(A456&amp;"",AthleteNumbers,0))),0,MATCH(A456&amp;"",AthleteNumbers,0))</f>
        <v>0</v>
      </c>
      <c r="J456" s="209">
        <f t="array" ref="J456">IF(I456&gt;0,INDEX(DB,$I456,6),0)</f>
        <v>0</v>
      </c>
      <c r="K456" s="440">
        <f t="shared" si="5"/>
        <v>0</v>
      </c>
      <c r="L456" s="440">
        <f t="shared" si="6"/>
        <v>0</v>
      </c>
      <c r="M456" s="441">
        <f>IF(AND(L456&gt;O456,O456&gt;0),MinPoints,IF(L456&lt;N456,100,+INT((O456-$L456)/P456)+MinPoints))</f>
        <v>100</v>
      </c>
      <c r="N456" s="440">
        <f t="shared" si="7"/>
        <v>7</v>
      </c>
      <c r="O456" s="440">
        <f t="shared" si="8"/>
        <v>16</v>
      </c>
      <c r="P456" s="440">
        <f t="shared" si="9"/>
        <v>0.1</v>
      </c>
      <c r="Q456">
        <f t="array" ref="Q456">IF(I456&gt;0,INDEX(DB,I456,9),EventIndex)</f>
        <v>6</v>
      </c>
      <c r="S456" s="442">
        <f t="array" ref="S456">INDEX(MINVALUES,$Q456,$K$1)</f>
        <v>16</v>
      </c>
      <c r="T456">
        <f t="array" ref="T456">INDEX(INCVALUES,$Q456,$K$1)</f>
        <v>0.1</v>
      </c>
      <c r="V456">
        <f t="array" ref="V456">+J456+(4*(INDEX(MatchScoreTable,$Q456,20)-1))</f>
        <v>4</v>
      </c>
      <c r="W456">
        <f t="array" ref="W456">INDEX(INC_MINVALUES,$V456,$K$1)</f>
        <v>34</v>
      </c>
      <c r="X456" s="212">
        <f t="array" ref="X456">INDEX(INC_INCVALUES,$V456,$K$1)</f>
        <v>0.3</v>
      </c>
    </row>
    <row r="457" ht="15.75" customHeight="1">
      <c r="A457" s="435"/>
      <c r="B457" s="436"/>
      <c r="C457" s="95" t="str">
        <f t="array" ref="C457">IF(I457&gt;0,INDEX(DB,I457,8),"")</f>
        <v/>
      </c>
      <c r="D457" s="437">
        <f t="shared" si="1"/>
        <v>0</v>
      </c>
      <c r="F457" s="438">
        <f t="shared" si="2"/>
        <v>0</v>
      </c>
      <c r="G457" t="str">
        <f t="shared" si="3"/>
        <v/>
      </c>
      <c r="H457" t="b">
        <f t="shared" si="4"/>
        <v>0</v>
      </c>
      <c r="I457" s="439">
        <f>IF(OR(ISBLANK(A457),ISNA(MATCH(A457&amp;"",AthleteNumbers,0))),0,MATCH(A457&amp;"",AthleteNumbers,0))</f>
        <v>0</v>
      </c>
      <c r="J457" s="209">
        <f t="array" ref="J457">IF(I457&gt;0,INDEX(DB,$I457,6),0)</f>
        <v>0</v>
      </c>
      <c r="K457" s="440">
        <f t="shared" si="5"/>
        <v>0</v>
      </c>
      <c r="L457" s="440">
        <f t="shared" si="6"/>
        <v>0</v>
      </c>
      <c r="M457" s="441">
        <f>IF(AND(L457&gt;O457,O457&gt;0),MinPoints,IF(L457&lt;N457,100,+INT((O457-$L457)/P457)+MinPoints))</f>
        <v>100</v>
      </c>
      <c r="N457" s="440">
        <f t="shared" si="7"/>
        <v>7</v>
      </c>
      <c r="O457" s="440">
        <f t="shared" si="8"/>
        <v>16</v>
      </c>
      <c r="P457" s="440">
        <f t="shared" si="9"/>
        <v>0.1</v>
      </c>
      <c r="Q457">
        <f t="array" ref="Q457">IF(I457&gt;0,INDEX(DB,I457,9),EventIndex)</f>
        <v>6</v>
      </c>
      <c r="S457" s="442">
        <f t="array" ref="S457">INDEX(MINVALUES,$Q457,$K$1)</f>
        <v>16</v>
      </c>
      <c r="T457">
        <f t="array" ref="T457">INDEX(INCVALUES,$Q457,$K$1)</f>
        <v>0.1</v>
      </c>
      <c r="V457">
        <f t="array" ref="V457">+J457+(4*(INDEX(MatchScoreTable,$Q457,20)-1))</f>
        <v>4</v>
      </c>
      <c r="W457">
        <f t="array" ref="W457">INDEX(INC_MINVALUES,$V457,$K$1)</f>
        <v>34</v>
      </c>
      <c r="X457" s="212">
        <f t="array" ref="X457">INDEX(INC_INCVALUES,$V457,$K$1)</f>
        <v>0.3</v>
      </c>
    </row>
    <row r="458" ht="15.75" customHeight="1">
      <c r="A458" s="435"/>
      <c r="B458" s="436"/>
      <c r="C458" s="95" t="str">
        <f t="array" ref="C458">IF(I458&gt;0,INDEX(DB,I458,8),"")</f>
        <v/>
      </c>
      <c r="D458" s="437">
        <f t="shared" si="1"/>
        <v>0</v>
      </c>
      <c r="F458" s="438">
        <f t="shared" si="2"/>
        <v>0</v>
      </c>
      <c r="G458" t="str">
        <f t="shared" si="3"/>
        <v/>
      </c>
      <c r="H458" t="b">
        <f t="shared" si="4"/>
        <v>0</v>
      </c>
      <c r="I458" s="439">
        <f>IF(OR(ISBLANK(A458),ISNA(MATCH(A458&amp;"",AthleteNumbers,0))),0,MATCH(A458&amp;"",AthleteNumbers,0))</f>
        <v>0</v>
      </c>
      <c r="J458" s="209">
        <f t="array" ref="J458">IF(I458&gt;0,INDEX(DB,$I458,6),0)</f>
        <v>0</v>
      </c>
      <c r="K458" s="440">
        <f t="shared" si="5"/>
        <v>0</v>
      </c>
      <c r="L458" s="440">
        <f t="shared" si="6"/>
        <v>0</v>
      </c>
      <c r="M458" s="441">
        <f>IF(AND(L458&gt;O458,O458&gt;0),MinPoints,IF(L458&lt;N458,100,+INT((O458-$L458)/P458)+MinPoints))</f>
        <v>100</v>
      </c>
      <c r="N458" s="440">
        <f t="shared" si="7"/>
        <v>7</v>
      </c>
      <c r="O458" s="440">
        <f t="shared" si="8"/>
        <v>16</v>
      </c>
      <c r="P458" s="440">
        <f t="shared" si="9"/>
        <v>0.1</v>
      </c>
      <c r="Q458">
        <f t="array" ref="Q458">IF(I458&gt;0,INDEX(DB,I458,9),EventIndex)</f>
        <v>6</v>
      </c>
      <c r="S458" s="442">
        <f t="array" ref="S458">INDEX(MINVALUES,$Q458,$K$1)</f>
        <v>16</v>
      </c>
      <c r="T458">
        <f t="array" ref="T458">INDEX(INCVALUES,$Q458,$K$1)</f>
        <v>0.1</v>
      </c>
      <c r="V458">
        <f t="array" ref="V458">+J458+(4*(INDEX(MatchScoreTable,$Q458,20)-1))</f>
        <v>4</v>
      </c>
      <c r="W458">
        <f t="array" ref="W458">INDEX(INC_MINVALUES,$V458,$K$1)</f>
        <v>34</v>
      </c>
      <c r="X458" s="212">
        <f t="array" ref="X458">INDEX(INC_INCVALUES,$V458,$K$1)</f>
        <v>0.3</v>
      </c>
    </row>
    <row r="459" ht="15.75" customHeight="1">
      <c r="A459" s="435"/>
      <c r="B459" s="436"/>
      <c r="C459" s="95" t="str">
        <f t="array" ref="C459">IF(I459&gt;0,INDEX(DB,I459,8),"")</f>
        <v/>
      </c>
      <c r="D459" s="437">
        <f t="shared" si="1"/>
        <v>0</v>
      </c>
      <c r="F459" s="438">
        <f t="shared" si="2"/>
        <v>0</v>
      </c>
      <c r="G459" t="str">
        <f t="shared" si="3"/>
        <v/>
      </c>
      <c r="H459" t="b">
        <f t="shared" si="4"/>
        <v>0</v>
      </c>
      <c r="I459" s="439">
        <f>IF(OR(ISBLANK(A459),ISNA(MATCH(A459&amp;"",AthleteNumbers,0))),0,MATCH(A459&amp;"",AthleteNumbers,0))</f>
        <v>0</v>
      </c>
      <c r="J459" s="209">
        <f t="array" ref="J459">IF(I459&gt;0,INDEX(DB,$I459,6),0)</f>
        <v>0</v>
      </c>
      <c r="K459" s="440">
        <f t="shared" si="5"/>
        <v>0</v>
      </c>
      <c r="L459" s="440">
        <f t="shared" si="6"/>
        <v>0</v>
      </c>
      <c r="M459" s="441">
        <f>IF(AND(L459&gt;O459,O459&gt;0),MinPoints,IF(L459&lt;N459,100,+INT((O459-$L459)/P459)+MinPoints))</f>
        <v>100</v>
      </c>
      <c r="N459" s="440">
        <f t="shared" si="7"/>
        <v>7</v>
      </c>
      <c r="O459" s="440">
        <f t="shared" si="8"/>
        <v>16</v>
      </c>
      <c r="P459" s="440">
        <f t="shared" si="9"/>
        <v>0.1</v>
      </c>
      <c r="Q459">
        <f t="array" ref="Q459">IF(I459&gt;0,INDEX(DB,I459,9),EventIndex)</f>
        <v>6</v>
      </c>
      <c r="S459" s="442">
        <f t="array" ref="S459">INDEX(MINVALUES,$Q459,$K$1)</f>
        <v>16</v>
      </c>
      <c r="T459">
        <f t="array" ref="T459">INDEX(INCVALUES,$Q459,$K$1)</f>
        <v>0.1</v>
      </c>
      <c r="V459">
        <f t="array" ref="V459">+J459+(4*(INDEX(MatchScoreTable,$Q459,20)-1))</f>
        <v>4</v>
      </c>
      <c r="W459">
        <f t="array" ref="W459">INDEX(INC_MINVALUES,$V459,$K$1)</f>
        <v>34</v>
      </c>
      <c r="X459" s="212">
        <f t="array" ref="X459">INDEX(INC_INCVALUES,$V459,$K$1)</f>
        <v>0.3</v>
      </c>
    </row>
    <row r="460" ht="15.75" customHeight="1">
      <c r="A460" s="435"/>
      <c r="B460" s="436"/>
      <c r="C460" s="95" t="str">
        <f t="array" ref="C460">IF(I460&gt;0,INDEX(DB,I460,8),"")</f>
        <v/>
      </c>
      <c r="D460" s="437">
        <f t="shared" si="1"/>
        <v>0</v>
      </c>
      <c r="F460" s="438">
        <f t="shared" si="2"/>
        <v>0</v>
      </c>
      <c r="G460" t="str">
        <f t="shared" si="3"/>
        <v/>
      </c>
      <c r="H460" t="b">
        <f t="shared" si="4"/>
        <v>0</v>
      </c>
      <c r="I460" s="439">
        <f>IF(OR(ISBLANK(A460),ISNA(MATCH(A460&amp;"",AthleteNumbers,0))),0,MATCH(A460&amp;"",AthleteNumbers,0))</f>
        <v>0</v>
      </c>
      <c r="J460" s="209">
        <f t="array" ref="J460">IF(I460&gt;0,INDEX(DB,$I460,6),0)</f>
        <v>0</v>
      </c>
      <c r="K460" s="440">
        <f t="shared" si="5"/>
        <v>0</v>
      </c>
      <c r="L460" s="440">
        <f t="shared" si="6"/>
        <v>0</v>
      </c>
      <c r="M460" s="441">
        <f>IF(AND(L460&gt;O460,O460&gt;0),MinPoints,IF(L460&lt;N460,100,+INT((O460-$L460)/P460)+MinPoints))</f>
        <v>100</v>
      </c>
      <c r="N460" s="440">
        <f t="shared" si="7"/>
        <v>7</v>
      </c>
      <c r="O460" s="440">
        <f t="shared" si="8"/>
        <v>16</v>
      </c>
      <c r="P460" s="440">
        <f t="shared" si="9"/>
        <v>0.1</v>
      </c>
      <c r="Q460">
        <f t="array" ref="Q460">IF(I460&gt;0,INDEX(DB,I460,9),EventIndex)</f>
        <v>6</v>
      </c>
      <c r="S460" s="442">
        <f t="array" ref="S460">INDEX(MINVALUES,$Q460,$K$1)</f>
        <v>16</v>
      </c>
      <c r="T460">
        <f t="array" ref="T460">INDEX(INCVALUES,$Q460,$K$1)</f>
        <v>0.1</v>
      </c>
      <c r="V460">
        <f t="array" ref="V460">+J460+(4*(INDEX(MatchScoreTable,$Q460,20)-1))</f>
        <v>4</v>
      </c>
      <c r="W460">
        <f t="array" ref="W460">INDEX(INC_MINVALUES,$V460,$K$1)</f>
        <v>34</v>
      </c>
      <c r="X460" s="212">
        <f t="array" ref="X460">INDEX(INC_INCVALUES,$V460,$K$1)</f>
        <v>0.3</v>
      </c>
    </row>
    <row r="461" ht="15.75" customHeight="1">
      <c r="A461" s="435"/>
      <c r="B461" s="436"/>
      <c r="C461" s="95" t="str">
        <f t="array" ref="C461">IF(I461&gt;0,INDEX(DB,I461,8),"")</f>
        <v/>
      </c>
      <c r="D461" s="437">
        <f t="shared" si="1"/>
        <v>0</v>
      </c>
      <c r="F461" s="438">
        <f t="shared" si="2"/>
        <v>0</v>
      </c>
      <c r="G461" t="str">
        <f t="shared" si="3"/>
        <v/>
      </c>
      <c r="H461" t="b">
        <f t="shared" si="4"/>
        <v>0</v>
      </c>
      <c r="I461" s="439">
        <f>IF(OR(ISBLANK(A461),ISNA(MATCH(A461&amp;"",AthleteNumbers,0))),0,MATCH(A461&amp;"",AthleteNumbers,0))</f>
        <v>0</v>
      </c>
      <c r="J461" s="209">
        <f t="array" ref="J461">IF(I461&gt;0,INDEX(DB,$I461,6),0)</f>
        <v>0</v>
      </c>
      <c r="K461" s="440">
        <f t="shared" si="5"/>
        <v>0</v>
      </c>
      <c r="L461" s="440">
        <f t="shared" si="6"/>
        <v>0</v>
      </c>
      <c r="M461" s="441">
        <f>IF(AND(L461&gt;O461,O461&gt;0),MinPoints,IF(L461&lt;N461,100,+INT((O461-$L461)/P461)+MinPoints))</f>
        <v>100</v>
      </c>
      <c r="N461" s="440">
        <f t="shared" si="7"/>
        <v>7</v>
      </c>
      <c r="O461" s="440">
        <f t="shared" si="8"/>
        <v>16</v>
      </c>
      <c r="P461" s="440">
        <f t="shared" si="9"/>
        <v>0.1</v>
      </c>
      <c r="Q461">
        <f t="array" ref="Q461">IF(I461&gt;0,INDEX(DB,I461,9),EventIndex)</f>
        <v>6</v>
      </c>
      <c r="S461" s="442">
        <f t="array" ref="S461">INDEX(MINVALUES,$Q461,$K$1)</f>
        <v>16</v>
      </c>
      <c r="T461">
        <f t="array" ref="T461">INDEX(INCVALUES,$Q461,$K$1)</f>
        <v>0.1</v>
      </c>
      <c r="V461">
        <f t="array" ref="V461">+J461+(4*(INDEX(MatchScoreTable,$Q461,20)-1))</f>
        <v>4</v>
      </c>
      <c r="W461">
        <f t="array" ref="W461">INDEX(INC_MINVALUES,$V461,$K$1)</f>
        <v>34</v>
      </c>
      <c r="X461" s="212">
        <f t="array" ref="X461">INDEX(INC_INCVALUES,$V461,$K$1)</f>
        <v>0.3</v>
      </c>
    </row>
    <row r="462" ht="15.75" customHeight="1">
      <c r="A462" s="435"/>
      <c r="B462" s="436"/>
      <c r="C462" s="95" t="str">
        <f t="array" ref="C462">IF(I462&gt;0,INDEX(DB,I462,8),"")</f>
        <v/>
      </c>
      <c r="D462" s="437">
        <f t="shared" si="1"/>
        <v>0</v>
      </c>
      <c r="F462" s="438">
        <f t="shared" si="2"/>
        <v>0</v>
      </c>
      <c r="G462" t="str">
        <f t="shared" si="3"/>
        <v/>
      </c>
      <c r="H462" t="b">
        <f t="shared" si="4"/>
        <v>0</v>
      </c>
      <c r="I462" s="439">
        <f>IF(OR(ISBLANK(A462),ISNA(MATCH(A462&amp;"",AthleteNumbers,0))),0,MATCH(A462&amp;"",AthleteNumbers,0))</f>
        <v>0</v>
      </c>
      <c r="J462" s="209">
        <f t="array" ref="J462">IF(I462&gt;0,INDEX(DB,$I462,6),0)</f>
        <v>0</v>
      </c>
      <c r="K462" s="440">
        <f t="shared" si="5"/>
        <v>0</v>
      </c>
      <c r="L462" s="440">
        <f t="shared" si="6"/>
        <v>0</v>
      </c>
      <c r="M462" s="441">
        <f>IF(AND(L462&gt;O462,O462&gt;0),MinPoints,IF(L462&lt;N462,100,+INT((O462-$L462)/P462)+MinPoints))</f>
        <v>100</v>
      </c>
      <c r="N462" s="440">
        <f t="shared" si="7"/>
        <v>7</v>
      </c>
      <c r="O462" s="440">
        <f t="shared" si="8"/>
        <v>16</v>
      </c>
      <c r="P462" s="440">
        <f t="shared" si="9"/>
        <v>0.1</v>
      </c>
      <c r="Q462">
        <f t="array" ref="Q462">IF(I462&gt;0,INDEX(DB,I462,9),EventIndex)</f>
        <v>6</v>
      </c>
      <c r="S462" s="442">
        <f t="array" ref="S462">INDEX(MINVALUES,$Q462,$K$1)</f>
        <v>16</v>
      </c>
      <c r="T462">
        <f t="array" ref="T462">INDEX(INCVALUES,$Q462,$K$1)</f>
        <v>0.1</v>
      </c>
      <c r="V462">
        <f t="array" ref="V462">+J462+(4*(INDEX(MatchScoreTable,$Q462,20)-1))</f>
        <v>4</v>
      </c>
      <c r="W462">
        <f t="array" ref="W462">INDEX(INC_MINVALUES,$V462,$K$1)</f>
        <v>34</v>
      </c>
      <c r="X462" s="212">
        <f t="array" ref="X462">INDEX(INC_INCVALUES,$V462,$K$1)</f>
        <v>0.3</v>
      </c>
    </row>
    <row r="463" ht="15.75" customHeight="1">
      <c r="A463" s="435"/>
      <c r="B463" s="436"/>
      <c r="C463" s="95" t="str">
        <f t="array" ref="C463">IF(I463&gt;0,INDEX(DB,I463,8),"")</f>
        <v/>
      </c>
      <c r="D463" s="437">
        <f t="shared" si="1"/>
        <v>0</v>
      </c>
      <c r="F463" s="438">
        <f t="shared" si="2"/>
        <v>0</v>
      </c>
      <c r="G463" t="str">
        <f t="shared" si="3"/>
        <v/>
      </c>
      <c r="H463" t="b">
        <f t="shared" si="4"/>
        <v>0</v>
      </c>
      <c r="I463" s="439">
        <f>IF(OR(ISBLANK(A463),ISNA(MATCH(A463&amp;"",AthleteNumbers,0))),0,MATCH(A463&amp;"",AthleteNumbers,0))</f>
        <v>0</v>
      </c>
      <c r="J463" s="209">
        <f t="array" ref="J463">IF(I463&gt;0,INDEX(DB,$I463,6),0)</f>
        <v>0</v>
      </c>
      <c r="K463" s="440">
        <f t="shared" si="5"/>
        <v>0</v>
      </c>
      <c r="L463" s="440">
        <f t="shared" si="6"/>
        <v>0</v>
      </c>
      <c r="M463" s="441">
        <f>IF(AND(L463&gt;O463,O463&gt;0),MinPoints,IF(L463&lt;N463,100,+INT((O463-$L463)/P463)+MinPoints))</f>
        <v>100</v>
      </c>
      <c r="N463" s="440">
        <f t="shared" si="7"/>
        <v>7</v>
      </c>
      <c r="O463" s="440">
        <f t="shared" si="8"/>
        <v>16</v>
      </c>
      <c r="P463" s="440">
        <f t="shared" si="9"/>
        <v>0.1</v>
      </c>
      <c r="Q463">
        <f t="array" ref="Q463">IF(I463&gt;0,INDEX(DB,I463,9),EventIndex)</f>
        <v>6</v>
      </c>
      <c r="S463" s="442">
        <f t="array" ref="S463">INDEX(MINVALUES,$Q463,$K$1)</f>
        <v>16</v>
      </c>
      <c r="T463">
        <f t="array" ref="T463">INDEX(INCVALUES,$Q463,$K$1)</f>
        <v>0.1</v>
      </c>
      <c r="V463">
        <f t="array" ref="V463">+J463+(4*(INDEX(MatchScoreTable,$Q463,20)-1))</f>
        <v>4</v>
      </c>
      <c r="W463">
        <f t="array" ref="W463">INDEX(INC_MINVALUES,$V463,$K$1)</f>
        <v>34</v>
      </c>
      <c r="X463" s="212">
        <f t="array" ref="X463">INDEX(INC_INCVALUES,$V463,$K$1)</f>
        <v>0.3</v>
      </c>
    </row>
    <row r="464" ht="15.75" customHeight="1">
      <c r="A464" s="435"/>
      <c r="B464" s="436"/>
      <c r="C464" s="95" t="str">
        <f t="array" ref="C464">IF(I464&gt;0,INDEX(DB,I464,8),"")</f>
        <v/>
      </c>
      <c r="D464" s="437">
        <f t="shared" si="1"/>
        <v>0</v>
      </c>
      <c r="F464" s="438">
        <f t="shared" si="2"/>
        <v>0</v>
      </c>
      <c r="G464" t="str">
        <f t="shared" si="3"/>
        <v/>
      </c>
      <c r="H464" t="b">
        <f t="shared" si="4"/>
        <v>0</v>
      </c>
      <c r="I464" s="439">
        <f>IF(OR(ISBLANK(A464),ISNA(MATCH(A464&amp;"",AthleteNumbers,0))),0,MATCH(A464&amp;"",AthleteNumbers,0))</f>
        <v>0</v>
      </c>
      <c r="J464" s="209">
        <f t="array" ref="J464">IF(I464&gt;0,INDEX(DB,$I464,6),0)</f>
        <v>0</v>
      </c>
      <c r="K464" s="440">
        <f t="shared" si="5"/>
        <v>0</v>
      </c>
      <c r="L464" s="440">
        <f t="shared" si="6"/>
        <v>0</v>
      </c>
      <c r="M464" s="441">
        <f>IF(AND(L464&gt;O464,O464&gt;0),MinPoints,IF(L464&lt;N464,100,+INT((O464-$L464)/P464)+MinPoints))</f>
        <v>100</v>
      </c>
      <c r="N464" s="440">
        <f t="shared" si="7"/>
        <v>7</v>
      </c>
      <c r="O464" s="440">
        <f t="shared" si="8"/>
        <v>16</v>
      </c>
      <c r="P464" s="440">
        <f t="shared" si="9"/>
        <v>0.1</v>
      </c>
      <c r="Q464">
        <f t="array" ref="Q464">IF(I464&gt;0,INDEX(DB,I464,9),EventIndex)</f>
        <v>6</v>
      </c>
      <c r="S464" s="442">
        <f t="array" ref="S464">INDEX(MINVALUES,$Q464,$K$1)</f>
        <v>16</v>
      </c>
      <c r="T464">
        <f t="array" ref="T464">INDEX(INCVALUES,$Q464,$K$1)</f>
        <v>0.1</v>
      </c>
      <c r="V464">
        <f t="array" ref="V464">+J464+(4*(INDEX(MatchScoreTable,$Q464,20)-1))</f>
        <v>4</v>
      </c>
      <c r="W464">
        <f t="array" ref="W464">INDEX(INC_MINVALUES,$V464,$K$1)</f>
        <v>34</v>
      </c>
      <c r="X464" s="212">
        <f t="array" ref="X464">INDEX(INC_INCVALUES,$V464,$K$1)</f>
        <v>0.3</v>
      </c>
    </row>
    <row r="465" ht="15.75" customHeight="1">
      <c r="A465" s="435"/>
      <c r="B465" s="436"/>
      <c r="C465" s="95" t="str">
        <f t="array" ref="C465">IF(I465&gt;0,INDEX(DB,I465,8),"")</f>
        <v/>
      </c>
      <c r="D465" s="437">
        <f t="shared" si="1"/>
        <v>0</v>
      </c>
      <c r="F465" s="438">
        <f t="shared" si="2"/>
        <v>0</v>
      </c>
      <c r="G465" t="str">
        <f t="shared" si="3"/>
        <v/>
      </c>
      <c r="H465" t="b">
        <f t="shared" si="4"/>
        <v>0</v>
      </c>
      <c r="I465" s="439">
        <f>IF(OR(ISBLANK(A465),ISNA(MATCH(A465&amp;"",AthleteNumbers,0))),0,MATCH(A465&amp;"",AthleteNumbers,0))</f>
        <v>0</v>
      </c>
      <c r="J465" s="209">
        <f t="array" ref="J465">IF(I465&gt;0,INDEX(DB,$I465,6),0)</f>
        <v>0</v>
      </c>
      <c r="K465" s="440">
        <f t="shared" si="5"/>
        <v>0</v>
      </c>
      <c r="L465" s="440">
        <f t="shared" si="6"/>
        <v>0</v>
      </c>
      <c r="M465" s="441">
        <f>IF(AND(L465&gt;O465,O465&gt;0),MinPoints,IF(L465&lt;N465,100,+INT((O465-$L465)/P465)+MinPoints))</f>
        <v>100</v>
      </c>
      <c r="N465" s="440">
        <f t="shared" si="7"/>
        <v>7</v>
      </c>
      <c r="O465" s="440">
        <f t="shared" si="8"/>
        <v>16</v>
      </c>
      <c r="P465" s="440">
        <f t="shared" si="9"/>
        <v>0.1</v>
      </c>
      <c r="Q465">
        <f t="array" ref="Q465">IF(I465&gt;0,INDEX(DB,I465,9),EventIndex)</f>
        <v>6</v>
      </c>
      <c r="S465" s="442">
        <f t="array" ref="S465">INDEX(MINVALUES,$Q465,$K$1)</f>
        <v>16</v>
      </c>
      <c r="T465">
        <f t="array" ref="T465">INDEX(INCVALUES,$Q465,$K$1)</f>
        <v>0.1</v>
      </c>
      <c r="V465">
        <f t="array" ref="V465">+J465+(4*(INDEX(MatchScoreTable,$Q465,20)-1))</f>
        <v>4</v>
      </c>
      <c r="W465">
        <f t="array" ref="W465">INDEX(INC_MINVALUES,$V465,$K$1)</f>
        <v>34</v>
      </c>
      <c r="X465" s="212">
        <f t="array" ref="X465">INDEX(INC_INCVALUES,$V465,$K$1)</f>
        <v>0.3</v>
      </c>
    </row>
    <row r="466" ht="15.75" customHeight="1">
      <c r="A466" s="435"/>
      <c r="B466" s="436"/>
      <c r="C466" s="95" t="str">
        <f t="array" ref="C466">IF(I466&gt;0,INDEX(DB,I466,8),"")</f>
        <v/>
      </c>
      <c r="D466" s="437">
        <f t="shared" si="1"/>
        <v>0</v>
      </c>
      <c r="F466" s="438">
        <f t="shared" si="2"/>
        <v>0</v>
      </c>
      <c r="G466" t="str">
        <f t="shared" si="3"/>
        <v/>
      </c>
      <c r="H466" t="b">
        <f t="shared" si="4"/>
        <v>0</v>
      </c>
      <c r="I466" s="439">
        <f>IF(OR(ISBLANK(A466),ISNA(MATCH(A466&amp;"",AthleteNumbers,0))),0,MATCH(A466&amp;"",AthleteNumbers,0))</f>
        <v>0</v>
      </c>
      <c r="J466" s="209">
        <f t="array" ref="J466">IF(I466&gt;0,INDEX(DB,$I466,6),0)</f>
        <v>0</v>
      </c>
      <c r="K466" s="440">
        <f t="shared" si="5"/>
        <v>0</v>
      </c>
      <c r="L466" s="440">
        <f t="shared" si="6"/>
        <v>0</v>
      </c>
      <c r="M466" s="441">
        <f>IF(AND(L466&gt;O466,O466&gt;0),MinPoints,IF(L466&lt;N466,100,+INT((O466-$L466)/P466)+MinPoints))</f>
        <v>100</v>
      </c>
      <c r="N466" s="440">
        <f t="shared" si="7"/>
        <v>7</v>
      </c>
      <c r="O466" s="440">
        <f t="shared" si="8"/>
        <v>16</v>
      </c>
      <c r="P466" s="440">
        <f t="shared" si="9"/>
        <v>0.1</v>
      </c>
      <c r="Q466">
        <f t="array" ref="Q466">IF(I466&gt;0,INDEX(DB,I466,9),EventIndex)</f>
        <v>6</v>
      </c>
      <c r="S466" s="442">
        <f t="array" ref="S466">INDEX(MINVALUES,$Q466,$K$1)</f>
        <v>16</v>
      </c>
      <c r="T466">
        <f t="array" ref="T466">INDEX(INCVALUES,$Q466,$K$1)</f>
        <v>0.1</v>
      </c>
      <c r="V466">
        <f t="array" ref="V466">+J466+(4*(INDEX(MatchScoreTable,$Q466,20)-1))</f>
        <v>4</v>
      </c>
      <c r="W466">
        <f t="array" ref="W466">INDEX(INC_MINVALUES,$V466,$K$1)</f>
        <v>34</v>
      </c>
      <c r="X466" s="212">
        <f t="array" ref="X466">INDEX(INC_INCVALUES,$V466,$K$1)</f>
        <v>0.3</v>
      </c>
    </row>
    <row r="467" ht="15.75" customHeight="1">
      <c r="A467" s="435"/>
      <c r="B467" s="436"/>
      <c r="C467" s="95" t="str">
        <f t="array" ref="C467">IF(I467&gt;0,INDEX(DB,I467,8),"")</f>
        <v/>
      </c>
      <c r="D467" s="437">
        <f t="shared" si="1"/>
        <v>0</v>
      </c>
      <c r="F467" s="438">
        <f t="shared" si="2"/>
        <v>0</v>
      </c>
      <c r="G467" t="str">
        <f t="shared" si="3"/>
        <v/>
      </c>
      <c r="H467" t="b">
        <f t="shared" si="4"/>
        <v>0</v>
      </c>
      <c r="I467" s="439">
        <f>IF(OR(ISBLANK(A467),ISNA(MATCH(A467&amp;"",AthleteNumbers,0))),0,MATCH(A467&amp;"",AthleteNumbers,0))</f>
        <v>0</v>
      </c>
      <c r="J467" s="209">
        <f t="array" ref="J467">IF(I467&gt;0,INDEX(DB,$I467,6),0)</f>
        <v>0</v>
      </c>
      <c r="K467" s="440">
        <f t="shared" si="5"/>
        <v>0</v>
      </c>
      <c r="L467" s="440">
        <f t="shared" si="6"/>
        <v>0</v>
      </c>
      <c r="M467" s="441">
        <f>IF(AND(L467&gt;O467,O467&gt;0),MinPoints,IF(L467&lt;N467,100,+INT((O467-$L467)/P467)+MinPoints))</f>
        <v>100</v>
      </c>
      <c r="N467" s="440">
        <f t="shared" si="7"/>
        <v>7</v>
      </c>
      <c r="O467" s="440">
        <f t="shared" si="8"/>
        <v>16</v>
      </c>
      <c r="P467" s="440">
        <f t="shared" si="9"/>
        <v>0.1</v>
      </c>
      <c r="Q467">
        <f t="array" ref="Q467">IF(I467&gt;0,INDEX(DB,I467,9),EventIndex)</f>
        <v>6</v>
      </c>
      <c r="S467" s="442">
        <f t="array" ref="S467">INDEX(MINVALUES,$Q467,$K$1)</f>
        <v>16</v>
      </c>
      <c r="T467">
        <f t="array" ref="T467">INDEX(INCVALUES,$Q467,$K$1)</f>
        <v>0.1</v>
      </c>
      <c r="V467">
        <f t="array" ref="V467">+J467+(4*(INDEX(MatchScoreTable,$Q467,20)-1))</f>
        <v>4</v>
      </c>
      <c r="W467">
        <f t="array" ref="W467">INDEX(INC_MINVALUES,$V467,$K$1)</f>
        <v>34</v>
      </c>
      <c r="X467" s="212">
        <f t="array" ref="X467">INDEX(INC_INCVALUES,$V467,$K$1)</f>
        <v>0.3</v>
      </c>
    </row>
    <row r="468" ht="15.75" customHeight="1">
      <c r="A468" s="435"/>
      <c r="B468" s="436"/>
      <c r="C468" s="95" t="str">
        <f t="array" ref="C468">IF(I468&gt;0,INDEX(DB,I468,8),"")</f>
        <v/>
      </c>
      <c r="D468" s="437">
        <f t="shared" si="1"/>
        <v>0</v>
      </c>
      <c r="F468" s="438">
        <f t="shared" si="2"/>
        <v>0</v>
      </c>
      <c r="G468" t="str">
        <f t="shared" si="3"/>
        <v/>
      </c>
      <c r="H468" t="b">
        <f t="shared" si="4"/>
        <v>0</v>
      </c>
      <c r="I468" s="439">
        <f>IF(OR(ISBLANK(A468),ISNA(MATCH(A468&amp;"",AthleteNumbers,0))),0,MATCH(A468&amp;"",AthleteNumbers,0))</f>
        <v>0</v>
      </c>
      <c r="J468" s="209">
        <f t="array" ref="J468">IF(I468&gt;0,INDEX(DB,$I468,6),0)</f>
        <v>0</v>
      </c>
      <c r="K468" s="440">
        <f t="shared" si="5"/>
        <v>0</v>
      </c>
      <c r="L468" s="440">
        <f t="shared" si="6"/>
        <v>0</v>
      </c>
      <c r="M468" s="441">
        <f>IF(AND(L468&gt;O468,O468&gt;0),MinPoints,IF(L468&lt;N468,100,+INT((O468-$L468)/P468)+MinPoints))</f>
        <v>100</v>
      </c>
      <c r="N468" s="440">
        <f t="shared" si="7"/>
        <v>7</v>
      </c>
      <c r="O468" s="440">
        <f t="shared" si="8"/>
        <v>16</v>
      </c>
      <c r="P468" s="440">
        <f t="shared" si="9"/>
        <v>0.1</v>
      </c>
      <c r="Q468">
        <f t="array" ref="Q468">IF(I468&gt;0,INDEX(DB,I468,9),EventIndex)</f>
        <v>6</v>
      </c>
      <c r="S468" s="442">
        <f t="array" ref="S468">INDEX(MINVALUES,$Q468,$K$1)</f>
        <v>16</v>
      </c>
      <c r="T468">
        <f t="array" ref="T468">INDEX(INCVALUES,$Q468,$K$1)</f>
        <v>0.1</v>
      </c>
      <c r="V468">
        <f t="array" ref="V468">+J468+(4*(INDEX(MatchScoreTable,$Q468,20)-1))</f>
        <v>4</v>
      </c>
      <c r="W468">
        <f t="array" ref="W468">INDEX(INC_MINVALUES,$V468,$K$1)</f>
        <v>34</v>
      </c>
      <c r="X468" s="212">
        <f t="array" ref="X468">INDEX(INC_INCVALUES,$V468,$K$1)</f>
        <v>0.3</v>
      </c>
    </row>
    <row r="469" ht="15.75" customHeight="1">
      <c r="A469" s="435"/>
      <c r="B469" s="436"/>
      <c r="C469" s="95" t="str">
        <f t="array" ref="C469">IF(I469&gt;0,INDEX(DB,I469,8),"")</f>
        <v/>
      </c>
      <c r="D469" s="437">
        <f t="shared" si="1"/>
        <v>0</v>
      </c>
      <c r="F469" s="438">
        <f t="shared" si="2"/>
        <v>0</v>
      </c>
      <c r="G469" t="str">
        <f t="shared" si="3"/>
        <v/>
      </c>
      <c r="H469" t="b">
        <f t="shared" si="4"/>
        <v>0</v>
      </c>
      <c r="I469" s="439">
        <f>IF(OR(ISBLANK(A469),ISNA(MATCH(A469&amp;"",AthleteNumbers,0))),0,MATCH(A469&amp;"",AthleteNumbers,0))</f>
        <v>0</v>
      </c>
      <c r="J469" s="209">
        <f t="array" ref="J469">IF(I469&gt;0,INDEX(DB,$I469,6),0)</f>
        <v>0</v>
      </c>
      <c r="K469" s="440">
        <f t="shared" si="5"/>
        <v>0</v>
      </c>
      <c r="L469" s="440">
        <f t="shared" si="6"/>
        <v>0</v>
      </c>
      <c r="M469" s="441">
        <f>IF(AND(L469&gt;O469,O469&gt;0),MinPoints,IF(L469&lt;N469,100,+INT((O469-$L469)/P469)+MinPoints))</f>
        <v>100</v>
      </c>
      <c r="N469" s="440">
        <f t="shared" si="7"/>
        <v>7</v>
      </c>
      <c r="O469" s="440">
        <f t="shared" si="8"/>
        <v>16</v>
      </c>
      <c r="P469" s="440">
        <f t="shared" si="9"/>
        <v>0.1</v>
      </c>
      <c r="Q469">
        <f t="array" ref="Q469">IF(I469&gt;0,INDEX(DB,I469,9),EventIndex)</f>
        <v>6</v>
      </c>
      <c r="S469" s="442">
        <f t="array" ref="S469">INDEX(MINVALUES,$Q469,$K$1)</f>
        <v>16</v>
      </c>
      <c r="T469">
        <f t="array" ref="T469">INDEX(INCVALUES,$Q469,$K$1)</f>
        <v>0.1</v>
      </c>
      <c r="V469">
        <f t="array" ref="V469">+J469+(4*(INDEX(MatchScoreTable,$Q469,20)-1))</f>
        <v>4</v>
      </c>
      <c r="W469">
        <f t="array" ref="W469">INDEX(INC_MINVALUES,$V469,$K$1)</f>
        <v>34</v>
      </c>
      <c r="X469" s="212">
        <f t="array" ref="X469">INDEX(INC_INCVALUES,$V469,$K$1)</f>
        <v>0.3</v>
      </c>
    </row>
    <row r="470" ht="15.75" customHeight="1">
      <c r="A470" s="435"/>
      <c r="B470" s="436"/>
      <c r="C470" s="95" t="str">
        <f t="array" ref="C470">IF(I470&gt;0,INDEX(DB,I470,8),"")</f>
        <v/>
      </c>
      <c r="D470" s="437">
        <f t="shared" si="1"/>
        <v>0</v>
      </c>
      <c r="F470" s="438">
        <f t="shared" si="2"/>
        <v>0</v>
      </c>
      <c r="G470" t="str">
        <f t="shared" si="3"/>
        <v/>
      </c>
      <c r="H470" t="b">
        <f t="shared" si="4"/>
        <v>0</v>
      </c>
      <c r="I470" s="439">
        <f>IF(OR(ISBLANK(A470),ISNA(MATCH(A470&amp;"",AthleteNumbers,0))),0,MATCH(A470&amp;"",AthleteNumbers,0))</f>
        <v>0</v>
      </c>
      <c r="J470" s="209">
        <f t="array" ref="J470">IF(I470&gt;0,INDEX(DB,$I470,6),0)</f>
        <v>0</v>
      </c>
      <c r="K470" s="440">
        <f t="shared" si="5"/>
        <v>0</v>
      </c>
      <c r="L470" s="440">
        <f t="shared" si="6"/>
        <v>0</v>
      </c>
      <c r="M470" s="441">
        <f>IF(AND(L470&gt;O470,O470&gt;0),MinPoints,IF(L470&lt;N470,100,+INT((O470-$L470)/P470)+MinPoints))</f>
        <v>100</v>
      </c>
      <c r="N470" s="440">
        <f t="shared" si="7"/>
        <v>7</v>
      </c>
      <c r="O470" s="440">
        <f t="shared" si="8"/>
        <v>16</v>
      </c>
      <c r="P470" s="440">
        <f t="shared" si="9"/>
        <v>0.1</v>
      </c>
      <c r="Q470">
        <f t="array" ref="Q470">IF(I470&gt;0,INDEX(DB,I470,9),EventIndex)</f>
        <v>6</v>
      </c>
      <c r="S470" s="442">
        <f t="array" ref="S470">INDEX(MINVALUES,$Q470,$K$1)</f>
        <v>16</v>
      </c>
      <c r="T470">
        <f t="array" ref="T470">INDEX(INCVALUES,$Q470,$K$1)</f>
        <v>0.1</v>
      </c>
      <c r="V470">
        <f t="array" ref="V470">+J470+(4*(INDEX(MatchScoreTable,$Q470,20)-1))</f>
        <v>4</v>
      </c>
      <c r="W470">
        <f t="array" ref="W470">INDEX(INC_MINVALUES,$V470,$K$1)</f>
        <v>34</v>
      </c>
      <c r="X470" s="212">
        <f t="array" ref="X470">INDEX(INC_INCVALUES,$V470,$K$1)</f>
        <v>0.3</v>
      </c>
    </row>
    <row r="471" ht="15.75" customHeight="1">
      <c r="A471" s="435"/>
      <c r="B471" s="436"/>
      <c r="C471" s="95" t="str">
        <f t="array" ref="C471">IF(I471&gt;0,INDEX(DB,I471,8),"")</f>
        <v/>
      </c>
      <c r="D471" s="437">
        <f t="shared" si="1"/>
        <v>0</v>
      </c>
      <c r="F471" s="438">
        <f t="shared" si="2"/>
        <v>0</v>
      </c>
      <c r="G471" t="str">
        <f t="shared" si="3"/>
        <v/>
      </c>
      <c r="H471" t="b">
        <f t="shared" si="4"/>
        <v>0</v>
      </c>
      <c r="I471" s="439">
        <f>IF(OR(ISBLANK(A471),ISNA(MATCH(A471&amp;"",AthleteNumbers,0))),0,MATCH(A471&amp;"",AthleteNumbers,0))</f>
        <v>0</v>
      </c>
      <c r="J471" s="209">
        <f t="array" ref="J471">IF(I471&gt;0,INDEX(DB,$I471,6),0)</f>
        <v>0</v>
      </c>
      <c r="K471" s="440">
        <f t="shared" si="5"/>
        <v>0</v>
      </c>
      <c r="L471" s="440">
        <f t="shared" si="6"/>
        <v>0</v>
      </c>
      <c r="M471" s="441">
        <f>IF(AND(L471&gt;O471,O471&gt;0),MinPoints,IF(L471&lt;N471,100,+INT((O471-$L471)/P471)+MinPoints))</f>
        <v>100</v>
      </c>
      <c r="N471" s="440">
        <f t="shared" si="7"/>
        <v>7</v>
      </c>
      <c r="O471" s="440">
        <f t="shared" si="8"/>
        <v>16</v>
      </c>
      <c r="P471" s="440">
        <f t="shared" si="9"/>
        <v>0.1</v>
      </c>
      <c r="Q471">
        <f t="array" ref="Q471">IF(I471&gt;0,INDEX(DB,I471,9),EventIndex)</f>
        <v>6</v>
      </c>
      <c r="S471" s="442">
        <f t="array" ref="S471">INDEX(MINVALUES,$Q471,$K$1)</f>
        <v>16</v>
      </c>
      <c r="T471">
        <f t="array" ref="T471">INDEX(INCVALUES,$Q471,$K$1)</f>
        <v>0.1</v>
      </c>
      <c r="V471">
        <f t="array" ref="V471">+J471+(4*(INDEX(MatchScoreTable,$Q471,20)-1))</f>
        <v>4</v>
      </c>
      <c r="W471">
        <f t="array" ref="W471">INDEX(INC_MINVALUES,$V471,$K$1)</f>
        <v>34</v>
      </c>
      <c r="X471" s="212">
        <f t="array" ref="X471">INDEX(INC_INCVALUES,$V471,$K$1)</f>
        <v>0.3</v>
      </c>
    </row>
    <row r="472" ht="15.75" customHeight="1">
      <c r="A472" s="435"/>
      <c r="B472" s="436"/>
      <c r="C472" s="95" t="str">
        <f t="array" ref="C472">IF(I472&gt;0,INDEX(DB,I472,8),"")</f>
        <v/>
      </c>
      <c r="D472" s="437">
        <f t="shared" si="1"/>
        <v>0</v>
      </c>
      <c r="F472" s="438">
        <f t="shared" si="2"/>
        <v>0</v>
      </c>
      <c r="G472" t="str">
        <f t="shared" si="3"/>
        <v/>
      </c>
      <c r="H472" t="b">
        <f t="shared" si="4"/>
        <v>0</v>
      </c>
      <c r="I472" s="439">
        <f>IF(OR(ISBLANK(A472),ISNA(MATCH(A472&amp;"",AthleteNumbers,0))),0,MATCH(A472&amp;"",AthleteNumbers,0))</f>
        <v>0</v>
      </c>
      <c r="J472" s="209">
        <f t="array" ref="J472">IF(I472&gt;0,INDEX(DB,$I472,6),0)</f>
        <v>0</v>
      </c>
      <c r="K472" s="440">
        <f t="shared" si="5"/>
        <v>0</v>
      </c>
      <c r="L472" s="440">
        <f t="shared" si="6"/>
        <v>0</v>
      </c>
      <c r="M472" s="441">
        <f>IF(AND(L472&gt;O472,O472&gt;0),MinPoints,IF(L472&lt;N472,100,+INT((O472-$L472)/P472)+MinPoints))</f>
        <v>100</v>
      </c>
      <c r="N472" s="440">
        <f t="shared" si="7"/>
        <v>7</v>
      </c>
      <c r="O472" s="440">
        <f t="shared" si="8"/>
        <v>16</v>
      </c>
      <c r="P472" s="440">
        <f t="shared" si="9"/>
        <v>0.1</v>
      </c>
      <c r="Q472">
        <f t="array" ref="Q472">IF(I472&gt;0,INDEX(DB,I472,9),EventIndex)</f>
        <v>6</v>
      </c>
      <c r="S472" s="442">
        <f t="array" ref="S472">INDEX(MINVALUES,$Q472,$K$1)</f>
        <v>16</v>
      </c>
      <c r="T472">
        <f t="array" ref="T472">INDEX(INCVALUES,$Q472,$K$1)</f>
        <v>0.1</v>
      </c>
      <c r="V472">
        <f t="array" ref="V472">+J472+(4*(INDEX(MatchScoreTable,$Q472,20)-1))</f>
        <v>4</v>
      </c>
      <c r="W472">
        <f t="array" ref="W472">INDEX(INC_MINVALUES,$V472,$K$1)</f>
        <v>34</v>
      </c>
      <c r="X472" s="212">
        <f t="array" ref="X472">INDEX(INC_INCVALUES,$V472,$K$1)</f>
        <v>0.3</v>
      </c>
    </row>
    <row r="473" ht="15.75" customHeight="1">
      <c r="A473" s="435"/>
      <c r="B473" s="436"/>
      <c r="C473" s="95" t="str">
        <f t="array" ref="C473">IF(I473&gt;0,INDEX(DB,I473,8),"")</f>
        <v/>
      </c>
      <c r="D473" s="437">
        <f t="shared" si="1"/>
        <v>0</v>
      </c>
      <c r="F473" s="438">
        <f t="shared" si="2"/>
        <v>0</v>
      </c>
      <c r="G473" t="str">
        <f t="shared" si="3"/>
        <v/>
      </c>
      <c r="H473" t="b">
        <f t="shared" si="4"/>
        <v>0</v>
      </c>
      <c r="I473" s="439">
        <f>IF(OR(ISBLANK(A473),ISNA(MATCH(A473&amp;"",AthleteNumbers,0))),0,MATCH(A473&amp;"",AthleteNumbers,0))</f>
        <v>0</v>
      </c>
      <c r="J473" s="209">
        <f t="array" ref="J473">IF(I473&gt;0,INDEX(DB,$I473,6),0)</f>
        <v>0</v>
      </c>
      <c r="K473" s="440">
        <f t="shared" si="5"/>
        <v>0</v>
      </c>
      <c r="L473" s="440">
        <f t="shared" si="6"/>
        <v>0</v>
      </c>
      <c r="M473" s="441">
        <f>IF(AND(L473&gt;O473,O473&gt;0),MinPoints,IF(L473&lt;N473,100,+INT((O473-$L473)/P473)+MinPoints))</f>
        <v>100</v>
      </c>
      <c r="N473" s="440">
        <f t="shared" si="7"/>
        <v>7</v>
      </c>
      <c r="O473" s="440">
        <f t="shared" si="8"/>
        <v>16</v>
      </c>
      <c r="P473" s="440">
        <f t="shared" si="9"/>
        <v>0.1</v>
      </c>
      <c r="Q473">
        <f t="array" ref="Q473">IF(I473&gt;0,INDEX(DB,I473,9),EventIndex)</f>
        <v>6</v>
      </c>
      <c r="S473" s="442">
        <f t="array" ref="S473">INDEX(MINVALUES,$Q473,$K$1)</f>
        <v>16</v>
      </c>
      <c r="T473">
        <f t="array" ref="T473">INDEX(INCVALUES,$Q473,$K$1)</f>
        <v>0.1</v>
      </c>
      <c r="V473">
        <f t="array" ref="V473">+J473+(4*(INDEX(MatchScoreTable,$Q473,20)-1))</f>
        <v>4</v>
      </c>
      <c r="W473">
        <f t="array" ref="W473">INDEX(INC_MINVALUES,$V473,$K$1)</f>
        <v>34</v>
      </c>
      <c r="X473" s="212">
        <f t="array" ref="X473">INDEX(INC_INCVALUES,$V473,$K$1)</f>
        <v>0.3</v>
      </c>
    </row>
    <row r="474" ht="15.75" customHeight="1">
      <c r="A474" s="435"/>
      <c r="B474" s="436"/>
      <c r="C474" s="95" t="str">
        <f t="array" ref="C474">IF(I474&gt;0,INDEX(DB,I474,8),"")</f>
        <v/>
      </c>
      <c r="D474" s="437">
        <f t="shared" si="1"/>
        <v>0</v>
      </c>
      <c r="F474" s="438">
        <f t="shared" si="2"/>
        <v>0</v>
      </c>
      <c r="G474" t="str">
        <f t="shared" si="3"/>
        <v/>
      </c>
      <c r="H474" t="b">
        <f t="shared" si="4"/>
        <v>0</v>
      </c>
      <c r="I474" s="439">
        <f>IF(OR(ISBLANK(A474),ISNA(MATCH(A474&amp;"",AthleteNumbers,0))),0,MATCH(A474&amp;"",AthleteNumbers,0))</f>
        <v>0</v>
      </c>
      <c r="J474" s="209">
        <f t="array" ref="J474">IF(I474&gt;0,INDEX(DB,$I474,6),0)</f>
        <v>0</v>
      </c>
      <c r="K474" s="440">
        <f t="shared" si="5"/>
        <v>0</v>
      </c>
      <c r="L474" s="440">
        <f t="shared" si="6"/>
        <v>0</v>
      </c>
      <c r="M474" s="441">
        <f>IF(AND(L474&gt;O474,O474&gt;0),MinPoints,IF(L474&lt;N474,100,+INT((O474-$L474)/P474)+MinPoints))</f>
        <v>100</v>
      </c>
      <c r="N474" s="440">
        <f t="shared" si="7"/>
        <v>7</v>
      </c>
      <c r="O474" s="440">
        <f t="shared" si="8"/>
        <v>16</v>
      </c>
      <c r="P474" s="440">
        <f t="shared" si="9"/>
        <v>0.1</v>
      </c>
      <c r="Q474">
        <f t="array" ref="Q474">IF(I474&gt;0,INDEX(DB,I474,9),EventIndex)</f>
        <v>6</v>
      </c>
      <c r="S474" s="442">
        <f t="array" ref="S474">INDEX(MINVALUES,$Q474,$K$1)</f>
        <v>16</v>
      </c>
      <c r="T474">
        <f t="array" ref="T474">INDEX(INCVALUES,$Q474,$K$1)</f>
        <v>0.1</v>
      </c>
      <c r="V474">
        <f t="array" ref="V474">+J474+(4*(INDEX(MatchScoreTable,$Q474,20)-1))</f>
        <v>4</v>
      </c>
      <c r="W474">
        <f t="array" ref="W474">INDEX(INC_MINVALUES,$V474,$K$1)</f>
        <v>34</v>
      </c>
      <c r="X474" s="212">
        <f t="array" ref="X474">INDEX(INC_INCVALUES,$V474,$K$1)</f>
        <v>0.3</v>
      </c>
    </row>
    <row r="475" ht="15.75" customHeight="1">
      <c r="A475" s="435"/>
      <c r="B475" s="436"/>
      <c r="C475" s="95" t="str">
        <f t="array" ref="C475">IF(I475&gt;0,INDEX(DB,I475,8),"")</f>
        <v/>
      </c>
      <c r="D475" s="437">
        <f t="shared" si="1"/>
        <v>0</v>
      </c>
      <c r="F475" s="438">
        <f t="shared" si="2"/>
        <v>0</v>
      </c>
      <c r="G475" t="str">
        <f t="shared" si="3"/>
        <v/>
      </c>
      <c r="H475" t="b">
        <f t="shared" si="4"/>
        <v>0</v>
      </c>
      <c r="I475" s="439">
        <f>IF(OR(ISBLANK(A475),ISNA(MATCH(A475&amp;"",AthleteNumbers,0))),0,MATCH(A475&amp;"",AthleteNumbers,0))</f>
        <v>0</v>
      </c>
      <c r="J475" s="209">
        <f t="array" ref="J475">IF(I475&gt;0,INDEX(DB,$I475,6),0)</f>
        <v>0</v>
      </c>
      <c r="K475" s="440">
        <f t="shared" si="5"/>
        <v>0</v>
      </c>
      <c r="L475" s="440">
        <f t="shared" si="6"/>
        <v>0</v>
      </c>
      <c r="M475" s="441">
        <f>IF(AND(L475&gt;O475,O475&gt;0),MinPoints,IF(L475&lt;N475,100,+INT((O475-$L475)/P475)+MinPoints))</f>
        <v>100</v>
      </c>
      <c r="N475" s="440">
        <f t="shared" si="7"/>
        <v>7</v>
      </c>
      <c r="O475" s="440">
        <f t="shared" si="8"/>
        <v>16</v>
      </c>
      <c r="P475" s="440">
        <f t="shared" si="9"/>
        <v>0.1</v>
      </c>
      <c r="Q475">
        <f t="array" ref="Q475">IF(I475&gt;0,INDEX(DB,I475,9),EventIndex)</f>
        <v>6</v>
      </c>
      <c r="S475" s="442">
        <f t="array" ref="S475">INDEX(MINVALUES,$Q475,$K$1)</f>
        <v>16</v>
      </c>
      <c r="T475">
        <f t="array" ref="T475">INDEX(INCVALUES,$Q475,$K$1)</f>
        <v>0.1</v>
      </c>
      <c r="V475">
        <f t="array" ref="V475">+J475+(4*(INDEX(MatchScoreTable,$Q475,20)-1))</f>
        <v>4</v>
      </c>
      <c r="W475">
        <f t="array" ref="W475">INDEX(INC_MINVALUES,$V475,$K$1)</f>
        <v>34</v>
      </c>
      <c r="X475" s="212">
        <f t="array" ref="X475">INDEX(INC_INCVALUES,$V475,$K$1)</f>
        <v>0.3</v>
      </c>
    </row>
    <row r="476" ht="15.75" customHeight="1">
      <c r="A476" s="435"/>
      <c r="B476" s="436"/>
      <c r="C476" s="95" t="str">
        <f t="array" ref="C476">IF(I476&gt;0,INDEX(DB,I476,8),"")</f>
        <v/>
      </c>
      <c r="D476" s="437">
        <f t="shared" si="1"/>
        <v>0</v>
      </c>
      <c r="F476" s="438">
        <f t="shared" si="2"/>
        <v>0</v>
      </c>
      <c r="G476" t="str">
        <f t="shared" si="3"/>
        <v/>
      </c>
      <c r="H476" t="b">
        <f t="shared" si="4"/>
        <v>0</v>
      </c>
      <c r="I476" s="439">
        <f>IF(OR(ISBLANK(A476),ISNA(MATCH(A476&amp;"",AthleteNumbers,0))),0,MATCH(A476&amp;"",AthleteNumbers,0))</f>
        <v>0</v>
      </c>
      <c r="J476" s="209">
        <f t="array" ref="J476">IF(I476&gt;0,INDEX(DB,$I476,6),0)</f>
        <v>0</v>
      </c>
      <c r="K476" s="440">
        <f t="shared" si="5"/>
        <v>0</v>
      </c>
      <c r="L476" s="440">
        <f t="shared" si="6"/>
        <v>0</v>
      </c>
      <c r="M476" s="441">
        <f>IF(AND(L476&gt;O476,O476&gt;0),MinPoints,IF(L476&lt;N476,100,+INT((O476-$L476)/P476)+MinPoints))</f>
        <v>100</v>
      </c>
      <c r="N476" s="440">
        <f t="shared" si="7"/>
        <v>7</v>
      </c>
      <c r="O476" s="440">
        <f t="shared" si="8"/>
        <v>16</v>
      </c>
      <c r="P476" s="440">
        <f t="shared" si="9"/>
        <v>0.1</v>
      </c>
      <c r="Q476">
        <f t="array" ref="Q476">IF(I476&gt;0,INDEX(DB,I476,9),EventIndex)</f>
        <v>6</v>
      </c>
      <c r="S476" s="442">
        <f t="array" ref="S476">INDEX(MINVALUES,$Q476,$K$1)</f>
        <v>16</v>
      </c>
      <c r="T476">
        <f t="array" ref="T476">INDEX(INCVALUES,$Q476,$K$1)</f>
        <v>0.1</v>
      </c>
      <c r="V476">
        <f t="array" ref="V476">+J476+(4*(INDEX(MatchScoreTable,$Q476,20)-1))</f>
        <v>4</v>
      </c>
      <c r="W476">
        <f t="array" ref="W476">INDEX(INC_MINVALUES,$V476,$K$1)</f>
        <v>34</v>
      </c>
      <c r="X476" s="212">
        <f t="array" ref="X476">INDEX(INC_INCVALUES,$V476,$K$1)</f>
        <v>0.3</v>
      </c>
    </row>
    <row r="477" ht="15.75" customHeight="1">
      <c r="A477" s="435"/>
      <c r="B477" s="436"/>
      <c r="C477" s="95" t="str">
        <f t="array" ref="C477">IF(I477&gt;0,INDEX(DB,I477,8),"")</f>
        <v/>
      </c>
      <c r="D477" s="437">
        <f t="shared" si="1"/>
        <v>0</v>
      </c>
      <c r="F477" s="438">
        <f t="shared" si="2"/>
        <v>0</v>
      </c>
      <c r="G477" t="str">
        <f t="shared" si="3"/>
        <v/>
      </c>
      <c r="H477" t="b">
        <f t="shared" si="4"/>
        <v>0</v>
      </c>
      <c r="I477" s="439">
        <f>IF(OR(ISBLANK(A477),ISNA(MATCH(A477&amp;"",AthleteNumbers,0))),0,MATCH(A477&amp;"",AthleteNumbers,0))</f>
        <v>0</v>
      </c>
      <c r="J477" s="209">
        <f t="array" ref="J477">IF(I477&gt;0,INDEX(DB,$I477,6),0)</f>
        <v>0</v>
      </c>
      <c r="K477" s="440">
        <f t="shared" si="5"/>
        <v>0</v>
      </c>
      <c r="L477" s="440">
        <f t="shared" si="6"/>
        <v>0</v>
      </c>
      <c r="M477" s="441">
        <f>IF(AND(L477&gt;O477,O477&gt;0),MinPoints,IF(L477&lt;N477,100,+INT((O477-$L477)/P477)+MinPoints))</f>
        <v>100</v>
      </c>
      <c r="N477" s="440">
        <f t="shared" si="7"/>
        <v>7</v>
      </c>
      <c r="O477" s="440">
        <f t="shared" si="8"/>
        <v>16</v>
      </c>
      <c r="P477" s="440">
        <f t="shared" si="9"/>
        <v>0.1</v>
      </c>
      <c r="Q477">
        <f t="array" ref="Q477">IF(I477&gt;0,INDEX(DB,I477,9),EventIndex)</f>
        <v>6</v>
      </c>
      <c r="S477" s="442">
        <f t="array" ref="S477">INDEX(MINVALUES,$Q477,$K$1)</f>
        <v>16</v>
      </c>
      <c r="T477">
        <f t="array" ref="T477">INDEX(INCVALUES,$Q477,$K$1)</f>
        <v>0.1</v>
      </c>
      <c r="V477">
        <f t="array" ref="V477">+J477+(4*(INDEX(MatchScoreTable,$Q477,20)-1))</f>
        <v>4</v>
      </c>
      <c r="W477">
        <f t="array" ref="W477">INDEX(INC_MINVALUES,$V477,$K$1)</f>
        <v>34</v>
      </c>
      <c r="X477" s="212">
        <f t="array" ref="X477">INDEX(INC_INCVALUES,$V477,$K$1)</f>
        <v>0.3</v>
      </c>
    </row>
    <row r="478" ht="15.75" customHeight="1">
      <c r="A478" s="435"/>
      <c r="B478" s="436"/>
      <c r="C478" s="95" t="str">
        <f t="array" ref="C478">IF(I478&gt;0,INDEX(DB,I478,8),"")</f>
        <v/>
      </c>
      <c r="D478" s="437">
        <f t="shared" si="1"/>
        <v>0</v>
      </c>
      <c r="F478" s="438">
        <f t="shared" si="2"/>
        <v>0</v>
      </c>
      <c r="G478" t="str">
        <f t="shared" si="3"/>
        <v/>
      </c>
      <c r="H478" t="b">
        <f t="shared" si="4"/>
        <v>0</v>
      </c>
      <c r="I478" s="439">
        <f>IF(OR(ISBLANK(A478),ISNA(MATCH(A478&amp;"",AthleteNumbers,0))),0,MATCH(A478&amp;"",AthleteNumbers,0))</f>
        <v>0</v>
      </c>
      <c r="J478" s="209">
        <f t="array" ref="J478">IF(I478&gt;0,INDEX(DB,$I478,6),0)</f>
        <v>0</v>
      </c>
      <c r="K478" s="440">
        <f t="shared" si="5"/>
        <v>0</v>
      </c>
      <c r="L478" s="440">
        <f t="shared" si="6"/>
        <v>0</v>
      </c>
      <c r="M478" s="441">
        <f>IF(AND(L478&gt;O478,O478&gt;0),MinPoints,IF(L478&lt;N478,100,+INT((O478-$L478)/P478)+MinPoints))</f>
        <v>100</v>
      </c>
      <c r="N478" s="440">
        <f t="shared" si="7"/>
        <v>7</v>
      </c>
      <c r="O478" s="440">
        <f t="shared" si="8"/>
        <v>16</v>
      </c>
      <c r="P478" s="440">
        <f t="shared" si="9"/>
        <v>0.1</v>
      </c>
      <c r="Q478">
        <f t="array" ref="Q478">IF(I478&gt;0,INDEX(DB,I478,9),EventIndex)</f>
        <v>6</v>
      </c>
      <c r="S478" s="442">
        <f t="array" ref="S478">INDEX(MINVALUES,$Q478,$K$1)</f>
        <v>16</v>
      </c>
      <c r="T478">
        <f t="array" ref="T478">INDEX(INCVALUES,$Q478,$K$1)</f>
        <v>0.1</v>
      </c>
      <c r="V478">
        <f t="array" ref="V478">+J478+(4*(INDEX(MatchScoreTable,$Q478,20)-1))</f>
        <v>4</v>
      </c>
      <c r="W478">
        <f t="array" ref="W478">INDEX(INC_MINVALUES,$V478,$K$1)</f>
        <v>34</v>
      </c>
      <c r="X478" s="212">
        <f t="array" ref="X478">INDEX(INC_INCVALUES,$V478,$K$1)</f>
        <v>0.3</v>
      </c>
    </row>
    <row r="479" ht="15.75" customHeight="1">
      <c r="A479" s="435"/>
      <c r="B479" s="436"/>
      <c r="C479" s="95" t="str">
        <f t="array" ref="C479">IF(I479&gt;0,INDEX(DB,I479,8),"")</f>
        <v/>
      </c>
      <c r="D479" s="437">
        <f t="shared" si="1"/>
        <v>0</v>
      </c>
      <c r="F479" s="438">
        <f t="shared" si="2"/>
        <v>0</v>
      </c>
      <c r="G479" t="str">
        <f t="shared" si="3"/>
        <v/>
      </c>
      <c r="H479" t="b">
        <f t="shared" si="4"/>
        <v>0</v>
      </c>
      <c r="I479" s="439">
        <f>IF(OR(ISBLANK(A479),ISNA(MATCH(A479&amp;"",AthleteNumbers,0))),0,MATCH(A479&amp;"",AthleteNumbers,0))</f>
        <v>0</v>
      </c>
      <c r="J479" s="209">
        <f t="array" ref="J479">IF(I479&gt;0,INDEX(DB,$I479,6),0)</f>
        <v>0</v>
      </c>
      <c r="K479" s="440">
        <f t="shared" si="5"/>
        <v>0</v>
      </c>
      <c r="L479" s="440">
        <f t="shared" si="6"/>
        <v>0</v>
      </c>
      <c r="M479" s="441">
        <f>IF(AND(L479&gt;O479,O479&gt;0),MinPoints,IF(L479&lt;N479,100,+INT((O479-$L479)/P479)+MinPoints))</f>
        <v>100</v>
      </c>
      <c r="N479" s="440">
        <f t="shared" si="7"/>
        <v>7</v>
      </c>
      <c r="O479" s="440">
        <f t="shared" si="8"/>
        <v>16</v>
      </c>
      <c r="P479" s="440">
        <f t="shared" si="9"/>
        <v>0.1</v>
      </c>
      <c r="Q479">
        <f t="array" ref="Q479">IF(I479&gt;0,INDEX(DB,I479,9),EventIndex)</f>
        <v>6</v>
      </c>
      <c r="S479" s="442">
        <f t="array" ref="S479">INDEX(MINVALUES,$Q479,$K$1)</f>
        <v>16</v>
      </c>
      <c r="T479">
        <f t="array" ref="T479">INDEX(INCVALUES,$Q479,$K$1)</f>
        <v>0.1</v>
      </c>
      <c r="V479">
        <f t="array" ref="V479">+J479+(4*(INDEX(MatchScoreTable,$Q479,20)-1))</f>
        <v>4</v>
      </c>
      <c r="W479">
        <f t="array" ref="W479">INDEX(INC_MINVALUES,$V479,$K$1)</f>
        <v>34</v>
      </c>
      <c r="X479" s="212">
        <f t="array" ref="X479">INDEX(INC_INCVALUES,$V479,$K$1)</f>
        <v>0.3</v>
      </c>
    </row>
    <row r="480" ht="15.75" customHeight="1">
      <c r="A480" s="435"/>
      <c r="B480" s="436"/>
      <c r="C480" s="95" t="str">
        <f t="array" ref="C480">IF(I480&gt;0,INDEX(DB,I480,8),"")</f>
        <v/>
      </c>
      <c r="D480" s="437">
        <f t="shared" si="1"/>
        <v>0</v>
      </c>
      <c r="F480" s="438">
        <f t="shared" si="2"/>
        <v>0</v>
      </c>
      <c r="G480" t="str">
        <f t="shared" si="3"/>
        <v/>
      </c>
      <c r="H480" t="b">
        <f t="shared" si="4"/>
        <v>0</v>
      </c>
      <c r="I480" s="439">
        <f>IF(OR(ISBLANK(A480),ISNA(MATCH(A480&amp;"",AthleteNumbers,0))),0,MATCH(A480&amp;"",AthleteNumbers,0))</f>
        <v>0</v>
      </c>
      <c r="J480" s="209">
        <f t="array" ref="J480">IF(I480&gt;0,INDEX(DB,$I480,6),0)</f>
        <v>0</v>
      </c>
      <c r="K480" s="440">
        <f t="shared" si="5"/>
        <v>0</v>
      </c>
      <c r="L480" s="440">
        <f t="shared" si="6"/>
        <v>0</v>
      </c>
      <c r="M480" s="441">
        <f>IF(AND(L480&gt;O480,O480&gt;0),MinPoints,IF(L480&lt;N480,100,+INT((O480-$L480)/P480)+MinPoints))</f>
        <v>100</v>
      </c>
      <c r="N480" s="440">
        <f t="shared" si="7"/>
        <v>7</v>
      </c>
      <c r="O480" s="440">
        <f t="shared" si="8"/>
        <v>16</v>
      </c>
      <c r="P480" s="440">
        <f t="shared" si="9"/>
        <v>0.1</v>
      </c>
      <c r="Q480">
        <f t="array" ref="Q480">IF(I480&gt;0,INDEX(DB,I480,9),EventIndex)</f>
        <v>6</v>
      </c>
      <c r="S480" s="442">
        <f t="array" ref="S480">INDEX(MINVALUES,$Q480,$K$1)</f>
        <v>16</v>
      </c>
      <c r="T480">
        <f t="array" ref="T480">INDEX(INCVALUES,$Q480,$K$1)</f>
        <v>0.1</v>
      </c>
      <c r="V480">
        <f t="array" ref="V480">+J480+(4*(INDEX(MatchScoreTable,$Q480,20)-1))</f>
        <v>4</v>
      </c>
      <c r="W480">
        <f t="array" ref="W480">INDEX(INC_MINVALUES,$V480,$K$1)</f>
        <v>34</v>
      </c>
      <c r="X480" s="212">
        <f t="array" ref="X480">INDEX(INC_INCVALUES,$V480,$K$1)</f>
        <v>0.3</v>
      </c>
    </row>
    <row r="481" ht="15.75" customHeight="1">
      <c r="A481" s="435"/>
      <c r="B481" s="436"/>
      <c r="C481" s="95" t="str">
        <f t="array" ref="C481">IF(I481&gt;0,INDEX(DB,I481,8),"")</f>
        <v/>
      </c>
      <c r="D481" s="437">
        <f t="shared" si="1"/>
        <v>0</v>
      </c>
      <c r="F481" s="438">
        <f t="shared" si="2"/>
        <v>0</v>
      </c>
      <c r="G481" t="str">
        <f t="shared" si="3"/>
        <v/>
      </c>
      <c r="H481" t="b">
        <f t="shared" si="4"/>
        <v>0</v>
      </c>
      <c r="I481" s="439">
        <f>IF(OR(ISBLANK(A481),ISNA(MATCH(A481&amp;"",AthleteNumbers,0))),0,MATCH(A481&amp;"",AthleteNumbers,0))</f>
        <v>0</v>
      </c>
      <c r="J481" s="209">
        <f t="array" ref="J481">IF(I481&gt;0,INDEX(DB,$I481,6),0)</f>
        <v>0</v>
      </c>
      <c r="K481" s="440">
        <f t="shared" si="5"/>
        <v>0</v>
      </c>
      <c r="L481" s="440">
        <f t="shared" si="6"/>
        <v>0</v>
      </c>
      <c r="M481" s="441">
        <f>IF(AND(L481&gt;O481,O481&gt;0),MinPoints,IF(L481&lt;N481,100,+INT((O481-$L481)/P481)+MinPoints))</f>
        <v>100</v>
      </c>
      <c r="N481" s="440">
        <f t="shared" si="7"/>
        <v>7</v>
      </c>
      <c r="O481" s="440">
        <f t="shared" si="8"/>
        <v>16</v>
      </c>
      <c r="P481" s="440">
        <f t="shared" si="9"/>
        <v>0.1</v>
      </c>
      <c r="Q481">
        <f t="array" ref="Q481">IF(I481&gt;0,INDEX(DB,I481,9),EventIndex)</f>
        <v>6</v>
      </c>
      <c r="S481" s="442">
        <f t="array" ref="S481">INDEX(MINVALUES,$Q481,$K$1)</f>
        <v>16</v>
      </c>
      <c r="T481">
        <f t="array" ref="T481">INDEX(INCVALUES,$Q481,$K$1)</f>
        <v>0.1</v>
      </c>
      <c r="V481">
        <f t="array" ref="V481">+J481+(4*(INDEX(MatchScoreTable,$Q481,20)-1))</f>
        <v>4</v>
      </c>
      <c r="W481">
        <f t="array" ref="W481">INDEX(INC_MINVALUES,$V481,$K$1)</f>
        <v>34</v>
      </c>
      <c r="X481" s="212">
        <f t="array" ref="X481">INDEX(INC_INCVALUES,$V481,$K$1)</f>
        <v>0.3</v>
      </c>
    </row>
    <row r="482" ht="15.75" customHeight="1">
      <c r="A482" s="435"/>
      <c r="B482" s="436"/>
      <c r="C482" s="95" t="str">
        <f t="array" ref="C482">IF(I482&gt;0,INDEX(DB,I482,8),"")</f>
        <v/>
      </c>
      <c r="D482" s="437">
        <f t="shared" si="1"/>
        <v>0</v>
      </c>
      <c r="F482" s="438">
        <f t="shared" si="2"/>
        <v>0</v>
      </c>
      <c r="G482" t="str">
        <f t="shared" si="3"/>
        <v/>
      </c>
      <c r="H482" t="b">
        <f t="shared" si="4"/>
        <v>0</v>
      </c>
      <c r="I482" s="439">
        <f>IF(OR(ISBLANK(A482),ISNA(MATCH(A482&amp;"",AthleteNumbers,0))),0,MATCH(A482&amp;"",AthleteNumbers,0))</f>
        <v>0</v>
      </c>
      <c r="J482" s="209">
        <f t="array" ref="J482">IF(I482&gt;0,INDEX(DB,$I482,6),0)</f>
        <v>0</v>
      </c>
      <c r="K482" s="440">
        <f t="shared" si="5"/>
        <v>0</v>
      </c>
      <c r="L482" s="440">
        <f t="shared" si="6"/>
        <v>0</v>
      </c>
      <c r="M482" s="441">
        <f>IF(AND(L482&gt;O482,O482&gt;0),MinPoints,IF(L482&lt;N482,100,+INT((O482-$L482)/P482)+MinPoints))</f>
        <v>100</v>
      </c>
      <c r="N482" s="440">
        <f t="shared" si="7"/>
        <v>7</v>
      </c>
      <c r="O482" s="440">
        <f t="shared" si="8"/>
        <v>16</v>
      </c>
      <c r="P482" s="440">
        <f t="shared" si="9"/>
        <v>0.1</v>
      </c>
      <c r="Q482">
        <f t="array" ref="Q482">IF(I482&gt;0,INDEX(DB,I482,9),EventIndex)</f>
        <v>6</v>
      </c>
      <c r="S482" s="442">
        <f t="array" ref="S482">INDEX(MINVALUES,$Q482,$K$1)</f>
        <v>16</v>
      </c>
      <c r="T482">
        <f t="array" ref="T482">INDEX(INCVALUES,$Q482,$K$1)</f>
        <v>0.1</v>
      </c>
      <c r="V482">
        <f t="array" ref="V482">+J482+(4*(INDEX(MatchScoreTable,$Q482,20)-1))</f>
        <v>4</v>
      </c>
      <c r="W482">
        <f t="array" ref="W482">INDEX(INC_MINVALUES,$V482,$K$1)</f>
        <v>34</v>
      </c>
      <c r="X482" s="212">
        <f t="array" ref="X482">INDEX(INC_INCVALUES,$V482,$K$1)</f>
        <v>0.3</v>
      </c>
    </row>
    <row r="483" ht="15.75" customHeight="1">
      <c r="A483" s="435"/>
      <c r="B483" s="436"/>
      <c r="C483" s="95" t="str">
        <f t="array" ref="C483">IF(I483&gt;0,INDEX(DB,I483,8),"")</f>
        <v/>
      </c>
      <c r="D483" s="437">
        <f t="shared" si="1"/>
        <v>0</v>
      </c>
      <c r="F483" s="438">
        <f t="shared" si="2"/>
        <v>0</v>
      </c>
      <c r="G483" t="str">
        <f t="shared" si="3"/>
        <v/>
      </c>
      <c r="H483" t="b">
        <f t="shared" si="4"/>
        <v>0</v>
      </c>
      <c r="I483" s="439">
        <f>IF(OR(ISBLANK(A483),ISNA(MATCH(A483&amp;"",AthleteNumbers,0))),0,MATCH(A483&amp;"",AthleteNumbers,0))</f>
        <v>0</v>
      </c>
      <c r="J483" s="209">
        <f t="array" ref="J483">IF(I483&gt;0,INDEX(DB,$I483,6),0)</f>
        <v>0</v>
      </c>
      <c r="K483" s="440">
        <f t="shared" si="5"/>
        <v>0</v>
      </c>
      <c r="L483" s="440">
        <f t="shared" si="6"/>
        <v>0</v>
      </c>
      <c r="M483" s="441">
        <f>IF(AND(L483&gt;O483,O483&gt;0),MinPoints,IF(L483&lt;N483,100,+INT((O483-$L483)/P483)+MinPoints))</f>
        <v>100</v>
      </c>
      <c r="N483" s="440">
        <f t="shared" si="7"/>
        <v>7</v>
      </c>
      <c r="O483" s="440">
        <f t="shared" si="8"/>
        <v>16</v>
      </c>
      <c r="P483" s="440">
        <f t="shared" si="9"/>
        <v>0.1</v>
      </c>
      <c r="Q483">
        <f t="array" ref="Q483">IF(I483&gt;0,INDEX(DB,I483,9),EventIndex)</f>
        <v>6</v>
      </c>
      <c r="S483" s="442">
        <f t="array" ref="S483">INDEX(MINVALUES,$Q483,$K$1)</f>
        <v>16</v>
      </c>
      <c r="T483">
        <f t="array" ref="T483">INDEX(INCVALUES,$Q483,$K$1)</f>
        <v>0.1</v>
      </c>
      <c r="V483">
        <f t="array" ref="V483">+J483+(4*(INDEX(MatchScoreTable,$Q483,20)-1))</f>
        <v>4</v>
      </c>
      <c r="W483">
        <f t="array" ref="W483">INDEX(INC_MINVALUES,$V483,$K$1)</f>
        <v>34</v>
      </c>
      <c r="X483" s="212">
        <f t="array" ref="X483">INDEX(INC_INCVALUES,$V483,$K$1)</f>
        <v>0.3</v>
      </c>
    </row>
    <row r="484" ht="15.75" customHeight="1">
      <c r="A484" s="435"/>
      <c r="B484" s="436"/>
      <c r="C484" s="95" t="str">
        <f t="array" ref="C484">IF(I484&gt;0,INDEX(DB,I484,8),"")</f>
        <v/>
      </c>
      <c r="D484" s="437">
        <f t="shared" si="1"/>
        <v>0</v>
      </c>
      <c r="F484" s="438">
        <f t="shared" si="2"/>
        <v>0</v>
      </c>
      <c r="G484" t="str">
        <f t="shared" si="3"/>
        <v/>
      </c>
      <c r="H484" t="b">
        <f t="shared" si="4"/>
        <v>0</v>
      </c>
      <c r="I484" s="439">
        <f>IF(OR(ISBLANK(A484),ISNA(MATCH(A484&amp;"",AthleteNumbers,0))),0,MATCH(A484&amp;"",AthleteNumbers,0))</f>
        <v>0</v>
      </c>
      <c r="J484" s="209">
        <f t="array" ref="J484">IF(I484&gt;0,INDEX(DB,$I484,6),0)</f>
        <v>0</v>
      </c>
      <c r="K484" s="440">
        <f t="shared" si="5"/>
        <v>0</v>
      </c>
      <c r="L484" s="440">
        <f t="shared" si="6"/>
        <v>0</v>
      </c>
      <c r="M484" s="441">
        <f>IF(AND(L484&gt;O484,O484&gt;0),MinPoints,IF(L484&lt;N484,100,+INT((O484-$L484)/P484)+MinPoints))</f>
        <v>100</v>
      </c>
      <c r="N484" s="440">
        <f t="shared" si="7"/>
        <v>7</v>
      </c>
      <c r="O484" s="440">
        <f t="shared" si="8"/>
        <v>16</v>
      </c>
      <c r="P484" s="440">
        <f t="shared" si="9"/>
        <v>0.1</v>
      </c>
      <c r="Q484">
        <f t="array" ref="Q484">IF(I484&gt;0,INDEX(DB,I484,9),EventIndex)</f>
        <v>6</v>
      </c>
      <c r="S484" s="442">
        <f t="array" ref="S484">INDEX(MINVALUES,$Q484,$K$1)</f>
        <v>16</v>
      </c>
      <c r="T484">
        <f t="array" ref="T484">INDEX(INCVALUES,$Q484,$K$1)</f>
        <v>0.1</v>
      </c>
      <c r="V484">
        <f t="array" ref="V484">+J484+(4*(INDEX(MatchScoreTable,$Q484,20)-1))</f>
        <v>4</v>
      </c>
      <c r="W484">
        <f t="array" ref="W484">INDEX(INC_MINVALUES,$V484,$K$1)</f>
        <v>34</v>
      </c>
      <c r="X484" s="212">
        <f t="array" ref="X484">INDEX(INC_INCVALUES,$V484,$K$1)</f>
        <v>0.3</v>
      </c>
    </row>
    <row r="485" ht="15.75" customHeight="1">
      <c r="A485" s="435"/>
      <c r="B485" s="436"/>
      <c r="C485" s="95" t="str">
        <f t="array" ref="C485">IF(I485&gt;0,INDEX(DB,I485,8),"")</f>
        <v/>
      </c>
      <c r="D485" s="437">
        <f t="shared" si="1"/>
        <v>0</v>
      </c>
      <c r="F485" s="438">
        <f t="shared" si="2"/>
        <v>0</v>
      </c>
      <c r="G485" t="str">
        <f t="shared" si="3"/>
        <v/>
      </c>
      <c r="H485" t="b">
        <f t="shared" si="4"/>
        <v>0</v>
      </c>
      <c r="I485" s="439">
        <f>IF(OR(ISBLANK(A485),ISNA(MATCH(A485&amp;"",AthleteNumbers,0))),0,MATCH(A485&amp;"",AthleteNumbers,0))</f>
        <v>0</v>
      </c>
      <c r="J485" s="209">
        <f t="array" ref="J485">IF(I485&gt;0,INDEX(DB,$I485,6),0)</f>
        <v>0</v>
      </c>
      <c r="K485" s="440">
        <f t="shared" si="5"/>
        <v>0</v>
      </c>
      <c r="L485" s="440">
        <f t="shared" si="6"/>
        <v>0</v>
      </c>
      <c r="M485" s="441">
        <f>IF(AND(L485&gt;O485,O485&gt;0),MinPoints,IF(L485&lt;N485,100,+INT((O485-$L485)/P485)+MinPoints))</f>
        <v>100</v>
      </c>
      <c r="N485" s="440">
        <f t="shared" si="7"/>
        <v>7</v>
      </c>
      <c r="O485" s="440">
        <f t="shared" si="8"/>
        <v>16</v>
      </c>
      <c r="P485" s="440">
        <f t="shared" si="9"/>
        <v>0.1</v>
      </c>
      <c r="Q485">
        <f t="array" ref="Q485">IF(I485&gt;0,INDEX(DB,I485,9),EventIndex)</f>
        <v>6</v>
      </c>
      <c r="S485" s="442">
        <f t="array" ref="S485">INDEX(MINVALUES,$Q485,$K$1)</f>
        <v>16</v>
      </c>
      <c r="T485">
        <f t="array" ref="T485">INDEX(INCVALUES,$Q485,$K$1)</f>
        <v>0.1</v>
      </c>
      <c r="V485">
        <f t="array" ref="V485">+J485+(4*(INDEX(MatchScoreTable,$Q485,20)-1))</f>
        <v>4</v>
      </c>
      <c r="W485">
        <f t="array" ref="W485">INDEX(INC_MINVALUES,$V485,$K$1)</f>
        <v>34</v>
      </c>
      <c r="X485" s="212">
        <f t="array" ref="X485">INDEX(INC_INCVALUES,$V485,$K$1)</f>
        <v>0.3</v>
      </c>
    </row>
    <row r="486" ht="15.75" customHeight="1">
      <c r="A486" s="435"/>
      <c r="B486" s="436"/>
      <c r="C486" s="95" t="str">
        <f t="array" ref="C486">IF(I486&gt;0,INDEX(DB,I486,8),"")</f>
        <v/>
      </c>
      <c r="D486" s="437">
        <f t="shared" si="1"/>
        <v>0</v>
      </c>
      <c r="F486" s="438">
        <f t="shared" si="2"/>
        <v>0</v>
      </c>
      <c r="G486" t="str">
        <f t="shared" si="3"/>
        <v/>
      </c>
      <c r="H486" t="b">
        <f t="shared" si="4"/>
        <v>0</v>
      </c>
      <c r="I486" s="439">
        <f>IF(OR(ISBLANK(A486),ISNA(MATCH(A486&amp;"",AthleteNumbers,0))),0,MATCH(A486&amp;"",AthleteNumbers,0))</f>
        <v>0</v>
      </c>
      <c r="J486" s="209">
        <f t="array" ref="J486">IF(I486&gt;0,INDEX(DB,$I486,6),0)</f>
        <v>0</v>
      </c>
      <c r="K486" s="440">
        <f t="shared" si="5"/>
        <v>0</v>
      </c>
      <c r="L486" s="440">
        <f t="shared" si="6"/>
        <v>0</v>
      </c>
      <c r="M486" s="441">
        <f>IF(AND(L486&gt;O486,O486&gt;0),MinPoints,IF(L486&lt;N486,100,+INT((O486-$L486)/P486)+MinPoints))</f>
        <v>100</v>
      </c>
      <c r="N486" s="440">
        <f t="shared" si="7"/>
        <v>7</v>
      </c>
      <c r="O486" s="440">
        <f t="shared" si="8"/>
        <v>16</v>
      </c>
      <c r="P486" s="440">
        <f t="shared" si="9"/>
        <v>0.1</v>
      </c>
      <c r="Q486">
        <f t="array" ref="Q486">IF(I486&gt;0,INDEX(DB,I486,9),EventIndex)</f>
        <v>6</v>
      </c>
      <c r="S486" s="442">
        <f t="array" ref="S486">INDEX(MINVALUES,$Q486,$K$1)</f>
        <v>16</v>
      </c>
      <c r="T486">
        <f t="array" ref="T486">INDEX(INCVALUES,$Q486,$K$1)</f>
        <v>0.1</v>
      </c>
      <c r="V486">
        <f t="array" ref="V486">+J486+(4*(INDEX(MatchScoreTable,$Q486,20)-1))</f>
        <v>4</v>
      </c>
      <c r="W486">
        <f t="array" ref="W486">INDEX(INC_MINVALUES,$V486,$K$1)</f>
        <v>34</v>
      </c>
      <c r="X486" s="212">
        <f t="array" ref="X486">INDEX(INC_INCVALUES,$V486,$K$1)</f>
        <v>0.3</v>
      </c>
    </row>
    <row r="487" ht="15.75" customHeight="1">
      <c r="A487" s="435"/>
      <c r="B487" s="436"/>
      <c r="C487" s="95" t="str">
        <f t="array" ref="C487">IF(I487&gt;0,INDEX(DB,I487,8),"")</f>
        <v/>
      </c>
      <c r="D487" s="437">
        <f t="shared" si="1"/>
        <v>0</v>
      </c>
      <c r="F487" s="438">
        <f t="shared" si="2"/>
        <v>0</v>
      </c>
      <c r="G487" t="str">
        <f t="shared" si="3"/>
        <v/>
      </c>
      <c r="H487" t="b">
        <f t="shared" si="4"/>
        <v>0</v>
      </c>
      <c r="I487" s="439">
        <f>IF(OR(ISBLANK(A487),ISNA(MATCH(A487&amp;"",AthleteNumbers,0))),0,MATCH(A487&amp;"",AthleteNumbers,0))</f>
        <v>0</v>
      </c>
      <c r="J487" s="209">
        <f t="array" ref="J487">IF(I487&gt;0,INDEX(DB,$I487,6),0)</f>
        <v>0</v>
      </c>
      <c r="K487" s="440">
        <f t="shared" si="5"/>
        <v>0</v>
      </c>
      <c r="L487" s="440">
        <f t="shared" si="6"/>
        <v>0</v>
      </c>
      <c r="M487" s="441">
        <f>IF(AND(L487&gt;O487,O487&gt;0),MinPoints,IF(L487&lt;N487,100,+INT((O487-$L487)/P487)+MinPoints))</f>
        <v>100</v>
      </c>
      <c r="N487" s="440">
        <f t="shared" si="7"/>
        <v>7</v>
      </c>
      <c r="O487" s="440">
        <f t="shared" si="8"/>
        <v>16</v>
      </c>
      <c r="P487" s="440">
        <f t="shared" si="9"/>
        <v>0.1</v>
      </c>
      <c r="Q487">
        <f t="array" ref="Q487">IF(I487&gt;0,INDEX(DB,I487,9),EventIndex)</f>
        <v>6</v>
      </c>
      <c r="S487" s="442">
        <f t="array" ref="S487">INDEX(MINVALUES,$Q487,$K$1)</f>
        <v>16</v>
      </c>
      <c r="T487">
        <f t="array" ref="T487">INDEX(INCVALUES,$Q487,$K$1)</f>
        <v>0.1</v>
      </c>
      <c r="V487">
        <f t="array" ref="V487">+J487+(4*(INDEX(MatchScoreTable,$Q487,20)-1))</f>
        <v>4</v>
      </c>
      <c r="W487">
        <f t="array" ref="W487">INDEX(INC_MINVALUES,$V487,$K$1)</f>
        <v>34</v>
      </c>
      <c r="X487" s="212">
        <f t="array" ref="X487">INDEX(INC_INCVALUES,$V487,$K$1)</f>
        <v>0.3</v>
      </c>
    </row>
    <row r="488" ht="15.75" customHeight="1">
      <c r="A488" s="435"/>
      <c r="B488" s="436"/>
      <c r="C488" s="95" t="str">
        <f t="array" ref="C488">IF(I488&gt;0,INDEX(DB,I488,8),"")</f>
        <v/>
      </c>
      <c r="D488" s="437">
        <f t="shared" si="1"/>
        <v>0</v>
      </c>
      <c r="F488" s="438">
        <f t="shared" si="2"/>
        <v>0</v>
      </c>
      <c r="G488" t="str">
        <f t="shared" si="3"/>
        <v/>
      </c>
      <c r="H488" t="b">
        <f t="shared" si="4"/>
        <v>0</v>
      </c>
      <c r="I488" s="439">
        <f>IF(OR(ISBLANK(A488),ISNA(MATCH(A488&amp;"",AthleteNumbers,0))),0,MATCH(A488&amp;"",AthleteNumbers,0))</f>
        <v>0</v>
      </c>
      <c r="J488" s="209">
        <f t="array" ref="J488">IF(I488&gt;0,INDEX(DB,$I488,6),0)</f>
        <v>0</v>
      </c>
      <c r="K488" s="440">
        <f t="shared" si="5"/>
        <v>0</v>
      </c>
      <c r="L488" s="440">
        <f t="shared" si="6"/>
        <v>0</v>
      </c>
      <c r="M488" s="441">
        <f>IF(AND(L488&gt;O488,O488&gt;0),MinPoints,IF(L488&lt;N488,100,+INT((O488-$L488)/P488)+MinPoints))</f>
        <v>100</v>
      </c>
      <c r="N488" s="440">
        <f t="shared" si="7"/>
        <v>7</v>
      </c>
      <c r="O488" s="440">
        <f t="shared" si="8"/>
        <v>16</v>
      </c>
      <c r="P488" s="440">
        <f t="shared" si="9"/>
        <v>0.1</v>
      </c>
      <c r="Q488">
        <f t="array" ref="Q488">IF(I488&gt;0,INDEX(DB,I488,9),EventIndex)</f>
        <v>6</v>
      </c>
      <c r="S488" s="442">
        <f t="array" ref="S488">INDEX(MINVALUES,$Q488,$K$1)</f>
        <v>16</v>
      </c>
      <c r="T488">
        <f t="array" ref="T488">INDEX(INCVALUES,$Q488,$K$1)</f>
        <v>0.1</v>
      </c>
      <c r="V488">
        <f t="array" ref="V488">+J488+(4*(INDEX(MatchScoreTable,$Q488,20)-1))</f>
        <v>4</v>
      </c>
      <c r="W488">
        <f t="array" ref="W488">INDEX(INC_MINVALUES,$V488,$K$1)</f>
        <v>34</v>
      </c>
      <c r="X488" s="212">
        <f t="array" ref="X488">INDEX(INC_INCVALUES,$V488,$K$1)</f>
        <v>0.3</v>
      </c>
    </row>
    <row r="489" ht="15.75" customHeight="1">
      <c r="A489" s="435"/>
      <c r="B489" s="436"/>
      <c r="C489" s="95" t="str">
        <f t="array" ref="C489">IF(I489&gt;0,INDEX(DB,I489,8),"")</f>
        <v/>
      </c>
      <c r="D489" s="437">
        <f t="shared" si="1"/>
        <v>0</v>
      </c>
      <c r="F489" s="438">
        <f t="shared" si="2"/>
        <v>0</v>
      </c>
      <c r="G489" t="str">
        <f t="shared" si="3"/>
        <v/>
      </c>
      <c r="H489" t="b">
        <f t="shared" si="4"/>
        <v>0</v>
      </c>
      <c r="I489" s="439">
        <f>IF(OR(ISBLANK(A489),ISNA(MATCH(A489&amp;"",AthleteNumbers,0))),0,MATCH(A489&amp;"",AthleteNumbers,0))</f>
        <v>0</v>
      </c>
      <c r="J489" s="209">
        <f t="array" ref="J489">IF(I489&gt;0,INDEX(DB,$I489,6),0)</f>
        <v>0</v>
      </c>
      <c r="K489" s="440">
        <f t="shared" si="5"/>
        <v>0</v>
      </c>
      <c r="L489" s="440">
        <f t="shared" si="6"/>
        <v>0</v>
      </c>
      <c r="M489" s="441">
        <f>IF(AND(L489&gt;O489,O489&gt;0),MinPoints,IF(L489&lt;N489,100,+INT((O489-$L489)/P489)+MinPoints))</f>
        <v>100</v>
      </c>
      <c r="N489" s="440">
        <f t="shared" si="7"/>
        <v>7</v>
      </c>
      <c r="O489" s="440">
        <f t="shared" si="8"/>
        <v>16</v>
      </c>
      <c r="P489" s="440">
        <f t="shared" si="9"/>
        <v>0.1</v>
      </c>
      <c r="Q489">
        <f t="array" ref="Q489">IF(I489&gt;0,INDEX(DB,I489,9),EventIndex)</f>
        <v>6</v>
      </c>
      <c r="S489" s="442">
        <f t="array" ref="S489">INDEX(MINVALUES,$Q489,$K$1)</f>
        <v>16</v>
      </c>
      <c r="T489">
        <f t="array" ref="T489">INDEX(INCVALUES,$Q489,$K$1)</f>
        <v>0.1</v>
      </c>
      <c r="V489">
        <f t="array" ref="V489">+J489+(4*(INDEX(MatchScoreTable,$Q489,20)-1))</f>
        <v>4</v>
      </c>
      <c r="W489">
        <f t="array" ref="W489">INDEX(INC_MINVALUES,$V489,$K$1)</f>
        <v>34</v>
      </c>
      <c r="X489" s="212">
        <f t="array" ref="X489">INDEX(INC_INCVALUES,$V489,$K$1)</f>
        <v>0.3</v>
      </c>
    </row>
    <row r="490" ht="15.75" customHeight="1">
      <c r="A490" s="435"/>
      <c r="B490" s="436"/>
      <c r="C490" s="95" t="str">
        <f t="array" ref="C490">IF(I490&gt;0,INDEX(DB,I490,8),"")</f>
        <v/>
      </c>
      <c r="D490" s="437">
        <f t="shared" si="1"/>
        <v>0</v>
      </c>
      <c r="F490" s="438">
        <f t="shared" si="2"/>
        <v>0</v>
      </c>
      <c r="G490" t="str">
        <f t="shared" si="3"/>
        <v/>
      </c>
      <c r="H490" t="b">
        <f t="shared" si="4"/>
        <v>0</v>
      </c>
      <c r="I490" s="439">
        <f>IF(OR(ISBLANK(A490),ISNA(MATCH(A490&amp;"",AthleteNumbers,0))),0,MATCH(A490&amp;"",AthleteNumbers,0))</f>
        <v>0</v>
      </c>
      <c r="J490" s="209">
        <f t="array" ref="J490">IF(I490&gt;0,INDEX(DB,$I490,6),0)</f>
        <v>0</v>
      </c>
      <c r="K490" s="440">
        <f t="shared" si="5"/>
        <v>0</v>
      </c>
      <c r="L490" s="440">
        <f t="shared" si="6"/>
        <v>0</v>
      </c>
      <c r="M490" s="441">
        <f>IF(AND(L490&gt;O490,O490&gt;0),MinPoints,IF(L490&lt;N490,100,+INT((O490-$L490)/P490)+MinPoints))</f>
        <v>100</v>
      </c>
      <c r="N490" s="440">
        <f t="shared" si="7"/>
        <v>7</v>
      </c>
      <c r="O490" s="440">
        <f t="shared" si="8"/>
        <v>16</v>
      </c>
      <c r="P490" s="440">
        <f t="shared" si="9"/>
        <v>0.1</v>
      </c>
      <c r="Q490">
        <f t="array" ref="Q490">IF(I490&gt;0,INDEX(DB,I490,9),EventIndex)</f>
        <v>6</v>
      </c>
      <c r="S490" s="442">
        <f t="array" ref="S490">INDEX(MINVALUES,$Q490,$K$1)</f>
        <v>16</v>
      </c>
      <c r="T490">
        <f t="array" ref="T490">INDEX(INCVALUES,$Q490,$K$1)</f>
        <v>0.1</v>
      </c>
      <c r="V490">
        <f t="array" ref="V490">+J490+(4*(INDEX(MatchScoreTable,$Q490,20)-1))</f>
        <v>4</v>
      </c>
      <c r="W490">
        <f t="array" ref="W490">INDEX(INC_MINVALUES,$V490,$K$1)</f>
        <v>34</v>
      </c>
      <c r="X490" s="212">
        <f t="array" ref="X490">INDEX(INC_INCVALUES,$V490,$K$1)</f>
        <v>0.3</v>
      </c>
    </row>
    <row r="491" ht="15.75" customHeight="1">
      <c r="A491" s="435"/>
      <c r="B491" s="436"/>
      <c r="C491" s="95" t="str">
        <f t="array" ref="C491">IF(I491&gt;0,INDEX(DB,I491,8),"")</f>
        <v/>
      </c>
      <c r="D491" s="437">
        <f t="shared" si="1"/>
        <v>0</v>
      </c>
      <c r="F491" s="438">
        <f t="shared" si="2"/>
        <v>0</v>
      </c>
      <c r="G491" t="str">
        <f t="shared" si="3"/>
        <v/>
      </c>
      <c r="H491" t="b">
        <f t="shared" si="4"/>
        <v>0</v>
      </c>
      <c r="I491" s="439">
        <f>IF(OR(ISBLANK(A491),ISNA(MATCH(A491&amp;"",AthleteNumbers,0))),0,MATCH(A491&amp;"",AthleteNumbers,0))</f>
        <v>0</v>
      </c>
      <c r="J491" s="209">
        <f t="array" ref="J491">IF(I491&gt;0,INDEX(DB,$I491,6),0)</f>
        <v>0</v>
      </c>
      <c r="K491" s="440">
        <f t="shared" si="5"/>
        <v>0</v>
      </c>
      <c r="L491" s="440">
        <f t="shared" si="6"/>
        <v>0</v>
      </c>
      <c r="M491" s="441">
        <f>IF(AND(L491&gt;O491,O491&gt;0),MinPoints,IF(L491&lt;N491,100,+INT((O491-$L491)/P491)+MinPoints))</f>
        <v>100</v>
      </c>
      <c r="N491" s="440">
        <f t="shared" si="7"/>
        <v>7</v>
      </c>
      <c r="O491" s="440">
        <f t="shared" si="8"/>
        <v>16</v>
      </c>
      <c r="P491" s="440">
        <f t="shared" si="9"/>
        <v>0.1</v>
      </c>
      <c r="Q491">
        <f t="array" ref="Q491">IF(I491&gt;0,INDEX(DB,I491,9),EventIndex)</f>
        <v>6</v>
      </c>
      <c r="S491" s="442">
        <f t="array" ref="S491">INDEX(MINVALUES,$Q491,$K$1)</f>
        <v>16</v>
      </c>
      <c r="T491">
        <f t="array" ref="T491">INDEX(INCVALUES,$Q491,$K$1)</f>
        <v>0.1</v>
      </c>
      <c r="V491">
        <f t="array" ref="V491">+J491+(4*(INDEX(MatchScoreTable,$Q491,20)-1))</f>
        <v>4</v>
      </c>
      <c r="W491">
        <f t="array" ref="W491">INDEX(INC_MINVALUES,$V491,$K$1)</f>
        <v>34</v>
      </c>
      <c r="X491" s="212">
        <f t="array" ref="X491">INDEX(INC_INCVALUES,$V491,$K$1)</f>
        <v>0.3</v>
      </c>
    </row>
    <row r="492" ht="15.75" customHeight="1">
      <c r="A492" s="435"/>
      <c r="B492" s="436"/>
      <c r="C492" s="95" t="str">
        <f t="array" ref="C492">IF(I492&gt;0,INDEX(DB,I492,8),"")</f>
        <v/>
      </c>
      <c r="D492" s="437">
        <f t="shared" si="1"/>
        <v>0</v>
      </c>
      <c r="F492" s="438">
        <f t="shared" si="2"/>
        <v>0</v>
      </c>
      <c r="G492" t="str">
        <f t="shared" si="3"/>
        <v/>
      </c>
      <c r="H492" t="b">
        <f t="shared" si="4"/>
        <v>0</v>
      </c>
      <c r="I492" s="439">
        <f>IF(OR(ISBLANK(A492),ISNA(MATCH(A492&amp;"",AthleteNumbers,0))),0,MATCH(A492&amp;"",AthleteNumbers,0))</f>
        <v>0</v>
      </c>
      <c r="J492" s="209">
        <f t="array" ref="J492">IF(I492&gt;0,INDEX(DB,$I492,6),0)</f>
        <v>0</v>
      </c>
      <c r="K492" s="440">
        <f t="shared" si="5"/>
        <v>0</v>
      </c>
      <c r="L492" s="440">
        <f t="shared" si="6"/>
        <v>0</v>
      </c>
      <c r="M492" s="441">
        <f>IF(AND(L492&gt;O492,O492&gt;0),MinPoints,IF(L492&lt;N492,100,+INT((O492-$L492)/P492)+MinPoints))</f>
        <v>100</v>
      </c>
      <c r="N492" s="440">
        <f t="shared" si="7"/>
        <v>7</v>
      </c>
      <c r="O492" s="440">
        <f t="shared" si="8"/>
        <v>16</v>
      </c>
      <c r="P492" s="440">
        <f t="shared" si="9"/>
        <v>0.1</v>
      </c>
      <c r="Q492">
        <f t="array" ref="Q492">IF(I492&gt;0,INDEX(DB,I492,9),EventIndex)</f>
        <v>6</v>
      </c>
      <c r="S492" s="442">
        <f t="array" ref="S492">INDEX(MINVALUES,$Q492,$K$1)</f>
        <v>16</v>
      </c>
      <c r="T492">
        <f t="array" ref="T492">INDEX(INCVALUES,$Q492,$K$1)</f>
        <v>0.1</v>
      </c>
      <c r="V492">
        <f t="array" ref="V492">+J492+(4*(INDEX(MatchScoreTable,$Q492,20)-1))</f>
        <v>4</v>
      </c>
      <c r="W492">
        <f t="array" ref="W492">INDEX(INC_MINVALUES,$V492,$K$1)</f>
        <v>34</v>
      </c>
      <c r="X492" s="212">
        <f t="array" ref="X492">INDEX(INC_INCVALUES,$V492,$K$1)</f>
        <v>0.3</v>
      </c>
    </row>
    <row r="493" ht="15.75" customHeight="1">
      <c r="A493" s="435"/>
      <c r="B493" s="436"/>
      <c r="C493" s="95" t="str">
        <f t="array" ref="C493">IF(I493&gt;0,INDEX(DB,I493,8),"")</f>
        <v/>
      </c>
      <c r="D493" s="437">
        <f t="shared" si="1"/>
        <v>0</v>
      </c>
      <c r="F493" s="438">
        <f t="shared" si="2"/>
        <v>0</v>
      </c>
      <c r="G493" t="str">
        <f t="shared" si="3"/>
        <v/>
      </c>
      <c r="H493" t="b">
        <f t="shared" si="4"/>
        <v>0</v>
      </c>
      <c r="I493" s="439">
        <f>IF(OR(ISBLANK(A493),ISNA(MATCH(A493&amp;"",AthleteNumbers,0))),0,MATCH(A493&amp;"",AthleteNumbers,0))</f>
        <v>0</v>
      </c>
      <c r="J493" s="209">
        <f t="array" ref="J493">IF(I493&gt;0,INDEX(DB,$I493,6),0)</f>
        <v>0</v>
      </c>
      <c r="K493" s="440">
        <f t="shared" si="5"/>
        <v>0</v>
      </c>
      <c r="L493" s="440">
        <f t="shared" si="6"/>
        <v>0</v>
      </c>
      <c r="M493" s="441">
        <f>IF(AND(L493&gt;O493,O493&gt;0),MinPoints,IF(L493&lt;N493,100,+INT((O493-$L493)/P493)+MinPoints))</f>
        <v>100</v>
      </c>
      <c r="N493" s="440">
        <f t="shared" si="7"/>
        <v>7</v>
      </c>
      <c r="O493" s="440">
        <f t="shared" si="8"/>
        <v>16</v>
      </c>
      <c r="P493" s="440">
        <f t="shared" si="9"/>
        <v>0.1</v>
      </c>
      <c r="Q493">
        <f t="array" ref="Q493">IF(I493&gt;0,INDEX(DB,I493,9),EventIndex)</f>
        <v>6</v>
      </c>
      <c r="S493" s="442">
        <f t="array" ref="S493">INDEX(MINVALUES,$Q493,$K$1)</f>
        <v>16</v>
      </c>
      <c r="T493">
        <f t="array" ref="T493">INDEX(INCVALUES,$Q493,$K$1)</f>
        <v>0.1</v>
      </c>
      <c r="V493">
        <f t="array" ref="V493">+J493+(4*(INDEX(MatchScoreTable,$Q493,20)-1))</f>
        <v>4</v>
      </c>
      <c r="W493">
        <f t="array" ref="W493">INDEX(INC_MINVALUES,$V493,$K$1)</f>
        <v>34</v>
      </c>
      <c r="X493" s="212">
        <f t="array" ref="X493">INDEX(INC_INCVALUES,$V493,$K$1)</f>
        <v>0.3</v>
      </c>
    </row>
    <row r="494" ht="15.75" customHeight="1">
      <c r="A494" s="435"/>
      <c r="B494" s="436"/>
      <c r="C494" s="95" t="str">
        <f t="array" ref="C494">IF(I494&gt;0,INDEX(DB,I494,8),"")</f>
        <v/>
      </c>
      <c r="D494" s="437">
        <f t="shared" si="1"/>
        <v>0</v>
      </c>
      <c r="F494" s="438">
        <f t="shared" si="2"/>
        <v>0</v>
      </c>
      <c r="G494" t="str">
        <f t="shared" si="3"/>
        <v/>
      </c>
      <c r="H494" t="b">
        <f t="shared" si="4"/>
        <v>0</v>
      </c>
      <c r="I494" s="439">
        <f>IF(OR(ISBLANK(A494),ISNA(MATCH(A494&amp;"",AthleteNumbers,0))),0,MATCH(A494&amp;"",AthleteNumbers,0))</f>
        <v>0</v>
      </c>
      <c r="J494" s="209">
        <f t="array" ref="J494">IF(I494&gt;0,INDEX(DB,$I494,6),0)</f>
        <v>0</v>
      </c>
      <c r="K494" s="440">
        <f t="shared" si="5"/>
        <v>0</v>
      </c>
      <c r="L494" s="440">
        <f t="shared" si="6"/>
        <v>0</v>
      </c>
      <c r="M494" s="441">
        <f>IF(AND(L494&gt;O494,O494&gt;0),MinPoints,IF(L494&lt;N494,100,+INT((O494-$L494)/P494)+MinPoints))</f>
        <v>100</v>
      </c>
      <c r="N494" s="440">
        <f t="shared" si="7"/>
        <v>7</v>
      </c>
      <c r="O494" s="440">
        <f t="shared" si="8"/>
        <v>16</v>
      </c>
      <c r="P494" s="440">
        <f t="shared" si="9"/>
        <v>0.1</v>
      </c>
      <c r="Q494">
        <f t="array" ref="Q494">IF(I494&gt;0,INDEX(DB,I494,9),EventIndex)</f>
        <v>6</v>
      </c>
      <c r="S494" s="442">
        <f t="array" ref="S494">INDEX(MINVALUES,$Q494,$K$1)</f>
        <v>16</v>
      </c>
      <c r="T494">
        <f t="array" ref="T494">INDEX(INCVALUES,$Q494,$K$1)</f>
        <v>0.1</v>
      </c>
      <c r="V494">
        <f t="array" ref="V494">+J494+(4*(INDEX(MatchScoreTable,$Q494,20)-1))</f>
        <v>4</v>
      </c>
      <c r="W494">
        <f t="array" ref="W494">INDEX(INC_MINVALUES,$V494,$K$1)</f>
        <v>34</v>
      </c>
      <c r="X494" s="212">
        <f t="array" ref="X494">INDEX(INC_INCVALUES,$V494,$K$1)</f>
        <v>0.3</v>
      </c>
    </row>
    <row r="495" ht="15.75" customHeight="1">
      <c r="A495" s="435"/>
      <c r="B495" s="436"/>
      <c r="C495" s="95" t="str">
        <f t="array" ref="C495">IF(I495&gt;0,INDEX(DB,I495,8),"")</f>
        <v/>
      </c>
      <c r="D495" s="437">
        <f t="shared" si="1"/>
        <v>0</v>
      </c>
      <c r="F495" s="438">
        <f t="shared" si="2"/>
        <v>0</v>
      </c>
      <c r="G495" t="str">
        <f t="shared" si="3"/>
        <v/>
      </c>
      <c r="H495" t="b">
        <f t="shared" si="4"/>
        <v>0</v>
      </c>
      <c r="I495" s="439">
        <f>IF(OR(ISBLANK(A495),ISNA(MATCH(A495&amp;"",AthleteNumbers,0))),0,MATCH(A495&amp;"",AthleteNumbers,0))</f>
        <v>0</v>
      </c>
      <c r="J495" s="209">
        <f t="array" ref="J495">IF(I495&gt;0,INDEX(DB,$I495,6),0)</f>
        <v>0</v>
      </c>
      <c r="K495" s="440">
        <f t="shared" si="5"/>
        <v>0</v>
      </c>
      <c r="L495" s="440">
        <f t="shared" si="6"/>
        <v>0</v>
      </c>
      <c r="M495" s="441">
        <f>IF(AND(L495&gt;O495,O495&gt;0),MinPoints,IF(L495&lt;N495,100,+INT((O495-$L495)/P495)+MinPoints))</f>
        <v>100</v>
      </c>
      <c r="N495" s="440">
        <f t="shared" si="7"/>
        <v>7</v>
      </c>
      <c r="O495" s="440">
        <f t="shared" si="8"/>
        <v>16</v>
      </c>
      <c r="P495" s="440">
        <f t="shared" si="9"/>
        <v>0.1</v>
      </c>
      <c r="Q495">
        <f t="array" ref="Q495">IF(I495&gt;0,INDEX(DB,I495,9),EventIndex)</f>
        <v>6</v>
      </c>
      <c r="S495" s="442">
        <f t="array" ref="S495">INDEX(MINVALUES,$Q495,$K$1)</f>
        <v>16</v>
      </c>
      <c r="T495">
        <f t="array" ref="T495">INDEX(INCVALUES,$Q495,$K$1)</f>
        <v>0.1</v>
      </c>
      <c r="V495">
        <f t="array" ref="V495">+J495+(4*(INDEX(MatchScoreTable,$Q495,20)-1))</f>
        <v>4</v>
      </c>
      <c r="W495">
        <f t="array" ref="W495">INDEX(INC_MINVALUES,$V495,$K$1)</f>
        <v>34</v>
      </c>
      <c r="X495" s="212">
        <f t="array" ref="X495">INDEX(INC_INCVALUES,$V495,$K$1)</f>
        <v>0.3</v>
      </c>
    </row>
    <row r="496" ht="15.75" customHeight="1">
      <c r="A496" s="435"/>
      <c r="B496" s="436"/>
      <c r="C496" s="95" t="str">
        <f t="array" ref="C496">IF(I496&gt;0,INDEX(DB,I496,8),"")</f>
        <v/>
      </c>
      <c r="D496" s="437">
        <f t="shared" si="1"/>
        <v>0</v>
      </c>
      <c r="F496" s="438">
        <f t="shared" si="2"/>
        <v>0</v>
      </c>
      <c r="G496" t="str">
        <f t="shared" si="3"/>
        <v/>
      </c>
      <c r="H496" t="b">
        <f t="shared" si="4"/>
        <v>0</v>
      </c>
      <c r="I496" s="439">
        <f>IF(OR(ISBLANK(A496),ISNA(MATCH(A496&amp;"",AthleteNumbers,0))),0,MATCH(A496&amp;"",AthleteNumbers,0))</f>
        <v>0</v>
      </c>
      <c r="J496" s="209">
        <f t="array" ref="J496">IF(I496&gt;0,INDEX(DB,$I496,6),0)</f>
        <v>0</v>
      </c>
      <c r="K496" s="440">
        <f t="shared" si="5"/>
        <v>0</v>
      </c>
      <c r="L496" s="440">
        <f t="shared" si="6"/>
        <v>0</v>
      </c>
      <c r="M496" s="441">
        <f>IF(AND(L496&gt;O496,O496&gt;0),MinPoints,IF(L496&lt;N496,100,+INT((O496-$L496)/P496)+MinPoints))</f>
        <v>100</v>
      </c>
      <c r="N496" s="440">
        <f t="shared" si="7"/>
        <v>7</v>
      </c>
      <c r="O496" s="440">
        <f t="shared" si="8"/>
        <v>16</v>
      </c>
      <c r="P496" s="440">
        <f t="shared" si="9"/>
        <v>0.1</v>
      </c>
      <c r="Q496">
        <f t="array" ref="Q496">IF(I496&gt;0,INDEX(DB,I496,9),EventIndex)</f>
        <v>6</v>
      </c>
      <c r="S496" s="442">
        <f t="array" ref="S496">INDEX(MINVALUES,$Q496,$K$1)</f>
        <v>16</v>
      </c>
      <c r="T496">
        <f t="array" ref="T496">INDEX(INCVALUES,$Q496,$K$1)</f>
        <v>0.1</v>
      </c>
      <c r="V496">
        <f t="array" ref="V496">+J496+(4*(INDEX(MatchScoreTable,$Q496,20)-1))</f>
        <v>4</v>
      </c>
      <c r="W496">
        <f t="array" ref="W496">INDEX(INC_MINVALUES,$V496,$K$1)</f>
        <v>34</v>
      </c>
      <c r="X496" s="212">
        <f t="array" ref="X496">INDEX(INC_INCVALUES,$V496,$K$1)</f>
        <v>0.3</v>
      </c>
    </row>
    <row r="497" ht="15.75" customHeight="1">
      <c r="A497" s="435"/>
      <c r="B497" s="436"/>
      <c r="C497" s="95" t="str">
        <f t="array" ref="C497">IF(I497&gt;0,INDEX(DB,I497,8),"")</f>
        <v/>
      </c>
      <c r="D497" s="437">
        <f t="shared" si="1"/>
        <v>0</v>
      </c>
      <c r="F497" s="438">
        <f t="shared" si="2"/>
        <v>0</v>
      </c>
      <c r="G497" t="str">
        <f t="shared" si="3"/>
        <v/>
      </c>
      <c r="H497" t="b">
        <f t="shared" si="4"/>
        <v>0</v>
      </c>
      <c r="I497" s="439">
        <f>IF(OR(ISBLANK(A497),ISNA(MATCH(A497&amp;"",AthleteNumbers,0))),0,MATCH(A497&amp;"",AthleteNumbers,0))</f>
        <v>0</v>
      </c>
      <c r="J497" s="209">
        <f t="array" ref="J497">IF(I497&gt;0,INDEX(DB,$I497,6),0)</f>
        <v>0</v>
      </c>
      <c r="K497" s="440">
        <f t="shared" si="5"/>
        <v>0</v>
      </c>
      <c r="L497" s="440">
        <f t="shared" si="6"/>
        <v>0</v>
      </c>
      <c r="M497" s="441">
        <f>IF(AND(L497&gt;O497,O497&gt;0),MinPoints,IF(L497&lt;N497,100,+INT((O497-$L497)/P497)+MinPoints))</f>
        <v>100</v>
      </c>
      <c r="N497" s="440">
        <f t="shared" si="7"/>
        <v>7</v>
      </c>
      <c r="O497" s="440">
        <f t="shared" si="8"/>
        <v>16</v>
      </c>
      <c r="P497" s="440">
        <f t="shared" si="9"/>
        <v>0.1</v>
      </c>
      <c r="Q497">
        <f t="array" ref="Q497">IF(I497&gt;0,INDEX(DB,I497,9),EventIndex)</f>
        <v>6</v>
      </c>
      <c r="S497" s="442">
        <f t="array" ref="S497">INDEX(MINVALUES,$Q497,$K$1)</f>
        <v>16</v>
      </c>
      <c r="T497">
        <f t="array" ref="T497">INDEX(INCVALUES,$Q497,$K$1)</f>
        <v>0.1</v>
      </c>
      <c r="V497">
        <f t="array" ref="V497">+J497+(4*(INDEX(MatchScoreTable,$Q497,20)-1))</f>
        <v>4</v>
      </c>
      <c r="W497">
        <f t="array" ref="W497">INDEX(INC_MINVALUES,$V497,$K$1)</f>
        <v>34</v>
      </c>
      <c r="X497" s="212">
        <f t="array" ref="X497">INDEX(INC_INCVALUES,$V497,$K$1)</f>
        <v>0.3</v>
      </c>
    </row>
    <row r="498" ht="15.75" customHeight="1">
      <c r="A498" s="435"/>
      <c r="B498" s="436"/>
      <c r="C498" s="95" t="str">
        <f t="array" ref="C498">IF(I498&gt;0,INDEX(DB,I498,8),"")</f>
        <v/>
      </c>
      <c r="D498" s="437">
        <f t="shared" si="1"/>
        <v>0</v>
      </c>
      <c r="F498" s="438">
        <f t="shared" si="2"/>
        <v>0</v>
      </c>
      <c r="G498" t="str">
        <f t="shared" si="3"/>
        <v/>
      </c>
      <c r="H498" t="b">
        <f t="shared" si="4"/>
        <v>0</v>
      </c>
      <c r="I498" s="439">
        <f>IF(OR(ISBLANK(A498),ISNA(MATCH(A498&amp;"",AthleteNumbers,0))),0,MATCH(A498&amp;"",AthleteNumbers,0))</f>
        <v>0</v>
      </c>
      <c r="J498" s="209">
        <f t="array" ref="J498">IF(I498&gt;0,INDEX(DB,$I498,6),0)</f>
        <v>0</v>
      </c>
      <c r="K498" s="440">
        <f t="shared" si="5"/>
        <v>0</v>
      </c>
      <c r="L498" s="440">
        <f t="shared" si="6"/>
        <v>0</v>
      </c>
      <c r="M498" s="441">
        <f>IF(AND(L498&gt;O498,O498&gt;0),MinPoints,IF(L498&lt;N498,100,+INT((O498-$L498)/P498)+MinPoints))</f>
        <v>100</v>
      </c>
      <c r="N498" s="440">
        <f t="shared" si="7"/>
        <v>7</v>
      </c>
      <c r="O498" s="440">
        <f t="shared" si="8"/>
        <v>16</v>
      </c>
      <c r="P498" s="440">
        <f t="shared" si="9"/>
        <v>0.1</v>
      </c>
      <c r="Q498">
        <f t="array" ref="Q498">IF(I498&gt;0,INDEX(DB,I498,9),EventIndex)</f>
        <v>6</v>
      </c>
      <c r="S498" s="442">
        <f t="array" ref="S498">INDEX(MINVALUES,$Q498,$K$1)</f>
        <v>16</v>
      </c>
      <c r="T498">
        <f t="array" ref="T498">INDEX(INCVALUES,$Q498,$K$1)</f>
        <v>0.1</v>
      </c>
      <c r="V498">
        <f t="array" ref="V498">+J498+(4*(INDEX(MatchScoreTable,$Q498,20)-1))</f>
        <v>4</v>
      </c>
      <c r="W498">
        <f t="array" ref="W498">INDEX(INC_MINVALUES,$V498,$K$1)</f>
        <v>34</v>
      </c>
      <c r="X498" s="212">
        <f t="array" ref="X498">INDEX(INC_INCVALUES,$V498,$K$1)</f>
        <v>0.3</v>
      </c>
    </row>
    <row r="499" ht="15.75" customHeight="1">
      <c r="A499" s="435"/>
      <c r="B499" s="436"/>
      <c r="C499" s="95" t="str">
        <f t="array" ref="C499">IF(I499&gt;0,INDEX(DB,I499,8),"")</f>
        <v/>
      </c>
      <c r="D499" s="437">
        <f t="shared" si="1"/>
        <v>0</v>
      </c>
      <c r="F499" s="438">
        <f t="shared" si="2"/>
        <v>0</v>
      </c>
      <c r="G499" t="str">
        <f t="shared" si="3"/>
        <v/>
      </c>
      <c r="H499" t="b">
        <f t="shared" si="4"/>
        <v>0</v>
      </c>
      <c r="I499" s="439">
        <f>IF(OR(ISBLANK(A499),ISNA(MATCH(A499&amp;"",AthleteNumbers,0))),0,MATCH(A499&amp;"",AthleteNumbers,0))</f>
        <v>0</v>
      </c>
      <c r="J499" s="209">
        <f t="array" ref="J499">IF(I499&gt;0,INDEX(DB,$I499,6),0)</f>
        <v>0</v>
      </c>
      <c r="K499" s="440">
        <f t="shared" si="5"/>
        <v>0</v>
      </c>
      <c r="L499" s="440">
        <f t="shared" si="6"/>
        <v>0</v>
      </c>
      <c r="M499" s="441">
        <f>IF(AND(L499&gt;O499,O499&gt;0),MinPoints,IF(L499&lt;N499,100,+INT((O499-$L499)/P499)+MinPoints))</f>
        <v>100</v>
      </c>
      <c r="N499" s="440">
        <f t="shared" si="7"/>
        <v>7</v>
      </c>
      <c r="O499" s="440">
        <f t="shared" si="8"/>
        <v>16</v>
      </c>
      <c r="P499" s="440">
        <f t="shared" si="9"/>
        <v>0.1</v>
      </c>
      <c r="Q499">
        <f t="array" ref="Q499">IF(I499&gt;0,INDEX(DB,I499,9),EventIndex)</f>
        <v>6</v>
      </c>
      <c r="S499" s="442">
        <f t="array" ref="S499">INDEX(MINVALUES,$Q499,$K$1)</f>
        <v>16</v>
      </c>
      <c r="T499">
        <f t="array" ref="T499">INDEX(INCVALUES,$Q499,$K$1)</f>
        <v>0.1</v>
      </c>
      <c r="V499">
        <f t="array" ref="V499">+J499+(4*(INDEX(MatchScoreTable,$Q499,20)-1))</f>
        <v>4</v>
      </c>
      <c r="W499">
        <f t="array" ref="W499">INDEX(INC_MINVALUES,$V499,$K$1)</f>
        <v>34</v>
      </c>
      <c r="X499" s="212">
        <f t="array" ref="X499">INDEX(INC_INCVALUES,$V499,$K$1)</f>
        <v>0.3</v>
      </c>
    </row>
    <row r="500" ht="15.75" customHeight="1">
      <c r="A500" s="435"/>
      <c r="B500" s="436"/>
      <c r="C500" s="95" t="str">
        <f t="array" ref="C500">IF(I500&gt;0,INDEX(DB,I500,8),"")</f>
        <v/>
      </c>
      <c r="D500" s="437">
        <f t="shared" si="1"/>
        <v>0</v>
      </c>
      <c r="F500" s="438">
        <f t="shared" si="2"/>
        <v>0</v>
      </c>
      <c r="G500" t="str">
        <f t="shared" si="3"/>
        <v/>
      </c>
      <c r="H500" t="b">
        <f t="shared" si="4"/>
        <v>0</v>
      </c>
      <c r="I500" s="439">
        <f>IF(OR(ISBLANK(A500),ISNA(MATCH(A500&amp;"",AthleteNumbers,0))),0,MATCH(A500&amp;"",AthleteNumbers,0))</f>
        <v>0</v>
      </c>
      <c r="J500" s="209">
        <f t="array" ref="J500">IF(I500&gt;0,INDEX(DB,$I500,6),0)</f>
        <v>0</v>
      </c>
      <c r="K500" s="440">
        <f t="shared" si="5"/>
        <v>0</v>
      </c>
      <c r="L500" s="440">
        <f t="shared" si="6"/>
        <v>0</v>
      </c>
      <c r="M500" s="441">
        <f>IF(AND(L500&gt;O500,O500&gt;0),MinPoints,IF(L500&lt;N500,100,+INT((O500-$L500)/P500)+MinPoints))</f>
        <v>100</v>
      </c>
      <c r="N500" s="440">
        <f t="shared" si="7"/>
        <v>7</v>
      </c>
      <c r="O500" s="440">
        <f t="shared" si="8"/>
        <v>16</v>
      </c>
      <c r="P500" s="440">
        <f t="shared" si="9"/>
        <v>0.1</v>
      </c>
      <c r="Q500">
        <f t="array" ref="Q500">IF(I500&gt;0,INDEX(DB,I500,9),EventIndex)</f>
        <v>6</v>
      </c>
      <c r="S500" s="442">
        <f t="array" ref="S500">INDEX(MINVALUES,$Q500,$K$1)</f>
        <v>16</v>
      </c>
      <c r="T500">
        <f t="array" ref="T500">INDEX(INCVALUES,$Q500,$K$1)</f>
        <v>0.1</v>
      </c>
      <c r="V500">
        <f t="array" ref="V500">+J500+(4*(INDEX(MatchScoreTable,$Q500,20)-1))</f>
        <v>4</v>
      </c>
      <c r="W500">
        <f t="array" ref="W500">INDEX(INC_MINVALUES,$V500,$K$1)</f>
        <v>34</v>
      </c>
      <c r="X500" s="212">
        <f t="array" ref="X500">INDEX(INC_INCVALUES,$V500,$K$1)</f>
        <v>0.3</v>
      </c>
    </row>
    <row r="501" ht="15.75" customHeight="1">
      <c r="A501" s="435"/>
      <c r="B501" s="436"/>
      <c r="C501" s="95" t="str">
        <f t="array" ref="C501">IF(I501&gt;0,INDEX(DB,I501,8),"")</f>
        <v/>
      </c>
      <c r="D501" s="437">
        <f t="shared" si="1"/>
        <v>0</v>
      </c>
      <c r="F501" s="438">
        <f t="shared" si="2"/>
        <v>0</v>
      </c>
      <c r="G501" t="str">
        <f t="shared" si="3"/>
        <v/>
      </c>
      <c r="H501" t="b">
        <f t="shared" si="4"/>
        <v>0</v>
      </c>
      <c r="I501" s="439">
        <f>IF(OR(ISBLANK(A501),ISNA(MATCH(A501&amp;"",AthleteNumbers,0))),0,MATCH(A501&amp;"",AthleteNumbers,0))</f>
        <v>0</v>
      </c>
      <c r="J501" s="209">
        <f t="array" ref="J501">IF(I501&gt;0,INDEX(DB,$I501,6),0)</f>
        <v>0</v>
      </c>
      <c r="K501" s="440">
        <f t="shared" si="5"/>
        <v>0</v>
      </c>
      <c r="L501" s="440">
        <f t="shared" si="6"/>
        <v>0</v>
      </c>
      <c r="M501" s="441">
        <f>IF(AND(L501&gt;O501,O501&gt;0),MinPoints,IF(L501&lt;N501,100,+INT((O501-$L501)/P501)+MinPoints))</f>
        <v>100</v>
      </c>
      <c r="N501" s="440">
        <f t="shared" si="7"/>
        <v>7</v>
      </c>
      <c r="O501" s="440">
        <f t="shared" si="8"/>
        <v>16</v>
      </c>
      <c r="P501" s="440">
        <f t="shared" si="9"/>
        <v>0.1</v>
      </c>
      <c r="Q501">
        <f t="array" ref="Q501">IF(I501&gt;0,INDEX(DB,I501,9),EventIndex)</f>
        <v>6</v>
      </c>
      <c r="S501" s="442">
        <f t="array" ref="S501">INDEX(MINVALUES,$Q501,$K$1)</f>
        <v>16</v>
      </c>
      <c r="T501">
        <f t="array" ref="T501">INDEX(INCVALUES,$Q501,$K$1)</f>
        <v>0.1</v>
      </c>
      <c r="V501">
        <f t="array" ref="V501">+J501+(4*(INDEX(MatchScoreTable,$Q501,20)-1))</f>
        <v>4</v>
      </c>
      <c r="W501">
        <f t="array" ref="W501">INDEX(INC_MINVALUES,$V501,$K$1)</f>
        <v>34</v>
      </c>
      <c r="X501" s="212">
        <f t="array" ref="X501">INDEX(INC_INCVALUES,$V501,$K$1)</f>
        <v>0.3</v>
      </c>
    </row>
    <row r="502" ht="15.75" customHeight="1">
      <c r="A502" s="435"/>
      <c r="B502" s="436"/>
      <c r="C502" s="95" t="str">
        <f t="array" ref="C502">IF(I502&gt;0,INDEX(DB,I502,8),"")</f>
        <v/>
      </c>
      <c r="D502" s="437">
        <f t="shared" si="1"/>
        <v>0</v>
      </c>
      <c r="F502" s="438">
        <f t="shared" si="2"/>
        <v>0</v>
      </c>
      <c r="G502" t="str">
        <f t="shared" si="3"/>
        <v/>
      </c>
      <c r="H502" t="b">
        <f t="shared" si="4"/>
        <v>0</v>
      </c>
      <c r="I502" s="439">
        <f>IF(OR(ISBLANK(A502),ISNA(MATCH(A502&amp;"",AthleteNumbers,0))),0,MATCH(A502&amp;"",AthleteNumbers,0))</f>
        <v>0</v>
      </c>
      <c r="J502" s="209">
        <f t="array" ref="J502">IF(I502&gt;0,INDEX(DB,$I502,6),0)</f>
        <v>0</v>
      </c>
      <c r="K502" s="440">
        <f t="shared" si="5"/>
        <v>0</v>
      </c>
      <c r="L502" s="440">
        <f t="shared" si="6"/>
        <v>0</v>
      </c>
      <c r="M502" s="441">
        <f>IF(AND(L502&gt;O502,O502&gt;0),MinPoints,IF(L502&lt;N502,100,+INT((O502-$L502)/P502)+MinPoints))</f>
        <v>100</v>
      </c>
      <c r="N502" s="440">
        <f t="shared" si="7"/>
        <v>7</v>
      </c>
      <c r="O502" s="440">
        <f t="shared" si="8"/>
        <v>16</v>
      </c>
      <c r="P502" s="440">
        <f t="shared" si="9"/>
        <v>0.1</v>
      </c>
      <c r="Q502">
        <f t="array" ref="Q502">IF(I502&gt;0,INDEX(DB,I502,9),EventIndex)</f>
        <v>6</v>
      </c>
      <c r="S502" s="442">
        <f t="array" ref="S502">INDEX(MINVALUES,$Q502,$K$1)</f>
        <v>16</v>
      </c>
      <c r="T502">
        <f t="array" ref="T502">INDEX(INCVALUES,$Q502,$K$1)</f>
        <v>0.1</v>
      </c>
      <c r="V502">
        <f t="array" ref="V502">+J502+(4*(INDEX(MatchScoreTable,$Q502,20)-1))</f>
        <v>4</v>
      </c>
      <c r="W502">
        <f t="array" ref="W502">INDEX(INC_MINVALUES,$V502,$K$1)</f>
        <v>34</v>
      </c>
      <c r="X502" s="212">
        <f t="array" ref="X502">INDEX(INC_INCVALUES,$V502,$K$1)</f>
        <v>0.3</v>
      </c>
    </row>
    <row r="503" ht="15.75" customHeight="1">
      <c r="A503" s="435"/>
      <c r="B503" s="436"/>
      <c r="C503" s="95" t="str">
        <f t="array" ref="C503">IF(I503&gt;0,INDEX(DB,I503,8),"")</f>
        <v/>
      </c>
      <c r="D503" s="437">
        <f t="shared" si="1"/>
        <v>0</v>
      </c>
      <c r="F503" s="438">
        <f t="shared" si="2"/>
        <v>0</v>
      </c>
      <c r="G503" t="str">
        <f t="shared" si="3"/>
        <v/>
      </c>
      <c r="H503" t="b">
        <f t="shared" si="4"/>
        <v>0</v>
      </c>
      <c r="I503" s="439">
        <f>IF(OR(ISBLANK(A503),ISNA(MATCH(A503&amp;"",AthleteNumbers,0))),0,MATCH(A503&amp;"",AthleteNumbers,0))</f>
        <v>0</v>
      </c>
      <c r="J503" s="209">
        <f t="array" ref="J503">IF(I503&gt;0,INDEX(DB,$I503,6),0)</f>
        <v>0</v>
      </c>
      <c r="K503" s="440">
        <f t="shared" si="5"/>
        <v>0</v>
      </c>
      <c r="L503" s="440">
        <f t="shared" si="6"/>
        <v>0</v>
      </c>
      <c r="M503" s="441">
        <f>IF(AND(L503&gt;O503,O503&gt;0),MinPoints,IF(L503&lt;N503,100,+INT((O503-$L503)/P503)+MinPoints))</f>
        <v>100</v>
      </c>
      <c r="N503" s="440">
        <f t="shared" si="7"/>
        <v>7</v>
      </c>
      <c r="O503" s="440">
        <f t="shared" si="8"/>
        <v>16</v>
      </c>
      <c r="P503" s="440">
        <f t="shared" si="9"/>
        <v>0.1</v>
      </c>
      <c r="Q503">
        <f t="array" ref="Q503">IF(I503&gt;0,INDEX(DB,I503,9),EventIndex)</f>
        <v>6</v>
      </c>
      <c r="S503" s="442">
        <f t="array" ref="S503">INDEX(MINVALUES,$Q503,$K$1)</f>
        <v>16</v>
      </c>
      <c r="T503">
        <f t="array" ref="T503">INDEX(INCVALUES,$Q503,$K$1)</f>
        <v>0.1</v>
      </c>
      <c r="V503">
        <f t="array" ref="V503">+J503+(4*(INDEX(MatchScoreTable,$Q503,20)-1))</f>
        <v>4</v>
      </c>
      <c r="W503">
        <f t="array" ref="W503">INDEX(INC_MINVALUES,$V503,$K$1)</f>
        <v>34</v>
      </c>
      <c r="X503" s="212">
        <f t="array" ref="X503">INDEX(INC_INCVALUES,$V503,$K$1)</f>
        <v>0.3</v>
      </c>
    </row>
    <row r="504" ht="15.75" customHeight="1">
      <c r="A504" s="435"/>
      <c r="B504" s="436"/>
      <c r="C504" s="95" t="str">
        <f t="array" ref="C504">IF(I504&gt;0,INDEX(DB,I504,8),"")</f>
        <v/>
      </c>
      <c r="D504" s="437">
        <f t="shared" si="1"/>
        <v>0</v>
      </c>
      <c r="F504" s="438">
        <f t="shared" si="2"/>
        <v>0</v>
      </c>
      <c r="G504" t="str">
        <f t="shared" si="3"/>
        <v/>
      </c>
      <c r="H504" t="b">
        <f t="shared" si="4"/>
        <v>0</v>
      </c>
      <c r="I504" s="439">
        <f>IF(OR(ISBLANK(A504),ISNA(MATCH(A504&amp;"",AthleteNumbers,0))),0,MATCH(A504&amp;"",AthleteNumbers,0))</f>
        <v>0</v>
      </c>
      <c r="J504" s="209">
        <f t="array" ref="J504">IF(I504&gt;0,INDEX(DB,$I504,6),0)</f>
        <v>0</v>
      </c>
      <c r="K504" s="440">
        <f t="shared" si="5"/>
        <v>0</v>
      </c>
      <c r="L504" s="440">
        <f t="shared" si="6"/>
        <v>0</v>
      </c>
      <c r="M504" s="441">
        <f>IF(AND(L504&gt;O504,O504&gt;0),MinPoints,IF(L504&lt;N504,100,+INT((O504-$L504)/P504)+MinPoints))</f>
        <v>100</v>
      </c>
      <c r="N504" s="440">
        <f t="shared" si="7"/>
        <v>7</v>
      </c>
      <c r="O504" s="440">
        <f t="shared" si="8"/>
        <v>16</v>
      </c>
      <c r="P504" s="440">
        <f t="shared" si="9"/>
        <v>0.1</v>
      </c>
      <c r="Q504">
        <f t="array" ref="Q504">IF(I504&gt;0,INDEX(DB,I504,9),EventIndex)</f>
        <v>6</v>
      </c>
      <c r="S504" s="442">
        <f t="array" ref="S504">INDEX(MINVALUES,$Q504,$K$1)</f>
        <v>16</v>
      </c>
      <c r="T504">
        <f t="array" ref="T504">INDEX(INCVALUES,$Q504,$K$1)</f>
        <v>0.1</v>
      </c>
      <c r="V504">
        <f t="array" ref="V504">+J504+(4*(INDEX(MatchScoreTable,$Q504,20)-1))</f>
        <v>4</v>
      </c>
      <c r="W504">
        <f t="array" ref="W504">INDEX(INC_MINVALUES,$V504,$K$1)</f>
        <v>34</v>
      </c>
      <c r="X504" s="212">
        <f t="array" ref="X504">INDEX(INC_INCVALUES,$V504,$K$1)</f>
        <v>0.3</v>
      </c>
    </row>
    <row r="505" ht="15.75" customHeight="1">
      <c r="A505" s="435"/>
      <c r="B505" s="436"/>
      <c r="C505" s="95" t="str">
        <f t="array" ref="C505">IF(I505&gt;0,INDEX(DB,I505,8),"")</f>
        <v/>
      </c>
      <c r="D505" s="437">
        <f t="shared" si="1"/>
        <v>0</v>
      </c>
      <c r="F505" s="438">
        <f t="shared" si="2"/>
        <v>0</v>
      </c>
      <c r="G505" t="str">
        <f t="shared" si="3"/>
        <v/>
      </c>
      <c r="H505" t="b">
        <f t="shared" si="4"/>
        <v>0</v>
      </c>
      <c r="I505" s="439">
        <f>IF(OR(ISBLANK(A505),ISNA(MATCH(A505&amp;"",AthleteNumbers,0))),0,MATCH(A505&amp;"",AthleteNumbers,0))</f>
        <v>0</v>
      </c>
      <c r="J505" s="209">
        <f t="array" ref="J505">IF(I505&gt;0,INDEX(DB,$I505,6),0)</f>
        <v>0</v>
      </c>
      <c r="K505" s="440">
        <f t="shared" si="5"/>
        <v>0</v>
      </c>
      <c r="L505" s="440">
        <f t="shared" si="6"/>
        <v>0</v>
      </c>
      <c r="M505" s="441">
        <f>IF(AND(L505&gt;O505,O505&gt;0),MinPoints,IF(L505&lt;N505,100,+INT((O505-$L505)/P505)+MinPoints))</f>
        <v>100</v>
      </c>
      <c r="N505" s="440">
        <f t="shared" si="7"/>
        <v>7</v>
      </c>
      <c r="O505" s="440">
        <f t="shared" si="8"/>
        <v>16</v>
      </c>
      <c r="P505" s="440">
        <f t="shared" si="9"/>
        <v>0.1</v>
      </c>
      <c r="Q505">
        <f t="array" ref="Q505">IF(I505&gt;0,INDEX(DB,I505,9),EventIndex)</f>
        <v>6</v>
      </c>
      <c r="S505" s="442">
        <f t="array" ref="S505">INDEX(MINVALUES,$Q505,$K$1)</f>
        <v>16</v>
      </c>
      <c r="T505">
        <f t="array" ref="T505">INDEX(INCVALUES,$Q505,$K$1)</f>
        <v>0.1</v>
      </c>
      <c r="V505">
        <f t="array" ref="V505">+J505+(4*(INDEX(MatchScoreTable,$Q505,20)-1))</f>
        <v>4</v>
      </c>
      <c r="W505">
        <f t="array" ref="W505">INDEX(INC_MINVALUES,$V505,$K$1)</f>
        <v>34</v>
      </c>
      <c r="X505" s="212">
        <f t="array" ref="X505">INDEX(INC_INCVALUES,$V505,$K$1)</f>
        <v>0.3</v>
      </c>
    </row>
    <row r="506" ht="15.75" customHeight="1">
      <c r="A506" s="435"/>
      <c r="B506" s="436"/>
      <c r="C506" s="95" t="str">
        <f t="array" ref="C506">IF(I506&gt;0,INDEX(DB,I506,8),"")</f>
        <v/>
      </c>
      <c r="D506" s="437">
        <f t="shared" si="1"/>
        <v>0</v>
      </c>
      <c r="F506" s="438">
        <f t="shared" si="2"/>
        <v>0</v>
      </c>
      <c r="G506" t="str">
        <f t="shared" si="3"/>
        <v/>
      </c>
      <c r="H506" t="b">
        <f t="shared" si="4"/>
        <v>0</v>
      </c>
      <c r="I506" s="439">
        <f>IF(OR(ISBLANK(A506),ISNA(MATCH(A506&amp;"",AthleteNumbers,0))),0,MATCH(A506&amp;"",AthleteNumbers,0))</f>
        <v>0</v>
      </c>
      <c r="J506" s="209">
        <f t="array" ref="J506">IF(I506&gt;0,INDEX(DB,$I506,6),0)</f>
        <v>0</v>
      </c>
      <c r="K506" s="440">
        <f t="shared" si="5"/>
        <v>0</v>
      </c>
      <c r="L506" s="440">
        <f t="shared" si="6"/>
        <v>0</v>
      </c>
      <c r="M506" s="441">
        <f>IF(AND(L506&gt;O506,O506&gt;0),MinPoints,IF(L506&lt;N506,100,+INT((O506-$L506)/P506)+MinPoints))</f>
        <v>100</v>
      </c>
      <c r="N506" s="440">
        <f t="shared" si="7"/>
        <v>7</v>
      </c>
      <c r="O506" s="440">
        <f t="shared" si="8"/>
        <v>16</v>
      </c>
      <c r="P506" s="440">
        <f t="shared" si="9"/>
        <v>0.1</v>
      </c>
      <c r="Q506">
        <f t="array" ref="Q506">IF(I506&gt;0,INDEX(DB,I506,9),EventIndex)</f>
        <v>6</v>
      </c>
      <c r="S506" s="442">
        <f t="array" ref="S506">INDEX(MINVALUES,$Q506,$K$1)</f>
        <v>16</v>
      </c>
      <c r="T506">
        <f t="array" ref="T506">INDEX(INCVALUES,$Q506,$K$1)</f>
        <v>0.1</v>
      </c>
      <c r="V506">
        <f t="array" ref="V506">+J506+(4*(INDEX(MatchScoreTable,$Q506,20)-1))</f>
        <v>4</v>
      </c>
      <c r="W506">
        <f t="array" ref="W506">INDEX(INC_MINVALUES,$V506,$K$1)</f>
        <v>34</v>
      </c>
      <c r="X506" s="212">
        <f t="array" ref="X506">INDEX(INC_INCVALUES,$V506,$K$1)</f>
        <v>0.3</v>
      </c>
    </row>
    <row r="507" ht="15.75" customHeight="1">
      <c r="A507" s="435"/>
      <c r="B507" s="436"/>
      <c r="C507" s="95" t="str">
        <f t="array" ref="C507">IF(I507&gt;0,INDEX(DB,I507,8),"")</f>
        <v/>
      </c>
      <c r="D507" s="437">
        <f t="shared" si="1"/>
        <v>0</v>
      </c>
      <c r="F507" s="438">
        <f t="shared" si="2"/>
        <v>0</v>
      </c>
      <c r="G507" t="str">
        <f t="shared" si="3"/>
        <v/>
      </c>
      <c r="H507" t="b">
        <f t="shared" si="4"/>
        <v>0</v>
      </c>
      <c r="I507" s="439">
        <f>IF(OR(ISBLANK(A507),ISNA(MATCH(A507&amp;"",AthleteNumbers,0))),0,MATCH(A507&amp;"",AthleteNumbers,0))</f>
        <v>0</v>
      </c>
      <c r="J507" s="209">
        <f t="array" ref="J507">IF(I507&gt;0,INDEX(DB,$I507,6),0)</f>
        <v>0</v>
      </c>
      <c r="K507" s="440">
        <f t="shared" si="5"/>
        <v>0</v>
      </c>
      <c r="L507" s="440">
        <f t="shared" si="6"/>
        <v>0</v>
      </c>
      <c r="M507" s="441">
        <f>IF(AND(L507&gt;O507,O507&gt;0),MinPoints,IF(L507&lt;N507,100,+INT((O507-$L507)/P507)+MinPoints))</f>
        <v>100</v>
      </c>
      <c r="N507" s="440">
        <f t="shared" si="7"/>
        <v>7</v>
      </c>
      <c r="O507" s="440">
        <f t="shared" si="8"/>
        <v>16</v>
      </c>
      <c r="P507" s="440">
        <f t="shared" si="9"/>
        <v>0.1</v>
      </c>
      <c r="Q507">
        <f t="array" ref="Q507">IF(I507&gt;0,INDEX(DB,I507,9),EventIndex)</f>
        <v>6</v>
      </c>
      <c r="S507" s="442">
        <f t="array" ref="S507">INDEX(MINVALUES,$Q507,$K$1)</f>
        <v>16</v>
      </c>
      <c r="T507">
        <f t="array" ref="T507">INDEX(INCVALUES,$Q507,$K$1)</f>
        <v>0.1</v>
      </c>
      <c r="V507">
        <f t="array" ref="V507">+J507+(4*(INDEX(MatchScoreTable,$Q507,20)-1))</f>
        <v>4</v>
      </c>
      <c r="W507">
        <f t="array" ref="W507">INDEX(INC_MINVALUES,$V507,$K$1)</f>
        <v>34</v>
      </c>
      <c r="X507" s="212">
        <f t="array" ref="X507">INDEX(INC_INCVALUES,$V507,$K$1)</f>
        <v>0.3</v>
      </c>
    </row>
    <row r="508" ht="15.75" customHeight="1">
      <c r="A508" s="435"/>
      <c r="B508" s="436"/>
      <c r="C508" s="95" t="str">
        <f t="array" ref="C508">IF(I508&gt;0,INDEX(DB,I508,8),"")</f>
        <v/>
      </c>
      <c r="D508" s="437">
        <f t="shared" si="1"/>
        <v>0</v>
      </c>
      <c r="F508" s="438">
        <f t="shared" si="2"/>
        <v>0</v>
      </c>
      <c r="G508" t="str">
        <f t="shared" si="3"/>
        <v/>
      </c>
      <c r="H508" t="b">
        <f t="shared" si="4"/>
        <v>0</v>
      </c>
      <c r="I508" s="439">
        <f>IF(OR(ISBLANK(A508),ISNA(MATCH(A508&amp;"",AthleteNumbers,0))),0,MATCH(A508&amp;"",AthleteNumbers,0))</f>
        <v>0</v>
      </c>
      <c r="J508" s="209">
        <f t="array" ref="J508">IF(I508&gt;0,INDEX(DB,$I508,6),0)</f>
        <v>0</v>
      </c>
      <c r="K508" s="440">
        <f t="shared" si="5"/>
        <v>0</v>
      </c>
      <c r="L508" s="440">
        <f t="shared" si="6"/>
        <v>0</v>
      </c>
      <c r="M508" s="441">
        <f>IF(AND(L508&gt;O508,O508&gt;0),MinPoints,IF(L508&lt;N508,100,+INT((O508-$L508)/P508)+MinPoints))</f>
        <v>100</v>
      </c>
      <c r="N508" s="440">
        <f t="shared" si="7"/>
        <v>7</v>
      </c>
      <c r="O508" s="440">
        <f t="shared" si="8"/>
        <v>16</v>
      </c>
      <c r="P508" s="440">
        <f t="shared" si="9"/>
        <v>0.1</v>
      </c>
      <c r="Q508">
        <f t="array" ref="Q508">IF(I508&gt;0,INDEX(DB,I508,9),EventIndex)</f>
        <v>6</v>
      </c>
      <c r="S508" s="442">
        <f t="array" ref="S508">INDEX(MINVALUES,$Q508,$K$1)</f>
        <v>16</v>
      </c>
      <c r="T508">
        <f t="array" ref="T508">INDEX(INCVALUES,$Q508,$K$1)</f>
        <v>0.1</v>
      </c>
      <c r="V508">
        <f t="array" ref="V508">+J508+(4*(INDEX(MatchScoreTable,$Q508,20)-1))</f>
        <v>4</v>
      </c>
      <c r="W508">
        <f t="array" ref="W508">INDEX(INC_MINVALUES,$V508,$K$1)</f>
        <v>34</v>
      </c>
      <c r="X508" s="212">
        <f t="array" ref="X508">INDEX(INC_INCVALUES,$V508,$K$1)</f>
        <v>0.3</v>
      </c>
    </row>
    <row r="509" ht="15.75" customHeight="1">
      <c r="A509" s="435"/>
      <c r="B509" s="436"/>
      <c r="C509" s="95" t="str">
        <f t="array" ref="C509">IF(I509&gt;0,INDEX(DB,I509,8),"")</f>
        <v/>
      </c>
      <c r="D509" s="437">
        <f t="shared" si="1"/>
        <v>0</v>
      </c>
      <c r="F509" s="438">
        <f t="shared" si="2"/>
        <v>0</v>
      </c>
      <c r="G509" t="str">
        <f t="shared" si="3"/>
        <v/>
      </c>
      <c r="H509" t="b">
        <f t="shared" si="4"/>
        <v>0</v>
      </c>
      <c r="I509" s="439">
        <f>IF(OR(ISBLANK(A509),ISNA(MATCH(A509&amp;"",AthleteNumbers,0))),0,MATCH(A509&amp;"",AthleteNumbers,0))</f>
        <v>0</v>
      </c>
      <c r="J509" s="209">
        <f t="array" ref="J509">IF(I509&gt;0,INDEX(DB,$I509,6),0)</f>
        <v>0</v>
      </c>
      <c r="K509" s="440">
        <f t="shared" si="5"/>
        <v>0</v>
      </c>
      <c r="L509" s="440">
        <f t="shared" si="6"/>
        <v>0</v>
      </c>
      <c r="M509" s="441">
        <f>IF(AND(L509&gt;O509,O509&gt;0),MinPoints,IF(L509&lt;N509,100,+INT((O509-$L509)/P509)+MinPoints))</f>
        <v>100</v>
      </c>
      <c r="N509" s="440">
        <f t="shared" si="7"/>
        <v>7</v>
      </c>
      <c r="O509" s="440">
        <f t="shared" si="8"/>
        <v>16</v>
      </c>
      <c r="P509" s="440">
        <f t="shared" si="9"/>
        <v>0.1</v>
      </c>
      <c r="Q509">
        <f t="array" ref="Q509">IF(I509&gt;0,INDEX(DB,I509,9),EventIndex)</f>
        <v>6</v>
      </c>
      <c r="S509" s="442">
        <f t="array" ref="S509">INDEX(MINVALUES,$Q509,$K$1)</f>
        <v>16</v>
      </c>
      <c r="T509">
        <f t="array" ref="T509">INDEX(INCVALUES,$Q509,$K$1)</f>
        <v>0.1</v>
      </c>
      <c r="V509">
        <f t="array" ref="V509">+J509+(4*(INDEX(MatchScoreTable,$Q509,20)-1))</f>
        <v>4</v>
      </c>
      <c r="W509">
        <f t="array" ref="W509">INDEX(INC_MINVALUES,$V509,$K$1)</f>
        <v>34</v>
      </c>
      <c r="X509" s="212">
        <f t="array" ref="X509">INDEX(INC_INCVALUES,$V509,$K$1)</f>
        <v>0.3</v>
      </c>
    </row>
    <row r="510" ht="15.75" customHeight="1">
      <c r="A510" s="435"/>
      <c r="B510" s="436"/>
      <c r="C510" s="95" t="str">
        <f t="array" ref="C510">IF(I510&gt;0,INDEX(DB,I510,8),"")</f>
        <v/>
      </c>
      <c r="D510" s="437">
        <f t="shared" si="1"/>
        <v>0</v>
      </c>
      <c r="F510" s="438">
        <f t="shared" si="2"/>
        <v>0</v>
      </c>
      <c r="G510" t="str">
        <f t="shared" si="3"/>
        <v/>
      </c>
      <c r="H510" t="b">
        <f t="shared" si="4"/>
        <v>0</v>
      </c>
      <c r="I510" s="439">
        <f>IF(OR(ISBLANK(A510),ISNA(MATCH(A510&amp;"",AthleteNumbers,0))),0,MATCH(A510&amp;"",AthleteNumbers,0))</f>
        <v>0</v>
      </c>
      <c r="J510" s="209">
        <f t="array" ref="J510">IF(I510&gt;0,INDEX(DB,$I510,6),0)</f>
        <v>0</v>
      </c>
      <c r="K510" s="440">
        <f t="shared" si="5"/>
        <v>0</v>
      </c>
      <c r="L510" s="440">
        <f t="shared" si="6"/>
        <v>0</v>
      </c>
      <c r="M510" s="441">
        <f>IF(AND(L510&gt;O510,O510&gt;0),MinPoints,IF(L510&lt;N510,100,+INT((O510-$L510)/P510)+MinPoints))</f>
        <v>100</v>
      </c>
      <c r="N510" s="440">
        <f t="shared" si="7"/>
        <v>7</v>
      </c>
      <c r="O510" s="440">
        <f t="shared" si="8"/>
        <v>16</v>
      </c>
      <c r="P510" s="440">
        <f t="shared" si="9"/>
        <v>0.1</v>
      </c>
      <c r="Q510">
        <f t="array" ref="Q510">IF(I510&gt;0,INDEX(DB,I510,9),EventIndex)</f>
        <v>6</v>
      </c>
      <c r="S510" s="442">
        <f t="array" ref="S510">INDEX(MINVALUES,$Q510,$K$1)</f>
        <v>16</v>
      </c>
      <c r="T510">
        <f t="array" ref="T510">INDEX(INCVALUES,$Q510,$K$1)</f>
        <v>0.1</v>
      </c>
      <c r="V510">
        <f t="array" ref="V510">+J510+(4*(INDEX(MatchScoreTable,$Q510,20)-1))</f>
        <v>4</v>
      </c>
      <c r="W510">
        <f t="array" ref="W510">INDEX(INC_MINVALUES,$V510,$K$1)</f>
        <v>34</v>
      </c>
      <c r="X510" s="212">
        <f t="array" ref="X510">INDEX(INC_INCVALUES,$V510,$K$1)</f>
        <v>0.3</v>
      </c>
    </row>
    <row r="511" ht="15.75" customHeight="1">
      <c r="A511" s="435"/>
      <c r="B511" s="436"/>
      <c r="C511" s="95" t="str">
        <f t="array" ref="C511">IF(I511&gt;0,INDEX(DB,I511,8),"")</f>
        <v/>
      </c>
      <c r="D511" s="437">
        <f t="shared" si="1"/>
        <v>0</v>
      </c>
      <c r="F511" s="438">
        <f t="shared" si="2"/>
        <v>0</v>
      </c>
      <c r="G511" t="str">
        <f t="shared" si="3"/>
        <v/>
      </c>
      <c r="H511" t="b">
        <f t="shared" si="4"/>
        <v>0</v>
      </c>
      <c r="I511" s="439">
        <f>IF(OR(ISBLANK(A511),ISNA(MATCH(A511&amp;"",AthleteNumbers,0))),0,MATCH(A511&amp;"",AthleteNumbers,0))</f>
        <v>0</v>
      </c>
      <c r="J511" s="209">
        <f t="array" ref="J511">IF(I511&gt;0,INDEX(DB,$I511,6),0)</f>
        <v>0</v>
      </c>
      <c r="K511" s="440">
        <f t="shared" si="5"/>
        <v>0</v>
      </c>
      <c r="L511" s="440">
        <f t="shared" si="6"/>
        <v>0</v>
      </c>
      <c r="M511" s="441">
        <f>IF(AND(L511&gt;O511,O511&gt;0),MinPoints,IF(L511&lt;N511,100,+INT((O511-$L511)/P511)+MinPoints))</f>
        <v>100</v>
      </c>
      <c r="N511" s="440">
        <f t="shared" si="7"/>
        <v>7</v>
      </c>
      <c r="O511" s="440">
        <f t="shared" si="8"/>
        <v>16</v>
      </c>
      <c r="P511" s="440">
        <f t="shared" si="9"/>
        <v>0.1</v>
      </c>
      <c r="Q511">
        <f t="array" ref="Q511">IF(I511&gt;0,INDEX(DB,I511,9),EventIndex)</f>
        <v>6</v>
      </c>
      <c r="S511" s="442">
        <f t="array" ref="S511">INDEX(MINVALUES,$Q511,$K$1)</f>
        <v>16</v>
      </c>
      <c r="T511">
        <f t="array" ref="T511">INDEX(INCVALUES,$Q511,$K$1)</f>
        <v>0.1</v>
      </c>
      <c r="V511">
        <f t="array" ref="V511">+J511+(4*(INDEX(MatchScoreTable,$Q511,20)-1))</f>
        <v>4</v>
      </c>
      <c r="W511">
        <f t="array" ref="W511">INDEX(INC_MINVALUES,$V511,$K$1)</f>
        <v>34</v>
      </c>
      <c r="X511" s="212">
        <f t="array" ref="X511">INDEX(INC_INCVALUES,$V511,$K$1)</f>
        <v>0.3</v>
      </c>
    </row>
    <row r="512" ht="15.75" customHeight="1">
      <c r="A512" s="435"/>
      <c r="B512" s="436"/>
      <c r="C512" s="95" t="str">
        <f t="array" ref="C512">IF(I512&gt;0,INDEX(DB,I512,8),"")</f>
        <v/>
      </c>
      <c r="D512" s="437">
        <f t="shared" si="1"/>
        <v>0</v>
      </c>
      <c r="F512" s="438">
        <f t="shared" si="2"/>
        <v>0</v>
      </c>
      <c r="G512" t="str">
        <f t="shared" si="3"/>
        <v/>
      </c>
      <c r="H512" t="b">
        <f t="shared" si="4"/>
        <v>0</v>
      </c>
      <c r="I512" s="439">
        <f>IF(OR(ISBLANK(A512),ISNA(MATCH(A512&amp;"",AthleteNumbers,0))),0,MATCH(A512&amp;"",AthleteNumbers,0))</f>
        <v>0</v>
      </c>
      <c r="J512" s="209">
        <f t="array" ref="J512">IF(I512&gt;0,INDEX(DB,$I512,6),0)</f>
        <v>0</v>
      </c>
      <c r="K512" s="440">
        <f t="shared" si="5"/>
        <v>0</v>
      </c>
      <c r="L512" s="440">
        <f t="shared" si="6"/>
        <v>0</v>
      </c>
      <c r="M512" s="441">
        <f>IF(AND(L512&gt;O512,O512&gt;0),MinPoints,IF(L512&lt;N512,100,+INT((O512-$L512)/P512)+MinPoints))</f>
        <v>100</v>
      </c>
      <c r="N512" s="440">
        <f t="shared" si="7"/>
        <v>7</v>
      </c>
      <c r="O512" s="440">
        <f t="shared" si="8"/>
        <v>16</v>
      </c>
      <c r="P512" s="440">
        <f t="shared" si="9"/>
        <v>0.1</v>
      </c>
      <c r="Q512">
        <f t="array" ref="Q512">IF(I512&gt;0,INDEX(DB,I512,9),EventIndex)</f>
        <v>6</v>
      </c>
      <c r="S512" s="442">
        <f t="array" ref="S512">INDEX(MINVALUES,$Q512,$K$1)</f>
        <v>16</v>
      </c>
      <c r="T512">
        <f t="array" ref="T512">INDEX(INCVALUES,$Q512,$K$1)</f>
        <v>0.1</v>
      </c>
      <c r="V512">
        <f t="array" ref="V512">+J512+(4*(INDEX(MatchScoreTable,$Q512,20)-1))</f>
        <v>4</v>
      </c>
      <c r="W512">
        <f t="array" ref="W512">INDEX(INC_MINVALUES,$V512,$K$1)</f>
        <v>34</v>
      </c>
      <c r="X512" s="212">
        <f t="array" ref="X512">INDEX(INC_INCVALUES,$V512,$K$1)</f>
        <v>0.3</v>
      </c>
    </row>
    <row r="513" ht="15.75" customHeight="1">
      <c r="A513" s="435"/>
      <c r="B513" s="436"/>
      <c r="C513" s="95" t="str">
        <f t="array" ref="C513">IF(I513&gt;0,INDEX(DB,I513,8),"")</f>
        <v/>
      </c>
      <c r="D513" s="437">
        <f t="shared" si="1"/>
        <v>0</v>
      </c>
      <c r="F513" s="438">
        <f t="shared" si="2"/>
        <v>0</v>
      </c>
      <c r="G513" t="str">
        <f t="shared" si="3"/>
        <v/>
      </c>
      <c r="H513" t="b">
        <f t="shared" si="4"/>
        <v>0</v>
      </c>
      <c r="I513" s="439">
        <f>IF(OR(ISBLANK(A513),ISNA(MATCH(A513&amp;"",AthleteNumbers,0))),0,MATCH(A513&amp;"",AthleteNumbers,0))</f>
        <v>0</v>
      </c>
      <c r="J513" s="209">
        <f t="array" ref="J513">IF(I513&gt;0,INDEX(DB,$I513,6),0)</f>
        <v>0</v>
      </c>
      <c r="K513" s="440">
        <f t="shared" si="5"/>
        <v>0</v>
      </c>
      <c r="L513" s="440">
        <f t="shared" si="6"/>
        <v>0</v>
      </c>
      <c r="M513" s="441">
        <f>IF(AND(L513&gt;O513,O513&gt;0),MinPoints,IF(L513&lt;N513,100,+INT((O513-$L513)/P513)+MinPoints))</f>
        <v>100</v>
      </c>
      <c r="N513" s="440">
        <f t="shared" si="7"/>
        <v>7</v>
      </c>
      <c r="O513" s="440">
        <f t="shared" si="8"/>
        <v>16</v>
      </c>
      <c r="P513" s="440">
        <f t="shared" si="9"/>
        <v>0.1</v>
      </c>
      <c r="Q513">
        <f t="array" ref="Q513">IF(I513&gt;0,INDEX(DB,I513,9),EventIndex)</f>
        <v>6</v>
      </c>
      <c r="S513" s="442">
        <f t="array" ref="S513">INDEX(MINVALUES,$Q513,$K$1)</f>
        <v>16</v>
      </c>
      <c r="T513">
        <f t="array" ref="T513">INDEX(INCVALUES,$Q513,$K$1)</f>
        <v>0.1</v>
      </c>
      <c r="V513">
        <f t="array" ref="V513">+J513+(4*(INDEX(MatchScoreTable,$Q513,20)-1))</f>
        <v>4</v>
      </c>
      <c r="W513">
        <f t="array" ref="W513">INDEX(INC_MINVALUES,$V513,$K$1)</f>
        <v>34</v>
      </c>
      <c r="X513" s="212">
        <f t="array" ref="X513">INDEX(INC_INCVALUES,$V513,$K$1)</f>
        <v>0.3</v>
      </c>
    </row>
    <row r="514" ht="15.75" customHeight="1">
      <c r="A514" s="435"/>
      <c r="B514" s="436"/>
      <c r="C514" s="95" t="str">
        <f t="array" ref="C514">IF(I514&gt;0,INDEX(DB,I514,8),"")</f>
        <v/>
      </c>
      <c r="D514" s="437">
        <f t="shared" si="1"/>
        <v>0</v>
      </c>
      <c r="F514" s="438">
        <f t="shared" si="2"/>
        <v>0</v>
      </c>
      <c r="G514" t="str">
        <f t="shared" si="3"/>
        <v/>
      </c>
      <c r="H514" t="b">
        <f t="shared" si="4"/>
        <v>0</v>
      </c>
      <c r="I514" s="439">
        <f>IF(OR(ISBLANK(A514),ISNA(MATCH(A514&amp;"",AthleteNumbers,0))),0,MATCH(A514&amp;"",AthleteNumbers,0))</f>
        <v>0</v>
      </c>
      <c r="J514" s="209">
        <f t="array" ref="J514">IF(I514&gt;0,INDEX(DB,$I514,6),0)</f>
        <v>0</v>
      </c>
      <c r="K514" s="440">
        <f t="shared" si="5"/>
        <v>0</v>
      </c>
      <c r="L514" s="440">
        <f t="shared" si="6"/>
        <v>0</v>
      </c>
      <c r="M514" s="441">
        <f>IF(AND(L514&gt;O514,O514&gt;0),MinPoints,IF(L514&lt;N514,100,+INT((O514-$L514)/P514)+MinPoints))</f>
        <v>100</v>
      </c>
      <c r="N514" s="440">
        <f t="shared" si="7"/>
        <v>7</v>
      </c>
      <c r="O514" s="440">
        <f t="shared" si="8"/>
        <v>16</v>
      </c>
      <c r="P514" s="440">
        <f t="shared" si="9"/>
        <v>0.1</v>
      </c>
      <c r="Q514">
        <f t="array" ref="Q514">IF(I514&gt;0,INDEX(DB,I514,9),EventIndex)</f>
        <v>6</v>
      </c>
      <c r="S514" s="442">
        <f t="array" ref="S514">INDEX(MINVALUES,$Q514,$K$1)</f>
        <v>16</v>
      </c>
      <c r="T514">
        <f t="array" ref="T514">INDEX(INCVALUES,$Q514,$K$1)</f>
        <v>0.1</v>
      </c>
      <c r="V514">
        <f t="array" ref="V514">+J514+(4*(INDEX(MatchScoreTable,$Q514,20)-1))</f>
        <v>4</v>
      </c>
      <c r="W514">
        <f t="array" ref="W514">INDEX(INC_MINVALUES,$V514,$K$1)</f>
        <v>34</v>
      </c>
      <c r="X514" s="212">
        <f t="array" ref="X514">INDEX(INC_INCVALUES,$V514,$K$1)</f>
        <v>0.3</v>
      </c>
    </row>
    <row r="515" ht="15.75" customHeight="1">
      <c r="A515" s="435"/>
      <c r="B515" s="436"/>
      <c r="C515" s="95" t="str">
        <f t="array" ref="C515">IF(I515&gt;0,INDEX(DB,I515,8),"")</f>
        <v/>
      </c>
      <c r="D515" s="437">
        <f t="shared" si="1"/>
        <v>0</v>
      </c>
      <c r="F515" s="438">
        <f t="shared" si="2"/>
        <v>0</v>
      </c>
      <c r="G515" t="str">
        <f t="shared" si="3"/>
        <v/>
      </c>
      <c r="H515" t="b">
        <f t="shared" si="4"/>
        <v>0</v>
      </c>
      <c r="I515" s="439">
        <f>IF(OR(ISBLANK(A515),ISNA(MATCH(A515&amp;"",AthleteNumbers,0))),0,MATCH(A515&amp;"",AthleteNumbers,0))</f>
        <v>0</v>
      </c>
      <c r="J515" s="209">
        <f t="array" ref="J515">IF(I515&gt;0,INDEX(DB,$I515,6),0)</f>
        <v>0</v>
      </c>
      <c r="K515" s="440">
        <f t="shared" si="5"/>
        <v>0</v>
      </c>
      <c r="L515" s="440">
        <f t="shared" si="6"/>
        <v>0</v>
      </c>
      <c r="M515" s="441">
        <f>IF(AND(L515&gt;O515,O515&gt;0),MinPoints,IF(L515&lt;N515,100,+INT((O515-$L515)/P515)+MinPoints))</f>
        <v>100</v>
      </c>
      <c r="N515" s="440">
        <f t="shared" si="7"/>
        <v>7</v>
      </c>
      <c r="O515" s="440">
        <f t="shared" si="8"/>
        <v>16</v>
      </c>
      <c r="P515" s="440">
        <f t="shared" si="9"/>
        <v>0.1</v>
      </c>
      <c r="Q515">
        <f t="array" ref="Q515">IF(I515&gt;0,INDEX(DB,I515,9),EventIndex)</f>
        <v>6</v>
      </c>
      <c r="S515" s="442">
        <f t="array" ref="S515">INDEX(MINVALUES,$Q515,$K$1)</f>
        <v>16</v>
      </c>
      <c r="T515">
        <f t="array" ref="T515">INDEX(INCVALUES,$Q515,$K$1)</f>
        <v>0.1</v>
      </c>
      <c r="V515">
        <f t="array" ref="V515">+J515+(4*(INDEX(MatchScoreTable,$Q515,20)-1))</f>
        <v>4</v>
      </c>
      <c r="W515">
        <f t="array" ref="W515">INDEX(INC_MINVALUES,$V515,$K$1)</f>
        <v>34</v>
      </c>
      <c r="X515" s="212">
        <f t="array" ref="X515">INDEX(INC_INCVALUES,$V515,$K$1)</f>
        <v>0.3</v>
      </c>
    </row>
    <row r="516" ht="15.75" customHeight="1">
      <c r="A516" s="435"/>
      <c r="B516" s="436"/>
      <c r="C516" s="95" t="str">
        <f t="array" ref="C516">IF(I516&gt;0,INDEX(DB,I516,8),"")</f>
        <v/>
      </c>
      <c r="D516" s="437">
        <f t="shared" si="1"/>
        <v>0</v>
      </c>
      <c r="F516" s="438">
        <f t="shared" si="2"/>
        <v>0</v>
      </c>
      <c r="G516" t="str">
        <f t="shared" si="3"/>
        <v/>
      </c>
      <c r="H516" t="b">
        <f t="shared" si="4"/>
        <v>0</v>
      </c>
      <c r="I516" s="439">
        <f>IF(OR(ISBLANK(A516),ISNA(MATCH(A516&amp;"",AthleteNumbers,0))),0,MATCH(A516&amp;"",AthleteNumbers,0))</f>
        <v>0</v>
      </c>
      <c r="J516" s="209">
        <f t="array" ref="J516">IF(I516&gt;0,INDEX(DB,$I516,6),0)</f>
        <v>0</v>
      </c>
      <c r="K516" s="440">
        <f t="shared" si="5"/>
        <v>0</v>
      </c>
      <c r="L516" s="440">
        <f t="shared" si="6"/>
        <v>0</v>
      </c>
      <c r="M516" s="441">
        <f>IF(AND(L516&gt;O516,O516&gt;0),MinPoints,IF(L516&lt;N516,100,+INT((O516-$L516)/P516)+MinPoints))</f>
        <v>100</v>
      </c>
      <c r="N516" s="440">
        <f t="shared" si="7"/>
        <v>7</v>
      </c>
      <c r="O516" s="440">
        <f t="shared" si="8"/>
        <v>16</v>
      </c>
      <c r="P516" s="440">
        <f t="shared" si="9"/>
        <v>0.1</v>
      </c>
      <c r="Q516">
        <f t="array" ref="Q516">IF(I516&gt;0,INDEX(DB,I516,9),EventIndex)</f>
        <v>6</v>
      </c>
      <c r="S516" s="442">
        <f t="array" ref="S516">INDEX(MINVALUES,$Q516,$K$1)</f>
        <v>16</v>
      </c>
      <c r="T516">
        <f t="array" ref="T516">INDEX(INCVALUES,$Q516,$K$1)</f>
        <v>0.1</v>
      </c>
      <c r="V516">
        <f t="array" ref="V516">+J516+(4*(INDEX(MatchScoreTable,$Q516,20)-1))</f>
        <v>4</v>
      </c>
      <c r="W516">
        <f t="array" ref="W516">INDEX(INC_MINVALUES,$V516,$K$1)</f>
        <v>34</v>
      </c>
      <c r="X516" s="212">
        <f t="array" ref="X516">INDEX(INC_INCVALUES,$V516,$K$1)</f>
        <v>0.3</v>
      </c>
    </row>
    <row r="517" ht="15.75" customHeight="1">
      <c r="A517" s="435"/>
      <c r="B517" s="436"/>
      <c r="C517" s="95" t="str">
        <f t="array" ref="C517">IF(I517&gt;0,INDEX(DB,I517,8),"")</f>
        <v/>
      </c>
      <c r="D517" s="437">
        <f t="shared" si="1"/>
        <v>0</v>
      </c>
      <c r="F517" s="438">
        <f t="shared" si="2"/>
        <v>0</v>
      </c>
      <c r="G517" t="str">
        <f t="shared" si="3"/>
        <v/>
      </c>
      <c r="H517" t="b">
        <f t="shared" si="4"/>
        <v>0</v>
      </c>
      <c r="I517" s="439">
        <f>IF(OR(ISBLANK(A517),ISNA(MATCH(A517&amp;"",AthleteNumbers,0))),0,MATCH(A517&amp;"",AthleteNumbers,0))</f>
        <v>0</v>
      </c>
      <c r="J517" s="209">
        <f t="array" ref="J517">IF(I517&gt;0,INDEX(DB,$I517,6),0)</f>
        <v>0</v>
      </c>
      <c r="K517" s="440">
        <f t="shared" si="5"/>
        <v>0</v>
      </c>
      <c r="L517" s="440">
        <f t="shared" si="6"/>
        <v>0</v>
      </c>
      <c r="M517" s="441">
        <f>IF(AND(L517&gt;O517,O517&gt;0),MinPoints,IF(L517&lt;N517,100,+INT((O517-$L517)/P517)+MinPoints))</f>
        <v>100</v>
      </c>
      <c r="N517" s="440">
        <f t="shared" si="7"/>
        <v>7</v>
      </c>
      <c r="O517" s="440">
        <f t="shared" si="8"/>
        <v>16</v>
      </c>
      <c r="P517" s="440">
        <f t="shared" si="9"/>
        <v>0.1</v>
      </c>
      <c r="Q517">
        <f t="array" ref="Q517">IF(I517&gt;0,INDEX(DB,I517,9),EventIndex)</f>
        <v>6</v>
      </c>
      <c r="S517" s="442">
        <f t="array" ref="S517">INDEX(MINVALUES,$Q517,$K$1)</f>
        <v>16</v>
      </c>
      <c r="T517">
        <f t="array" ref="T517">INDEX(INCVALUES,$Q517,$K$1)</f>
        <v>0.1</v>
      </c>
      <c r="V517">
        <f t="array" ref="V517">+J517+(4*(INDEX(MatchScoreTable,$Q517,20)-1))</f>
        <v>4</v>
      </c>
      <c r="W517">
        <f t="array" ref="W517">INDEX(INC_MINVALUES,$V517,$K$1)</f>
        <v>34</v>
      </c>
      <c r="X517" s="212">
        <f t="array" ref="X517">INDEX(INC_INCVALUES,$V517,$K$1)</f>
        <v>0.3</v>
      </c>
    </row>
    <row r="518" ht="15.75" customHeight="1">
      <c r="A518" s="435"/>
      <c r="B518" s="436"/>
      <c r="C518" s="95" t="str">
        <f t="array" ref="C518">IF(I518&gt;0,INDEX(DB,I518,8),"")</f>
        <v/>
      </c>
      <c r="D518" s="437">
        <f t="shared" si="1"/>
        <v>0</v>
      </c>
      <c r="F518" s="438">
        <f t="shared" si="2"/>
        <v>0</v>
      </c>
      <c r="G518" t="str">
        <f t="shared" si="3"/>
        <v/>
      </c>
      <c r="H518" t="b">
        <f t="shared" si="4"/>
        <v>0</v>
      </c>
      <c r="I518" s="439">
        <f>IF(OR(ISBLANK(A518),ISNA(MATCH(A518&amp;"",AthleteNumbers,0))),0,MATCH(A518&amp;"",AthleteNumbers,0))</f>
        <v>0</v>
      </c>
      <c r="J518" s="209">
        <f t="array" ref="J518">IF(I518&gt;0,INDEX(DB,$I518,6),0)</f>
        <v>0</v>
      </c>
      <c r="K518" s="440">
        <f t="shared" si="5"/>
        <v>0</v>
      </c>
      <c r="L518" s="440">
        <f t="shared" si="6"/>
        <v>0</v>
      </c>
      <c r="M518" s="441">
        <f>IF(AND(L518&gt;O518,O518&gt;0),MinPoints,IF(L518&lt;N518,100,+INT((O518-$L518)/P518)+MinPoints))</f>
        <v>100</v>
      </c>
      <c r="N518" s="440">
        <f t="shared" si="7"/>
        <v>7</v>
      </c>
      <c r="O518" s="440">
        <f t="shared" si="8"/>
        <v>16</v>
      </c>
      <c r="P518" s="440">
        <f t="shared" si="9"/>
        <v>0.1</v>
      </c>
      <c r="Q518">
        <f t="array" ref="Q518">IF(I518&gt;0,INDEX(DB,I518,9),EventIndex)</f>
        <v>6</v>
      </c>
      <c r="S518" s="442">
        <f t="array" ref="S518">INDEX(MINVALUES,$Q518,$K$1)</f>
        <v>16</v>
      </c>
      <c r="T518">
        <f t="array" ref="T518">INDEX(INCVALUES,$Q518,$K$1)</f>
        <v>0.1</v>
      </c>
      <c r="V518">
        <f t="array" ref="V518">+J518+(4*(INDEX(MatchScoreTable,$Q518,20)-1))</f>
        <v>4</v>
      </c>
      <c r="W518">
        <f t="array" ref="W518">INDEX(INC_MINVALUES,$V518,$K$1)</f>
        <v>34</v>
      </c>
      <c r="X518" s="212">
        <f t="array" ref="X518">INDEX(INC_INCVALUES,$V518,$K$1)</f>
        <v>0.3</v>
      </c>
    </row>
    <row r="519" ht="15.75" customHeight="1">
      <c r="A519" s="435"/>
      <c r="B519" s="436"/>
      <c r="C519" s="95" t="str">
        <f t="array" ref="C519">IF(I519&gt;0,INDEX(DB,I519,8),"")</f>
        <v/>
      </c>
      <c r="D519" s="437">
        <f t="shared" si="1"/>
        <v>0</v>
      </c>
      <c r="F519" s="438">
        <f t="shared" si="2"/>
        <v>0</v>
      </c>
      <c r="G519" t="str">
        <f t="shared" si="3"/>
        <v/>
      </c>
      <c r="H519" t="b">
        <f t="shared" si="4"/>
        <v>0</v>
      </c>
      <c r="I519" s="439">
        <f>IF(OR(ISBLANK(A519),ISNA(MATCH(A519&amp;"",AthleteNumbers,0))),0,MATCH(A519&amp;"",AthleteNumbers,0))</f>
        <v>0</v>
      </c>
      <c r="J519" s="209">
        <f t="array" ref="J519">IF(I519&gt;0,INDEX(DB,$I519,6),0)</f>
        <v>0</v>
      </c>
      <c r="K519" s="440">
        <f t="shared" si="5"/>
        <v>0</v>
      </c>
      <c r="L519" s="440">
        <f t="shared" si="6"/>
        <v>0</v>
      </c>
      <c r="M519" s="441">
        <f>IF(AND(L519&gt;O519,O519&gt;0),MinPoints,IF(L519&lt;N519,100,+INT((O519-$L519)/P519)+MinPoints))</f>
        <v>100</v>
      </c>
      <c r="N519" s="440">
        <f t="shared" si="7"/>
        <v>7</v>
      </c>
      <c r="O519" s="440">
        <f t="shared" si="8"/>
        <v>16</v>
      </c>
      <c r="P519" s="440">
        <f t="shared" si="9"/>
        <v>0.1</v>
      </c>
      <c r="Q519">
        <f t="array" ref="Q519">IF(I519&gt;0,INDEX(DB,I519,9),EventIndex)</f>
        <v>6</v>
      </c>
      <c r="S519" s="442">
        <f t="array" ref="S519">INDEX(MINVALUES,$Q519,$K$1)</f>
        <v>16</v>
      </c>
      <c r="T519">
        <f t="array" ref="T519">INDEX(INCVALUES,$Q519,$K$1)</f>
        <v>0.1</v>
      </c>
      <c r="V519">
        <f t="array" ref="V519">+J519+(4*(INDEX(MatchScoreTable,$Q519,20)-1))</f>
        <v>4</v>
      </c>
      <c r="W519">
        <f t="array" ref="W519">INDEX(INC_MINVALUES,$V519,$K$1)</f>
        <v>34</v>
      </c>
      <c r="X519" s="212">
        <f t="array" ref="X519">INDEX(INC_INCVALUES,$V519,$K$1)</f>
        <v>0.3</v>
      </c>
    </row>
    <row r="520" ht="15.75" customHeight="1">
      <c r="A520" s="435"/>
      <c r="B520" s="436"/>
      <c r="C520" s="95" t="str">
        <f t="array" ref="C520">IF(I520&gt;0,INDEX(DB,I520,8),"")</f>
        <v/>
      </c>
      <c r="D520" s="437">
        <f t="shared" si="1"/>
        <v>0</v>
      </c>
      <c r="F520" s="438">
        <f t="shared" si="2"/>
        <v>0</v>
      </c>
      <c r="G520" t="str">
        <f t="shared" si="3"/>
        <v/>
      </c>
      <c r="H520" t="b">
        <f t="shared" si="4"/>
        <v>0</v>
      </c>
      <c r="I520" s="439">
        <f>IF(OR(ISBLANK(A520),ISNA(MATCH(A520&amp;"",AthleteNumbers,0))),0,MATCH(A520&amp;"",AthleteNumbers,0))</f>
        <v>0</v>
      </c>
      <c r="J520" s="209">
        <f t="array" ref="J520">IF(I520&gt;0,INDEX(DB,$I520,6),0)</f>
        <v>0</v>
      </c>
      <c r="K520" s="440">
        <f t="shared" si="5"/>
        <v>0</v>
      </c>
      <c r="L520" s="440">
        <f t="shared" si="6"/>
        <v>0</v>
      </c>
      <c r="M520" s="441">
        <f>IF(AND(L520&gt;O520,O520&gt;0),MinPoints,IF(L520&lt;N520,100,+INT((O520-$L520)/P520)+MinPoints))</f>
        <v>100</v>
      </c>
      <c r="N520" s="440">
        <f t="shared" si="7"/>
        <v>7</v>
      </c>
      <c r="O520" s="440">
        <f t="shared" si="8"/>
        <v>16</v>
      </c>
      <c r="P520" s="440">
        <f t="shared" si="9"/>
        <v>0.1</v>
      </c>
      <c r="Q520">
        <f t="array" ref="Q520">IF(I520&gt;0,INDEX(DB,I520,9),EventIndex)</f>
        <v>6</v>
      </c>
      <c r="S520" s="442">
        <f t="array" ref="S520">INDEX(MINVALUES,$Q520,$K$1)</f>
        <v>16</v>
      </c>
      <c r="T520">
        <f t="array" ref="T520">INDEX(INCVALUES,$Q520,$K$1)</f>
        <v>0.1</v>
      </c>
      <c r="V520">
        <f t="array" ref="V520">+J520+(4*(INDEX(MatchScoreTable,$Q520,20)-1))</f>
        <v>4</v>
      </c>
      <c r="W520">
        <f t="array" ref="W520">INDEX(INC_MINVALUES,$V520,$K$1)</f>
        <v>34</v>
      </c>
      <c r="X520" s="212">
        <f t="array" ref="X520">INDEX(INC_INCVALUES,$V520,$K$1)</f>
        <v>0.3</v>
      </c>
    </row>
    <row r="521" ht="15.75" customHeight="1">
      <c r="A521" s="435"/>
      <c r="B521" s="436"/>
      <c r="C521" s="95" t="str">
        <f t="array" ref="C521">IF(I521&gt;0,INDEX(DB,I521,8),"")</f>
        <v/>
      </c>
      <c r="D521" s="437">
        <f t="shared" si="1"/>
        <v>0</v>
      </c>
      <c r="F521" s="438">
        <f t="shared" si="2"/>
        <v>0</v>
      </c>
      <c r="G521" t="str">
        <f t="shared" si="3"/>
        <v/>
      </c>
      <c r="H521" t="b">
        <f t="shared" si="4"/>
        <v>0</v>
      </c>
      <c r="I521" s="439">
        <f>IF(OR(ISBLANK(A521),ISNA(MATCH(A521&amp;"",AthleteNumbers,0))),0,MATCH(A521&amp;"",AthleteNumbers,0))</f>
        <v>0</v>
      </c>
      <c r="J521" s="209">
        <f t="array" ref="J521">IF(I521&gt;0,INDEX(DB,$I521,6),0)</f>
        <v>0</v>
      </c>
      <c r="K521" s="440">
        <f t="shared" si="5"/>
        <v>0</v>
      </c>
      <c r="L521" s="440">
        <f t="shared" si="6"/>
        <v>0</v>
      </c>
      <c r="M521" s="441">
        <f>IF(AND(L521&gt;O521,O521&gt;0),MinPoints,IF(L521&lt;N521,100,+INT((O521-$L521)/P521)+MinPoints))</f>
        <v>100</v>
      </c>
      <c r="N521" s="440">
        <f t="shared" si="7"/>
        <v>7</v>
      </c>
      <c r="O521" s="440">
        <f t="shared" si="8"/>
        <v>16</v>
      </c>
      <c r="P521" s="440">
        <f t="shared" si="9"/>
        <v>0.1</v>
      </c>
      <c r="Q521">
        <f t="array" ref="Q521">IF(I521&gt;0,INDEX(DB,I521,9),EventIndex)</f>
        <v>6</v>
      </c>
      <c r="S521" s="442">
        <f t="array" ref="S521">INDEX(MINVALUES,$Q521,$K$1)</f>
        <v>16</v>
      </c>
      <c r="T521">
        <f t="array" ref="T521">INDEX(INCVALUES,$Q521,$K$1)</f>
        <v>0.1</v>
      </c>
      <c r="V521">
        <f t="array" ref="V521">+J521+(4*(INDEX(MatchScoreTable,$Q521,20)-1))</f>
        <v>4</v>
      </c>
      <c r="W521">
        <f t="array" ref="W521">INDEX(INC_MINVALUES,$V521,$K$1)</f>
        <v>34</v>
      </c>
      <c r="X521" s="212">
        <f t="array" ref="X521">INDEX(INC_INCVALUES,$V521,$K$1)</f>
        <v>0.3</v>
      </c>
    </row>
    <row r="522" ht="15.75" customHeight="1">
      <c r="A522" s="435"/>
      <c r="B522" s="436"/>
      <c r="C522" s="95" t="str">
        <f t="array" ref="C522">IF(I522&gt;0,INDEX(DB,I522,8),"")</f>
        <v/>
      </c>
      <c r="D522" s="437">
        <f t="shared" si="1"/>
        <v>0</v>
      </c>
      <c r="F522" s="438">
        <f t="shared" si="2"/>
        <v>0</v>
      </c>
      <c r="G522" t="str">
        <f t="shared" si="3"/>
        <v/>
      </c>
      <c r="H522" t="b">
        <f t="shared" si="4"/>
        <v>0</v>
      </c>
      <c r="I522" s="439">
        <f>IF(OR(ISBLANK(A522),ISNA(MATCH(A522&amp;"",AthleteNumbers,0))),0,MATCH(A522&amp;"",AthleteNumbers,0))</f>
        <v>0</v>
      </c>
      <c r="J522" s="209">
        <f t="array" ref="J522">IF(I522&gt;0,INDEX(DB,$I522,6),0)</f>
        <v>0</v>
      </c>
      <c r="K522" s="440">
        <f t="shared" si="5"/>
        <v>0</v>
      </c>
      <c r="L522" s="440">
        <f t="shared" si="6"/>
        <v>0</v>
      </c>
      <c r="M522" s="441">
        <f>IF(AND(L522&gt;O522,O522&gt;0),MinPoints,IF(L522&lt;N522,100,+INT((O522-$L522)/P522)+MinPoints))</f>
        <v>100</v>
      </c>
      <c r="N522" s="440">
        <f t="shared" si="7"/>
        <v>7</v>
      </c>
      <c r="O522" s="440">
        <f t="shared" si="8"/>
        <v>16</v>
      </c>
      <c r="P522" s="440">
        <f t="shared" si="9"/>
        <v>0.1</v>
      </c>
      <c r="Q522">
        <f t="array" ref="Q522">IF(I522&gt;0,INDEX(DB,I522,9),EventIndex)</f>
        <v>6</v>
      </c>
      <c r="S522" s="442">
        <f t="array" ref="S522">INDEX(MINVALUES,$Q522,$K$1)</f>
        <v>16</v>
      </c>
      <c r="T522">
        <f t="array" ref="T522">INDEX(INCVALUES,$Q522,$K$1)</f>
        <v>0.1</v>
      </c>
      <c r="V522">
        <f t="array" ref="V522">+J522+(4*(INDEX(MatchScoreTable,$Q522,20)-1))</f>
        <v>4</v>
      </c>
      <c r="W522">
        <f t="array" ref="W522">INDEX(INC_MINVALUES,$V522,$K$1)</f>
        <v>34</v>
      </c>
      <c r="X522" s="212">
        <f t="array" ref="X522">INDEX(INC_INCVALUES,$V522,$K$1)</f>
        <v>0.3</v>
      </c>
    </row>
    <row r="523" ht="15.75" customHeight="1">
      <c r="A523" s="435"/>
      <c r="B523" s="436"/>
      <c r="C523" s="95" t="str">
        <f t="array" ref="C523">IF(I523&gt;0,INDEX(DB,I523,8),"")</f>
        <v/>
      </c>
      <c r="D523" s="437">
        <f t="shared" si="1"/>
        <v>0</v>
      </c>
      <c r="F523" s="438">
        <f t="shared" si="2"/>
        <v>0</v>
      </c>
      <c r="G523" t="str">
        <f t="shared" si="3"/>
        <v/>
      </c>
      <c r="H523" t="b">
        <f t="shared" si="4"/>
        <v>0</v>
      </c>
      <c r="I523" s="439">
        <f>IF(OR(ISBLANK(A523),ISNA(MATCH(A523&amp;"",AthleteNumbers,0))),0,MATCH(A523&amp;"",AthleteNumbers,0))</f>
        <v>0</v>
      </c>
      <c r="J523" s="209">
        <f t="array" ref="J523">IF(I523&gt;0,INDEX(DB,$I523,6),0)</f>
        <v>0</v>
      </c>
      <c r="K523" s="440">
        <f t="shared" si="5"/>
        <v>0</v>
      </c>
      <c r="L523" s="440">
        <f t="shared" si="6"/>
        <v>0</v>
      </c>
      <c r="M523" s="441">
        <f>IF(AND(L523&gt;O523,O523&gt;0),MinPoints,IF(L523&lt;N523,100,+INT((O523-$L523)/P523)+MinPoints))</f>
        <v>100</v>
      </c>
      <c r="N523" s="440">
        <f t="shared" si="7"/>
        <v>7</v>
      </c>
      <c r="O523" s="440">
        <f t="shared" si="8"/>
        <v>16</v>
      </c>
      <c r="P523" s="440">
        <f t="shared" si="9"/>
        <v>0.1</v>
      </c>
      <c r="Q523">
        <f t="array" ref="Q523">IF(I523&gt;0,INDEX(DB,I523,9),EventIndex)</f>
        <v>6</v>
      </c>
      <c r="S523" s="442">
        <f t="array" ref="S523">INDEX(MINVALUES,$Q523,$K$1)</f>
        <v>16</v>
      </c>
      <c r="T523">
        <f t="array" ref="T523">INDEX(INCVALUES,$Q523,$K$1)</f>
        <v>0.1</v>
      </c>
      <c r="V523">
        <f t="array" ref="V523">+J523+(4*(INDEX(MatchScoreTable,$Q523,20)-1))</f>
        <v>4</v>
      </c>
      <c r="W523">
        <f t="array" ref="W523">INDEX(INC_MINVALUES,$V523,$K$1)</f>
        <v>34</v>
      </c>
      <c r="X523" s="212">
        <f t="array" ref="X523">INDEX(INC_INCVALUES,$V523,$K$1)</f>
        <v>0.3</v>
      </c>
    </row>
    <row r="524" ht="15.75" customHeight="1">
      <c r="A524" s="435"/>
      <c r="B524" s="436"/>
      <c r="C524" s="95" t="str">
        <f t="array" ref="C524">IF(I524&gt;0,INDEX(DB,I524,8),"")</f>
        <v/>
      </c>
      <c r="D524" s="437">
        <f t="shared" si="1"/>
        <v>0</v>
      </c>
      <c r="F524" s="438">
        <f t="shared" si="2"/>
        <v>0</v>
      </c>
      <c r="G524" t="str">
        <f t="shared" si="3"/>
        <v/>
      </c>
      <c r="H524" t="b">
        <f t="shared" si="4"/>
        <v>0</v>
      </c>
      <c r="I524" s="439">
        <f>IF(OR(ISBLANK(A524),ISNA(MATCH(A524&amp;"",AthleteNumbers,0))),0,MATCH(A524&amp;"",AthleteNumbers,0))</f>
        <v>0</v>
      </c>
      <c r="J524" s="209">
        <f t="array" ref="J524">IF(I524&gt;0,INDEX(DB,$I524,6),0)</f>
        <v>0</v>
      </c>
      <c r="K524" s="440">
        <f t="shared" si="5"/>
        <v>0</v>
      </c>
      <c r="L524" s="440">
        <f t="shared" si="6"/>
        <v>0</v>
      </c>
      <c r="M524" s="441">
        <f>IF(AND(L524&gt;O524,O524&gt;0),MinPoints,IF(L524&lt;N524,100,+INT((O524-$L524)/P524)+MinPoints))</f>
        <v>100</v>
      </c>
      <c r="N524" s="440">
        <f t="shared" si="7"/>
        <v>7</v>
      </c>
      <c r="O524" s="440">
        <f t="shared" si="8"/>
        <v>16</v>
      </c>
      <c r="P524" s="440">
        <f t="shared" si="9"/>
        <v>0.1</v>
      </c>
      <c r="Q524">
        <f t="array" ref="Q524">IF(I524&gt;0,INDEX(DB,I524,9),EventIndex)</f>
        <v>6</v>
      </c>
      <c r="S524" s="442">
        <f t="array" ref="S524">INDEX(MINVALUES,$Q524,$K$1)</f>
        <v>16</v>
      </c>
      <c r="T524">
        <f t="array" ref="T524">INDEX(INCVALUES,$Q524,$K$1)</f>
        <v>0.1</v>
      </c>
      <c r="V524">
        <f t="array" ref="V524">+J524+(4*(INDEX(MatchScoreTable,$Q524,20)-1))</f>
        <v>4</v>
      </c>
      <c r="W524">
        <f t="array" ref="W524">INDEX(INC_MINVALUES,$V524,$K$1)</f>
        <v>34</v>
      </c>
      <c r="X524" s="212">
        <f t="array" ref="X524">INDEX(INC_INCVALUES,$V524,$K$1)</f>
        <v>0.3</v>
      </c>
    </row>
    <row r="525" ht="15.75" customHeight="1">
      <c r="A525" s="435"/>
      <c r="B525" s="436"/>
      <c r="C525" s="95" t="str">
        <f t="array" ref="C525">IF(I525&gt;0,INDEX(DB,I525,8),"")</f>
        <v/>
      </c>
      <c r="D525" s="437">
        <f t="shared" si="1"/>
        <v>0</v>
      </c>
      <c r="F525" s="438">
        <f t="shared" si="2"/>
        <v>0</v>
      </c>
      <c r="G525" t="str">
        <f t="shared" si="3"/>
        <v/>
      </c>
      <c r="H525" t="b">
        <f t="shared" si="4"/>
        <v>0</v>
      </c>
      <c r="I525" s="439">
        <f>IF(OR(ISBLANK(A525),ISNA(MATCH(A525&amp;"",AthleteNumbers,0))),0,MATCH(A525&amp;"",AthleteNumbers,0))</f>
        <v>0</v>
      </c>
      <c r="J525" s="209">
        <f t="array" ref="J525">IF(I525&gt;0,INDEX(DB,$I525,6),0)</f>
        <v>0</v>
      </c>
      <c r="K525" s="440">
        <f t="shared" si="5"/>
        <v>0</v>
      </c>
      <c r="L525" s="440">
        <f t="shared" si="6"/>
        <v>0</v>
      </c>
      <c r="M525" s="441">
        <f>IF(AND(L525&gt;O525,O525&gt;0),MinPoints,IF(L525&lt;N525,100,+INT((O525-$L525)/P525)+MinPoints))</f>
        <v>100</v>
      </c>
      <c r="N525" s="440">
        <f t="shared" si="7"/>
        <v>7</v>
      </c>
      <c r="O525" s="440">
        <f t="shared" si="8"/>
        <v>16</v>
      </c>
      <c r="P525" s="440">
        <f t="shared" si="9"/>
        <v>0.1</v>
      </c>
      <c r="Q525">
        <f t="array" ref="Q525">IF(I525&gt;0,INDEX(DB,I525,9),EventIndex)</f>
        <v>6</v>
      </c>
      <c r="S525" s="442">
        <f t="array" ref="S525">INDEX(MINVALUES,$Q525,$K$1)</f>
        <v>16</v>
      </c>
      <c r="T525">
        <f t="array" ref="T525">INDEX(INCVALUES,$Q525,$K$1)</f>
        <v>0.1</v>
      </c>
      <c r="V525">
        <f t="array" ref="V525">+J525+(4*(INDEX(MatchScoreTable,$Q525,20)-1))</f>
        <v>4</v>
      </c>
      <c r="W525">
        <f t="array" ref="W525">INDEX(INC_MINVALUES,$V525,$K$1)</f>
        <v>34</v>
      </c>
      <c r="X525" s="212">
        <f t="array" ref="X525">INDEX(INC_INCVALUES,$V525,$K$1)</f>
        <v>0.3</v>
      </c>
    </row>
    <row r="526" ht="15.75" customHeight="1">
      <c r="A526" s="435"/>
      <c r="B526" s="436"/>
      <c r="C526" s="95" t="str">
        <f t="array" ref="C526">IF(I526&gt;0,INDEX(DB,I526,8),"")</f>
        <v/>
      </c>
      <c r="D526" s="437">
        <f t="shared" si="1"/>
        <v>0</v>
      </c>
      <c r="F526" s="438">
        <f t="shared" si="2"/>
        <v>0</v>
      </c>
      <c r="G526" t="str">
        <f t="shared" si="3"/>
        <v/>
      </c>
      <c r="H526" t="b">
        <f t="shared" si="4"/>
        <v>0</v>
      </c>
      <c r="I526" s="439">
        <f>IF(OR(ISBLANK(A526),ISNA(MATCH(A526&amp;"",AthleteNumbers,0))),0,MATCH(A526&amp;"",AthleteNumbers,0))</f>
        <v>0</v>
      </c>
      <c r="J526" s="209">
        <f t="array" ref="J526">IF(I526&gt;0,INDEX(DB,$I526,6),0)</f>
        <v>0</v>
      </c>
      <c r="K526" s="440">
        <f t="shared" si="5"/>
        <v>0</v>
      </c>
      <c r="L526" s="440">
        <f t="shared" si="6"/>
        <v>0</v>
      </c>
      <c r="M526" s="441">
        <f>IF(AND(L526&gt;O526,O526&gt;0),MinPoints,IF(L526&lt;N526,100,+INT((O526-$L526)/P526)+MinPoints))</f>
        <v>100</v>
      </c>
      <c r="N526" s="440">
        <f t="shared" si="7"/>
        <v>7</v>
      </c>
      <c r="O526" s="440">
        <f t="shared" si="8"/>
        <v>16</v>
      </c>
      <c r="P526" s="440">
        <f t="shared" si="9"/>
        <v>0.1</v>
      </c>
      <c r="Q526">
        <f t="array" ref="Q526">IF(I526&gt;0,INDEX(DB,I526,9),EventIndex)</f>
        <v>6</v>
      </c>
      <c r="S526" s="442">
        <f t="array" ref="S526">INDEX(MINVALUES,$Q526,$K$1)</f>
        <v>16</v>
      </c>
      <c r="T526">
        <f t="array" ref="T526">INDEX(INCVALUES,$Q526,$K$1)</f>
        <v>0.1</v>
      </c>
      <c r="V526">
        <f t="array" ref="V526">+J526+(4*(INDEX(MatchScoreTable,$Q526,20)-1))</f>
        <v>4</v>
      </c>
      <c r="W526">
        <f t="array" ref="W526">INDEX(INC_MINVALUES,$V526,$K$1)</f>
        <v>34</v>
      </c>
      <c r="X526" s="212">
        <f t="array" ref="X526">INDEX(INC_INCVALUES,$V526,$K$1)</f>
        <v>0.3</v>
      </c>
    </row>
    <row r="527" ht="15.75" customHeight="1">
      <c r="A527" s="435"/>
      <c r="B527" s="436"/>
      <c r="C527" s="95" t="str">
        <f t="array" ref="C527">IF(I527&gt;0,INDEX(DB,I527,8),"")</f>
        <v/>
      </c>
      <c r="D527" s="437">
        <f t="shared" si="1"/>
        <v>0</v>
      </c>
      <c r="F527" s="438">
        <f t="shared" si="2"/>
        <v>0</v>
      </c>
      <c r="G527" t="str">
        <f t="shared" si="3"/>
        <v/>
      </c>
      <c r="H527" t="b">
        <f t="shared" si="4"/>
        <v>0</v>
      </c>
      <c r="I527" s="439">
        <f>IF(OR(ISBLANK(A527),ISNA(MATCH(A527&amp;"",AthleteNumbers,0))),0,MATCH(A527&amp;"",AthleteNumbers,0))</f>
        <v>0</v>
      </c>
      <c r="J527" s="209">
        <f t="array" ref="J527">IF(I527&gt;0,INDEX(DB,$I527,6),0)</f>
        <v>0</v>
      </c>
      <c r="K527" s="440">
        <f t="shared" si="5"/>
        <v>0</v>
      </c>
      <c r="L527" s="440">
        <f t="shared" si="6"/>
        <v>0</v>
      </c>
      <c r="M527" s="441">
        <f>IF(AND(L527&gt;O527,O527&gt;0),MinPoints,IF(L527&lt;N527,100,+INT((O527-$L527)/P527)+MinPoints))</f>
        <v>100</v>
      </c>
      <c r="N527" s="440">
        <f t="shared" si="7"/>
        <v>7</v>
      </c>
      <c r="O527" s="440">
        <f t="shared" si="8"/>
        <v>16</v>
      </c>
      <c r="P527" s="440">
        <f t="shared" si="9"/>
        <v>0.1</v>
      </c>
      <c r="Q527">
        <f t="array" ref="Q527">IF(I527&gt;0,INDEX(DB,I527,9),EventIndex)</f>
        <v>6</v>
      </c>
      <c r="S527" s="442">
        <f t="array" ref="S527">INDEX(MINVALUES,$Q527,$K$1)</f>
        <v>16</v>
      </c>
      <c r="T527">
        <f t="array" ref="T527">INDEX(INCVALUES,$Q527,$K$1)</f>
        <v>0.1</v>
      </c>
      <c r="V527">
        <f t="array" ref="V527">+J527+(4*(INDEX(MatchScoreTable,$Q527,20)-1))</f>
        <v>4</v>
      </c>
      <c r="W527">
        <f t="array" ref="W527">INDEX(INC_MINVALUES,$V527,$K$1)</f>
        <v>34</v>
      </c>
      <c r="X527" s="212">
        <f t="array" ref="X527">INDEX(INC_INCVALUES,$V527,$K$1)</f>
        <v>0.3</v>
      </c>
    </row>
    <row r="528" ht="15.75" customHeight="1">
      <c r="A528" s="435"/>
      <c r="B528" s="436"/>
      <c r="C528" s="95" t="str">
        <f t="array" ref="C528">IF(I528&gt;0,INDEX(DB,I528,8),"")</f>
        <v/>
      </c>
      <c r="D528" s="437">
        <f t="shared" si="1"/>
        <v>0</v>
      </c>
      <c r="F528" s="438">
        <f t="shared" si="2"/>
        <v>0</v>
      </c>
      <c r="G528" t="str">
        <f t="shared" si="3"/>
        <v/>
      </c>
      <c r="H528" t="b">
        <f t="shared" si="4"/>
        <v>0</v>
      </c>
      <c r="I528" s="439">
        <f>IF(OR(ISBLANK(A528),ISNA(MATCH(A528&amp;"",AthleteNumbers,0))),0,MATCH(A528&amp;"",AthleteNumbers,0))</f>
        <v>0</v>
      </c>
      <c r="J528" s="209">
        <f t="array" ref="J528">IF(I528&gt;0,INDEX(DB,$I528,6),0)</f>
        <v>0</v>
      </c>
      <c r="K528" s="440">
        <f t="shared" si="5"/>
        <v>0</v>
      </c>
      <c r="L528" s="440">
        <f t="shared" si="6"/>
        <v>0</v>
      </c>
      <c r="M528" s="441">
        <f>IF(AND(L528&gt;O528,O528&gt;0),MinPoints,IF(L528&lt;N528,100,+INT((O528-$L528)/P528)+MinPoints))</f>
        <v>100</v>
      </c>
      <c r="N528" s="440">
        <f t="shared" si="7"/>
        <v>7</v>
      </c>
      <c r="O528" s="440">
        <f t="shared" si="8"/>
        <v>16</v>
      </c>
      <c r="P528" s="440">
        <f t="shared" si="9"/>
        <v>0.1</v>
      </c>
      <c r="Q528">
        <f t="array" ref="Q528">IF(I528&gt;0,INDEX(DB,I528,9),EventIndex)</f>
        <v>6</v>
      </c>
      <c r="S528" s="442">
        <f t="array" ref="S528">INDEX(MINVALUES,$Q528,$K$1)</f>
        <v>16</v>
      </c>
      <c r="T528">
        <f t="array" ref="T528">INDEX(INCVALUES,$Q528,$K$1)</f>
        <v>0.1</v>
      </c>
      <c r="V528">
        <f t="array" ref="V528">+J528+(4*(INDEX(MatchScoreTable,$Q528,20)-1))</f>
        <v>4</v>
      </c>
      <c r="W528">
        <f t="array" ref="W528">INDEX(INC_MINVALUES,$V528,$K$1)</f>
        <v>34</v>
      </c>
      <c r="X528" s="212">
        <f t="array" ref="X528">INDEX(INC_INCVALUES,$V528,$K$1)</f>
        <v>0.3</v>
      </c>
    </row>
    <row r="529" ht="15.75" customHeight="1">
      <c r="A529" s="435"/>
      <c r="B529" s="436"/>
      <c r="C529" s="95" t="str">
        <f t="array" ref="C529">IF(I529&gt;0,INDEX(DB,I529,8),"")</f>
        <v/>
      </c>
      <c r="D529" s="437">
        <f t="shared" si="1"/>
        <v>0</v>
      </c>
      <c r="F529" s="438">
        <f t="shared" si="2"/>
        <v>0</v>
      </c>
      <c r="G529" t="str">
        <f t="shared" si="3"/>
        <v/>
      </c>
      <c r="H529" t="b">
        <f t="shared" si="4"/>
        <v>0</v>
      </c>
      <c r="I529" s="439">
        <f>IF(OR(ISBLANK(A529),ISNA(MATCH(A529&amp;"",AthleteNumbers,0))),0,MATCH(A529&amp;"",AthleteNumbers,0))</f>
        <v>0</v>
      </c>
      <c r="J529" s="209">
        <f t="array" ref="J529">IF(I529&gt;0,INDEX(DB,$I529,6),0)</f>
        <v>0</v>
      </c>
      <c r="K529" s="440">
        <f t="shared" si="5"/>
        <v>0</v>
      </c>
      <c r="L529" s="440">
        <f t="shared" si="6"/>
        <v>0</v>
      </c>
      <c r="M529" s="441">
        <f>IF(AND(L529&gt;O529,O529&gt;0),MinPoints,IF(L529&lt;N529,100,+INT((O529-$L529)/P529)+MinPoints))</f>
        <v>100</v>
      </c>
      <c r="N529" s="440">
        <f t="shared" si="7"/>
        <v>7</v>
      </c>
      <c r="O529" s="440">
        <f t="shared" si="8"/>
        <v>16</v>
      </c>
      <c r="P529" s="440">
        <f t="shared" si="9"/>
        <v>0.1</v>
      </c>
      <c r="Q529">
        <f t="array" ref="Q529">IF(I529&gt;0,INDEX(DB,I529,9),EventIndex)</f>
        <v>6</v>
      </c>
      <c r="S529" s="442">
        <f t="array" ref="S529">INDEX(MINVALUES,$Q529,$K$1)</f>
        <v>16</v>
      </c>
      <c r="T529">
        <f t="array" ref="T529">INDEX(INCVALUES,$Q529,$K$1)</f>
        <v>0.1</v>
      </c>
      <c r="V529">
        <f t="array" ref="V529">+J529+(4*(INDEX(MatchScoreTable,$Q529,20)-1))</f>
        <v>4</v>
      </c>
      <c r="W529">
        <f t="array" ref="W529">INDEX(INC_MINVALUES,$V529,$K$1)</f>
        <v>34</v>
      </c>
      <c r="X529" s="212">
        <f t="array" ref="X529">INDEX(INC_INCVALUES,$V529,$K$1)</f>
        <v>0.3</v>
      </c>
    </row>
    <row r="530" ht="15.75" customHeight="1">
      <c r="A530" s="435"/>
      <c r="B530" s="436"/>
      <c r="C530" s="95" t="str">
        <f t="array" ref="C530">IF(I530&gt;0,INDEX(DB,I530,8),"")</f>
        <v/>
      </c>
      <c r="D530" s="437">
        <f t="shared" si="1"/>
        <v>0</v>
      </c>
      <c r="F530" s="438">
        <f t="shared" si="2"/>
        <v>0</v>
      </c>
      <c r="G530" t="str">
        <f t="shared" si="3"/>
        <v/>
      </c>
      <c r="H530" t="b">
        <f t="shared" si="4"/>
        <v>0</v>
      </c>
      <c r="I530" s="439">
        <f>IF(OR(ISBLANK(A530),ISNA(MATCH(A530&amp;"",AthleteNumbers,0))),0,MATCH(A530&amp;"",AthleteNumbers,0))</f>
        <v>0</v>
      </c>
      <c r="J530" s="209">
        <f t="array" ref="J530">IF(I530&gt;0,INDEX(DB,$I530,6),0)</f>
        <v>0</v>
      </c>
      <c r="K530" s="440">
        <f t="shared" si="5"/>
        <v>0</v>
      </c>
      <c r="L530" s="440">
        <f t="shared" si="6"/>
        <v>0</v>
      </c>
      <c r="M530" s="441">
        <f>IF(AND(L530&gt;O530,O530&gt;0),MinPoints,IF(L530&lt;N530,100,+INT((O530-$L530)/P530)+MinPoints))</f>
        <v>100</v>
      </c>
      <c r="N530" s="440">
        <f t="shared" si="7"/>
        <v>7</v>
      </c>
      <c r="O530" s="440">
        <f t="shared" si="8"/>
        <v>16</v>
      </c>
      <c r="P530" s="440">
        <f t="shared" si="9"/>
        <v>0.1</v>
      </c>
      <c r="Q530">
        <f t="array" ref="Q530">IF(I530&gt;0,INDEX(DB,I530,9),EventIndex)</f>
        <v>6</v>
      </c>
      <c r="S530" s="442">
        <f t="array" ref="S530">INDEX(MINVALUES,$Q530,$K$1)</f>
        <v>16</v>
      </c>
      <c r="T530">
        <f t="array" ref="T530">INDEX(INCVALUES,$Q530,$K$1)</f>
        <v>0.1</v>
      </c>
      <c r="V530">
        <f t="array" ref="V530">+J530+(4*(INDEX(MatchScoreTable,$Q530,20)-1))</f>
        <v>4</v>
      </c>
      <c r="W530">
        <f t="array" ref="W530">INDEX(INC_MINVALUES,$V530,$K$1)</f>
        <v>34</v>
      </c>
      <c r="X530" s="212">
        <f t="array" ref="X530">INDEX(INC_INCVALUES,$V530,$K$1)</f>
        <v>0.3</v>
      </c>
    </row>
    <row r="531" ht="15.75" customHeight="1">
      <c r="A531" s="435"/>
      <c r="B531" s="436"/>
      <c r="C531" s="95" t="str">
        <f t="array" ref="C531">IF(I531&gt;0,INDEX(DB,I531,8),"")</f>
        <v/>
      </c>
      <c r="D531" s="437">
        <f t="shared" si="1"/>
        <v>0</v>
      </c>
      <c r="F531" s="438">
        <f t="shared" si="2"/>
        <v>0</v>
      </c>
      <c r="G531" t="str">
        <f t="shared" si="3"/>
        <v/>
      </c>
      <c r="H531" t="b">
        <f t="shared" si="4"/>
        <v>0</v>
      </c>
      <c r="I531" s="439">
        <f>IF(OR(ISBLANK(A531),ISNA(MATCH(A531&amp;"",AthleteNumbers,0))),0,MATCH(A531&amp;"",AthleteNumbers,0))</f>
        <v>0</v>
      </c>
      <c r="J531" s="209">
        <f t="array" ref="J531">IF(I531&gt;0,INDEX(DB,$I531,6),0)</f>
        <v>0</v>
      </c>
      <c r="K531" s="440">
        <f t="shared" si="5"/>
        <v>0</v>
      </c>
      <c r="L531" s="440">
        <f t="shared" si="6"/>
        <v>0</v>
      </c>
      <c r="M531" s="441">
        <f>IF(AND(L531&gt;O531,O531&gt;0),MinPoints,IF(L531&lt;N531,100,+INT((O531-$L531)/P531)+MinPoints))</f>
        <v>100</v>
      </c>
      <c r="N531" s="440">
        <f t="shared" si="7"/>
        <v>7</v>
      </c>
      <c r="O531" s="440">
        <f t="shared" si="8"/>
        <v>16</v>
      </c>
      <c r="P531" s="440">
        <f t="shared" si="9"/>
        <v>0.1</v>
      </c>
      <c r="Q531">
        <f t="array" ref="Q531">IF(I531&gt;0,INDEX(DB,I531,9),EventIndex)</f>
        <v>6</v>
      </c>
      <c r="S531" s="442">
        <f t="array" ref="S531">INDEX(MINVALUES,$Q531,$K$1)</f>
        <v>16</v>
      </c>
      <c r="T531">
        <f t="array" ref="T531">INDEX(INCVALUES,$Q531,$K$1)</f>
        <v>0.1</v>
      </c>
      <c r="V531">
        <f t="array" ref="V531">+J531+(4*(INDEX(MatchScoreTable,$Q531,20)-1))</f>
        <v>4</v>
      </c>
      <c r="W531">
        <f t="array" ref="W531">INDEX(INC_MINVALUES,$V531,$K$1)</f>
        <v>34</v>
      </c>
      <c r="X531" s="212">
        <f t="array" ref="X531">INDEX(INC_INCVALUES,$V531,$K$1)</f>
        <v>0.3</v>
      </c>
    </row>
    <row r="532" ht="15.75" customHeight="1">
      <c r="A532" s="435"/>
      <c r="B532" s="436"/>
      <c r="C532" s="95" t="str">
        <f t="array" ref="C532">IF(I532&gt;0,INDEX(DB,I532,8),"")</f>
        <v/>
      </c>
      <c r="D532" s="437">
        <f t="shared" si="1"/>
        <v>0</v>
      </c>
      <c r="F532" s="438">
        <f t="shared" si="2"/>
        <v>0</v>
      </c>
      <c r="G532" t="str">
        <f t="shared" si="3"/>
        <v/>
      </c>
      <c r="H532" t="b">
        <f t="shared" si="4"/>
        <v>0</v>
      </c>
      <c r="I532" s="439">
        <f>IF(OR(ISBLANK(A532),ISNA(MATCH(A532&amp;"",AthleteNumbers,0))),0,MATCH(A532&amp;"",AthleteNumbers,0))</f>
        <v>0</v>
      </c>
      <c r="J532" s="209">
        <f t="array" ref="J532">IF(I532&gt;0,INDEX(DB,$I532,6),0)</f>
        <v>0</v>
      </c>
      <c r="K532" s="440">
        <f t="shared" si="5"/>
        <v>0</v>
      </c>
      <c r="L532" s="440">
        <f t="shared" si="6"/>
        <v>0</v>
      </c>
      <c r="M532" s="441">
        <f>IF(AND(L532&gt;O532,O532&gt;0),MinPoints,IF(L532&lt;N532,100,+INT((O532-$L532)/P532)+MinPoints))</f>
        <v>100</v>
      </c>
      <c r="N532" s="440">
        <f t="shared" si="7"/>
        <v>7</v>
      </c>
      <c r="O532" s="440">
        <f t="shared" si="8"/>
        <v>16</v>
      </c>
      <c r="P532" s="440">
        <f t="shared" si="9"/>
        <v>0.1</v>
      </c>
      <c r="Q532">
        <f t="array" ref="Q532">IF(I532&gt;0,INDEX(DB,I532,9),EventIndex)</f>
        <v>6</v>
      </c>
      <c r="S532" s="442">
        <f t="array" ref="S532">INDEX(MINVALUES,$Q532,$K$1)</f>
        <v>16</v>
      </c>
      <c r="T532">
        <f t="array" ref="T532">INDEX(INCVALUES,$Q532,$K$1)</f>
        <v>0.1</v>
      </c>
      <c r="V532">
        <f t="array" ref="V532">+J532+(4*(INDEX(MatchScoreTable,$Q532,20)-1))</f>
        <v>4</v>
      </c>
      <c r="W532">
        <f t="array" ref="W532">INDEX(INC_MINVALUES,$V532,$K$1)</f>
        <v>34</v>
      </c>
      <c r="X532" s="212">
        <f t="array" ref="X532">INDEX(INC_INCVALUES,$V532,$K$1)</f>
        <v>0.3</v>
      </c>
    </row>
    <row r="533" ht="15.75" customHeight="1">
      <c r="A533" s="435"/>
      <c r="B533" s="436"/>
      <c r="C533" s="95" t="str">
        <f t="array" ref="C533">IF(I533&gt;0,INDEX(DB,I533,8),"")</f>
        <v/>
      </c>
      <c r="D533" s="437">
        <f t="shared" si="1"/>
        <v>0</v>
      </c>
      <c r="F533" s="438">
        <f t="shared" si="2"/>
        <v>0</v>
      </c>
      <c r="G533" t="str">
        <f t="shared" si="3"/>
        <v/>
      </c>
      <c r="H533" t="b">
        <f t="shared" si="4"/>
        <v>0</v>
      </c>
      <c r="I533" s="439">
        <f>IF(OR(ISBLANK(A533),ISNA(MATCH(A533&amp;"",AthleteNumbers,0))),0,MATCH(A533&amp;"",AthleteNumbers,0))</f>
        <v>0</v>
      </c>
      <c r="J533" s="209">
        <f t="array" ref="J533">IF(I533&gt;0,INDEX(DB,$I533,6),0)</f>
        <v>0</v>
      </c>
      <c r="K533" s="440">
        <f t="shared" si="5"/>
        <v>0</v>
      </c>
      <c r="L533" s="440">
        <f t="shared" si="6"/>
        <v>0</v>
      </c>
      <c r="M533" s="441">
        <f>IF(AND(L533&gt;O533,O533&gt;0),MinPoints,IF(L533&lt;N533,100,+INT((O533-$L533)/P533)+MinPoints))</f>
        <v>100</v>
      </c>
      <c r="N533" s="440">
        <f t="shared" si="7"/>
        <v>7</v>
      </c>
      <c r="O533" s="440">
        <f t="shared" si="8"/>
        <v>16</v>
      </c>
      <c r="P533" s="440">
        <f t="shared" si="9"/>
        <v>0.1</v>
      </c>
      <c r="Q533">
        <f t="array" ref="Q533">IF(I533&gt;0,INDEX(DB,I533,9),EventIndex)</f>
        <v>6</v>
      </c>
      <c r="S533" s="442">
        <f t="array" ref="S533">INDEX(MINVALUES,$Q533,$K$1)</f>
        <v>16</v>
      </c>
      <c r="T533">
        <f t="array" ref="T533">INDEX(INCVALUES,$Q533,$K$1)</f>
        <v>0.1</v>
      </c>
      <c r="V533">
        <f t="array" ref="V533">+J533+(4*(INDEX(MatchScoreTable,$Q533,20)-1))</f>
        <v>4</v>
      </c>
      <c r="W533">
        <f t="array" ref="W533">INDEX(INC_MINVALUES,$V533,$K$1)</f>
        <v>34</v>
      </c>
      <c r="X533" s="212">
        <f t="array" ref="X533">INDEX(INC_INCVALUES,$V533,$K$1)</f>
        <v>0.3</v>
      </c>
    </row>
    <row r="534" ht="15.75" customHeight="1">
      <c r="A534" s="435"/>
      <c r="B534" s="436"/>
      <c r="C534" s="95" t="str">
        <f t="array" ref="C534">IF(I534&gt;0,INDEX(DB,I534,8),"")</f>
        <v/>
      </c>
      <c r="D534" s="437">
        <f t="shared" si="1"/>
        <v>0</v>
      </c>
      <c r="F534" s="438">
        <f t="shared" si="2"/>
        <v>0</v>
      </c>
      <c r="G534" t="str">
        <f t="shared" si="3"/>
        <v/>
      </c>
      <c r="H534" t="b">
        <f t="shared" si="4"/>
        <v>0</v>
      </c>
      <c r="I534" s="439">
        <f>IF(OR(ISBLANK(A534),ISNA(MATCH(A534&amp;"",AthleteNumbers,0))),0,MATCH(A534&amp;"",AthleteNumbers,0))</f>
        <v>0</v>
      </c>
      <c r="J534" s="209">
        <f t="array" ref="J534">IF(I534&gt;0,INDEX(DB,$I534,6),0)</f>
        <v>0</v>
      </c>
      <c r="K534" s="440">
        <f t="shared" si="5"/>
        <v>0</v>
      </c>
      <c r="L534" s="440">
        <f t="shared" si="6"/>
        <v>0</v>
      </c>
      <c r="M534" s="441">
        <f>IF(AND(L534&gt;O534,O534&gt;0),MinPoints,IF(L534&lt;N534,100,+INT((O534-$L534)/P534)+MinPoints))</f>
        <v>100</v>
      </c>
      <c r="N534" s="440">
        <f t="shared" si="7"/>
        <v>7</v>
      </c>
      <c r="O534" s="440">
        <f t="shared" si="8"/>
        <v>16</v>
      </c>
      <c r="P534" s="440">
        <f t="shared" si="9"/>
        <v>0.1</v>
      </c>
      <c r="Q534">
        <f t="array" ref="Q534">IF(I534&gt;0,INDEX(DB,I534,9),EventIndex)</f>
        <v>6</v>
      </c>
      <c r="S534" s="442">
        <f t="array" ref="S534">INDEX(MINVALUES,$Q534,$K$1)</f>
        <v>16</v>
      </c>
      <c r="T534">
        <f t="array" ref="T534">INDEX(INCVALUES,$Q534,$K$1)</f>
        <v>0.1</v>
      </c>
      <c r="V534">
        <f t="array" ref="V534">+J534+(4*(INDEX(MatchScoreTable,$Q534,20)-1))</f>
        <v>4</v>
      </c>
      <c r="W534">
        <f t="array" ref="W534">INDEX(INC_MINVALUES,$V534,$K$1)</f>
        <v>34</v>
      </c>
      <c r="X534" s="212">
        <f t="array" ref="X534">INDEX(INC_INCVALUES,$V534,$K$1)</f>
        <v>0.3</v>
      </c>
    </row>
    <row r="535" ht="15.75" customHeight="1">
      <c r="A535" s="435"/>
      <c r="B535" s="436"/>
      <c r="C535" s="95" t="str">
        <f t="array" ref="C535">IF(I535&gt;0,INDEX(DB,I535,8),"")</f>
        <v/>
      </c>
      <c r="D535" s="437">
        <f t="shared" si="1"/>
        <v>0</v>
      </c>
      <c r="F535" s="438">
        <f t="shared" si="2"/>
        <v>0</v>
      </c>
      <c r="G535" t="str">
        <f t="shared" si="3"/>
        <v/>
      </c>
      <c r="H535" t="b">
        <f t="shared" si="4"/>
        <v>0</v>
      </c>
      <c r="I535" s="439">
        <f>IF(OR(ISBLANK(A535),ISNA(MATCH(A535&amp;"",AthleteNumbers,0))),0,MATCH(A535&amp;"",AthleteNumbers,0))</f>
        <v>0</v>
      </c>
      <c r="J535" s="209">
        <f t="array" ref="J535">IF(I535&gt;0,INDEX(DB,$I535,6),0)</f>
        <v>0</v>
      </c>
      <c r="K535" s="440">
        <f t="shared" si="5"/>
        <v>0</v>
      </c>
      <c r="L535" s="440">
        <f t="shared" si="6"/>
        <v>0</v>
      </c>
      <c r="M535" s="441">
        <f>IF(AND(L535&gt;O535,O535&gt;0),MinPoints,IF(L535&lt;N535,100,+INT((O535-$L535)/P535)+MinPoints))</f>
        <v>100</v>
      </c>
      <c r="N535" s="440">
        <f t="shared" si="7"/>
        <v>7</v>
      </c>
      <c r="O535" s="440">
        <f t="shared" si="8"/>
        <v>16</v>
      </c>
      <c r="P535" s="440">
        <f t="shared" si="9"/>
        <v>0.1</v>
      </c>
      <c r="Q535">
        <f t="array" ref="Q535">IF(I535&gt;0,INDEX(DB,I535,9),EventIndex)</f>
        <v>6</v>
      </c>
      <c r="S535" s="442">
        <f t="array" ref="S535">INDEX(MINVALUES,$Q535,$K$1)</f>
        <v>16</v>
      </c>
      <c r="T535">
        <f t="array" ref="T535">INDEX(INCVALUES,$Q535,$K$1)</f>
        <v>0.1</v>
      </c>
      <c r="V535">
        <f t="array" ref="V535">+J535+(4*(INDEX(MatchScoreTable,$Q535,20)-1))</f>
        <v>4</v>
      </c>
      <c r="W535">
        <f t="array" ref="W535">INDEX(INC_MINVALUES,$V535,$K$1)</f>
        <v>34</v>
      </c>
      <c r="X535" s="212">
        <f t="array" ref="X535">INDEX(INC_INCVALUES,$V535,$K$1)</f>
        <v>0.3</v>
      </c>
    </row>
    <row r="536" ht="15.75" customHeight="1">
      <c r="A536" s="435"/>
      <c r="B536" s="436"/>
      <c r="C536" s="95" t="str">
        <f t="array" ref="C536">IF(I536&gt;0,INDEX(DB,I536,8),"")</f>
        <v/>
      </c>
      <c r="D536" s="437">
        <f t="shared" si="1"/>
        <v>0</v>
      </c>
      <c r="F536" s="438">
        <f t="shared" si="2"/>
        <v>0</v>
      </c>
      <c r="G536" t="str">
        <f t="shared" si="3"/>
        <v/>
      </c>
      <c r="H536" t="b">
        <f t="shared" si="4"/>
        <v>0</v>
      </c>
      <c r="I536" s="439">
        <f>IF(OR(ISBLANK(A536),ISNA(MATCH(A536&amp;"",AthleteNumbers,0))),0,MATCH(A536&amp;"",AthleteNumbers,0))</f>
        <v>0</v>
      </c>
      <c r="J536" s="209">
        <f t="array" ref="J536">IF(I536&gt;0,INDEX(DB,$I536,6),0)</f>
        <v>0</v>
      </c>
      <c r="K536" s="440">
        <f t="shared" si="5"/>
        <v>0</v>
      </c>
      <c r="L536" s="440">
        <f t="shared" si="6"/>
        <v>0</v>
      </c>
      <c r="M536" s="441">
        <f>IF(AND(L536&gt;O536,O536&gt;0),MinPoints,IF(L536&lt;N536,100,+INT((O536-$L536)/P536)+MinPoints))</f>
        <v>100</v>
      </c>
      <c r="N536" s="440">
        <f t="shared" si="7"/>
        <v>7</v>
      </c>
      <c r="O536" s="440">
        <f t="shared" si="8"/>
        <v>16</v>
      </c>
      <c r="P536" s="440">
        <f t="shared" si="9"/>
        <v>0.1</v>
      </c>
      <c r="Q536">
        <f t="array" ref="Q536">IF(I536&gt;0,INDEX(DB,I536,9),EventIndex)</f>
        <v>6</v>
      </c>
      <c r="S536" s="442">
        <f t="array" ref="S536">INDEX(MINVALUES,$Q536,$K$1)</f>
        <v>16</v>
      </c>
      <c r="T536">
        <f t="array" ref="T536">INDEX(INCVALUES,$Q536,$K$1)</f>
        <v>0.1</v>
      </c>
      <c r="V536">
        <f t="array" ref="V536">+J536+(4*(INDEX(MatchScoreTable,$Q536,20)-1))</f>
        <v>4</v>
      </c>
      <c r="W536">
        <f t="array" ref="W536">INDEX(INC_MINVALUES,$V536,$K$1)</f>
        <v>34</v>
      </c>
      <c r="X536" s="212">
        <f t="array" ref="X536">INDEX(INC_INCVALUES,$V536,$K$1)</f>
        <v>0.3</v>
      </c>
    </row>
    <row r="537" ht="15.75" customHeight="1">
      <c r="A537" s="435"/>
      <c r="B537" s="436"/>
      <c r="C537" s="95" t="str">
        <f t="array" ref="C537">IF(I537&gt;0,INDEX(DB,I537,8),"")</f>
        <v/>
      </c>
      <c r="D537" s="437">
        <f t="shared" si="1"/>
        <v>0</v>
      </c>
      <c r="F537" s="438">
        <f t="shared" si="2"/>
        <v>0</v>
      </c>
      <c r="G537" t="str">
        <f t="shared" si="3"/>
        <v/>
      </c>
      <c r="H537" t="b">
        <f t="shared" si="4"/>
        <v>0</v>
      </c>
      <c r="I537" s="439">
        <f>IF(OR(ISBLANK(A537),ISNA(MATCH(A537&amp;"",AthleteNumbers,0))),0,MATCH(A537&amp;"",AthleteNumbers,0))</f>
        <v>0</v>
      </c>
      <c r="J537" s="209">
        <f t="array" ref="J537">IF(I537&gt;0,INDEX(DB,$I537,6),0)</f>
        <v>0</v>
      </c>
      <c r="K537" s="440">
        <f t="shared" si="5"/>
        <v>0</v>
      </c>
      <c r="L537" s="440">
        <f t="shared" si="6"/>
        <v>0</v>
      </c>
      <c r="M537" s="441">
        <f>IF(AND(L537&gt;O537,O537&gt;0),MinPoints,IF(L537&lt;N537,100,+INT((O537-$L537)/P537)+MinPoints))</f>
        <v>100</v>
      </c>
      <c r="N537" s="440">
        <f t="shared" si="7"/>
        <v>7</v>
      </c>
      <c r="O537" s="440">
        <f t="shared" si="8"/>
        <v>16</v>
      </c>
      <c r="P537" s="440">
        <f t="shared" si="9"/>
        <v>0.1</v>
      </c>
      <c r="Q537">
        <f t="array" ref="Q537">IF(I537&gt;0,INDEX(DB,I537,9),EventIndex)</f>
        <v>6</v>
      </c>
      <c r="S537" s="442">
        <f t="array" ref="S537">INDEX(MINVALUES,$Q537,$K$1)</f>
        <v>16</v>
      </c>
      <c r="T537">
        <f t="array" ref="T537">INDEX(INCVALUES,$Q537,$K$1)</f>
        <v>0.1</v>
      </c>
      <c r="V537">
        <f t="array" ref="V537">+J537+(4*(INDEX(MatchScoreTable,$Q537,20)-1))</f>
        <v>4</v>
      </c>
      <c r="W537">
        <f t="array" ref="W537">INDEX(INC_MINVALUES,$V537,$K$1)</f>
        <v>34</v>
      </c>
      <c r="X537" s="212">
        <f t="array" ref="X537">INDEX(INC_INCVALUES,$V537,$K$1)</f>
        <v>0.3</v>
      </c>
    </row>
    <row r="538" ht="15.75" customHeight="1">
      <c r="A538" s="435"/>
      <c r="B538" s="436"/>
      <c r="C538" s="95" t="str">
        <f t="array" ref="C538">IF(I538&gt;0,INDEX(DB,I538,8),"")</f>
        <v/>
      </c>
      <c r="D538" s="437">
        <f t="shared" si="1"/>
        <v>0</v>
      </c>
      <c r="F538" s="438">
        <f t="shared" si="2"/>
        <v>0</v>
      </c>
      <c r="G538" t="str">
        <f t="shared" si="3"/>
        <v/>
      </c>
      <c r="H538" t="b">
        <f t="shared" si="4"/>
        <v>0</v>
      </c>
      <c r="I538" s="439">
        <f>IF(OR(ISBLANK(A538),ISNA(MATCH(A538&amp;"",AthleteNumbers,0))),0,MATCH(A538&amp;"",AthleteNumbers,0))</f>
        <v>0</v>
      </c>
      <c r="J538" s="209">
        <f t="array" ref="J538">IF(I538&gt;0,INDEX(DB,$I538,6),0)</f>
        <v>0</v>
      </c>
      <c r="K538" s="440">
        <f t="shared" si="5"/>
        <v>0</v>
      </c>
      <c r="L538" s="440">
        <f t="shared" si="6"/>
        <v>0</v>
      </c>
      <c r="M538" s="441">
        <f>IF(AND(L538&gt;O538,O538&gt;0),MinPoints,IF(L538&lt;N538,100,+INT((O538-$L538)/P538)+MinPoints))</f>
        <v>100</v>
      </c>
      <c r="N538" s="440">
        <f t="shared" si="7"/>
        <v>7</v>
      </c>
      <c r="O538" s="440">
        <f t="shared" si="8"/>
        <v>16</v>
      </c>
      <c r="P538" s="440">
        <f t="shared" si="9"/>
        <v>0.1</v>
      </c>
      <c r="Q538">
        <f t="array" ref="Q538">IF(I538&gt;0,INDEX(DB,I538,9),EventIndex)</f>
        <v>6</v>
      </c>
      <c r="S538" s="442">
        <f t="array" ref="S538">INDEX(MINVALUES,$Q538,$K$1)</f>
        <v>16</v>
      </c>
      <c r="T538">
        <f t="array" ref="T538">INDEX(INCVALUES,$Q538,$K$1)</f>
        <v>0.1</v>
      </c>
      <c r="V538">
        <f t="array" ref="V538">+J538+(4*(INDEX(MatchScoreTable,$Q538,20)-1))</f>
        <v>4</v>
      </c>
      <c r="W538">
        <f t="array" ref="W538">INDEX(INC_MINVALUES,$V538,$K$1)</f>
        <v>34</v>
      </c>
      <c r="X538" s="212">
        <f t="array" ref="X538">INDEX(INC_INCVALUES,$V538,$K$1)</f>
        <v>0.3</v>
      </c>
    </row>
    <row r="539" ht="15.75" customHeight="1">
      <c r="A539" s="435"/>
      <c r="B539" s="436"/>
      <c r="C539" s="95" t="str">
        <f t="array" ref="C539">IF(I539&gt;0,INDEX(DB,I539,8),"")</f>
        <v/>
      </c>
      <c r="D539" s="437">
        <f t="shared" si="1"/>
        <v>0</v>
      </c>
      <c r="F539" s="438">
        <f t="shared" si="2"/>
        <v>0</v>
      </c>
      <c r="G539" t="str">
        <f t="shared" si="3"/>
        <v/>
      </c>
      <c r="H539" t="b">
        <f t="shared" si="4"/>
        <v>0</v>
      </c>
      <c r="I539" s="439">
        <f>IF(OR(ISBLANK(A539),ISNA(MATCH(A539&amp;"",AthleteNumbers,0))),0,MATCH(A539&amp;"",AthleteNumbers,0))</f>
        <v>0</v>
      </c>
      <c r="J539" s="209">
        <f t="array" ref="J539">IF(I539&gt;0,INDEX(DB,$I539,6),0)</f>
        <v>0</v>
      </c>
      <c r="K539" s="440">
        <f t="shared" si="5"/>
        <v>0</v>
      </c>
      <c r="L539" s="440">
        <f t="shared" si="6"/>
        <v>0</v>
      </c>
      <c r="M539" s="441">
        <f>IF(AND(L539&gt;O539,O539&gt;0),MinPoints,IF(L539&lt;N539,100,+INT((O539-$L539)/P539)+MinPoints))</f>
        <v>100</v>
      </c>
      <c r="N539" s="440">
        <f t="shared" si="7"/>
        <v>7</v>
      </c>
      <c r="O539" s="440">
        <f t="shared" si="8"/>
        <v>16</v>
      </c>
      <c r="P539" s="440">
        <f t="shared" si="9"/>
        <v>0.1</v>
      </c>
      <c r="Q539">
        <f t="array" ref="Q539">IF(I539&gt;0,INDEX(DB,I539,9),EventIndex)</f>
        <v>6</v>
      </c>
      <c r="S539" s="442">
        <f t="array" ref="S539">INDEX(MINVALUES,$Q539,$K$1)</f>
        <v>16</v>
      </c>
      <c r="T539">
        <f t="array" ref="T539">INDEX(INCVALUES,$Q539,$K$1)</f>
        <v>0.1</v>
      </c>
      <c r="V539">
        <f t="array" ref="V539">+J539+(4*(INDEX(MatchScoreTable,$Q539,20)-1))</f>
        <v>4</v>
      </c>
      <c r="W539">
        <f t="array" ref="W539">INDEX(INC_MINVALUES,$V539,$K$1)</f>
        <v>34</v>
      </c>
      <c r="X539" s="212">
        <f t="array" ref="X539">INDEX(INC_INCVALUES,$V539,$K$1)</f>
        <v>0.3</v>
      </c>
    </row>
    <row r="540" ht="15.75" customHeight="1">
      <c r="A540" s="435"/>
      <c r="B540" s="436"/>
      <c r="C540" s="95" t="str">
        <f t="array" ref="C540">IF(I540&gt;0,INDEX(DB,I540,8),"")</f>
        <v/>
      </c>
      <c r="D540" s="437">
        <f t="shared" si="1"/>
        <v>0</v>
      </c>
      <c r="F540" s="438">
        <f t="shared" si="2"/>
        <v>0</v>
      </c>
      <c r="G540" t="str">
        <f t="shared" si="3"/>
        <v/>
      </c>
      <c r="H540" t="b">
        <f t="shared" si="4"/>
        <v>0</v>
      </c>
      <c r="I540" s="439">
        <f>IF(OR(ISBLANK(A540),ISNA(MATCH(A540&amp;"",AthleteNumbers,0))),0,MATCH(A540&amp;"",AthleteNumbers,0))</f>
        <v>0</v>
      </c>
      <c r="J540" s="209">
        <f t="array" ref="J540">IF(I540&gt;0,INDEX(DB,$I540,6),0)</f>
        <v>0</v>
      </c>
      <c r="K540" s="440">
        <f t="shared" si="5"/>
        <v>0</v>
      </c>
      <c r="L540" s="440">
        <f t="shared" si="6"/>
        <v>0</v>
      </c>
      <c r="M540" s="441">
        <f>IF(AND(L540&gt;O540,O540&gt;0),MinPoints,IF(L540&lt;N540,100,+INT((O540-$L540)/P540)+MinPoints))</f>
        <v>100</v>
      </c>
      <c r="N540" s="440">
        <f t="shared" si="7"/>
        <v>7</v>
      </c>
      <c r="O540" s="440">
        <f t="shared" si="8"/>
        <v>16</v>
      </c>
      <c r="P540" s="440">
        <f t="shared" si="9"/>
        <v>0.1</v>
      </c>
      <c r="Q540">
        <f t="array" ref="Q540">IF(I540&gt;0,INDEX(DB,I540,9),EventIndex)</f>
        <v>6</v>
      </c>
      <c r="S540" s="442">
        <f t="array" ref="S540">INDEX(MINVALUES,$Q540,$K$1)</f>
        <v>16</v>
      </c>
      <c r="T540">
        <f t="array" ref="T540">INDEX(INCVALUES,$Q540,$K$1)</f>
        <v>0.1</v>
      </c>
      <c r="V540">
        <f t="array" ref="V540">+J540+(4*(INDEX(MatchScoreTable,$Q540,20)-1))</f>
        <v>4</v>
      </c>
      <c r="W540">
        <f t="array" ref="W540">INDEX(INC_MINVALUES,$V540,$K$1)</f>
        <v>34</v>
      </c>
      <c r="X540" s="212">
        <f t="array" ref="X540">INDEX(INC_INCVALUES,$V540,$K$1)</f>
        <v>0.3</v>
      </c>
    </row>
    <row r="541" ht="15.75" customHeight="1">
      <c r="A541" s="435"/>
      <c r="B541" s="436"/>
      <c r="C541" s="95" t="str">
        <f t="array" ref="C541">IF(I541&gt;0,INDEX(DB,I541,8),"")</f>
        <v/>
      </c>
      <c r="D541" s="437">
        <f t="shared" si="1"/>
        <v>0</v>
      </c>
      <c r="F541" s="438">
        <f t="shared" si="2"/>
        <v>0</v>
      </c>
      <c r="G541" t="str">
        <f t="shared" si="3"/>
        <v/>
      </c>
      <c r="H541" t="b">
        <f t="shared" si="4"/>
        <v>0</v>
      </c>
      <c r="I541" s="439">
        <f>IF(OR(ISBLANK(A541),ISNA(MATCH(A541&amp;"",AthleteNumbers,0))),0,MATCH(A541&amp;"",AthleteNumbers,0))</f>
        <v>0</v>
      </c>
      <c r="J541" s="209">
        <f t="array" ref="J541">IF(I541&gt;0,INDEX(DB,$I541,6),0)</f>
        <v>0</v>
      </c>
      <c r="K541" s="440">
        <f t="shared" si="5"/>
        <v>0</v>
      </c>
      <c r="L541" s="440">
        <f t="shared" si="6"/>
        <v>0</v>
      </c>
      <c r="M541" s="441">
        <f>IF(AND(L541&gt;O541,O541&gt;0),MinPoints,IF(L541&lt;N541,100,+INT((O541-$L541)/P541)+MinPoints))</f>
        <v>100</v>
      </c>
      <c r="N541" s="440">
        <f t="shared" si="7"/>
        <v>7</v>
      </c>
      <c r="O541" s="440">
        <f t="shared" si="8"/>
        <v>16</v>
      </c>
      <c r="P541" s="440">
        <f t="shared" si="9"/>
        <v>0.1</v>
      </c>
      <c r="Q541">
        <f t="array" ref="Q541">IF(I541&gt;0,INDEX(DB,I541,9),EventIndex)</f>
        <v>6</v>
      </c>
      <c r="S541" s="442">
        <f t="array" ref="S541">INDEX(MINVALUES,$Q541,$K$1)</f>
        <v>16</v>
      </c>
      <c r="T541">
        <f t="array" ref="T541">INDEX(INCVALUES,$Q541,$K$1)</f>
        <v>0.1</v>
      </c>
      <c r="V541">
        <f t="array" ref="V541">+J541+(4*(INDEX(MatchScoreTable,$Q541,20)-1))</f>
        <v>4</v>
      </c>
      <c r="W541">
        <f t="array" ref="W541">INDEX(INC_MINVALUES,$V541,$K$1)</f>
        <v>34</v>
      </c>
      <c r="X541" s="212">
        <f t="array" ref="X541">INDEX(INC_INCVALUES,$V541,$K$1)</f>
        <v>0.3</v>
      </c>
    </row>
    <row r="542" ht="15.75" customHeight="1">
      <c r="A542" s="435"/>
      <c r="B542" s="436"/>
      <c r="C542" s="95" t="str">
        <f t="array" ref="C542">IF(I542&gt;0,INDEX(DB,I542,8),"")</f>
        <v/>
      </c>
      <c r="D542" s="437">
        <f t="shared" si="1"/>
        <v>0</v>
      </c>
      <c r="F542" s="438">
        <f t="shared" si="2"/>
        <v>0</v>
      </c>
      <c r="G542" t="str">
        <f t="shared" si="3"/>
        <v/>
      </c>
      <c r="H542" t="b">
        <f t="shared" si="4"/>
        <v>0</v>
      </c>
      <c r="I542" s="439">
        <f>IF(OR(ISBLANK(A542),ISNA(MATCH(A542&amp;"",AthleteNumbers,0))),0,MATCH(A542&amp;"",AthleteNumbers,0))</f>
        <v>0</v>
      </c>
      <c r="J542" s="209">
        <f t="array" ref="J542">IF(I542&gt;0,INDEX(DB,$I542,6),0)</f>
        <v>0</v>
      </c>
      <c r="K542" s="440">
        <f t="shared" si="5"/>
        <v>0</v>
      </c>
      <c r="L542" s="440">
        <f t="shared" si="6"/>
        <v>0</v>
      </c>
      <c r="M542" s="441">
        <f>IF(AND(L542&gt;O542,O542&gt;0),MinPoints,IF(L542&lt;N542,100,+INT((O542-$L542)/P542)+MinPoints))</f>
        <v>100</v>
      </c>
      <c r="N542" s="440">
        <f t="shared" si="7"/>
        <v>7</v>
      </c>
      <c r="O542" s="440">
        <f t="shared" si="8"/>
        <v>16</v>
      </c>
      <c r="P542" s="440">
        <f t="shared" si="9"/>
        <v>0.1</v>
      </c>
      <c r="Q542">
        <f t="array" ref="Q542">IF(I542&gt;0,INDEX(DB,I542,9),EventIndex)</f>
        <v>6</v>
      </c>
      <c r="S542" s="442">
        <f t="array" ref="S542">INDEX(MINVALUES,$Q542,$K$1)</f>
        <v>16</v>
      </c>
      <c r="T542">
        <f t="array" ref="T542">INDEX(INCVALUES,$Q542,$K$1)</f>
        <v>0.1</v>
      </c>
      <c r="V542">
        <f t="array" ref="V542">+J542+(4*(INDEX(MatchScoreTable,$Q542,20)-1))</f>
        <v>4</v>
      </c>
      <c r="W542">
        <f t="array" ref="W542">INDEX(INC_MINVALUES,$V542,$K$1)</f>
        <v>34</v>
      </c>
      <c r="X542" s="212">
        <f t="array" ref="X542">INDEX(INC_INCVALUES,$V542,$K$1)</f>
        <v>0.3</v>
      </c>
    </row>
    <row r="543" ht="15.75" customHeight="1">
      <c r="A543" s="435"/>
      <c r="B543" s="436"/>
      <c r="C543" s="95" t="str">
        <f t="array" ref="C543">IF(I543&gt;0,INDEX(DB,I543,8),"")</f>
        <v/>
      </c>
      <c r="D543" s="437">
        <f t="shared" si="1"/>
        <v>0</v>
      </c>
      <c r="F543" s="438">
        <f t="shared" si="2"/>
        <v>0</v>
      </c>
      <c r="G543" t="str">
        <f t="shared" si="3"/>
        <v/>
      </c>
      <c r="H543" t="b">
        <f t="shared" si="4"/>
        <v>0</v>
      </c>
      <c r="I543" s="439">
        <f>IF(OR(ISBLANK(A543),ISNA(MATCH(A543&amp;"",AthleteNumbers,0))),0,MATCH(A543&amp;"",AthleteNumbers,0))</f>
        <v>0</v>
      </c>
      <c r="J543" s="209">
        <f t="array" ref="J543">IF(I543&gt;0,INDEX(DB,$I543,6),0)</f>
        <v>0</v>
      </c>
      <c r="K543" s="440">
        <f t="shared" si="5"/>
        <v>0</v>
      </c>
      <c r="L543" s="440">
        <f t="shared" si="6"/>
        <v>0</v>
      </c>
      <c r="M543" s="441">
        <f>IF(AND(L543&gt;O543,O543&gt;0),MinPoints,IF(L543&lt;N543,100,+INT((O543-$L543)/P543)+MinPoints))</f>
        <v>100</v>
      </c>
      <c r="N543" s="440">
        <f t="shared" si="7"/>
        <v>7</v>
      </c>
      <c r="O543" s="440">
        <f t="shared" si="8"/>
        <v>16</v>
      </c>
      <c r="P543" s="440">
        <f t="shared" si="9"/>
        <v>0.1</v>
      </c>
      <c r="Q543">
        <f t="array" ref="Q543">IF(I543&gt;0,INDEX(DB,I543,9),EventIndex)</f>
        <v>6</v>
      </c>
      <c r="S543" s="442">
        <f t="array" ref="S543">INDEX(MINVALUES,$Q543,$K$1)</f>
        <v>16</v>
      </c>
      <c r="T543">
        <f t="array" ref="T543">INDEX(INCVALUES,$Q543,$K$1)</f>
        <v>0.1</v>
      </c>
      <c r="V543">
        <f t="array" ref="V543">+J543+(4*(INDEX(MatchScoreTable,$Q543,20)-1))</f>
        <v>4</v>
      </c>
      <c r="W543">
        <f t="array" ref="W543">INDEX(INC_MINVALUES,$V543,$K$1)</f>
        <v>34</v>
      </c>
      <c r="X543" s="212">
        <f t="array" ref="X543">INDEX(INC_INCVALUES,$V543,$K$1)</f>
        <v>0.3</v>
      </c>
    </row>
    <row r="544" ht="15.75" customHeight="1">
      <c r="A544" s="435"/>
      <c r="B544" s="436"/>
      <c r="C544" s="95" t="str">
        <f t="array" ref="C544">IF(I544&gt;0,INDEX(DB,I544,8),"")</f>
        <v/>
      </c>
      <c r="D544" s="437">
        <f t="shared" si="1"/>
        <v>0</v>
      </c>
      <c r="F544" s="438">
        <f t="shared" si="2"/>
        <v>0</v>
      </c>
      <c r="G544" t="str">
        <f t="shared" si="3"/>
        <v/>
      </c>
      <c r="H544" t="b">
        <f t="shared" si="4"/>
        <v>0</v>
      </c>
      <c r="I544" s="439">
        <f>IF(OR(ISBLANK(A544),ISNA(MATCH(A544&amp;"",AthleteNumbers,0))),0,MATCH(A544&amp;"",AthleteNumbers,0))</f>
        <v>0</v>
      </c>
      <c r="J544" s="209">
        <f t="array" ref="J544">IF(I544&gt;0,INDEX(DB,$I544,6),0)</f>
        <v>0</v>
      </c>
      <c r="K544" s="440">
        <f t="shared" si="5"/>
        <v>0</v>
      </c>
      <c r="L544" s="440">
        <f t="shared" si="6"/>
        <v>0</v>
      </c>
      <c r="M544" s="441">
        <f>IF(AND(L544&gt;O544,O544&gt;0),MinPoints,IF(L544&lt;N544,100,+INT((O544-$L544)/P544)+MinPoints))</f>
        <v>100</v>
      </c>
      <c r="N544" s="440">
        <f t="shared" si="7"/>
        <v>7</v>
      </c>
      <c r="O544" s="440">
        <f t="shared" si="8"/>
        <v>16</v>
      </c>
      <c r="P544" s="440">
        <f t="shared" si="9"/>
        <v>0.1</v>
      </c>
      <c r="Q544">
        <f t="array" ref="Q544">IF(I544&gt;0,INDEX(DB,I544,9),EventIndex)</f>
        <v>6</v>
      </c>
      <c r="S544" s="442">
        <f t="array" ref="S544">INDEX(MINVALUES,$Q544,$K$1)</f>
        <v>16</v>
      </c>
      <c r="T544">
        <f t="array" ref="T544">INDEX(INCVALUES,$Q544,$K$1)</f>
        <v>0.1</v>
      </c>
      <c r="V544">
        <f t="array" ref="V544">+J544+(4*(INDEX(MatchScoreTable,$Q544,20)-1))</f>
        <v>4</v>
      </c>
      <c r="W544">
        <f t="array" ref="W544">INDEX(INC_MINVALUES,$V544,$K$1)</f>
        <v>34</v>
      </c>
      <c r="X544" s="212">
        <f t="array" ref="X544">INDEX(INC_INCVALUES,$V544,$K$1)</f>
        <v>0.3</v>
      </c>
    </row>
    <row r="545" ht="15.75" customHeight="1">
      <c r="A545" s="435"/>
      <c r="B545" s="436"/>
      <c r="C545" s="95" t="str">
        <f t="array" ref="C545">IF(I545&gt;0,INDEX(DB,I545,8),"")</f>
        <v/>
      </c>
      <c r="D545" s="437">
        <f t="shared" si="1"/>
        <v>0</v>
      </c>
      <c r="F545" s="438">
        <f t="shared" si="2"/>
        <v>0</v>
      </c>
      <c r="G545" t="str">
        <f t="shared" si="3"/>
        <v/>
      </c>
      <c r="H545" t="b">
        <f t="shared" si="4"/>
        <v>0</v>
      </c>
      <c r="I545" s="439">
        <f>IF(OR(ISBLANK(A545),ISNA(MATCH(A545&amp;"",AthleteNumbers,0))),0,MATCH(A545&amp;"",AthleteNumbers,0))</f>
        <v>0</v>
      </c>
      <c r="J545" s="209">
        <f t="array" ref="J545">IF(I545&gt;0,INDEX(DB,$I545,6),0)</f>
        <v>0</v>
      </c>
      <c r="K545" s="440">
        <f t="shared" si="5"/>
        <v>0</v>
      </c>
      <c r="L545" s="440">
        <f t="shared" si="6"/>
        <v>0</v>
      </c>
      <c r="M545" s="441">
        <f>IF(AND(L545&gt;O545,O545&gt;0),MinPoints,IF(L545&lt;N545,100,+INT((O545-$L545)/P545)+MinPoints))</f>
        <v>100</v>
      </c>
      <c r="N545" s="440">
        <f t="shared" si="7"/>
        <v>7</v>
      </c>
      <c r="O545" s="440">
        <f t="shared" si="8"/>
        <v>16</v>
      </c>
      <c r="P545" s="440">
        <f t="shared" si="9"/>
        <v>0.1</v>
      </c>
      <c r="Q545">
        <f t="array" ref="Q545">IF(I545&gt;0,INDEX(DB,I545,9),EventIndex)</f>
        <v>6</v>
      </c>
      <c r="S545" s="442">
        <f t="array" ref="S545">INDEX(MINVALUES,$Q545,$K$1)</f>
        <v>16</v>
      </c>
      <c r="T545">
        <f t="array" ref="T545">INDEX(INCVALUES,$Q545,$K$1)</f>
        <v>0.1</v>
      </c>
      <c r="V545">
        <f t="array" ref="V545">+J545+(4*(INDEX(MatchScoreTable,$Q545,20)-1))</f>
        <v>4</v>
      </c>
      <c r="W545">
        <f t="array" ref="W545">INDEX(INC_MINVALUES,$V545,$K$1)</f>
        <v>34</v>
      </c>
      <c r="X545" s="212">
        <f t="array" ref="X545">INDEX(INC_INCVALUES,$V545,$K$1)</f>
        <v>0.3</v>
      </c>
    </row>
    <row r="546" ht="15.75" customHeight="1">
      <c r="A546" s="435"/>
      <c r="B546" s="436"/>
      <c r="C546" s="95" t="str">
        <f t="array" ref="C546">IF(I546&gt;0,INDEX(DB,I546,8),"")</f>
        <v/>
      </c>
      <c r="D546" s="437">
        <f t="shared" si="1"/>
        <v>0</v>
      </c>
      <c r="F546" s="438">
        <f t="shared" si="2"/>
        <v>0</v>
      </c>
      <c r="G546" t="str">
        <f t="shared" si="3"/>
        <v/>
      </c>
      <c r="H546" t="b">
        <f t="shared" si="4"/>
        <v>0</v>
      </c>
      <c r="I546" s="439">
        <f>IF(OR(ISBLANK(A546),ISNA(MATCH(A546&amp;"",AthleteNumbers,0))),0,MATCH(A546&amp;"",AthleteNumbers,0))</f>
        <v>0</v>
      </c>
      <c r="J546" s="209">
        <f t="array" ref="J546">IF(I546&gt;0,INDEX(DB,$I546,6),0)</f>
        <v>0</v>
      </c>
      <c r="K546" s="440">
        <f t="shared" si="5"/>
        <v>0</v>
      </c>
      <c r="L546" s="440">
        <f t="shared" si="6"/>
        <v>0</v>
      </c>
      <c r="M546" s="441">
        <f>IF(AND(L546&gt;O546,O546&gt;0),MinPoints,IF(L546&lt;N546,100,+INT((O546-$L546)/P546)+MinPoints))</f>
        <v>100</v>
      </c>
      <c r="N546" s="440">
        <f t="shared" si="7"/>
        <v>7</v>
      </c>
      <c r="O546" s="440">
        <f t="shared" si="8"/>
        <v>16</v>
      </c>
      <c r="P546" s="440">
        <f t="shared" si="9"/>
        <v>0.1</v>
      </c>
      <c r="Q546">
        <f t="array" ref="Q546">IF(I546&gt;0,INDEX(DB,I546,9),EventIndex)</f>
        <v>6</v>
      </c>
      <c r="S546" s="442">
        <f t="array" ref="S546">INDEX(MINVALUES,$Q546,$K$1)</f>
        <v>16</v>
      </c>
      <c r="T546">
        <f t="array" ref="T546">INDEX(INCVALUES,$Q546,$K$1)</f>
        <v>0.1</v>
      </c>
      <c r="V546">
        <f t="array" ref="V546">+J546+(4*(INDEX(MatchScoreTable,$Q546,20)-1))</f>
        <v>4</v>
      </c>
      <c r="W546">
        <f t="array" ref="W546">INDEX(INC_MINVALUES,$V546,$K$1)</f>
        <v>34</v>
      </c>
      <c r="X546" s="212">
        <f t="array" ref="X546">INDEX(INC_INCVALUES,$V546,$K$1)</f>
        <v>0.3</v>
      </c>
    </row>
    <row r="547" ht="15.75" customHeight="1">
      <c r="A547" s="435"/>
      <c r="B547" s="436"/>
      <c r="C547" s="95" t="str">
        <f t="array" ref="C547">IF(I547&gt;0,INDEX(DB,I547,8),"")</f>
        <v/>
      </c>
      <c r="D547" s="437">
        <f t="shared" si="1"/>
        <v>0</v>
      </c>
      <c r="F547" s="438">
        <f t="shared" si="2"/>
        <v>0</v>
      </c>
      <c r="G547" t="str">
        <f t="shared" si="3"/>
        <v/>
      </c>
      <c r="H547" t="b">
        <f t="shared" si="4"/>
        <v>0</v>
      </c>
      <c r="I547" s="439">
        <f>IF(OR(ISBLANK(A547),ISNA(MATCH(A547&amp;"",AthleteNumbers,0))),0,MATCH(A547&amp;"",AthleteNumbers,0))</f>
        <v>0</v>
      </c>
      <c r="J547" s="209">
        <f t="array" ref="J547">IF(I547&gt;0,INDEX(DB,$I547,6),0)</f>
        <v>0</v>
      </c>
      <c r="K547" s="440">
        <f t="shared" si="5"/>
        <v>0</v>
      </c>
      <c r="L547" s="440">
        <f t="shared" si="6"/>
        <v>0</v>
      </c>
      <c r="M547" s="441">
        <f>IF(AND(L547&gt;O547,O547&gt;0),MinPoints,IF(L547&lt;N547,100,+INT((O547-$L547)/P547)+MinPoints))</f>
        <v>100</v>
      </c>
      <c r="N547" s="440">
        <f t="shared" si="7"/>
        <v>7</v>
      </c>
      <c r="O547" s="440">
        <f t="shared" si="8"/>
        <v>16</v>
      </c>
      <c r="P547" s="440">
        <f t="shared" si="9"/>
        <v>0.1</v>
      </c>
      <c r="Q547">
        <f t="array" ref="Q547">IF(I547&gt;0,INDEX(DB,I547,9),EventIndex)</f>
        <v>6</v>
      </c>
      <c r="S547" s="442">
        <f t="array" ref="S547">INDEX(MINVALUES,$Q547,$K$1)</f>
        <v>16</v>
      </c>
      <c r="T547">
        <f t="array" ref="T547">INDEX(INCVALUES,$Q547,$K$1)</f>
        <v>0.1</v>
      </c>
      <c r="V547">
        <f t="array" ref="V547">+J547+(4*(INDEX(MatchScoreTable,$Q547,20)-1))</f>
        <v>4</v>
      </c>
      <c r="W547">
        <f t="array" ref="W547">INDEX(INC_MINVALUES,$V547,$K$1)</f>
        <v>34</v>
      </c>
      <c r="X547" s="212">
        <f t="array" ref="X547">INDEX(INC_INCVALUES,$V547,$K$1)</f>
        <v>0.3</v>
      </c>
    </row>
    <row r="548" ht="15.75" customHeight="1">
      <c r="A548" s="435"/>
      <c r="B548" s="436"/>
      <c r="C548" s="95" t="str">
        <f t="array" ref="C548">IF(I548&gt;0,INDEX(DB,I548,8),"")</f>
        <v/>
      </c>
      <c r="D548" s="437">
        <f t="shared" si="1"/>
        <v>0</v>
      </c>
      <c r="F548" s="438">
        <f t="shared" si="2"/>
        <v>0</v>
      </c>
      <c r="G548" t="str">
        <f t="shared" si="3"/>
        <v/>
      </c>
      <c r="H548" t="b">
        <f t="shared" si="4"/>
        <v>0</v>
      </c>
      <c r="I548" s="439">
        <f>IF(OR(ISBLANK(A548),ISNA(MATCH(A548&amp;"",AthleteNumbers,0))),0,MATCH(A548&amp;"",AthleteNumbers,0))</f>
        <v>0</v>
      </c>
      <c r="J548" s="209">
        <f t="array" ref="J548">IF(I548&gt;0,INDEX(DB,$I548,6),0)</f>
        <v>0</v>
      </c>
      <c r="K548" s="440">
        <f t="shared" si="5"/>
        <v>0</v>
      </c>
      <c r="L548" s="440">
        <f t="shared" si="6"/>
        <v>0</v>
      </c>
      <c r="M548" s="441">
        <f>IF(AND(L548&gt;O548,O548&gt;0),MinPoints,IF(L548&lt;N548,100,+INT((O548-$L548)/P548)+MinPoints))</f>
        <v>100</v>
      </c>
      <c r="N548" s="440">
        <f t="shared" si="7"/>
        <v>7</v>
      </c>
      <c r="O548" s="440">
        <f t="shared" si="8"/>
        <v>16</v>
      </c>
      <c r="P548" s="440">
        <f t="shared" si="9"/>
        <v>0.1</v>
      </c>
      <c r="Q548">
        <f t="array" ref="Q548">IF(I548&gt;0,INDEX(DB,I548,9),EventIndex)</f>
        <v>6</v>
      </c>
      <c r="S548" s="442">
        <f t="array" ref="S548">INDEX(MINVALUES,$Q548,$K$1)</f>
        <v>16</v>
      </c>
      <c r="T548">
        <f t="array" ref="T548">INDEX(INCVALUES,$Q548,$K$1)</f>
        <v>0.1</v>
      </c>
      <c r="V548">
        <f t="array" ref="V548">+J548+(4*(INDEX(MatchScoreTable,$Q548,20)-1))</f>
        <v>4</v>
      </c>
      <c r="W548">
        <f t="array" ref="W548">INDEX(INC_MINVALUES,$V548,$K$1)</f>
        <v>34</v>
      </c>
      <c r="X548" s="212">
        <f t="array" ref="X548">INDEX(INC_INCVALUES,$V548,$K$1)</f>
        <v>0.3</v>
      </c>
    </row>
    <row r="549" ht="15.75" customHeight="1">
      <c r="A549" s="435"/>
      <c r="B549" s="436"/>
      <c r="C549" s="95" t="str">
        <f t="array" ref="C549">IF(I549&gt;0,INDEX(DB,I549,8),"")</f>
        <v/>
      </c>
      <c r="D549" s="437">
        <f t="shared" si="1"/>
        <v>0</v>
      </c>
      <c r="F549" s="438">
        <f t="shared" si="2"/>
        <v>0</v>
      </c>
      <c r="G549" t="str">
        <f t="shared" si="3"/>
        <v/>
      </c>
      <c r="H549" t="b">
        <f t="shared" si="4"/>
        <v>0</v>
      </c>
      <c r="I549" s="439">
        <f>IF(OR(ISBLANK(A549),ISNA(MATCH(A549&amp;"",AthleteNumbers,0))),0,MATCH(A549&amp;"",AthleteNumbers,0))</f>
        <v>0</v>
      </c>
      <c r="J549" s="209">
        <f t="array" ref="J549">IF(I549&gt;0,INDEX(DB,$I549,6),0)</f>
        <v>0</v>
      </c>
      <c r="K549" s="440">
        <f t="shared" si="5"/>
        <v>0</v>
      </c>
      <c r="L549" s="440">
        <f t="shared" si="6"/>
        <v>0</v>
      </c>
      <c r="M549" s="441">
        <f>IF(AND(L549&gt;O549,O549&gt;0),MinPoints,IF(L549&lt;N549,100,+INT((O549-$L549)/P549)+MinPoints))</f>
        <v>100</v>
      </c>
      <c r="N549" s="440">
        <f t="shared" si="7"/>
        <v>7</v>
      </c>
      <c r="O549" s="440">
        <f t="shared" si="8"/>
        <v>16</v>
      </c>
      <c r="P549" s="440">
        <f t="shared" si="9"/>
        <v>0.1</v>
      </c>
      <c r="Q549">
        <f t="array" ref="Q549">IF(I549&gt;0,INDEX(DB,I549,9),EventIndex)</f>
        <v>6</v>
      </c>
      <c r="S549" s="442">
        <f t="array" ref="S549">INDEX(MINVALUES,$Q549,$K$1)</f>
        <v>16</v>
      </c>
      <c r="T549">
        <f t="array" ref="T549">INDEX(INCVALUES,$Q549,$K$1)</f>
        <v>0.1</v>
      </c>
      <c r="V549">
        <f t="array" ref="V549">+J549+(4*(INDEX(MatchScoreTable,$Q549,20)-1))</f>
        <v>4</v>
      </c>
      <c r="W549">
        <f t="array" ref="W549">INDEX(INC_MINVALUES,$V549,$K$1)</f>
        <v>34</v>
      </c>
      <c r="X549" s="212">
        <f t="array" ref="X549">INDEX(INC_INCVALUES,$V549,$K$1)</f>
        <v>0.3</v>
      </c>
    </row>
    <row r="550" ht="15.75" customHeight="1">
      <c r="A550" s="435"/>
      <c r="B550" s="436"/>
      <c r="C550" s="95" t="str">
        <f t="array" ref="C550">IF(I550&gt;0,INDEX(DB,I550,8),"")</f>
        <v/>
      </c>
      <c r="D550" s="437">
        <f t="shared" si="1"/>
        <v>0</v>
      </c>
      <c r="F550" s="438">
        <f t="shared" si="2"/>
        <v>0</v>
      </c>
      <c r="G550" t="str">
        <f t="shared" si="3"/>
        <v/>
      </c>
      <c r="H550" t="b">
        <f t="shared" si="4"/>
        <v>0</v>
      </c>
      <c r="I550" s="439">
        <f>IF(OR(ISBLANK(A550),ISNA(MATCH(A550&amp;"",AthleteNumbers,0))),0,MATCH(A550&amp;"",AthleteNumbers,0))</f>
        <v>0</v>
      </c>
      <c r="J550" s="209">
        <f t="array" ref="J550">IF(I550&gt;0,INDEX(DB,$I550,6),0)</f>
        <v>0</v>
      </c>
      <c r="K550" s="440">
        <f t="shared" si="5"/>
        <v>0</v>
      </c>
      <c r="L550" s="440">
        <f t="shared" si="6"/>
        <v>0</v>
      </c>
      <c r="M550" s="441">
        <f>IF(AND(L550&gt;O550,O550&gt;0),MinPoints,IF(L550&lt;N550,100,+INT((O550-$L550)/P550)+MinPoints))</f>
        <v>100</v>
      </c>
      <c r="N550" s="440">
        <f t="shared" si="7"/>
        <v>7</v>
      </c>
      <c r="O550" s="440">
        <f t="shared" si="8"/>
        <v>16</v>
      </c>
      <c r="P550" s="440">
        <f t="shared" si="9"/>
        <v>0.1</v>
      </c>
      <c r="Q550">
        <f t="array" ref="Q550">IF(I550&gt;0,INDEX(DB,I550,9),EventIndex)</f>
        <v>6</v>
      </c>
      <c r="S550" s="442">
        <f t="array" ref="S550">INDEX(MINVALUES,$Q550,$K$1)</f>
        <v>16</v>
      </c>
      <c r="T550">
        <f t="array" ref="T550">INDEX(INCVALUES,$Q550,$K$1)</f>
        <v>0.1</v>
      </c>
      <c r="V550">
        <f t="array" ref="V550">+J550+(4*(INDEX(MatchScoreTable,$Q550,20)-1))</f>
        <v>4</v>
      </c>
      <c r="W550">
        <f t="array" ref="W550">INDEX(INC_MINVALUES,$V550,$K$1)</f>
        <v>34</v>
      </c>
      <c r="X550" s="212">
        <f t="array" ref="X550">INDEX(INC_INCVALUES,$V550,$K$1)</f>
        <v>0.3</v>
      </c>
    </row>
    <row r="551" ht="15.75" customHeight="1">
      <c r="A551" s="435"/>
      <c r="B551" s="436"/>
      <c r="C551" s="95" t="str">
        <f t="array" ref="C551">IF(I551&gt;0,INDEX(DB,I551,8),"")</f>
        <v/>
      </c>
      <c r="D551" s="437">
        <f t="shared" si="1"/>
        <v>0</v>
      </c>
      <c r="F551" s="438">
        <f t="shared" si="2"/>
        <v>0</v>
      </c>
      <c r="G551" t="str">
        <f t="shared" si="3"/>
        <v/>
      </c>
      <c r="H551" t="b">
        <f t="shared" si="4"/>
        <v>0</v>
      </c>
      <c r="I551" s="439">
        <f>IF(OR(ISBLANK(A551),ISNA(MATCH(A551&amp;"",AthleteNumbers,0))),0,MATCH(A551&amp;"",AthleteNumbers,0))</f>
        <v>0</v>
      </c>
      <c r="J551" s="209">
        <f t="array" ref="J551">IF(I551&gt;0,INDEX(DB,$I551,6),0)</f>
        <v>0</v>
      </c>
      <c r="K551" s="440">
        <f t="shared" si="5"/>
        <v>0</v>
      </c>
      <c r="L551" s="440">
        <f t="shared" si="6"/>
        <v>0</v>
      </c>
      <c r="M551" s="441">
        <f>IF(AND(L551&gt;O551,O551&gt;0),MinPoints,IF(L551&lt;N551,100,+INT((O551-$L551)/P551)+MinPoints))</f>
        <v>100</v>
      </c>
      <c r="N551" s="440">
        <f t="shared" si="7"/>
        <v>7</v>
      </c>
      <c r="O551" s="440">
        <f t="shared" si="8"/>
        <v>16</v>
      </c>
      <c r="P551" s="440">
        <f t="shared" si="9"/>
        <v>0.1</v>
      </c>
      <c r="Q551">
        <f t="array" ref="Q551">IF(I551&gt;0,INDEX(DB,I551,9),EventIndex)</f>
        <v>6</v>
      </c>
      <c r="S551" s="442">
        <f t="array" ref="S551">INDEX(MINVALUES,$Q551,$K$1)</f>
        <v>16</v>
      </c>
      <c r="T551">
        <f t="array" ref="T551">INDEX(INCVALUES,$Q551,$K$1)</f>
        <v>0.1</v>
      </c>
      <c r="V551">
        <f t="array" ref="V551">+J551+(4*(INDEX(MatchScoreTable,$Q551,20)-1))</f>
        <v>4</v>
      </c>
      <c r="W551">
        <f t="array" ref="W551">INDEX(INC_MINVALUES,$V551,$K$1)</f>
        <v>34</v>
      </c>
      <c r="X551" s="212">
        <f t="array" ref="X551">INDEX(INC_INCVALUES,$V551,$K$1)</f>
        <v>0.3</v>
      </c>
    </row>
    <row r="552" ht="15.75" customHeight="1">
      <c r="A552" s="435"/>
      <c r="B552" s="436"/>
      <c r="C552" s="95" t="str">
        <f t="array" ref="C552">IF(I552&gt;0,INDEX(DB,I552,8),"")</f>
        <v/>
      </c>
      <c r="D552" s="437">
        <f t="shared" si="1"/>
        <v>0</v>
      </c>
      <c r="F552" s="438">
        <f t="shared" si="2"/>
        <v>0</v>
      </c>
      <c r="G552" t="str">
        <f t="shared" si="3"/>
        <v/>
      </c>
      <c r="H552" t="b">
        <f t="shared" si="4"/>
        <v>0</v>
      </c>
      <c r="I552" s="439">
        <f>IF(OR(ISBLANK(A552),ISNA(MATCH(A552&amp;"",AthleteNumbers,0))),0,MATCH(A552&amp;"",AthleteNumbers,0))</f>
        <v>0</v>
      </c>
      <c r="J552" s="209">
        <f t="array" ref="J552">IF(I552&gt;0,INDEX(DB,$I552,6),0)</f>
        <v>0</v>
      </c>
      <c r="K552" s="440">
        <f t="shared" si="5"/>
        <v>0</v>
      </c>
      <c r="L552" s="440">
        <f t="shared" si="6"/>
        <v>0</v>
      </c>
      <c r="M552" s="441">
        <f>IF(AND(L552&gt;O552,O552&gt;0),MinPoints,IF(L552&lt;N552,100,+INT((O552-$L552)/P552)+MinPoints))</f>
        <v>100</v>
      </c>
      <c r="N552" s="440">
        <f t="shared" si="7"/>
        <v>7</v>
      </c>
      <c r="O552" s="440">
        <f t="shared" si="8"/>
        <v>16</v>
      </c>
      <c r="P552" s="440">
        <f t="shared" si="9"/>
        <v>0.1</v>
      </c>
      <c r="Q552">
        <f t="array" ref="Q552">IF(I552&gt;0,INDEX(DB,I552,9),EventIndex)</f>
        <v>6</v>
      </c>
      <c r="S552" s="442">
        <f t="array" ref="S552">INDEX(MINVALUES,$Q552,$K$1)</f>
        <v>16</v>
      </c>
      <c r="T552">
        <f t="array" ref="T552">INDEX(INCVALUES,$Q552,$K$1)</f>
        <v>0.1</v>
      </c>
      <c r="V552">
        <f t="array" ref="V552">+J552+(4*(INDEX(MatchScoreTable,$Q552,20)-1))</f>
        <v>4</v>
      </c>
      <c r="W552">
        <f t="array" ref="W552">INDEX(INC_MINVALUES,$V552,$K$1)</f>
        <v>34</v>
      </c>
      <c r="X552" s="212">
        <f t="array" ref="X552">INDEX(INC_INCVALUES,$V552,$K$1)</f>
        <v>0.3</v>
      </c>
    </row>
    <row r="553" ht="15.75" customHeight="1">
      <c r="A553" s="435"/>
      <c r="B553" s="436"/>
      <c r="C553" s="95" t="str">
        <f t="array" ref="C553">IF(I553&gt;0,INDEX(DB,I553,8),"")</f>
        <v/>
      </c>
      <c r="D553" s="437">
        <f t="shared" si="1"/>
        <v>0</v>
      </c>
      <c r="F553" s="438">
        <f t="shared" si="2"/>
        <v>0</v>
      </c>
      <c r="G553" t="str">
        <f t="shared" si="3"/>
        <v/>
      </c>
      <c r="H553" t="b">
        <f t="shared" si="4"/>
        <v>0</v>
      </c>
      <c r="I553" s="439">
        <f>IF(OR(ISBLANK(A553),ISNA(MATCH(A553&amp;"",AthleteNumbers,0))),0,MATCH(A553&amp;"",AthleteNumbers,0))</f>
        <v>0</v>
      </c>
      <c r="J553" s="209">
        <f t="array" ref="J553">IF(I553&gt;0,INDEX(DB,$I553,6),0)</f>
        <v>0</v>
      </c>
      <c r="K553" s="440">
        <f t="shared" si="5"/>
        <v>0</v>
      </c>
      <c r="L553" s="440">
        <f t="shared" si="6"/>
        <v>0</v>
      </c>
      <c r="M553" s="441">
        <f>IF(AND(L553&gt;O553,O553&gt;0),MinPoints,IF(L553&lt;N553,100,+INT((O553-$L553)/P553)+MinPoints))</f>
        <v>100</v>
      </c>
      <c r="N553" s="440">
        <f t="shared" si="7"/>
        <v>7</v>
      </c>
      <c r="O553" s="440">
        <f t="shared" si="8"/>
        <v>16</v>
      </c>
      <c r="P553" s="440">
        <f t="shared" si="9"/>
        <v>0.1</v>
      </c>
      <c r="Q553">
        <f t="array" ref="Q553">IF(I553&gt;0,INDEX(DB,I553,9),EventIndex)</f>
        <v>6</v>
      </c>
      <c r="S553" s="442">
        <f t="array" ref="S553">INDEX(MINVALUES,$Q553,$K$1)</f>
        <v>16</v>
      </c>
      <c r="T553">
        <f t="array" ref="T553">INDEX(INCVALUES,$Q553,$K$1)</f>
        <v>0.1</v>
      </c>
      <c r="V553">
        <f t="array" ref="V553">+J553+(4*(INDEX(MatchScoreTable,$Q553,20)-1))</f>
        <v>4</v>
      </c>
      <c r="W553">
        <f t="array" ref="W553">INDEX(INC_MINVALUES,$V553,$K$1)</f>
        <v>34</v>
      </c>
      <c r="X553" s="212">
        <f t="array" ref="X553">INDEX(INC_INCVALUES,$V553,$K$1)</f>
        <v>0.3</v>
      </c>
    </row>
    <row r="554" ht="15.75" customHeight="1">
      <c r="A554" s="435"/>
      <c r="B554" s="436"/>
      <c r="C554" s="95" t="str">
        <f t="array" ref="C554">IF(I554&gt;0,INDEX(DB,I554,8),"")</f>
        <v/>
      </c>
      <c r="D554" s="437">
        <f t="shared" si="1"/>
        <v>0</v>
      </c>
      <c r="F554" s="438">
        <f t="shared" si="2"/>
        <v>0</v>
      </c>
      <c r="G554" t="str">
        <f t="shared" si="3"/>
        <v/>
      </c>
      <c r="H554" t="b">
        <f t="shared" si="4"/>
        <v>0</v>
      </c>
      <c r="I554" s="439">
        <f>IF(OR(ISBLANK(A554),ISNA(MATCH(A554&amp;"",AthleteNumbers,0))),0,MATCH(A554&amp;"",AthleteNumbers,0))</f>
        <v>0</v>
      </c>
      <c r="J554" s="209">
        <f t="array" ref="J554">IF(I554&gt;0,INDEX(DB,$I554,6),0)</f>
        <v>0</v>
      </c>
      <c r="K554" s="440">
        <f t="shared" si="5"/>
        <v>0</v>
      </c>
      <c r="L554" s="440">
        <f t="shared" si="6"/>
        <v>0</v>
      </c>
      <c r="M554" s="441">
        <f>IF(AND(L554&gt;O554,O554&gt;0),MinPoints,IF(L554&lt;N554,100,+INT((O554-$L554)/P554)+MinPoints))</f>
        <v>100</v>
      </c>
      <c r="N554" s="440">
        <f t="shared" si="7"/>
        <v>7</v>
      </c>
      <c r="O554" s="440">
        <f t="shared" si="8"/>
        <v>16</v>
      </c>
      <c r="P554" s="440">
        <f t="shared" si="9"/>
        <v>0.1</v>
      </c>
      <c r="Q554">
        <f t="array" ref="Q554">IF(I554&gt;0,INDEX(DB,I554,9),EventIndex)</f>
        <v>6</v>
      </c>
      <c r="S554" s="442">
        <f t="array" ref="S554">INDEX(MINVALUES,$Q554,$K$1)</f>
        <v>16</v>
      </c>
      <c r="T554">
        <f t="array" ref="T554">INDEX(INCVALUES,$Q554,$K$1)</f>
        <v>0.1</v>
      </c>
      <c r="V554">
        <f t="array" ref="V554">+J554+(4*(INDEX(MatchScoreTable,$Q554,20)-1))</f>
        <v>4</v>
      </c>
      <c r="W554">
        <f t="array" ref="W554">INDEX(INC_MINVALUES,$V554,$K$1)</f>
        <v>34</v>
      </c>
      <c r="X554" s="212">
        <f t="array" ref="X554">INDEX(INC_INCVALUES,$V554,$K$1)</f>
        <v>0.3</v>
      </c>
    </row>
    <row r="555" ht="15.75" customHeight="1">
      <c r="A555" s="435"/>
      <c r="B555" s="436"/>
      <c r="C555" s="95" t="str">
        <f t="array" ref="C555">IF(I555&gt;0,INDEX(DB,I555,8),"")</f>
        <v/>
      </c>
      <c r="D555" s="437">
        <f t="shared" si="1"/>
        <v>0</v>
      </c>
      <c r="F555" s="438">
        <f t="shared" si="2"/>
        <v>0</v>
      </c>
      <c r="G555" t="str">
        <f t="shared" si="3"/>
        <v/>
      </c>
      <c r="H555" t="b">
        <f t="shared" si="4"/>
        <v>0</v>
      </c>
      <c r="I555" s="439">
        <f>IF(OR(ISBLANK(A555),ISNA(MATCH(A555&amp;"",AthleteNumbers,0))),0,MATCH(A555&amp;"",AthleteNumbers,0))</f>
        <v>0</v>
      </c>
      <c r="J555" s="209">
        <f t="array" ref="J555">IF(I555&gt;0,INDEX(DB,$I555,6),0)</f>
        <v>0</v>
      </c>
      <c r="K555" s="440">
        <f t="shared" si="5"/>
        <v>0</v>
      </c>
      <c r="L555" s="440">
        <f t="shared" si="6"/>
        <v>0</v>
      </c>
      <c r="M555" s="441">
        <f>IF(AND(L555&gt;O555,O555&gt;0),MinPoints,IF(L555&lt;N555,100,+INT((O555-$L555)/P555)+MinPoints))</f>
        <v>100</v>
      </c>
      <c r="N555" s="440">
        <f t="shared" si="7"/>
        <v>7</v>
      </c>
      <c r="O555" s="440">
        <f t="shared" si="8"/>
        <v>16</v>
      </c>
      <c r="P555" s="440">
        <f t="shared" si="9"/>
        <v>0.1</v>
      </c>
      <c r="Q555">
        <f t="array" ref="Q555">IF(I555&gt;0,INDEX(DB,I555,9),EventIndex)</f>
        <v>6</v>
      </c>
      <c r="S555" s="442">
        <f t="array" ref="S555">INDEX(MINVALUES,$Q555,$K$1)</f>
        <v>16</v>
      </c>
      <c r="T555">
        <f t="array" ref="T555">INDEX(INCVALUES,$Q555,$K$1)</f>
        <v>0.1</v>
      </c>
      <c r="V555">
        <f t="array" ref="V555">+J555+(4*(INDEX(MatchScoreTable,$Q555,20)-1))</f>
        <v>4</v>
      </c>
      <c r="W555">
        <f t="array" ref="W555">INDEX(INC_MINVALUES,$V555,$K$1)</f>
        <v>34</v>
      </c>
      <c r="X555" s="212">
        <f t="array" ref="X555">INDEX(INC_INCVALUES,$V555,$K$1)</f>
        <v>0.3</v>
      </c>
    </row>
    <row r="556" ht="15.75" customHeight="1">
      <c r="A556" s="435"/>
      <c r="B556" s="436"/>
      <c r="C556" s="95" t="str">
        <f t="array" ref="C556">IF(I556&gt;0,INDEX(DB,I556,8),"")</f>
        <v/>
      </c>
      <c r="D556" s="437">
        <f t="shared" si="1"/>
        <v>0</v>
      </c>
      <c r="F556" s="438">
        <f t="shared" si="2"/>
        <v>0</v>
      </c>
      <c r="G556" t="str">
        <f t="shared" si="3"/>
        <v/>
      </c>
      <c r="H556" t="b">
        <f t="shared" si="4"/>
        <v>0</v>
      </c>
      <c r="I556" s="439">
        <f>IF(OR(ISBLANK(A556),ISNA(MATCH(A556&amp;"",AthleteNumbers,0))),0,MATCH(A556&amp;"",AthleteNumbers,0))</f>
        <v>0</v>
      </c>
      <c r="J556" s="209">
        <f t="array" ref="J556">IF(I556&gt;0,INDEX(DB,$I556,6),0)</f>
        <v>0</v>
      </c>
      <c r="K556" s="440">
        <f t="shared" si="5"/>
        <v>0</v>
      </c>
      <c r="L556" s="440">
        <f t="shared" si="6"/>
        <v>0</v>
      </c>
      <c r="M556" s="441">
        <f>IF(AND(L556&gt;O556,O556&gt;0),MinPoints,IF(L556&lt;N556,100,+INT((O556-$L556)/P556)+MinPoints))</f>
        <v>100</v>
      </c>
      <c r="N556" s="440">
        <f t="shared" si="7"/>
        <v>7</v>
      </c>
      <c r="O556" s="440">
        <f t="shared" si="8"/>
        <v>16</v>
      </c>
      <c r="P556" s="440">
        <f t="shared" si="9"/>
        <v>0.1</v>
      </c>
      <c r="Q556">
        <f t="array" ref="Q556">IF(I556&gt;0,INDEX(DB,I556,9),EventIndex)</f>
        <v>6</v>
      </c>
      <c r="S556" s="442">
        <f t="array" ref="S556">INDEX(MINVALUES,$Q556,$K$1)</f>
        <v>16</v>
      </c>
      <c r="T556">
        <f t="array" ref="T556">INDEX(INCVALUES,$Q556,$K$1)</f>
        <v>0.1</v>
      </c>
      <c r="V556">
        <f t="array" ref="V556">+J556+(4*(INDEX(MatchScoreTable,$Q556,20)-1))</f>
        <v>4</v>
      </c>
      <c r="W556">
        <f t="array" ref="W556">INDEX(INC_MINVALUES,$V556,$K$1)</f>
        <v>34</v>
      </c>
      <c r="X556" s="212">
        <f t="array" ref="X556">INDEX(INC_INCVALUES,$V556,$K$1)</f>
        <v>0.3</v>
      </c>
    </row>
    <row r="557" ht="15.75" customHeight="1">
      <c r="A557" s="435"/>
      <c r="B557" s="436"/>
      <c r="C557" s="95" t="str">
        <f t="array" ref="C557">IF(I557&gt;0,INDEX(DB,I557,8),"")</f>
        <v/>
      </c>
      <c r="D557" s="437">
        <f t="shared" si="1"/>
        <v>0</v>
      </c>
      <c r="F557" s="438">
        <f t="shared" si="2"/>
        <v>0</v>
      </c>
      <c r="G557" t="str">
        <f t="shared" si="3"/>
        <v/>
      </c>
      <c r="H557" t="b">
        <f t="shared" si="4"/>
        <v>0</v>
      </c>
      <c r="I557" s="439">
        <f>IF(OR(ISBLANK(A557),ISNA(MATCH(A557&amp;"",AthleteNumbers,0))),0,MATCH(A557&amp;"",AthleteNumbers,0))</f>
        <v>0</v>
      </c>
      <c r="J557" s="209">
        <f t="array" ref="J557">IF(I557&gt;0,INDEX(DB,$I557,6),0)</f>
        <v>0</v>
      </c>
      <c r="K557" s="440">
        <f t="shared" si="5"/>
        <v>0</v>
      </c>
      <c r="L557" s="440">
        <f t="shared" si="6"/>
        <v>0</v>
      </c>
      <c r="M557" s="441">
        <f>IF(AND(L557&gt;O557,O557&gt;0),MinPoints,IF(L557&lt;N557,100,+INT((O557-$L557)/P557)+MinPoints))</f>
        <v>100</v>
      </c>
      <c r="N557" s="440">
        <f t="shared" si="7"/>
        <v>7</v>
      </c>
      <c r="O557" s="440">
        <f t="shared" si="8"/>
        <v>16</v>
      </c>
      <c r="P557" s="440">
        <f t="shared" si="9"/>
        <v>0.1</v>
      </c>
      <c r="Q557">
        <f t="array" ref="Q557">IF(I557&gt;0,INDEX(DB,I557,9),EventIndex)</f>
        <v>6</v>
      </c>
      <c r="S557" s="442">
        <f t="array" ref="S557">INDEX(MINVALUES,$Q557,$K$1)</f>
        <v>16</v>
      </c>
      <c r="T557">
        <f t="array" ref="T557">INDEX(INCVALUES,$Q557,$K$1)</f>
        <v>0.1</v>
      </c>
      <c r="V557">
        <f t="array" ref="V557">+J557+(4*(INDEX(MatchScoreTable,$Q557,20)-1))</f>
        <v>4</v>
      </c>
      <c r="W557">
        <f t="array" ref="W557">INDEX(INC_MINVALUES,$V557,$K$1)</f>
        <v>34</v>
      </c>
      <c r="X557" s="212">
        <f t="array" ref="X557">INDEX(INC_INCVALUES,$V557,$K$1)</f>
        <v>0.3</v>
      </c>
    </row>
    <row r="558" ht="15.75" customHeight="1">
      <c r="A558" s="435"/>
      <c r="B558" s="436"/>
      <c r="C558" s="95" t="str">
        <f t="array" ref="C558">IF(I558&gt;0,INDEX(DB,I558,8),"")</f>
        <v/>
      </c>
      <c r="D558" s="437">
        <f t="shared" si="1"/>
        <v>0</v>
      </c>
      <c r="F558" s="438">
        <f t="shared" si="2"/>
        <v>0</v>
      </c>
      <c r="G558" t="str">
        <f t="shared" si="3"/>
        <v/>
      </c>
      <c r="H558" t="b">
        <f t="shared" si="4"/>
        <v>0</v>
      </c>
      <c r="I558" s="439">
        <f>IF(OR(ISBLANK(A558),ISNA(MATCH(A558&amp;"",AthleteNumbers,0))),0,MATCH(A558&amp;"",AthleteNumbers,0))</f>
        <v>0</v>
      </c>
      <c r="J558" s="209">
        <f t="array" ref="J558">IF(I558&gt;0,INDEX(DB,$I558,6),0)</f>
        <v>0</v>
      </c>
      <c r="K558" s="440">
        <f t="shared" si="5"/>
        <v>0</v>
      </c>
      <c r="L558" s="440">
        <f t="shared" si="6"/>
        <v>0</v>
      </c>
      <c r="M558" s="441">
        <f>IF(AND(L558&gt;O558,O558&gt;0),MinPoints,IF(L558&lt;N558,100,+INT((O558-$L558)/P558)+MinPoints))</f>
        <v>100</v>
      </c>
      <c r="N558" s="440">
        <f t="shared" si="7"/>
        <v>7</v>
      </c>
      <c r="O558" s="440">
        <f t="shared" si="8"/>
        <v>16</v>
      </c>
      <c r="P558" s="440">
        <f t="shared" si="9"/>
        <v>0.1</v>
      </c>
      <c r="Q558">
        <f t="array" ref="Q558">IF(I558&gt;0,INDEX(DB,I558,9),EventIndex)</f>
        <v>6</v>
      </c>
      <c r="S558" s="442">
        <f t="array" ref="S558">INDEX(MINVALUES,$Q558,$K$1)</f>
        <v>16</v>
      </c>
      <c r="T558">
        <f t="array" ref="T558">INDEX(INCVALUES,$Q558,$K$1)</f>
        <v>0.1</v>
      </c>
      <c r="V558">
        <f t="array" ref="V558">+J558+(4*(INDEX(MatchScoreTable,$Q558,20)-1))</f>
        <v>4</v>
      </c>
      <c r="W558">
        <f t="array" ref="W558">INDEX(INC_MINVALUES,$V558,$K$1)</f>
        <v>34</v>
      </c>
      <c r="X558" s="212">
        <f t="array" ref="X558">INDEX(INC_INCVALUES,$V558,$K$1)</f>
        <v>0.3</v>
      </c>
    </row>
    <row r="559" ht="15.75" customHeight="1">
      <c r="A559" s="435"/>
      <c r="B559" s="436"/>
      <c r="C559" s="95" t="str">
        <f t="array" ref="C559">IF(I559&gt;0,INDEX(DB,I559,8),"")</f>
        <v/>
      </c>
      <c r="D559" s="437">
        <f t="shared" si="1"/>
        <v>0</v>
      </c>
      <c r="F559" s="438">
        <f t="shared" si="2"/>
        <v>0</v>
      </c>
      <c r="G559" t="str">
        <f t="shared" si="3"/>
        <v/>
      </c>
      <c r="H559" t="b">
        <f t="shared" si="4"/>
        <v>0</v>
      </c>
      <c r="I559" s="439">
        <f>IF(OR(ISBLANK(A559),ISNA(MATCH(A559&amp;"",AthleteNumbers,0))),0,MATCH(A559&amp;"",AthleteNumbers,0))</f>
        <v>0</v>
      </c>
      <c r="J559" s="209">
        <f t="array" ref="J559">IF(I559&gt;0,INDEX(DB,$I559,6),0)</f>
        <v>0</v>
      </c>
      <c r="K559" s="440">
        <f t="shared" si="5"/>
        <v>0</v>
      </c>
      <c r="L559" s="440">
        <f t="shared" si="6"/>
        <v>0</v>
      </c>
      <c r="M559" s="441">
        <f>IF(AND(L559&gt;O559,O559&gt;0),MinPoints,IF(L559&lt;N559,100,+INT((O559-$L559)/P559)+MinPoints))</f>
        <v>100</v>
      </c>
      <c r="N559" s="440">
        <f t="shared" si="7"/>
        <v>7</v>
      </c>
      <c r="O559" s="440">
        <f t="shared" si="8"/>
        <v>16</v>
      </c>
      <c r="P559" s="440">
        <f t="shared" si="9"/>
        <v>0.1</v>
      </c>
      <c r="Q559">
        <f t="array" ref="Q559">IF(I559&gt;0,INDEX(DB,I559,9),EventIndex)</f>
        <v>6</v>
      </c>
      <c r="S559" s="442">
        <f t="array" ref="S559">INDEX(MINVALUES,$Q559,$K$1)</f>
        <v>16</v>
      </c>
      <c r="T559">
        <f t="array" ref="T559">INDEX(INCVALUES,$Q559,$K$1)</f>
        <v>0.1</v>
      </c>
      <c r="V559">
        <f t="array" ref="V559">+J559+(4*(INDEX(MatchScoreTable,$Q559,20)-1))</f>
        <v>4</v>
      </c>
      <c r="W559">
        <f t="array" ref="W559">INDEX(INC_MINVALUES,$V559,$K$1)</f>
        <v>34</v>
      </c>
      <c r="X559" s="212">
        <f t="array" ref="X559">INDEX(INC_INCVALUES,$V559,$K$1)</f>
        <v>0.3</v>
      </c>
    </row>
    <row r="560" ht="15.75" customHeight="1">
      <c r="A560" s="435"/>
      <c r="B560" s="436"/>
      <c r="C560" s="95" t="str">
        <f t="array" ref="C560">IF(I560&gt;0,INDEX(DB,I560,8),"")</f>
        <v/>
      </c>
      <c r="D560" s="437">
        <f t="shared" si="1"/>
        <v>0</v>
      </c>
      <c r="F560" s="438">
        <f t="shared" si="2"/>
        <v>0</v>
      </c>
      <c r="G560" t="str">
        <f t="shared" si="3"/>
        <v/>
      </c>
      <c r="H560" t="b">
        <f t="shared" si="4"/>
        <v>0</v>
      </c>
      <c r="I560" s="439">
        <f>IF(OR(ISBLANK(A560),ISNA(MATCH(A560&amp;"",AthleteNumbers,0))),0,MATCH(A560&amp;"",AthleteNumbers,0))</f>
        <v>0</v>
      </c>
      <c r="J560" s="209">
        <f t="array" ref="J560">IF(I560&gt;0,INDEX(DB,$I560,6),0)</f>
        <v>0</v>
      </c>
      <c r="K560" s="440">
        <f t="shared" si="5"/>
        <v>0</v>
      </c>
      <c r="L560" s="440">
        <f t="shared" si="6"/>
        <v>0</v>
      </c>
      <c r="M560" s="441">
        <f>IF(AND(L560&gt;O560,O560&gt;0),MinPoints,IF(L560&lt;N560,100,+INT((O560-$L560)/P560)+MinPoints))</f>
        <v>100</v>
      </c>
      <c r="N560" s="440">
        <f t="shared" si="7"/>
        <v>7</v>
      </c>
      <c r="O560" s="440">
        <f t="shared" si="8"/>
        <v>16</v>
      </c>
      <c r="P560" s="440">
        <f t="shared" si="9"/>
        <v>0.1</v>
      </c>
      <c r="Q560">
        <f t="array" ref="Q560">IF(I560&gt;0,INDEX(DB,I560,9),EventIndex)</f>
        <v>6</v>
      </c>
      <c r="S560" s="442">
        <f t="array" ref="S560">INDEX(MINVALUES,$Q560,$K$1)</f>
        <v>16</v>
      </c>
      <c r="T560">
        <f t="array" ref="T560">INDEX(INCVALUES,$Q560,$K$1)</f>
        <v>0.1</v>
      </c>
      <c r="V560">
        <f t="array" ref="V560">+J560+(4*(INDEX(MatchScoreTable,$Q560,20)-1))</f>
        <v>4</v>
      </c>
      <c r="W560">
        <f t="array" ref="W560">INDEX(INC_MINVALUES,$V560,$K$1)</f>
        <v>34</v>
      </c>
      <c r="X560" s="212">
        <f t="array" ref="X560">INDEX(INC_INCVALUES,$V560,$K$1)</f>
        <v>0.3</v>
      </c>
    </row>
    <row r="561" ht="15.75" customHeight="1">
      <c r="A561" s="435"/>
      <c r="B561" s="436"/>
      <c r="C561" s="95" t="str">
        <f t="array" ref="C561">IF(I561&gt;0,INDEX(DB,I561,8),"")</f>
        <v/>
      </c>
      <c r="D561" s="437">
        <f t="shared" si="1"/>
        <v>0</v>
      </c>
      <c r="F561" s="438">
        <f t="shared" si="2"/>
        <v>0</v>
      </c>
      <c r="G561" t="str">
        <f t="shared" si="3"/>
        <v/>
      </c>
      <c r="H561" t="b">
        <f t="shared" si="4"/>
        <v>0</v>
      </c>
      <c r="I561" s="439">
        <f>IF(OR(ISBLANK(A561),ISNA(MATCH(A561&amp;"",AthleteNumbers,0))),0,MATCH(A561&amp;"",AthleteNumbers,0))</f>
        <v>0</v>
      </c>
      <c r="J561" s="209">
        <f t="array" ref="J561">IF(I561&gt;0,INDEX(DB,$I561,6),0)</f>
        <v>0</v>
      </c>
      <c r="K561" s="440">
        <f t="shared" si="5"/>
        <v>0</v>
      </c>
      <c r="L561" s="440">
        <f t="shared" si="6"/>
        <v>0</v>
      </c>
      <c r="M561" s="441">
        <f>IF(AND(L561&gt;O561,O561&gt;0),MinPoints,IF(L561&lt;N561,100,+INT((O561-$L561)/P561)+MinPoints))</f>
        <v>100</v>
      </c>
      <c r="N561" s="440">
        <f t="shared" si="7"/>
        <v>7</v>
      </c>
      <c r="O561" s="440">
        <f t="shared" si="8"/>
        <v>16</v>
      </c>
      <c r="P561" s="440">
        <f t="shared" si="9"/>
        <v>0.1</v>
      </c>
      <c r="Q561">
        <f t="array" ref="Q561">IF(I561&gt;0,INDEX(DB,I561,9),EventIndex)</f>
        <v>6</v>
      </c>
      <c r="S561" s="442">
        <f t="array" ref="S561">INDEX(MINVALUES,$Q561,$K$1)</f>
        <v>16</v>
      </c>
      <c r="T561">
        <f t="array" ref="T561">INDEX(INCVALUES,$Q561,$K$1)</f>
        <v>0.1</v>
      </c>
      <c r="V561">
        <f t="array" ref="V561">+J561+(4*(INDEX(MatchScoreTable,$Q561,20)-1))</f>
        <v>4</v>
      </c>
      <c r="W561">
        <f t="array" ref="W561">INDEX(INC_MINVALUES,$V561,$K$1)</f>
        <v>34</v>
      </c>
      <c r="X561" s="212">
        <f t="array" ref="X561">INDEX(INC_INCVALUES,$V561,$K$1)</f>
        <v>0.3</v>
      </c>
    </row>
    <row r="562" ht="15.75" customHeight="1">
      <c r="A562" s="435"/>
      <c r="B562" s="436"/>
      <c r="C562" s="95" t="str">
        <f t="array" ref="C562">IF(I562&gt;0,INDEX(DB,I562,8),"")</f>
        <v/>
      </c>
      <c r="D562" s="437">
        <f t="shared" si="1"/>
        <v>0</v>
      </c>
      <c r="F562" s="438">
        <f t="shared" si="2"/>
        <v>0</v>
      </c>
      <c r="G562" t="str">
        <f t="shared" si="3"/>
        <v/>
      </c>
      <c r="H562" t="b">
        <f t="shared" si="4"/>
        <v>0</v>
      </c>
      <c r="I562" s="439">
        <f>IF(OR(ISBLANK(A562),ISNA(MATCH(A562&amp;"",AthleteNumbers,0))),0,MATCH(A562&amp;"",AthleteNumbers,0))</f>
        <v>0</v>
      </c>
      <c r="J562" s="209">
        <f t="array" ref="J562">IF(I562&gt;0,INDEX(DB,$I562,6),0)</f>
        <v>0</v>
      </c>
      <c r="K562" s="440">
        <f t="shared" si="5"/>
        <v>0</v>
      </c>
      <c r="L562" s="440">
        <f t="shared" si="6"/>
        <v>0</v>
      </c>
      <c r="M562" s="441">
        <f>IF(AND(L562&gt;O562,O562&gt;0),MinPoints,IF(L562&lt;N562,100,+INT((O562-$L562)/P562)+MinPoints))</f>
        <v>100</v>
      </c>
      <c r="N562" s="440">
        <f t="shared" si="7"/>
        <v>7</v>
      </c>
      <c r="O562" s="440">
        <f t="shared" si="8"/>
        <v>16</v>
      </c>
      <c r="P562" s="440">
        <f t="shared" si="9"/>
        <v>0.1</v>
      </c>
      <c r="Q562">
        <f t="array" ref="Q562">IF(I562&gt;0,INDEX(DB,I562,9),EventIndex)</f>
        <v>6</v>
      </c>
      <c r="S562" s="442">
        <f t="array" ref="S562">INDEX(MINVALUES,$Q562,$K$1)</f>
        <v>16</v>
      </c>
      <c r="T562">
        <f t="array" ref="T562">INDEX(INCVALUES,$Q562,$K$1)</f>
        <v>0.1</v>
      </c>
      <c r="V562">
        <f t="array" ref="V562">+J562+(4*(INDEX(MatchScoreTable,$Q562,20)-1))</f>
        <v>4</v>
      </c>
      <c r="W562">
        <f t="array" ref="W562">INDEX(INC_MINVALUES,$V562,$K$1)</f>
        <v>34</v>
      </c>
      <c r="X562" s="212">
        <f t="array" ref="X562">INDEX(INC_INCVALUES,$V562,$K$1)</f>
        <v>0.3</v>
      </c>
    </row>
    <row r="563" ht="15.75" customHeight="1">
      <c r="A563" s="435"/>
      <c r="B563" s="436"/>
      <c r="C563" s="95" t="str">
        <f t="array" ref="C563">IF(I563&gt;0,INDEX(DB,I563,8),"")</f>
        <v/>
      </c>
      <c r="D563" s="437">
        <f t="shared" si="1"/>
        <v>0</v>
      </c>
      <c r="F563" s="438">
        <f t="shared" si="2"/>
        <v>0</v>
      </c>
      <c r="G563" t="str">
        <f t="shared" si="3"/>
        <v/>
      </c>
      <c r="H563" t="b">
        <f t="shared" si="4"/>
        <v>0</v>
      </c>
      <c r="I563" s="439">
        <f>IF(OR(ISBLANK(A563),ISNA(MATCH(A563&amp;"",AthleteNumbers,0))),0,MATCH(A563&amp;"",AthleteNumbers,0))</f>
        <v>0</v>
      </c>
      <c r="J563" s="209">
        <f t="array" ref="J563">IF(I563&gt;0,INDEX(DB,$I563,6),0)</f>
        <v>0</v>
      </c>
      <c r="K563" s="440">
        <f t="shared" si="5"/>
        <v>0</v>
      </c>
      <c r="L563" s="440">
        <f t="shared" si="6"/>
        <v>0</v>
      </c>
      <c r="M563" s="441">
        <f>IF(AND(L563&gt;O563,O563&gt;0),MinPoints,IF(L563&lt;N563,100,+INT((O563-$L563)/P563)+MinPoints))</f>
        <v>100</v>
      </c>
      <c r="N563" s="440">
        <f t="shared" si="7"/>
        <v>7</v>
      </c>
      <c r="O563" s="440">
        <f t="shared" si="8"/>
        <v>16</v>
      </c>
      <c r="P563" s="440">
        <f t="shared" si="9"/>
        <v>0.1</v>
      </c>
      <c r="Q563">
        <f t="array" ref="Q563">IF(I563&gt;0,INDEX(DB,I563,9),EventIndex)</f>
        <v>6</v>
      </c>
      <c r="S563" s="442">
        <f t="array" ref="S563">INDEX(MINVALUES,$Q563,$K$1)</f>
        <v>16</v>
      </c>
      <c r="T563">
        <f t="array" ref="T563">INDEX(INCVALUES,$Q563,$K$1)</f>
        <v>0.1</v>
      </c>
      <c r="V563">
        <f t="array" ref="V563">+J563+(4*(INDEX(MatchScoreTable,$Q563,20)-1))</f>
        <v>4</v>
      </c>
      <c r="W563">
        <f t="array" ref="W563">INDEX(INC_MINVALUES,$V563,$K$1)</f>
        <v>34</v>
      </c>
      <c r="X563" s="212">
        <f t="array" ref="X563">INDEX(INC_INCVALUES,$V563,$K$1)</f>
        <v>0.3</v>
      </c>
    </row>
    <row r="564" ht="15.75" customHeight="1">
      <c r="A564" s="435"/>
      <c r="B564" s="436"/>
      <c r="C564" s="95" t="str">
        <f t="array" ref="C564">IF(I564&gt;0,INDEX(DB,I564,8),"")</f>
        <v/>
      </c>
      <c r="D564" s="437">
        <f t="shared" si="1"/>
        <v>0</v>
      </c>
      <c r="F564" s="438">
        <f t="shared" si="2"/>
        <v>0</v>
      </c>
      <c r="G564" t="str">
        <f t="shared" si="3"/>
        <v/>
      </c>
      <c r="H564" t="b">
        <f t="shared" si="4"/>
        <v>0</v>
      </c>
      <c r="I564" s="439">
        <f>IF(OR(ISBLANK(A564),ISNA(MATCH(A564&amp;"",AthleteNumbers,0))),0,MATCH(A564&amp;"",AthleteNumbers,0))</f>
        <v>0</v>
      </c>
      <c r="J564" s="209">
        <f t="array" ref="J564">IF(I564&gt;0,INDEX(DB,$I564,6),0)</f>
        <v>0</v>
      </c>
      <c r="K564" s="440">
        <f t="shared" si="5"/>
        <v>0</v>
      </c>
      <c r="L564" s="440">
        <f t="shared" si="6"/>
        <v>0</v>
      </c>
      <c r="M564" s="441">
        <f>IF(AND(L564&gt;O564,O564&gt;0),MinPoints,IF(L564&lt;N564,100,+INT((O564-$L564)/P564)+MinPoints))</f>
        <v>100</v>
      </c>
      <c r="N564" s="440">
        <f t="shared" si="7"/>
        <v>7</v>
      </c>
      <c r="O564" s="440">
        <f t="shared" si="8"/>
        <v>16</v>
      </c>
      <c r="P564" s="440">
        <f t="shared" si="9"/>
        <v>0.1</v>
      </c>
      <c r="Q564">
        <f t="array" ref="Q564">IF(I564&gt;0,INDEX(DB,I564,9),EventIndex)</f>
        <v>6</v>
      </c>
      <c r="S564" s="442">
        <f t="array" ref="S564">INDEX(MINVALUES,$Q564,$K$1)</f>
        <v>16</v>
      </c>
      <c r="T564">
        <f t="array" ref="T564">INDEX(INCVALUES,$Q564,$K$1)</f>
        <v>0.1</v>
      </c>
      <c r="V564">
        <f t="array" ref="V564">+J564+(4*(INDEX(MatchScoreTable,$Q564,20)-1))</f>
        <v>4</v>
      </c>
      <c r="W564">
        <f t="array" ref="W564">INDEX(INC_MINVALUES,$V564,$K$1)</f>
        <v>34</v>
      </c>
      <c r="X564" s="212">
        <f t="array" ref="X564">INDEX(INC_INCVALUES,$V564,$K$1)</f>
        <v>0.3</v>
      </c>
    </row>
    <row r="565" ht="15.75" customHeight="1">
      <c r="A565" s="435"/>
      <c r="B565" s="436"/>
      <c r="C565" s="95" t="str">
        <f t="array" ref="C565">IF(I565&gt;0,INDEX(DB,I565,8),"")</f>
        <v/>
      </c>
      <c r="D565" s="437">
        <f t="shared" si="1"/>
        <v>0</v>
      </c>
      <c r="F565" s="438">
        <f t="shared" si="2"/>
        <v>0</v>
      </c>
      <c r="G565" t="str">
        <f t="shared" si="3"/>
        <v/>
      </c>
      <c r="H565" t="b">
        <f t="shared" si="4"/>
        <v>0</v>
      </c>
      <c r="I565" s="439">
        <f>IF(OR(ISBLANK(A565),ISNA(MATCH(A565&amp;"",AthleteNumbers,0))),0,MATCH(A565&amp;"",AthleteNumbers,0))</f>
        <v>0</v>
      </c>
      <c r="J565" s="209">
        <f t="array" ref="J565">IF(I565&gt;0,INDEX(DB,$I565,6),0)</f>
        <v>0</v>
      </c>
      <c r="K565" s="440">
        <f t="shared" si="5"/>
        <v>0</v>
      </c>
      <c r="L565" s="440">
        <f t="shared" si="6"/>
        <v>0</v>
      </c>
      <c r="M565" s="441">
        <f>IF(AND(L565&gt;O565,O565&gt;0),MinPoints,IF(L565&lt;N565,100,+INT((O565-$L565)/P565)+MinPoints))</f>
        <v>100</v>
      </c>
      <c r="N565" s="440">
        <f t="shared" si="7"/>
        <v>7</v>
      </c>
      <c r="O565" s="440">
        <f t="shared" si="8"/>
        <v>16</v>
      </c>
      <c r="P565" s="440">
        <f t="shared" si="9"/>
        <v>0.1</v>
      </c>
      <c r="Q565">
        <f t="array" ref="Q565">IF(I565&gt;0,INDEX(DB,I565,9),EventIndex)</f>
        <v>6</v>
      </c>
      <c r="S565" s="442">
        <f t="array" ref="S565">INDEX(MINVALUES,$Q565,$K$1)</f>
        <v>16</v>
      </c>
      <c r="T565">
        <f t="array" ref="T565">INDEX(INCVALUES,$Q565,$K$1)</f>
        <v>0.1</v>
      </c>
      <c r="V565">
        <f t="array" ref="V565">+J565+(4*(INDEX(MatchScoreTable,$Q565,20)-1))</f>
        <v>4</v>
      </c>
      <c r="W565">
        <f t="array" ref="W565">INDEX(INC_MINVALUES,$V565,$K$1)</f>
        <v>34</v>
      </c>
      <c r="X565" s="212">
        <f t="array" ref="X565">INDEX(INC_INCVALUES,$V565,$K$1)</f>
        <v>0.3</v>
      </c>
    </row>
    <row r="566" ht="15.75" customHeight="1">
      <c r="A566" s="435"/>
      <c r="B566" s="436"/>
      <c r="C566" s="95" t="str">
        <f t="array" ref="C566">IF(I566&gt;0,INDEX(DB,I566,8),"")</f>
        <v/>
      </c>
      <c r="D566" s="437">
        <f t="shared" si="1"/>
        <v>0</v>
      </c>
      <c r="F566" s="438">
        <f t="shared" si="2"/>
        <v>0</v>
      </c>
      <c r="G566" t="str">
        <f t="shared" si="3"/>
        <v/>
      </c>
      <c r="H566" t="b">
        <f t="shared" si="4"/>
        <v>0</v>
      </c>
      <c r="I566" s="439">
        <f>IF(OR(ISBLANK(A566),ISNA(MATCH(A566&amp;"",AthleteNumbers,0))),0,MATCH(A566&amp;"",AthleteNumbers,0))</f>
        <v>0</v>
      </c>
      <c r="J566" s="209">
        <f t="array" ref="J566">IF(I566&gt;0,INDEX(DB,$I566,6),0)</f>
        <v>0</v>
      </c>
      <c r="K566" s="440">
        <f t="shared" si="5"/>
        <v>0</v>
      </c>
      <c r="L566" s="440">
        <f t="shared" si="6"/>
        <v>0</v>
      </c>
      <c r="M566" s="441">
        <f>IF(AND(L566&gt;O566,O566&gt;0),MinPoints,IF(L566&lt;N566,100,+INT((O566-$L566)/P566)+MinPoints))</f>
        <v>100</v>
      </c>
      <c r="N566" s="440">
        <f t="shared" si="7"/>
        <v>7</v>
      </c>
      <c r="O566" s="440">
        <f t="shared" si="8"/>
        <v>16</v>
      </c>
      <c r="P566" s="440">
        <f t="shared" si="9"/>
        <v>0.1</v>
      </c>
      <c r="Q566">
        <f t="array" ref="Q566">IF(I566&gt;0,INDEX(DB,I566,9),EventIndex)</f>
        <v>6</v>
      </c>
      <c r="S566" s="442">
        <f t="array" ref="S566">INDEX(MINVALUES,$Q566,$K$1)</f>
        <v>16</v>
      </c>
      <c r="T566">
        <f t="array" ref="T566">INDEX(INCVALUES,$Q566,$K$1)</f>
        <v>0.1</v>
      </c>
      <c r="V566">
        <f t="array" ref="V566">+J566+(4*(INDEX(MatchScoreTable,$Q566,20)-1))</f>
        <v>4</v>
      </c>
      <c r="W566">
        <f t="array" ref="W566">INDEX(INC_MINVALUES,$V566,$K$1)</f>
        <v>34</v>
      </c>
      <c r="X566" s="212">
        <f t="array" ref="X566">INDEX(INC_INCVALUES,$V566,$K$1)</f>
        <v>0.3</v>
      </c>
    </row>
    <row r="567" ht="15.75" customHeight="1">
      <c r="A567" s="435"/>
      <c r="B567" s="436"/>
      <c r="C567" s="95" t="str">
        <f t="array" ref="C567">IF(I567&gt;0,INDEX(DB,I567,8),"")</f>
        <v/>
      </c>
      <c r="D567" s="437">
        <f t="shared" si="1"/>
        <v>0</v>
      </c>
      <c r="F567" s="438">
        <f t="shared" si="2"/>
        <v>0</v>
      </c>
      <c r="G567" t="str">
        <f t="shared" si="3"/>
        <v/>
      </c>
      <c r="H567" t="b">
        <f t="shared" si="4"/>
        <v>0</v>
      </c>
      <c r="I567" s="439">
        <f>IF(OR(ISBLANK(A567),ISNA(MATCH(A567&amp;"",AthleteNumbers,0))),0,MATCH(A567&amp;"",AthleteNumbers,0))</f>
        <v>0</v>
      </c>
      <c r="J567" s="209">
        <f t="array" ref="J567">IF(I567&gt;0,INDEX(DB,$I567,6),0)</f>
        <v>0</v>
      </c>
      <c r="K567" s="440">
        <f t="shared" si="5"/>
        <v>0</v>
      </c>
      <c r="L567" s="440">
        <f t="shared" si="6"/>
        <v>0</v>
      </c>
      <c r="M567" s="441">
        <f>IF(AND(L567&gt;O567,O567&gt;0),MinPoints,IF(L567&lt;N567,100,+INT((O567-$L567)/P567)+MinPoints))</f>
        <v>100</v>
      </c>
      <c r="N567" s="440">
        <f t="shared" si="7"/>
        <v>7</v>
      </c>
      <c r="O567" s="440">
        <f t="shared" si="8"/>
        <v>16</v>
      </c>
      <c r="P567" s="440">
        <f t="shared" si="9"/>
        <v>0.1</v>
      </c>
      <c r="Q567">
        <f t="array" ref="Q567">IF(I567&gt;0,INDEX(DB,I567,9),EventIndex)</f>
        <v>6</v>
      </c>
      <c r="S567" s="442">
        <f t="array" ref="S567">INDEX(MINVALUES,$Q567,$K$1)</f>
        <v>16</v>
      </c>
      <c r="T567">
        <f t="array" ref="T567">INDEX(INCVALUES,$Q567,$K$1)</f>
        <v>0.1</v>
      </c>
      <c r="V567">
        <f t="array" ref="V567">+J567+(4*(INDEX(MatchScoreTable,$Q567,20)-1))</f>
        <v>4</v>
      </c>
      <c r="W567">
        <f t="array" ref="W567">INDEX(INC_MINVALUES,$V567,$K$1)</f>
        <v>34</v>
      </c>
      <c r="X567" s="212">
        <f t="array" ref="X567">INDEX(INC_INCVALUES,$V567,$K$1)</f>
        <v>0.3</v>
      </c>
    </row>
    <row r="568" ht="15.75" customHeight="1">
      <c r="A568" s="435"/>
      <c r="B568" s="436"/>
      <c r="C568" s="95" t="str">
        <f t="array" ref="C568">IF(I568&gt;0,INDEX(DB,I568,8),"")</f>
        <v/>
      </c>
      <c r="D568" s="437">
        <f t="shared" si="1"/>
        <v>0</v>
      </c>
      <c r="F568" s="438">
        <f t="shared" si="2"/>
        <v>0</v>
      </c>
      <c r="G568" t="str">
        <f t="shared" si="3"/>
        <v/>
      </c>
      <c r="H568" t="b">
        <f t="shared" si="4"/>
        <v>0</v>
      </c>
      <c r="I568" s="439">
        <f>IF(OR(ISBLANK(A568),ISNA(MATCH(A568&amp;"",AthleteNumbers,0))),0,MATCH(A568&amp;"",AthleteNumbers,0))</f>
        <v>0</v>
      </c>
      <c r="J568" s="209">
        <f t="array" ref="J568">IF(I568&gt;0,INDEX(DB,$I568,6),0)</f>
        <v>0</v>
      </c>
      <c r="K568" s="440">
        <f t="shared" si="5"/>
        <v>0</v>
      </c>
      <c r="L568" s="440">
        <f t="shared" si="6"/>
        <v>0</v>
      </c>
      <c r="M568" s="441">
        <f>IF(AND(L568&gt;O568,O568&gt;0),MinPoints,IF(L568&lt;N568,100,+INT((O568-$L568)/P568)+MinPoints))</f>
        <v>100</v>
      </c>
      <c r="N568" s="440">
        <f t="shared" si="7"/>
        <v>7</v>
      </c>
      <c r="O568" s="440">
        <f t="shared" si="8"/>
        <v>16</v>
      </c>
      <c r="P568" s="440">
        <f t="shared" si="9"/>
        <v>0.1</v>
      </c>
      <c r="Q568">
        <f t="array" ref="Q568">IF(I568&gt;0,INDEX(DB,I568,9),EventIndex)</f>
        <v>6</v>
      </c>
      <c r="S568" s="442">
        <f t="array" ref="S568">INDEX(MINVALUES,$Q568,$K$1)</f>
        <v>16</v>
      </c>
      <c r="T568">
        <f t="array" ref="T568">INDEX(INCVALUES,$Q568,$K$1)</f>
        <v>0.1</v>
      </c>
      <c r="V568">
        <f t="array" ref="V568">+J568+(4*(INDEX(MatchScoreTable,$Q568,20)-1))</f>
        <v>4</v>
      </c>
      <c r="W568">
        <f t="array" ref="W568">INDEX(INC_MINVALUES,$V568,$K$1)</f>
        <v>34</v>
      </c>
      <c r="X568" s="212">
        <f t="array" ref="X568">INDEX(INC_INCVALUES,$V568,$K$1)</f>
        <v>0.3</v>
      </c>
    </row>
    <row r="569" ht="15.75" customHeight="1">
      <c r="A569" s="435"/>
      <c r="B569" s="436"/>
      <c r="C569" s="95" t="str">
        <f t="array" ref="C569">IF(I569&gt;0,INDEX(DB,I569,8),"")</f>
        <v/>
      </c>
      <c r="D569" s="437">
        <f t="shared" si="1"/>
        <v>0</v>
      </c>
      <c r="F569" s="438">
        <f t="shared" si="2"/>
        <v>0</v>
      </c>
      <c r="G569" t="str">
        <f t="shared" si="3"/>
        <v/>
      </c>
      <c r="H569" t="b">
        <f t="shared" si="4"/>
        <v>0</v>
      </c>
      <c r="I569" s="439">
        <f>IF(OR(ISBLANK(A569),ISNA(MATCH(A569&amp;"",AthleteNumbers,0))),0,MATCH(A569&amp;"",AthleteNumbers,0))</f>
        <v>0</v>
      </c>
      <c r="J569" s="209">
        <f t="array" ref="J569">IF(I569&gt;0,INDEX(DB,$I569,6),0)</f>
        <v>0</v>
      </c>
      <c r="K569" s="440">
        <f t="shared" si="5"/>
        <v>0</v>
      </c>
      <c r="L569" s="440">
        <f t="shared" si="6"/>
        <v>0</v>
      </c>
      <c r="M569" s="441">
        <f>IF(AND(L569&gt;O569,O569&gt;0),MinPoints,IF(L569&lt;N569,100,+INT((O569-$L569)/P569)+MinPoints))</f>
        <v>100</v>
      </c>
      <c r="N569" s="440">
        <f t="shared" si="7"/>
        <v>7</v>
      </c>
      <c r="O569" s="440">
        <f t="shared" si="8"/>
        <v>16</v>
      </c>
      <c r="P569" s="440">
        <f t="shared" si="9"/>
        <v>0.1</v>
      </c>
      <c r="Q569">
        <f t="array" ref="Q569">IF(I569&gt;0,INDEX(DB,I569,9),EventIndex)</f>
        <v>6</v>
      </c>
      <c r="S569" s="442">
        <f t="array" ref="S569">INDEX(MINVALUES,$Q569,$K$1)</f>
        <v>16</v>
      </c>
      <c r="T569">
        <f t="array" ref="T569">INDEX(INCVALUES,$Q569,$K$1)</f>
        <v>0.1</v>
      </c>
      <c r="V569">
        <f t="array" ref="V569">+J569+(4*(INDEX(MatchScoreTable,$Q569,20)-1))</f>
        <v>4</v>
      </c>
      <c r="W569">
        <f t="array" ref="W569">INDEX(INC_MINVALUES,$V569,$K$1)</f>
        <v>34</v>
      </c>
      <c r="X569" s="212">
        <f t="array" ref="X569">INDEX(INC_INCVALUES,$V569,$K$1)</f>
        <v>0.3</v>
      </c>
    </row>
    <row r="570" ht="15.75" customHeight="1">
      <c r="A570" s="435"/>
      <c r="B570" s="436"/>
      <c r="C570" s="95" t="str">
        <f t="array" ref="C570">IF(I570&gt;0,INDEX(DB,I570,8),"")</f>
        <v/>
      </c>
      <c r="D570" s="437">
        <f t="shared" si="1"/>
        <v>0</v>
      </c>
      <c r="F570" s="438">
        <f t="shared" si="2"/>
        <v>0</v>
      </c>
      <c r="G570" t="str">
        <f t="shared" si="3"/>
        <v/>
      </c>
      <c r="H570" t="b">
        <f t="shared" si="4"/>
        <v>0</v>
      </c>
      <c r="I570" s="439">
        <f>IF(OR(ISBLANK(A570),ISNA(MATCH(A570&amp;"",AthleteNumbers,0))),0,MATCH(A570&amp;"",AthleteNumbers,0))</f>
        <v>0</v>
      </c>
      <c r="J570" s="209">
        <f t="array" ref="J570">IF(I570&gt;0,INDEX(DB,$I570,6),0)</f>
        <v>0</v>
      </c>
      <c r="K570" s="440">
        <f t="shared" si="5"/>
        <v>0</v>
      </c>
      <c r="L570" s="440">
        <f t="shared" si="6"/>
        <v>0</v>
      </c>
      <c r="M570" s="441">
        <f>IF(AND(L570&gt;O570,O570&gt;0),MinPoints,IF(L570&lt;N570,100,+INT((O570-$L570)/P570)+MinPoints))</f>
        <v>100</v>
      </c>
      <c r="N570" s="440">
        <f t="shared" si="7"/>
        <v>7</v>
      </c>
      <c r="O570" s="440">
        <f t="shared" si="8"/>
        <v>16</v>
      </c>
      <c r="P570" s="440">
        <f t="shared" si="9"/>
        <v>0.1</v>
      </c>
      <c r="Q570">
        <f t="array" ref="Q570">IF(I570&gt;0,INDEX(DB,I570,9),EventIndex)</f>
        <v>6</v>
      </c>
      <c r="S570" s="442">
        <f t="array" ref="S570">INDEX(MINVALUES,$Q570,$K$1)</f>
        <v>16</v>
      </c>
      <c r="T570">
        <f t="array" ref="T570">INDEX(INCVALUES,$Q570,$K$1)</f>
        <v>0.1</v>
      </c>
      <c r="V570">
        <f t="array" ref="V570">+J570+(4*(INDEX(MatchScoreTable,$Q570,20)-1))</f>
        <v>4</v>
      </c>
      <c r="W570">
        <f t="array" ref="W570">INDEX(INC_MINVALUES,$V570,$K$1)</f>
        <v>34</v>
      </c>
      <c r="X570" s="212">
        <f t="array" ref="X570">INDEX(INC_INCVALUES,$V570,$K$1)</f>
        <v>0.3</v>
      </c>
    </row>
    <row r="571" ht="15.75" customHeight="1">
      <c r="A571" s="435"/>
      <c r="B571" s="436"/>
      <c r="C571" s="95" t="str">
        <f t="array" ref="C571">IF(I571&gt;0,INDEX(DB,I571,8),"")</f>
        <v/>
      </c>
      <c r="D571" s="437">
        <f t="shared" si="1"/>
        <v>0</v>
      </c>
      <c r="F571" s="438">
        <f t="shared" si="2"/>
        <v>0</v>
      </c>
      <c r="G571" t="str">
        <f t="shared" si="3"/>
        <v/>
      </c>
      <c r="H571" t="b">
        <f t="shared" si="4"/>
        <v>0</v>
      </c>
      <c r="I571" s="439">
        <f>IF(OR(ISBLANK(A571),ISNA(MATCH(A571&amp;"",AthleteNumbers,0))),0,MATCH(A571&amp;"",AthleteNumbers,0))</f>
        <v>0</v>
      </c>
      <c r="J571" s="209">
        <f t="array" ref="J571">IF(I571&gt;0,INDEX(DB,$I571,6),0)</f>
        <v>0</v>
      </c>
      <c r="K571" s="440">
        <f t="shared" si="5"/>
        <v>0</v>
      </c>
      <c r="L571" s="440">
        <f t="shared" si="6"/>
        <v>0</v>
      </c>
      <c r="M571" s="441">
        <f>IF(AND(L571&gt;O571,O571&gt;0),MinPoints,IF(L571&lt;N571,100,+INT((O571-$L571)/P571)+MinPoints))</f>
        <v>100</v>
      </c>
      <c r="N571" s="440">
        <f t="shared" si="7"/>
        <v>7</v>
      </c>
      <c r="O571" s="440">
        <f t="shared" si="8"/>
        <v>16</v>
      </c>
      <c r="P571" s="440">
        <f t="shared" si="9"/>
        <v>0.1</v>
      </c>
      <c r="Q571">
        <f t="array" ref="Q571">IF(I571&gt;0,INDEX(DB,I571,9),EventIndex)</f>
        <v>6</v>
      </c>
      <c r="S571" s="442">
        <f t="array" ref="S571">INDEX(MINVALUES,$Q571,$K$1)</f>
        <v>16</v>
      </c>
      <c r="T571">
        <f t="array" ref="T571">INDEX(INCVALUES,$Q571,$K$1)</f>
        <v>0.1</v>
      </c>
      <c r="V571">
        <f t="array" ref="V571">+J571+(4*(INDEX(MatchScoreTable,$Q571,20)-1))</f>
        <v>4</v>
      </c>
      <c r="W571">
        <f t="array" ref="W571">INDEX(INC_MINVALUES,$V571,$K$1)</f>
        <v>34</v>
      </c>
      <c r="X571" s="212">
        <f t="array" ref="X571">INDEX(INC_INCVALUES,$V571,$K$1)</f>
        <v>0.3</v>
      </c>
    </row>
    <row r="572" ht="15.75" customHeight="1">
      <c r="A572" s="435"/>
      <c r="B572" s="436"/>
      <c r="C572" s="95" t="str">
        <f t="array" ref="C572">IF(I572&gt;0,INDEX(DB,I572,8),"")</f>
        <v/>
      </c>
      <c r="D572" s="437">
        <f t="shared" si="1"/>
        <v>0</v>
      </c>
      <c r="F572" s="438">
        <f t="shared" si="2"/>
        <v>0</v>
      </c>
      <c r="G572" t="str">
        <f t="shared" si="3"/>
        <v/>
      </c>
      <c r="H572" t="b">
        <f t="shared" si="4"/>
        <v>0</v>
      </c>
      <c r="I572" s="439">
        <f>IF(OR(ISBLANK(A572),ISNA(MATCH(A572&amp;"",AthleteNumbers,0))),0,MATCH(A572&amp;"",AthleteNumbers,0))</f>
        <v>0</v>
      </c>
      <c r="J572" s="209">
        <f t="array" ref="J572">IF(I572&gt;0,INDEX(DB,$I572,6),0)</f>
        <v>0</v>
      </c>
      <c r="K572" s="440">
        <f t="shared" si="5"/>
        <v>0</v>
      </c>
      <c r="L572" s="440">
        <f t="shared" si="6"/>
        <v>0</v>
      </c>
      <c r="M572" s="441">
        <f>IF(AND(L572&gt;O572,O572&gt;0),MinPoints,IF(L572&lt;N572,100,+INT((O572-$L572)/P572)+MinPoints))</f>
        <v>100</v>
      </c>
      <c r="N572" s="440">
        <f t="shared" si="7"/>
        <v>7</v>
      </c>
      <c r="O572" s="440">
        <f t="shared" si="8"/>
        <v>16</v>
      </c>
      <c r="P572" s="440">
        <f t="shared" si="9"/>
        <v>0.1</v>
      </c>
      <c r="Q572">
        <f t="array" ref="Q572">IF(I572&gt;0,INDEX(DB,I572,9),EventIndex)</f>
        <v>6</v>
      </c>
      <c r="S572" s="442">
        <f t="array" ref="S572">INDEX(MINVALUES,$Q572,$K$1)</f>
        <v>16</v>
      </c>
      <c r="T572">
        <f t="array" ref="T572">INDEX(INCVALUES,$Q572,$K$1)</f>
        <v>0.1</v>
      </c>
      <c r="V572">
        <f t="array" ref="V572">+J572+(4*(INDEX(MatchScoreTable,$Q572,20)-1))</f>
        <v>4</v>
      </c>
      <c r="W572">
        <f t="array" ref="W572">INDEX(INC_MINVALUES,$V572,$K$1)</f>
        <v>34</v>
      </c>
      <c r="X572" s="212">
        <f t="array" ref="X572">INDEX(INC_INCVALUES,$V572,$K$1)</f>
        <v>0.3</v>
      </c>
    </row>
    <row r="573" ht="15.75" customHeight="1">
      <c r="A573" s="435"/>
      <c r="B573" s="436"/>
      <c r="C573" s="95" t="str">
        <f t="array" ref="C573">IF(I573&gt;0,INDEX(DB,I573,8),"")</f>
        <v/>
      </c>
      <c r="D573" s="437">
        <f t="shared" si="1"/>
        <v>0</v>
      </c>
      <c r="F573" s="438">
        <f t="shared" si="2"/>
        <v>0</v>
      </c>
      <c r="G573" t="str">
        <f t="shared" si="3"/>
        <v/>
      </c>
      <c r="H573" t="b">
        <f t="shared" si="4"/>
        <v>0</v>
      </c>
      <c r="I573" s="439">
        <f>IF(OR(ISBLANK(A573),ISNA(MATCH(A573&amp;"",AthleteNumbers,0))),0,MATCH(A573&amp;"",AthleteNumbers,0))</f>
        <v>0</v>
      </c>
      <c r="J573" s="209">
        <f t="array" ref="J573">IF(I573&gt;0,INDEX(DB,$I573,6),0)</f>
        <v>0</v>
      </c>
      <c r="K573" s="440">
        <f t="shared" si="5"/>
        <v>0</v>
      </c>
      <c r="L573" s="440">
        <f t="shared" si="6"/>
        <v>0</v>
      </c>
      <c r="M573" s="441">
        <f>IF(AND(L573&gt;O573,O573&gt;0),MinPoints,IF(L573&lt;N573,100,+INT((O573-$L573)/P573)+MinPoints))</f>
        <v>100</v>
      </c>
      <c r="N573" s="440">
        <f t="shared" si="7"/>
        <v>7</v>
      </c>
      <c r="O573" s="440">
        <f t="shared" si="8"/>
        <v>16</v>
      </c>
      <c r="P573" s="440">
        <f t="shared" si="9"/>
        <v>0.1</v>
      </c>
      <c r="Q573">
        <f t="array" ref="Q573">IF(I573&gt;0,INDEX(DB,I573,9),EventIndex)</f>
        <v>6</v>
      </c>
      <c r="S573" s="442">
        <f t="array" ref="S573">INDEX(MINVALUES,$Q573,$K$1)</f>
        <v>16</v>
      </c>
      <c r="T573">
        <f t="array" ref="T573">INDEX(INCVALUES,$Q573,$K$1)</f>
        <v>0.1</v>
      </c>
      <c r="V573">
        <f t="array" ref="V573">+J573+(4*(INDEX(MatchScoreTable,$Q573,20)-1))</f>
        <v>4</v>
      </c>
      <c r="W573">
        <f t="array" ref="W573">INDEX(INC_MINVALUES,$V573,$K$1)</f>
        <v>34</v>
      </c>
      <c r="X573" s="212">
        <f t="array" ref="X573">INDEX(INC_INCVALUES,$V573,$K$1)</f>
        <v>0.3</v>
      </c>
    </row>
    <row r="574" ht="15.75" customHeight="1">
      <c r="A574" s="435"/>
      <c r="B574" s="436"/>
      <c r="C574" s="95" t="str">
        <f t="array" ref="C574">IF(I574&gt;0,INDEX(DB,I574,8),"")</f>
        <v/>
      </c>
      <c r="D574" s="437">
        <f t="shared" si="1"/>
        <v>0</v>
      </c>
      <c r="F574" s="438">
        <f t="shared" si="2"/>
        <v>0</v>
      </c>
      <c r="G574" t="str">
        <f t="shared" si="3"/>
        <v/>
      </c>
      <c r="H574" t="b">
        <f t="shared" si="4"/>
        <v>0</v>
      </c>
      <c r="I574" s="439">
        <f>IF(OR(ISBLANK(A574),ISNA(MATCH(A574&amp;"",AthleteNumbers,0))),0,MATCH(A574&amp;"",AthleteNumbers,0))</f>
        <v>0</v>
      </c>
      <c r="J574" s="209">
        <f t="array" ref="J574">IF(I574&gt;0,INDEX(DB,$I574,6),0)</f>
        <v>0</v>
      </c>
      <c r="K574" s="440">
        <f t="shared" si="5"/>
        <v>0</v>
      </c>
      <c r="L574" s="440">
        <f t="shared" si="6"/>
        <v>0</v>
      </c>
      <c r="M574" s="441">
        <f>IF(AND(L574&gt;O574,O574&gt;0),MinPoints,IF(L574&lt;N574,100,+INT((O574-$L574)/P574)+MinPoints))</f>
        <v>100</v>
      </c>
      <c r="N574" s="440">
        <f t="shared" si="7"/>
        <v>7</v>
      </c>
      <c r="O574" s="440">
        <f t="shared" si="8"/>
        <v>16</v>
      </c>
      <c r="P574" s="440">
        <f t="shared" si="9"/>
        <v>0.1</v>
      </c>
      <c r="Q574">
        <f t="array" ref="Q574">IF(I574&gt;0,INDEX(DB,I574,9),EventIndex)</f>
        <v>6</v>
      </c>
      <c r="S574" s="442">
        <f t="array" ref="S574">INDEX(MINVALUES,$Q574,$K$1)</f>
        <v>16</v>
      </c>
      <c r="T574">
        <f t="array" ref="T574">INDEX(INCVALUES,$Q574,$K$1)</f>
        <v>0.1</v>
      </c>
      <c r="V574">
        <f t="array" ref="V574">+J574+(4*(INDEX(MatchScoreTable,$Q574,20)-1))</f>
        <v>4</v>
      </c>
      <c r="W574">
        <f t="array" ref="W574">INDEX(INC_MINVALUES,$V574,$K$1)</f>
        <v>34</v>
      </c>
      <c r="X574" s="212">
        <f t="array" ref="X574">INDEX(INC_INCVALUES,$V574,$K$1)</f>
        <v>0.3</v>
      </c>
    </row>
    <row r="575" ht="15.75" customHeight="1">
      <c r="A575" s="435"/>
      <c r="B575" s="436"/>
      <c r="C575" s="95" t="str">
        <f t="array" ref="C575">IF(I575&gt;0,INDEX(DB,I575,8),"")</f>
        <v/>
      </c>
      <c r="D575" s="437">
        <f t="shared" si="1"/>
        <v>0</v>
      </c>
      <c r="F575" s="438">
        <f t="shared" si="2"/>
        <v>0</v>
      </c>
      <c r="G575" t="str">
        <f t="shared" si="3"/>
        <v/>
      </c>
      <c r="H575" t="b">
        <f t="shared" si="4"/>
        <v>0</v>
      </c>
      <c r="I575" s="439">
        <f>IF(OR(ISBLANK(A575),ISNA(MATCH(A575&amp;"",AthleteNumbers,0))),0,MATCH(A575&amp;"",AthleteNumbers,0))</f>
        <v>0</v>
      </c>
      <c r="J575" s="209">
        <f t="array" ref="J575">IF(I575&gt;0,INDEX(DB,$I575,6),0)</f>
        <v>0</v>
      </c>
      <c r="K575" s="440">
        <f t="shared" si="5"/>
        <v>0</v>
      </c>
      <c r="L575" s="440">
        <f t="shared" si="6"/>
        <v>0</v>
      </c>
      <c r="M575" s="441">
        <f>IF(AND(L575&gt;O575,O575&gt;0),MinPoints,IF(L575&lt;N575,100,+INT((O575-$L575)/P575)+MinPoints))</f>
        <v>100</v>
      </c>
      <c r="N575" s="440">
        <f t="shared" si="7"/>
        <v>7</v>
      </c>
      <c r="O575" s="440">
        <f t="shared" si="8"/>
        <v>16</v>
      </c>
      <c r="P575" s="440">
        <f t="shared" si="9"/>
        <v>0.1</v>
      </c>
      <c r="Q575">
        <f t="array" ref="Q575">IF(I575&gt;0,INDEX(DB,I575,9),EventIndex)</f>
        <v>6</v>
      </c>
      <c r="S575" s="442">
        <f t="array" ref="S575">INDEX(MINVALUES,$Q575,$K$1)</f>
        <v>16</v>
      </c>
      <c r="T575">
        <f t="array" ref="T575">INDEX(INCVALUES,$Q575,$K$1)</f>
        <v>0.1</v>
      </c>
      <c r="V575">
        <f t="array" ref="V575">+J575+(4*(INDEX(MatchScoreTable,$Q575,20)-1))</f>
        <v>4</v>
      </c>
      <c r="W575">
        <f t="array" ref="W575">INDEX(INC_MINVALUES,$V575,$K$1)</f>
        <v>34</v>
      </c>
      <c r="X575" s="212">
        <f t="array" ref="X575">INDEX(INC_INCVALUES,$V575,$K$1)</f>
        <v>0.3</v>
      </c>
    </row>
    <row r="576" ht="15.75" customHeight="1">
      <c r="A576" s="435"/>
      <c r="B576" s="436"/>
      <c r="C576" s="95" t="str">
        <f t="array" ref="C576">IF(I576&gt;0,INDEX(DB,I576,8),"")</f>
        <v/>
      </c>
      <c r="D576" s="437">
        <f t="shared" si="1"/>
        <v>0</v>
      </c>
      <c r="F576" s="438">
        <f t="shared" si="2"/>
        <v>0</v>
      </c>
      <c r="G576" t="str">
        <f t="shared" si="3"/>
        <v/>
      </c>
      <c r="H576" t="b">
        <f t="shared" si="4"/>
        <v>0</v>
      </c>
      <c r="I576" s="439">
        <f>IF(OR(ISBLANK(A576),ISNA(MATCH(A576&amp;"",AthleteNumbers,0))),0,MATCH(A576&amp;"",AthleteNumbers,0))</f>
        <v>0</v>
      </c>
      <c r="J576" s="209">
        <f t="array" ref="J576">IF(I576&gt;0,INDEX(DB,$I576,6),0)</f>
        <v>0</v>
      </c>
      <c r="K576" s="440">
        <f t="shared" si="5"/>
        <v>0</v>
      </c>
      <c r="L576" s="440">
        <f t="shared" si="6"/>
        <v>0</v>
      </c>
      <c r="M576" s="441">
        <f>IF(AND(L576&gt;O576,O576&gt;0),MinPoints,IF(L576&lt;N576,100,+INT((O576-$L576)/P576)+MinPoints))</f>
        <v>100</v>
      </c>
      <c r="N576" s="440">
        <f t="shared" si="7"/>
        <v>7</v>
      </c>
      <c r="O576" s="440">
        <f t="shared" si="8"/>
        <v>16</v>
      </c>
      <c r="P576" s="440">
        <f t="shared" si="9"/>
        <v>0.1</v>
      </c>
      <c r="Q576">
        <f t="array" ref="Q576">IF(I576&gt;0,INDEX(DB,I576,9),EventIndex)</f>
        <v>6</v>
      </c>
      <c r="S576" s="442">
        <f t="array" ref="S576">INDEX(MINVALUES,$Q576,$K$1)</f>
        <v>16</v>
      </c>
      <c r="T576">
        <f t="array" ref="T576">INDEX(INCVALUES,$Q576,$K$1)</f>
        <v>0.1</v>
      </c>
      <c r="V576">
        <f t="array" ref="V576">+J576+(4*(INDEX(MatchScoreTable,$Q576,20)-1))</f>
        <v>4</v>
      </c>
      <c r="W576">
        <f t="array" ref="W576">INDEX(INC_MINVALUES,$V576,$K$1)</f>
        <v>34</v>
      </c>
      <c r="X576" s="212">
        <f t="array" ref="X576">INDEX(INC_INCVALUES,$V576,$K$1)</f>
        <v>0.3</v>
      </c>
    </row>
    <row r="577" ht="15.75" customHeight="1">
      <c r="A577" s="435"/>
      <c r="B577" s="436"/>
      <c r="C577" s="95" t="str">
        <f t="array" ref="C577">IF(I577&gt;0,INDEX(DB,I577,8),"")</f>
        <v/>
      </c>
      <c r="D577" s="437">
        <f t="shared" si="1"/>
        <v>0</v>
      </c>
      <c r="F577" s="438">
        <f t="shared" si="2"/>
        <v>0</v>
      </c>
      <c r="G577" t="str">
        <f t="shared" si="3"/>
        <v/>
      </c>
      <c r="H577" t="b">
        <f t="shared" si="4"/>
        <v>0</v>
      </c>
      <c r="I577" s="439">
        <f>IF(OR(ISBLANK(A577),ISNA(MATCH(A577&amp;"",AthleteNumbers,0))),0,MATCH(A577&amp;"",AthleteNumbers,0))</f>
        <v>0</v>
      </c>
      <c r="J577" s="209">
        <f t="array" ref="J577">IF(I577&gt;0,INDEX(DB,$I577,6),0)</f>
        <v>0</v>
      </c>
      <c r="K577" s="440">
        <f t="shared" si="5"/>
        <v>0</v>
      </c>
      <c r="L577" s="440">
        <f t="shared" si="6"/>
        <v>0</v>
      </c>
      <c r="M577" s="441">
        <f>IF(AND(L577&gt;O577,O577&gt;0),MinPoints,IF(L577&lt;N577,100,+INT((O577-$L577)/P577)+MinPoints))</f>
        <v>100</v>
      </c>
      <c r="N577" s="440">
        <f t="shared" si="7"/>
        <v>7</v>
      </c>
      <c r="O577" s="440">
        <f t="shared" si="8"/>
        <v>16</v>
      </c>
      <c r="P577" s="440">
        <f t="shared" si="9"/>
        <v>0.1</v>
      </c>
      <c r="Q577">
        <f t="array" ref="Q577">IF(I577&gt;0,INDEX(DB,I577,9),EventIndex)</f>
        <v>6</v>
      </c>
      <c r="S577" s="442">
        <f t="array" ref="S577">INDEX(MINVALUES,$Q577,$K$1)</f>
        <v>16</v>
      </c>
      <c r="T577">
        <f t="array" ref="T577">INDEX(INCVALUES,$Q577,$K$1)</f>
        <v>0.1</v>
      </c>
      <c r="V577">
        <f t="array" ref="V577">+J577+(4*(INDEX(MatchScoreTable,$Q577,20)-1))</f>
        <v>4</v>
      </c>
      <c r="W577">
        <f t="array" ref="W577">INDEX(INC_MINVALUES,$V577,$K$1)</f>
        <v>34</v>
      </c>
      <c r="X577" s="212">
        <f t="array" ref="X577">INDEX(INC_INCVALUES,$V577,$K$1)</f>
        <v>0.3</v>
      </c>
    </row>
    <row r="578" ht="15.75" customHeight="1">
      <c r="A578" s="435"/>
      <c r="B578" s="436"/>
      <c r="C578" s="95" t="str">
        <f t="array" ref="C578">IF(I578&gt;0,INDEX(DB,I578,8),"")</f>
        <v/>
      </c>
      <c r="D578" s="437">
        <f t="shared" si="1"/>
        <v>0</v>
      </c>
      <c r="F578" s="438">
        <f t="shared" si="2"/>
        <v>0</v>
      </c>
      <c r="G578" t="str">
        <f t="shared" si="3"/>
        <v/>
      </c>
      <c r="H578" t="b">
        <f t="shared" si="4"/>
        <v>0</v>
      </c>
      <c r="I578" s="439">
        <f>IF(OR(ISBLANK(A578),ISNA(MATCH(A578&amp;"",AthleteNumbers,0))),0,MATCH(A578&amp;"",AthleteNumbers,0))</f>
        <v>0</v>
      </c>
      <c r="J578" s="209">
        <f t="array" ref="J578">IF(I578&gt;0,INDEX(DB,$I578,6),0)</f>
        <v>0</v>
      </c>
      <c r="K578" s="440">
        <f t="shared" si="5"/>
        <v>0</v>
      </c>
      <c r="L578" s="440">
        <f t="shared" si="6"/>
        <v>0</v>
      </c>
      <c r="M578" s="441">
        <f>IF(AND(L578&gt;O578,O578&gt;0),MinPoints,IF(L578&lt;N578,100,+INT((O578-$L578)/P578)+MinPoints))</f>
        <v>100</v>
      </c>
      <c r="N578" s="440">
        <f t="shared" si="7"/>
        <v>7</v>
      </c>
      <c r="O578" s="440">
        <f t="shared" si="8"/>
        <v>16</v>
      </c>
      <c r="P578" s="440">
        <f t="shared" si="9"/>
        <v>0.1</v>
      </c>
      <c r="Q578">
        <f t="array" ref="Q578">IF(I578&gt;0,INDEX(DB,I578,9),EventIndex)</f>
        <v>6</v>
      </c>
      <c r="S578" s="442">
        <f t="array" ref="S578">INDEX(MINVALUES,$Q578,$K$1)</f>
        <v>16</v>
      </c>
      <c r="T578">
        <f t="array" ref="T578">INDEX(INCVALUES,$Q578,$K$1)</f>
        <v>0.1</v>
      </c>
      <c r="V578">
        <f t="array" ref="V578">+J578+(4*(INDEX(MatchScoreTable,$Q578,20)-1))</f>
        <v>4</v>
      </c>
      <c r="W578">
        <f t="array" ref="W578">INDEX(INC_MINVALUES,$V578,$K$1)</f>
        <v>34</v>
      </c>
      <c r="X578" s="212">
        <f t="array" ref="X578">INDEX(INC_INCVALUES,$V578,$K$1)</f>
        <v>0.3</v>
      </c>
    </row>
    <row r="579" ht="15.75" customHeight="1">
      <c r="A579" s="435"/>
      <c r="B579" s="436"/>
      <c r="C579" s="95" t="str">
        <f t="array" ref="C579">IF(I579&gt;0,INDEX(DB,I579,8),"")</f>
        <v/>
      </c>
      <c r="D579" s="437">
        <f t="shared" si="1"/>
        <v>0</v>
      </c>
      <c r="F579" s="438">
        <f t="shared" si="2"/>
        <v>0</v>
      </c>
      <c r="G579" t="str">
        <f t="shared" si="3"/>
        <v/>
      </c>
      <c r="H579" t="b">
        <f t="shared" si="4"/>
        <v>0</v>
      </c>
      <c r="I579" s="439">
        <f>IF(OR(ISBLANK(A579),ISNA(MATCH(A579&amp;"",AthleteNumbers,0))),0,MATCH(A579&amp;"",AthleteNumbers,0))</f>
        <v>0</v>
      </c>
      <c r="J579" s="209">
        <f t="array" ref="J579">IF(I579&gt;0,INDEX(DB,$I579,6),0)</f>
        <v>0</v>
      </c>
      <c r="K579" s="440">
        <f t="shared" si="5"/>
        <v>0</v>
      </c>
      <c r="L579" s="440">
        <f t="shared" si="6"/>
        <v>0</v>
      </c>
      <c r="M579" s="441">
        <f>IF(AND(L579&gt;O579,O579&gt;0),MinPoints,IF(L579&lt;N579,100,+INT((O579-$L579)/P579)+MinPoints))</f>
        <v>100</v>
      </c>
      <c r="N579" s="440">
        <f t="shared" si="7"/>
        <v>7</v>
      </c>
      <c r="O579" s="440">
        <f t="shared" si="8"/>
        <v>16</v>
      </c>
      <c r="P579" s="440">
        <f t="shared" si="9"/>
        <v>0.1</v>
      </c>
      <c r="Q579">
        <f t="array" ref="Q579">IF(I579&gt;0,INDEX(DB,I579,9),EventIndex)</f>
        <v>6</v>
      </c>
      <c r="S579" s="442">
        <f t="array" ref="S579">INDEX(MINVALUES,$Q579,$K$1)</f>
        <v>16</v>
      </c>
      <c r="T579">
        <f t="array" ref="T579">INDEX(INCVALUES,$Q579,$K$1)</f>
        <v>0.1</v>
      </c>
      <c r="V579">
        <f t="array" ref="V579">+J579+(4*(INDEX(MatchScoreTable,$Q579,20)-1))</f>
        <v>4</v>
      </c>
      <c r="W579">
        <f t="array" ref="W579">INDEX(INC_MINVALUES,$V579,$K$1)</f>
        <v>34</v>
      </c>
      <c r="X579" s="212">
        <f t="array" ref="X579">INDEX(INC_INCVALUES,$V579,$K$1)</f>
        <v>0.3</v>
      </c>
    </row>
    <row r="580" ht="15.75" customHeight="1">
      <c r="A580" s="435"/>
      <c r="B580" s="436"/>
      <c r="C580" s="95" t="str">
        <f t="array" ref="C580">IF(I580&gt;0,INDEX(DB,I580,8),"")</f>
        <v/>
      </c>
      <c r="D580" s="437">
        <f t="shared" si="1"/>
        <v>0</v>
      </c>
      <c r="F580" s="438">
        <f t="shared" si="2"/>
        <v>0</v>
      </c>
      <c r="G580" t="str">
        <f t="shared" si="3"/>
        <v/>
      </c>
      <c r="H580" t="b">
        <f t="shared" si="4"/>
        <v>0</v>
      </c>
      <c r="I580" s="439">
        <f>IF(OR(ISBLANK(A580),ISNA(MATCH(A580&amp;"",AthleteNumbers,0))),0,MATCH(A580&amp;"",AthleteNumbers,0))</f>
        <v>0</v>
      </c>
      <c r="J580" s="209">
        <f t="array" ref="J580">IF(I580&gt;0,INDEX(DB,$I580,6),0)</f>
        <v>0</v>
      </c>
      <c r="K580" s="440">
        <f t="shared" si="5"/>
        <v>0</v>
      </c>
      <c r="L580" s="440">
        <f t="shared" si="6"/>
        <v>0</v>
      </c>
      <c r="M580" s="441">
        <f>IF(AND(L580&gt;O580,O580&gt;0),MinPoints,IF(L580&lt;N580,100,+INT((O580-$L580)/P580)+MinPoints))</f>
        <v>100</v>
      </c>
      <c r="N580" s="440">
        <f t="shared" si="7"/>
        <v>7</v>
      </c>
      <c r="O580" s="440">
        <f t="shared" si="8"/>
        <v>16</v>
      </c>
      <c r="P580" s="440">
        <f t="shared" si="9"/>
        <v>0.1</v>
      </c>
      <c r="Q580">
        <f t="array" ref="Q580">IF(I580&gt;0,INDEX(DB,I580,9),EventIndex)</f>
        <v>6</v>
      </c>
      <c r="S580" s="442">
        <f t="array" ref="S580">INDEX(MINVALUES,$Q580,$K$1)</f>
        <v>16</v>
      </c>
      <c r="T580">
        <f t="array" ref="T580">INDEX(INCVALUES,$Q580,$K$1)</f>
        <v>0.1</v>
      </c>
      <c r="V580">
        <f t="array" ref="V580">+J580+(4*(INDEX(MatchScoreTable,$Q580,20)-1))</f>
        <v>4</v>
      </c>
      <c r="W580">
        <f t="array" ref="W580">INDEX(INC_MINVALUES,$V580,$K$1)</f>
        <v>34</v>
      </c>
      <c r="X580" s="212">
        <f t="array" ref="X580">INDEX(INC_INCVALUES,$V580,$K$1)</f>
        <v>0.3</v>
      </c>
    </row>
    <row r="581" ht="15.75" customHeight="1">
      <c r="A581" s="435"/>
      <c r="B581" s="436"/>
      <c r="C581" s="95" t="str">
        <f t="array" ref="C581">IF(I581&gt;0,INDEX(DB,I581,8),"")</f>
        <v/>
      </c>
      <c r="D581" s="437">
        <f t="shared" si="1"/>
        <v>0</v>
      </c>
      <c r="F581" s="438">
        <f t="shared" si="2"/>
        <v>0</v>
      </c>
      <c r="G581" t="str">
        <f t="shared" si="3"/>
        <v/>
      </c>
      <c r="H581" t="b">
        <f t="shared" si="4"/>
        <v>0</v>
      </c>
      <c r="I581" s="439">
        <f>IF(OR(ISBLANK(A581),ISNA(MATCH(A581&amp;"",AthleteNumbers,0))),0,MATCH(A581&amp;"",AthleteNumbers,0))</f>
        <v>0</v>
      </c>
      <c r="J581" s="209">
        <f t="array" ref="J581">IF(I581&gt;0,INDEX(DB,$I581,6),0)</f>
        <v>0</v>
      </c>
      <c r="K581" s="440">
        <f t="shared" si="5"/>
        <v>0</v>
      </c>
      <c r="L581" s="440">
        <f t="shared" si="6"/>
        <v>0</v>
      </c>
      <c r="M581" s="441">
        <f>IF(AND(L581&gt;O581,O581&gt;0),MinPoints,IF(L581&lt;N581,100,+INT((O581-$L581)/P581)+MinPoints))</f>
        <v>100</v>
      </c>
      <c r="N581" s="440">
        <f t="shared" si="7"/>
        <v>7</v>
      </c>
      <c r="O581" s="440">
        <f t="shared" si="8"/>
        <v>16</v>
      </c>
      <c r="P581" s="440">
        <f t="shared" si="9"/>
        <v>0.1</v>
      </c>
      <c r="Q581">
        <f t="array" ref="Q581">IF(I581&gt;0,INDEX(DB,I581,9),EventIndex)</f>
        <v>6</v>
      </c>
      <c r="S581" s="442">
        <f t="array" ref="S581">INDEX(MINVALUES,$Q581,$K$1)</f>
        <v>16</v>
      </c>
      <c r="T581">
        <f t="array" ref="T581">INDEX(INCVALUES,$Q581,$K$1)</f>
        <v>0.1</v>
      </c>
      <c r="V581">
        <f t="array" ref="V581">+J581+(4*(INDEX(MatchScoreTable,$Q581,20)-1))</f>
        <v>4</v>
      </c>
      <c r="W581">
        <f t="array" ref="W581">INDEX(INC_MINVALUES,$V581,$K$1)</f>
        <v>34</v>
      </c>
      <c r="X581" s="212">
        <f t="array" ref="X581">INDEX(INC_INCVALUES,$V581,$K$1)</f>
        <v>0.3</v>
      </c>
    </row>
    <row r="582" ht="15.75" customHeight="1">
      <c r="A582" s="435"/>
      <c r="B582" s="436"/>
      <c r="C582" s="95" t="str">
        <f t="array" ref="C582">IF(I582&gt;0,INDEX(DB,I582,8),"")</f>
        <v/>
      </c>
      <c r="D582" s="437">
        <f t="shared" si="1"/>
        <v>0</v>
      </c>
      <c r="F582" s="438">
        <f t="shared" si="2"/>
        <v>0</v>
      </c>
      <c r="G582" t="str">
        <f t="shared" si="3"/>
        <v/>
      </c>
      <c r="H582" t="b">
        <f t="shared" si="4"/>
        <v>0</v>
      </c>
      <c r="I582" s="439">
        <f>IF(OR(ISBLANK(A582),ISNA(MATCH(A582&amp;"",AthleteNumbers,0))),0,MATCH(A582&amp;"",AthleteNumbers,0))</f>
        <v>0</v>
      </c>
      <c r="J582" s="209">
        <f t="array" ref="J582">IF(I582&gt;0,INDEX(DB,$I582,6),0)</f>
        <v>0</v>
      </c>
      <c r="K582" s="440">
        <f t="shared" si="5"/>
        <v>0</v>
      </c>
      <c r="L582" s="440">
        <f t="shared" si="6"/>
        <v>0</v>
      </c>
      <c r="M582" s="441">
        <f>IF(AND(L582&gt;O582,O582&gt;0),MinPoints,IF(L582&lt;N582,100,+INT((O582-$L582)/P582)+MinPoints))</f>
        <v>100</v>
      </c>
      <c r="N582" s="440">
        <f t="shared" si="7"/>
        <v>7</v>
      </c>
      <c r="O582" s="440">
        <f t="shared" si="8"/>
        <v>16</v>
      </c>
      <c r="P582" s="440">
        <f t="shared" si="9"/>
        <v>0.1</v>
      </c>
      <c r="Q582">
        <f t="array" ref="Q582">IF(I582&gt;0,INDEX(DB,I582,9),EventIndex)</f>
        <v>6</v>
      </c>
      <c r="S582" s="442">
        <f t="array" ref="S582">INDEX(MINVALUES,$Q582,$K$1)</f>
        <v>16</v>
      </c>
      <c r="T582">
        <f t="array" ref="T582">INDEX(INCVALUES,$Q582,$K$1)</f>
        <v>0.1</v>
      </c>
      <c r="V582">
        <f t="array" ref="V582">+J582+(4*(INDEX(MatchScoreTable,$Q582,20)-1))</f>
        <v>4</v>
      </c>
      <c r="W582">
        <f t="array" ref="W582">INDEX(INC_MINVALUES,$V582,$K$1)</f>
        <v>34</v>
      </c>
      <c r="X582" s="212">
        <f t="array" ref="X582">INDEX(INC_INCVALUES,$V582,$K$1)</f>
        <v>0.3</v>
      </c>
    </row>
    <row r="583" ht="15.75" customHeight="1">
      <c r="A583" s="435"/>
      <c r="B583" s="436"/>
      <c r="C583" s="95" t="str">
        <f t="array" ref="C583">IF(I583&gt;0,INDEX(DB,I583,8),"")</f>
        <v/>
      </c>
      <c r="D583" s="437">
        <f t="shared" si="1"/>
        <v>0</v>
      </c>
      <c r="F583" s="438">
        <f t="shared" si="2"/>
        <v>0</v>
      </c>
      <c r="G583" t="str">
        <f t="shared" si="3"/>
        <v/>
      </c>
      <c r="H583" t="b">
        <f t="shared" si="4"/>
        <v>0</v>
      </c>
      <c r="I583" s="439">
        <f>IF(OR(ISBLANK(A583),ISNA(MATCH(A583&amp;"",AthleteNumbers,0))),0,MATCH(A583&amp;"",AthleteNumbers,0))</f>
        <v>0</v>
      </c>
      <c r="J583" s="209">
        <f t="array" ref="J583">IF(I583&gt;0,INDEX(DB,$I583,6),0)</f>
        <v>0</v>
      </c>
      <c r="K583" s="440">
        <f t="shared" si="5"/>
        <v>0</v>
      </c>
      <c r="L583" s="440">
        <f t="shared" si="6"/>
        <v>0</v>
      </c>
      <c r="M583" s="441">
        <f>IF(AND(L583&gt;O583,O583&gt;0),MinPoints,IF(L583&lt;N583,100,+INT((O583-$L583)/P583)+MinPoints))</f>
        <v>100</v>
      </c>
      <c r="N583" s="440">
        <f t="shared" si="7"/>
        <v>7</v>
      </c>
      <c r="O583" s="440">
        <f t="shared" si="8"/>
        <v>16</v>
      </c>
      <c r="P583" s="440">
        <f t="shared" si="9"/>
        <v>0.1</v>
      </c>
      <c r="Q583">
        <f t="array" ref="Q583">IF(I583&gt;0,INDEX(DB,I583,9),EventIndex)</f>
        <v>6</v>
      </c>
      <c r="S583" s="442">
        <f t="array" ref="S583">INDEX(MINVALUES,$Q583,$K$1)</f>
        <v>16</v>
      </c>
      <c r="T583">
        <f t="array" ref="T583">INDEX(INCVALUES,$Q583,$K$1)</f>
        <v>0.1</v>
      </c>
      <c r="V583">
        <f t="array" ref="V583">+J583+(4*(INDEX(MatchScoreTable,$Q583,20)-1))</f>
        <v>4</v>
      </c>
      <c r="W583">
        <f t="array" ref="W583">INDEX(INC_MINVALUES,$V583,$K$1)</f>
        <v>34</v>
      </c>
      <c r="X583" s="212">
        <f t="array" ref="X583">INDEX(INC_INCVALUES,$V583,$K$1)</f>
        <v>0.3</v>
      </c>
    </row>
    <row r="584" ht="15.75" customHeight="1">
      <c r="A584" s="435"/>
      <c r="B584" s="436"/>
      <c r="C584" s="95" t="str">
        <f t="array" ref="C584">IF(I584&gt;0,INDEX(DB,I584,8),"")</f>
        <v/>
      </c>
      <c r="D584" s="437">
        <f t="shared" si="1"/>
        <v>0</v>
      </c>
      <c r="F584" s="438">
        <f t="shared" si="2"/>
        <v>0</v>
      </c>
      <c r="G584" t="str">
        <f t="shared" si="3"/>
        <v/>
      </c>
      <c r="H584" t="b">
        <f t="shared" si="4"/>
        <v>0</v>
      </c>
      <c r="I584" s="439">
        <f>IF(OR(ISBLANK(A584),ISNA(MATCH(A584&amp;"",AthleteNumbers,0))),0,MATCH(A584&amp;"",AthleteNumbers,0))</f>
        <v>0</v>
      </c>
      <c r="J584" s="209">
        <f t="array" ref="J584">IF(I584&gt;0,INDEX(DB,$I584,6),0)</f>
        <v>0</v>
      </c>
      <c r="K584" s="440">
        <f t="shared" si="5"/>
        <v>0</v>
      </c>
      <c r="L584" s="440">
        <f t="shared" si="6"/>
        <v>0</v>
      </c>
      <c r="M584" s="441">
        <f>IF(AND(L584&gt;O584,O584&gt;0),MinPoints,IF(L584&lt;N584,100,+INT((O584-$L584)/P584)+MinPoints))</f>
        <v>100</v>
      </c>
      <c r="N584" s="440">
        <f t="shared" si="7"/>
        <v>7</v>
      </c>
      <c r="O584" s="440">
        <f t="shared" si="8"/>
        <v>16</v>
      </c>
      <c r="P584" s="440">
        <f t="shared" si="9"/>
        <v>0.1</v>
      </c>
      <c r="Q584">
        <f t="array" ref="Q584">IF(I584&gt;0,INDEX(DB,I584,9),EventIndex)</f>
        <v>6</v>
      </c>
      <c r="S584" s="442">
        <f t="array" ref="S584">INDEX(MINVALUES,$Q584,$K$1)</f>
        <v>16</v>
      </c>
      <c r="T584">
        <f t="array" ref="T584">INDEX(INCVALUES,$Q584,$K$1)</f>
        <v>0.1</v>
      </c>
      <c r="V584">
        <f t="array" ref="V584">+J584+(4*(INDEX(MatchScoreTable,$Q584,20)-1))</f>
        <v>4</v>
      </c>
      <c r="W584">
        <f t="array" ref="W584">INDEX(INC_MINVALUES,$V584,$K$1)</f>
        <v>34</v>
      </c>
      <c r="X584" s="212">
        <f t="array" ref="X584">INDEX(INC_INCVALUES,$V584,$K$1)</f>
        <v>0.3</v>
      </c>
    </row>
    <row r="585" ht="15.75" customHeight="1">
      <c r="A585" s="435"/>
      <c r="B585" s="436"/>
      <c r="C585" s="95" t="str">
        <f t="array" ref="C585">IF(I585&gt;0,INDEX(DB,I585,8),"")</f>
        <v/>
      </c>
      <c r="D585" s="437">
        <f t="shared" si="1"/>
        <v>0</v>
      </c>
      <c r="F585" s="438">
        <f t="shared" si="2"/>
        <v>0</v>
      </c>
      <c r="G585" t="str">
        <f t="shared" si="3"/>
        <v/>
      </c>
      <c r="H585" t="b">
        <f t="shared" si="4"/>
        <v>0</v>
      </c>
      <c r="I585" s="439">
        <f>IF(OR(ISBLANK(A585),ISNA(MATCH(A585&amp;"",AthleteNumbers,0))),0,MATCH(A585&amp;"",AthleteNumbers,0))</f>
        <v>0</v>
      </c>
      <c r="J585" s="209">
        <f t="array" ref="J585">IF(I585&gt;0,INDEX(DB,$I585,6),0)</f>
        <v>0</v>
      </c>
      <c r="K585" s="440">
        <f t="shared" si="5"/>
        <v>0</v>
      </c>
      <c r="L585" s="440">
        <f t="shared" si="6"/>
        <v>0</v>
      </c>
      <c r="M585" s="441">
        <f>IF(AND(L585&gt;O585,O585&gt;0),MinPoints,IF(L585&lt;N585,100,+INT((O585-$L585)/P585)+MinPoints))</f>
        <v>100</v>
      </c>
      <c r="N585" s="440">
        <f t="shared" si="7"/>
        <v>7</v>
      </c>
      <c r="O585" s="440">
        <f t="shared" si="8"/>
        <v>16</v>
      </c>
      <c r="P585" s="440">
        <f t="shared" si="9"/>
        <v>0.1</v>
      </c>
      <c r="Q585">
        <f t="array" ref="Q585">IF(I585&gt;0,INDEX(DB,I585,9),EventIndex)</f>
        <v>6</v>
      </c>
      <c r="S585" s="442">
        <f t="array" ref="S585">INDEX(MINVALUES,$Q585,$K$1)</f>
        <v>16</v>
      </c>
      <c r="T585">
        <f t="array" ref="T585">INDEX(INCVALUES,$Q585,$K$1)</f>
        <v>0.1</v>
      </c>
      <c r="V585">
        <f t="array" ref="V585">+J585+(4*(INDEX(MatchScoreTable,$Q585,20)-1))</f>
        <v>4</v>
      </c>
      <c r="W585">
        <f t="array" ref="W585">INDEX(INC_MINVALUES,$V585,$K$1)</f>
        <v>34</v>
      </c>
      <c r="X585" s="212">
        <f t="array" ref="X585">INDEX(INC_INCVALUES,$V585,$K$1)</f>
        <v>0.3</v>
      </c>
    </row>
    <row r="586" ht="15.75" customHeight="1">
      <c r="A586" s="435"/>
      <c r="B586" s="436"/>
      <c r="C586" s="95" t="str">
        <f t="array" ref="C586">IF(I586&gt;0,INDEX(DB,I586,8),"")</f>
        <v/>
      </c>
      <c r="D586" s="437">
        <f t="shared" si="1"/>
        <v>0</v>
      </c>
      <c r="F586" s="438">
        <f t="shared" si="2"/>
        <v>0</v>
      </c>
      <c r="G586" t="str">
        <f t="shared" si="3"/>
        <v/>
      </c>
      <c r="H586" t="b">
        <f t="shared" si="4"/>
        <v>0</v>
      </c>
      <c r="I586" s="439">
        <f>IF(OR(ISBLANK(A586),ISNA(MATCH(A586&amp;"",AthleteNumbers,0))),0,MATCH(A586&amp;"",AthleteNumbers,0))</f>
        <v>0</v>
      </c>
      <c r="J586" s="209">
        <f t="array" ref="J586">IF(I586&gt;0,INDEX(DB,$I586,6),0)</f>
        <v>0</v>
      </c>
      <c r="K586" s="440">
        <f t="shared" si="5"/>
        <v>0</v>
      </c>
      <c r="L586" s="440">
        <f t="shared" si="6"/>
        <v>0</v>
      </c>
      <c r="M586" s="441">
        <f>IF(AND(L586&gt;O586,O586&gt;0),MinPoints,IF(L586&lt;N586,100,+INT((O586-$L586)/P586)+MinPoints))</f>
        <v>100</v>
      </c>
      <c r="N586" s="440">
        <f t="shared" si="7"/>
        <v>7</v>
      </c>
      <c r="O586" s="440">
        <f t="shared" si="8"/>
        <v>16</v>
      </c>
      <c r="P586" s="440">
        <f t="shared" si="9"/>
        <v>0.1</v>
      </c>
      <c r="Q586">
        <f t="array" ref="Q586">IF(I586&gt;0,INDEX(DB,I586,9),EventIndex)</f>
        <v>6</v>
      </c>
      <c r="S586" s="442">
        <f t="array" ref="S586">INDEX(MINVALUES,$Q586,$K$1)</f>
        <v>16</v>
      </c>
      <c r="T586">
        <f t="array" ref="T586">INDEX(INCVALUES,$Q586,$K$1)</f>
        <v>0.1</v>
      </c>
      <c r="V586">
        <f t="array" ref="V586">+J586+(4*(INDEX(MatchScoreTable,$Q586,20)-1))</f>
        <v>4</v>
      </c>
      <c r="W586">
        <f t="array" ref="W586">INDEX(INC_MINVALUES,$V586,$K$1)</f>
        <v>34</v>
      </c>
      <c r="X586" s="212">
        <f t="array" ref="X586">INDEX(INC_INCVALUES,$V586,$K$1)</f>
        <v>0.3</v>
      </c>
    </row>
    <row r="587" ht="15.75" customHeight="1">
      <c r="A587" s="435"/>
      <c r="B587" s="436"/>
      <c r="C587" s="95" t="str">
        <f t="array" ref="C587">IF(I587&gt;0,INDEX(DB,I587,8),"")</f>
        <v/>
      </c>
      <c r="D587" s="437">
        <f t="shared" si="1"/>
        <v>0</v>
      </c>
      <c r="F587" s="438">
        <f t="shared" si="2"/>
        <v>0</v>
      </c>
      <c r="G587" t="str">
        <f t="shared" si="3"/>
        <v/>
      </c>
      <c r="H587" t="b">
        <f t="shared" si="4"/>
        <v>0</v>
      </c>
      <c r="I587" s="439">
        <f>IF(OR(ISBLANK(A587),ISNA(MATCH(A587&amp;"",AthleteNumbers,0))),0,MATCH(A587&amp;"",AthleteNumbers,0))</f>
        <v>0</v>
      </c>
      <c r="J587" s="209">
        <f t="array" ref="J587">IF(I587&gt;0,INDEX(DB,$I587,6),0)</f>
        <v>0</v>
      </c>
      <c r="K587" s="440">
        <f t="shared" si="5"/>
        <v>0</v>
      </c>
      <c r="L587" s="440">
        <f t="shared" si="6"/>
        <v>0</v>
      </c>
      <c r="M587" s="441">
        <f>IF(AND(L587&gt;O587,O587&gt;0),MinPoints,IF(L587&lt;N587,100,+INT((O587-$L587)/P587)+MinPoints))</f>
        <v>100</v>
      </c>
      <c r="N587" s="440">
        <f t="shared" si="7"/>
        <v>7</v>
      </c>
      <c r="O587" s="440">
        <f t="shared" si="8"/>
        <v>16</v>
      </c>
      <c r="P587" s="440">
        <f t="shared" si="9"/>
        <v>0.1</v>
      </c>
      <c r="Q587">
        <f t="array" ref="Q587">IF(I587&gt;0,INDEX(DB,I587,9),EventIndex)</f>
        <v>6</v>
      </c>
      <c r="S587" s="442">
        <f t="array" ref="S587">INDEX(MINVALUES,$Q587,$K$1)</f>
        <v>16</v>
      </c>
      <c r="T587">
        <f t="array" ref="T587">INDEX(INCVALUES,$Q587,$K$1)</f>
        <v>0.1</v>
      </c>
      <c r="V587">
        <f t="array" ref="V587">+J587+(4*(INDEX(MatchScoreTable,$Q587,20)-1))</f>
        <v>4</v>
      </c>
      <c r="W587">
        <f t="array" ref="W587">INDEX(INC_MINVALUES,$V587,$K$1)</f>
        <v>34</v>
      </c>
      <c r="X587" s="212">
        <f t="array" ref="X587">INDEX(INC_INCVALUES,$V587,$K$1)</f>
        <v>0.3</v>
      </c>
    </row>
    <row r="588" ht="15.75" customHeight="1">
      <c r="A588" s="435"/>
      <c r="B588" s="436"/>
      <c r="C588" s="95" t="str">
        <f t="array" ref="C588">IF(I588&gt;0,INDEX(DB,I588,8),"")</f>
        <v/>
      </c>
      <c r="D588" s="437">
        <f t="shared" si="1"/>
        <v>0</v>
      </c>
      <c r="F588" s="438">
        <f t="shared" si="2"/>
        <v>0</v>
      </c>
      <c r="G588" t="str">
        <f t="shared" si="3"/>
        <v/>
      </c>
      <c r="H588" t="b">
        <f t="shared" si="4"/>
        <v>0</v>
      </c>
      <c r="I588" s="439">
        <f>IF(OR(ISBLANK(A588),ISNA(MATCH(A588&amp;"",AthleteNumbers,0))),0,MATCH(A588&amp;"",AthleteNumbers,0))</f>
        <v>0</v>
      </c>
      <c r="J588" s="209">
        <f t="array" ref="J588">IF(I588&gt;0,INDEX(DB,$I588,6),0)</f>
        <v>0</v>
      </c>
      <c r="K588" s="440">
        <f t="shared" si="5"/>
        <v>0</v>
      </c>
      <c r="L588" s="440">
        <f t="shared" si="6"/>
        <v>0</v>
      </c>
      <c r="M588" s="441">
        <f>IF(AND(L588&gt;O588,O588&gt;0),MinPoints,IF(L588&lt;N588,100,+INT((O588-$L588)/P588)+MinPoints))</f>
        <v>100</v>
      </c>
      <c r="N588" s="440">
        <f t="shared" si="7"/>
        <v>7</v>
      </c>
      <c r="O588" s="440">
        <f t="shared" si="8"/>
        <v>16</v>
      </c>
      <c r="P588" s="440">
        <f t="shared" si="9"/>
        <v>0.1</v>
      </c>
      <c r="Q588">
        <f t="array" ref="Q588">IF(I588&gt;0,INDEX(DB,I588,9),EventIndex)</f>
        <v>6</v>
      </c>
      <c r="S588" s="442">
        <f t="array" ref="S588">INDEX(MINVALUES,$Q588,$K$1)</f>
        <v>16</v>
      </c>
      <c r="T588">
        <f t="array" ref="T588">INDEX(INCVALUES,$Q588,$K$1)</f>
        <v>0.1</v>
      </c>
      <c r="V588">
        <f t="array" ref="V588">+J588+(4*(INDEX(MatchScoreTable,$Q588,20)-1))</f>
        <v>4</v>
      </c>
      <c r="W588">
        <f t="array" ref="W588">INDEX(INC_MINVALUES,$V588,$K$1)</f>
        <v>34</v>
      </c>
      <c r="X588" s="212">
        <f t="array" ref="X588">INDEX(INC_INCVALUES,$V588,$K$1)</f>
        <v>0.3</v>
      </c>
    </row>
    <row r="589" ht="15.75" customHeight="1">
      <c r="A589" s="435"/>
      <c r="B589" s="436"/>
      <c r="C589" s="95" t="str">
        <f t="array" ref="C589">IF(I589&gt;0,INDEX(DB,I589,8),"")</f>
        <v/>
      </c>
      <c r="D589" s="437">
        <f t="shared" si="1"/>
        <v>0</v>
      </c>
      <c r="F589" s="438">
        <f t="shared" si="2"/>
        <v>0</v>
      </c>
      <c r="G589" t="str">
        <f t="shared" si="3"/>
        <v/>
      </c>
      <c r="H589" t="b">
        <f t="shared" si="4"/>
        <v>0</v>
      </c>
      <c r="I589" s="439">
        <f>IF(OR(ISBLANK(A589),ISNA(MATCH(A589&amp;"",AthleteNumbers,0))),0,MATCH(A589&amp;"",AthleteNumbers,0))</f>
        <v>0</v>
      </c>
      <c r="J589" s="209">
        <f t="array" ref="J589">IF(I589&gt;0,INDEX(DB,$I589,6),0)</f>
        <v>0</v>
      </c>
      <c r="K589" s="440">
        <f t="shared" si="5"/>
        <v>0</v>
      </c>
      <c r="L589" s="440">
        <f t="shared" si="6"/>
        <v>0</v>
      </c>
      <c r="M589" s="441">
        <f>IF(AND(L589&gt;O589,O589&gt;0),MinPoints,IF(L589&lt;N589,100,+INT((O589-$L589)/P589)+MinPoints))</f>
        <v>100</v>
      </c>
      <c r="N589" s="440">
        <f t="shared" si="7"/>
        <v>7</v>
      </c>
      <c r="O589" s="440">
        <f t="shared" si="8"/>
        <v>16</v>
      </c>
      <c r="P589" s="440">
        <f t="shared" si="9"/>
        <v>0.1</v>
      </c>
      <c r="Q589">
        <f t="array" ref="Q589">IF(I589&gt;0,INDEX(DB,I589,9),EventIndex)</f>
        <v>6</v>
      </c>
      <c r="S589" s="442">
        <f t="array" ref="S589">INDEX(MINVALUES,$Q589,$K$1)</f>
        <v>16</v>
      </c>
      <c r="T589">
        <f t="array" ref="T589">INDEX(INCVALUES,$Q589,$K$1)</f>
        <v>0.1</v>
      </c>
      <c r="V589">
        <f t="array" ref="V589">+J589+(4*(INDEX(MatchScoreTable,$Q589,20)-1))</f>
        <v>4</v>
      </c>
      <c r="W589">
        <f t="array" ref="W589">INDEX(INC_MINVALUES,$V589,$K$1)</f>
        <v>34</v>
      </c>
      <c r="X589" s="212">
        <f t="array" ref="X589">INDEX(INC_INCVALUES,$V589,$K$1)</f>
        <v>0.3</v>
      </c>
    </row>
    <row r="590" ht="15.75" customHeight="1">
      <c r="A590" s="435"/>
      <c r="B590" s="436"/>
      <c r="C590" s="95" t="str">
        <f t="array" ref="C590">IF(I590&gt;0,INDEX(DB,I590,8),"")</f>
        <v/>
      </c>
      <c r="D590" s="437">
        <f t="shared" si="1"/>
        <v>0</v>
      </c>
      <c r="F590" s="438">
        <f t="shared" si="2"/>
        <v>0</v>
      </c>
      <c r="G590" t="str">
        <f t="shared" si="3"/>
        <v/>
      </c>
      <c r="H590" t="b">
        <f t="shared" si="4"/>
        <v>0</v>
      </c>
      <c r="I590" s="439">
        <f>IF(OR(ISBLANK(A590),ISNA(MATCH(A590&amp;"",AthleteNumbers,0))),0,MATCH(A590&amp;"",AthleteNumbers,0))</f>
        <v>0</v>
      </c>
      <c r="J590" s="209">
        <f t="array" ref="J590">IF(I590&gt;0,INDEX(DB,$I590,6),0)</f>
        <v>0</v>
      </c>
      <c r="K590" s="440">
        <f t="shared" si="5"/>
        <v>0</v>
      </c>
      <c r="L590" s="440">
        <f t="shared" si="6"/>
        <v>0</v>
      </c>
      <c r="M590" s="441">
        <f>IF(AND(L590&gt;O590,O590&gt;0),MinPoints,IF(L590&lt;N590,100,+INT((O590-$L590)/P590)+MinPoints))</f>
        <v>100</v>
      </c>
      <c r="N590" s="440">
        <f t="shared" si="7"/>
        <v>7</v>
      </c>
      <c r="O590" s="440">
        <f t="shared" si="8"/>
        <v>16</v>
      </c>
      <c r="P590" s="440">
        <f t="shared" si="9"/>
        <v>0.1</v>
      </c>
      <c r="Q590">
        <f t="array" ref="Q590">IF(I590&gt;0,INDEX(DB,I590,9),EventIndex)</f>
        <v>6</v>
      </c>
      <c r="S590" s="442">
        <f t="array" ref="S590">INDEX(MINVALUES,$Q590,$K$1)</f>
        <v>16</v>
      </c>
      <c r="T590">
        <f t="array" ref="T590">INDEX(INCVALUES,$Q590,$K$1)</f>
        <v>0.1</v>
      </c>
      <c r="V590">
        <f t="array" ref="V590">+J590+(4*(INDEX(MatchScoreTable,$Q590,20)-1))</f>
        <v>4</v>
      </c>
      <c r="W590">
        <f t="array" ref="W590">INDEX(INC_MINVALUES,$V590,$K$1)</f>
        <v>34</v>
      </c>
      <c r="X590" s="212">
        <f t="array" ref="X590">INDEX(INC_INCVALUES,$V590,$K$1)</f>
        <v>0.3</v>
      </c>
    </row>
    <row r="591" ht="15.75" customHeight="1">
      <c r="A591" s="435"/>
      <c r="B591" s="436"/>
      <c r="C591" s="95" t="str">
        <f t="array" ref="C591">IF(I591&gt;0,INDEX(DB,I591,8),"")</f>
        <v/>
      </c>
      <c r="D591" s="437">
        <f t="shared" si="1"/>
        <v>0</v>
      </c>
      <c r="F591" s="438">
        <f t="shared" si="2"/>
        <v>0</v>
      </c>
      <c r="G591" t="str">
        <f t="shared" si="3"/>
        <v/>
      </c>
      <c r="H591" t="b">
        <f t="shared" si="4"/>
        <v>0</v>
      </c>
      <c r="I591" s="439">
        <f>IF(OR(ISBLANK(A591),ISNA(MATCH(A591&amp;"",AthleteNumbers,0))),0,MATCH(A591&amp;"",AthleteNumbers,0))</f>
        <v>0</v>
      </c>
      <c r="J591" s="209">
        <f t="array" ref="J591">IF(I591&gt;0,INDEX(DB,$I591,6),0)</f>
        <v>0</v>
      </c>
      <c r="K591" s="440">
        <f t="shared" si="5"/>
        <v>0</v>
      </c>
      <c r="L591" s="440">
        <f t="shared" si="6"/>
        <v>0</v>
      </c>
      <c r="M591" s="441">
        <f>IF(AND(L591&gt;O591,O591&gt;0),MinPoints,IF(L591&lt;N591,100,+INT((O591-$L591)/P591)+MinPoints))</f>
        <v>100</v>
      </c>
      <c r="N591" s="440">
        <f t="shared" si="7"/>
        <v>7</v>
      </c>
      <c r="O591" s="440">
        <f t="shared" si="8"/>
        <v>16</v>
      </c>
      <c r="P591" s="440">
        <f t="shared" si="9"/>
        <v>0.1</v>
      </c>
      <c r="Q591">
        <f t="array" ref="Q591">IF(I591&gt;0,INDEX(DB,I591,9),EventIndex)</f>
        <v>6</v>
      </c>
      <c r="S591" s="442">
        <f t="array" ref="S591">INDEX(MINVALUES,$Q591,$K$1)</f>
        <v>16</v>
      </c>
      <c r="T591">
        <f t="array" ref="T591">INDEX(INCVALUES,$Q591,$K$1)</f>
        <v>0.1</v>
      </c>
      <c r="V591">
        <f t="array" ref="V591">+J591+(4*(INDEX(MatchScoreTable,$Q591,20)-1))</f>
        <v>4</v>
      </c>
      <c r="W591">
        <f t="array" ref="W591">INDEX(INC_MINVALUES,$V591,$K$1)</f>
        <v>34</v>
      </c>
      <c r="X591" s="212">
        <f t="array" ref="X591">INDEX(INC_INCVALUES,$V591,$K$1)</f>
        <v>0.3</v>
      </c>
    </row>
    <row r="592" ht="15.75" customHeight="1">
      <c r="A592" s="435"/>
      <c r="B592" s="436"/>
      <c r="C592" s="95" t="str">
        <f t="array" ref="C592">IF(I592&gt;0,INDEX(DB,I592,8),"")</f>
        <v/>
      </c>
      <c r="D592" s="437">
        <f t="shared" si="1"/>
        <v>0</v>
      </c>
      <c r="F592" s="438">
        <f t="shared" si="2"/>
        <v>0</v>
      </c>
      <c r="G592" t="str">
        <f t="shared" si="3"/>
        <v/>
      </c>
      <c r="H592" t="b">
        <f t="shared" si="4"/>
        <v>0</v>
      </c>
      <c r="I592" s="439">
        <f>IF(OR(ISBLANK(A592),ISNA(MATCH(A592&amp;"",AthleteNumbers,0))),0,MATCH(A592&amp;"",AthleteNumbers,0))</f>
        <v>0</v>
      </c>
      <c r="J592" s="209">
        <f t="array" ref="J592">IF(I592&gt;0,INDEX(DB,$I592,6),0)</f>
        <v>0</v>
      </c>
      <c r="K592" s="440">
        <f t="shared" si="5"/>
        <v>0</v>
      </c>
      <c r="L592" s="440">
        <f t="shared" si="6"/>
        <v>0</v>
      </c>
      <c r="M592" s="441">
        <f>IF(AND(L592&gt;O592,O592&gt;0),MinPoints,IF(L592&lt;N592,100,+INT((O592-$L592)/P592)+MinPoints))</f>
        <v>100</v>
      </c>
      <c r="N592" s="440">
        <f t="shared" si="7"/>
        <v>7</v>
      </c>
      <c r="O592" s="440">
        <f t="shared" si="8"/>
        <v>16</v>
      </c>
      <c r="P592" s="440">
        <f t="shared" si="9"/>
        <v>0.1</v>
      </c>
      <c r="Q592">
        <f t="array" ref="Q592">IF(I592&gt;0,INDEX(DB,I592,9),EventIndex)</f>
        <v>6</v>
      </c>
      <c r="S592" s="442">
        <f t="array" ref="S592">INDEX(MINVALUES,$Q592,$K$1)</f>
        <v>16</v>
      </c>
      <c r="T592">
        <f t="array" ref="T592">INDEX(INCVALUES,$Q592,$K$1)</f>
        <v>0.1</v>
      </c>
      <c r="V592">
        <f t="array" ref="V592">+J592+(4*(INDEX(MatchScoreTable,$Q592,20)-1))</f>
        <v>4</v>
      </c>
      <c r="W592">
        <f t="array" ref="W592">INDEX(INC_MINVALUES,$V592,$K$1)</f>
        <v>34</v>
      </c>
      <c r="X592" s="212">
        <f t="array" ref="X592">INDEX(INC_INCVALUES,$V592,$K$1)</f>
        <v>0.3</v>
      </c>
    </row>
    <row r="593" ht="15.75" customHeight="1">
      <c r="A593" s="435"/>
      <c r="B593" s="436"/>
      <c r="C593" s="95" t="str">
        <f t="array" ref="C593">IF(I593&gt;0,INDEX(DB,I593,8),"")</f>
        <v/>
      </c>
      <c r="D593" s="437">
        <f t="shared" si="1"/>
        <v>0</v>
      </c>
      <c r="F593" s="438">
        <f t="shared" si="2"/>
        <v>0</v>
      </c>
      <c r="G593" t="str">
        <f t="shared" si="3"/>
        <v/>
      </c>
      <c r="H593" t="b">
        <f t="shared" si="4"/>
        <v>0</v>
      </c>
      <c r="I593" s="439">
        <f>IF(OR(ISBLANK(A593),ISNA(MATCH(A593&amp;"",AthleteNumbers,0))),0,MATCH(A593&amp;"",AthleteNumbers,0))</f>
        <v>0</v>
      </c>
      <c r="J593" s="209">
        <f t="array" ref="J593">IF(I593&gt;0,INDEX(DB,$I593,6),0)</f>
        <v>0</v>
      </c>
      <c r="K593" s="440">
        <f t="shared" si="5"/>
        <v>0</v>
      </c>
      <c r="L593" s="440">
        <f t="shared" si="6"/>
        <v>0</v>
      </c>
      <c r="M593" s="441">
        <f>IF(AND(L593&gt;O593,O593&gt;0),MinPoints,IF(L593&lt;N593,100,+INT((O593-$L593)/P593)+MinPoints))</f>
        <v>100</v>
      </c>
      <c r="N593" s="440">
        <f t="shared" si="7"/>
        <v>7</v>
      </c>
      <c r="O593" s="440">
        <f t="shared" si="8"/>
        <v>16</v>
      </c>
      <c r="P593" s="440">
        <f t="shared" si="9"/>
        <v>0.1</v>
      </c>
      <c r="Q593">
        <f t="array" ref="Q593">IF(I593&gt;0,INDEX(DB,I593,9),EventIndex)</f>
        <v>6</v>
      </c>
      <c r="S593" s="442">
        <f t="array" ref="S593">INDEX(MINVALUES,$Q593,$K$1)</f>
        <v>16</v>
      </c>
      <c r="T593">
        <f t="array" ref="T593">INDEX(INCVALUES,$Q593,$K$1)</f>
        <v>0.1</v>
      </c>
      <c r="V593">
        <f t="array" ref="V593">+J593+(4*(INDEX(MatchScoreTable,$Q593,20)-1))</f>
        <v>4</v>
      </c>
      <c r="W593">
        <f t="array" ref="W593">INDEX(INC_MINVALUES,$V593,$K$1)</f>
        <v>34</v>
      </c>
      <c r="X593" s="212">
        <f t="array" ref="X593">INDEX(INC_INCVALUES,$V593,$K$1)</f>
        <v>0.3</v>
      </c>
    </row>
    <row r="594" ht="15.75" customHeight="1">
      <c r="A594" s="435"/>
      <c r="B594" s="436"/>
      <c r="C594" s="95" t="str">
        <f t="array" ref="C594">IF(I594&gt;0,INDEX(DB,I594,8),"")</f>
        <v/>
      </c>
      <c r="D594" s="437">
        <f t="shared" si="1"/>
        <v>0</v>
      </c>
      <c r="F594" s="438">
        <f t="shared" si="2"/>
        <v>0</v>
      </c>
      <c r="G594" t="str">
        <f t="shared" si="3"/>
        <v/>
      </c>
      <c r="H594" t="b">
        <f t="shared" si="4"/>
        <v>0</v>
      </c>
      <c r="I594" s="439">
        <f>IF(OR(ISBLANK(A594),ISNA(MATCH(A594&amp;"",AthleteNumbers,0))),0,MATCH(A594&amp;"",AthleteNumbers,0))</f>
        <v>0</v>
      </c>
      <c r="J594" s="209">
        <f t="array" ref="J594">IF(I594&gt;0,INDEX(DB,$I594,6),0)</f>
        <v>0</v>
      </c>
      <c r="K594" s="440">
        <f t="shared" si="5"/>
        <v>0</v>
      </c>
      <c r="L594" s="440">
        <f t="shared" si="6"/>
        <v>0</v>
      </c>
      <c r="M594" s="441">
        <f>IF(AND(L594&gt;O594,O594&gt;0),MinPoints,IF(L594&lt;N594,100,+INT((O594-$L594)/P594)+MinPoints))</f>
        <v>100</v>
      </c>
      <c r="N594" s="440">
        <f t="shared" si="7"/>
        <v>7</v>
      </c>
      <c r="O594" s="440">
        <f t="shared" si="8"/>
        <v>16</v>
      </c>
      <c r="P594" s="440">
        <f t="shared" si="9"/>
        <v>0.1</v>
      </c>
      <c r="Q594">
        <f t="array" ref="Q594">IF(I594&gt;0,INDEX(DB,I594,9),EventIndex)</f>
        <v>6</v>
      </c>
      <c r="S594" s="442">
        <f t="array" ref="S594">INDEX(MINVALUES,$Q594,$K$1)</f>
        <v>16</v>
      </c>
      <c r="T594">
        <f t="array" ref="T594">INDEX(INCVALUES,$Q594,$K$1)</f>
        <v>0.1</v>
      </c>
      <c r="V594">
        <f t="array" ref="V594">+J594+(4*(INDEX(MatchScoreTable,$Q594,20)-1))</f>
        <v>4</v>
      </c>
      <c r="W594">
        <f t="array" ref="W594">INDEX(INC_MINVALUES,$V594,$K$1)</f>
        <v>34</v>
      </c>
      <c r="X594" s="212">
        <f t="array" ref="X594">INDEX(INC_INCVALUES,$V594,$K$1)</f>
        <v>0.3</v>
      </c>
    </row>
    <row r="595" ht="15.75" customHeight="1">
      <c r="A595" s="435"/>
      <c r="B595" s="436"/>
      <c r="C595" s="95" t="str">
        <f t="array" ref="C595">IF(I595&gt;0,INDEX(DB,I595,8),"")</f>
        <v/>
      </c>
      <c r="D595" s="437">
        <f t="shared" si="1"/>
        <v>0</v>
      </c>
      <c r="F595" s="438">
        <f t="shared" si="2"/>
        <v>0</v>
      </c>
      <c r="G595" t="str">
        <f t="shared" si="3"/>
        <v/>
      </c>
      <c r="H595" t="b">
        <f t="shared" si="4"/>
        <v>0</v>
      </c>
      <c r="I595" s="439">
        <f>IF(OR(ISBLANK(A595),ISNA(MATCH(A595&amp;"",AthleteNumbers,0))),0,MATCH(A595&amp;"",AthleteNumbers,0))</f>
        <v>0</v>
      </c>
      <c r="J595" s="209">
        <f t="array" ref="J595">IF(I595&gt;0,INDEX(DB,$I595,6),0)</f>
        <v>0</v>
      </c>
      <c r="K595" s="440">
        <f t="shared" si="5"/>
        <v>0</v>
      </c>
      <c r="L595" s="440">
        <f t="shared" si="6"/>
        <v>0</v>
      </c>
      <c r="M595" s="441">
        <f>IF(AND(L595&gt;O595,O595&gt;0),MinPoints,IF(L595&lt;N595,100,+INT((O595-$L595)/P595)+MinPoints))</f>
        <v>100</v>
      </c>
      <c r="N595" s="440">
        <f t="shared" si="7"/>
        <v>7</v>
      </c>
      <c r="O595" s="440">
        <f t="shared" si="8"/>
        <v>16</v>
      </c>
      <c r="P595" s="440">
        <f t="shared" si="9"/>
        <v>0.1</v>
      </c>
      <c r="Q595">
        <f t="array" ref="Q595">IF(I595&gt;0,INDEX(DB,I595,9),EventIndex)</f>
        <v>6</v>
      </c>
      <c r="S595" s="442">
        <f t="array" ref="S595">INDEX(MINVALUES,$Q595,$K$1)</f>
        <v>16</v>
      </c>
      <c r="T595">
        <f t="array" ref="T595">INDEX(INCVALUES,$Q595,$K$1)</f>
        <v>0.1</v>
      </c>
      <c r="V595">
        <f t="array" ref="V595">+J595+(4*(INDEX(MatchScoreTable,$Q595,20)-1))</f>
        <v>4</v>
      </c>
      <c r="W595">
        <f t="array" ref="W595">INDEX(INC_MINVALUES,$V595,$K$1)</f>
        <v>34</v>
      </c>
      <c r="X595" s="212">
        <f t="array" ref="X595">INDEX(INC_INCVALUES,$V595,$K$1)</f>
        <v>0.3</v>
      </c>
    </row>
    <row r="596" ht="15.75" customHeight="1">
      <c r="A596" s="435"/>
      <c r="B596" s="436"/>
      <c r="C596" s="95" t="str">
        <f t="array" ref="C596">IF(I596&gt;0,INDEX(DB,I596,8),"")</f>
        <v/>
      </c>
      <c r="D596" s="437">
        <f t="shared" si="1"/>
        <v>0</v>
      </c>
      <c r="F596" s="438">
        <f t="shared" si="2"/>
        <v>0</v>
      </c>
      <c r="G596" t="str">
        <f t="shared" si="3"/>
        <v/>
      </c>
      <c r="H596" t="b">
        <f t="shared" si="4"/>
        <v>0</v>
      </c>
      <c r="I596" s="439">
        <f>IF(OR(ISBLANK(A596),ISNA(MATCH(A596&amp;"",AthleteNumbers,0))),0,MATCH(A596&amp;"",AthleteNumbers,0))</f>
        <v>0</v>
      </c>
      <c r="J596" s="209">
        <f t="array" ref="J596">IF(I596&gt;0,INDEX(DB,$I596,6),0)</f>
        <v>0</v>
      </c>
      <c r="K596" s="440">
        <f t="shared" si="5"/>
        <v>0</v>
      </c>
      <c r="L596" s="440">
        <f t="shared" si="6"/>
        <v>0</v>
      </c>
      <c r="M596" s="441">
        <f>IF(AND(L596&gt;O596,O596&gt;0),MinPoints,IF(L596&lt;N596,100,+INT((O596-$L596)/P596)+MinPoints))</f>
        <v>100</v>
      </c>
      <c r="N596" s="440">
        <f t="shared" si="7"/>
        <v>7</v>
      </c>
      <c r="O596" s="440">
        <f t="shared" si="8"/>
        <v>16</v>
      </c>
      <c r="P596" s="440">
        <f t="shared" si="9"/>
        <v>0.1</v>
      </c>
      <c r="Q596">
        <f t="array" ref="Q596">IF(I596&gt;0,INDEX(DB,I596,9),EventIndex)</f>
        <v>6</v>
      </c>
      <c r="S596" s="442">
        <f t="array" ref="S596">INDEX(MINVALUES,$Q596,$K$1)</f>
        <v>16</v>
      </c>
      <c r="T596">
        <f t="array" ref="T596">INDEX(INCVALUES,$Q596,$K$1)</f>
        <v>0.1</v>
      </c>
      <c r="V596">
        <f t="array" ref="V596">+J596+(4*(INDEX(MatchScoreTable,$Q596,20)-1))</f>
        <v>4</v>
      </c>
      <c r="W596">
        <f t="array" ref="W596">INDEX(INC_MINVALUES,$V596,$K$1)</f>
        <v>34</v>
      </c>
      <c r="X596" s="212">
        <f t="array" ref="X596">INDEX(INC_INCVALUES,$V596,$K$1)</f>
        <v>0.3</v>
      </c>
    </row>
    <row r="597" ht="15.75" customHeight="1">
      <c r="A597" s="435"/>
      <c r="B597" s="436"/>
      <c r="C597" s="95" t="str">
        <f t="array" ref="C597">IF(I597&gt;0,INDEX(DB,I597,8),"")</f>
        <v/>
      </c>
      <c r="D597" s="437">
        <f t="shared" si="1"/>
        <v>0</v>
      </c>
      <c r="F597" s="438">
        <f t="shared" si="2"/>
        <v>0</v>
      </c>
      <c r="G597" t="str">
        <f t="shared" si="3"/>
        <v/>
      </c>
      <c r="H597" t="b">
        <f t="shared" si="4"/>
        <v>0</v>
      </c>
      <c r="I597" s="439">
        <f>IF(OR(ISBLANK(A597),ISNA(MATCH(A597&amp;"",AthleteNumbers,0))),0,MATCH(A597&amp;"",AthleteNumbers,0))</f>
        <v>0</v>
      </c>
      <c r="J597" s="209">
        <f t="array" ref="J597">IF(I597&gt;0,INDEX(DB,$I597,6),0)</f>
        <v>0</v>
      </c>
      <c r="K597" s="440">
        <f t="shared" si="5"/>
        <v>0</v>
      </c>
      <c r="L597" s="440">
        <f t="shared" si="6"/>
        <v>0</v>
      </c>
      <c r="M597" s="441">
        <f>IF(AND(L597&gt;O597,O597&gt;0),MinPoints,IF(L597&lt;N597,100,+INT((O597-$L597)/P597)+MinPoints))</f>
        <v>100</v>
      </c>
      <c r="N597" s="440">
        <f t="shared" si="7"/>
        <v>7</v>
      </c>
      <c r="O597" s="440">
        <f t="shared" si="8"/>
        <v>16</v>
      </c>
      <c r="P597" s="440">
        <f t="shared" si="9"/>
        <v>0.1</v>
      </c>
      <c r="Q597">
        <f t="array" ref="Q597">IF(I597&gt;0,INDEX(DB,I597,9),EventIndex)</f>
        <v>6</v>
      </c>
      <c r="S597" s="442">
        <f t="array" ref="S597">INDEX(MINVALUES,$Q597,$K$1)</f>
        <v>16</v>
      </c>
      <c r="T597">
        <f t="array" ref="T597">INDEX(INCVALUES,$Q597,$K$1)</f>
        <v>0.1</v>
      </c>
      <c r="V597">
        <f t="array" ref="V597">+J597+(4*(INDEX(MatchScoreTable,$Q597,20)-1))</f>
        <v>4</v>
      </c>
      <c r="W597">
        <f t="array" ref="W597">INDEX(INC_MINVALUES,$V597,$K$1)</f>
        <v>34</v>
      </c>
      <c r="X597" s="212">
        <f t="array" ref="X597">INDEX(INC_INCVALUES,$V597,$K$1)</f>
        <v>0.3</v>
      </c>
    </row>
    <row r="598" ht="15.75" customHeight="1">
      <c r="A598" s="435"/>
      <c r="B598" s="436"/>
      <c r="C598" s="95" t="str">
        <f t="array" ref="C598">IF(I598&gt;0,INDEX(DB,I598,8),"")</f>
        <v/>
      </c>
      <c r="D598" s="437">
        <f t="shared" si="1"/>
        <v>0</v>
      </c>
      <c r="F598" s="438">
        <f t="shared" si="2"/>
        <v>0</v>
      </c>
      <c r="G598" t="str">
        <f t="shared" si="3"/>
        <v/>
      </c>
      <c r="H598" t="b">
        <f t="shared" si="4"/>
        <v>0</v>
      </c>
      <c r="I598" s="439">
        <f>IF(OR(ISBLANK(A598),ISNA(MATCH(A598&amp;"",AthleteNumbers,0))),0,MATCH(A598&amp;"",AthleteNumbers,0))</f>
        <v>0</v>
      </c>
      <c r="J598" s="209">
        <f t="array" ref="J598">IF(I598&gt;0,INDEX(DB,$I598,6),0)</f>
        <v>0</v>
      </c>
      <c r="K598" s="440">
        <f t="shared" si="5"/>
        <v>0</v>
      </c>
      <c r="L598" s="440">
        <f t="shared" si="6"/>
        <v>0</v>
      </c>
      <c r="M598" s="441">
        <f>IF(AND(L598&gt;O598,O598&gt;0),MinPoints,IF(L598&lt;N598,100,+INT((O598-$L598)/P598)+MinPoints))</f>
        <v>100</v>
      </c>
      <c r="N598" s="440">
        <f t="shared" si="7"/>
        <v>7</v>
      </c>
      <c r="O598" s="440">
        <f t="shared" si="8"/>
        <v>16</v>
      </c>
      <c r="P598" s="440">
        <f t="shared" si="9"/>
        <v>0.1</v>
      </c>
      <c r="Q598">
        <f t="array" ref="Q598">IF(I598&gt;0,INDEX(DB,I598,9),EventIndex)</f>
        <v>6</v>
      </c>
      <c r="S598" s="442">
        <f t="array" ref="S598">INDEX(MINVALUES,$Q598,$K$1)</f>
        <v>16</v>
      </c>
      <c r="T598">
        <f t="array" ref="T598">INDEX(INCVALUES,$Q598,$K$1)</f>
        <v>0.1</v>
      </c>
      <c r="V598">
        <f t="array" ref="V598">+J598+(4*(INDEX(MatchScoreTable,$Q598,20)-1))</f>
        <v>4</v>
      </c>
      <c r="W598">
        <f t="array" ref="W598">INDEX(INC_MINVALUES,$V598,$K$1)</f>
        <v>34</v>
      </c>
      <c r="X598" s="212">
        <f t="array" ref="X598">INDEX(INC_INCVALUES,$V598,$K$1)</f>
        <v>0.3</v>
      </c>
    </row>
    <row r="599" ht="15.75" customHeight="1">
      <c r="A599" s="435"/>
      <c r="B599" s="436"/>
      <c r="C599" s="95" t="str">
        <f t="array" ref="C599">IF(I599&gt;0,INDEX(DB,I599,8),"")</f>
        <v/>
      </c>
      <c r="D599" s="437">
        <f t="shared" si="1"/>
        <v>0</v>
      </c>
      <c r="F599" s="438">
        <f t="shared" si="2"/>
        <v>0</v>
      </c>
      <c r="G599" t="str">
        <f t="shared" si="3"/>
        <v/>
      </c>
      <c r="H599" t="b">
        <f t="shared" si="4"/>
        <v>0</v>
      </c>
      <c r="I599" s="439">
        <f>IF(OR(ISBLANK(A599),ISNA(MATCH(A599&amp;"",AthleteNumbers,0))),0,MATCH(A599&amp;"",AthleteNumbers,0))</f>
        <v>0</v>
      </c>
      <c r="J599" s="209">
        <f t="array" ref="J599">IF(I599&gt;0,INDEX(DB,$I599,6),0)</f>
        <v>0</v>
      </c>
      <c r="K599" s="440">
        <f t="shared" si="5"/>
        <v>0</v>
      </c>
      <c r="L599" s="440">
        <f t="shared" si="6"/>
        <v>0</v>
      </c>
      <c r="M599" s="441">
        <f>IF(AND(L599&gt;O599,O599&gt;0),MinPoints,IF(L599&lt;N599,100,+INT((O599-$L599)/P599)+MinPoints))</f>
        <v>100</v>
      </c>
      <c r="N599" s="440">
        <f t="shared" si="7"/>
        <v>7</v>
      </c>
      <c r="O599" s="440">
        <f t="shared" si="8"/>
        <v>16</v>
      </c>
      <c r="P599" s="440">
        <f t="shared" si="9"/>
        <v>0.1</v>
      </c>
      <c r="Q599">
        <f t="array" ref="Q599">IF(I599&gt;0,INDEX(DB,I599,9),EventIndex)</f>
        <v>6</v>
      </c>
      <c r="S599" s="442">
        <f t="array" ref="S599">INDEX(MINVALUES,$Q599,$K$1)</f>
        <v>16</v>
      </c>
      <c r="T599">
        <f t="array" ref="T599">INDEX(INCVALUES,$Q599,$K$1)</f>
        <v>0.1</v>
      </c>
      <c r="V599">
        <f t="array" ref="V599">+J599+(4*(INDEX(MatchScoreTable,$Q599,20)-1))</f>
        <v>4</v>
      </c>
      <c r="W599">
        <f t="array" ref="W599">INDEX(INC_MINVALUES,$V599,$K$1)</f>
        <v>34</v>
      </c>
      <c r="X599" s="212">
        <f t="array" ref="X599">INDEX(INC_INCVALUES,$V599,$K$1)</f>
        <v>0.3</v>
      </c>
    </row>
    <row r="600" ht="15.75" customHeight="1">
      <c r="A600" s="435"/>
      <c r="B600" s="436"/>
      <c r="C600" s="95" t="str">
        <f t="array" ref="C600">IF(I600&gt;0,INDEX(DB,I600,8),"")</f>
        <v/>
      </c>
      <c r="D600" s="437">
        <f t="shared" si="1"/>
        <v>0</v>
      </c>
      <c r="F600" s="438">
        <f t="shared" si="2"/>
        <v>0</v>
      </c>
      <c r="G600" t="str">
        <f t="shared" si="3"/>
        <v/>
      </c>
      <c r="H600" t="b">
        <f t="shared" si="4"/>
        <v>0</v>
      </c>
      <c r="I600" s="439">
        <f>IF(OR(ISBLANK(A600),ISNA(MATCH(A600&amp;"",AthleteNumbers,0))),0,MATCH(A600&amp;"",AthleteNumbers,0))</f>
        <v>0</v>
      </c>
      <c r="J600" s="209">
        <f t="array" ref="J600">IF(I600&gt;0,INDEX(DB,$I600,6),0)</f>
        <v>0</v>
      </c>
      <c r="K600" s="440">
        <f t="shared" si="5"/>
        <v>0</v>
      </c>
      <c r="L600" s="440">
        <f t="shared" si="6"/>
        <v>0</v>
      </c>
      <c r="M600" s="441">
        <f>IF(AND(L600&gt;O600,O600&gt;0),MinPoints,IF(L600&lt;N600,100,+INT((O600-$L600)/P600)+MinPoints))</f>
        <v>100</v>
      </c>
      <c r="N600" s="440">
        <f t="shared" si="7"/>
        <v>7</v>
      </c>
      <c r="O600" s="440">
        <f t="shared" si="8"/>
        <v>16</v>
      </c>
      <c r="P600" s="440">
        <f t="shared" si="9"/>
        <v>0.1</v>
      </c>
      <c r="Q600">
        <f t="array" ref="Q600">IF(I600&gt;0,INDEX(DB,I600,9),EventIndex)</f>
        <v>6</v>
      </c>
      <c r="S600" s="442">
        <f t="array" ref="S600">INDEX(MINVALUES,$Q600,$K$1)</f>
        <v>16</v>
      </c>
      <c r="T600">
        <f t="array" ref="T600">INDEX(INCVALUES,$Q600,$K$1)</f>
        <v>0.1</v>
      </c>
      <c r="V600">
        <f t="array" ref="V600">+J600+(4*(INDEX(MatchScoreTable,$Q600,20)-1))</f>
        <v>4</v>
      </c>
      <c r="W600">
        <f t="array" ref="W600">INDEX(INC_MINVALUES,$V600,$K$1)</f>
        <v>34</v>
      </c>
      <c r="X600" s="212">
        <f t="array" ref="X600">INDEX(INC_INCVALUES,$V600,$K$1)</f>
        <v>0.3</v>
      </c>
    </row>
    <row r="601" ht="15.75" customHeight="1">
      <c r="A601" s="435"/>
      <c r="B601" s="436"/>
      <c r="C601" s="95" t="str">
        <f t="array" ref="C601">IF(I601&gt;0,INDEX(DB,I601,8),"")</f>
        <v/>
      </c>
      <c r="D601" s="437">
        <f t="shared" si="1"/>
        <v>0</v>
      </c>
      <c r="F601" s="438">
        <f t="shared" si="2"/>
        <v>0</v>
      </c>
      <c r="G601" t="str">
        <f t="shared" si="3"/>
        <v/>
      </c>
      <c r="H601" t="b">
        <f t="shared" si="4"/>
        <v>0</v>
      </c>
      <c r="I601" s="439">
        <f>IF(OR(ISBLANK(A601),ISNA(MATCH(A601&amp;"",AthleteNumbers,0))),0,MATCH(A601&amp;"",AthleteNumbers,0))</f>
        <v>0</v>
      </c>
      <c r="J601" s="209">
        <f t="array" ref="J601">IF(I601&gt;0,INDEX(DB,$I601,6),0)</f>
        <v>0</v>
      </c>
      <c r="K601" s="440">
        <f t="shared" si="5"/>
        <v>0</v>
      </c>
      <c r="L601" s="440">
        <f t="shared" si="6"/>
        <v>0</v>
      </c>
      <c r="M601" s="441">
        <f>IF(AND(L601&gt;O601,O601&gt;0),MinPoints,IF(L601&lt;N601,100,+INT((O601-$L601)/P601)+MinPoints))</f>
        <v>100</v>
      </c>
      <c r="N601" s="440">
        <f t="shared" si="7"/>
        <v>7</v>
      </c>
      <c r="O601" s="440">
        <f t="shared" si="8"/>
        <v>16</v>
      </c>
      <c r="P601" s="440">
        <f t="shared" si="9"/>
        <v>0.1</v>
      </c>
      <c r="Q601">
        <f t="array" ref="Q601">IF(I601&gt;0,INDEX(DB,I601,9),EventIndex)</f>
        <v>6</v>
      </c>
      <c r="S601" s="442">
        <f t="array" ref="S601">INDEX(MINVALUES,$Q601,$K$1)</f>
        <v>16</v>
      </c>
      <c r="T601">
        <f t="array" ref="T601">INDEX(INCVALUES,$Q601,$K$1)</f>
        <v>0.1</v>
      </c>
      <c r="V601">
        <f t="array" ref="V601">+J601+(4*(INDEX(MatchScoreTable,$Q601,20)-1))</f>
        <v>4</v>
      </c>
      <c r="W601">
        <f t="array" ref="W601">INDEX(INC_MINVALUES,$V601,$K$1)</f>
        <v>34</v>
      </c>
      <c r="X601" s="212">
        <f t="array" ref="X601">INDEX(INC_INCVALUES,$V601,$K$1)</f>
        <v>0.3</v>
      </c>
    </row>
    <row r="602" ht="15.75" customHeight="1">
      <c r="A602" s="435"/>
      <c r="B602" s="436"/>
      <c r="C602" s="95" t="str">
        <f t="array" ref="C602">IF(I602&gt;0,INDEX(DB,I602,8),"")</f>
        <v/>
      </c>
      <c r="D602" s="437">
        <f t="shared" si="1"/>
        <v>0</v>
      </c>
      <c r="F602" s="438">
        <f t="shared" si="2"/>
        <v>0</v>
      </c>
      <c r="G602" t="str">
        <f t="shared" si="3"/>
        <v/>
      </c>
      <c r="H602" t="b">
        <f t="shared" si="4"/>
        <v>0</v>
      </c>
      <c r="I602" s="439">
        <f>IF(OR(ISBLANK(A602),ISNA(MATCH(A602&amp;"",AthleteNumbers,0))),0,MATCH(A602&amp;"",AthleteNumbers,0))</f>
        <v>0</v>
      </c>
      <c r="J602" s="209">
        <f t="array" ref="J602">IF(I602&gt;0,INDEX(DB,$I602,6),0)</f>
        <v>0</v>
      </c>
      <c r="K602" s="440">
        <f t="shared" si="5"/>
        <v>0</v>
      </c>
      <c r="L602" s="440">
        <f t="shared" si="6"/>
        <v>0</v>
      </c>
      <c r="M602" s="441">
        <f>IF(AND(L602&gt;O602,O602&gt;0),MinPoints,IF(L602&lt;N602,100,+INT((O602-$L602)/P602)+MinPoints))</f>
        <v>100</v>
      </c>
      <c r="N602" s="440">
        <f t="shared" si="7"/>
        <v>7</v>
      </c>
      <c r="O602" s="440">
        <f t="shared" si="8"/>
        <v>16</v>
      </c>
      <c r="P602" s="440">
        <f t="shared" si="9"/>
        <v>0.1</v>
      </c>
      <c r="Q602">
        <f t="array" ref="Q602">IF(I602&gt;0,INDEX(DB,I602,9),EventIndex)</f>
        <v>6</v>
      </c>
      <c r="S602" s="442">
        <f t="array" ref="S602">INDEX(MINVALUES,$Q602,$K$1)</f>
        <v>16</v>
      </c>
      <c r="T602">
        <f t="array" ref="T602">INDEX(INCVALUES,$Q602,$K$1)</f>
        <v>0.1</v>
      </c>
      <c r="V602">
        <f t="array" ref="V602">+J602+(4*(INDEX(MatchScoreTable,$Q602,20)-1))</f>
        <v>4</v>
      </c>
      <c r="W602">
        <f t="array" ref="W602">INDEX(INC_MINVALUES,$V602,$K$1)</f>
        <v>34</v>
      </c>
      <c r="X602" s="212">
        <f t="array" ref="X602">INDEX(INC_INCVALUES,$V602,$K$1)</f>
        <v>0.3</v>
      </c>
    </row>
    <row r="603" ht="15.75" customHeight="1">
      <c r="A603" s="435"/>
      <c r="B603" s="436"/>
      <c r="C603" s="95" t="str">
        <f t="array" ref="C603">IF(I603&gt;0,INDEX(DB,I603,8),"")</f>
        <v/>
      </c>
      <c r="D603" s="437">
        <f t="shared" si="1"/>
        <v>0</v>
      </c>
      <c r="F603" s="438">
        <f t="shared" si="2"/>
        <v>0</v>
      </c>
      <c r="G603" t="str">
        <f t="shared" si="3"/>
        <v/>
      </c>
      <c r="H603" t="b">
        <f t="shared" si="4"/>
        <v>0</v>
      </c>
      <c r="I603" s="439">
        <f>IF(OR(ISBLANK(A603),ISNA(MATCH(A603&amp;"",AthleteNumbers,0))),0,MATCH(A603&amp;"",AthleteNumbers,0))</f>
        <v>0</v>
      </c>
      <c r="J603" s="209">
        <f t="array" ref="J603">IF(I603&gt;0,INDEX(DB,$I603,6),0)</f>
        <v>0</v>
      </c>
      <c r="K603" s="440">
        <f t="shared" si="5"/>
        <v>0</v>
      </c>
      <c r="L603" s="440">
        <f t="shared" si="6"/>
        <v>0</v>
      </c>
      <c r="M603" s="441">
        <f>IF(AND(L603&gt;O603,O603&gt;0),MinPoints,IF(L603&lt;N603,100,+INT((O603-$L603)/P603)+MinPoints))</f>
        <v>100</v>
      </c>
      <c r="N603" s="440">
        <f t="shared" si="7"/>
        <v>7</v>
      </c>
      <c r="O603" s="440">
        <f t="shared" si="8"/>
        <v>16</v>
      </c>
      <c r="P603" s="440">
        <f t="shared" si="9"/>
        <v>0.1</v>
      </c>
      <c r="Q603">
        <f t="array" ref="Q603">IF(I603&gt;0,INDEX(DB,I603,9),EventIndex)</f>
        <v>6</v>
      </c>
      <c r="S603" s="442">
        <f t="array" ref="S603">INDEX(MINVALUES,$Q603,$K$1)</f>
        <v>16</v>
      </c>
      <c r="T603">
        <f t="array" ref="T603">INDEX(INCVALUES,$Q603,$K$1)</f>
        <v>0.1</v>
      </c>
      <c r="V603">
        <f t="array" ref="V603">+J603+(4*(INDEX(MatchScoreTable,$Q603,20)-1))</f>
        <v>4</v>
      </c>
      <c r="W603">
        <f t="array" ref="W603">INDEX(INC_MINVALUES,$V603,$K$1)</f>
        <v>34</v>
      </c>
      <c r="X603" s="212">
        <f t="array" ref="X603">INDEX(INC_INCVALUES,$V603,$K$1)</f>
        <v>0.3</v>
      </c>
    </row>
    <row r="604" ht="15.75" customHeight="1">
      <c r="A604" s="435"/>
      <c r="B604" s="436"/>
      <c r="C604" s="95" t="str">
        <f t="array" ref="C604">IF(I604&gt;0,INDEX(DB,I604,8),"")</f>
        <v/>
      </c>
      <c r="D604" s="437">
        <f t="shared" si="1"/>
        <v>0</v>
      </c>
      <c r="F604" s="438">
        <f t="shared" si="2"/>
        <v>0</v>
      </c>
      <c r="G604" t="str">
        <f t="shared" si="3"/>
        <v/>
      </c>
      <c r="H604" t="b">
        <f t="shared" si="4"/>
        <v>0</v>
      </c>
      <c r="I604" s="439">
        <f>IF(OR(ISBLANK(A604),ISNA(MATCH(A604&amp;"",AthleteNumbers,0))),0,MATCH(A604&amp;"",AthleteNumbers,0))</f>
        <v>0</v>
      </c>
      <c r="J604" s="209">
        <f t="array" ref="J604">IF(I604&gt;0,INDEX(DB,$I604,6),0)</f>
        <v>0</v>
      </c>
      <c r="K604" s="440">
        <f t="shared" si="5"/>
        <v>0</v>
      </c>
      <c r="L604" s="440">
        <f t="shared" si="6"/>
        <v>0</v>
      </c>
      <c r="M604" s="441">
        <f>IF(AND(L604&gt;O604,O604&gt;0),MinPoints,IF(L604&lt;N604,100,+INT((O604-$L604)/P604)+MinPoints))</f>
        <v>100</v>
      </c>
      <c r="N604" s="440">
        <f t="shared" si="7"/>
        <v>7</v>
      </c>
      <c r="O604" s="440">
        <f t="shared" si="8"/>
        <v>16</v>
      </c>
      <c r="P604" s="440">
        <f t="shared" si="9"/>
        <v>0.1</v>
      </c>
      <c r="Q604">
        <f t="array" ref="Q604">IF(I604&gt;0,INDEX(DB,I604,9),EventIndex)</f>
        <v>6</v>
      </c>
      <c r="S604" s="442">
        <f t="array" ref="S604">INDEX(MINVALUES,$Q604,$K$1)</f>
        <v>16</v>
      </c>
      <c r="T604">
        <f t="array" ref="T604">INDEX(INCVALUES,$Q604,$K$1)</f>
        <v>0.1</v>
      </c>
      <c r="V604">
        <f t="array" ref="V604">+J604+(4*(INDEX(MatchScoreTable,$Q604,20)-1))</f>
        <v>4</v>
      </c>
      <c r="W604">
        <f t="array" ref="W604">INDEX(INC_MINVALUES,$V604,$K$1)</f>
        <v>34</v>
      </c>
      <c r="X604" s="212">
        <f t="array" ref="X604">INDEX(INC_INCVALUES,$V604,$K$1)</f>
        <v>0.3</v>
      </c>
    </row>
    <row r="605" ht="15.75" customHeight="1">
      <c r="A605" s="435"/>
      <c r="B605" s="436"/>
      <c r="C605" s="95" t="str">
        <f t="array" ref="C605">IF(I605&gt;0,INDEX(DB,I605,8),"")</f>
        <v/>
      </c>
      <c r="D605" s="437">
        <f t="shared" si="1"/>
        <v>0</v>
      </c>
      <c r="F605" s="438">
        <f t="shared" si="2"/>
        <v>0</v>
      </c>
      <c r="G605" t="str">
        <f t="shared" si="3"/>
        <v/>
      </c>
      <c r="H605" t="b">
        <f t="shared" si="4"/>
        <v>0</v>
      </c>
      <c r="I605" s="439">
        <f>IF(OR(ISBLANK(A605),ISNA(MATCH(A605&amp;"",AthleteNumbers,0))),0,MATCH(A605&amp;"",AthleteNumbers,0))</f>
        <v>0</v>
      </c>
      <c r="J605" s="209">
        <f t="array" ref="J605">IF(I605&gt;0,INDEX(DB,$I605,6),0)</f>
        <v>0</v>
      </c>
      <c r="K605" s="440">
        <f t="shared" si="5"/>
        <v>0</v>
      </c>
      <c r="L605" s="440">
        <f t="shared" si="6"/>
        <v>0</v>
      </c>
      <c r="M605" s="441">
        <f>IF(AND(L605&gt;O605,O605&gt;0),MinPoints,IF(L605&lt;N605,100,+INT((O605-$L605)/P605)+MinPoints))</f>
        <v>100</v>
      </c>
      <c r="N605" s="440">
        <f t="shared" si="7"/>
        <v>7</v>
      </c>
      <c r="O605" s="440">
        <f t="shared" si="8"/>
        <v>16</v>
      </c>
      <c r="P605" s="440">
        <f t="shared" si="9"/>
        <v>0.1</v>
      </c>
      <c r="Q605">
        <f t="array" ref="Q605">IF(I605&gt;0,INDEX(DB,I605,9),EventIndex)</f>
        <v>6</v>
      </c>
      <c r="S605" s="442">
        <f t="array" ref="S605">INDEX(MINVALUES,$Q605,$K$1)</f>
        <v>16</v>
      </c>
      <c r="T605">
        <f t="array" ref="T605">INDEX(INCVALUES,$Q605,$K$1)</f>
        <v>0.1</v>
      </c>
      <c r="V605">
        <f t="array" ref="V605">+J605+(4*(INDEX(MatchScoreTable,$Q605,20)-1))</f>
        <v>4</v>
      </c>
      <c r="W605">
        <f t="array" ref="W605">INDEX(INC_MINVALUES,$V605,$K$1)</f>
        <v>34</v>
      </c>
      <c r="X605" s="212">
        <f t="array" ref="X605">INDEX(INC_INCVALUES,$V605,$K$1)</f>
        <v>0.3</v>
      </c>
    </row>
    <row r="606" ht="15.75" customHeight="1">
      <c r="A606" s="435"/>
      <c r="B606" s="436"/>
      <c r="C606" s="95" t="str">
        <f t="array" ref="C606">IF(I606&gt;0,INDEX(DB,I606,8),"")</f>
        <v/>
      </c>
      <c r="D606" s="437">
        <f t="shared" si="1"/>
        <v>0</v>
      </c>
      <c r="F606" s="438">
        <f t="shared" si="2"/>
        <v>0</v>
      </c>
      <c r="G606" t="str">
        <f t="shared" si="3"/>
        <v/>
      </c>
      <c r="H606" t="b">
        <f t="shared" si="4"/>
        <v>0</v>
      </c>
      <c r="I606" s="439">
        <f>IF(OR(ISBLANK(A606),ISNA(MATCH(A606&amp;"",AthleteNumbers,0))),0,MATCH(A606&amp;"",AthleteNumbers,0))</f>
        <v>0</v>
      </c>
      <c r="J606" s="209">
        <f t="array" ref="J606">IF(I606&gt;0,INDEX(DB,$I606,6),0)</f>
        <v>0</v>
      </c>
      <c r="K606" s="440">
        <f t="shared" si="5"/>
        <v>0</v>
      </c>
      <c r="L606" s="440">
        <f t="shared" si="6"/>
        <v>0</v>
      </c>
      <c r="M606" s="441">
        <f>IF(AND(L606&gt;O606,O606&gt;0),MinPoints,IF(L606&lt;N606,100,+INT((O606-$L606)/P606)+MinPoints))</f>
        <v>100</v>
      </c>
      <c r="N606" s="440">
        <f t="shared" si="7"/>
        <v>7</v>
      </c>
      <c r="O606" s="440">
        <f t="shared" si="8"/>
        <v>16</v>
      </c>
      <c r="P606" s="440">
        <f t="shared" si="9"/>
        <v>0.1</v>
      </c>
      <c r="Q606">
        <f t="array" ref="Q606">IF(I606&gt;0,INDEX(DB,I606,9),EventIndex)</f>
        <v>6</v>
      </c>
      <c r="S606" s="442">
        <f t="array" ref="S606">INDEX(MINVALUES,$Q606,$K$1)</f>
        <v>16</v>
      </c>
      <c r="T606">
        <f t="array" ref="T606">INDEX(INCVALUES,$Q606,$K$1)</f>
        <v>0.1</v>
      </c>
      <c r="V606">
        <f t="array" ref="V606">+J606+(4*(INDEX(MatchScoreTable,$Q606,20)-1))</f>
        <v>4</v>
      </c>
      <c r="W606">
        <f t="array" ref="W606">INDEX(INC_MINVALUES,$V606,$K$1)</f>
        <v>34</v>
      </c>
      <c r="X606" s="212">
        <f t="array" ref="X606">INDEX(INC_INCVALUES,$V606,$K$1)</f>
        <v>0.3</v>
      </c>
    </row>
    <row r="607" ht="15.75" customHeight="1">
      <c r="A607" s="435"/>
      <c r="B607" s="436"/>
      <c r="C607" s="95" t="str">
        <f t="array" ref="C607">IF(I607&gt;0,INDEX(DB,I607,8),"")</f>
        <v/>
      </c>
      <c r="D607" s="437">
        <f t="shared" si="1"/>
        <v>0</v>
      </c>
      <c r="F607" s="438">
        <f t="shared" si="2"/>
        <v>0</v>
      </c>
      <c r="G607" t="str">
        <f t="shared" si="3"/>
        <v/>
      </c>
      <c r="H607" t="b">
        <f t="shared" si="4"/>
        <v>0</v>
      </c>
      <c r="I607" s="439">
        <f>IF(OR(ISBLANK(A607),ISNA(MATCH(A607&amp;"",AthleteNumbers,0))),0,MATCH(A607&amp;"",AthleteNumbers,0))</f>
        <v>0</v>
      </c>
      <c r="J607" s="209">
        <f t="array" ref="J607">IF(I607&gt;0,INDEX(DB,$I607,6),0)</f>
        <v>0</v>
      </c>
      <c r="K607" s="440">
        <f t="shared" si="5"/>
        <v>0</v>
      </c>
      <c r="L607" s="440">
        <f t="shared" si="6"/>
        <v>0</v>
      </c>
      <c r="M607" s="441">
        <f>IF(AND(L607&gt;O607,O607&gt;0),MinPoints,IF(L607&lt;N607,100,+INT((O607-$L607)/P607)+MinPoints))</f>
        <v>100</v>
      </c>
      <c r="N607" s="440">
        <f t="shared" si="7"/>
        <v>7</v>
      </c>
      <c r="O607" s="440">
        <f t="shared" si="8"/>
        <v>16</v>
      </c>
      <c r="P607" s="440">
        <f t="shared" si="9"/>
        <v>0.1</v>
      </c>
      <c r="Q607">
        <f t="array" ref="Q607">IF(I607&gt;0,INDEX(DB,I607,9),EventIndex)</f>
        <v>6</v>
      </c>
      <c r="S607" s="442">
        <f t="array" ref="S607">INDEX(MINVALUES,$Q607,$K$1)</f>
        <v>16</v>
      </c>
      <c r="T607">
        <f t="array" ref="T607">INDEX(INCVALUES,$Q607,$K$1)</f>
        <v>0.1</v>
      </c>
      <c r="V607">
        <f t="array" ref="V607">+J607+(4*(INDEX(MatchScoreTable,$Q607,20)-1))</f>
        <v>4</v>
      </c>
      <c r="W607">
        <f t="array" ref="W607">INDEX(INC_MINVALUES,$V607,$K$1)</f>
        <v>34</v>
      </c>
      <c r="X607" s="212">
        <f t="array" ref="X607">INDEX(INC_INCVALUES,$V607,$K$1)</f>
        <v>0.3</v>
      </c>
    </row>
    <row r="608" ht="15.75" customHeight="1">
      <c r="A608" s="435"/>
      <c r="B608" s="436"/>
      <c r="C608" s="95" t="str">
        <f t="array" ref="C608">IF(I608&gt;0,INDEX(DB,I608,8),"")</f>
        <v/>
      </c>
      <c r="D608" s="437">
        <f t="shared" si="1"/>
        <v>0</v>
      </c>
      <c r="F608" s="438">
        <f t="shared" si="2"/>
        <v>0</v>
      </c>
      <c r="G608" t="str">
        <f t="shared" si="3"/>
        <v/>
      </c>
      <c r="H608" t="b">
        <f t="shared" si="4"/>
        <v>0</v>
      </c>
      <c r="I608" s="439">
        <f>IF(OR(ISBLANK(A608),ISNA(MATCH(A608&amp;"",AthleteNumbers,0))),0,MATCH(A608&amp;"",AthleteNumbers,0))</f>
        <v>0</v>
      </c>
      <c r="J608" s="209">
        <f t="array" ref="J608">IF(I608&gt;0,INDEX(DB,$I608,6),0)</f>
        <v>0</v>
      </c>
      <c r="K608" s="440">
        <f t="shared" si="5"/>
        <v>0</v>
      </c>
      <c r="L608" s="440">
        <f t="shared" si="6"/>
        <v>0</v>
      </c>
      <c r="M608" s="441">
        <f>IF(AND(L608&gt;O608,O608&gt;0),MinPoints,IF(L608&lt;N608,100,+INT((O608-$L608)/P608)+MinPoints))</f>
        <v>100</v>
      </c>
      <c r="N608" s="440">
        <f t="shared" si="7"/>
        <v>7</v>
      </c>
      <c r="O608" s="440">
        <f t="shared" si="8"/>
        <v>16</v>
      </c>
      <c r="P608" s="440">
        <f t="shared" si="9"/>
        <v>0.1</v>
      </c>
      <c r="Q608">
        <f t="array" ref="Q608">IF(I608&gt;0,INDEX(DB,I608,9),EventIndex)</f>
        <v>6</v>
      </c>
      <c r="S608" s="442">
        <f t="array" ref="S608">INDEX(MINVALUES,$Q608,$K$1)</f>
        <v>16</v>
      </c>
      <c r="T608">
        <f t="array" ref="T608">INDEX(INCVALUES,$Q608,$K$1)</f>
        <v>0.1</v>
      </c>
      <c r="V608">
        <f t="array" ref="V608">+J608+(4*(INDEX(MatchScoreTable,$Q608,20)-1))</f>
        <v>4</v>
      </c>
      <c r="W608">
        <f t="array" ref="W608">INDEX(INC_MINVALUES,$V608,$K$1)</f>
        <v>34</v>
      </c>
      <c r="X608" s="212">
        <f t="array" ref="X608">INDEX(INC_INCVALUES,$V608,$K$1)</f>
        <v>0.3</v>
      </c>
    </row>
    <row r="609" ht="15.75" customHeight="1">
      <c r="A609" s="435"/>
      <c r="B609" s="436"/>
      <c r="C609" s="95" t="str">
        <f t="array" ref="C609">IF(I609&gt;0,INDEX(DB,I609,8),"")</f>
        <v/>
      </c>
      <c r="D609" s="437">
        <f t="shared" si="1"/>
        <v>0</v>
      </c>
      <c r="F609" s="438">
        <f t="shared" si="2"/>
        <v>0</v>
      </c>
      <c r="G609" t="str">
        <f t="shared" si="3"/>
        <v/>
      </c>
      <c r="H609" t="b">
        <f t="shared" si="4"/>
        <v>0</v>
      </c>
      <c r="I609" s="439">
        <f>IF(OR(ISBLANK(A609),ISNA(MATCH(A609&amp;"",AthleteNumbers,0))),0,MATCH(A609&amp;"",AthleteNumbers,0))</f>
        <v>0</v>
      </c>
      <c r="J609" s="209">
        <f t="array" ref="J609">IF(I609&gt;0,INDEX(DB,$I609,6),0)</f>
        <v>0</v>
      </c>
      <c r="K609" s="440">
        <f t="shared" si="5"/>
        <v>0</v>
      </c>
      <c r="L609" s="440">
        <f t="shared" si="6"/>
        <v>0</v>
      </c>
      <c r="M609" s="441">
        <f>IF(AND(L609&gt;O609,O609&gt;0),MinPoints,IF(L609&lt;N609,100,+INT((O609-$L609)/P609)+MinPoints))</f>
        <v>100</v>
      </c>
      <c r="N609" s="440">
        <f t="shared" si="7"/>
        <v>7</v>
      </c>
      <c r="O609" s="440">
        <f t="shared" si="8"/>
        <v>16</v>
      </c>
      <c r="P609" s="440">
        <f t="shared" si="9"/>
        <v>0.1</v>
      </c>
      <c r="Q609">
        <f t="array" ref="Q609">IF(I609&gt;0,INDEX(DB,I609,9),EventIndex)</f>
        <v>6</v>
      </c>
      <c r="S609" s="442">
        <f t="array" ref="S609">INDEX(MINVALUES,$Q609,$K$1)</f>
        <v>16</v>
      </c>
      <c r="T609">
        <f t="array" ref="T609">INDEX(INCVALUES,$Q609,$K$1)</f>
        <v>0.1</v>
      </c>
      <c r="V609">
        <f t="array" ref="V609">+J609+(4*(INDEX(MatchScoreTable,$Q609,20)-1))</f>
        <v>4</v>
      </c>
      <c r="W609">
        <f t="array" ref="W609">INDEX(INC_MINVALUES,$V609,$K$1)</f>
        <v>34</v>
      </c>
      <c r="X609" s="212">
        <f t="array" ref="X609">INDEX(INC_INCVALUES,$V609,$K$1)</f>
        <v>0.3</v>
      </c>
    </row>
    <row r="610" ht="15.75" customHeight="1">
      <c r="A610" s="435"/>
      <c r="B610" s="436"/>
      <c r="C610" s="95" t="str">
        <f t="array" ref="C610">IF(I610&gt;0,INDEX(DB,I610,8),"")</f>
        <v/>
      </c>
      <c r="D610" s="437">
        <f t="shared" si="1"/>
        <v>0</v>
      </c>
      <c r="F610" s="438">
        <f t="shared" si="2"/>
        <v>0</v>
      </c>
      <c r="G610" t="str">
        <f t="shared" si="3"/>
        <v/>
      </c>
      <c r="H610" t="b">
        <f t="shared" si="4"/>
        <v>0</v>
      </c>
      <c r="I610" s="439">
        <f>IF(OR(ISBLANK(A610),ISNA(MATCH(A610&amp;"",AthleteNumbers,0))),0,MATCH(A610&amp;"",AthleteNumbers,0))</f>
        <v>0</v>
      </c>
      <c r="J610" s="209">
        <f t="array" ref="J610">IF(I610&gt;0,INDEX(DB,$I610,6),0)</f>
        <v>0</v>
      </c>
      <c r="K610" s="440">
        <f t="shared" si="5"/>
        <v>0</v>
      </c>
      <c r="L610" s="440">
        <f t="shared" si="6"/>
        <v>0</v>
      </c>
      <c r="M610" s="441">
        <f>IF(AND(L610&gt;O610,O610&gt;0),MinPoints,IF(L610&lt;N610,100,+INT((O610-$L610)/P610)+MinPoints))</f>
        <v>100</v>
      </c>
      <c r="N610" s="440">
        <f t="shared" si="7"/>
        <v>7</v>
      </c>
      <c r="O610" s="440">
        <f t="shared" si="8"/>
        <v>16</v>
      </c>
      <c r="P610" s="440">
        <f t="shared" si="9"/>
        <v>0.1</v>
      </c>
      <c r="Q610">
        <f t="array" ref="Q610">IF(I610&gt;0,INDEX(DB,I610,9),EventIndex)</f>
        <v>6</v>
      </c>
      <c r="S610" s="442">
        <f t="array" ref="S610">INDEX(MINVALUES,$Q610,$K$1)</f>
        <v>16</v>
      </c>
      <c r="T610">
        <f t="array" ref="T610">INDEX(INCVALUES,$Q610,$K$1)</f>
        <v>0.1</v>
      </c>
      <c r="V610">
        <f t="array" ref="V610">+J610+(4*(INDEX(MatchScoreTable,$Q610,20)-1))</f>
        <v>4</v>
      </c>
      <c r="W610">
        <f t="array" ref="W610">INDEX(INC_MINVALUES,$V610,$K$1)</f>
        <v>34</v>
      </c>
      <c r="X610" s="212">
        <f t="array" ref="X610">INDEX(INC_INCVALUES,$V610,$K$1)</f>
        <v>0.3</v>
      </c>
    </row>
    <row r="611" ht="15.75" customHeight="1">
      <c r="A611" s="435"/>
      <c r="B611" s="436"/>
      <c r="C611" s="95" t="str">
        <f t="array" ref="C611">IF(I611&gt;0,INDEX(DB,I611,8),"")</f>
        <v/>
      </c>
      <c r="D611" s="437">
        <f t="shared" si="1"/>
        <v>0</v>
      </c>
      <c r="F611" s="438">
        <f t="shared" si="2"/>
        <v>0</v>
      </c>
      <c r="G611" t="str">
        <f t="shared" si="3"/>
        <v/>
      </c>
      <c r="H611" t="b">
        <f t="shared" si="4"/>
        <v>0</v>
      </c>
      <c r="I611" s="439">
        <f>IF(OR(ISBLANK(A611),ISNA(MATCH(A611&amp;"",AthleteNumbers,0))),0,MATCH(A611&amp;"",AthleteNumbers,0))</f>
        <v>0</v>
      </c>
      <c r="J611" s="209">
        <f t="array" ref="J611">IF(I611&gt;0,INDEX(DB,$I611,6),0)</f>
        <v>0</v>
      </c>
      <c r="K611" s="440">
        <f t="shared" si="5"/>
        <v>0</v>
      </c>
      <c r="L611" s="440">
        <f t="shared" si="6"/>
        <v>0</v>
      </c>
      <c r="M611" s="441">
        <f>IF(AND(L611&gt;O611,O611&gt;0),MinPoints,IF(L611&lt;N611,100,+INT((O611-$L611)/P611)+MinPoints))</f>
        <v>100</v>
      </c>
      <c r="N611" s="440">
        <f t="shared" si="7"/>
        <v>7</v>
      </c>
      <c r="O611" s="440">
        <f t="shared" si="8"/>
        <v>16</v>
      </c>
      <c r="P611" s="440">
        <f t="shared" si="9"/>
        <v>0.1</v>
      </c>
      <c r="Q611">
        <f t="array" ref="Q611">IF(I611&gt;0,INDEX(DB,I611,9),EventIndex)</f>
        <v>6</v>
      </c>
      <c r="S611" s="442">
        <f t="array" ref="S611">INDEX(MINVALUES,$Q611,$K$1)</f>
        <v>16</v>
      </c>
      <c r="T611">
        <f t="array" ref="T611">INDEX(INCVALUES,$Q611,$K$1)</f>
        <v>0.1</v>
      </c>
      <c r="V611">
        <f t="array" ref="V611">+J611+(4*(INDEX(MatchScoreTable,$Q611,20)-1))</f>
        <v>4</v>
      </c>
      <c r="W611">
        <f t="array" ref="W611">INDEX(INC_MINVALUES,$V611,$K$1)</f>
        <v>34</v>
      </c>
      <c r="X611" s="212">
        <f t="array" ref="X611">INDEX(INC_INCVALUES,$V611,$K$1)</f>
        <v>0.3</v>
      </c>
    </row>
    <row r="612" ht="15.75" customHeight="1">
      <c r="A612" s="435"/>
      <c r="B612" s="436"/>
      <c r="C612" s="95" t="str">
        <f t="array" ref="C612">IF(I612&gt;0,INDEX(DB,I612,8),"")</f>
        <v/>
      </c>
      <c r="D612" s="437">
        <f t="shared" si="1"/>
        <v>0</v>
      </c>
      <c r="F612" s="438">
        <f t="shared" si="2"/>
        <v>0</v>
      </c>
      <c r="G612" t="str">
        <f t="shared" si="3"/>
        <v/>
      </c>
      <c r="H612" t="b">
        <f t="shared" si="4"/>
        <v>0</v>
      </c>
      <c r="I612" s="439">
        <f>IF(OR(ISBLANK(A612),ISNA(MATCH(A612&amp;"",AthleteNumbers,0))),0,MATCH(A612&amp;"",AthleteNumbers,0))</f>
        <v>0</v>
      </c>
      <c r="J612" s="209">
        <f t="array" ref="J612">IF(I612&gt;0,INDEX(DB,$I612,6),0)</f>
        <v>0</v>
      </c>
      <c r="K612" s="440">
        <f t="shared" si="5"/>
        <v>0</v>
      </c>
      <c r="L612" s="440">
        <f t="shared" si="6"/>
        <v>0</v>
      </c>
      <c r="M612" s="441">
        <f>IF(AND(L612&gt;O612,O612&gt;0),MinPoints,IF(L612&lt;N612,100,+INT((O612-$L612)/P612)+MinPoints))</f>
        <v>100</v>
      </c>
      <c r="N612" s="440">
        <f t="shared" si="7"/>
        <v>7</v>
      </c>
      <c r="O612" s="440">
        <f t="shared" si="8"/>
        <v>16</v>
      </c>
      <c r="P612" s="440">
        <f t="shared" si="9"/>
        <v>0.1</v>
      </c>
      <c r="Q612">
        <f t="array" ref="Q612">IF(I612&gt;0,INDEX(DB,I612,9),EventIndex)</f>
        <v>6</v>
      </c>
      <c r="S612" s="442">
        <f t="array" ref="S612">INDEX(MINVALUES,$Q612,$K$1)</f>
        <v>16</v>
      </c>
      <c r="T612">
        <f t="array" ref="T612">INDEX(INCVALUES,$Q612,$K$1)</f>
        <v>0.1</v>
      </c>
      <c r="V612">
        <f t="array" ref="V612">+J612+(4*(INDEX(MatchScoreTable,$Q612,20)-1))</f>
        <v>4</v>
      </c>
      <c r="W612">
        <f t="array" ref="W612">INDEX(INC_MINVALUES,$V612,$K$1)</f>
        <v>34</v>
      </c>
      <c r="X612" s="212">
        <f t="array" ref="X612">INDEX(INC_INCVALUES,$V612,$K$1)</f>
        <v>0.3</v>
      </c>
    </row>
    <row r="613" ht="15.75" customHeight="1">
      <c r="A613" s="435"/>
      <c r="B613" s="436"/>
      <c r="C613" s="95" t="str">
        <f t="array" ref="C613">IF(I613&gt;0,INDEX(DB,I613,8),"")</f>
        <v/>
      </c>
      <c r="D613" s="437">
        <f t="shared" si="1"/>
        <v>0</v>
      </c>
      <c r="F613" s="438">
        <f t="shared" si="2"/>
        <v>0</v>
      </c>
      <c r="G613" t="str">
        <f t="shared" si="3"/>
        <v/>
      </c>
      <c r="H613" t="b">
        <f t="shared" si="4"/>
        <v>0</v>
      </c>
      <c r="I613" s="439">
        <f>IF(OR(ISBLANK(A613),ISNA(MATCH(A613&amp;"",AthleteNumbers,0))),0,MATCH(A613&amp;"",AthleteNumbers,0))</f>
        <v>0</v>
      </c>
      <c r="J613" s="209">
        <f t="array" ref="J613">IF(I613&gt;0,INDEX(DB,$I613,6),0)</f>
        <v>0</v>
      </c>
      <c r="K613" s="440">
        <f t="shared" si="5"/>
        <v>0</v>
      </c>
      <c r="L613" s="440">
        <f t="shared" si="6"/>
        <v>0</v>
      </c>
      <c r="M613" s="441">
        <f>IF(AND(L613&gt;O613,O613&gt;0),MinPoints,IF(L613&lt;N613,100,+INT((O613-$L613)/P613)+MinPoints))</f>
        <v>100</v>
      </c>
      <c r="N613" s="440">
        <f t="shared" si="7"/>
        <v>7</v>
      </c>
      <c r="O613" s="440">
        <f t="shared" si="8"/>
        <v>16</v>
      </c>
      <c r="P613" s="440">
        <f t="shared" si="9"/>
        <v>0.1</v>
      </c>
      <c r="Q613">
        <f t="array" ref="Q613">IF(I613&gt;0,INDEX(DB,I613,9),EventIndex)</f>
        <v>6</v>
      </c>
      <c r="S613" s="442">
        <f t="array" ref="S613">INDEX(MINVALUES,$Q613,$K$1)</f>
        <v>16</v>
      </c>
      <c r="T613">
        <f t="array" ref="T613">INDEX(INCVALUES,$Q613,$K$1)</f>
        <v>0.1</v>
      </c>
      <c r="V613">
        <f t="array" ref="V613">+J613+(4*(INDEX(MatchScoreTable,$Q613,20)-1))</f>
        <v>4</v>
      </c>
      <c r="W613">
        <f t="array" ref="W613">INDEX(INC_MINVALUES,$V613,$K$1)</f>
        <v>34</v>
      </c>
      <c r="X613" s="212">
        <f t="array" ref="X613">INDEX(INC_INCVALUES,$V613,$K$1)</f>
        <v>0.3</v>
      </c>
    </row>
    <row r="614" ht="15.75" customHeight="1">
      <c r="A614" s="435"/>
      <c r="B614" s="436"/>
      <c r="C614" s="95" t="str">
        <f t="array" ref="C614">IF(I614&gt;0,INDEX(DB,I614,8),"")</f>
        <v/>
      </c>
      <c r="D614" s="437">
        <f t="shared" si="1"/>
        <v>0</v>
      </c>
      <c r="F614" s="438">
        <f t="shared" si="2"/>
        <v>0</v>
      </c>
      <c r="G614" t="str">
        <f t="shared" si="3"/>
        <v/>
      </c>
      <c r="H614" t="b">
        <f t="shared" si="4"/>
        <v>0</v>
      </c>
      <c r="I614" s="439">
        <f>IF(OR(ISBLANK(A614),ISNA(MATCH(A614&amp;"",AthleteNumbers,0))),0,MATCH(A614&amp;"",AthleteNumbers,0))</f>
        <v>0</v>
      </c>
      <c r="J614" s="209">
        <f t="array" ref="J614">IF(I614&gt;0,INDEX(DB,$I614,6),0)</f>
        <v>0</v>
      </c>
      <c r="K614" s="440">
        <f t="shared" si="5"/>
        <v>0</v>
      </c>
      <c r="L614" s="440">
        <f t="shared" si="6"/>
        <v>0</v>
      </c>
      <c r="M614" s="441">
        <f>IF(AND(L614&gt;O614,O614&gt;0),MinPoints,IF(L614&lt;N614,100,+INT((O614-$L614)/P614)+MinPoints))</f>
        <v>100</v>
      </c>
      <c r="N614" s="440">
        <f t="shared" si="7"/>
        <v>7</v>
      </c>
      <c r="O614" s="440">
        <f t="shared" si="8"/>
        <v>16</v>
      </c>
      <c r="P614" s="440">
        <f t="shared" si="9"/>
        <v>0.1</v>
      </c>
      <c r="Q614">
        <f t="array" ref="Q614">IF(I614&gt;0,INDEX(DB,I614,9),EventIndex)</f>
        <v>6</v>
      </c>
      <c r="S614" s="442">
        <f t="array" ref="S614">INDEX(MINVALUES,$Q614,$K$1)</f>
        <v>16</v>
      </c>
      <c r="T614">
        <f t="array" ref="T614">INDEX(INCVALUES,$Q614,$K$1)</f>
        <v>0.1</v>
      </c>
      <c r="V614">
        <f t="array" ref="V614">+J614+(4*(INDEX(MatchScoreTable,$Q614,20)-1))</f>
        <v>4</v>
      </c>
      <c r="W614">
        <f t="array" ref="W614">INDEX(INC_MINVALUES,$V614,$K$1)</f>
        <v>34</v>
      </c>
      <c r="X614" s="212">
        <f t="array" ref="X614">INDEX(INC_INCVALUES,$V614,$K$1)</f>
        <v>0.3</v>
      </c>
    </row>
    <row r="615" ht="15.75" customHeight="1">
      <c r="A615" s="435"/>
      <c r="B615" s="436"/>
      <c r="C615" s="95" t="str">
        <f t="array" ref="C615">IF(I615&gt;0,INDEX(DB,I615,8),"")</f>
        <v/>
      </c>
      <c r="D615" s="437">
        <f t="shared" si="1"/>
        <v>0</v>
      </c>
      <c r="F615" s="438">
        <f t="shared" si="2"/>
        <v>0</v>
      </c>
      <c r="G615" t="str">
        <f t="shared" si="3"/>
        <v/>
      </c>
      <c r="H615" t="b">
        <f t="shared" si="4"/>
        <v>0</v>
      </c>
      <c r="I615" s="439">
        <f>IF(OR(ISBLANK(A615),ISNA(MATCH(A615&amp;"",AthleteNumbers,0))),0,MATCH(A615&amp;"",AthleteNumbers,0))</f>
        <v>0</v>
      </c>
      <c r="J615" s="209">
        <f t="array" ref="J615">IF(I615&gt;0,INDEX(DB,$I615,6),0)</f>
        <v>0</v>
      </c>
      <c r="K615" s="440">
        <f t="shared" si="5"/>
        <v>0</v>
      </c>
      <c r="L615" s="440">
        <f t="shared" si="6"/>
        <v>0</v>
      </c>
      <c r="M615" s="441">
        <f>IF(AND(L615&gt;O615,O615&gt;0),MinPoints,IF(L615&lt;N615,100,+INT((O615-$L615)/P615)+MinPoints))</f>
        <v>100</v>
      </c>
      <c r="N615" s="440">
        <f t="shared" si="7"/>
        <v>7</v>
      </c>
      <c r="O615" s="440">
        <f t="shared" si="8"/>
        <v>16</v>
      </c>
      <c r="P615" s="440">
        <f t="shared" si="9"/>
        <v>0.1</v>
      </c>
      <c r="Q615">
        <f t="array" ref="Q615">IF(I615&gt;0,INDEX(DB,I615,9),EventIndex)</f>
        <v>6</v>
      </c>
      <c r="S615" s="442">
        <f t="array" ref="S615">INDEX(MINVALUES,$Q615,$K$1)</f>
        <v>16</v>
      </c>
      <c r="T615">
        <f t="array" ref="T615">INDEX(INCVALUES,$Q615,$K$1)</f>
        <v>0.1</v>
      </c>
      <c r="V615">
        <f t="array" ref="V615">+J615+(4*(INDEX(MatchScoreTable,$Q615,20)-1))</f>
        <v>4</v>
      </c>
      <c r="W615">
        <f t="array" ref="W615">INDEX(INC_MINVALUES,$V615,$K$1)</f>
        <v>34</v>
      </c>
      <c r="X615" s="212">
        <f t="array" ref="X615">INDEX(INC_INCVALUES,$V615,$K$1)</f>
        <v>0.3</v>
      </c>
    </row>
    <row r="616" ht="15.75" customHeight="1">
      <c r="A616" s="435"/>
      <c r="B616" s="436"/>
      <c r="C616" s="95" t="str">
        <f t="array" ref="C616">IF(I616&gt;0,INDEX(DB,I616,8),"")</f>
        <v/>
      </c>
      <c r="D616" s="437">
        <f t="shared" si="1"/>
        <v>0</v>
      </c>
      <c r="F616" s="438">
        <f t="shared" si="2"/>
        <v>0</v>
      </c>
      <c r="G616" t="str">
        <f t="shared" si="3"/>
        <v/>
      </c>
      <c r="H616" t="b">
        <f t="shared" si="4"/>
        <v>0</v>
      </c>
      <c r="I616" s="439">
        <f>IF(OR(ISBLANK(A616),ISNA(MATCH(A616&amp;"",AthleteNumbers,0))),0,MATCH(A616&amp;"",AthleteNumbers,0))</f>
        <v>0</v>
      </c>
      <c r="J616" s="209">
        <f t="array" ref="J616">IF(I616&gt;0,INDEX(DB,$I616,6),0)</f>
        <v>0</v>
      </c>
      <c r="K616" s="440">
        <f t="shared" si="5"/>
        <v>0</v>
      </c>
      <c r="L616" s="440">
        <f t="shared" si="6"/>
        <v>0</v>
      </c>
      <c r="M616" s="441">
        <f>IF(AND(L616&gt;O616,O616&gt;0),MinPoints,IF(L616&lt;N616,100,+INT((O616-$L616)/P616)+MinPoints))</f>
        <v>100</v>
      </c>
      <c r="N616" s="440">
        <f t="shared" si="7"/>
        <v>7</v>
      </c>
      <c r="O616" s="440">
        <f t="shared" si="8"/>
        <v>16</v>
      </c>
      <c r="P616" s="440">
        <f t="shared" si="9"/>
        <v>0.1</v>
      </c>
      <c r="Q616">
        <f t="array" ref="Q616">IF(I616&gt;0,INDEX(DB,I616,9),EventIndex)</f>
        <v>6</v>
      </c>
      <c r="S616" s="442">
        <f t="array" ref="S616">INDEX(MINVALUES,$Q616,$K$1)</f>
        <v>16</v>
      </c>
      <c r="T616">
        <f t="array" ref="T616">INDEX(INCVALUES,$Q616,$K$1)</f>
        <v>0.1</v>
      </c>
      <c r="V616">
        <f t="array" ref="V616">+J616+(4*(INDEX(MatchScoreTable,$Q616,20)-1))</f>
        <v>4</v>
      </c>
      <c r="W616">
        <f t="array" ref="W616">INDEX(INC_MINVALUES,$V616,$K$1)</f>
        <v>34</v>
      </c>
      <c r="X616" s="212">
        <f t="array" ref="X616">INDEX(INC_INCVALUES,$V616,$K$1)</f>
        <v>0.3</v>
      </c>
    </row>
    <row r="617" ht="15.75" customHeight="1">
      <c r="A617" s="435"/>
      <c r="B617" s="436"/>
      <c r="C617" s="95" t="str">
        <f t="array" ref="C617">IF(I617&gt;0,INDEX(DB,I617,8),"")</f>
        <v/>
      </c>
      <c r="D617" s="437">
        <f t="shared" si="1"/>
        <v>0</v>
      </c>
      <c r="F617" s="438">
        <f t="shared" si="2"/>
        <v>0</v>
      </c>
      <c r="G617" t="str">
        <f t="shared" si="3"/>
        <v/>
      </c>
      <c r="H617" t="b">
        <f t="shared" si="4"/>
        <v>0</v>
      </c>
      <c r="I617" s="439">
        <f>IF(OR(ISBLANK(A617),ISNA(MATCH(A617&amp;"",AthleteNumbers,0))),0,MATCH(A617&amp;"",AthleteNumbers,0))</f>
        <v>0</v>
      </c>
      <c r="J617" s="209">
        <f t="array" ref="J617">IF(I617&gt;0,INDEX(DB,$I617,6),0)</f>
        <v>0</v>
      </c>
      <c r="K617" s="440">
        <f t="shared" si="5"/>
        <v>0</v>
      </c>
      <c r="L617" s="440">
        <f t="shared" si="6"/>
        <v>0</v>
      </c>
      <c r="M617" s="441">
        <f>IF(AND(L617&gt;O617,O617&gt;0),MinPoints,IF(L617&lt;N617,100,+INT((O617-$L617)/P617)+MinPoints))</f>
        <v>100</v>
      </c>
      <c r="N617" s="440">
        <f t="shared" si="7"/>
        <v>7</v>
      </c>
      <c r="O617" s="440">
        <f t="shared" si="8"/>
        <v>16</v>
      </c>
      <c r="P617" s="440">
        <f t="shared" si="9"/>
        <v>0.1</v>
      </c>
      <c r="Q617">
        <f t="array" ref="Q617">IF(I617&gt;0,INDEX(DB,I617,9),EventIndex)</f>
        <v>6</v>
      </c>
      <c r="S617" s="442">
        <f t="array" ref="S617">INDEX(MINVALUES,$Q617,$K$1)</f>
        <v>16</v>
      </c>
      <c r="T617">
        <f t="array" ref="T617">INDEX(INCVALUES,$Q617,$K$1)</f>
        <v>0.1</v>
      </c>
      <c r="V617">
        <f t="array" ref="V617">+J617+(4*(INDEX(MatchScoreTable,$Q617,20)-1))</f>
        <v>4</v>
      </c>
      <c r="W617">
        <f t="array" ref="W617">INDEX(INC_MINVALUES,$V617,$K$1)</f>
        <v>34</v>
      </c>
      <c r="X617" s="212">
        <f t="array" ref="X617">INDEX(INC_INCVALUES,$V617,$K$1)</f>
        <v>0.3</v>
      </c>
    </row>
    <row r="618" ht="15.75" customHeight="1">
      <c r="A618" s="435"/>
      <c r="B618" s="436"/>
      <c r="C618" s="95" t="str">
        <f t="array" ref="C618">IF(I618&gt;0,INDEX(DB,I618,8),"")</f>
        <v/>
      </c>
      <c r="D618" s="437">
        <f t="shared" si="1"/>
        <v>0</v>
      </c>
      <c r="F618" s="438">
        <f t="shared" si="2"/>
        <v>0</v>
      </c>
      <c r="G618" t="str">
        <f t="shared" si="3"/>
        <v/>
      </c>
      <c r="H618" t="b">
        <f t="shared" si="4"/>
        <v>0</v>
      </c>
      <c r="I618" s="439">
        <f>IF(OR(ISBLANK(A618),ISNA(MATCH(A618&amp;"",AthleteNumbers,0))),0,MATCH(A618&amp;"",AthleteNumbers,0))</f>
        <v>0</v>
      </c>
      <c r="J618" s="209">
        <f t="array" ref="J618">IF(I618&gt;0,INDEX(DB,$I618,6),0)</f>
        <v>0</v>
      </c>
      <c r="K618" s="440">
        <f t="shared" si="5"/>
        <v>0</v>
      </c>
      <c r="L618" s="440">
        <f t="shared" si="6"/>
        <v>0</v>
      </c>
      <c r="M618" s="441">
        <f>IF(AND(L618&gt;O618,O618&gt;0),MinPoints,IF(L618&lt;N618,100,+INT((O618-$L618)/P618)+MinPoints))</f>
        <v>100</v>
      </c>
      <c r="N618" s="440">
        <f t="shared" si="7"/>
        <v>7</v>
      </c>
      <c r="O618" s="440">
        <f t="shared" si="8"/>
        <v>16</v>
      </c>
      <c r="P618" s="440">
        <f t="shared" si="9"/>
        <v>0.1</v>
      </c>
      <c r="Q618">
        <f t="array" ref="Q618">IF(I618&gt;0,INDEX(DB,I618,9),EventIndex)</f>
        <v>6</v>
      </c>
      <c r="S618" s="442">
        <f t="array" ref="S618">INDEX(MINVALUES,$Q618,$K$1)</f>
        <v>16</v>
      </c>
      <c r="T618">
        <f t="array" ref="T618">INDEX(INCVALUES,$Q618,$K$1)</f>
        <v>0.1</v>
      </c>
      <c r="V618">
        <f t="array" ref="V618">+J618+(4*(INDEX(MatchScoreTable,$Q618,20)-1))</f>
        <v>4</v>
      </c>
      <c r="W618">
        <f t="array" ref="W618">INDEX(INC_MINVALUES,$V618,$K$1)</f>
        <v>34</v>
      </c>
      <c r="X618" s="212">
        <f t="array" ref="X618">INDEX(INC_INCVALUES,$V618,$K$1)</f>
        <v>0.3</v>
      </c>
    </row>
    <row r="619" ht="15.75" customHeight="1">
      <c r="A619" s="435"/>
      <c r="B619" s="436"/>
      <c r="C619" s="95" t="str">
        <f t="array" ref="C619">IF(I619&gt;0,INDEX(DB,I619,8),"")</f>
        <v/>
      </c>
      <c r="D619" s="437">
        <f t="shared" si="1"/>
        <v>0</v>
      </c>
      <c r="F619" s="438">
        <f t="shared" si="2"/>
        <v>0</v>
      </c>
      <c r="G619" t="str">
        <f t="shared" si="3"/>
        <v/>
      </c>
      <c r="H619" t="b">
        <f t="shared" si="4"/>
        <v>0</v>
      </c>
      <c r="I619" s="439">
        <f>IF(OR(ISBLANK(A619),ISNA(MATCH(A619&amp;"",AthleteNumbers,0))),0,MATCH(A619&amp;"",AthleteNumbers,0))</f>
        <v>0</v>
      </c>
      <c r="J619" s="209">
        <f t="array" ref="J619">IF(I619&gt;0,INDEX(DB,$I619,6),0)</f>
        <v>0</v>
      </c>
      <c r="K619" s="440">
        <f t="shared" si="5"/>
        <v>0</v>
      </c>
      <c r="L619" s="440">
        <f t="shared" si="6"/>
        <v>0</v>
      </c>
      <c r="M619" s="441">
        <f>IF(AND(L619&gt;O619,O619&gt;0),MinPoints,IF(L619&lt;N619,100,+INT((O619-$L619)/P619)+MinPoints))</f>
        <v>100</v>
      </c>
      <c r="N619" s="440">
        <f t="shared" si="7"/>
        <v>7</v>
      </c>
      <c r="O619" s="440">
        <f t="shared" si="8"/>
        <v>16</v>
      </c>
      <c r="P619" s="440">
        <f t="shared" si="9"/>
        <v>0.1</v>
      </c>
      <c r="Q619">
        <f t="array" ref="Q619">IF(I619&gt;0,INDEX(DB,I619,9),EventIndex)</f>
        <v>6</v>
      </c>
      <c r="S619" s="442">
        <f t="array" ref="S619">INDEX(MINVALUES,$Q619,$K$1)</f>
        <v>16</v>
      </c>
      <c r="T619">
        <f t="array" ref="T619">INDEX(INCVALUES,$Q619,$K$1)</f>
        <v>0.1</v>
      </c>
      <c r="V619">
        <f t="array" ref="V619">+J619+(4*(INDEX(MatchScoreTable,$Q619,20)-1))</f>
        <v>4</v>
      </c>
      <c r="W619">
        <f t="array" ref="W619">INDEX(INC_MINVALUES,$V619,$K$1)</f>
        <v>34</v>
      </c>
      <c r="X619" s="212">
        <f t="array" ref="X619">INDEX(INC_INCVALUES,$V619,$K$1)</f>
        <v>0.3</v>
      </c>
    </row>
    <row r="620" ht="15.75" customHeight="1">
      <c r="A620" s="435"/>
      <c r="B620" s="436"/>
      <c r="C620" s="95" t="str">
        <f t="array" ref="C620">IF(I620&gt;0,INDEX(DB,I620,8),"")</f>
        <v/>
      </c>
      <c r="D620" s="437">
        <f t="shared" si="1"/>
        <v>0</v>
      </c>
      <c r="F620" s="438">
        <f t="shared" si="2"/>
        <v>0</v>
      </c>
      <c r="G620" t="str">
        <f t="shared" si="3"/>
        <v/>
      </c>
      <c r="H620" t="b">
        <f t="shared" si="4"/>
        <v>0</v>
      </c>
      <c r="I620" s="439">
        <f>IF(OR(ISBLANK(A620),ISNA(MATCH(A620&amp;"",AthleteNumbers,0))),0,MATCH(A620&amp;"",AthleteNumbers,0))</f>
        <v>0</v>
      </c>
      <c r="J620" s="209">
        <f t="array" ref="J620">IF(I620&gt;0,INDEX(DB,$I620,6),0)</f>
        <v>0</v>
      </c>
      <c r="K620" s="440">
        <f t="shared" si="5"/>
        <v>0</v>
      </c>
      <c r="L620" s="440">
        <f t="shared" si="6"/>
        <v>0</v>
      </c>
      <c r="M620" s="441">
        <f>IF(AND(L620&gt;O620,O620&gt;0),MinPoints,IF(L620&lt;N620,100,+INT((O620-$L620)/P620)+MinPoints))</f>
        <v>100</v>
      </c>
      <c r="N620" s="440">
        <f t="shared" si="7"/>
        <v>7</v>
      </c>
      <c r="O620" s="440">
        <f t="shared" si="8"/>
        <v>16</v>
      </c>
      <c r="P620" s="440">
        <f t="shared" si="9"/>
        <v>0.1</v>
      </c>
      <c r="Q620">
        <f t="array" ref="Q620">IF(I620&gt;0,INDEX(DB,I620,9),EventIndex)</f>
        <v>6</v>
      </c>
      <c r="S620" s="442">
        <f t="array" ref="S620">INDEX(MINVALUES,$Q620,$K$1)</f>
        <v>16</v>
      </c>
      <c r="T620">
        <f t="array" ref="T620">INDEX(INCVALUES,$Q620,$K$1)</f>
        <v>0.1</v>
      </c>
      <c r="V620">
        <f t="array" ref="V620">+J620+(4*(INDEX(MatchScoreTable,$Q620,20)-1))</f>
        <v>4</v>
      </c>
      <c r="W620">
        <f t="array" ref="W620">INDEX(INC_MINVALUES,$V620,$K$1)</f>
        <v>34</v>
      </c>
      <c r="X620" s="212">
        <f t="array" ref="X620">INDEX(INC_INCVALUES,$V620,$K$1)</f>
        <v>0.3</v>
      </c>
    </row>
    <row r="621" ht="15.75" customHeight="1">
      <c r="A621" s="435"/>
      <c r="B621" s="436"/>
      <c r="C621" s="95" t="str">
        <f t="array" ref="C621">IF(I621&gt;0,INDEX(DB,I621,8),"")</f>
        <v/>
      </c>
      <c r="D621" s="437">
        <f t="shared" si="1"/>
        <v>0</v>
      </c>
      <c r="F621" s="438">
        <f t="shared" si="2"/>
        <v>0</v>
      </c>
      <c r="G621" t="str">
        <f t="shared" si="3"/>
        <v/>
      </c>
      <c r="H621" t="b">
        <f t="shared" si="4"/>
        <v>0</v>
      </c>
      <c r="I621" s="439">
        <f>IF(OR(ISBLANK(A621),ISNA(MATCH(A621&amp;"",AthleteNumbers,0))),0,MATCH(A621&amp;"",AthleteNumbers,0))</f>
        <v>0</v>
      </c>
      <c r="J621" s="209">
        <f t="array" ref="J621">IF(I621&gt;0,INDEX(DB,$I621,6),0)</f>
        <v>0</v>
      </c>
      <c r="K621" s="440">
        <f t="shared" si="5"/>
        <v>0</v>
      </c>
      <c r="L621" s="440">
        <f t="shared" si="6"/>
        <v>0</v>
      </c>
      <c r="M621" s="441">
        <f>IF(AND(L621&gt;O621,O621&gt;0),MinPoints,IF(L621&lt;N621,100,+INT((O621-$L621)/P621)+MinPoints))</f>
        <v>100</v>
      </c>
      <c r="N621" s="440">
        <f t="shared" si="7"/>
        <v>7</v>
      </c>
      <c r="O621" s="440">
        <f t="shared" si="8"/>
        <v>16</v>
      </c>
      <c r="P621" s="440">
        <f t="shared" si="9"/>
        <v>0.1</v>
      </c>
      <c r="Q621">
        <f t="array" ref="Q621">IF(I621&gt;0,INDEX(DB,I621,9),EventIndex)</f>
        <v>6</v>
      </c>
      <c r="S621" s="442">
        <f t="array" ref="S621">INDEX(MINVALUES,$Q621,$K$1)</f>
        <v>16</v>
      </c>
      <c r="T621">
        <f t="array" ref="T621">INDEX(INCVALUES,$Q621,$K$1)</f>
        <v>0.1</v>
      </c>
      <c r="V621">
        <f t="array" ref="V621">+J621+(4*(INDEX(MatchScoreTable,$Q621,20)-1))</f>
        <v>4</v>
      </c>
      <c r="W621">
        <f t="array" ref="W621">INDEX(INC_MINVALUES,$V621,$K$1)</f>
        <v>34</v>
      </c>
      <c r="X621" s="212">
        <f t="array" ref="X621">INDEX(INC_INCVALUES,$V621,$K$1)</f>
        <v>0.3</v>
      </c>
    </row>
    <row r="622" ht="15.75" customHeight="1">
      <c r="A622" s="435"/>
      <c r="B622" s="436"/>
      <c r="C622" s="95" t="str">
        <f t="array" ref="C622">IF(I622&gt;0,INDEX(DB,I622,8),"")</f>
        <v/>
      </c>
      <c r="D622" s="437">
        <f t="shared" si="1"/>
        <v>0</v>
      </c>
      <c r="F622" s="438">
        <f t="shared" si="2"/>
        <v>0</v>
      </c>
      <c r="G622" t="str">
        <f t="shared" si="3"/>
        <v/>
      </c>
      <c r="H622" t="b">
        <f t="shared" si="4"/>
        <v>0</v>
      </c>
      <c r="I622" s="439">
        <f>IF(OR(ISBLANK(A622),ISNA(MATCH(A622&amp;"",AthleteNumbers,0))),0,MATCH(A622&amp;"",AthleteNumbers,0))</f>
        <v>0</v>
      </c>
      <c r="J622" s="209">
        <f t="array" ref="J622">IF(I622&gt;0,INDEX(DB,$I622,6),0)</f>
        <v>0</v>
      </c>
      <c r="K622" s="440">
        <f t="shared" si="5"/>
        <v>0</v>
      </c>
      <c r="L622" s="440">
        <f t="shared" si="6"/>
        <v>0</v>
      </c>
      <c r="M622" s="441">
        <f>IF(AND(L622&gt;O622,O622&gt;0),MinPoints,IF(L622&lt;N622,100,+INT((O622-$L622)/P622)+MinPoints))</f>
        <v>100</v>
      </c>
      <c r="N622" s="440">
        <f t="shared" si="7"/>
        <v>7</v>
      </c>
      <c r="O622" s="440">
        <f t="shared" si="8"/>
        <v>16</v>
      </c>
      <c r="P622" s="440">
        <f t="shared" si="9"/>
        <v>0.1</v>
      </c>
      <c r="Q622">
        <f t="array" ref="Q622">IF(I622&gt;0,INDEX(DB,I622,9),EventIndex)</f>
        <v>6</v>
      </c>
      <c r="S622" s="442">
        <f t="array" ref="S622">INDEX(MINVALUES,$Q622,$K$1)</f>
        <v>16</v>
      </c>
      <c r="T622">
        <f t="array" ref="T622">INDEX(INCVALUES,$Q622,$K$1)</f>
        <v>0.1</v>
      </c>
      <c r="V622">
        <f t="array" ref="V622">+J622+(4*(INDEX(MatchScoreTable,$Q622,20)-1))</f>
        <v>4</v>
      </c>
      <c r="W622">
        <f t="array" ref="W622">INDEX(INC_MINVALUES,$V622,$K$1)</f>
        <v>34</v>
      </c>
      <c r="X622" s="212">
        <f t="array" ref="X622">INDEX(INC_INCVALUES,$V622,$K$1)</f>
        <v>0.3</v>
      </c>
    </row>
    <row r="623" ht="15.75" customHeight="1">
      <c r="A623" s="435"/>
      <c r="B623" s="436"/>
      <c r="C623" s="95" t="str">
        <f t="array" ref="C623">IF(I623&gt;0,INDEX(DB,I623,8),"")</f>
        <v/>
      </c>
      <c r="D623" s="437">
        <f t="shared" si="1"/>
        <v>0</v>
      </c>
      <c r="F623" s="438">
        <f t="shared" si="2"/>
        <v>0</v>
      </c>
      <c r="G623" t="str">
        <f t="shared" si="3"/>
        <v/>
      </c>
      <c r="H623" t="b">
        <f t="shared" si="4"/>
        <v>0</v>
      </c>
      <c r="I623" s="439">
        <f>IF(OR(ISBLANK(A623),ISNA(MATCH(A623&amp;"",AthleteNumbers,0))),0,MATCH(A623&amp;"",AthleteNumbers,0))</f>
        <v>0</v>
      </c>
      <c r="J623" s="209">
        <f t="array" ref="J623">IF(I623&gt;0,INDEX(DB,$I623,6),0)</f>
        <v>0</v>
      </c>
      <c r="K623" s="440">
        <f t="shared" si="5"/>
        <v>0</v>
      </c>
      <c r="L623" s="440">
        <f t="shared" si="6"/>
        <v>0</v>
      </c>
      <c r="M623" s="441">
        <f>IF(AND(L623&gt;O623,O623&gt;0),MinPoints,IF(L623&lt;N623,100,+INT((O623-$L623)/P623)+MinPoints))</f>
        <v>100</v>
      </c>
      <c r="N623" s="440">
        <f t="shared" si="7"/>
        <v>7</v>
      </c>
      <c r="O623" s="440">
        <f t="shared" si="8"/>
        <v>16</v>
      </c>
      <c r="P623" s="440">
        <f t="shared" si="9"/>
        <v>0.1</v>
      </c>
      <c r="Q623">
        <f t="array" ref="Q623">IF(I623&gt;0,INDEX(DB,I623,9),EventIndex)</f>
        <v>6</v>
      </c>
      <c r="S623" s="442">
        <f t="array" ref="S623">INDEX(MINVALUES,$Q623,$K$1)</f>
        <v>16</v>
      </c>
      <c r="T623">
        <f t="array" ref="T623">INDEX(INCVALUES,$Q623,$K$1)</f>
        <v>0.1</v>
      </c>
      <c r="V623">
        <f t="array" ref="V623">+J623+(4*(INDEX(MatchScoreTable,$Q623,20)-1))</f>
        <v>4</v>
      </c>
      <c r="W623">
        <f t="array" ref="W623">INDEX(INC_MINVALUES,$V623,$K$1)</f>
        <v>34</v>
      </c>
      <c r="X623" s="212">
        <f t="array" ref="X623">INDEX(INC_INCVALUES,$V623,$K$1)</f>
        <v>0.3</v>
      </c>
    </row>
    <row r="624" ht="15.75" customHeight="1">
      <c r="A624" s="435"/>
      <c r="B624" s="436"/>
      <c r="C624" s="95" t="str">
        <f t="array" ref="C624">IF(I624&gt;0,INDEX(DB,I624,8),"")</f>
        <v/>
      </c>
      <c r="D624" s="437">
        <f t="shared" si="1"/>
        <v>0</v>
      </c>
      <c r="F624" s="438">
        <f t="shared" si="2"/>
        <v>0</v>
      </c>
      <c r="G624" t="str">
        <f t="shared" si="3"/>
        <v/>
      </c>
      <c r="H624" t="b">
        <f t="shared" si="4"/>
        <v>0</v>
      </c>
      <c r="I624" s="439">
        <f>IF(OR(ISBLANK(A624),ISNA(MATCH(A624&amp;"",AthleteNumbers,0))),0,MATCH(A624&amp;"",AthleteNumbers,0))</f>
        <v>0</v>
      </c>
      <c r="J624" s="209">
        <f t="array" ref="J624">IF(I624&gt;0,INDEX(DB,$I624,6),0)</f>
        <v>0</v>
      </c>
      <c r="K624" s="440">
        <f t="shared" si="5"/>
        <v>0</v>
      </c>
      <c r="L624" s="440">
        <f t="shared" si="6"/>
        <v>0</v>
      </c>
      <c r="M624" s="441">
        <f>IF(AND(L624&gt;O624,O624&gt;0),MinPoints,IF(L624&lt;N624,100,+INT((O624-$L624)/P624)+MinPoints))</f>
        <v>100</v>
      </c>
      <c r="N624" s="440">
        <f t="shared" si="7"/>
        <v>7</v>
      </c>
      <c r="O624" s="440">
        <f t="shared" si="8"/>
        <v>16</v>
      </c>
      <c r="P624" s="440">
        <f t="shared" si="9"/>
        <v>0.1</v>
      </c>
      <c r="Q624">
        <f t="array" ref="Q624">IF(I624&gt;0,INDEX(DB,I624,9),EventIndex)</f>
        <v>6</v>
      </c>
      <c r="S624" s="442">
        <f t="array" ref="S624">INDEX(MINVALUES,$Q624,$K$1)</f>
        <v>16</v>
      </c>
      <c r="T624">
        <f t="array" ref="T624">INDEX(INCVALUES,$Q624,$K$1)</f>
        <v>0.1</v>
      </c>
      <c r="V624">
        <f t="array" ref="V624">+J624+(4*(INDEX(MatchScoreTable,$Q624,20)-1))</f>
        <v>4</v>
      </c>
      <c r="W624">
        <f t="array" ref="W624">INDEX(INC_MINVALUES,$V624,$K$1)</f>
        <v>34</v>
      </c>
      <c r="X624" s="212">
        <f t="array" ref="X624">INDEX(INC_INCVALUES,$V624,$K$1)</f>
        <v>0.3</v>
      </c>
    </row>
    <row r="625" ht="15.75" customHeight="1">
      <c r="A625" s="435"/>
      <c r="B625" s="436"/>
      <c r="C625" s="95" t="str">
        <f t="array" ref="C625">IF(I625&gt;0,INDEX(DB,I625,8),"")</f>
        <v/>
      </c>
      <c r="D625" s="437">
        <f t="shared" si="1"/>
        <v>0</v>
      </c>
      <c r="F625" s="438">
        <f t="shared" si="2"/>
        <v>0</v>
      </c>
      <c r="G625" t="str">
        <f t="shared" si="3"/>
        <v/>
      </c>
      <c r="H625" t="b">
        <f t="shared" si="4"/>
        <v>0</v>
      </c>
      <c r="I625" s="439">
        <f>IF(OR(ISBLANK(A625),ISNA(MATCH(A625&amp;"",AthleteNumbers,0))),0,MATCH(A625&amp;"",AthleteNumbers,0))</f>
        <v>0</v>
      </c>
      <c r="J625" s="209">
        <f t="array" ref="J625">IF(I625&gt;0,INDEX(DB,$I625,6),0)</f>
        <v>0</v>
      </c>
      <c r="K625" s="440">
        <f t="shared" si="5"/>
        <v>0</v>
      </c>
      <c r="L625" s="440">
        <f t="shared" si="6"/>
        <v>0</v>
      </c>
      <c r="M625" s="441">
        <f>IF(AND(L625&gt;O625,O625&gt;0),MinPoints,IF(L625&lt;N625,100,+INT((O625-$L625)/P625)+MinPoints))</f>
        <v>100</v>
      </c>
      <c r="N625" s="440">
        <f t="shared" si="7"/>
        <v>7</v>
      </c>
      <c r="O625" s="440">
        <f t="shared" si="8"/>
        <v>16</v>
      </c>
      <c r="P625" s="440">
        <f t="shared" si="9"/>
        <v>0.1</v>
      </c>
      <c r="Q625">
        <f t="array" ref="Q625">IF(I625&gt;0,INDEX(DB,I625,9),EventIndex)</f>
        <v>6</v>
      </c>
      <c r="S625" s="442">
        <f t="array" ref="S625">INDEX(MINVALUES,$Q625,$K$1)</f>
        <v>16</v>
      </c>
      <c r="T625">
        <f t="array" ref="T625">INDEX(INCVALUES,$Q625,$K$1)</f>
        <v>0.1</v>
      </c>
      <c r="V625">
        <f t="array" ref="V625">+J625+(4*(INDEX(MatchScoreTable,$Q625,20)-1))</f>
        <v>4</v>
      </c>
      <c r="W625">
        <f t="array" ref="W625">INDEX(INC_MINVALUES,$V625,$K$1)</f>
        <v>34</v>
      </c>
      <c r="X625" s="212">
        <f t="array" ref="X625">INDEX(INC_INCVALUES,$V625,$K$1)</f>
        <v>0.3</v>
      </c>
    </row>
    <row r="626" ht="15.75" customHeight="1">
      <c r="A626" s="435"/>
      <c r="B626" s="436"/>
      <c r="C626" s="95" t="str">
        <f t="array" ref="C626">IF(I626&gt;0,INDEX(DB,I626,8),"")</f>
        <v/>
      </c>
      <c r="D626" s="437">
        <f t="shared" si="1"/>
        <v>0</v>
      </c>
      <c r="F626" s="438">
        <f t="shared" si="2"/>
        <v>0</v>
      </c>
      <c r="G626" t="str">
        <f t="shared" si="3"/>
        <v/>
      </c>
      <c r="H626" t="b">
        <f t="shared" si="4"/>
        <v>0</v>
      </c>
      <c r="I626" s="439">
        <f>IF(OR(ISBLANK(A626),ISNA(MATCH(A626&amp;"",AthleteNumbers,0))),0,MATCH(A626&amp;"",AthleteNumbers,0))</f>
        <v>0</v>
      </c>
      <c r="J626" s="209">
        <f t="array" ref="J626">IF(I626&gt;0,INDEX(DB,$I626,6),0)</f>
        <v>0</v>
      </c>
      <c r="K626" s="440">
        <f t="shared" si="5"/>
        <v>0</v>
      </c>
      <c r="L626" s="440">
        <f t="shared" si="6"/>
        <v>0</v>
      </c>
      <c r="M626" s="441">
        <f>IF(AND(L626&gt;O626,O626&gt;0),MinPoints,IF(L626&lt;N626,100,+INT((O626-$L626)/P626)+MinPoints))</f>
        <v>100</v>
      </c>
      <c r="N626" s="440">
        <f t="shared" si="7"/>
        <v>7</v>
      </c>
      <c r="O626" s="440">
        <f t="shared" si="8"/>
        <v>16</v>
      </c>
      <c r="P626" s="440">
        <f t="shared" si="9"/>
        <v>0.1</v>
      </c>
      <c r="Q626">
        <f t="array" ref="Q626">IF(I626&gt;0,INDEX(DB,I626,9),EventIndex)</f>
        <v>6</v>
      </c>
      <c r="S626" s="442">
        <f t="array" ref="S626">INDEX(MINVALUES,$Q626,$K$1)</f>
        <v>16</v>
      </c>
      <c r="T626">
        <f t="array" ref="T626">INDEX(INCVALUES,$Q626,$K$1)</f>
        <v>0.1</v>
      </c>
      <c r="V626">
        <f t="array" ref="V626">+J626+(4*(INDEX(MatchScoreTable,$Q626,20)-1))</f>
        <v>4</v>
      </c>
      <c r="W626">
        <f t="array" ref="W626">INDEX(INC_MINVALUES,$V626,$K$1)</f>
        <v>34</v>
      </c>
      <c r="X626" s="212">
        <f t="array" ref="X626">INDEX(INC_INCVALUES,$V626,$K$1)</f>
        <v>0.3</v>
      </c>
    </row>
    <row r="627" ht="15.75" customHeight="1">
      <c r="A627" s="435"/>
      <c r="B627" s="436"/>
      <c r="C627" s="95" t="str">
        <f t="array" ref="C627">IF(I627&gt;0,INDEX(DB,I627,8),"")</f>
        <v/>
      </c>
      <c r="D627" s="437">
        <f t="shared" si="1"/>
        <v>0</v>
      </c>
      <c r="F627" s="438">
        <f t="shared" si="2"/>
        <v>0</v>
      </c>
      <c r="G627" t="str">
        <f t="shared" si="3"/>
        <v/>
      </c>
      <c r="H627" t="b">
        <f t="shared" si="4"/>
        <v>0</v>
      </c>
      <c r="I627" s="439">
        <f>IF(OR(ISBLANK(A627),ISNA(MATCH(A627&amp;"",AthleteNumbers,0))),0,MATCH(A627&amp;"",AthleteNumbers,0))</f>
        <v>0</v>
      </c>
      <c r="J627" s="209">
        <f t="array" ref="J627">IF(I627&gt;0,INDEX(DB,$I627,6),0)</f>
        <v>0</v>
      </c>
      <c r="K627" s="440">
        <f t="shared" si="5"/>
        <v>0</v>
      </c>
      <c r="L627" s="440">
        <f t="shared" si="6"/>
        <v>0</v>
      </c>
      <c r="M627" s="441">
        <f>IF(AND(L627&gt;O627,O627&gt;0),MinPoints,IF(L627&lt;N627,100,+INT((O627-$L627)/P627)+MinPoints))</f>
        <v>100</v>
      </c>
      <c r="N627" s="440">
        <f t="shared" si="7"/>
        <v>7</v>
      </c>
      <c r="O627" s="440">
        <f t="shared" si="8"/>
        <v>16</v>
      </c>
      <c r="P627" s="440">
        <f t="shared" si="9"/>
        <v>0.1</v>
      </c>
      <c r="Q627">
        <f t="array" ref="Q627">IF(I627&gt;0,INDEX(DB,I627,9),EventIndex)</f>
        <v>6</v>
      </c>
      <c r="S627" s="442">
        <f t="array" ref="S627">INDEX(MINVALUES,$Q627,$K$1)</f>
        <v>16</v>
      </c>
      <c r="T627">
        <f t="array" ref="T627">INDEX(INCVALUES,$Q627,$K$1)</f>
        <v>0.1</v>
      </c>
      <c r="V627">
        <f t="array" ref="V627">+J627+(4*(INDEX(MatchScoreTable,$Q627,20)-1))</f>
        <v>4</v>
      </c>
      <c r="W627">
        <f t="array" ref="W627">INDEX(INC_MINVALUES,$V627,$K$1)</f>
        <v>34</v>
      </c>
      <c r="X627" s="212">
        <f t="array" ref="X627">INDEX(INC_INCVALUES,$V627,$K$1)</f>
        <v>0.3</v>
      </c>
    </row>
    <row r="628" ht="15.75" customHeight="1">
      <c r="A628" s="435"/>
      <c r="B628" s="436"/>
      <c r="C628" s="95" t="str">
        <f t="array" ref="C628">IF(I628&gt;0,INDEX(DB,I628,8),"")</f>
        <v/>
      </c>
      <c r="D628" s="437">
        <f t="shared" si="1"/>
        <v>0</v>
      </c>
      <c r="F628" s="438">
        <f t="shared" si="2"/>
        <v>0</v>
      </c>
      <c r="G628" t="str">
        <f t="shared" si="3"/>
        <v/>
      </c>
      <c r="H628" t="b">
        <f t="shared" si="4"/>
        <v>0</v>
      </c>
      <c r="I628" s="439">
        <f>IF(OR(ISBLANK(A628),ISNA(MATCH(A628&amp;"",AthleteNumbers,0))),0,MATCH(A628&amp;"",AthleteNumbers,0))</f>
        <v>0</v>
      </c>
      <c r="J628" s="209">
        <f t="array" ref="J628">IF(I628&gt;0,INDEX(DB,$I628,6),0)</f>
        <v>0</v>
      </c>
      <c r="K628" s="440">
        <f t="shared" si="5"/>
        <v>0</v>
      </c>
      <c r="L628" s="440">
        <f t="shared" si="6"/>
        <v>0</v>
      </c>
      <c r="M628" s="441">
        <f>IF(AND(L628&gt;O628,O628&gt;0),MinPoints,IF(L628&lt;N628,100,+INT((O628-$L628)/P628)+MinPoints))</f>
        <v>100</v>
      </c>
      <c r="N628" s="440">
        <f t="shared" si="7"/>
        <v>7</v>
      </c>
      <c r="O628" s="440">
        <f t="shared" si="8"/>
        <v>16</v>
      </c>
      <c r="P628" s="440">
        <f t="shared" si="9"/>
        <v>0.1</v>
      </c>
      <c r="Q628">
        <f t="array" ref="Q628">IF(I628&gt;0,INDEX(DB,I628,9),EventIndex)</f>
        <v>6</v>
      </c>
      <c r="S628" s="442">
        <f t="array" ref="S628">INDEX(MINVALUES,$Q628,$K$1)</f>
        <v>16</v>
      </c>
      <c r="T628">
        <f t="array" ref="T628">INDEX(INCVALUES,$Q628,$K$1)</f>
        <v>0.1</v>
      </c>
      <c r="V628">
        <f t="array" ref="V628">+J628+(4*(INDEX(MatchScoreTable,$Q628,20)-1))</f>
        <v>4</v>
      </c>
      <c r="W628">
        <f t="array" ref="W628">INDEX(INC_MINVALUES,$V628,$K$1)</f>
        <v>34</v>
      </c>
      <c r="X628" s="212">
        <f t="array" ref="X628">INDEX(INC_INCVALUES,$V628,$K$1)</f>
        <v>0.3</v>
      </c>
    </row>
    <row r="629" ht="15.75" customHeight="1">
      <c r="A629" s="435"/>
      <c r="B629" s="436"/>
      <c r="C629" s="95" t="str">
        <f t="array" ref="C629">IF(I629&gt;0,INDEX(DB,I629,8),"")</f>
        <v/>
      </c>
      <c r="D629" s="437">
        <f t="shared" si="1"/>
        <v>0</v>
      </c>
      <c r="F629" s="438">
        <f t="shared" si="2"/>
        <v>0</v>
      </c>
      <c r="G629" t="str">
        <f t="shared" si="3"/>
        <v/>
      </c>
      <c r="H629" t="b">
        <f t="shared" si="4"/>
        <v>0</v>
      </c>
      <c r="I629" s="439">
        <f>IF(OR(ISBLANK(A629),ISNA(MATCH(A629&amp;"",AthleteNumbers,0))),0,MATCH(A629&amp;"",AthleteNumbers,0))</f>
        <v>0</v>
      </c>
      <c r="J629" s="209">
        <f t="array" ref="J629">IF(I629&gt;0,INDEX(DB,$I629,6),0)</f>
        <v>0</v>
      </c>
      <c r="K629" s="440">
        <f t="shared" si="5"/>
        <v>0</v>
      </c>
      <c r="L629" s="440">
        <f t="shared" si="6"/>
        <v>0</v>
      </c>
      <c r="M629" s="441">
        <f>IF(AND(L629&gt;O629,O629&gt;0),MinPoints,IF(L629&lt;N629,100,+INT((O629-$L629)/P629)+MinPoints))</f>
        <v>100</v>
      </c>
      <c r="N629" s="440">
        <f t="shared" si="7"/>
        <v>7</v>
      </c>
      <c r="O629" s="440">
        <f t="shared" si="8"/>
        <v>16</v>
      </c>
      <c r="P629" s="440">
        <f t="shared" si="9"/>
        <v>0.1</v>
      </c>
      <c r="Q629">
        <f t="array" ref="Q629">IF(I629&gt;0,INDEX(DB,I629,9),EventIndex)</f>
        <v>6</v>
      </c>
      <c r="S629" s="442">
        <f t="array" ref="S629">INDEX(MINVALUES,$Q629,$K$1)</f>
        <v>16</v>
      </c>
      <c r="T629">
        <f t="array" ref="T629">INDEX(INCVALUES,$Q629,$K$1)</f>
        <v>0.1</v>
      </c>
      <c r="V629">
        <f t="array" ref="V629">+J629+(4*(INDEX(MatchScoreTable,$Q629,20)-1))</f>
        <v>4</v>
      </c>
      <c r="W629">
        <f t="array" ref="W629">INDEX(INC_MINVALUES,$V629,$K$1)</f>
        <v>34</v>
      </c>
      <c r="X629" s="212">
        <f t="array" ref="X629">INDEX(INC_INCVALUES,$V629,$K$1)</f>
        <v>0.3</v>
      </c>
    </row>
    <row r="630" ht="15.75" customHeight="1">
      <c r="A630" s="435"/>
      <c r="B630" s="436"/>
      <c r="C630" s="95" t="str">
        <f t="array" ref="C630">IF(I630&gt;0,INDEX(DB,I630,8),"")</f>
        <v/>
      </c>
      <c r="D630" s="437">
        <f t="shared" si="1"/>
        <v>0</v>
      </c>
      <c r="F630" s="438">
        <f t="shared" si="2"/>
        <v>0</v>
      </c>
      <c r="G630" t="str">
        <f t="shared" si="3"/>
        <v/>
      </c>
      <c r="H630" t="b">
        <f t="shared" si="4"/>
        <v>0</v>
      </c>
      <c r="I630" s="439">
        <f>IF(OR(ISBLANK(A630),ISNA(MATCH(A630&amp;"",AthleteNumbers,0))),0,MATCH(A630&amp;"",AthleteNumbers,0))</f>
        <v>0</v>
      </c>
      <c r="J630" s="209">
        <f t="array" ref="J630">IF(I630&gt;0,INDEX(DB,$I630,6),0)</f>
        <v>0</v>
      </c>
      <c r="K630" s="440">
        <f t="shared" si="5"/>
        <v>0</v>
      </c>
      <c r="L630" s="440">
        <f t="shared" si="6"/>
        <v>0</v>
      </c>
      <c r="M630" s="441">
        <f>IF(AND(L630&gt;O630,O630&gt;0),MinPoints,IF(L630&lt;N630,100,+INT((O630-$L630)/P630)+MinPoints))</f>
        <v>100</v>
      </c>
      <c r="N630" s="440">
        <f t="shared" si="7"/>
        <v>7</v>
      </c>
      <c r="O630" s="440">
        <f t="shared" si="8"/>
        <v>16</v>
      </c>
      <c r="P630" s="440">
        <f t="shared" si="9"/>
        <v>0.1</v>
      </c>
      <c r="Q630">
        <f t="array" ref="Q630">IF(I630&gt;0,INDEX(DB,I630,9),EventIndex)</f>
        <v>6</v>
      </c>
      <c r="S630" s="442">
        <f t="array" ref="S630">INDEX(MINVALUES,$Q630,$K$1)</f>
        <v>16</v>
      </c>
      <c r="T630">
        <f t="array" ref="T630">INDEX(INCVALUES,$Q630,$K$1)</f>
        <v>0.1</v>
      </c>
      <c r="V630">
        <f t="array" ref="V630">+J630+(4*(INDEX(MatchScoreTable,$Q630,20)-1))</f>
        <v>4</v>
      </c>
      <c r="W630">
        <f t="array" ref="W630">INDEX(INC_MINVALUES,$V630,$K$1)</f>
        <v>34</v>
      </c>
      <c r="X630" s="212">
        <f t="array" ref="X630">INDEX(INC_INCVALUES,$V630,$K$1)</f>
        <v>0.3</v>
      </c>
    </row>
    <row r="631" ht="15.75" customHeight="1">
      <c r="A631" s="435"/>
      <c r="B631" s="436"/>
      <c r="C631" s="95" t="str">
        <f t="array" ref="C631">IF(I631&gt;0,INDEX(DB,I631,8),"")</f>
        <v/>
      </c>
      <c r="D631" s="437">
        <f t="shared" si="1"/>
        <v>0</v>
      </c>
      <c r="F631" s="438">
        <f t="shared" si="2"/>
        <v>0</v>
      </c>
      <c r="G631" t="str">
        <f t="shared" si="3"/>
        <v/>
      </c>
      <c r="H631" t="b">
        <f t="shared" si="4"/>
        <v>0</v>
      </c>
      <c r="I631" s="439">
        <f>IF(OR(ISBLANK(A631),ISNA(MATCH(A631&amp;"",AthleteNumbers,0))),0,MATCH(A631&amp;"",AthleteNumbers,0))</f>
        <v>0</v>
      </c>
      <c r="J631" s="209">
        <f t="array" ref="J631">IF(I631&gt;0,INDEX(DB,$I631,6),0)</f>
        <v>0</v>
      </c>
      <c r="K631" s="440">
        <f t="shared" si="5"/>
        <v>0</v>
      </c>
      <c r="L631" s="440">
        <f t="shared" si="6"/>
        <v>0</v>
      </c>
      <c r="M631" s="441">
        <f>IF(AND(L631&gt;O631,O631&gt;0),MinPoints,IF(L631&lt;N631,100,+INT((O631-$L631)/P631)+MinPoints))</f>
        <v>100</v>
      </c>
      <c r="N631" s="440">
        <f t="shared" si="7"/>
        <v>7</v>
      </c>
      <c r="O631" s="440">
        <f t="shared" si="8"/>
        <v>16</v>
      </c>
      <c r="P631" s="440">
        <f t="shared" si="9"/>
        <v>0.1</v>
      </c>
      <c r="Q631">
        <f t="array" ref="Q631">IF(I631&gt;0,INDEX(DB,I631,9),EventIndex)</f>
        <v>6</v>
      </c>
      <c r="S631" s="442">
        <f t="array" ref="S631">INDEX(MINVALUES,$Q631,$K$1)</f>
        <v>16</v>
      </c>
      <c r="T631">
        <f t="array" ref="T631">INDEX(INCVALUES,$Q631,$K$1)</f>
        <v>0.1</v>
      </c>
      <c r="V631">
        <f t="array" ref="V631">+J631+(4*(INDEX(MatchScoreTable,$Q631,20)-1))</f>
        <v>4</v>
      </c>
      <c r="W631">
        <f t="array" ref="W631">INDEX(INC_MINVALUES,$V631,$K$1)</f>
        <v>34</v>
      </c>
      <c r="X631" s="212">
        <f t="array" ref="X631">INDEX(INC_INCVALUES,$V631,$K$1)</f>
        <v>0.3</v>
      </c>
    </row>
    <row r="632" ht="15.75" customHeight="1">
      <c r="A632" s="435"/>
      <c r="B632" s="436"/>
      <c r="C632" s="95" t="str">
        <f t="array" ref="C632">IF(I632&gt;0,INDEX(DB,I632,8),"")</f>
        <v/>
      </c>
      <c r="D632" s="437">
        <f t="shared" si="1"/>
        <v>0</v>
      </c>
      <c r="F632" s="438">
        <f t="shared" si="2"/>
        <v>0</v>
      </c>
      <c r="G632" t="str">
        <f t="shared" si="3"/>
        <v/>
      </c>
      <c r="H632" t="b">
        <f t="shared" si="4"/>
        <v>0</v>
      </c>
      <c r="I632" s="439">
        <f>IF(OR(ISBLANK(A632),ISNA(MATCH(A632&amp;"",AthleteNumbers,0))),0,MATCH(A632&amp;"",AthleteNumbers,0))</f>
        <v>0</v>
      </c>
      <c r="J632" s="209">
        <f t="array" ref="J632">IF(I632&gt;0,INDEX(DB,$I632,6),0)</f>
        <v>0</v>
      </c>
      <c r="K632" s="440">
        <f t="shared" si="5"/>
        <v>0</v>
      </c>
      <c r="L632" s="440">
        <f t="shared" si="6"/>
        <v>0</v>
      </c>
      <c r="M632" s="441">
        <f>IF(AND(L632&gt;O632,O632&gt;0),MinPoints,IF(L632&lt;N632,100,+INT((O632-$L632)/P632)+MinPoints))</f>
        <v>100</v>
      </c>
      <c r="N632" s="440">
        <f t="shared" si="7"/>
        <v>7</v>
      </c>
      <c r="O632" s="440">
        <f t="shared" si="8"/>
        <v>16</v>
      </c>
      <c r="P632" s="440">
        <f t="shared" si="9"/>
        <v>0.1</v>
      </c>
      <c r="Q632">
        <f t="array" ref="Q632">IF(I632&gt;0,INDEX(DB,I632,9),EventIndex)</f>
        <v>6</v>
      </c>
      <c r="S632" s="442">
        <f t="array" ref="S632">INDEX(MINVALUES,$Q632,$K$1)</f>
        <v>16</v>
      </c>
      <c r="T632">
        <f t="array" ref="T632">INDEX(INCVALUES,$Q632,$K$1)</f>
        <v>0.1</v>
      </c>
      <c r="V632">
        <f t="array" ref="V632">+J632+(4*(INDEX(MatchScoreTable,$Q632,20)-1))</f>
        <v>4</v>
      </c>
      <c r="W632">
        <f t="array" ref="W632">INDEX(INC_MINVALUES,$V632,$K$1)</f>
        <v>34</v>
      </c>
      <c r="X632" s="212">
        <f t="array" ref="X632">INDEX(INC_INCVALUES,$V632,$K$1)</f>
        <v>0.3</v>
      </c>
    </row>
    <row r="633" ht="15.75" customHeight="1">
      <c r="A633" s="435"/>
      <c r="B633" s="436"/>
      <c r="C633" s="95" t="str">
        <f t="array" ref="C633">IF(I633&gt;0,INDEX(DB,I633,8),"")</f>
        <v/>
      </c>
      <c r="D633" s="437">
        <f t="shared" si="1"/>
        <v>0</v>
      </c>
      <c r="F633" s="438">
        <f t="shared" si="2"/>
        <v>0</v>
      </c>
      <c r="G633" t="str">
        <f t="shared" si="3"/>
        <v/>
      </c>
      <c r="H633" t="b">
        <f t="shared" si="4"/>
        <v>0</v>
      </c>
      <c r="I633" s="439">
        <f>IF(OR(ISBLANK(A633),ISNA(MATCH(A633&amp;"",AthleteNumbers,0))),0,MATCH(A633&amp;"",AthleteNumbers,0))</f>
        <v>0</v>
      </c>
      <c r="J633" s="209">
        <f t="array" ref="J633">IF(I633&gt;0,INDEX(DB,$I633,6),0)</f>
        <v>0</v>
      </c>
      <c r="K633" s="440">
        <f t="shared" si="5"/>
        <v>0</v>
      </c>
      <c r="L633" s="440">
        <f t="shared" si="6"/>
        <v>0</v>
      </c>
      <c r="M633" s="441">
        <f>IF(AND(L633&gt;O633,O633&gt;0),MinPoints,IF(L633&lt;N633,100,+INT((O633-$L633)/P633)+MinPoints))</f>
        <v>100</v>
      </c>
      <c r="N633" s="440">
        <f t="shared" si="7"/>
        <v>7</v>
      </c>
      <c r="O633" s="440">
        <f t="shared" si="8"/>
        <v>16</v>
      </c>
      <c r="P633" s="440">
        <f t="shared" si="9"/>
        <v>0.1</v>
      </c>
      <c r="Q633">
        <f t="array" ref="Q633">IF(I633&gt;0,INDEX(DB,I633,9),EventIndex)</f>
        <v>6</v>
      </c>
      <c r="S633" s="442">
        <f t="array" ref="S633">INDEX(MINVALUES,$Q633,$K$1)</f>
        <v>16</v>
      </c>
      <c r="T633">
        <f t="array" ref="T633">INDEX(INCVALUES,$Q633,$K$1)</f>
        <v>0.1</v>
      </c>
      <c r="V633">
        <f t="array" ref="V633">+J633+(4*(INDEX(MatchScoreTable,$Q633,20)-1))</f>
        <v>4</v>
      </c>
      <c r="W633">
        <f t="array" ref="W633">INDEX(INC_MINVALUES,$V633,$K$1)</f>
        <v>34</v>
      </c>
      <c r="X633" s="212">
        <f t="array" ref="X633">INDEX(INC_INCVALUES,$V633,$K$1)</f>
        <v>0.3</v>
      </c>
    </row>
    <row r="634" ht="15.75" customHeight="1">
      <c r="A634" s="435"/>
      <c r="B634" s="436"/>
      <c r="C634" s="95" t="str">
        <f t="array" ref="C634">IF(I634&gt;0,INDEX(DB,I634,8),"")</f>
        <v/>
      </c>
      <c r="D634" s="437">
        <f t="shared" si="1"/>
        <v>0</v>
      </c>
      <c r="F634" s="438">
        <f t="shared" si="2"/>
        <v>0</v>
      </c>
      <c r="G634" t="str">
        <f t="shared" si="3"/>
        <v/>
      </c>
      <c r="H634" t="b">
        <f t="shared" si="4"/>
        <v>0</v>
      </c>
      <c r="I634" s="439">
        <f>IF(OR(ISBLANK(A634),ISNA(MATCH(A634&amp;"",AthleteNumbers,0))),0,MATCH(A634&amp;"",AthleteNumbers,0))</f>
        <v>0</v>
      </c>
      <c r="J634" s="209">
        <f t="array" ref="J634">IF(I634&gt;0,INDEX(DB,$I634,6),0)</f>
        <v>0</v>
      </c>
      <c r="K634" s="440">
        <f t="shared" si="5"/>
        <v>0</v>
      </c>
      <c r="L634" s="440">
        <f t="shared" si="6"/>
        <v>0</v>
      </c>
      <c r="M634" s="441">
        <f>IF(AND(L634&gt;O634,O634&gt;0),MinPoints,IF(L634&lt;N634,100,+INT((O634-$L634)/P634)+MinPoints))</f>
        <v>100</v>
      </c>
      <c r="N634" s="440">
        <f t="shared" si="7"/>
        <v>7</v>
      </c>
      <c r="O634" s="440">
        <f t="shared" si="8"/>
        <v>16</v>
      </c>
      <c r="P634" s="440">
        <f t="shared" si="9"/>
        <v>0.1</v>
      </c>
      <c r="Q634">
        <f t="array" ref="Q634">IF(I634&gt;0,INDEX(DB,I634,9),EventIndex)</f>
        <v>6</v>
      </c>
      <c r="S634" s="442">
        <f t="array" ref="S634">INDEX(MINVALUES,$Q634,$K$1)</f>
        <v>16</v>
      </c>
      <c r="T634">
        <f t="array" ref="T634">INDEX(INCVALUES,$Q634,$K$1)</f>
        <v>0.1</v>
      </c>
      <c r="V634">
        <f t="array" ref="V634">+J634+(4*(INDEX(MatchScoreTable,$Q634,20)-1))</f>
        <v>4</v>
      </c>
      <c r="W634">
        <f t="array" ref="W634">INDEX(INC_MINVALUES,$V634,$K$1)</f>
        <v>34</v>
      </c>
      <c r="X634" s="212">
        <f t="array" ref="X634">INDEX(INC_INCVALUES,$V634,$K$1)</f>
        <v>0.3</v>
      </c>
    </row>
    <row r="635" ht="15.75" customHeight="1">
      <c r="A635" s="435"/>
      <c r="B635" s="436"/>
      <c r="C635" s="95" t="str">
        <f t="array" ref="C635">IF(I635&gt;0,INDEX(DB,I635,8),"")</f>
        <v/>
      </c>
      <c r="D635" s="437">
        <f t="shared" si="1"/>
        <v>0</v>
      </c>
      <c r="F635" s="438">
        <f t="shared" si="2"/>
        <v>0</v>
      </c>
      <c r="G635" t="str">
        <f t="shared" si="3"/>
        <v/>
      </c>
      <c r="H635" t="b">
        <f t="shared" si="4"/>
        <v>0</v>
      </c>
      <c r="I635" s="439">
        <f>IF(OR(ISBLANK(A635),ISNA(MATCH(A635&amp;"",AthleteNumbers,0))),0,MATCH(A635&amp;"",AthleteNumbers,0))</f>
        <v>0</v>
      </c>
      <c r="J635" s="209">
        <f t="array" ref="J635">IF(I635&gt;0,INDEX(DB,$I635,6),0)</f>
        <v>0</v>
      </c>
      <c r="K635" s="440">
        <f t="shared" si="5"/>
        <v>0</v>
      </c>
      <c r="L635" s="440">
        <f t="shared" si="6"/>
        <v>0</v>
      </c>
      <c r="M635" s="441">
        <f>IF(AND(L635&gt;O635,O635&gt;0),MinPoints,IF(L635&lt;N635,100,+INT((O635-$L635)/P635)+MinPoints))</f>
        <v>100</v>
      </c>
      <c r="N635" s="440">
        <f t="shared" si="7"/>
        <v>7</v>
      </c>
      <c r="O635" s="440">
        <f t="shared" si="8"/>
        <v>16</v>
      </c>
      <c r="P635" s="440">
        <f t="shared" si="9"/>
        <v>0.1</v>
      </c>
      <c r="Q635">
        <f t="array" ref="Q635">IF(I635&gt;0,INDEX(DB,I635,9),EventIndex)</f>
        <v>6</v>
      </c>
      <c r="S635" s="442">
        <f t="array" ref="S635">INDEX(MINVALUES,$Q635,$K$1)</f>
        <v>16</v>
      </c>
      <c r="T635">
        <f t="array" ref="T635">INDEX(INCVALUES,$Q635,$K$1)</f>
        <v>0.1</v>
      </c>
      <c r="V635">
        <f t="array" ref="V635">+J635+(4*(INDEX(MatchScoreTable,$Q635,20)-1))</f>
        <v>4</v>
      </c>
      <c r="W635">
        <f t="array" ref="W635">INDEX(INC_MINVALUES,$V635,$K$1)</f>
        <v>34</v>
      </c>
      <c r="X635" s="212">
        <f t="array" ref="X635">INDEX(INC_INCVALUES,$V635,$K$1)</f>
        <v>0.3</v>
      </c>
    </row>
    <row r="636" ht="15.75" customHeight="1">
      <c r="A636" s="435"/>
      <c r="B636" s="436"/>
      <c r="C636" s="95" t="str">
        <f t="array" ref="C636">IF(I636&gt;0,INDEX(DB,I636,8),"")</f>
        <v/>
      </c>
      <c r="D636" s="437">
        <f t="shared" si="1"/>
        <v>0</v>
      </c>
      <c r="F636" s="438">
        <f t="shared" si="2"/>
        <v>0</v>
      </c>
      <c r="G636" t="str">
        <f t="shared" si="3"/>
        <v/>
      </c>
      <c r="H636" t="b">
        <f t="shared" si="4"/>
        <v>0</v>
      </c>
      <c r="I636" s="439">
        <f>IF(OR(ISBLANK(A636),ISNA(MATCH(A636&amp;"",AthleteNumbers,0))),0,MATCH(A636&amp;"",AthleteNumbers,0))</f>
        <v>0</v>
      </c>
      <c r="J636" s="209">
        <f t="array" ref="J636">IF(I636&gt;0,INDEX(DB,$I636,6),0)</f>
        <v>0</v>
      </c>
      <c r="K636" s="440">
        <f t="shared" si="5"/>
        <v>0</v>
      </c>
      <c r="L636" s="440">
        <f t="shared" si="6"/>
        <v>0</v>
      </c>
      <c r="M636" s="441">
        <f>IF(AND(L636&gt;O636,O636&gt;0),MinPoints,IF(L636&lt;N636,100,+INT((O636-$L636)/P636)+MinPoints))</f>
        <v>100</v>
      </c>
      <c r="N636" s="440">
        <f t="shared" si="7"/>
        <v>7</v>
      </c>
      <c r="O636" s="440">
        <f t="shared" si="8"/>
        <v>16</v>
      </c>
      <c r="P636" s="440">
        <f t="shared" si="9"/>
        <v>0.1</v>
      </c>
      <c r="Q636">
        <f t="array" ref="Q636">IF(I636&gt;0,INDEX(DB,I636,9),EventIndex)</f>
        <v>6</v>
      </c>
      <c r="S636" s="442">
        <f t="array" ref="S636">INDEX(MINVALUES,$Q636,$K$1)</f>
        <v>16</v>
      </c>
      <c r="T636">
        <f t="array" ref="T636">INDEX(INCVALUES,$Q636,$K$1)</f>
        <v>0.1</v>
      </c>
      <c r="V636">
        <f t="array" ref="V636">+J636+(4*(INDEX(MatchScoreTable,$Q636,20)-1))</f>
        <v>4</v>
      </c>
      <c r="W636">
        <f t="array" ref="W636">INDEX(INC_MINVALUES,$V636,$K$1)</f>
        <v>34</v>
      </c>
      <c r="X636" s="212">
        <f t="array" ref="X636">INDEX(INC_INCVALUES,$V636,$K$1)</f>
        <v>0.3</v>
      </c>
    </row>
    <row r="637" ht="15.75" customHeight="1">
      <c r="A637" s="435"/>
      <c r="B637" s="436"/>
      <c r="C637" s="95" t="str">
        <f t="array" ref="C637">IF(I637&gt;0,INDEX(DB,I637,8),"")</f>
        <v/>
      </c>
      <c r="D637" s="437">
        <f t="shared" si="1"/>
        <v>0</v>
      </c>
      <c r="F637" s="438">
        <f t="shared" si="2"/>
        <v>0</v>
      </c>
      <c r="G637" t="str">
        <f t="shared" si="3"/>
        <v/>
      </c>
      <c r="H637" t="b">
        <f t="shared" si="4"/>
        <v>0</v>
      </c>
      <c r="I637" s="439">
        <f>IF(OR(ISBLANK(A637),ISNA(MATCH(A637&amp;"",AthleteNumbers,0))),0,MATCH(A637&amp;"",AthleteNumbers,0))</f>
        <v>0</v>
      </c>
      <c r="J637" s="209">
        <f t="array" ref="J637">IF(I637&gt;0,INDEX(DB,$I637,6),0)</f>
        <v>0</v>
      </c>
      <c r="K637" s="440">
        <f t="shared" si="5"/>
        <v>0</v>
      </c>
      <c r="L637" s="440">
        <f t="shared" si="6"/>
        <v>0</v>
      </c>
      <c r="M637" s="441">
        <f>IF(AND(L637&gt;O637,O637&gt;0),MinPoints,IF(L637&lt;N637,100,+INT((O637-$L637)/P637)+MinPoints))</f>
        <v>100</v>
      </c>
      <c r="N637" s="440">
        <f t="shared" si="7"/>
        <v>7</v>
      </c>
      <c r="O637" s="440">
        <f t="shared" si="8"/>
        <v>16</v>
      </c>
      <c r="P637" s="440">
        <f t="shared" si="9"/>
        <v>0.1</v>
      </c>
      <c r="Q637">
        <f t="array" ref="Q637">IF(I637&gt;0,INDEX(DB,I637,9),EventIndex)</f>
        <v>6</v>
      </c>
      <c r="S637" s="442">
        <f t="array" ref="S637">INDEX(MINVALUES,$Q637,$K$1)</f>
        <v>16</v>
      </c>
      <c r="T637">
        <f t="array" ref="T637">INDEX(INCVALUES,$Q637,$K$1)</f>
        <v>0.1</v>
      </c>
      <c r="V637">
        <f t="array" ref="V637">+J637+(4*(INDEX(MatchScoreTable,$Q637,20)-1))</f>
        <v>4</v>
      </c>
      <c r="W637">
        <f t="array" ref="W637">INDEX(INC_MINVALUES,$V637,$K$1)</f>
        <v>34</v>
      </c>
      <c r="X637" s="212">
        <f t="array" ref="X637">INDEX(INC_INCVALUES,$V637,$K$1)</f>
        <v>0.3</v>
      </c>
    </row>
    <row r="638" ht="15.75" customHeight="1">
      <c r="A638" s="435"/>
      <c r="B638" s="436"/>
      <c r="C638" s="95" t="str">
        <f t="array" ref="C638">IF(I638&gt;0,INDEX(DB,I638,8),"")</f>
        <v/>
      </c>
      <c r="D638" s="437">
        <f t="shared" si="1"/>
        <v>0</v>
      </c>
      <c r="F638" s="438">
        <f t="shared" si="2"/>
        <v>0</v>
      </c>
      <c r="G638" t="str">
        <f t="shared" si="3"/>
        <v/>
      </c>
      <c r="H638" t="b">
        <f t="shared" si="4"/>
        <v>0</v>
      </c>
      <c r="I638" s="439">
        <f>IF(OR(ISBLANK(A638),ISNA(MATCH(A638&amp;"",AthleteNumbers,0))),0,MATCH(A638&amp;"",AthleteNumbers,0))</f>
        <v>0</v>
      </c>
      <c r="J638" s="209">
        <f t="array" ref="J638">IF(I638&gt;0,INDEX(DB,$I638,6),0)</f>
        <v>0</v>
      </c>
      <c r="K638" s="440">
        <f t="shared" si="5"/>
        <v>0</v>
      </c>
      <c r="L638" s="440">
        <f t="shared" si="6"/>
        <v>0</v>
      </c>
      <c r="M638" s="441">
        <f>IF(AND(L638&gt;O638,O638&gt;0),MinPoints,IF(L638&lt;N638,100,+INT((O638-$L638)/P638)+MinPoints))</f>
        <v>100</v>
      </c>
      <c r="N638" s="440">
        <f t="shared" si="7"/>
        <v>7</v>
      </c>
      <c r="O638" s="440">
        <f t="shared" si="8"/>
        <v>16</v>
      </c>
      <c r="P638" s="440">
        <f t="shared" si="9"/>
        <v>0.1</v>
      </c>
      <c r="Q638">
        <f t="array" ref="Q638">IF(I638&gt;0,INDEX(DB,I638,9),EventIndex)</f>
        <v>6</v>
      </c>
      <c r="S638" s="442">
        <f t="array" ref="S638">INDEX(MINVALUES,$Q638,$K$1)</f>
        <v>16</v>
      </c>
      <c r="T638">
        <f t="array" ref="T638">INDEX(INCVALUES,$Q638,$K$1)</f>
        <v>0.1</v>
      </c>
      <c r="V638">
        <f t="array" ref="V638">+J638+(4*(INDEX(MatchScoreTable,$Q638,20)-1))</f>
        <v>4</v>
      </c>
      <c r="W638">
        <f t="array" ref="W638">INDEX(INC_MINVALUES,$V638,$K$1)</f>
        <v>34</v>
      </c>
      <c r="X638" s="212">
        <f t="array" ref="X638">INDEX(INC_INCVALUES,$V638,$K$1)</f>
        <v>0.3</v>
      </c>
    </row>
    <row r="639" ht="15.75" customHeight="1">
      <c r="A639" s="435"/>
      <c r="B639" s="436"/>
      <c r="C639" s="95" t="str">
        <f t="array" ref="C639">IF(I639&gt;0,INDEX(DB,I639,8),"")</f>
        <v/>
      </c>
      <c r="D639" s="437">
        <f t="shared" si="1"/>
        <v>0</v>
      </c>
      <c r="F639" s="438">
        <f t="shared" si="2"/>
        <v>0</v>
      </c>
      <c r="G639" t="str">
        <f t="shared" si="3"/>
        <v/>
      </c>
      <c r="H639" t="b">
        <f t="shared" si="4"/>
        <v>0</v>
      </c>
      <c r="I639" s="439">
        <f>IF(OR(ISBLANK(A639),ISNA(MATCH(A639&amp;"",AthleteNumbers,0))),0,MATCH(A639&amp;"",AthleteNumbers,0))</f>
        <v>0</v>
      </c>
      <c r="J639" s="209">
        <f t="array" ref="J639">IF(I639&gt;0,INDEX(DB,$I639,6),0)</f>
        <v>0</v>
      </c>
      <c r="K639" s="440">
        <f t="shared" si="5"/>
        <v>0</v>
      </c>
      <c r="L639" s="440">
        <f t="shared" si="6"/>
        <v>0</v>
      </c>
      <c r="M639" s="441">
        <f>IF(AND(L639&gt;O639,O639&gt;0),MinPoints,IF(L639&lt;N639,100,+INT((O639-$L639)/P639)+MinPoints))</f>
        <v>100</v>
      </c>
      <c r="N639" s="440">
        <f t="shared" si="7"/>
        <v>7</v>
      </c>
      <c r="O639" s="440">
        <f t="shared" si="8"/>
        <v>16</v>
      </c>
      <c r="P639" s="440">
        <f t="shared" si="9"/>
        <v>0.1</v>
      </c>
      <c r="Q639">
        <f t="array" ref="Q639">IF(I639&gt;0,INDEX(DB,I639,9),EventIndex)</f>
        <v>6</v>
      </c>
      <c r="S639" s="442">
        <f t="array" ref="S639">INDEX(MINVALUES,$Q639,$K$1)</f>
        <v>16</v>
      </c>
      <c r="T639">
        <f t="array" ref="T639">INDEX(INCVALUES,$Q639,$K$1)</f>
        <v>0.1</v>
      </c>
      <c r="V639">
        <f t="array" ref="V639">+J639+(4*(INDEX(MatchScoreTable,$Q639,20)-1))</f>
        <v>4</v>
      </c>
      <c r="W639">
        <f t="array" ref="W639">INDEX(INC_MINVALUES,$V639,$K$1)</f>
        <v>34</v>
      </c>
      <c r="X639" s="212">
        <f t="array" ref="X639">INDEX(INC_INCVALUES,$V639,$K$1)</f>
        <v>0.3</v>
      </c>
    </row>
    <row r="640" ht="15.75" customHeight="1">
      <c r="A640" s="435"/>
      <c r="B640" s="436"/>
      <c r="C640" s="95" t="str">
        <f t="array" ref="C640">IF(I640&gt;0,INDEX(DB,I640,8),"")</f>
        <v/>
      </c>
      <c r="D640" s="437">
        <f t="shared" si="1"/>
        <v>0</v>
      </c>
      <c r="F640" s="438">
        <f t="shared" si="2"/>
        <v>0</v>
      </c>
      <c r="G640" t="str">
        <f t="shared" si="3"/>
        <v/>
      </c>
      <c r="H640" t="b">
        <f t="shared" si="4"/>
        <v>0</v>
      </c>
      <c r="I640" s="439">
        <f>IF(OR(ISBLANK(A640),ISNA(MATCH(A640&amp;"",AthleteNumbers,0))),0,MATCH(A640&amp;"",AthleteNumbers,0))</f>
        <v>0</v>
      </c>
      <c r="J640" s="209">
        <f t="array" ref="J640">IF(I640&gt;0,INDEX(DB,$I640,6),0)</f>
        <v>0</v>
      </c>
      <c r="K640" s="440">
        <f t="shared" si="5"/>
        <v>0</v>
      </c>
      <c r="L640" s="440">
        <f t="shared" si="6"/>
        <v>0</v>
      </c>
      <c r="M640" s="441">
        <f>IF(AND(L640&gt;O640,O640&gt;0),MinPoints,IF(L640&lt;N640,100,+INT((O640-$L640)/P640)+MinPoints))</f>
        <v>100</v>
      </c>
      <c r="N640" s="440">
        <f t="shared" si="7"/>
        <v>7</v>
      </c>
      <c r="O640" s="440">
        <f t="shared" si="8"/>
        <v>16</v>
      </c>
      <c r="P640" s="440">
        <f t="shared" si="9"/>
        <v>0.1</v>
      </c>
      <c r="Q640">
        <f t="array" ref="Q640">IF(I640&gt;0,INDEX(DB,I640,9),EventIndex)</f>
        <v>6</v>
      </c>
      <c r="S640" s="442">
        <f t="array" ref="S640">INDEX(MINVALUES,$Q640,$K$1)</f>
        <v>16</v>
      </c>
      <c r="T640">
        <f t="array" ref="T640">INDEX(INCVALUES,$Q640,$K$1)</f>
        <v>0.1</v>
      </c>
      <c r="V640">
        <f t="array" ref="V640">+J640+(4*(INDEX(MatchScoreTable,$Q640,20)-1))</f>
        <v>4</v>
      </c>
      <c r="W640">
        <f t="array" ref="W640">INDEX(INC_MINVALUES,$V640,$K$1)</f>
        <v>34</v>
      </c>
      <c r="X640" s="212">
        <f t="array" ref="X640">INDEX(INC_INCVALUES,$V640,$K$1)</f>
        <v>0.3</v>
      </c>
    </row>
    <row r="641" ht="15.75" customHeight="1">
      <c r="A641" s="435"/>
      <c r="B641" s="436"/>
      <c r="C641" s="95" t="str">
        <f t="array" ref="C641">IF(I641&gt;0,INDEX(DB,I641,8),"")</f>
        <v/>
      </c>
      <c r="D641" s="437">
        <f t="shared" si="1"/>
        <v>0</v>
      </c>
      <c r="F641" s="438">
        <f t="shared" si="2"/>
        <v>0</v>
      </c>
      <c r="G641" t="str">
        <f t="shared" si="3"/>
        <v/>
      </c>
      <c r="H641" t="b">
        <f t="shared" si="4"/>
        <v>0</v>
      </c>
      <c r="I641" s="439">
        <f>IF(OR(ISBLANK(A641),ISNA(MATCH(A641&amp;"",AthleteNumbers,0))),0,MATCH(A641&amp;"",AthleteNumbers,0))</f>
        <v>0</v>
      </c>
      <c r="J641" s="209">
        <f t="array" ref="J641">IF(I641&gt;0,INDEX(DB,$I641,6),0)</f>
        <v>0</v>
      </c>
      <c r="K641" s="440">
        <f t="shared" si="5"/>
        <v>0</v>
      </c>
      <c r="L641" s="440">
        <f t="shared" si="6"/>
        <v>0</v>
      </c>
      <c r="M641" s="441">
        <f>IF(AND(L641&gt;O641,O641&gt;0),MinPoints,IF(L641&lt;N641,100,+INT((O641-$L641)/P641)+MinPoints))</f>
        <v>100</v>
      </c>
      <c r="N641" s="440">
        <f t="shared" si="7"/>
        <v>7</v>
      </c>
      <c r="O641" s="440">
        <f t="shared" si="8"/>
        <v>16</v>
      </c>
      <c r="P641" s="440">
        <f t="shared" si="9"/>
        <v>0.1</v>
      </c>
      <c r="Q641">
        <f t="array" ref="Q641">IF(I641&gt;0,INDEX(DB,I641,9),EventIndex)</f>
        <v>6</v>
      </c>
      <c r="S641" s="442">
        <f t="array" ref="S641">INDEX(MINVALUES,$Q641,$K$1)</f>
        <v>16</v>
      </c>
      <c r="T641">
        <f t="array" ref="T641">INDEX(INCVALUES,$Q641,$K$1)</f>
        <v>0.1</v>
      </c>
      <c r="V641">
        <f t="array" ref="V641">+J641+(4*(INDEX(MatchScoreTable,$Q641,20)-1))</f>
        <v>4</v>
      </c>
      <c r="W641">
        <f t="array" ref="W641">INDEX(INC_MINVALUES,$V641,$K$1)</f>
        <v>34</v>
      </c>
      <c r="X641" s="212">
        <f t="array" ref="X641">INDEX(INC_INCVALUES,$V641,$K$1)</f>
        <v>0.3</v>
      </c>
    </row>
    <row r="642" ht="15.75" customHeight="1">
      <c r="A642" s="435"/>
      <c r="B642" s="436"/>
      <c r="C642" s="95" t="str">
        <f t="array" ref="C642">IF(I642&gt;0,INDEX(DB,I642,8),"")</f>
        <v/>
      </c>
      <c r="D642" s="437">
        <f t="shared" si="1"/>
        <v>0</v>
      </c>
      <c r="F642" s="438">
        <f t="shared" si="2"/>
        <v>0</v>
      </c>
      <c r="G642" t="str">
        <f t="shared" si="3"/>
        <v/>
      </c>
      <c r="H642" t="b">
        <f t="shared" si="4"/>
        <v>0</v>
      </c>
      <c r="I642" s="439">
        <f>IF(OR(ISBLANK(A642),ISNA(MATCH(A642&amp;"",AthleteNumbers,0))),0,MATCH(A642&amp;"",AthleteNumbers,0))</f>
        <v>0</v>
      </c>
      <c r="J642" s="209">
        <f t="array" ref="J642">IF(I642&gt;0,INDEX(DB,$I642,6),0)</f>
        <v>0</v>
      </c>
      <c r="K642" s="440">
        <f t="shared" si="5"/>
        <v>0</v>
      </c>
      <c r="L642" s="440">
        <f t="shared" si="6"/>
        <v>0</v>
      </c>
      <c r="M642" s="441">
        <f>IF(AND(L642&gt;O642,O642&gt;0),MinPoints,IF(L642&lt;N642,100,+INT((O642-$L642)/P642)+MinPoints))</f>
        <v>100</v>
      </c>
      <c r="N642" s="440">
        <f t="shared" si="7"/>
        <v>7</v>
      </c>
      <c r="O642" s="440">
        <f t="shared" si="8"/>
        <v>16</v>
      </c>
      <c r="P642" s="440">
        <f t="shared" si="9"/>
        <v>0.1</v>
      </c>
      <c r="Q642">
        <f t="array" ref="Q642">IF(I642&gt;0,INDEX(DB,I642,9),EventIndex)</f>
        <v>6</v>
      </c>
      <c r="S642" s="442">
        <f t="array" ref="S642">INDEX(MINVALUES,$Q642,$K$1)</f>
        <v>16</v>
      </c>
      <c r="T642">
        <f t="array" ref="T642">INDEX(INCVALUES,$Q642,$K$1)</f>
        <v>0.1</v>
      </c>
      <c r="V642">
        <f t="array" ref="V642">+J642+(4*(INDEX(MatchScoreTable,$Q642,20)-1))</f>
        <v>4</v>
      </c>
      <c r="W642">
        <f t="array" ref="W642">INDEX(INC_MINVALUES,$V642,$K$1)</f>
        <v>34</v>
      </c>
      <c r="X642" s="212">
        <f t="array" ref="X642">INDEX(INC_INCVALUES,$V642,$K$1)</f>
        <v>0.3</v>
      </c>
    </row>
    <row r="643" ht="15.75" customHeight="1">
      <c r="A643" s="435"/>
      <c r="B643" s="436"/>
      <c r="C643" s="95" t="str">
        <f t="array" ref="C643">IF(I643&gt;0,INDEX(DB,I643,8),"")</f>
        <v/>
      </c>
      <c r="D643" s="437">
        <f t="shared" si="1"/>
        <v>0</v>
      </c>
      <c r="F643" s="438">
        <f t="shared" si="2"/>
        <v>0</v>
      </c>
      <c r="G643" t="str">
        <f t="shared" si="3"/>
        <v/>
      </c>
      <c r="H643" t="b">
        <f t="shared" si="4"/>
        <v>0</v>
      </c>
      <c r="I643" s="439">
        <f>IF(OR(ISBLANK(A643),ISNA(MATCH(A643&amp;"",AthleteNumbers,0))),0,MATCH(A643&amp;"",AthleteNumbers,0))</f>
        <v>0</v>
      </c>
      <c r="J643" s="209">
        <f t="array" ref="J643">IF(I643&gt;0,INDEX(DB,$I643,6),0)</f>
        <v>0</v>
      </c>
      <c r="K643" s="440">
        <f t="shared" si="5"/>
        <v>0</v>
      </c>
      <c r="L643" s="440">
        <f t="shared" si="6"/>
        <v>0</v>
      </c>
      <c r="M643" s="441">
        <f>IF(AND(L643&gt;O643,O643&gt;0),MinPoints,IF(L643&lt;N643,100,+INT((O643-$L643)/P643)+MinPoints))</f>
        <v>100</v>
      </c>
      <c r="N643" s="440">
        <f t="shared" si="7"/>
        <v>7</v>
      </c>
      <c r="O643" s="440">
        <f t="shared" si="8"/>
        <v>16</v>
      </c>
      <c r="P643" s="440">
        <f t="shared" si="9"/>
        <v>0.1</v>
      </c>
      <c r="Q643">
        <f t="array" ref="Q643">IF(I643&gt;0,INDEX(DB,I643,9),EventIndex)</f>
        <v>6</v>
      </c>
      <c r="S643" s="442">
        <f t="array" ref="S643">INDEX(MINVALUES,$Q643,$K$1)</f>
        <v>16</v>
      </c>
      <c r="T643">
        <f t="array" ref="T643">INDEX(INCVALUES,$Q643,$K$1)</f>
        <v>0.1</v>
      </c>
      <c r="V643">
        <f t="array" ref="V643">+J643+(4*(INDEX(MatchScoreTable,$Q643,20)-1))</f>
        <v>4</v>
      </c>
      <c r="W643">
        <f t="array" ref="W643">INDEX(INC_MINVALUES,$V643,$K$1)</f>
        <v>34</v>
      </c>
      <c r="X643" s="212">
        <f t="array" ref="X643">INDEX(INC_INCVALUES,$V643,$K$1)</f>
        <v>0.3</v>
      </c>
    </row>
    <row r="644" ht="15.75" customHeight="1">
      <c r="A644" s="435"/>
      <c r="B644" s="436"/>
      <c r="C644" s="95" t="str">
        <f t="array" ref="C644">IF(I644&gt;0,INDEX(DB,I644,8),"")</f>
        <v/>
      </c>
      <c r="D644" s="437">
        <f t="shared" si="1"/>
        <v>0</v>
      </c>
      <c r="F644" s="438">
        <f t="shared" si="2"/>
        <v>0</v>
      </c>
      <c r="G644" t="str">
        <f t="shared" si="3"/>
        <v/>
      </c>
      <c r="H644" t="b">
        <f t="shared" si="4"/>
        <v>0</v>
      </c>
      <c r="I644" s="439">
        <f>IF(OR(ISBLANK(A644),ISNA(MATCH(A644&amp;"",AthleteNumbers,0))),0,MATCH(A644&amp;"",AthleteNumbers,0))</f>
        <v>0</v>
      </c>
      <c r="J644" s="209">
        <f t="array" ref="J644">IF(I644&gt;0,INDEX(DB,$I644,6),0)</f>
        <v>0</v>
      </c>
      <c r="K644" s="440">
        <f t="shared" si="5"/>
        <v>0</v>
      </c>
      <c r="L644" s="440">
        <f t="shared" si="6"/>
        <v>0</v>
      </c>
      <c r="M644" s="441">
        <f>IF(AND(L644&gt;O644,O644&gt;0),MinPoints,IF(L644&lt;N644,100,+INT((O644-$L644)/P644)+MinPoints))</f>
        <v>100</v>
      </c>
      <c r="N644" s="440">
        <f t="shared" si="7"/>
        <v>7</v>
      </c>
      <c r="O644" s="440">
        <f t="shared" si="8"/>
        <v>16</v>
      </c>
      <c r="P644" s="440">
        <f t="shared" si="9"/>
        <v>0.1</v>
      </c>
      <c r="Q644">
        <f t="array" ref="Q644">IF(I644&gt;0,INDEX(DB,I644,9),EventIndex)</f>
        <v>6</v>
      </c>
      <c r="S644" s="442">
        <f t="array" ref="S644">INDEX(MINVALUES,$Q644,$K$1)</f>
        <v>16</v>
      </c>
      <c r="T644">
        <f t="array" ref="T644">INDEX(INCVALUES,$Q644,$K$1)</f>
        <v>0.1</v>
      </c>
      <c r="V644">
        <f t="array" ref="V644">+J644+(4*(INDEX(MatchScoreTable,$Q644,20)-1))</f>
        <v>4</v>
      </c>
      <c r="W644">
        <f t="array" ref="W644">INDEX(INC_MINVALUES,$V644,$K$1)</f>
        <v>34</v>
      </c>
      <c r="X644" s="212">
        <f t="array" ref="X644">INDEX(INC_INCVALUES,$V644,$K$1)</f>
        <v>0.3</v>
      </c>
    </row>
    <row r="645" ht="15.75" customHeight="1">
      <c r="A645" s="435"/>
      <c r="B645" s="436"/>
      <c r="C645" s="95" t="str">
        <f t="array" ref="C645">IF(I645&gt;0,INDEX(DB,I645,8),"")</f>
        <v/>
      </c>
      <c r="D645" s="437">
        <f t="shared" si="1"/>
        <v>0</v>
      </c>
      <c r="F645" s="438">
        <f t="shared" si="2"/>
        <v>0</v>
      </c>
      <c r="G645" t="str">
        <f t="shared" si="3"/>
        <v/>
      </c>
      <c r="H645" t="b">
        <f t="shared" si="4"/>
        <v>0</v>
      </c>
      <c r="I645" s="439">
        <f>IF(OR(ISBLANK(A645),ISNA(MATCH(A645&amp;"",AthleteNumbers,0))),0,MATCH(A645&amp;"",AthleteNumbers,0))</f>
        <v>0</v>
      </c>
      <c r="J645" s="209">
        <f t="array" ref="J645">IF(I645&gt;0,INDEX(DB,$I645,6),0)</f>
        <v>0</v>
      </c>
      <c r="K645" s="440">
        <f t="shared" si="5"/>
        <v>0</v>
      </c>
      <c r="L645" s="440">
        <f t="shared" si="6"/>
        <v>0</v>
      </c>
      <c r="M645" s="441">
        <f>IF(AND(L645&gt;O645,O645&gt;0),MinPoints,IF(L645&lt;N645,100,+INT((O645-$L645)/P645)+MinPoints))</f>
        <v>100</v>
      </c>
      <c r="N645" s="440">
        <f t="shared" si="7"/>
        <v>7</v>
      </c>
      <c r="O645" s="440">
        <f t="shared" si="8"/>
        <v>16</v>
      </c>
      <c r="P645" s="440">
        <f t="shared" si="9"/>
        <v>0.1</v>
      </c>
      <c r="Q645">
        <f t="array" ref="Q645">IF(I645&gt;0,INDEX(DB,I645,9),EventIndex)</f>
        <v>6</v>
      </c>
      <c r="S645" s="442">
        <f t="array" ref="S645">INDEX(MINVALUES,$Q645,$K$1)</f>
        <v>16</v>
      </c>
      <c r="T645">
        <f t="array" ref="T645">INDEX(INCVALUES,$Q645,$K$1)</f>
        <v>0.1</v>
      </c>
      <c r="V645">
        <f t="array" ref="V645">+J645+(4*(INDEX(MatchScoreTable,$Q645,20)-1))</f>
        <v>4</v>
      </c>
      <c r="W645">
        <f t="array" ref="W645">INDEX(INC_MINVALUES,$V645,$K$1)</f>
        <v>34</v>
      </c>
      <c r="X645" s="212">
        <f t="array" ref="X645">INDEX(INC_INCVALUES,$V645,$K$1)</f>
        <v>0.3</v>
      </c>
    </row>
    <row r="646" ht="15.75" customHeight="1">
      <c r="A646" s="435"/>
      <c r="B646" s="436"/>
      <c r="C646" s="95" t="str">
        <f t="array" ref="C646">IF(I646&gt;0,INDEX(DB,I646,8),"")</f>
        <v/>
      </c>
      <c r="D646" s="437">
        <f t="shared" si="1"/>
        <v>0</v>
      </c>
      <c r="F646" s="438">
        <f t="shared" si="2"/>
        <v>0</v>
      </c>
      <c r="G646" t="str">
        <f t="shared" si="3"/>
        <v/>
      </c>
      <c r="H646" t="b">
        <f t="shared" si="4"/>
        <v>0</v>
      </c>
      <c r="I646" s="439">
        <f>IF(OR(ISBLANK(A646),ISNA(MATCH(A646&amp;"",AthleteNumbers,0))),0,MATCH(A646&amp;"",AthleteNumbers,0))</f>
        <v>0</v>
      </c>
      <c r="J646" s="209">
        <f t="array" ref="J646">IF(I646&gt;0,INDEX(DB,$I646,6),0)</f>
        <v>0</v>
      </c>
      <c r="K646" s="440">
        <f t="shared" si="5"/>
        <v>0</v>
      </c>
      <c r="L646" s="440">
        <f t="shared" si="6"/>
        <v>0</v>
      </c>
      <c r="M646" s="441">
        <f>IF(AND(L646&gt;O646,O646&gt;0),MinPoints,IF(L646&lt;N646,100,+INT((O646-$L646)/P646)+MinPoints))</f>
        <v>100</v>
      </c>
      <c r="N646" s="440">
        <f t="shared" si="7"/>
        <v>7</v>
      </c>
      <c r="O646" s="440">
        <f t="shared" si="8"/>
        <v>16</v>
      </c>
      <c r="P646" s="440">
        <f t="shared" si="9"/>
        <v>0.1</v>
      </c>
      <c r="Q646">
        <f t="array" ref="Q646">IF(I646&gt;0,INDEX(DB,I646,9),EventIndex)</f>
        <v>6</v>
      </c>
      <c r="S646" s="442">
        <f t="array" ref="S646">INDEX(MINVALUES,$Q646,$K$1)</f>
        <v>16</v>
      </c>
      <c r="T646">
        <f t="array" ref="T646">INDEX(INCVALUES,$Q646,$K$1)</f>
        <v>0.1</v>
      </c>
      <c r="V646">
        <f t="array" ref="V646">+J646+(4*(INDEX(MatchScoreTable,$Q646,20)-1))</f>
        <v>4</v>
      </c>
      <c r="W646">
        <f t="array" ref="W646">INDEX(INC_MINVALUES,$V646,$K$1)</f>
        <v>34</v>
      </c>
      <c r="X646" s="212">
        <f t="array" ref="X646">INDEX(INC_INCVALUES,$V646,$K$1)</f>
        <v>0.3</v>
      </c>
    </row>
    <row r="647" ht="15.75" customHeight="1">
      <c r="A647" s="435"/>
      <c r="B647" s="436"/>
      <c r="C647" s="95" t="str">
        <f t="array" ref="C647">IF(I647&gt;0,INDEX(DB,I647,8),"")</f>
        <v/>
      </c>
      <c r="D647" s="437">
        <f t="shared" si="1"/>
        <v>0</v>
      </c>
      <c r="F647" s="438">
        <f t="shared" si="2"/>
        <v>0</v>
      </c>
      <c r="G647" t="str">
        <f t="shared" si="3"/>
        <v/>
      </c>
      <c r="H647" t="b">
        <f t="shared" si="4"/>
        <v>0</v>
      </c>
      <c r="I647" s="439">
        <f>IF(OR(ISBLANK(A647),ISNA(MATCH(A647&amp;"",AthleteNumbers,0))),0,MATCH(A647&amp;"",AthleteNumbers,0))</f>
        <v>0</v>
      </c>
      <c r="J647" s="209">
        <f t="array" ref="J647">IF(I647&gt;0,INDEX(DB,$I647,6),0)</f>
        <v>0</v>
      </c>
      <c r="K647" s="440">
        <f t="shared" si="5"/>
        <v>0</v>
      </c>
      <c r="L647" s="440">
        <f t="shared" si="6"/>
        <v>0</v>
      </c>
      <c r="M647" s="441">
        <f>IF(AND(L647&gt;O647,O647&gt;0),MinPoints,IF(L647&lt;N647,100,+INT((O647-$L647)/P647)+MinPoints))</f>
        <v>100</v>
      </c>
      <c r="N647" s="440">
        <f t="shared" si="7"/>
        <v>7</v>
      </c>
      <c r="O647" s="440">
        <f t="shared" si="8"/>
        <v>16</v>
      </c>
      <c r="P647" s="440">
        <f t="shared" si="9"/>
        <v>0.1</v>
      </c>
      <c r="Q647">
        <f t="array" ref="Q647">IF(I647&gt;0,INDEX(DB,I647,9),EventIndex)</f>
        <v>6</v>
      </c>
      <c r="S647" s="442">
        <f t="array" ref="S647">INDEX(MINVALUES,$Q647,$K$1)</f>
        <v>16</v>
      </c>
      <c r="T647">
        <f t="array" ref="T647">INDEX(INCVALUES,$Q647,$K$1)</f>
        <v>0.1</v>
      </c>
      <c r="V647">
        <f t="array" ref="V647">+J647+(4*(INDEX(MatchScoreTable,$Q647,20)-1))</f>
        <v>4</v>
      </c>
      <c r="W647">
        <f t="array" ref="W647">INDEX(INC_MINVALUES,$V647,$K$1)</f>
        <v>34</v>
      </c>
      <c r="X647" s="212">
        <f t="array" ref="X647">INDEX(INC_INCVALUES,$V647,$K$1)</f>
        <v>0.3</v>
      </c>
    </row>
    <row r="648" ht="15.75" customHeight="1">
      <c r="A648" s="435"/>
      <c r="B648" s="436"/>
      <c r="C648" s="95" t="str">
        <f t="array" ref="C648">IF(I648&gt;0,INDEX(DB,I648,8),"")</f>
        <v/>
      </c>
      <c r="D648" s="437">
        <f t="shared" si="1"/>
        <v>0</v>
      </c>
      <c r="F648" s="438">
        <f t="shared" si="2"/>
        <v>0</v>
      </c>
      <c r="G648" t="str">
        <f t="shared" si="3"/>
        <v/>
      </c>
      <c r="H648" t="b">
        <f t="shared" si="4"/>
        <v>0</v>
      </c>
      <c r="I648" s="439">
        <f>IF(OR(ISBLANK(A648),ISNA(MATCH(A648&amp;"",AthleteNumbers,0))),0,MATCH(A648&amp;"",AthleteNumbers,0))</f>
        <v>0</v>
      </c>
      <c r="J648" s="209">
        <f t="array" ref="J648">IF(I648&gt;0,INDEX(DB,$I648,6),0)</f>
        <v>0</v>
      </c>
      <c r="K648" s="440">
        <f t="shared" si="5"/>
        <v>0</v>
      </c>
      <c r="L648" s="440">
        <f t="shared" si="6"/>
        <v>0</v>
      </c>
      <c r="M648" s="441">
        <f>IF(AND(L648&gt;O648,O648&gt;0),MinPoints,IF(L648&lt;N648,100,+INT((O648-$L648)/P648)+MinPoints))</f>
        <v>100</v>
      </c>
      <c r="N648" s="440">
        <f t="shared" si="7"/>
        <v>7</v>
      </c>
      <c r="O648" s="440">
        <f t="shared" si="8"/>
        <v>16</v>
      </c>
      <c r="P648" s="440">
        <f t="shared" si="9"/>
        <v>0.1</v>
      </c>
      <c r="Q648">
        <f t="array" ref="Q648">IF(I648&gt;0,INDEX(DB,I648,9),EventIndex)</f>
        <v>6</v>
      </c>
      <c r="S648" s="442">
        <f t="array" ref="S648">INDEX(MINVALUES,$Q648,$K$1)</f>
        <v>16</v>
      </c>
      <c r="T648">
        <f t="array" ref="T648">INDEX(INCVALUES,$Q648,$K$1)</f>
        <v>0.1</v>
      </c>
      <c r="V648">
        <f t="array" ref="V648">+J648+(4*(INDEX(MatchScoreTable,$Q648,20)-1))</f>
        <v>4</v>
      </c>
      <c r="W648">
        <f t="array" ref="W648">INDEX(INC_MINVALUES,$V648,$K$1)</f>
        <v>34</v>
      </c>
      <c r="X648" s="212">
        <f t="array" ref="X648">INDEX(INC_INCVALUES,$V648,$K$1)</f>
        <v>0.3</v>
      </c>
    </row>
    <row r="649" ht="15.75" customHeight="1">
      <c r="A649" s="435"/>
      <c r="B649" s="436"/>
      <c r="C649" s="95" t="str">
        <f t="array" ref="C649">IF(I649&gt;0,INDEX(DB,I649,8),"")</f>
        <v/>
      </c>
      <c r="D649" s="437">
        <f t="shared" si="1"/>
        <v>0</v>
      </c>
      <c r="F649" s="438">
        <f t="shared" si="2"/>
        <v>0</v>
      </c>
      <c r="G649" t="str">
        <f t="shared" si="3"/>
        <v/>
      </c>
      <c r="H649" t="b">
        <f t="shared" si="4"/>
        <v>0</v>
      </c>
      <c r="I649" s="439">
        <f>IF(OR(ISBLANK(A649),ISNA(MATCH(A649&amp;"",AthleteNumbers,0))),0,MATCH(A649&amp;"",AthleteNumbers,0))</f>
        <v>0</v>
      </c>
      <c r="J649" s="209">
        <f t="array" ref="J649">IF(I649&gt;0,INDEX(DB,$I649,6),0)</f>
        <v>0</v>
      </c>
      <c r="K649" s="440">
        <f t="shared" si="5"/>
        <v>0</v>
      </c>
      <c r="L649" s="440">
        <f t="shared" si="6"/>
        <v>0</v>
      </c>
      <c r="M649" s="441">
        <f>IF(AND(L649&gt;O649,O649&gt;0),MinPoints,IF(L649&lt;N649,100,+INT((O649-$L649)/P649)+MinPoints))</f>
        <v>100</v>
      </c>
      <c r="N649" s="440">
        <f t="shared" si="7"/>
        <v>7</v>
      </c>
      <c r="O649" s="440">
        <f t="shared" si="8"/>
        <v>16</v>
      </c>
      <c r="P649" s="440">
        <f t="shared" si="9"/>
        <v>0.1</v>
      </c>
      <c r="Q649">
        <f t="array" ref="Q649">IF(I649&gt;0,INDEX(DB,I649,9),EventIndex)</f>
        <v>6</v>
      </c>
      <c r="S649" s="442">
        <f t="array" ref="S649">INDEX(MINVALUES,$Q649,$K$1)</f>
        <v>16</v>
      </c>
      <c r="T649">
        <f t="array" ref="T649">INDEX(INCVALUES,$Q649,$K$1)</f>
        <v>0.1</v>
      </c>
      <c r="V649">
        <f t="array" ref="V649">+J649+(4*(INDEX(MatchScoreTable,$Q649,20)-1))</f>
        <v>4</v>
      </c>
      <c r="W649">
        <f t="array" ref="W649">INDEX(INC_MINVALUES,$V649,$K$1)</f>
        <v>34</v>
      </c>
      <c r="X649" s="212">
        <f t="array" ref="X649">INDEX(INC_INCVALUES,$V649,$K$1)</f>
        <v>0.3</v>
      </c>
    </row>
    <row r="650" ht="15.75" customHeight="1">
      <c r="A650" s="435"/>
      <c r="B650" s="436"/>
      <c r="C650" s="95" t="str">
        <f t="array" ref="C650">IF(I650&gt;0,INDEX(DB,I650,8),"")</f>
        <v/>
      </c>
      <c r="D650" s="437">
        <f t="shared" si="1"/>
        <v>0</v>
      </c>
      <c r="F650" s="438">
        <f t="shared" si="2"/>
        <v>0</v>
      </c>
      <c r="G650" t="str">
        <f t="shared" si="3"/>
        <v/>
      </c>
      <c r="H650" t="b">
        <f t="shared" si="4"/>
        <v>0</v>
      </c>
      <c r="I650" s="439">
        <f>IF(OR(ISBLANK(A650),ISNA(MATCH(A650&amp;"",AthleteNumbers,0))),0,MATCH(A650&amp;"",AthleteNumbers,0))</f>
        <v>0</v>
      </c>
      <c r="J650" s="209">
        <f t="array" ref="J650">IF(I650&gt;0,INDEX(DB,$I650,6),0)</f>
        <v>0</v>
      </c>
      <c r="K650" s="440">
        <f t="shared" si="5"/>
        <v>0</v>
      </c>
      <c r="L650" s="440">
        <f t="shared" si="6"/>
        <v>0</v>
      </c>
      <c r="M650" s="441">
        <f>IF(AND(L650&gt;O650,O650&gt;0),MinPoints,IF(L650&lt;N650,100,+INT((O650-$L650)/P650)+MinPoints))</f>
        <v>100</v>
      </c>
      <c r="N650" s="440">
        <f t="shared" si="7"/>
        <v>7</v>
      </c>
      <c r="O650" s="440">
        <f t="shared" si="8"/>
        <v>16</v>
      </c>
      <c r="P650" s="440">
        <f t="shared" si="9"/>
        <v>0.1</v>
      </c>
      <c r="Q650">
        <f t="array" ref="Q650">IF(I650&gt;0,INDEX(DB,I650,9),EventIndex)</f>
        <v>6</v>
      </c>
      <c r="S650" s="442">
        <f t="array" ref="S650">INDEX(MINVALUES,$Q650,$K$1)</f>
        <v>16</v>
      </c>
      <c r="T650">
        <f t="array" ref="T650">INDEX(INCVALUES,$Q650,$K$1)</f>
        <v>0.1</v>
      </c>
      <c r="V650">
        <f t="array" ref="V650">+J650+(4*(INDEX(MatchScoreTable,$Q650,20)-1))</f>
        <v>4</v>
      </c>
      <c r="W650">
        <f t="array" ref="W650">INDEX(INC_MINVALUES,$V650,$K$1)</f>
        <v>34</v>
      </c>
      <c r="X650" s="212">
        <f t="array" ref="X650">INDEX(INC_INCVALUES,$V650,$K$1)</f>
        <v>0.3</v>
      </c>
    </row>
    <row r="651" ht="15.75" customHeight="1">
      <c r="A651" s="435"/>
      <c r="B651" s="436"/>
      <c r="C651" s="95" t="str">
        <f t="array" ref="C651">IF(I651&gt;0,INDEX(DB,I651,8),"")</f>
        <v/>
      </c>
      <c r="D651" s="437">
        <f t="shared" si="1"/>
        <v>0</v>
      </c>
      <c r="F651" s="438">
        <f t="shared" si="2"/>
        <v>0</v>
      </c>
      <c r="G651" t="str">
        <f t="shared" si="3"/>
        <v/>
      </c>
      <c r="H651" t="b">
        <f t="shared" si="4"/>
        <v>0</v>
      </c>
      <c r="I651" s="439">
        <f>IF(OR(ISBLANK(A651),ISNA(MATCH(A651&amp;"",AthleteNumbers,0))),0,MATCH(A651&amp;"",AthleteNumbers,0))</f>
        <v>0</v>
      </c>
      <c r="J651" s="209">
        <f t="array" ref="J651">IF(I651&gt;0,INDEX(DB,$I651,6),0)</f>
        <v>0</v>
      </c>
      <c r="K651" s="440">
        <f t="shared" si="5"/>
        <v>0</v>
      </c>
      <c r="L651" s="440">
        <f t="shared" si="6"/>
        <v>0</v>
      </c>
      <c r="M651" s="441">
        <f>IF(AND(L651&gt;O651,O651&gt;0),MinPoints,IF(L651&lt;N651,100,+INT((O651-$L651)/P651)+MinPoints))</f>
        <v>100</v>
      </c>
      <c r="N651" s="440">
        <f t="shared" si="7"/>
        <v>7</v>
      </c>
      <c r="O651" s="440">
        <f t="shared" si="8"/>
        <v>16</v>
      </c>
      <c r="P651" s="440">
        <f t="shared" si="9"/>
        <v>0.1</v>
      </c>
      <c r="Q651">
        <f t="array" ref="Q651">IF(I651&gt;0,INDEX(DB,I651,9),EventIndex)</f>
        <v>6</v>
      </c>
      <c r="S651" s="442">
        <f t="array" ref="S651">INDEX(MINVALUES,$Q651,$K$1)</f>
        <v>16</v>
      </c>
      <c r="T651">
        <f t="array" ref="T651">INDEX(INCVALUES,$Q651,$K$1)</f>
        <v>0.1</v>
      </c>
      <c r="V651">
        <f t="array" ref="V651">+J651+(4*(INDEX(MatchScoreTable,$Q651,20)-1))</f>
        <v>4</v>
      </c>
      <c r="W651">
        <f t="array" ref="W651">INDEX(INC_MINVALUES,$V651,$K$1)</f>
        <v>34</v>
      </c>
      <c r="X651" s="212">
        <f t="array" ref="X651">INDEX(INC_INCVALUES,$V651,$K$1)</f>
        <v>0.3</v>
      </c>
    </row>
    <row r="652" ht="15.75" customHeight="1">
      <c r="A652" s="435"/>
      <c r="B652" s="436"/>
      <c r="C652" s="95" t="str">
        <f t="array" ref="C652">IF(I652&gt;0,INDEX(DB,I652,8),"")</f>
        <v/>
      </c>
      <c r="D652" s="437">
        <f t="shared" si="1"/>
        <v>0</v>
      </c>
      <c r="F652" s="438">
        <f t="shared" si="2"/>
        <v>0</v>
      </c>
      <c r="G652" t="str">
        <f t="shared" si="3"/>
        <v/>
      </c>
      <c r="H652" t="b">
        <f t="shared" si="4"/>
        <v>0</v>
      </c>
      <c r="I652" s="439">
        <f>IF(OR(ISBLANK(A652),ISNA(MATCH(A652&amp;"",AthleteNumbers,0))),0,MATCH(A652&amp;"",AthleteNumbers,0))</f>
        <v>0</v>
      </c>
      <c r="J652" s="209">
        <f t="array" ref="J652">IF(I652&gt;0,INDEX(DB,$I652,6),0)</f>
        <v>0</v>
      </c>
      <c r="K652" s="440">
        <f t="shared" si="5"/>
        <v>0</v>
      </c>
      <c r="L652" s="440">
        <f t="shared" si="6"/>
        <v>0</v>
      </c>
      <c r="M652" s="441">
        <f>IF(AND(L652&gt;O652,O652&gt;0),MinPoints,IF(L652&lt;N652,100,+INT((O652-$L652)/P652)+MinPoints))</f>
        <v>100</v>
      </c>
      <c r="N652" s="440">
        <f t="shared" si="7"/>
        <v>7</v>
      </c>
      <c r="O652" s="440">
        <f t="shared" si="8"/>
        <v>16</v>
      </c>
      <c r="P652" s="440">
        <f t="shared" si="9"/>
        <v>0.1</v>
      </c>
      <c r="Q652">
        <f t="array" ref="Q652">IF(I652&gt;0,INDEX(DB,I652,9),EventIndex)</f>
        <v>6</v>
      </c>
      <c r="S652" s="442">
        <f t="array" ref="S652">INDEX(MINVALUES,$Q652,$K$1)</f>
        <v>16</v>
      </c>
      <c r="T652">
        <f t="array" ref="T652">INDEX(INCVALUES,$Q652,$K$1)</f>
        <v>0.1</v>
      </c>
      <c r="V652">
        <f t="array" ref="V652">+J652+(4*(INDEX(MatchScoreTable,$Q652,20)-1))</f>
        <v>4</v>
      </c>
      <c r="W652">
        <f t="array" ref="W652">INDEX(INC_MINVALUES,$V652,$K$1)</f>
        <v>34</v>
      </c>
      <c r="X652" s="212">
        <f t="array" ref="X652">INDEX(INC_INCVALUES,$V652,$K$1)</f>
        <v>0.3</v>
      </c>
    </row>
    <row r="653" ht="15.75" customHeight="1">
      <c r="A653" s="435"/>
      <c r="B653" s="436"/>
      <c r="C653" s="95" t="str">
        <f t="array" ref="C653">IF(I653&gt;0,INDEX(DB,I653,8),"")</f>
        <v/>
      </c>
      <c r="D653" s="437">
        <f t="shared" si="1"/>
        <v>0</v>
      </c>
      <c r="F653" s="438">
        <f t="shared" si="2"/>
        <v>0</v>
      </c>
      <c r="G653" t="str">
        <f t="shared" si="3"/>
        <v/>
      </c>
      <c r="H653" t="b">
        <f t="shared" si="4"/>
        <v>0</v>
      </c>
      <c r="I653" s="439">
        <f>IF(OR(ISBLANK(A653),ISNA(MATCH(A653&amp;"",AthleteNumbers,0))),0,MATCH(A653&amp;"",AthleteNumbers,0))</f>
        <v>0</v>
      </c>
      <c r="J653" s="209">
        <f t="array" ref="J653">IF(I653&gt;0,INDEX(DB,$I653,6),0)</f>
        <v>0</v>
      </c>
      <c r="K653" s="440">
        <f t="shared" si="5"/>
        <v>0</v>
      </c>
      <c r="L653" s="440">
        <f t="shared" si="6"/>
        <v>0</v>
      </c>
      <c r="M653" s="441">
        <f>IF(AND(L653&gt;O653,O653&gt;0),MinPoints,IF(L653&lt;N653,100,+INT((O653-$L653)/P653)+MinPoints))</f>
        <v>100</v>
      </c>
      <c r="N653" s="440">
        <f t="shared" si="7"/>
        <v>7</v>
      </c>
      <c r="O653" s="440">
        <f t="shared" si="8"/>
        <v>16</v>
      </c>
      <c r="P653" s="440">
        <f t="shared" si="9"/>
        <v>0.1</v>
      </c>
      <c r="Q653">
        <f t="array" ref="Q653">IF(I653&gt;0,INDEX(DB,I653,9),EventIndex)</f>
        <v>6</v>
      </c>
      <c r="S653" s="442">
        <f t="array" ref="S653">INDEX(MINVALUES,$Q653,$K$1)</f>
        <v>16</v>
      </c>
      <c r="T653">
        <f t="array" ref="T653">INDEX(INCVALUES,$Q653,$K$1)</f>
        <v>0.1</v>
      </c>
      <c r="V653">
        <f t="array" ref="V653">+J653+(4*(INDEX(MatchScoreTable,$Q653,20)-1))</f>
        <v>4</v>
      </c>
      <c r="W653">
        <f t="array" ref="W653">INDEX(INC_MINVALUES,$V653,$K$1)</f>
        <v>34</v>
      </c>
      <c r="X653" s="212">
        <f t="array" ref="X653">INDEX(INC_INCVALUES,$V653,$K$1)</f>
        <v>0.3</v>
      </c>
    </row>
    <row r="654" ht="15.75" customHeight="1">
      <c r="A654" s="435"/>
      <c r="B654" s="436"/>
      <c r="C654" s="95" t="str">
        <f t="array" ref="C654">IF(I654&gt;0,INDEX(DB,I654,8),"")</f>
        <v/>
      </c>
      <c r="D654" s="437">
        <f t="shared" si="1"/>
        <v>0</v>
      </c>
      <c r="F654" s="438">
        <f t="shared" si="2"/>
        <v>0</v>
      </c>
      <c r="G654" t="str">
        <f t="shared" si="3"/>
        <v/>
      </c>
      <c r="H654" t="b">
        <f t="shared" si="4"/>
        <v>0</v>
      </c>
      <c r="I654" s="439">
        <f>IF(OR(ISBLANK(A654),ISNA(MATCH(A654&amp;"",AthleteNumbers,0))),0,MATCH(A654&amp;"",AthleteNumbers,0))</f>
        <v>0</v>
      </c>
      <c r="J654" s="209">
        <f t="array" ref="J654">IF(I654&gt;0,INDEX(DB,$I654,6),0)</f>
        <v>0</v>
      </c>
      <c r="K654" s="440">
        <f t="shared" si="5"/>
        <v>0</v>
      </c>
      <c r="L654" s="440">
        <f t="shared" si="6"/>
        <v>0</v>
      </c>
      <c r="M654" s="441">
        <f>IF(AND(L654&gt;O654,O654&gt;0),MinPoints,IF(L654&lt;N654,100,+INT((O654-$L654)/P654)+MinPoints))</f>
        <v>100</v>
      </c>
      <c r="N654" s="440">
        <f t="shared" si="7"/>
        <v>7</v>
      </c>
      <c r="O654" s="440">
        <f t="shared" si="8"/>
        <v>16</v>
      </c>
      <c r="P654" s="440">
        <f t="shared" si="9"/>
        <v>0.1</v>
      </c>
      <c r="Q654">
        <f t="array" ref="Q654">IF(I654&gt;0,INDEX(DB,I654,9),EventIndex)</f>
        <v>6</v>
      </c>
      <c r="S654" s="442">
        <f t="array" ref="S654">INDEX(MINVALUES,$Q654,$K$1)</f>
        <v>16</v>
      </c>
      <c r="T654">
        <f t="array" ref="T654">INDEX(INCVALUES,$Q654,$K$1)</f>
        <v>0.1</v>
      </c>
      <c r="V654">
        <f t="array" ref="V654">+J654+(4*(INDEX(MatchScoreTable,$Q654,20)-1))</f>
        <v>4</v>
      </c>
      <c r="W654">
        <f t="array" ref="W654">INDEX(INC_MINVALUES,$V654,$K$1)</f>
        <v>34</v>
      </c>
      <c r="X654" s="212">
        <f t="array" ref="X654">INDEX(INC_INCVALUES,$V654,$K$1)</f>
        <v>0.3</v>
      </c>
    </row>
    <row r="655" ht="15.75" customHeight="1">
      <c r="A655" s="435"/>
      <c r="B655" s="436"/>
      <c r="C655" s="95" t="str">
        <f t="array" ref="C655">IF(I655&gt;0,INDEX(DB,I655,8),"")</f>
        <v/>
      </c>
      <c r="D655" s="437">
        <f t="shared" si="1"/>
        <v>0</v>
      </c>
      <c r="F655" s="438">
        <f t="shared" si="2"/>
        <v>0</v>
      </c>
      <c r="G655" t="str">
        <f t="shared" si="3"/>
        <v/>
      </c>
      <c r="H655" t="b">
        <f t="shared" si="4"/>
        <v>0</v>
      </c>
      <c r="I655" s="439">
        <f>IF(OR(ISBLANK(A655),ISNA(MATCH(A655&amp;"",AthleteNumbers,0))),0,MATCH(A655&amp;"",AthleteNumbers,0))</f>
        <v>0</v>
      </c>
      <c r="J655" s="209">
        <f t="array" ref="J655">IF(I655&gt;0,INDEX(DB,$I655,6),0)</f>
        <v>0</v>
      </c>
      <c r="K655" s="440">
        <f t="shared" si="5"/>
        <v>0</v>
      </c>
      <c r="L655" s="440">
        <f t="shared" si="6"/>
        <v>0</v>
      </c>
      <c r="M655" s="441">
        <f>IF(AND(L655&gt;O655,O655&gt;0),MinPoints,IF(L655&lt;N655,100,+INT((O655-$L655)/P655)+MinPoints))</f>
        <v>100</v>
      </c>
      <c r="N655" s="440">
        <f t="shared" si="7"/>
        <v>7</v>
      </c>
      <c r="O655" s="440">
        <f t="shared" si="8"/>
        <v>16</v>
      </c>
      <c r="P655" s="440">
        <f t="shared" si="9"/>
        <v>0.1</v>
      </c>
      <c r="Q655">
        <f t="array" ref="Q655">IF(I655&gt;0,INDEX(DB,I655,9),EventIndex)</f>
        <v>6</v>
      </c>
      <c r="S655" s="442">
        <f t="array" ref="S655">INDEX(MINVALUES,$Q655,$K$1)</f>
        <v>16</v>
      </c>
      <c r="T655">
        <f t="array" ref="T655">INDEX(INCVALUES,$Q655,$K$1)</f>
        <v>0.1</v>
      </c>
      <c r="V655">
        <f t="array" ref="V655">+J655+(4*(INDEX(MatchScoreTable,$Q655,20)-1))</f>
        <v>4</v>
      </c>
      <c r="W655">
        <f t="array" ref="W655">INDEX(INC_MINVALUES,$V655,$K$1)</f>
        <v>34</v>
      </c>
      <c r="X655" s="212">
        <f t="array" ref="X655">INDEX(INC_INCVALUES,$V655,$K$1)</f>
        <v>0.3</v>
      </c>
    </row>
    <row r="656" ht="15.75" customHeight="1">
      <c r="A656" s="435"/>
      <c r="B656" s="436"/>
      <c r="C656" s="95" t="str">
        <f t="array" ref="C656">IF(I656&gt;0,INDEX(DB,I656,8),"")</f>
        <v/>
      </c>
      <c r="D656" s="437">
        <f t="shared" si="1"/>
        <v>0</v>
      </c>
      <c r="F656" s="438">
        <f t="shared" si="2"/>
        <v>0</v>
      </c>
      <c r="G656" t="str">
        <f t="shared" si="3"/>
        <v/>
      </c>
      <c r="H656" t="b">
        <f t="shared" si="4"/>
        <v>0</v>
      </c>
      <c r="I656" s="439">
        <f>IF(OR(ISBLANK(A656),ISNA(MATCH(A656&amp;"",AthleteNumbers,0))),0,MATCH(A656&amp;"",AthleteNumbers,0))</f>
        <v>0</v>
      </c>
      <c r="J656" s="209">
        <f t="array" ref="J656">IF(I656&gt;0,INDEX(DB,$I656,6),0)</f>
        <v>0</v>
      </c>
      <c r="K656" s="440">
        <f t="shared" si="5"/>
        <v>0</v>
      </c>
      <c r="L656" s="440">
        <f t="shared" si="6"/>
        <v>0</v>
      </c>
      <c r="M656" s="441">
        <f>IF(AND(L656&gt;O656,O656&gt;0),MinPoints,IF(L656&lt;N656,100,+INT((O656-$L656)/P656)+MinPoints))</f>
        <v>100</v>
      </c>
      <c r="N656" s="440">
        <f t="shared" si="7"/>
        <v>7</v>
      </c>
      <c r="O656" s="440">
        <f t="shared" si="8"/>
        <v>16</v>
      </c>
      <c r="P656" s="440">
        <f t="shared" si="9"/>
        <v>0.1</v>
      </c>
      <c r="Q656">
        <f t="array" ref="Q656">IF(I656&gt;0,INDEX(DB,I656,9),EventIndex)</f>
        <v>6</v>
      </c>
      <c r="S656" s="442">
        <f t="array" ref="S656">INDEX(MINVALUES,$Q656,$K$1)</f>
        <v>16</v>
      </c>
      <c r="T656">
        <f t="array" ref="T656">INDEX(INCVALUES,$Q656,$K$1)</f>
        <v>0.1</v>
      </c>
      <c r="V656">
        <f t="array" ref="V656">+J656+(4*(INDEX(MatchScoreTable,$Q656,20)-1))</f>
        <v>4</v>
      </c>
      <c r="W656">
        <f t="array" ref="W656">INDEX(INC_MINVALUES,$V656,$K$1)</f>
        <v>34</v>
      </c>
      <c r="X656" s="212">
        <f t="array" ref="X656">INDEX(INC_INCVALUES,$V656,$K$1)</f>
        <v>0.3</v>
      </c>
    </row>
    <row r="657" ht="15.75" customHeight="1">
      <c r="A657" s="435"/>
      <c r="B657" s="436"/>
      <c r="C657" s="95" t="str">
        <f t="array" ref="C657">IF(I657&gt;0,INDEX(DB,I657,8),"")</f>
        <v/>
      </c>
      <c r="D657" s="437">
        <f t="shared" si="1"/>
        <v>0</v>
      </c>
      <c r="F657" s="438">
        <f t="shared" si="2"/>
        <v>0</v>
      </c>
      <c r="G657" t="str">
        <f t="shared" si="3"/>
        <v/>
      </c>
      <c r="H657" t="b">
        <f t="shared" si="4"/>
        <v>0</v>
      </c>
      <c r="I657" s="439">
        <f>IF(OR(ISBLANK(A657),ISNA(MATCH(A657&amp;"",AthleteNumbers,0))),0,MATCH(A657&amp;"",AthleteNumbers,0))</f>
        <v>0</v>
      </c>
      <c r="J657" s="209">
        <f t="array" ref="J657">IF(I657&gt;0,INDEX(DB,$I657,6),0)</f>
        <v>0</v>
      </c>
      <c r="K657" s="440">
        <f t="shared" si="5"/>
        <v>0</v>
      </c>
      <c r="L657" s="440">
        <f t="shared" si="6"/>
        <v>0</v>
      </c>
      <c r="M657" s="441">
        <f>IF(AND(L657&gt;O657,O657&gt;0),MinPoints,IF(L657&lt;N657,100,+INT((O657-$L657)/P657)+MinPoints))</f>
        <v>100</v>
      </c>
      <c r="N657" s="440">
        <f t="shared" si="7"/>
        <v>7</v>
      </c>
      <c r="O657" s="440">
        <f t="shared" si="8"/>
        <v>16</v>
      </c>
      <c r="P657" s="440">
        <f t="shared" si="9"/>
        <v>0.1</v>
      </c>
      <c r="Q657">
        <f t="array" ref="Q657">IF(I657&gt;0,INDEX(DB,I657,9),EventIndex)</f>
        <v>6</v>
      </c>
      <c r="S657" s="442">
        <f t="array" ref="S657">INDEX(MINVALUES,$Q657,$K$1)</f>
        <v>16</v>
      </c>
      <c r="T657">
        <f t="array" ref="T657">INDEX(INCVALUES,$Q657,$K$1)</f>
        <v>0.1</v>
      </c>
      <c r="V657">
        <f t="array" ref="V657">+J657+(4*(INDEX(MatchScoreTable,$Q657,20)-1))</f>
        <v>4</v>
      </c>
      <c r="W657">
        <f t="array" ref="W657">INDEX(INC_MINVALUES,$V657,$K$1)</f>
        <v>34</v>
      </c>
      <c r="X657" s="212">
        <f t="array" ref="X657">INDEX(INC_INCVALUES,$V657,$K$1)</f>
        <v>0.3</v>
      </c>
    </row>
    <row r="658" ht="15.75" customHeight="1">
      <c r="A658" s="435"/>
      <c r="B658" s="436"/>
      <c r="C658" s="95" t="str">
        <f t="array" ref="C658">IF(I658&gt;0,INDEX(DB,I658,8),"")</f>
        <v/>
      </c>
      <c r="D658" s="437">
        <f t="shared" si="1"/>
        <v>0</v>
      </c>
      <c r="F658" s="438">
        <f t="shared" si="2"/>
        <v>0</v>
      </c>
      <c r="G658" t="str">
        <f t="shared" si="3"/>
        <v/>
      </c>
      <c r="H658" t="b">
        <f t="shared" si="4"/>
        <v>0</v>
      </c>
      <c r="I658" s="439">
        <f>IF(OR(ISBLANK(A658),ISNA(MATCH(A658&amp;"",AthleteNumbers,0))),0,MATCH(A658&amp;"",AthleteNumbers,0))</f>
        <v>0</v>
      </c>
      <c r="J658" s="209">
        <f t="array" ref="J658">IF(I658&gt;0,INDEX(DB,$I658,6),0)</f>
        <v>0</v>
      </c>
      <c r="K658" s="440">
        <f t="shared" si="5"/>
        <v>0</v>
      </c>
      <c r="L658" s="440">
        <f t="shared" si="6"/>
        <v>0</v>
      </c>
      <c r="M658" s="441">
        <f>IF(AND(L658&gt;O658,O658&gt;0),MinPoints,IF(L658&lt;N658,100,+INT((O658-$L658)/P658)+MinPoints))</f>
        <v>100</v>
      </c>
      <c r="N658" s="440">
        <f t="shared" si="7"/>
        <v>7</v>
      </c>
      <c r="O658" s="440">
        <f t="shared" si="8"/>
        <v>16</v>
      </c>
      <c r="P658" s="440">
        <f t="shared" si="9"/>
        <v>0.1</v>
      </c>
      <c r="Q658">
        <f t="array" ref="Q658">IF(I658&gt;0,INDEX(DB,I658,9),EventIndex)</f>
        <v>6</v>
      </c>
      <c r="S658" s="442">
        <f t="array" ref="S658">INDEX(MINVALUES,$Q658,$K$1)</f>
        <v>16</v>
      </c>
      <c r="T658">
        <f t="array" ref="T658">INDEX(INCVALUES,$Q658,$K$1)</f>
        <v>0.1</v>
      </c>
      <c r="V658">
        <f t="array" ref="V658">+J658+(4*(INDEX(MatchScoreTable,$Q658,20)-1))</f>
        <v>4</v>
      </c>
      <c r="W658">
        <f t="array" ref="W658">INDEX(INC_MINVALUES,$V658,$K$1)</f>
        <v>34</v>
      </c>
      <c r="X658" s="212">
        <f t="array" ref="X658">INDEX(INC_INCVALUES,$V658,$K$1)</f>
        <v>0.3</v>
      </c>
    </row>
    <row r="659" ht="15.75" customHeight="1">
      <c r="A659" s="435"/>
      <c r="B659" s="436"/>
      <c r="C659" s="95" t="str">
        <f t="array" ref="C659">IF(I659&gt;0,INDEX(DB,I659,8),"")</f>
        <v/>
      </c>
      <c r="D659" s="437">
        <f t="shared" si="1"/>
        <v>0</v>
      </c>
      <c r="F659" s="438">
        <f t="shared" si="2"/>
        <v>0</v>
      </c>
      <c r="G659" t="str">
        <f t="shared" si="3"/>
        <v/>
      </c>
      <c r="H659" t="b">
        <f t="shared" si="4"/>
        <v>0</v>
      </c>
      <c r="I659" s="439">
        <f>IF(OR(ISBLANK(A659),ISNA(MATCH(A659&amp;"",AthleteNumbers,0))),0,MATCH(A659&amp;"",AthleteNumbers,0))</f>
        <v>0</v>
      </c>
      <c r="J659" s="209">
        <f t="array" ref="J659">IF(I659&gt;0,INDEX(DB,$I659,6),0)</f>
        <v>0</v>
      </c>
      <c r="K659" s="440">
        <f t="shared" si="5"/>
        <v>0</v>
      </c>
      <c r="L659" s="440">
        <f t="shared" si="6"/>
        <v>0</v>
      </c>
      <c r="M659" s="441">
        <f>IF(AND(L659&gt;O659,O659&gt;0),MinPoints,IF(L659&lt;N659,100,+INT((O659-$L659)/P659)+MinPoints))</f>
        <v>100</v>
      </c>
      <c r="N659" s="440">
        <f t="shared" si="7"/>
        <v>7</v>
      </c>
      <c r="O659" s="440">
        <f t="shared" si="8"/>
        <v>16</v>
      </c>
      <c r="P659" s="440">
        <f t="shared" si="9"/>
        <v>0.1</v>
      </c>
      <c r="Q659">
        <f t="array" ref="Q659">IF(I659&gt;0,INDEX(DB,I659,9),EventIndex)</f>
        <v>6</v>
      </c>
      <c r="S659" s="442">
        <f t="array" ref="S659">INDEX(MINVALUES,$Q659,$K$1)</f>
        <v>16</v>
      </c>
      <c r="T659">
        <f t="array" ref="T659">INDEX(INCVALUES,$Q659,$K$1)</f>
        <v>0.1</v>
      </c>
      <c r="V659">
        <f t="array" ref="V659">+J659+(4*(INDEX(MatchScoreTable,$Q659,20)-1))</f>
        <v>4</v>
      </c>
      <c r="W659">
        <f t="array" ref="W659">INDEX(INC_MINVALUES,$V659,$K$1)</f>
        <v>34</v>
      </c>
      <c r="X659" s="212">
        <f t="array" ref="X659">INDEX(INC_INCVALUES,$V659,$K$1)</f>
        <v>0.3</v>
      </c>
    </row>
    <row r="660" ht="15.75" customHeight="1">
      <c r="A660" s="435"/>
      <c r="B660" s="436"/>
      <c r="C660" s="95" t="str">
        <f t="array" ref="C660">IF(I660&gt;0,INDEX(DB,I660,8),"")</f>
        <v/>
      </c>
      <c r="D660" s="437">
        <f t="shared" si="1"/>
        <v>0</v>
      </c>
      <c r="F660" s="438">
        <f t="shared" si="2"/>
        <v>0</v>
      </c>
      <c r="G660" t="str">
        <f t="shared" si="3"/>
        <v/>
      </c>
      <c r="H660" t="b">
        <f t="shared" si="4"/>
        <v>0</v>
      </c>
      <c r="I660" s="439">
        <f>IF(OR(ISBLANK(A660),ISNA(MATCH(A660&amp;"",AthleteNumbers,0))),0,MATCH(A660&amp;"",AthleteNumbers,0))</f>
        <v>0</v>
      </c>
      <c r="J660" s="209">
        <f t="array" ref="J660">IF(I660&gt;0,INDEX(DB,$I660,6),0)</f>
        <v>0</v>
      </c>
      <c r="K660" s="440">
        <f t="shared" si="5"/>
        <v>0</v>
      </c>
      <c r="L660" s="440">
        <f t="shared" si="6"/>
        <v>0</v>
      </c>
      <c r="M660" s="441">
        <f>IF(AND(L660&gt;O660,O660&gt;0),MinPoints,IF(L660&lt;N660,100,+INT((O660-$L660)/P660)+MinPoints))</f>
        <v>100</v>
      </c>
      <c r="N660" s="440">
        <f t="shared" si="7"/>
        <v>7</v>
      </c>
      <c r="O660" s="440">
        <f t="shared" si="8"/>
        <v>16</v>
      </c>
      <c r="P660" s="440">
        <f t="shared" si="9"/>
        <v>0.1</v>
      </c>
      <c r="Q660">
        <f t="array" ref="Q660">IF(I660&gt;0,INDEX(DB,I660,9),EventIndex)</f>
        <v>6</v>
      </c>
      <c r="S660" s="442">
        <f t="array" ref="S660">INDEX(MINVALUES,$Q660,$K$1)</f>
        <v>16</v>
      </c>
      <c r="T660">
        <f t="array" ref="T660">INDEX(INCVALUES,$Q660,$K$1)</f>
        <v>0.1</v>
      </c>
      <c r="V660">
        <f t="array" ref="V660">+J660+(4*(INDEX(MatchScoreTable,$Q660,20)-1))</f>
        <v>4</v>
      </c>
      <c r="W660">
        <f t="array" ref="W660">INDEX(INC_MINVALUES,$V660,$K$1)</f>
        <v>34</v>
      </c>
      <c r="X660" s="212">
        <f t="array" ref="X660">INDEX(INC_INCVALUES,$V660,$K$1)</f>
        <v>0.3</v>
      </c>
    </row>
    <row r="661" ht="15.75" customHeight="1">
      <c r="A661" s="435"/>
      <c r="B661" s="436"/>
      <c r="C661" s="95" t="str">
        <f t="array" ref="C661">IF(I661&gt;0,INDEX(DB,I661,8),"")</f>
        <v/>
      </c>
      <c r="D661" s="437">
        <f t="shared" si="1"/>
        <v>0</v>
      </c>
      <c r="F661" s="438">
        <f t="shared" si="2"/>
        <v>0</v>
      </c>
      <c r="G661" t="str">
        <f t="shared" si="3"/>
        <v/>
      </c>
      <c r="H661" t="b">
        <f t="shared" si="4"/>
        <v>0</v>
      </c>
      <c r="I661" s="439">
        <f>IF(OR(ISBLANK(A661),ISNA(MATCH(A661&amp;"",AthleteNumbers,0))),0,MATCH(A661&amp;"",AthleteNumbers,0))</f>
        <v>0</v>
      </c>
      <c r="J661" s="209">
        <f t="array" ref="J661">IF(I661&gt;0,INDEX(DB,$I661,6),0)</f>
        <v>0</v>
      </c>
      <c r="K661" s="440">
        <f t="shared" si="5"/>
        <v>0</v>
      </c>
      <c r="L661" s="440">
        <f t="shared" si="6"/>
        <v>0</v>
      </c>
      <c r="M661" s="441">
        <f>IF(AND(L661&gt;O661,O661&gt;0),MinPoints,IF(L661&lt;N661,100,+INT((O661-$L661)/P661)+MinPoints))</f>
        <v>100</v>
      </c>
      <c r="N661" s="440">
        <f t="shared" si="7"/>
        <v>7</v>
      </c>
      <c r="O661" s="440">
        <f t="shared" si="8"/>
        <v>16</v>
      </c>
      <c r="P661" s="440">
        <f t="shared" si="9"/>
        <v>0.1</v>
      </c>
      <c r="Q661">
        <f t="array" ref="Q661">IF(I661&gt;0,INDEX(DB,I661,9),EventIndex)</f>
        <v>6</v>
      </c>
      <c r="S661" s="442">
        <f t="array" ref="S661">INDEX(MINVALUES,$Q661,$K$1)</f>
        <v>16</v>
      </c>
      <c r="T661">
        <f t="array" ref="T661">INDEX(INCVALUES,$Q661,$K$1)</f>
        <v>0.1</v>
      </c>
      <c r="V661">
        <f t="array" ref="V661">+J661+(4*(INDEX(MatchScoreTable,$Q661,20)-1))</f>
        <v>4</v>
      </c>
      <c r="W661">
        <f t="array" ref="W661">INDEX(INC_MINVALUES,$V661,$K$1)</f>
        <v>34</v>
      </c>
      <c r="X661" s="212">
        <f t="array" ref="X661">INDEX(INC_INCVALUES,$V661,$K$1)</f>
        <v>0.3</v>
      </c>
    </row>
    <row r="662" ht="15.75" customHeight="1">
      <c r="A662" s="435"/>
      <c r="B662" s="436"/>
      <c r="C662" s="95" t="str">
        <f t="array" ref="C662">IF(I662&gt;0,INDEX(DB,I662,8),"")</f>
        <v/>
      </c>
      <c r="D662" s="437">
        <f t="shared" si="1"/>
        <v>0</v>
      </c>
      <c r="F662" s="438">
        <f t="shared" si="2"/>
        <v>0</v>
      </c>
      <c r="G662" t="str">
        <f t="shared" si="3"/>
        <v/>
      </c>
      <c r="H662" t="b">
        <f t="shared" si="4"/>
        <v>0</v>
      </c>
      <c r="I662" s="439">
        <f>IF(OR(ISBLANK(A662),ISNA(MATCH(A662&amp;"",AthleteNumbers,0))),0,MATCH(A662&amp;"",AthleteNumbers,0))</f>
        <v>0</v>
      </c>
      <c r="J662" s="209">
        <f t="array" ref="J662">IF(I662&gt;0,INDEX(DB,$I662,6),0)</f>
        <v>0</v>
      </c>
      <c r="K662" s="440">
        <f t="shared" si="5"/>
        <v>0</v>
      </c>
      <c r="L662" s="440">
        <f t="shared" si="6"/>
        <v>0</v>
      </c>
      <c r="M662" s="441">
        <f>IF(AND(L662&gt;O662,O662&gt;0),MinPoints,IF(L662&lt;N662,100,+INT((O662-$L662)/P662)+MinPoints))</f>
        <v>100</v>
      </c>
      <c r="N662" s="440">
        <f t="shared" si="7"/>
        <v>7</v>
      </c>
      <c r="O662" s="440">
        <f t="shared" si="8"/>
        <v>16</v>
      </c>
      <c r="P662" s="440">
        <f t="shared" si="9"/>
        <v>0.1</v>
      </c>
      <c r="Q662">
        <f t="array" ref="Q662">IF(I662&gt;0,INDEX(DB,I662,9),EventIndex)</f>
        <v>6</v>
      </c>
      <c r="S662" s="442">
        <f t="array" ref="S662">INDEX(MINVALUES,$Q662,$K$1)</f>
        <v>16</v>
      </c>
      <c r="T662">
        <f t="array" ref="T662">INDEX(INCVALUES,$Q662,$K$1)</f>
        <v>0.1</v>
      </c>
      <c r="V662">
        <f t="array" ref="V662">+J662+(4*(INDEX(MatchScoreTable,$Q662,20)-1))</f>
        <v>4</v>
      </c>
      <c r="W662">
        <f t="array" ref="W662">INDEX(INC_MINVALUES,$V662,$K$1)</f>
        <v>34</v>
      </c>
      <c r="X662" s="212">
        <f t="array" ref="X662">INDEX(INC_INCVALUES,$V662,$K$1)</f>
        <v>0.3</v>
      </c>
    </row>
    <row r="663" ht="15.75" customHeight="1">
      <c r="A663" s="435"/>
      <c r="B663" s="436"/>
      <c r="C663" s="95" t="str">
        <f t="array" ref="C663">IF(I663&gt;0,INDEX(DB,I663,8),"")</f>
        <v/>
      </c>
      <c r="D663" s="437">
        <f t="shared" si="1"/>
        <v>0</v>
      </c>
      <c r="F663" s="438">
        <f t="shared" si="2"/>
        <v>0</v>
      </c>
      <c r="G663" t="str">
        <f t="shared" si="3"/>
        <v/>
      </c>
      <c r="H663" t="b">
        <f t="shared" si="4"/>
        <v>0</v>
      </c>
      <c r="I663" s="439">
        <f>IF(OR(ISBLANK(A663),ISNA(MATCH(A663&amp;"",AthleteNumbers,0))),0,MATCH(A663&amp;"",AthleteNumbers,0))</f>
        <v>0</v>
      </c>
      <c r="J663" s="209">
        <f t="array" ref="J663">IF(I663&gt;0,INDEX(DB,$I663,6),0)</f>
        <v>0</v>
      </c>
      <c r="K663" s="440">
        <f t="shared" si="5"/>
        <v>0</v>
      </c>
      <c r="L663" s="440">
        <f t="shared" si="6"/>
        <v>0</v>
      </c>
      <c r="M663" s="441">
        <f>IF(AND(L663&gt;O663,O663&gt;0),MinPoints,IF(L663&lt;N663,100,+INT((O663-$L663)/P663)+MinPoints))</f>
        <v>100</v>
      </c>
      <c r="N663" s="440">
        <f t="shared" si="7"/>
        <v>7</v>
      </c>
      <c r="O663" s="440">
        <f t="shared" si="8"/>
        <v>16</v>
      </c>
      <c r="P663" s="440">
        <f t="shared" si="9"/>
        <v>0.1</v>
      </c>
      <c r="Q663">
        <f t="array" ref="Q663">IF(I663&gt;0,INDEX(DB,I663,9),EventIndex)</f>
        <v>6</v>
      </c>
      <c r="S663" s="442">
        <f t="array" ref="S663">INDEX(MINVALUES,$Q663,$K$1)</f>
        <v>16</v>
      </c>
      <c r="T663">
        <f t="array" ref="T663">INDEX(INCVALUES,$Q663,$K$1)</f>
        <v>0.1</v>
      </c>
      <c r="V663">
        <f t="array" ref="V663">+J663+(4*(INDEX(MatchScoreTable,$Q663,20)-1))</f>
        <v>4</v>
      </c>
      <c r="W663">
        <f t="array" ref="W663">INDEX(INC_MINVALUES,$V663,$K$1)</f>
        <v>34</v>
      </c>
      <c r="X663" s="212">
        <f t="array" ref="X663">INDEX(INC_INCVALUES,$V663,$K$1)</f>
        <v>0.3</v>
      </c>
    </row>
    <row r="664" ht="15.75" customHeight="1">
      <c r="A664" s="435"/>
      <c r="B664" s="436"/>
      <c r="C664" s="95" t="str">
        <f t="array" ref="C664">IF(I664&gt;0,INDEX(DB,I664,8),"")</f>
        <v/>
      </c>
      <c r="D664" s="437">
        <f t="shared" si="1"/>
        <v>0</v>
      </c>
      <c r="F664" s="438">
        <f t="shared" si="2"/>
        <v>0</v>
      </c>
      <c r="G664" t="str">
        <f t="shared" si="3"/>
        <v/>
      </c>
      <c r="H664" t="b">
        <f t="shared" si="4"/>
        <v>0</v>
      </c>
      <c r="I664" s="439">
        <f>IF(OR(ISBLANK(A664),ISNA(MATCH(A664&amp;"",AthleteNumbers,0))),0,MATCH(A664&amp;"",AthleteNumbers,0))</f>
        <v>0</v>
      </c>
      <c r="J664" s="209">
        <f t="array" ref="J664">IF(I664&gt;0,INDEX(DB,$I664,6),0)</f>
        <v>0</v>
      </c>
      <c r="K664" s="440">
        <f t="shared" si="5"/>
        <v>0</v>
      </c>
      <c r="L664" s="440">
        <f t="shared" si="6"/>
        <v>0</v>
      </c>
      <c r="M664" s="441">
        <f>IF(AND(L664&gt;O664,O664&gt;0),MinPoints,IF(L664&lt;N664,100,+INT((O664-$L664)/P664)+MinPoints))</f>
        <v>100</v>
      </c>
      <c r="N664" s="440">
        <f t="shared" si="7"/>
        <v>7</v>
      </c>
      <c r="O664" s="440">
        <f t="shared" si="8"/>
        <v>16</v>
      </c>
      <c r="P664" s="440">
        <f t="shared" si="9"/>
        <v>0.1</v>
      </c>
      <c r="Q664">
        <f t="array" ref="Q664">IF(I664&gt;0,INDEX(DB,I664,9),EventIndex)</f>
        <v>6</v>
      </c>
      <c r="S664" s="442">
        <f t="array" ref="S664">INDEX(MINVALUES,$Q664,$K$1)</f>
        <v>16</v>
      </c>
      <c r="T664">
        <f t="array" ref="T664">INDEX(INCVALUES,$Q664,$K$1)</f>
        <v>0.1</v>
      </c>
      <c r="V664">
        <f t="array" ref="V664">+J664+(4*(INDEX(MatchScoreTable,$Q664,20)-1))</f>
        <v>4</v>
      </c>
      <c r="W664">
        <f t="array" ref="W664">INDEX(INC_MINVALUES,$V664,$K$1)</f>
        <v>34</v>
      </c>
      <c r="X664" s="212">
        <f t="array" ref="X664">INDEX(INC_INCVALUES,$V664,$K$1)</f>
        <v>0.3</v>
      </c>
    </row>
    <row r="665" ht="15.75" customHeight="1">
      <c r="A665" s="435"/>
      <c r="B665" s="436"/>
      <c r="C665" s="95" t="str">
        <f t="array" ref="C665">IF(I665&gt;0,INDEX(DB,I665,8),"")</f>
        <v/>
      </c>
      <c r="D665" s="437">
        <f t="shared" si="1"/>
        <v>0</v>
      </c>
      <c r="F665" s="438">
        <f t="shared" si="2"/>
        <v>0</v>
      </c>
      <c r="G665" t="str">
        <f t="shared" si="3"/>
        <v/>
      </c>
      <c r="H665" t="b">
        <f t="shared" si="4"/>
        <v>0</v>
      </c>
      <c r="I665" s="439">
        <f>IF(OR(ISBLANK(A665),ISNA(MATCH(A665&amp;"",AthleteNumbers,0))),0,MATCH(A665&amp;"",AthleteNumbers,0))</f>
        <v>0</v>
      </c>
      <c r="J665" s="209">
        <f t="array" ref="J665">IF(I665&gt;0,INDEX(DB,$I665,6),0)</f>
        <v>0</v>
      </c>
      <c r="K665" s="440">
        <f t="shared" si="5"/>
        <v>0</v>
      </c>
      <c r="L665" s="440">
        <f t="shared" si="6"/>
        <v>0</v>
      </c>
      <c r="M665" s="441">
        <f>IF(AND(L665&gt;O665,O665&gt;0),MinPoints,IF(L665&lt;N665,100,+INT((O665-$L665)/P665)+MinPoints))</f>
        <v>100</v>
      </c>
      <c r="N665" s="440">
        <f t="shared" si="7"/>
        <v>7</v>
      </c>
      <c r="O665" s="440">
        <f t="shared" si="8"/>
        <v>16</v>
      </c>
      <c r="P665" s="440">
        <f t="shared" si="9"/>
        <v>0.1</v>
      </c>
      <c r="Q665">
        <f t="array" ref="Q665">IF(I665&gt;0,INDEX(DB,I665,9),EventIndex)</f>
        <v>6</v>
      </c>
      <c r="S665" s="442">
        <f t="array" ref="S665">INDEX(MINVALUES,$Q665,$K$1)</f>
        <v>16</v>
      </c>
      <c r="T665">
        <f t="array" ref="T665">INDEX(INCVALUES,$Q665,$K$1)</f>
        <v>0.1</v>
      </c>
      <c r="V665">
        <f t="array" ref="V665">+J665+(4*(INDEX(MatchScoreTable,$Q665,20)-1))</f>
        <v>4</v>
      </c>
      <c r="W665">
        <f t="array" ref="W665">INDEX(INC_MINVALUES,$V665,$K$1)</f>
        <v>34</v>
      </c>
      <c r="X665" s="212">
        <f t="array" ref="X665">INDEX(INC_INCVALUES,$V665,$K$1)</f>
        <v>0.3</v>
      </c>
    </row>
    <row r="666" ht="15.75" customHeight="1">
      <c r="A666" s="435"/>
      <c r="B666" s="436"/>
      <c r="C666" s="95" t="str">
        <f t="array" ref="C666">IF(I666&gt;0,INDEX(DB,I666,8),"")</f>
        <v/>
      </c>
      <c r="D666" s="437">
        <f t="shared" si="1"/>
        <v>0</v>
      </c>
      <c r="F666" s="438">
        <f t="shared" si="2"/>
        <v>0</v>
      </c>
      <c r="G666" t="str">
        <f t="shared" si="3"/>
        <v/>
      </c>
      <c r="H666" t="b">
        <f t="shared" si="4"/>
        <v>0</v>
      </c>
      <c r="I666" s="439">
        <f>IF(OR(ISBLANK(A666),ISNA(MATCH(A666&amp;"",AthleteNumbers,0))),0,MATCH(A666&amp;"",AthleteNumbers,0))</f>
        <v>0</v>
      </c>
      <c r="J666" s="209">
        <f t="array" ref="J666">IF(I666&gt;0,INDEX(DB,$I666,6),0)</f>
        <v>0</v>
      </c>
      <c r="K666" s="440">
        <f t="shared" si="5"/>
        <v>0</v>
      </c>
      <c r="L666" s="440">
        <f t="shared" si="6"/>
        <v>0</v>
      </c>
      <c r="M666" s="441">
        <f>IF(AND(L666&gt;O666,O666&gt;0),MinPoints,IF(L666&lt;N666,100,+INT((O666-$L666)/P666)+MinPoints))</f>
        <v>100</v>
      </c>
      <c r="N666" s="440">
        <f t="shared" si="7"/>
        <v>7</v>
      </c>
      <c r="O666" s="440">
        <f t="shared" si="8"/>
        <v>16</v>
      </c>
      <c r="P666" s="440">
        <f t="shared" si="9"/>
        <v>0.1</v>
      </c>
      <c r="Q666">
        <f t="array" ref="Q666">IF(I666&gt;0,INDEX(DB,I666,9),EventIndex)</f>
        <v>6</v>
      </c>
      <c r="S666" s="442">
        <f t="array" ref="S666">INDEX(MINVALUES,$Q666,$K$1)</f>
        <v>16</v>
      </c>
      <c r="T666">
        <f t="array" ref="T666">INDEX(INCVALUES,$Q666,$K$1)</f>
        <v>0.1</v>
      </c>
      <c r="V666">
        <f t="array" ref="V666">+J666+(4*(INDEX(MatchScoreTable,$Q666,20)-1))</f>
        <v>4</v>
      </c>
      <c r="W666">
        <f t="array" ref="W666">INDEX(INC_MINVALUES,$V666,$K$1)</f>
        <v>34</v>
      </c>
      <c r="X666" s="212">
        <f t="array" ref="X666">INDEX(INC_INCVALUES,$V666,$K$1)</f>
        <v>0.3</v>
      </c>
    </row>
    <row r="667" ht="15.75" customHeight="1">
      <c r="A667" s="435"/>
      <c r="B667" s="436"/>
      <c r="C667" s="95" t="str">
        <f t="array" ref="C667">IF(I667&gt;0,INDEX(DB,I667,8),"")</f>
        <v/>
      </c>
      <c r="D667" s="437">
        <f t="shared" si="1"/>
        <v>0</v>
      </c>
      <c r="F667" s="438">
        <f t="shared" si="2"/>
        <v>0</v>
      </c>
      <c r="G667" t="str">
        <f t="shared" si="3"/>
        <v/>
      </c>
      <c r="H667" t="b">
        <f t="shared" si="4"/>
        <v>0</v>
      </c>
      <c r="I667" s="439">
        <f>IF(OR(ISBLANK(A667),ISNA(MATCH(A667&amp;"",AthleteNumbers,0))),0,MATCH(A667&amp;"",AthleteNumbers,0))</f>
        <v>0</v>
      </c>
      <c r="J667" s="209">
        <f t="array" ref="J667">IF(I667&gt;0,INDEX(DB,$I667,6),0)</f>
        <v>0</v>
      </c>
      <c r="K667" s="440">
        <f t="shared" si="5"/>
        <v>0</v>
      </c>
      <c r="L667" s="440">
        <f t="shared" si="6"/>
        <v>0</v>
      </c>
      <c r="M667" s="441">
        <f>IF(AND(L667&gt;O667,O667&gt;0),MinPoints,IF(L667&lt;N667,100,+INT((O667-$L667)/P667)+MinPoints))</f>
        <v>100</v>
      </c>
      <c r="N667" s="440">
        <f t="shared" si="7"/>
        <v>7</v>
      </c>
      <c r="O667" s="440">
        <f t="shared" si="8"/>
        <v>16</v>
      </c>
      <c r="P667" s="440">
        <f t="shared" si="9"/>
        <v>0.1</v>
      </c>
      <c r="Q667">
        <f t="array" ref="Q667">IF(I667&gt;0,INDEX(DB,I667,9),EventIndex)</f>
        <v>6</v>
      </c>
      <c r="S667" s="442">
        <f t="array" ref="S667">INDEX(MINVALUES,$Q667,$K$1)</f>
        <v>16</v>
      </c>
      <c r="T667">
        <f t="array" ref="T667">INDEX(INCVALUES,$Q667,$K$1)</f>
        <v>0.1</v>
      </c>
      <c r="V667">
        <f t="array" ref="V667">+J667+(4*(INDEX(MatchScoreTable,$Q667,20)-1))</f>
        <v>4</v>
      </c>
      <c r="W667">
        <f t="array" ref="W667">INDEX(INC_MINVALUES,$V667,$K$1)</f>
        <v>34</v>
      </c>
      <c r="X667" s="212">
        <f t="array" ref="X667">INDEX(INC_INCVALUES,$V667,$K$1)</f>
        <v>0.3</v>
      </c>
    </row>
    <row r="668" ht="15.75" customHeight="1">
      <c r="A668" s="435"/>
      <c r="B668" s="436"/>
      <c r="C668" s="95" t="str">
        <f t="array" ref="C668">IF(I668&gt;0,INDEX(DB,I668,8),"")</f>
        <v/>
      </c>
      <c r="D668" s="437">
        <f t="shared" si="1"/>
        <v>0</v>
      </c>
      <c r="F668" s="438">
        <f t="shared" si="2"/>
        <v>0</v>
      </c>
      <c r="G668" t="str">
        <f t="shared" si="3"/>
        <v/>
      </c>
      <c r="H668" t="b">
        <f t="shared" si="4"/>
        <v>0</v>
      </c>
      <c r="I668" s="439">
        <f>IF(OR(ISBLANK(A668),ISNA(MATCH(A668&amp;"",AthleteNumbers,0))),0,MATCH(A668&amp;"",AthleteNumbers,0))</f>
        <v>0</v>
      </c>
      <c r="J668" s="209">
        <f t="array" ref="J668">IF(I668&gt;0,INDEX(DB,$I668,6),0)</f>
        <v>0</v>
      </c>
      <c r="K668" s="440">
        <f t="shared" si="5"/>
        <v>0</v>
      </c>
      <c r="L668" s="440">
        <f t="shared" si="6"/>
        <v>0</v>
      </c>
      <c r="M668" s="441">
        <f>IF(AND(L668&gt;O668,O668&gt;0),MinPoints,IF(L668&lt;N668,100,+INT((O668-$L668)/P668)+MinPoints))</f>
        <v>100</v>
      </c>
      <c r="N668" s="440">
        <f t="shared" si="7"/>
        <v>7</v>
      </c>
      <c r="O668" s="440">
        <f t="shared" si="8"/>
        <v>16</v>
      </c>
      <c r="P668" s="440">
        <f t="shared" si="9"/>
        <v>0.1</v>
      </c>
      <c r="Q668">
        <f t="array" ref="Q668">IF(I668&gt;0,INDEX(DB,I668,9),EventIndex)</f>
        <v>6</v>
      </c>
      <c r="S668" s="442">
        <f t="array" ref="S668">INDEX(MINVALUES,$Q668,$K$1)</f>
        <v>16</v>
      </c>
      <c r="T668">
        <f t="array" ref="T668">INDEX(INCVALUES,$Q668,$K$1)</f>
        <v>0.1</v>
      </c>
      <c r="V668">
        <f t="array" ref="V668">+J668+(4*(INDEX(MatchScoreTable,$Q668,20)-1))</f>
        <v>4</v>
      </c>
      <c r="W668">
        <f t="array" ref="W668">INDEX(INC_MINVALUES,$V668,$K$1)</f>
        <v>34</v>
      </c>
      <c r="X668" s="212">
        <f t="array" ref="X668">INDEX(INC_INCVALUES,$V668,$K$1)</f>
        <v>0.3</v>
      </c>
    </row>
    <row r="669" ht="15.75" customHeight="1">
      <c r="A669" s="435"/>
      <c r="B669" s="436"/>
      <c r="C669" s="95" t="str">
        <f t="array" ref="C669">IF(I669&gt;0,INDEX(DB,I669,8),"")</f>
        <v/>
      </c>
      <c r="D669" s="437">
        <f t="shared" si="1"/>
        <v>0</v>
      </c>
      <c r="F669" s="438">
        <f t="shared" si="2"/>
        <v>0</v>
      </c>
      <c r="G669" t="str">
        <f t="shared" si="3"/>
        <v/>
      </c>
      <c r="H669" t="b">
        <f t="shared" si="4"/>
        <v>0</v>
      </c>
      <c r="I669" s="439">
        <f>IF(OR(ISBLANK(A669),ISNA(MATCH(A669&amp;"",AthleteNumbers,0))),0,MATCH(A669&amp;"",AthleteNumbers,0))</f>
        <v>0</v>
      </c>
      <c r="J669" s="209">
        <f t="array" ref="J669">IF(I669&gt;0,INDEX(DB,$I669,6),0)</f>
        <v>0</v>
      </c>
      <c r="K669" s="440">
        <f t="shared" si="5"/>
        <v>0</v>
      </c>
      <c r="L669" s="440">
        <f t="shared" si="6"/>
        <v>0</v>
      </c>
      <c r="M669" s="441">
        <f>IF(AND(L669&gt;O669,O669&gt;0),MinPoints,IF(L669&lt;N669,100,+INT((O669-$L669)/P669)+MinPoints))</f>
        <v>100</v>
      </c>
      <c r="N669" s="440">
        <f t="shared" si="7"/>
        <v>7</v>
      </c>
      <c r="O669" s="440">
        <f t="shared" si="8"/>
        <v>16</v>
      </c>
      <c r="P669" s="440">
        <f t="shared" si="9"/>
        <v>0.1</v>
      </c>
      <c r="Q669">
        <f t="array" ref="Q669">IF(I669&gt;0,INDEX(DB,I669,9),EventIndex)</f>
        <v>6</v>
      </c>
      <c r="S669" s="442">
        <f t="array" ref="S669">INDEX(MINVALUES,$Q669,$K$1)</f>
        <v>16</v>
      </c>
      <c r="T669">
        <f t="array" ref="T669">INDEX(INCVALUES,$Q669,$K$1)</f>
        <v>0.1</v>
      </c>
      <c r="V669">
        <f t="array" ref="V669">+J669+(4*(INDEX(MatchScoreTable,$Q669,20)-1))</f>
        <v>4</v>
      </c>
      <c r="W669">
        <f t="array" ref="W669">INDEX(INC_MINVALUES,$V669,$K$1)</f>
        <v>34</v>
      </c>
      <c r="X669" s="212">
        <f t="array" ref="X669">INDEX(INC_INCVALUES,$V669,$K$1)</f>
        <v>0.3</v>
      </c>
    </row>
    <row r="670" ht="15.75" customHeight="1">
      <c r="A670" s="435"/>
      <c r="B670" s="436"/>
      <c r="C670" s="95" t="str">
        <f t="array" ref="C670">IF(I670&gt;0,INDEX(DB,I670,8),"")</f>
        <v/>
      </c>
      <c r="D670" s="437">
        <f t="shared" si="1"/>
        <v>0</v>
      </c>
      <c r="F670" s="438">
        <f t="shared" si="2"/>
        <v>0</v>
      </c>
      <c r="G670" t="str">
        <f t="shared" si="3"/>
        <v/>
      </c>
      <c r="H670" t="b">
        <f t="shared" si="4"/>
        <v>0</v>
      </c>
      <c r="I670" s="439">
        <f>IF(OR(ISBLANK(A670),ISNA(MATCH(A670&amp;"",AthleteNumbers,0))),0,MATCH(A670&amp;"",AthleteNumbers,0))</f>
        <v>0</v>
      </c>
      <c r="J670" s="209">
        <f t="array" ref="J670">IF(I670&gt;0,INDEX(DB,$I670,6),0)</f>
        <v>0</v>
      </c>
      <c r="K670" s="440">
        <f t="shared" si="5"/>
        <v>0</v>
      </c>
      <c r="L670" s="440">
        <f t="shared" si="6"/>
        <v>0</v>
      </c>
      <c r="M670" s="441">
        <f>IF(AND(L670&gt;O670,O670&gt;0),MinPoints,IF(L670&lt;N670,100,+INT((O670-$L670)/P670)+MinPoints))</f>
        <v>100</v>
      </c>
      <c r="N670" s="440">
        <f t="shared" si="7"/>
        <v>7</v>
      </c>
      <c r="O670" s="440">
        <f t="shared" si="8"/>
        <v>16</v>
      </c>
      <c r="P670" s="440">
        <f t="shared" si="9"/>
        <v>0.1</v>
      </c>
      <c r="Q670">
        <f t="array" ref="Q670">IF(I670&gt;0,INDEX(DB,I670,9),EventIndex)</f>
        <v>6</v>
      </c>
      <c r="S670" s="442">
        <f t="array" ref="S670">INDEX(MINVALUES,$Q670,$K$1)</f>
        <v>16</v>
      </c>
      <c r="T670">
        <f t="array" ref="T670">INDEX(INCVALUES,$Q670,$K$1)</f>
        <v>0.1</v>
      </c>
      <c r="V670">
        <f t="array" ref="V670">+J670+(4*(INDEX(MatchScoreTable,$Q670,20)-1))</f>
        <v>4</v>
      </c>
      <c r="W670">
        <f t="array" ref="W670">INDEX(INC_MINVALUES,$V670,$K$1)</f>
        <v>34</v>
      </c>
      <c r="X670" s="212">
        <f t="array" ref="X670">INDEX(INC_INCVALUES,$V670,$K$1)</f>
        <v>0.3</v>
      </c>
    </row>
    <row r="671" ht="15.75" customHeight="1">
      <c r="A671" s="435"/>
      <c r="B671" s="436"/>
      <c r="C671" s="95" t="str">
        <f t="array" ref="C671">IF(I671&gt;0,INDEX(DB,I671,8),"")</f>
        <v/>
      </c>
      <c r="D671" s="437">
        <f t="shared" si="1"/>
        <v>0</v>
      </c>
      <c r="F671" s="438">
        <f t="shared" si="2"/>
        <v>0</v>
      </c>
      <c r="G671" t="str">
        <f t="shared" si="3"/>
        <v/>
      </c>
      <c r="H671" t="b">
        <f t="shared" si="4"/>
        <v>0</v>
      </c>
      <c r="I671" s="439">
        <f>IF(OR(ISBLANK(A671),ISNA(MATCH(A671&amp;"",AthleteNumbers,0))),0,MATCH(A671&amp;"",AthleteNumbers,0))</f>
        <v>0</v>
      </c>
      <c r="J671" s="209">
        <f t="array" ref="J671">IF(I671&gt;0,INDEX(DB,$I671,6),0)</f>
        <v>0</v>
      </c>
      <c r="K671" s="440">
        <f t="shared" si="5"/>
        <v>0</v>
      </c>
      <c r="L671" s="440">
        <f t="shared" si="6"/>
        <v>0</v>
      </c>
      <c r="M671" s="441">
        <f>IF(AND(L671&gt;O671,O671&gt;0),MinPoints,IF(L671&lt;N671,100,+INT((O671-$L671)/P671)+MinPoints))</f>
        <v>100</v>
      </c>
      <c r="N671" s="440">
        <f t="shared" si="7"/>
        <v>7</v>
      </c>
      <c r="O671" s="440">
        <f t="shared" si="8"/>
        <v>16</v>
      </c>
      <c r="P671" s="440">
        <f t="shared" si="9"/>
        <v>0.1</v>
      </c>
      <c r="Q671">
        <f t="array" ref="Q671">IF(I671&gt;0,INDEX(DB,I671,9),EventIndex)</f>
        <v>6</v>
      </c>
      <c r="S671" s="442">
        <f t="array" ref="S671">INDEX(MINVALUES,$Q671,$K$1)</f>
        <v>16</v>
      </c>
      <c r="T671">
        <f t="array" ref="T671">INDEX(INCVALUES,$Q671,$K$1)</f>
        <v>0.1</v>
      </c>
      <c r="V671">
        <f t="array" ref="V671">+J671+(4*(INDEX(MatchScoreTable,$Q671,20)-1))</f>
        <v>4</v>
      </c>
      <c r="W671">
        <f t="array" ref="W671">INDEX(INC_MINVALUES,$V671,$K$1)</f>
        <v>34</v>
      </c>
      <c r="X671" s="212">
        <f t="array" ref="X671">INDEX(INC_INCVALUES,$V671,$K$1)</f>
        <v>0.3</v>
      </c>
    </row>
    <row r="672" ht="15.75" customHeight="1">
      <c r="A672" s="435"/>
      <c r="B672" s="436"/>
      <c r="C672" s="95" t="str">
        <f t="array" ref="C672">IF(I672&gt;0,INDEX(DB,I672,8),"")</f>
        <v/>
      </c>
      <c r="D672" s="437">
        <f t="shared" si="1"/>
        <v>0</v>
      </c>
      <c r="F672" s="438">
        <f t="shared" si="2"/>
        <v>0</v>
      </c>
      <c r="G672" t="str">
        <f t="shared" si="3"/>
        <v/>
      </c>
      <c r="H672" t="b">
        <f t="shared" si="4"/>
        <v>0</v>
      </c>
      <c r="I672" s="439">
        <f>IF(OR(ISBLANK(A672),ISNA(MATCH(A672&amp;"",AthleteNumbers,0))),0,MATCH(A672&amp;"",AthleteNumbers,0))</f>
        <v>0</v>
      </c>
      <c r="J672" s="209">
        <f t="array" ref="J672">IF(I672&gt;0,INDEX(DB,$I672,6),0)</f>
        <v>0</v>
      </c>
      <c r="K672" s="440">
        <f t="shared" si="5"/>
        <v>0</v>
      </c>
      <c r="L672" s="440">
        <f t="shared" si="6"/>
        <v>0</v>
      </c>
      <c r="M672" s="441">
        <f>IF(AND(L672&gt;O672,O672&gt;0),MinPoints,IF(L672&lt;N672,100,+INT((O672-$L672)/P672)+MinPoints))</f>
        <v>100</v>
      </c>
      <c r="N672" s="440">
        <f t="shared" si="7"/>
        <v>7</v>
      </c>
      <c r="O672" s="440">
        <f t="shared" si="8"/>
        <v>16</v>
      </c>
      <c r="P672" s="440">
        <f t="shared" si="9"/>
        <v>0.1</v>
      </c>
      <c r="Q672">
        <f t="array" ref="Q672">IF(I672&gt;0,INDEX(DB,I672,9),EventIndex)</f>
        <v>6</v>
      </c>
      <c r="S672" s="442">
        <f t="array" ref="S672">INDEX(MINVALUES,$Q672,$K$1)</f>
        <v>16</v>
      </c>
      <c r="T672">
        <f t="array" ref="T672">INDEX(INCVALUES,$Q672,$K$1)</f>
        <v>0.1</v>
      </c>
      <c r="V672">
        <f t="array" ref="V672">+J672+(4*(INDEX(MatchScoreTable,$Q672,20)-1))</f>
        <v>4</v>
      </c>
      <c r="W672">
        <f t="array" ref="W672">INDEX(INC_MINVALUES,$V672,$K$1)</f>
        <v>34</v>
      </c>
      <c r="X672" s="212">
        <f t="array" ref="X672">INDEX(INC_INCVALUES,$V672,$K$1)</f>
        <v>0.3</v>
      </c>
    </row>
    <row r="673" ht="15.75" customHeight="1">
      <c r="A673" s="435"/>
      <c r="B673" s="436"/>
      <c r="C673" s="95" t="str">
        <f t="array" ref="C673">IF(I673&gt;0,INDEX(DB,I673,8),"")</f>
        <v/>
      </c>
      <c r="D673" s="437">
        <f t="shared" si="1"/>
        <v>0</v>
      </c>
      <c r="F673" s="438">
        <f t="shared" si="2"/>
        <v>0</v>
      </c>
      <c r="G673" t="str">
        <f t="shared" si="3"/>
        <v/>
      </c>
      <c r="H673" t="b">
        <f t="shared" si="4"/>
        <v>0</v>
      </c>
      <c r="I673" s="439">
        <f>IF(OR(ISBLANK(A673),ISNA(MATCH(A673&amp;"",AthleteNumbers,0))),0,MATCH(A673&amp;"",AthleteNumbers,0))</f>
        <v>0</v>
      </c>
      <c r="J673" s="209">
        <f t="array" ref="J673">IF(I673&gt;0,INDEX(DB,$I673,6),0)</f>
        <v>0</v>
      </c>
      <c r="K673" s="440">
        <f t="shared" si="5"/>
        <v>0</v>
      </c>
      <c r="L673" s="440">
        <f t="shared" si="6"/>
        <v>0</v>
      </c>
      <c r="M673" s="441">
        <f>IF(AND(L673&gt;O673,O673&gt;0),MinPoints,IF(L673&lt;N673,100,+INT((O673-$L673)/P673)+MinPoints))</f>
        <v>100</v>
      </c>
      <c r="N673" s="440">
        <f t="shared" si="7"/>
        <v>7</v>
      </c>
      <c r="O673" s="440">
        <f t="shared" si="8"/>
        <v>16</v>
      </c>
      <c r="P673" s="440">
        <f t="shared" si="9"/>
        <v>0.1</v>
      </c>
      <c r="Q673">
        <f t="array" ref="Q673">IF(I673&gt;0,INDEX(DB,I673,9),EventIndex)</f>
        <v>6</v>
      </c>
      <c r="S673" s="442">
        <f t="array" ref="S673">INDEX(MINVALUES,$Q673,$K$1)</f>
        <v>16</v>
      </c>
      <c r="T673">
        <f t="array" ref="T673">INDEX(INCVALUES,$Q673,$K$1)</f>
        <v>0.1</v>
      </c>
      <c r="V673">
        <f t="array" ref="V673">+J673+(4*(INDEX(MatchScoreTable,$Q673,20)-1))</f>
        <v>4</v>
      </c>
      <c r="W673">
        <f t="array" ref="W673">INDEX(INC_MINVALUES,$V673,$K$1)</f>
        <v>34</v>
      </c>
      <c r="X673" s="212">
        <f t="array" ref="X673">INDEX(INC_INCVALUES,$V673,$K$1)</f>
        <v>0.3</v>
      </c>
    </row>
    <row r="674" ht="15.75" customHeight="1">
      <c r="A674" s="435"/>
      <c r="B674" s="436"/>
      <c r="C674" s="95" t="str">
        <f t="array" ref="C674">IF(I674&gt;0,INDEX(DB,I674,8),"")</f>
        <v/>
      </c>
      <c r="D674" s="437">
        <f t="shared" si="1"/>
        <v>0</v>
      </c>
      <c r="F674" s="438">
        <f t="shared" si="2"/>
        <v>0</v>
      </c>
      <c r="G674" t="str">
        <f t="shared" si="3"/>
        <v/>
      </c>
      <c r="H674" t="b">
        <f t="shared" si="4"/>
        <v>0</v>
      </c>
      <c r="I674" s="439">
        <f>IF(OR(ISBLANK(A674),ISNA(MATCH(A674&amp;"",AthleteNumbers,0))),0,MATCH(A674&amp;"",AthleteNumbers,0))</f>
        <v>0</v>
      </c>
      <c r="J674" s="209">
        <f t="array" ref="J674">IF(I674&gt;0,INDEX(DB,$I674,6),0)</f>
        <v>0</v>
      </c>
      <c r="K674" s="440">
        <f t="shared" si="5"/>
        <v>0</v>
      </c>
      <c r="L674" s="440">
        <f t="shared" si="6"/>
        <v>0</v>
      </c>
      <c r="M674" s="441">
        <f>IF(AND(L674&gt;O674,O674&gt;0),MinPoints,IF(L674&lt;N674,100,+INT((O674-$L674)/P674)+MinPoints))</f>
        <v>100</v>
      </c>
      <c r="N674" s="440">
        <f t="shared" si="7"/>
        <v>7</v>
      </c>
      <c r="O674" s="440">
        <f t="shared" si="8"/>
        <v>16</v>
      </c>
      <c r="P674" s="440">
        <f t="shared" si="9"/>
        <v>0.1</v>
      </c>
      <c r="Q674">
        <f t="array" ref="Q674">IF(I674&gt;0,INDEX(DB,I674,9),EventIndex)</f>
        <v>6</v>
      </c>
      <c r="S674" s="442">
        <f t="array" ref="S674">INDEX(MINVALUES,$Q674,$K$1)</f>
        <v>16</v>
      </c>
      <c r="T674">
        <f t="array" ref="T674">INDEX(INCVALUES,$Q674,$K$1)</f>
        <v>0.1</v>
      </c>
      <c r="V674">
        <f t="array" ref="V674">+J674+(4*(INDEX(MatchScoreTable,$Q674,20)-1))</f>
        <v>4</v>
      </c>
      <c r="W674">
        <f t="array" ref="W674">INDEX(INC_MINVALUES,$V674,$K$1)</f>
        <v>34</v>
      </c>
      <c r="X674" s="212">
        <f t="array" ref="X674">INDEX(INC_INCVALUES,$V674,$K$1)</f>
        <v>0.3</v>
      </c>
    </row>
    <row r="675" ht="15.75" customHeight="1">
      <c r="A675" s="435"/>
      <c r="B675" s="436"/>
      <c r="C675" s="95" t="str">
        <f t="array" ref="C675">IF(I675&gt;0,INDEX(DB,I675,8),"")</f>
        <v/>
      </c>
      <c r="D675" s="437">
        <f t="shared" si="1"/>
        <v>0</v>
      </c>
      <c r="F675" s="438">
        <f t="shared" si="2"/>
        <v>0</v>
      </c>
      <c r="G675" t="str">
        <f t="shared" si="3"/>
        <v/>
      </c>
      <c r="H675" t="b">
        <f t="shared" si="4"/>
        <v>0</v>
      </c>
      <c r="I675" s="439">
        <f>IF(OR(ISBLANK(A675),ISNA(MATCH(A675&amp;"",AthleteNumbers,0))),0,MATCH(A675&amp;"",AthleteNumbers,0))</f>
        <v>0</v>
      </c>
      <c r="J675" s="209">
        <f t="array" ref="J675">IF(I675&gt;0,INDEX(DB,$I675,6),0)</f>
        <v>0</v>
      </c>
      <c r="K675" s="440">
        <f t="shared" si="5"/>
        <v>0</v>
      </c>
      <c r="L675" s="440">
        <f t="shared" si="6"/>
        <v>0</v>
      </c>
      <c r="M675" s="441">
        <f>IF(AND(L675&gt;O675,O675&gt;0),MinPoints,IF(L675&lt;N675,100,+INT((O675-$L675)/P675)+MinPoints))</f>
        <v>100</v>
      </c>
      <c r="N675" s="440">
        <f t="shared" si="7"/>
        <v>7</v>
      </c>
      <c r="O675" s="440">
        <f t="shared" si="8"/>
        <v>16</v>
      </c>
      <c r="P675" s="440">
        <f t="shared" si="9"/>
        <v>0.1</v>
      </c>
      <c r="Q675">
        <f t="array" ref="Q675">IF(I675&gt;0,INDEX(DB,I675,9),EventIndex)</f>
        <v>6</v>
      </c>
      <c r="S675" s="442">
        <f t="array" ref="S675">INDEX(MINVALUES,$Q675,$K$1)</f>
        <v>16</v>
      </c>
      <c r="T675">
        <f t="array" ref="T675">INDEX(INCVALUES,$Q675,$K$1)</f>
        <v>0.1</v>
      </c>
      <c r="V675">
        <f t="array" ref="V675">+J675+(4*(INDEX(MatchScoreTable,$Q675,20)-1))</f>
        <v>4</v>
      </c>
      <c r="W675">
        <f t="array" ref="W675">INDEX(INC_MINVALUES,$V675,$K$1)</f>
        <v>34</v>
      </c>
      <c r="X675" s="212">
        <f t="array" ref="X675">INDEX(INC_INCVALUES,$V675,$K$1)</f>
        <v>0.3</v>
      </c>
    </row>
    <row r="676" ht="15.75" customHeight="1">
      <c r="A676" s="435"/>
      <c r="B676" s="436"/>
      <c r="C676" s="95" t="str">
        <f t="array" ref="C676">IF(I676&gt;0,INDEX(DB,I676,8),"")</f>
        <v/>
      </c>
      <c r="D676" s="437">
        <f t="shared" si="1"/>
        <v>0</v>
      </c>
      <c r="F676" s="438">
        <f t="shared" si="2"/>
        <v>0</v>
      </c>
      <c r="G676" t="str">
        <f t="shared" si="3"/>
        <v/>
      </c>
      <c r="H676" t="b">
        <f t="shared" si="4"/>
        <v>0</v>
      </c>
      <c r="I676" s="439">
        <f>IF(OR(ISBLANK(A676),ISNA(MATCH(A676&amp;"",AthleteNumbers,0))),0,MATCH(A676&amp;"",AthleteNumbers,0))</f>
        <v>0</v>
      </c>
      <c r="J676" s="209">
        <f t="array" ref="J676">IF(I676&gt;0,INDEX(DB,$I676,6),0)</f>
        <v>0</v>
      </c>
      <c r="K676" s="440">
        <f t="shared" si="5"/>
        <v>0</v>
      </c>
      <c r="L676" s="440">
        <f t="shared" si="6"/>
        <v>0</v>
      </c>
      <c r="M676" s="441">
        <f>IF(AND(L676&gt;O676,O676&gt;0),MinPoints,IF(L676&lt;N676,100,+INT((O676-$L676)/P676)+MinPoints))</f>
        <v>100</v>
      </c>
      <c r="N676" s="440">
        <f t="shared" si="7"/>
        <v>7</v>
      </c>
      <c r="O676" s="440">
        <f t="shared" si="8"/>
        <v>16</v>
      </c>
      <c r="P676" s="440">
        <f t="shared" si="9"/>
        <v>0.1</v>
      </c>
      <c r="Q676">
        <f t="array" ref="Q676">IF(I676&gt;0,INDEX(DB,I676,9),EventIndex)</f>
        <v>6</v>
      </c>
      <c r="S676" s="442">
        <f t="array" ref="S676">INDEX(MINVALUES,$Q676,$K$1)</f>
        <v>16</v>
      </c>
      <c r="T676">
        <f t="array" ref="T676">INDEX(INCVALUES,$Q676,$K$1)</f>
        <v>0.1</v>
      </c>
      <c r="V676">
        <f t="array" ref="V676">+J676+(4*(INDEX(MatchScoreTable,$Q676,20)-1))</f>
        <v>4</v>
      </c>
      <c r="W676">
        <f t="array" ref="W676">INDEX(INC_MINVALUES,$V676,$K$1)</f>
        <v>34</v>
      </c>
      <c r="X676" s="212">
        <f t="array" ref="X676">INDEX(INC_INCVALUES,$V676,$K$1)</f>
        <v>0.3</v>
      </c>
    </row>
    <row r="677" ht="15.75" customHeight="1">
      <c r="A677" s="435"/>
      <c r="B677" s="436"/>
      <c r="C677" s="95" t="str">
        <f t="array" ref="C677">IF(I677&gt;0,INDEX(DB,I677,8),"")</f>
        <v/>
      </c>
      <c r="D677" s="437">
        <f t="shared" si="1"/>
        <v>0</v>
      </c>
      <c r="F677" s="438">
        <f t="shared" si="2"/>
        <v>0</v>
      </c>
      <c r="G677" t="str">
        <f t="shared" si="3"/>
        <v/>
      </c>
      <c r="H677" t="b">
        <f t="shared" si="4"/>
        <v>0</v>
      </c>
      <c r="I677" s="439">
        <f>IF(OR(ISBLANK(A677),ISNA(MATCH(A677&amp;"",AthleteNumbers,0))),0,MATCH(A677&amp;"",AthleteNumbers,0))</f>
        <v>0</v>
      </c>
      <c r="J677" s="209">
        <f t="array" ref="J677">IF(I677&gt;0,INDEX(DB,$I677,6),0)</f>
        <v>0</v>
      </c>
      <c r="K677" s="440">
        <f t="shared" si="5"/>
        <v>0</v>
      </c>
      <c r="L677" s="440">
        <f t="shared" si="6"/>
        <v>0</v>
      </c>
      <c r="M677" s="441">
        <f>IF(AND(L677&gt;O677,O677&gt;0),MinPoints,IF(L677&lt;N677,100,+INT((O677-$L677)/P677)+MinPoints))</f>
        <v>100</v>
      </c>
      <c r="N677" s="440">
        <f t="shared" si="7"/>
        <v>7</v>
      </c>
      <c r="O677" s="440">
        <f t="shared" si="8"/>
        <v>16</v>
      </c>
      <c r="P677" s="440">
        <f t="shared" si="9"/>
        <v>0.1</v>
      </c>
      <c r="Q677">
        <f t="array" ref="Q677">IF(I677&gt;0,INDEX(DB,I677,9),EventIndex)</f>
        <v>6</v>
      </c>
      <c r="S677" s="442">
        <f t="array" ref="S677">INDEX(MINVALUES,$Q677,$K$1)</f>
        <v>16</v>
      </c>
      <c r="T677">
        <f t="array" ref="T677">INDEX(INCVALUES,$Q677,$K$1)</f>
        <v>0.1</v>
      </c>
      <c r="V677">
        <f t="array" ref="V677">+J677+(4*(INDEX(MatchScoreTable,$Q677,20)-1))</f>
        <v>4</v>
      </c>
      <c r="W677">
        <f t="array" ref="W677">INDEX(INC_MINVALUES,$V677,$K$1)</f>
        <v>34</v>
      </c>
      <c r="X677" s="212">
        <f t="array" ref="X677">INDEX(INC_INCVALUES,$V677,$K$1)</f>
        <v>0.3</v>
      </c>
    </row>
    <row r="678" ht="15.75" customHeight="1">
      <c r="A678" s="435"/>
      <c r="B678" s="436"/>
      <c r="C678" s="95" t="str">
        <f t="array" ref="C678">IF(I678&gt;0,INDEX(DB,I678,8),"")</f>
        <v/>
      </c>
      <c r="D678" s="437">
        <f t="shared" si="1"/>
        <v>0</v>
      </c>
      <c r="F678" s="438">
        <f t="shared" si="2"/>
        <v>0</v>
      </c>
      <c r="G678" t="str">
        <f t="shared" si="3"/>
        <v/>
      </c>
      <c r="H678" t="b">
        <f t="shared" si="4"/>
        <v>0</v>
      </c>
      <c r="I678" s="439">
        <f>IF(OR(ISBLANK(A678),ISNA(MATCH(A678&amp;"",AthleteNumbers,0))),0,MATCH(A678&amp;"",AthleteNumbers,0))</f>
        <v>0</v>
      </c>
      <c r="J678" s="209">
        <f t="array" ref="J678">IF(I678&gt;0,INDEX(DB,$I678,6),0)</f>
        <v>0</v>
      </c>
      <c r="K678" s="440">
        <f t="shared" si="5"/>
        <v>0</v>
      </c>
      <c r="L678" s="440">
        <f t="shared" si="6"/>
        <v>0</v>
      </c>
      <c r="M678" s="441">
        <f>IF(AND(L678&gt;O678,O678&gt;0),MinPoints,IF(L678&lt;N678,100,+INT((O678-$L678)/P678)+MinPoints))</f>
        <v>100</v>
      </c>
      <c r="N678" s="440">
        <f t="shared" si="7"/>
        <v>7</v>
      </c>
      <c r="O678" s="440">
        <f t="shared" si="8"/>
        <v>16</v>
      </c>
      <c r="P678" s="440">
        <f t="shared" si="9"/>
        <v>0.1</v>
      </c>
      <c r="Q678">
        <f t="array" ref="Q678">IF(I678&gt;0,INDEX(DB,I678,9),EventIndex)</f>
        <v>6</v>
      </c>
      <c r="S678" s="442">
        <f t="array" ref="S678">INDEX(MINVALUES,$Q678,$K$1)</f>
        <v>16</v>
      </c>
      <c r="T678">
        <f t="array" ref="T678">INDEX(INCVALUES,$Q678,$K$1)</f>
        <v>0.1</v>
      </c>
      <c r="V678">
        <f t="array" ref="V678">+J678+(4*(INDEX(MatchScoreTable,$Q678,20)-1))</f>
        <v>4</v>
      </c>
      <c r="W678">
        <f t="array" ref="W678">INDEX(INC_MINVALUES,$V678,$K$1)</f>
        <v>34</v>
      </c>
      <c r="X678" s="212">
        <f t="array" ref="X678">INDEX(INC_INCVALUES,$V678,$K$1)</f>
        <v>0.3</v>
      </c>
    </row>
    <row r="679" ht="15.75" customHeight="1">
      <c r="A679" s="435"/>
      <c r="B679" s="436"/>
      <c r="C679" s="95" t="str">
        <f t="array" ref="C679">IF(I679&gt;0,INDEX(DB,I679,8),"")</f>
        <v/>
      </c>
      <c r="D679" s="437">
        <f t="shared" si="1"/>
        <v>0</v>
      </c>
      <c r="F679" s="438">
        <f t="shared" si="2"/>
        <v>0</v>
      </c>
      <c r="G679" t="str">
        <f t="shared" si="3"/>
        <v/>
      </c>
      <c r="H679" t="b">
        <f t="shared" si="4"/>
        <v>0</v>
      </c>
      <c r="I679" s="439">
        <f>IF(OR(ISBLANK(A679),ISNA(MATCH(A679&amp;"",AthleteNumbers,0))),0,MATCH(A679&amp;"",AthleteNumbers,0))</f>
        <v>0</v>
      </c>
      <c r="J679" s="209">
        <f t="array" ref="J679">IF(I679&gt;0,INDEX(DB,$I679,6),0)</f>
        <v>0</v>
      </c>
      <c r="K679" s="440">
        <f t="shared" si="5"/>
        <v>0</v>
      </c>
      <c r="L679" s="440">
        <f t="shared" si="6"/>
        <v>0</v>
      </c>
      <c r="M679" s="441">
        <f>IF(AND(L679&gt;O679,O679&gt;0),MinPoints,IF(L679&lt;N679,100,+INT((O679-$L679)/P679)+MinPoints))</f>
        <v>100</v>
      </c>
      <c r="N679" s="440">
        <f t="shared" si="7"/>
        <v>7</v>
      </c>
      <c r="O679" s="440">
        <f t="shared" si="8"/>
        <v>16</v>
      </c>
      <c r="P679" s="440">
        <f t="shared" si="9"/>
        <v>0.1</v>
      </c>
      <c r="Q679">
        <f t="array" ref="Q679">IF(I679&gt;0,INDEX(DB,I679,9),EventIndex)</f>
        <v>6</v>
      </c>
      <c r="S679" s="442">
        <f t="array" ref="S679">INDEX(MINVALUES,$Q679,$K$1)</f>
        <v>16</v>
      </c>
      <c r="T679">
        <f t="array" ref="T679">INDEX(INCVALUES,$Q679,$K$1)</f>
        <v>0.1</v>
      </c>
      <c r="V679">
        <f t="array" ref="V679">+J679+(4*(INDEX(MatchScoreTable,$Q679,20)-1))</f>
        <v>4</v>
      </c>
      <c r="W679">
        <f t="array" ref="W679">INDEX(INC_MINVALUES,$V679,$K$1)</f>
        <v>34</v>
      </c>
      <c r="X679" s="212">
        <f t="array" ref="X679">INDEX(INC_INCVALUES,$V679,$K$1)</f>
        <v>0.3</v>
      </c>
    </row>
    <row r="680" ht="15.75" customHeight="1">
      <c r="A680" s="435"/>
      <c r="B680" s="436"/>
      <c r="C680" s="95" t="str">
        <f t="array" ref="C680">IF(I680&gt;0,INDEX(DB,I680,8),"")</f>
        <v/>
      </c>
      <c r="D680" s="437">
        <f t="shared" si="1"/>
        <v>0</v>
      </c>
      <c r="F680" s="438">
        <f t="shared" si="2"/>
        <v>0</v>
      </c>
      <c r="G680" t="str">
        <f t="shared" si="3"/>
        <v/>
      </c>
      <c r="H680" t="b">
        <f t="shared" si="4"/>
        <v>0</v>
      </c>
      <c r="I680" s="439">
        <f>IF(OR(ISBLANK(A680),ISNA(MATCH(A680&amp;"",AthleteNumbers,0))),0,MATCH(A680&amp;"",AthleteNumbers,0))</f>
        <v>0</v>
      </c>
      <c r="J680" s="209">
        <f t="array" ref="J680">IF(I680&gt;0,INDEX(DB,$I680,6),0)</f>
        <v>0</v>
      </c>
      <c r="K680" s="440">
        <f t="shared" si="5"/>
        <v>0</v>
      </c>
      <c r="L680" s="440">
        <f t="shared" si="6"/>
        <v>0</v>
      </c>
      <c r="M680" s="441">
        <f>IF(AND(L680&gt;O680,O680&gt;0),MinPoints,IF(L680&lt;N680,100,+INT((O680-$L680)/P680)+MinPoints))</f>
        <v>100</v>
      </c>
      <c r="N680" s="440">
        <f t="shared" si="7"/>
        <v>7</v>
      </c>
      <c r="O680" s="440">
        <f t="shared" si="8"/>
        <v>16</v>
      </c>
      <c r="P680" s="440">
        <f t="shared" si="9"/>
        <v>0.1</v>
      </c>
      <c r="Q680">
        <f t="array" ref="Q680">IF(I680&gt;0,INDEX(DB,I680,9),EventIndex)</f>
        <v>6</v>
      </c>
      <c r="S680" s="442">
        <f t="array" ref="S680">INDEX(MINVALUES,$Q680,$K$1)</f>
        <v>16</v>
      </c>
      <c r="T680">
        <f t="array" ref="T680">INDEX(INCVALUES,$Q680,$K$1)</f>
        <v>0.1</v>
      </c>
      <c r="V680">
        <f t="array" ref="V680">+J680+(4*(INDEX(MatchScoreTable,$Q680,20)-1))</f>
        <v>4</v>
      </c>
      <c r="W680">
        <f t="array" ref="W680">INDEX(INC_MINVALUES,$V680,$K$1)</f>
        <v>34</v>
      </c>
      <c r="X680" s="212">
        <f t="array" ref="X680">INDEX(INC_INCVALUES,$V680,$K$1)</f>
        <v>0.3</v>
      </c>
    </row>
    <row r="681" ht="15.75" customHeight="1">
      <c r="A681" s="435"/>
      <c r="B681" s="436"/>
      <c r="C681" s="95" t="str">
        <f t="array" ref="C681">IF(I681&gt;0,INDEX(DB,I681,8),"")</f>
        <v/>
      </c>
      <c r="D681" s="437">
        <f t="shared" si="1"/>
        <v>0</v>
      </c>
      <c r="F681" s="438">
        <f t="shared" si="2"/>
        <v>0</v>
      </c>
      <c r="G681" t="str">
        <f t="shared" si="3"/>
        <v/>
      </c>
      <c r="H681" t="b">
        <f t="shared" si="4"/>
        <v>0</v>
      </c>
      <c r="I681" s="439">
        <f>IF(OR(ISBLANK(A681),ISNA(MATCH(A681&amp;"",AthleteNumbers,0))),0,MATCH(A681&amp;"",AthleteNumbers,0))</f>
        <v>0</v>
      </c>
      <c r="J681" s="209">
        <f t="array" ref="J681">IF(I681&gt;0,INDEX(DB,$I681,6),0)</f>
        <v>0</v>
      </c>
      <c r="K681" s="440">
        <f t="shared" si="5"/>
        <v>0</v>
      </c>
      <c r="L681" s="440">
        <f t="shared" si="6"/>
        <v>0</v>
      </c>
      <c r="M681" s="441">
        <f>IF(AND(L681&gt;O681,O681&gt;0),MinPoints,IF(L681&lt;N681,100,+INT((O681-$L681)/P681)+MinPoints))</f>
        <v>100</v>
      </c>
      <c r="N681" s="440">
        <f t="shared" si="7"/>
        <v>7</v>
      </c>
      <c r="O681" s="440">
        <f t="shared" si="8"/>
        <v>16</v>
      </c>
      <c r="P681" s="440">
        <f t="shared" si="9"/>
        <v>0.1</v>
      </c>
      <c r="Q681">
        <f t="array" ref="Q681">IF(I681&gt;0,INDEX(DB,I681,9),EventIndex)</f>
        <v>6</v>
      </c>
      <c r="S681" s="442">
        <f t="array" ref="S681">INDEX(MINVALUES,$Q681,$K$1)</f>
        <v>16</v>
      </c>
      <c r="T681">
        <f t="array" ref="T681">INDEX(INCVALUES,$Q681,$K$1)</f>
        <v>0.1</v>
      </c>
      <c r="V681">
        <f t="array" ref="V681">+J681+(4*(INDEX(MatchScoreTable,$Q681,20)-1))</f>
        <v>4</v>
      </c>
      <c r="W681">
        <f t="array" ref="W681">INDEX(INC_MINVALUES,$V681,$K$1)</f>
        <v>34</v>
      </c>
      <c r="X681" s="212">
        <f t="array" ref="X681">INDEX(INC_INCVALUES,$V681,$K$1)</f>
        <v>0.3</v>
      </c>
    </row>
    <row r="682" ht="15.75" customHeight="1">
      <c r="A682" s="435"/>
      <c r="B682" s="436"/>
      <c r="C682" s="95" t="str">
        <f t="array" ref="C682">IF(I682&gt;0,INDEX(DB,I682,8),"")</f>
        <v/>
      </c>
      <c r="D682" s="437">
        <f t="shared" si="1"/>
        <v>0</v>
      </c>
      <c r="F682" s="438">
        <f t="shared" si="2"/>
        <v>0</v>
      </c>
      <c r="G682" t="str">
        <f t="shared" si="3"/>
        <v/>
      </c>
      <c r="H682" t="b">
        <f t="shared" si="4"/>
        <v>0</v>
      </c>
      <c r="I682" s="439">
        <f>IF(OR(ISBLANK(A682),ISNA(MATCH(A682&amp;"",AthleteNumbers,0))),0,MATCH(A682&amp;"",AthleteNumbers,0))</f>
        <v>0</v>
      </c>
      <c r="J682" s="209">
        <f t="array" ref="J682">IF(I682&gt;0,INDEX(DB,$I682,6),0)</f>
        <v>0</v>
      </c>
      <c r="K682" s="440">
        <f t="shared" si="5"/>
        <v>0</v>
      </c>
      <c r="L682" s="440">
        <f t="shared" si="6"/>
        <v>0</v>
      </c>
      <c r="M682" s="441">
        <f>IF(AND(L682&gt;O682,O682&gt;0),MinPoints,IF(L682&lt;N682,100,+INT((O682-$L682)/P682)+MinPoints))</f>
        <v>100</v>
      </c>
      <c r="N682" s="440">
        <f t="shared" si="7"/>
        <v>7</v>
      </c>
      <c r="O682" s="440">
        <f t="shared" si="8"/>
        <v>16</v>
      </c>
      <c r="P682" s="440">
        <f t="shared" si="9"/>
        <v>0.1</v>
      </c>
      <c r="Q682">
        <f t="array" ref="Q682">IF(I682&gt;0,INDEX(DB,I682,9),EventIndex)</f>
        <v>6</v>
      </c>
      <c r="S682" s="442">
        <f t="array" ref="S682">INDEX(MINVALUES,$Q682,$K$1)</f>
        <v>16</v>
      </c>
      <c r="T682">
        <f t="array" ref="T682">INDEX(INCVALUES,$Q682,$K$1)</f>
        <v>0.1</v>
      </c>
      <c r="V682">
        <f t="array" ref="V682">+J682+(4*(INDEX(MatchScoreTable,$Q682,20)-1))</f>
        <v>4</v>
      </c>
      <c r="W682">
        <f t="array" ref="W682">INDEX(INC_MINVALUES,$V682,$K$1)</f>
        <v>34</v>
      </c>
      <c r="X682" s="212">
        <f t="array" ref="X682">INDEX(INC_INCVALUES,$V682,$K$1)</f>
        <v>0.3</v>
      </c>
    </row>
    <row r="683" ht="15.75" customHeight="1">
      <c r="A683" s="435"/>
      <c r="B683" s="436"/>
      <c r="C683" s="95" t="str">
        <f t="array" ref="C683">IF(I683&gt;0,INDEX(DB,I683,8),"")</f>
        <v/>
      </c>
      <c r="D683" s="437">
        <f t="shared" si="1"/>
        <v>0</v>
      </c>
      <c r="F683" s="438">
        <f t="shared" si="2"/>
        <v>0</v>
      </c>
      <c r="G683" t="str">
        <f t="shared" si="3"/>
        <v/>
      </c>
      <c r="H683" t="b">
        <f t="shared" si="4"/>
        <v>0</v>
      </c>
      <c r="I683" s="439">
        <f>IF(OR(ISBLANK(A683),ISNA(MATCH(A683&amp;"",AthleteNumbers,0))),0,MATCH(A683&amp;"",AthleteNumbers,0))</f>
        <v>0</v>
      </c>
      <c r="J683" s="209">
        <f t="array" ref="J683">IF(I683&gt;0,INDEX(DB,$I683,6),0)</f>
        <v>0</v>
      </c>
      <c r="K683" s="440">
        <f t="shared" si="5"/>
        <v>0</v>
      </c>
      <c r="L683" s="440">
        <f t="shared" si="6"/>
        <v>0</v>
      </c>
      <c r="M683" s="441">
        <f>IF(AND(L683&gt;O683,O683&gt;0),MinPoints,IF(L683&lt;N683,100,+INT((O683-$L683)/P683)+MinPoints))</f>
        <v>100</v>
      </c>
      <c r="N683" s="440">
        <f t="shared" si="7"/>
        <v>7</v>
      </c>
      <c r="O683" s="440">
        <f t="shared" si="8"/>
        <v>16</v>
      </c>
      <c r="P683" s="440">
        <f t="shared" si="9"/>
        <v>0.1</v>
      </c>
      <c r="Q683">
        <f t="array" ref="Q683">IF(I683&gt;0,INDEX(DB,I683,9),EventIndex)</f>
        <v>6</v>
      </c>
      <c r="S683" s="442">
        <f t="array" ref="S683">INDEX(MINVALUES,$Q683,$K$1)</f>
        <v>16</v>
      </c>
      <c r="T683">
        <f t="array" ref="T683">INDEX(INCVALUES,$Q683,$K$1)</f>
        <v>0.1</v>
      </c>
      <c r="V683">
        <f t="array" ref="V683">+J683+(4*(INDEX(MatchScoreTable,$Q683,20)-1))</f>
        <v>4</v>
      </c>
      <c r="W683">
        <f t="array" ref="W683">INDEX(INC_MINVALUES,$V683,$K$1)</f>
        <v>34</v>
      </c>
      <c r="X683" s="212">
        <f t="array" ref="X683">INDEX(INC_INCVALUES,$V683,$K$1)</f>
        <v>0.3</v>
      </c>
    </row>
    <row r="684" ht="15.75" customHeight="1">
      <c r="A684" s="435"/>
      <c r="B684" s="436"/>
      <c r="C684" s="95" t="str">
        <f t="array" ref="C684">IF(I684&gt;0,INDEX(DB,I684,8),"")</f>
        <v/>
      </c>
      <c r="D684" s="437">
        <f t="shared" si="1"/>
        <v>0</v>
      </c>
      <c r="F684" s="438">
        <f t="shared" si="2"/>
        <v>0</v>
      </c>
      <c r="G684" t="str">
        <f t="shared" si="3"/>
        <v/>
      </c>
      <c r="H684" t="b">
        <f t="shared" si="4"/>
        <v>0</v>
      </c>
      <c r="I684" s="439">
        <f>IF(OR(ISBLANK(A684),ISNA(MATCH(A684&amp;"",AthleteNumbers,0))),0,MATCH(A684&amp;"",AthleteNumbers,0))</f>
        <v>0</v>
      </c>
      <c r="J684" s="209">
        <f t="array" ref="J684">IF(I684&gt;0,INDEX(DB,$I684,6),0)</f>
        <v>0</v>
      </c>
      <c r="K684" s="440">
        <f t="shared" si="5"/>
        <v>0</v>
      </c>
      <c r="L684" s="440">
        <f t="shared" si="6"/>
        <v>0</v>
      </c>
      <c r="M684" s="441">
        <f>IF(AND(L684&gt;O684,O684&gt;0),MinPoints,IF(L684&lt;N684,100,+INT((O684-$L684)/P684)+MinPoints))</f>
        <v>100</v>
      </c>
      <c r="N684" s="440">
        <f t="shared" si="7"/>
        <v>7</v>
      </c>
      <c r="O684" s="440">
        <f t="shared" si="8"/>
        <v>16</v>
      </c>
      <c r="P684" s="440">
        <f t="shared" si="9"/>
        <v>0.1</v>
      </c>
      <c r="Q684">
        <f t="array" ref="Q684">IF(I684&gt;0,INDEX(DB,I684,9),EventIndex)</f>
        <v>6</v>
      </c>
      <c r="S684" s="442">
        <f t="array" ref="S684">INDEX(MINVALUES,$Q684,$K$1)</f>
        <v>16</v>
      </c>
      <c r="T684">
        <f t="array" ref="T684">INDEX(INCVALUES,$Q684,$K$1)</f>
        <v>0.1</v>
      </c>
      <c r="V684">
        <f t="array" ref="V684">+J684+(4*(INDEX(MatchScoreTable,$Q684,20)-1))</f>
        <v>4</v>
      </c>
      <c r="W684">
        <f t="array" ref="W684">INDEX(INC_MINVALUES,$V684,$K$1)</f>
        <v>34</v>
      </c>
      <c r="X684" s="212">
        <f t="array" ref="X684">INDEX(INC_INCVALUES,$V684,$K$1)</f>
        <v>0.3</v>
      </c>
    </row>
    <row r="685" ht="15.75" customHeight="1">
      <c r="A685" s="435"/>
      <c r="B685" s="436"/>
      <c r="C685" s="95" t="str">
        <f t="array" ref="C685">IF(I685&gt;0,INDEX(DB,I685,8),"")</f>
        <v/>
      </c>
      <c r="D685" s="437">
        <f t="shared" si="1"/>
        <v>0</v>
      </c>
      <c r="F685" s="438">
        <f t="shared" si="2"/>
        <v>0</v>
      </c>
      <c r="G685" t="str">
        <f t="shared" si="3"/>
        <v/>
      </c>
      <c r="H685" t="b">
        <f t="shared" si="4"/>
        <v>0</v>
      </c>
      <c r="I685" s="439">
        <f>IF(OR(ISBLANK(A685),ISNA(MATCH(A685&amp;"",AthleteNumbers,0))),0,MATCH(A685&amp;"",AthleteNumbers,0))</f>
        <v>0</v>
      </c>
      <c r="J685" s="209">
        <f t="array" ref="J685">IF(I685&gt;0,INDEX(DB,$I685,6),0)</f>
        <v>0</v>
      </c>
      <c r="K685" s="440">
        <f t="shared" si="5"/>
        <v>0</v>
      </c>
      <c r="L685" s="440">
        <f t="shared" si="6"/>
        <v>0</v>
      </c>
      <c r="M685" s="441">
        <f>IF(AND(L685&gt;O685,O685&gt;0),MinPoints,IF(L685&lt;N685,100,+INT((O685-$L685)/P685)+MinPoints))</f>
        <v>100</v>
      </c>
      <c r="N685" s="440">
        <f t="shared" si="7"/>
        <v>7</v>
      </c>
      <c r="O685" s="440">
        <f t="shared" si="8"/>
        <v>16</v>
      </c>
      <c r="P685" s="440">
        <f t="shared" si="9"/>
        <v>0.1</v>
      </c>
      <c r="Q685">
        <f t="array" ref="Q685">IF(I685&gt;0,INDEX(DB,I685,9),EventIndex)</f>
        <v>6</v>
      </c>
      <c r="S685" s="442">
        <f t="array" ref="S685">INDEX(MINVALUES,$Q685,$K$1)</f>
        <v>16</v>
      </c>
      <c r="T685">
        <f t="array" ref="T685">INDEX(INCVALUES,$Q685,$K$1)</f>
        <v>0.1</v>
      </c>
      <c r="V685">
        <f t="array" ref="V685">+J685+(4*(INDEX(MatchScoreTable,$Q685,20)-1))</f>
        <v>4</v>
      </c>
      <c r="W685">
        <f t="array" ref="W685">INDEX(INC_MINVALUES,$V685,$K$1)</f>
        <v>34</v>
      </c>
      <c r="X685" s="212">
        <f t="array" ref="X685">INDEX(INC_INCVALUES,$V685,$K$1)</f>
        <v>0.3</v>
      </c>
    </row>
    <row r="686" ht="15.75" customHeight="1">
      <c r="A686" s="435"/>
      <c r="B686" s="436"/>
      <c r="C686" s="95" t="str">
        <f t="array" ref="C686">IF(I686&gt;0,INDEX(DB,I686,8),"")</f>
        <v/>
      </c>
      <c r="D686" s="437">
        <f t="shared" si="1"/>
        <v>0</v>
      </c>
      <c r="F686" s="438">
        <f t="shared" si="2"/>
        <v>0</v>
      </c>
      <c r="G686" t="str">
        <f t="shared" si="3"/>
        <v/>
      </c>
      <c r="H686" t="b">
        <f t="shared" si="4"/>
        <v>0</v>
      </c>
      <c r="I686" s="439">
        <f>IF(OR(ISBLANK(A686),ISNA(MATCH(A686&amp;"",AthleteNumbers,0))),0,MATCH(A686&amp;"",AthleteNumbers,0))</f>
        <v>0</v>
      </c>
      <c r="J686" s="209">
        <f t="array" ref="J686">IF(I686&gt;0,INDEX(DB,$I686,6),0)</f>
        <v>0</v>
      </c>
      <c r="K686" s="440">
        <f t="shared" si="5"/>
        <v>0</v>
      </c>
      <c r="L686" s="440">
        <f t="shared" si="6"/>
        <v>0</v>
      </c>
      <c r="M686" s="441">
        <f>IF(AND(L686&gt;O686,O686&gt;0),MinPoints,IF(L686&lt;N686,100,+INT((O686-$L686)/P686)+MinPoints))</f>
        <v>100</v>
      </c>
      <c r="N686" s="440">
        <f t="shared" si="7"/>
        <v>7</v>
      </c>
      <c r="O686" s="440">
        <f t="shared" si="8"/>
        <v>16</v>
      </c>
      <c r="P686" s="440">
        <f t="shared" si="9"/>
        <v>0.1</v>
      </c>
      <c r="Q686">
        <f t="array" ref="Q686">IF(I686&gt;0,INDEX(DB,I686,9),EventIndex)</f>
        <v>6</v>
      </c>
      <c r="S686" s="442">
        <f t="array" ref="S686">INDEX(MINVALUES,$Q686,$K$1)</f>
        <v>16</v>
      </c>
      <c r="T686">
        <f t="array" ref="T686">INDEX(INCVALUES,$Q686,$K$1)</f>
        <v>0.1</v>
      </c>
      <c r="V686">
        <f t="array" ref="V686">+J686+(4*(INDEX(MatchScoreTable,$Q686,20)-1))</f>
        <v>4</v>
      </c>
      <c r="W686">
        <f t="array" ref="W686">INDEX(INC_MINVALUES,$V686,$K$1)</f>
        <v>34</v>
      </c>
      <c r="X686" s="212">
        <f t="array" ref="X686">INDEX(INC_INCVALUES,$V686,$K$1)</f>
        <v>0.3</v>
      </c>
    </row>
    <row r="687" ht="15.75" customHeight="1">
      <c r="A687" s="435"/>
      <c r="B687" s="436"/>
      <c r="C687" s="95" t="str">
        <f t="array" ref="C687">IF(I687&gt;0,INDEX(DB,I687,8),"")</f>
        <v/>
      </c>
      <c r="D687" s="437">
        <f t="shared" si="1"/>
        <v>0</v>
      </c>
      <c r="F687" s="438">
        <f t="shared" si="2"/>
        <v>0</v>
      </c>
      <c r="G687" t="str">
        <f t="shared" si="3"/>
        <v/>
      </c>
      <c r="H687" t="b">
        <f t="shared" si="4"/>
        <v>0</v>
      </c>
      <c r="I687" s="439">
        <f>IF(OR(ISBLANK(A687),ISNA(MATCH(A687&amp;"",AthleteNumbers,0))),0,MATCH(A687&amp;"",AthleteNumbers,0))</f>
        <v>0</v>
      </c>
      <c r="J687" s="209">
        <f t="array" ref="J687">IF(I687&gt;0,INDEX(DB,$I687,6),0)</f>
        <v>0</v>
      </c>
      <c r="K687" s="440">
        <f t="shared" si="5"/>
        <v>0</v>
      </c>
      <c r="L687" s="440">
        <f t="shared" si="6"/>
        <v>0</v>
      </c>
      <c r="M687" s="441">
        <f>IF(AND(L687&gt;O687,O687&gt;0),MinPoints,IF(L687&lt;N687,100,+INT((O687-$L687)/P687)+MinPoints))</f>
        <v>100</v>
      </c>
      <c r="N687" s="440">
        <f t="shared" si="7"/>
        <v>7</v>
      </c>
      <c r="O687" s="440">
        <f t="shared" si="8"/>
        <v>16</v>
      </c>
      <c r="P687" s="440">
        <f t="shared" si="9"/>
        <v>0.1</v>
      </c>
      <c r="Q687">
        <f t="array" ref="Q687">IF(I687&gt;0,INDEX(DB,I687,9),EventIndex)</f>
        <v>6</v>
      </c>
      <c r="S687" s="442">
        <f t="array" ref="S687">INDEX(MINVALUES,$Q687,$K$1)</f>
        <v>16</v>
      </c>
      <c r="T687">
        <f t="array" ref="T687">INDEX(INCVALUES,$Q687,$K$1)</f>
        <v>0.1</v>
      </c>
      <c r="V687">
        <f t="array" ref="V687">+J687+(4*(INDEX(MatchScoreTable,$Q687,20)-1))</f>
        <v>4</v>
      </c>
      <c r="W687">
        <f t="array" ref="W687">INDEX(INC_MINVALUES,$V687,$K$1)</f>
        <v>34</v>
      </c>
      <c r="X687" s="212">
        <f t="array" ref="X687">INDEX(INC_INCVALUES,$V687,$K$1)</f>
        <v>0.3</v>
      </c>
    </row>
    <row r="688" ht="15.75" customHeight="1">
      <c r="A688" s="435"/>
      <c r="B688" s="436"/>
      <c r="C688" s="95" t="str">
        <f t="array" ref="C688">IF(I688&gt;0,INDEX(DB,I688,8),"")</f>
        <v/>
      </c>
      <c r="D688" s="437">
        <f t="shared" si="1"/>
        <v>0</v>
      </c>
      <c r="F688" s="438">
        <f t="shared" si="2"/>
        <v>0</v>
      </c>
      <c r="G688" t="str">
        <f t="shared" si="3"/>
        <v/>
      </c>
      <c r="H688" t="b">
        <f t="shared" si="4"/>
        <v>0</v>
      </c>
      <c r="I688" s="439">
        <f>IF(OR(ISBLANK(A688),ISNA(MATCH(A688&amp;"",AthleteNumbers,0))),0,MATCH(A688&amp;"",AthleteNumbers,0))</f>
        <v>0</v>
      </c>
      <c r="J688" s="209">
        <f t="array" ref="J688">IF(I688&gt;0,INDEX(DB,$I688,6),0)</f>
        <v>0</v>
      </c>
      <c r="K688" s="440">
        <f t="shared" si="5"/>
        <v>0</v>
      </c>
      <c r="L688" s="440">
        <f t="shared" si="6"/>
        <v>0</v>
      </c>
      <c r="M688" s="441">
        <f>IF(AND(L688&gt;O688,O688&gt;0),MinPoints,IF(L688&lt;N688,100,+INT((O688-$L688)/P688)+MinPoints))</f>
        <v>100</v>
      </c>
      <c r="N688" s="440">
        <f t="shared" si="7"/>
        <v>7</v>
      </c>
      <c r="O688" s="440">
        <f t="shared" si="8"/>
        <v>16</v>
      </c>
      <c r="P688" s="440">
        <f t="shared" si="9"/>
        <v>0.1</v>
      </c>
      <c r="Q688">
        <f t="array" ref="Q688">IF(I688&gt;0,INDEX(DB,I688,9),EventIndex)</f>
        <v>6</v>
      </c>
      <c r="S688" s="442">
        <f t="array" ref="S688">INDEX(MINVALUES,$Q688,$K$1)</f>
        <v>16</v>
      </c>
      <c r="T688">
        <f t="array" ref="T688">INDEX(INCVALUES,$Q688,$K$1)</f>
        <v>0.1</v>
      </c>
      <c r="V688">
        <f t="array" ref="V688">+J688+(4*(INDEX(MatchScoreTable,$Q688,20)-1))</f>
        <v>4</v>
      </c>
      <c r="W688">
        <f t="array" ref="W688">INDEX(INC_MINVALUES,$V688,$K$1)</f>
        <v>34</v>
      </c>
      <c r="X688" s="212">
        <f t="array" ref="X688">INDEX(INC_INCVALUES,$V688,$K$1)</f>
        <v>0.3</v>
      </c>
    </row>
    <row r="689" ht="15.75" customHeight="1">
      <c r="A689" s="435"/>
      <c r="B689" s="436"/>
      <c r="C689" s="95" t="str">
        <f t="array" ref="C689">IF(I689&gt;0,INDEX(DB,I689,8),"")</f>
        <v/>
      </c>
      <c r="D689" s="437">
        <f t="shared" si="1"/>
        <v>0</v>
      </c>
      <c r="F689" s="438">
        <f t="shared" si="2"/>
        <v>0</v>
      </c>
      <c r="G689" t="str">
        <f t="shared" si="3"/>
        <v/>
      </c>
      <c r="H689" t="b">
        <f t="shared" si="4"/>
        <v>0</v>
      </c>
      <c r="I689" s="439">
        <f>IF(OR(ISBLANK(A689),ISNA(MATCH(A689&amp;"",AthleteNumbers,0))),0,MATCH(A689&amp;"",AthleteNumbers,0))</f>
        <v>0</v>
      </c>
      <c r="J689" s="209">
        <f t="array" ref="J689">IF(I689&gt;0,INDEX(DB,$I689,6),0)</f>
        <v>0</v>
      </c>
      <c r="K689" s="440">
        <f t="shared" si="5"/>
        <v>0</v>
      </c>
      <c r="L689" s="440">
        <f t="shared" si="6"/>
        <v>0</v>
      </c>
      <c r="M689" s="441">
        <f>IF(AND(L689&gt;O689,O689&gt;0),MinPoints,IF(L689&lt;N689,100,+INT((O689-$L689)/P689)+MinPoints))</f>
        <v>100</v>
      </c>
      <c r="N689" s="440">
        <f t="shared" si="7"/>
        <v>7</v>
      </c>
      <c r="O689" s="440">
        <f t="shared" si="8"/>
        <v>16</v>
      </c>
      <c r="P689" s="440">
        <f t="shared" si="9"/>
        <v>0.1</v>
      </c>
      <c r="Q689">
        <f t="array" ref="Q689">IF(I689&gt;0,INDEX(DB,I689,9),EventIndex)</f>
        <v>6</v>
      </c>
      <c r="S689" s="442">
        <f t="array" ref="S689">INDEX(MINVALUES,$Q689,$K$1)</f>
        <v>16</v>
      </c>
      <c r="T689">
        <f t="array" ref="T689">INDEX(INCVALUES,$Q689,$K$1)</f>
        <v>0.1</v>
      </c>
      <c r="V689">
        <f t="array" ref="V689">+J689+(4*(INDEX(MatchScoreTable,$Q689,20)-1))</f>
        <v>4</v>
      </c>
      <c r="W689">
        <f t="array" ref="W689">INDEX(INC_MINVALUES,$V689,$K$1)</f>
        <v>34</v>
      </c>
      <c r="X689" s="212">
        <f t="array" ref="X689">INDEX(INC_INCVALUES,$V689,$K$1)</f>
        <v>0.3</v>
      </c>
    </row>
    <row r="690" ht="15.75" customHeight="1">
      <c r="A690" s="435"/>
      <c r="B690" s="436"/>
      <c r="C690" s="95" t="str">
        <f t="array" ref="C690">IF(I690&gt;0,INDEX(DB,I690,8),"")</f>
        <v/>
      </c>
      <c r="D690" s="437">
        <f t="shared" si="1"/>
        <v>0</v>
      </c>
      <c r="F690" s="438">
        <f t="shared" si="2"/>
        <v>0</v>
      </c>
      <c r="G690" t="str">
        <f t="shared" si="3"/>
        <v/>
      </c>
      <c r="H690" t="b">
        <f t="shared" si="4"/>
        <v>0</v>
      </c>
      <c r="I690" s="439">
        <f>IF(OR(ISBLANK(A690),ISNA(MATCH(A690&amp;"",AthleteNumbers,0))),0,MATCH(A690&amp;"",AthleteNumbers,0))</f>
        <v>0</v>
      </c>
      <c r="J690" s="209">
        <f t="array" ref="J690">IF(I690&gt;0,INDEX(DB,$I690,6),0)</f>
        <v>0</v>
      </c>
      <c r="K690" s="440">
        <f t="shared" si="5"/>
        <v>0</v>
      </c>
      <c r="L690" s="440">
        <f t="shared" si="6"/>
        <v>0</v>
      </c>
      <c r="M690" s="441">
        <f>IF(AND(L690&gt;O690,O690&gt;0),MinPoints,IF(L690&lt;N690,100,+INT((O690-$L690)/P690)+MinPoints))</f>
        <v>100</v>
      </c>
      <c r="N690" s="440">
        <f t="shared" si="7"/>
        <v>7</v>
      </c>
      <c r="O690" s="440">
        <f t="shared" si="8"/>
        <v>16</v>
      </c>
      <c r="P690" s="440">
        <f t="shared" si="9"/>
        <v>0.1</v>
      </c>
      <c r="Q690">
        <f t="array" ref="Q690">IF(I690&gt;0,INDEX(DB,I690,9),EventIndex)</f>
        <v>6</v>
      </c>
      <c r="S690" s="442">
        <f t="array" ref="S690">INDEX(MINVALUES,$Q690,$K$1)</f>
        <v>16</v>
      </c>
      <c r="T690">
        <f t="array" ref="T690">INDEX(INCVALUES,$Q690,$K$1)</f>
        <v>0.1</v>
      </c>
      <c r="V690">
        <f t="array" ref="V690">+J690+(4*(INDEX(MatchScoreTable,$Q690,20)-1))</f>
        <v>4</v>
      </c>
      <c r="W690">
        <f t="array" ref="W690">INDEX(INC_MINVALUES,$V690,$K$1)</f>
        <v>34</v>
      </c>
      <c r="X690" s="212">
        <f t="array" ref="X690">INDEX(INC_INCVALUES,$V690,$K$1)</f>
        <v>0.3</v>
      </c>
    </row>
    <row r="691" ht="15.75" customHeight="1">
      <c r="A691" s="435"/>
      <c r="B691" s="436"/>
      <c r="C691" s="95" t="str">
        <f t="array" ref="C691">IF(I691&gt;0,INDEX(DB,I691,8),"")</f>
        <v/>
      </c>
      <c r="D691" s="437">
        <f t="shared" si="1"/>
        <v>0</v>
      </c>
      <c r="F691" s="438">
        <f t="shared" si="2"/>
        <v>0</v>
      </c>
      <c r="G691" t="str">
        <f t="shared" si="3"/>
        <v/>
      </c>
      <c r="H691" t="b">
        <f t="shared" si="4"/>
        <v>0</v>
      </c>
      <c r="I691" s="439">
        <f>IF(OR(ISBLANK(A691),ISNA(MATCH(A691&amp;"",AthleteNumbers,0))),0,MATCH(A691&amp;"",AthleteNumbers,0))</f>
        <v>0</v>
      </c>
      <c r="J691" s="209">
        <f t="array" ref="J691">IF(I691&gt;0,INDEX(DB,$I691,6),0)</f>
        <v>0</v>
      </c>
      <c r="K691" s="440">
        <f t="shared" si="5"/>
        <v>0</v>
      </c>
      <c r="L691" s="440">
        <f t="shared" si="6"/>
        <v>0</v>
      </c>
      <c r="M691" s="441">
        <f>IF(AND(L691&gt;O691,O691&gt;0),MinPoints,IF(L691&lt;N691,100,+INT((O691-$L691)/P691)+MinPoints))</f>
        <v>100</v>
      </c>
      <c r="N691" s="440">
        <f t="shared" si="7"/>
        <v>7</v>
      </c>
      <c r="O691" s="440">
        <f t="shared" si="8"/>
        <v>16</v>
      </c>
      <c r="P691" s="440">
        <f t="shared" si="9"/>
        <v>0.1</v>
      </c>
      <c r="Q691">
        <f t="array" ref="Q691">IF(I691&gt;0,INDEX(DB,I691,9),EventIndex)</f>
        <v>6</v>
      </c>
      <c r="S691" s="442">
        <f t="array" ref="S691">INDEX(MINVALUES,$Q691,$K$1)</f>
        <v>16</v>
      </c>
      <c r="T691">
        <f t="array" ref="T691">INDEX(INCVALUES,$Q691,$K$1)</f>
        <v>0.1</v>
      </c>
      <c r="V691">
        <f t="array" ref="V691">+J691+(4*(INDEX(MatchScoreTable,$Q691,20)-1))</f>
        <v>4</v>
      </c>
      <c r="W691">
        <f t="array" ref="W691">INDEX(INC_MINVALUES,$V691,$K$1)</f>
        <v>34</v>
      </c>
      <c r="X691" s="212">
        <f t="array" ref="X691">INDEX(INC_INCVALUES,$V691,$K$1)</f>
        <v>0.3</v>
      </c>
    </row>
    <row r="692" ht="15.75" customHeight="1">
      <c r="A692" s="435"/>
      <c r="B692" s="436"/>
      <c r="C692" s="95" t="str">
        <f t="array" ref="C692">IF(I692&gt;0,INDEX(DB,I692,8),"")</f>
        <v/>
      </c>
      <c r="D692" s="437">
        <f t="shared" si="1"/>
        <v>0</v>
      </c>
      <c r="F692" s="438">
        <f t="shared" si="2"/>
        <v>0</v>
      </c>
      <c r="G692" t="str">
        <f t="shared" si="3"/>
        <v/>
      </c>
      <c r="H692" t="b">
        <f t="shared" si="4"/>
        <v>0</v>
      </c>
      <c r="I692" s="439">
        <f>IF(OR(ISBLANK(A692),ISNA(MATCH(A692&amp;"",AthleteNumbers,0))),0,MATCH(A692&amp;"",AthleteNumbers,0))</f>
        <v>0</v>
      </c>
      <c r="J692" s="209">
        <f t="array" ref="J692">IF(I692&gt;0,INDEX(DB,$I692,6),0)</f>
        <v>0</v>
      </c>
      <c r="K692" s="440">
        <f t="shared" si="5"/>
        <v>0</v>
      </c>
      <c r="L692" s="440">
        <f t="shared" si="6"/>
        <v>0</v>
      </c>
      <c r="M692" s="441">
        <f>IF(AND(L692&gt;O692,O692&gt;0),MinPoints,IF(L692&lt;N692,100,+INT((O692-$L692)/P692)+MinPoints))</f>
        <v>100</v>
      </c>
      <c r="N692" s="440">
        <f t="shared" si="7"/>
        <v>7</v>
      </c>
      <c r="O692" s="440">
        <f t="shared" si="8"/>
        <v>16</v>
      </c>
      <c r="P692" s="440">
        <f t="shared" si="9"/>
        <v>0.1</v>
      </c>
      <c r="Q692">
        <f t="array" ref="Q692">IF(I692&gt;0,INDEX(DB,I692,9),EventIndex)</f>
        <v>6</v>
      </c>
      <c r="S692" s="442">
        <f t="array" ref="S692">INDEX(MINVALUES,$Q692,$K$1)</f>
        <v>16</v>
      </c>
      <c r="T692">
        <f t="array" ref="T692">INDEX(INCVALUES,$Q692,$K$1)</f>
        <v>0.1</v>
      </c>
      <c r="V692">
        <f t="array" ref="V692">+J692+(4*(INDEX(MatchScoreTable,$Q692,20)-1))</f>
        <v>4</v>
      </c>
      <c r="W692">
        <f t="array" ref="W692">INDEX(INC_MINVALUES,$V692,$K$1)</f>
        <v>34</v>
      </c>
      <c r="X692" s="212">
        <f t="array" ref="X692">INDEX(INC_INCVALUES,$V692,$K$1)</f>
        <v>0.3</v>
      </c>
    </row>
    <row r="693" ht="15.75" customHeight="1">
      <c r="A693" s="435"/>
      <c r="B693" s="436"/>
      <c r="C693" s="95" t="str">
        <f t="array" ref="C693">IF(I693&gt;0,INDEX(DB,I693,8),"")</f>
        <v/>
      </c>
      <c r="D693" s="437">
        <f t="shared" si="1"/>
        <v>0</v>
      </c>
      <c r="F693" s="438">
        <f t="shared" si="2"/>
        <v>0</v>
      </c>
      <c r="G693" t="str">
        <f t="shared" si="3"/>
        <v/>
      </c>
      <c r="H693" t="b">
        <f t="shared" si="4"/>
        <v>0</v>
      </c>
      <c r="I693" s="439">
        <f>IF(OR(ISBLANK(A693),ISNA(MATCH(A693&amp;"",AthleteNumbers,0))),0,MATCH(A693&amp;"",AthleteNumbers,0))</f>
        <v>0</v>
      </c>
      <c r="J693" s="209">
        <f t="array" ref="J693">IF(I693&gt;0,INDEX(DB,$I693,6),0)</f>
        <v>0</v>
      </c>
      <c r="K693" s="440">
        <f t="shared" si="5"/>
        <v>0</v>
      </c>
      <c r="L693" s="440">
        <f t="shared" si="6"/>
        <v>0</v>
      </c>
      <c r="M693" s="441">
        <f>IF(AND(L693&gt;O693,O693&gt;0),MinPoints,IF(L693&lt;N693,100,+INT((O693-$L693)/P693)+MinPoints))</f>
        <v>100</v>
      </c>
      <c r="N693" s="440">
        <f t="shared" si="7"/>
        <v>7</v>
      </c>
      <c r="O693" s="440">
        <f t="shared" si="8"/>
        <v>16</v>
      </c>
      <c r="P693" s="440">
        <f t="shared" si="9"/>
        <v>0.1</v>
      </c>
      <c r="Q693">
        <f t="array" ref="Q693">IF(I693&gt;0,INDEX(DB,I693,9),EventIndex)</f>
        <v>6</v>
      </c>
      <c r="S693" s="442">
        <f t="array" ref="S693">INDEX(MINVALUES,$Q693,$K$1)</f>
        <v>16</v>
      </c>
      <c r="T693">
        <f t="array" ref="T693">INDEX(INCVALUES,$Q693,$K$1)</f>
        <v>0.1</v>
      </c>
      <c r="V693">
        <f t="array" ref="V693">+J693+(4*(INDEX(MatchScoreTable,$Q693,20)-1))</f>
        <v>4</v>
      </c>
      <c r="W693">
        <f t="array" ref="W693">INDEX(INC_MINVALUES,$V693,$K$1)</f>
        <v>34</v>
      </c>
      <c r="X693" s="212">
        <f t="array" ref="X693">INDEX(INC_INCVALUES,$V693,$K$1)</f>
        <v>0.3</v>
      </c>
    </row>
    <row r="694" ht="15.75" customHeight="1">
      <c r="A694" s="435"/>
      <c r="B694" s="436"/>
      <c r="C694" s="95" t="str">
        <f t="array" ref="C694">IF(I694&gt;0,INDEX(DB,I694,8),"")</f>
        <v/>
      </c>
      <c r="D694" s="437">
        <f t="shared" si="1"/>
        <v>0</v>
      </c>
      <c r="F694" s="438">
        <f t="shared" si="2"/>
        <v>0</v>
      </c>
      <c r="G694" t="str">
        <f t="shared" si="3"/>
        <v/>
      </c>
      <c r="H694" t="b">
        <f t="shared" si="4"/>
        <v>0</v>
      </c>
      <c r="I694" s="439">
        <f>IF(OR(ISBLANK(A694),ISNA(MATCH(A694&amp;"",AthleteNumbers,0))),0,MATCH(A694&amp;"",AthleteNumbers,0))</f>
        <v>0</v>
      </c>
      <c r="J694" s="209">
        <f t="array" ref="J694">IF(I694&gt;0,INDEX(DB,$I694,6),0)</f>
        <v>0</v>
      </c>
      <c r="K694" s="440">
        <f t="shared" si="5"/>
        <v>0</v>
      </c>
      <c r="L694" s="440">
        <f t="shared" si="6"/>
        <v>0</v>
      </c>
      <c r="M694" s="441">
        <f>IF(AND(L694&gt;O694,O694&gt;0),MinPoints,IF(L694&lt;N694,100,+INT((O694-$L694)/P694)+MinPoints))</f>
        <v>100</v>
      </c>
      <c r="N694" s="440">
        <f t="shared" si="7"/>
        <v>7</v>
      </c>
      <c r="O694" s="440">
        <f t="shared" si="8"/>
        <v>16</v>
      </c>
      <c r="P694" s="440">
        <f t="shared" si="9"/>
        <v>0.1</v>
      </c>
      <c r="Q694">
        <f t="array" ref="Q694">IF(I694&gt;0,INDEX(DB,I694,9),EventIndex)</f>
        <v>6</v>
      </c>
      <c r="S694" s="442">
        <f t="array" ref="S694">INDEX(MINVALUES,$Q694,$K$1)</f>
        <v>16</v>
      </c>
      <c r="T694">
        <f t="array" ref="T694">INDEX(INCVALUES,$Q694,$K$1)</f>
        <v>0.1</v>
      </c>
      <c r="V694">
        <f t="array" ref="V694">+J694+(4*(INDEX(MatchScoreTable,$Q694,20)-1))</f>
        <v>4</v>
      </c>
      <c r="W694">
        <f t="array" ref="W694">INDEX(INC_MINVALUES,$V694,$K$1)</f>
        <v>34</v>
      </c>
      <c r="X694" s="212">
        <f t="array" ref="X694">INDEX(INC_INCVALUES,$V694,$K$1)</f>
        <v>0.3</v>
      </c>
    </row>
    <row r="695" ht="15.75" customHeight="1">
      <c r="A695" s="435"/>
      <c r="B695" s="436"/>
      <c r="C695" s="95" t="str">
        <f t="array" ref="C695">IF(I695&gt;0,INDEX(DB,I695,8),"")</f>
        <v/>
      </c>
      <c r="D695" s="437">
        <f t="shared" si="1"/>
        <v>0</v>
      </c>
      <c r="F695" s="438">
        <f t="shared" si="2"/>
        <v>0</v>
      </c>
      <c r="G695" t="str">
        <f t="shared" si="3"/>
        <v/>
      </c>
      <c r="H695" t="b">
        <f t="shared" si="4"/>
        <v>0</v>
      </c>
      <c r="I695" s="439">
        <f>IF(OR(ISBLANK(A695),ISNA(MATCH(A695&amp;"",AthleteNumbers,0))),0,MATCH(A695&amp;"",AthleteNumbers,0))</f>
        <v>0</v>
      </c>
      <c r="J695" s="209">
        <f t="array" ref="J695">IF(I695&gt;0,INDEX(DB,$I695,6),0)</f>
        <v>0</v>
      </c>
      <c r="K695" s="440">
        <f t="shared" si="5"/>
        <v>0</v>
      </c>
      <c r="L695" s="440">
        <f t="shared" si="6"/>
        <v>0</v>
      </c>
      <c r="M695" s="441">
        <f>IF(AND(L695&gt;O695,O695&gt;0),MinPoints,IF(L695&lt;N695,100,+INT((O695-$L695)/P695)+MinPoints))</f>
        <v>100</v>
      </c>
      <c r="N695" s="440">
        <f t="shared" si="7"/>
        <v>7</v>
      </c>
      <c r="O695" s="440">
        <f t="shared" si="8"/>
        <v>16</v>
      </c>
      <c r="P695" s="440">
        <f t="shared" si="9"/>
        <v>0.1</v>
      </c>
      <c r="Q695">
        <f t="array" ref="Q695">IF(I695&gt;0,INDEX(DB,I695,9),EventIndex)</f>
        <v>6</v>
      </c>
      <c r="S695" s="442">
        <f t="array" ref="S695">INDEX(MINVALUES,$Q695,$K$1)</f>
        <v>16</v>
      </c>
      <c r="T695">
        <f t="array" ref="T695">INDEX(INCVALUES,$Q695,$K$1)</f>
        <v>0.1</v>
      </c>
      <c r="V695">
        <f t="array" ref="V695">+J695+(4*(INDEX(MatchScoreTable,$Q695,20)-1))</f>
        <v>4</v>
      </c>
      <c r="W695">
        <f t="array" ref="W695">INDEX(INC_MINVALUES,$V695,$K$1)</f>
        <v>34</v>
      </c>
      <c r="X695" s="212">
        <f t="array" ref="X695">INDEX(INC_INCVALUES,$V695,$K$1)</f>
        <v>0.3</v>
      </c>
    </row>
    <row r="696" ht="15.75" customHeight="1">
      <c r="A696" s="435"/>
      <c r="B696" s="436"/>
      <c r="C696" s="95" t="str">
        <f t="array" ref="C696">IF(I696&gt;0,INDEX(DB,I696,8),"")</f>
        <v/>
      </c>
      <c r="D696" s="437">
        <f t="shared" si="1"/>
        <v>0</v>
      </c>
      <c r="F696" s="438">
        <f t="shared" si="2"/>
        <v>0</v>
      </c>
      <c r="G696" t="str">
        <f t="shared" si="3"/>
        <v/>
      </c>
      <c r="H696" t="b">
        <f t="shared" si="4"/>
        <v>0</v>
      </c>
      <c r="I696" s="439">
        <f>IF(OR(ISBLANK(A696),ISNA(MATCH(A696&amp;"",AthleteNumbers,0))),0,MATCH(A696&amp;"",AthleteNumbers,0))</f>
        <v>0</v>
      </c>
      <c r="J696" s="209">
        <f t="array" ref="J696">IF(I696&gt;0,INDEX(DB,$I696,6),0)</f>
        <v>0</v>
      </c>
      <c r="K696" s="440">
        <f t="shared" si="5"/>
        <v>0</v>
      </c>
      <c r="L696" s="440">
        <f t="shared" si="6"/>
        <v>0</v>
      </c>
      <c r="M696" s="441">
        <f>IF(AND(L696&gt;O696,O696&gt;0),MinPoints,IF(L696&lt;N696,100,+INT((O696-$L696)/P696)+MinPoints))</f>
        <v>100</v>
      </c>
      <c r="N696" s="440">
        <f t="shared" si="7"/>
        <v>7</v>
      </c>
      <c r="O696" s="440">
        <f t="shared" si="8"/>
        <v>16</v>
      </c>
      <c r="P696" s="440">
        <f t="shared" si="9"/>
        <v>0.1</v>
      </c>
      <c r="Q696">
        <f t="array" ref="Q696">IF(I696&gt;0,INDEX(DB,I696,9),EventIndex)</f>
        <v>6</v>
      </c>
      <c r="S696" s="442">
        <f t="array" ref="S696">INDEX(MINVALUES,$Q696,$K$1)</f>
        <v>16</v>
      </c>
      <c r="T696">
        <f t="array" ref="T696">INDEX(INCVALUES,$Q696,$K$1)</f>
        <v>0.1</v>
      </c>
      <c r="V696">
        <f t="array" ref="V696">+J696+(4*(INDEX(MatchScoreTable,$Q696,20)-1))</f>
        <v>4</v>
      </c>
      <c r="W696">
        <f t="array" ref="W696">INDEX(INC_MINVALUES,$V696,$K$1)</f>
        <v>34</v>
      </c>
      <c r="X696" s="212">
        <f t="array" ref="X696">INDEX(INC_INCVALUES,$V696,$K$1)</f>
        <v>0.3</v>
      </c>
    </row>
    <row r="697" ht="15.75" customHeight="1">
      <c r="A697" s="435"/>
      <c r="B697" s="436"/>
      <c r="C697" s="95" t="str">
        <f t="array" ref="C697">IF(I697&gt;0,INDEX(DB,I697,8),"")</f>
        <v/>
      </c>
      <c r="D697" s="437">
        <f t="shared" si="1"/>
        <v>0</v>
      </c>
      <c r="F697" s="438">
        <f t="shared" si="2"/>
        <v>0</v>
      </c>
      <c r="G697" t="str">
        <f t="shared" si="3"/>
        <v/>
      </c>
      <c r="H697" t="b">
        <f t="shared" si="4"/>
        <v>0</v>
      </c>
      <c r="I697" s="439">
        <f>IF(OR(ISBLANK(A697),ISNA(MATCH(A697&amp;"",AthleteNumbers,0))),0,MATCH(A697&amp;"",AthleteNumbers,0))</f>
        <v>0</v>
      </c>
      <c r="J697" s="209">
        <f t="array" ref="J697">IF(I697&gt;0,INDEX(DB,$I697,6),0)</f>
        <v>0</v>
      </c>
      <c r="K697" s="440">
        <f t="shared" si="5"/>
        <v>0</v>
      </c>
      <c r="L697" s="440">
        <f t="shared" si="6"/>
        <v>0</v>
      </c>
      <c r="M697" s="441">
        <f>IF(AND(L697&gt;O697,O697&gt;0),MinPoints,IF(L697&lt;N697,100,+INT((O697-$L697)/P697)+MinPoints))</f>
        <v>100</v>
      </c>
      <c r="N697" s="440">
        <f t="shared" si="7"/>
        <v>7</v>
      </c>
      <c r="O697" s="440">
        <f t="shared" si="8"/>
        <v>16</v>
      </c>
      <c r="P697" s="440">
        <f t="shared" si="9"/>
        <v>0.1</v>
      </c>
      <c r="Q697">
        <f t="array" ref="Q697">IF(I697&gt;0,INDEX(DB,I697,9),EventIndex)</f>
        <v>6</v>
      </c>
      <c r="S697" s="442">
        <f t="array" ref="S697">INDEX(MINVALUES,$Q697,$K$1)</f>
        <v>16</v>
      </c>
      <c r="T697">
        <f t="array" ref="T697">INDEX(INCVALUES,$Q697,$K$1)</f>
        <v>0.1</v>
      </c>
      <c r="V697">
        <f t="array" ref="V697">+J697+(4*(INDEX(MatchScoreTable,$Q697,20)-1))</f>
        <v>4</v>
      </c>
      <c r="W697">
        <f t="array" ref="W697">INDEX(INC_MINVALUES,$V697,$K$1)</f>
        <v>34</v>
      </c>
      <c r="X697" s="212">
        <f t="array" ref="X697">INDEX(INC_INCVALUES,$V697,$K$1)</f>
        <v>0.3</v>
      </c>
    </row>
    <row r="698" ht="15.75" customHeight="1">
      <c r="A698" s="435"/>
      <c r="B698" s="436"/>
      <c r="C698" s="95" t="str">
        <f t="array" ref="C698">IF(I698&gt;0,INDEX(DB,I698,8),"")</f>
        <v/>
      </c>
      <c r="D698" s="437">
        <f t="shared" si="1"/>
        <v>0</v>
      </c>
      <c r="F698" s="438">
        <f t="shared" si="2"/>
        <v>0</v>
      </c>
      <c r="G698" t="str">
        <f t="shared" si="3"/>
        <v/>
      </c>
      <c r="H698" t="b">
        <f t="shared" si="4"/>
        <v>0</v>
      </c>
      <c r="I698" s="439">
        <f>IF(OR(ISBLANK(A698),ISNA(MATCH(A698&amp;"",AthleteNumbers,0))),0,MATCH(A698&amp;"",AthleteNumbers,0))</f>
        <v>0</v>
      </c>
      <c r="J698" s="209">
        <f t="array" ref="J698">IF(I698&gt;0,INDEX(DB,$I698,6),0)</f>
        <v>0</v>
      </c>
      <c r="K698" s="440">
        <f t="shared" si="5"/>
        <v>0</v>
      </c>
      <c r="L698" s="440">
        <f t="shared" si="6"/>
        <v>0</v>
      </c>
      <c r="M698" s="441">
        <f>IF(AND(L698&gt;O698,O698&gt;0),MinPoints,IF(L698&lt;N698,100,+INT((O698-$L698)/P698)+MinPoints))</f>
        <v>100</v>
      </c>
      <c r="N698" s="440">
        <f t="shared" si="7"/>
        <v>7</v>
      </c>
      <c r="O698" s="440">
        <f t="shared" si="8"/>
        <v>16</v>
      </c>
      <c r="P698" s="440">
        <f t="shared" si="9"/>
        <v>0.1</v>
      </c>
      <c r="Q698">
        <f t="array" ref="Q698">IF(I698&gt;0,INDEX(DB,I698,9),EventIndex)</f>
        <v>6</v>
      </c>
      <c r="S698" s="442">
        <f t="array" ref="S698">INDEX(MINVALUES,$Q698,$K$1)</f>
        <v>16</v>
      </c>
      <c r="T698">
        <f t="array" ref="T698">INDEX(INCVALUES,$Q698,$K$1)</f>
        <v>0.1</v>
      </c>
      <c r="V698">
        <f t="array" ref="V698">+J698+(4*(INDEX(MatchScoreTable,$Q698,20)-1))</f>
        <v>4</v>
      </c>
      <c r="W698">
        <f t="array" ref="W698">INDEX(INC_MINVALUES,$V698,$K$1)</f>
        <v>34</v>
      </c>
      <c r="X698" s="212">
        <f t="array" ref="X698">INDEX(INC_INCVALUES,$V698,$K$1)</f>
        <v>0.3</v>
      </c>
    </row>
    <row r="699" ht="15.75" customHeight="1">
      <c r="A699" s="435"/>
      <c r="B699" s="436"/>
      <c r="C699" s="95" t="str">
        <f t="array" ref="C699">IF(I699&gt;0,INDEX(DB,I699,8),"")</f>
        <v/>
      </c>
      <c r="D699" s="437">
        <f t="shared" si="1"/>
        <v>0</v>
      </c>
      <c r="F699" s="438">
        <f t="shared" si="2"/>
        <v>0</v>
      </c>
      <c r="G699" t="str">
        <f t="shared" si="3"/>
        <v/>
      </c>
      <c r="H699" t="b">
        <f t="shared" si="4"/>
        <v>0</v>
      </c>
      <c r="I699" s="439">
        <f>IF(OR(ISBLANK(A699),ISNA(MATCH(A699&amp;"",AthleteNumbers,0))),0,MATCH(A699&amp;"",AthleteNumbers,0))</f>
        <v>0</v>
      </c>
      <c r="J699" s="209">
        <f t="array" ref="J699">IF(I699&gt;0,INDEX(DB,$I699,6),0)</f>
        <v>0</v>
      </c>
      <c r="K699" s="440">
        <f t="shared" si="5"/>
        <v>0</v>
      </c>
      <c r="L699" s="440">
        <f t="shared" si="6"/>
        <v>0</v>
      </c>
      <c r="M699" s="441">
        <f>IF(AND(L699&gt;O699,O699&gt;0),MinPoints,IF(L699&lt;N699,100,+INT((O699-$L699)/P699)+MinPoints))</f>
        <v>100</v>
      </c>
      <c r="N699" s="440">
        <f t="shared" si="7"/>
        <v>7</v>
      </c>
      <c r="O699" s="440">
        <f t="shared" si="8"/>
        <v>16</v>
      </c>
      <c r="P699" s="440">
        <f t="shared" si="9"/>
        <v>0.1</v>
      </c>
      <c r="Q699">
        <f t="array" ref="Q699">IF(I699&gt;0,INDEX(DB,I699,9),EventIndex)</f>
        <v>6</v>
      </c>
      <c r="S699" s="442">
        <f t="array" ref="S699">INDEX(MINVALUES,$Q699,$K$1)</f>
        <v>16</v>
      </c>
      <c r="T699">
        <f t="array" ref="T699">INDEX(INCVALUES,$Q699,$K$1)</f>
        <v>0.1</v>
      </c>
      <c r="V699">
        <f t="array" ref="V699">+J699+(4*(INDEX(MatchScoreTable,$Q699,20)-1))</f>
        <v>4</v>
      </c>
      <c r="W699">
        <f t="array" ref="W699">INDEX(INC_MINVALUES,$V699,$K$1)</f>
        <v>34</v>
      </c>
      <c r="X699" s="212">
        <f t="array" ref="X699">INDEX(INC_INCVALUES,$V699,$K$1)</f>
        <v>0.3</v>
      </c>
    </row>
    <row r="700" ht="15.75" customHeight="1">
      <c r="A700" s="435"/>
      <c r="B700" s="436"/>
      <c r="C700" s="95" t="str">
        <f t="array" ref="C700">IF(I700&gt;0,INDEX(DB,I700,8),"")</f>
        <v/>
      </c>
      <c r="D700" s="437">
        <f t="shared" si="1"/>
        <v>0</v>
      </c>
      <c r="F700" s="438">
        <f t="shared" si="2"/>
        <v>0</v>
      </c>
      <c r="G700" t="str">
        <f t="shared" si="3"/>
        <v/>
      </c>
      <c r="H700" t="b">
        <f t="shared" si="4"/>
        <v>0</v>
      </c>
      <c r="I700" s="439">
        <f>IF(OR(ISBLANK(A700),ISNA(MATCH(A700&amp;"",AthleteNumbers,0))),0,MATCH(A700&amp;"",AthleteNumbers,0))</f>
        <v>0</v>
      </c>
      <c r="J700" s="209">
        <f t="array" ref="J700">IF(I700&gt;0,INDEX(DB,$I700,6),0)</f>
        <v>0</v>
      </c>
      <c r="K700" s="440">
        <f t="shared" si="5"/>
        <v>0</v>
      </c>
      <c r="L700" s="440">
        <f t="shared" si="6"/>
        <v>0</v>
      </c>
      <c r="M700" s="441">
        <f>IF(AND(L700&gt;O700,O700&gt;0),MinPoints,IF(L700&lt;N700,100,+INT((O700-$L700)/P700)+MinPoints))</f>
        <v>100</v>
      </c>
      <c r="N700" s="440">
        <f t="shared" si="7"/>
        <v>7</v>
      </c>
      <c r="O700" s="440">
        <f t="shared" si="8"/>
        <v>16</v>
      </c>
      <c r="P700" s="440">
        <f t="shared" si="9"/>
        <v>0.1</v>
      </c>
      <c r="Q700">
        <f t="array" ref="Q700">IF(I700&gt;0,INDEX(DB,I700,9),EventIndex)</f>
        <v>6</v>
      </c>
      <c r="S700" s="442">
        <f t="array" ref="S700">INDEX(MINVALUES,$Q700,$K$1)</f>
        <v>16</v>
      </c>
      <c r="T700">
        <f t="array" ref="T700">INDEX(INCVALUES,$Q700,$K$1)</f>
        <v>0.1</v>
      </c>
      <c r="V700">
        <f t="array" ref="V700">+J700+(4*(INDEX(MatchScoreTable,$Q700,20)-1))</f>
        <v>4</v>
      </c>
      <c r="W700">
        <f t="array" ref="W700">INDEX(INC_MINVALUES,$V700,$K$1)</f>
        <v>34</v>
      </c>
      <c r="X700" s="212">
        <f t="array" ref="X700">INDEX(INC_INCVALUES,$V700,$K$1)</f>
        <v>0.3</v>
      </c>
    </row>
    <row r="701" ht="15.75" customHeight="1">
      <c r="A701" s="435"/>
      <c r="B701" s="436"/>
      <c r="C701" s="95" t="str">
        <f t="array" ref="C701">IF(I701&gt;0,INDEX(DB,I701,8),"")</f>
        <v/>
      </c>
      <c r="D701" s="437">
        <f t="shared" si="1"/>
        <v>0</v>
      </c>
      <c r="F701" s="438">
        <f t="shared" si="2"/>
        <v>0</v>
      </c>
      <c r="G701" t="str">
        <f t="shared" si="3"/>
        <v/>
      </c>
      <c r="H701" t="b">
        <f t="shared" si="4"/>
        <v>0</v>
      </c>
      <c r="I701" s="439">
        <f>IF(OR(ISBLANK(A701),ISNA(MATCH(A701&amp;"",AthleteNumbers,0))),0,MATCH(A701&amp;"",AthleteNumbers,0))</f>
        <v>0</v>
      </c>
      <c r="J701" s="209">
        <f t="array" ref="J701">IF(I701&gt;0,INDEX(DB,$I701,6),0)</f>
        <v>0</v>
      </c>
      <c r="K701" s="440">
        <f t="shared" si="5"/>
        <v>0</v>
      </c>
      <c r="L701" s="440">
        <f t="shared" si="6"/>
        <v>0</v>
      </c>
      <c r="M701" s="441">
        <f>IF(AND(L701&gt;O701,O701&gt;0),MinPoints,IF(L701&lt;N701,100,+INT((O701-$L701)/P701)+MinPoints))</f>
        <v>100</v>
      </c>
      <c r="N701" s="440">
        <f t="shared" si="7"/>
        <v>7</v>
      </c>
      <c r="O701" s="440">
        <f t="shared" si="8"/>
        <v>16</v>
      </c>
      <c r="P701" s="440">
        <f t="shared" si="9"/>
        <v>0.1</v>
      </c>
      <c r="Q701">
        <f t="array" ref="Q701">IF(I701&gt;0,INDEX(DB,I701,9),EventIndex)</f>
        <v>6</v>
      </c>
      <c r="S701" s="442">
        <f t="array" ref="S701">INDEX(MINVALUES,$Q701,$K$1)</f>
        <v>16</v>
      </c>
      <c r="T701">
        <f t="array" ref="T701">INDEX(INCVALUES,$Q701,$K$1)</f>
        <v>0.1</v>
      </c>
      <c r="V701">
        <f t="array" ref="V701">+J701+(4*(INDEX(MatchScoreTable,$Q701,20)-1))</f>
        <v>4</v>
      </c>
      <c r="W701">
        <f t="array" ref="W701">INDEX(INC_MINVALUES,$V701,$K$1)</f>
        <v>34</v>
      </c>
      <c r="X701" s="212">
        <f t="array" ref="X701">INDEX(INC_INCVALUES,$V701,$K$1)</f>
        <v>0.3</v>
      </c>
    </row>
    <row r="702" ht="15.75" customHeight="1">
      <c r="A702" s="435"/>
      <c r="B702" s="436"/>
      <c r="C702" s="95" t="str">
        <f t="array" ref="C702">IF(I702&gt;0,INDEX(DB,I702,8),"")</f>
        <v/>
      </c>
      <c r="D702" s="437">
        <f t="shared" si="1"/>
        <v>0</v>
      </c>
      <c r="F702" s="438">
        <f t="shared" si="2"/>
        <v>0</v>
      </c>
      <c r="G702" t="str">
        <f t="shared" si="3"/>
        <v/>
      </c>
      <c r="H702" t="b">
        <f t="shared" si="4"/>
        <v>0</v>
      </c>
      <c r="I702" s="439">
        <f>IF(OR(ISBLANK(A702),ISNA(MATCH(A702&amp;"",AthleteNumbers,0))),0,MATCH(A702&amp;"",AthleteNumbers,0))</f>
        <v>0</v>
      </c>
      <c r="J702" s="209">
        <f t="array" ref="J702">IF(I702&gt;0,INDEX(DB,$I702,6),0)</f>
        <v>0</v>
      </c>
      <c r="K702" s="440">
        <f t="shared" si="5"/>
        <v>0</v>
      </c>
      <c r="L702" s="440">
        <f t="shared" si="6"/>
        <v>0</v>
      </c>
      <c r="M702" s="441">
        <f>IF(AND(L702&gt;O702,O702&gt;0),MinPoints,IF(L702&lt;N702,100,+INT((O702-$L702)/P702)+MinPoints))</f>
        <v>100</v>
      </c>
      <c r="N702" s="440">
        <f t="shared" si="7"/>
        <v>7</v>
      </c>
      <c r="O702" s="440">
        <f t="shared" si="8"/>
        <v>16</v>
      </c>
      <c r="P702" s="440">
        <f t="shared" si="9"/>
        <v>0.1</v>
      </c>
      <c r="Q702">
        <f t="array" ref="Q702">IF(I702&gt;0,INDEX(DB,I702,9),EventIndex)</f>
        <v>6</v>
      </c>
      <c r="S702" s="442">
        <f t="array" ref="S702">INDEX(MINVALUES,$Q702,$K$1)</f>
        <v>16</v>
      </c>
      <c r="T702">
        <f t="array" ref="T702">INDEX(INCVALUES,$Q702,$K$1)</f>
        <v>0.1</v>
      </c>
      <c r="V702">
        <f t="array" ref="V702">+J702+(4*(INDEX(MatchScoreTable,$Q702,20)-1))</f>
        <v>4</v>
      </c>
      <c r="W702">
        <f t="array" ref="W702">INDEX(INC_MINVALUES,$V702,$K$1)</f>
        <v>34</v>
      </c>
      <c r="X702" s="212">
        <f t="array" ref="X702">INDEX(INC_INCVALUES,$V702,$K$1)</f>
        <v>0.3</v>
      </c>
    </row>
    <row r="703" ht="15.75" customHeight="1">
      <c r="A703" s="435"/>
      <c r="B703" s="436"/>
      <c r="C703" s="95" t="str">
        <f t="array" ref="C703">IF(I703&gt;0,INDEX(DB,I703,8),"")</f>
        <v/>
      </c>
      <c r="D703" s="437">
        <f t="shared" si="1"/>
        <v>0</v>
      </c>
      <c r="F703" s="438">
        <f t="shared" si="2"/>
        <v>0</v>
      </c>
      <c r="G703" t="str">
        <f t="shared" si="3"/>
        <v/>
      </c>
      <c r="H703" t="b">
        <f t="shared" si="4"/>
        <v>0</v>
      </c>
      <c r="I703" s="439">
        <f>IF(OR(ISBLANK(A703),ISNA(MATCH(A703&amp;"",AthleteNumbers,0))),0,MATCH(A703&amp;"",AthleteNumbers,0))</f>
        <v>0</v>
      </c>
      <c r="J703" s="209">
        <f t="array" ref="J703">IF(I703&gt;0,INDEX(DB,$I703,6),0)</f>
        <v>0</v>
      </c>
      <c r="K703" s="440">
        <f t="shared" si="5"/>
        <v>0</v>
      </c>
      <c r="L703" s="440">
        <f t="shared" si="6"/>
        <v>0</v>
      </c>
      <c r="M703" s="441">
        <f>IF(AND(L703&gt;O703,O703&gt;0),MinPoints,IF(L703&lt;N703,100,+INT((O703-$L703)/P703)+MinPoints))</f>
        <v>100</v>
      </c>
      <c r="N703" s="440">
        <f t="shared" si="7"/>
        <v>7</v>
      </c>
      <c r="O703" s="440">
        <f t="shared" si="8"/>
        <v>16</v>
      </c>
      <c r="P703" s="440">
        <f t="shared" si="9"/>
        <v>0.1</v>
      </c>
      <c r="Q703">
        <f t="array" ref="Q703">IF(I703&gt;0,INDEX(DB,I703,9),EventIndex)</f>
        <v>6</v>
      </c>
      <c r="S703" s="442">
        <f t="array" ref="S703">INDEX(MINVALUES,$Q703,$K$1)</f>
        <v>16</v>
      </c>
      <c r="T703">
        <f t="array" ref="T703">INDEX(INCVALUES,$Q703,$K$1)</f>
        <v>0.1</v>
      </c>
      <c r="V703">
        <f t="array" ref="V703">+J703+(4*(INDEX(MatchScoreTable,$Q703,20)-1))</f>
        <v>4</v>
      </c>
      <c r="W703">
        <f t="array" ref="W703">INDEX(INC_MINVALUES,$V703,$K$1)</f>
        <v>34</v>
      </c>
      <c r="X703" s="212">
        <f t="array" ref="X703">INDEX(INC_INCVALUES,$V703,$K$1)</f>
        <v>0.3</v>
      </c>
    </row>
    <row r="704" ht="15.75" customHeight="1">
      <c r="A704" s="435"/>
      <c r="B704" s="436"/>
      <c r="C704" s="95" t="str">
        <f t="array" ref="C704">IF(I704&gt;0,INDEX(DB,I704,8),"")</f>
        <v/>
      </c>
      <c r="D704" s="437">
        <f t="shared" si="1"/>
        <v>0</v>
      </c>
      <c r="F704" s="438">
        <f t="shared" si="2"/>
        <v>0</v>
      </c>
      <c r="G704" t="str">
        <f t="shared" si="3"/>
        <v/>
      </c>
      <c r="H704" t="b">
        <f t="shared" si="4"/>
        <v>0</v>
      </c>
      <c r="I704" s="439">
        <f>IF(OR(ISBLANK(A704),ISNA(MATCH(A704&amp;"",AthleteNumbers,0))),0,MATCH(A704&amp;"",AthleteNumbers,0))</f>
        <v>0</v>
      </c>
      <c r="J704" s="209">
        <f t="array" ref="J704">IF(I704&gt;0,INDEX(DB,$I704,6),0)</f>
        <v>0</v>
      </c>
      <c r="K704" s="440">
        <f t="shared" si="5"/>
        <v>0</v>
      </c>
      <c r="L704" s="440">
        <f t="shared" si="6"/>
        <v>0</v>
      </c>
      <c r="M704" s="441">
        <f>IF(AND(L704&gt;O704,O704&gt;0),MinPoints,IF(L704&lt;N704,100,+INT((O704-$L704)/P704)+MinPoints))</f>
        <v>100</v>
      </c>
      <c r="N704" s="440">
        <f t="shared" si="7"/>
        <v>7</v>
      </c>
      <c r="O704" s="440">
        <f t="shared" si="8"/>
        <v>16</v>
      </c>
      <c r="P704" s="440">
        <f t="shared" si="9"/>
        <v>0.1</v>
      </c>
      <c r="Q704">
        <f t="array" ref="Q704">IF(I704&gt;0,INDEX(DB,I704,9),EventIndex)</f>
        <v>6</v>
      </c>
      <c r="S704" s="442">
        <f t="array" ref="S704">INDEX(MINVALUES,$Q704,$K$1)</f>
        <v>16</v>
      </c>
      <c r="T704">
        <f t="array" ref="T704">INDEX(INCVALUES,$Q704,$K$1)</f>
        <v>0.1</v>
      </c>
      <c r="V704">
        <f t="array" ref="V704">+J704+(4*(INDEX(MatchScoreTable,$Q704,20)-1))</f>
        <v>4</v>
      </c>
      <c r="W704">
        <f t="array" ref="W704">INDEX(INC_MINVALUES,$V704,$K$1)</f>
        <v>34</v>
      </c>
      <c r="X704" s="212">
        <f t="array" ref="X704">INDEX(INC_INCVALUES,$V704,$K$1)</f>
        <v>0.3</v>
      </c>
    </row>
    <row r="705" ht="15.75" customHeight="1">
      <c r="A705" s="435"/>
      <c r="B705" s="436"/>
      <c r="C705" s="95" t="str">
        <f t="array" ref="C705">IF(I705&gt;0,INDEX(DB,I705,8),"")</f>
        <v/>
      </c>
      <c r="D705" s="437">
        <f t="shared" si="1"/>
        <v>0</v>
      </c>
      <c r="F705" s="438">
        <f t="shared" si="2"/>
        <v>0</v>
      </c>
      <c r="G705" t="str">
        <f t="shared" si="3"/>
        <v/>
      </c>
      <c r="H705" t="b">
        <f t="shared" si="4"/>
        <v>0</v>
      </c>
      <c r="I705" s="439">
        <f>IF(OR(ISBLANK(A705),ISNA(MATCH(A705&amp;"",AthleteNumbers,0))),0,MATCH(A705&amp;"",AthleteNumbers,0))</f>
        <v>0</v>
      </c>
      <c r="J705" s="209">
        <f t="array" ref="J705">IF(I705&gt;0,INDEX(DB,$I705,6),0)</f>
        <v>0</v>
      </c>
      <c r="K705" s="440">
        <f t="shared" si="5"/>
        <v>0</v>
      </c>
      <c r="L705" s="440">
        <f t="shared" si="6"/>
        <v>0</v>
      </c>
      <c r="M705" s="441">
        <f>IF(AND(L705&gt;O705,O705&gt;0),MinPoints,IF(L705&lt;N705,100,+INT((O705-$L705)/P705)+MinPoints))</f>
        <v>100</v>
      </c>
      <c r="N705" s="440">
        <f t="shared" si="7"/>
        <v>7</v>
      </c>
      <c r="O705" s="440">
        <f t="shared" si="8"/>
        <v>16</v>
      </c>
      <c r="P705" s="440">
        <f t="shared" si="9"/>
        <v>0.1</v>
      </c>
      <c r="Q705">
        <f t="array" ref="Q705">IF(I705&gt;0,INDEX(DB,I705,9),EventIndex)</f>
        <v>6</v>
      </c>
      <c r="S705" s="442">
        <f t="array" ref="S705">INDEX(MINVALUES,$Q705,$K$1)</f>
        <v>16</v>
      </c>
      <c r="T705">
        <f t="array" ref="T705">INDEX(INCVALUES,$Q705,$K$1)</f>
        <v>0.1</v>
      </c>
      <c r="V705">
        <f t="array" ref="V705">+J705+(4*(INDEX(MatchScoreTable,$Q705,20)-1))</f>
        <v>4</v>
      </c>
      <c r="W705">
        <f t="array" ref="W705">INDEX(INC_MINVALUES,$V705,$K$1)</f>
        <v>34</v>
      </c>
      <c r="X705" s="212">
        <f t="array" ref="X705">INDEX(INC_INCVALUES,$V705,$K$1)</f>
        <v>0.3</v>
      </c>
    </row>
    <row r="706" ht="15.75" customHeight="1">
      <c r="A706" s="435"/>
      <c r="B706" s="436"/>
      <c r="C706" s="95" t="str">
        <f t="array" ref="C706">IF(I706&gt;0,INDEX(DB,I706,8),"")</f>
        <v/>
      </c>
      <c r="D706" s="437">
        <f t="shared" si="1"/>
        <v>0</v>
      </c>
      <c r="F706" s="438">
        <f t="shared" si="2"/>
        <v>0</v>
      </c>
      <c r="G706" t="str">
        <f t="shared" si="3"/>
        <v/>
      </c>
      <c r="H706" t="b">
        <f t="shared" si="4"/>
        <v>0</v>
      </c>
      <c r="I706" s="439">
        <f>IF(OR(ISBLANK(A706),ISNA(MATCH(A706&amp;"",AthleteNumbers,0))),0,MATCH(A706&amp;"",AthleteNumbers,0))</f>
        <v>0</v>
      </c>
      <c r="J706" s="209">
        <f t="array" ref="J706">IF(I706&gt;0,INDEX(DB,$I706,6),0)</f>
        <v>0</v>
      </c>
      <c r="K706" s="440">
        <f t="shared" si="5"/>
        <v>0</v>
      </c>
      <c r="L706" s="440">
        <f t="shared" si="6"/>
        <v>0</v>
      </c>
      <c r="M706" s="441">
        <f>IF(AND(L706&gt;O706,O706&gt;0),MinPoints,IF(L706&lt;N706,100,+INT((O706-$L706)/P706)+MinPoints))</f>
        <v>100</v>
      </c>
      <c r="N706" s="440">
        <f t="shared" si="7"/>
        <v>7</v>
      </c>
      <c r="O706" s="440">
        <f t="shared" si="8"/>
        <v>16</v>
      </c>
      <c r="P706" s="440">
        <f t="shared" si="9"/>
        <v>0.1</v>
      </c>
      <c r="Q706">
        <f t="array" ref="Q706">IF(I706&gt;0,INDEX(DB,I706,9),EventIndex)</f>
        <v>6</v>
      </c>
      <c r="S706" s="442">
        <f t="array" ref="S706">INDEX(MINVALUES,$Q706,$K$1)</f>
        <v>16</v>
      </c>
      <c r="T706">
        <f t="array" ref="T706">INDEX(INCVALUES,$Q706,$K$1)</f>
        <v>0.1</v>
      </c>
      <c r="V706">
        <f t="array" ref="V706">+J706+(4*(INDEX(MatchScoreTable,$Q706,20)-1))</f>
        <v>4</v>
      </c>
      <c r="W706">
        <f t="array" ref="W706">INDEX(INC_MINVALUES,$V706,$K$1)</f>
        <v>34</v>
      </c>
      <c r="X706" s="212">
        <f t="array" ref="X706">INDEX(INC_INCVALUES,$V706,$K$1)</f>
        <v>0.3</v>
      </c>
    </row>
    <row r="707" ht="15.75" customHeight="1">
      <c r="A707" s="435"/>
      <c r="B707" s="436"/>
      <c r="C707" s="95" t="str">
        <f t="array" ref="C707">IF(I707&gt;0,INDEX(DB,I707,8),"")</f>
        <v/>
      </c>
      <c r="D707" s="437">
        <f t="shared" si="1"/>
        <v>0</v>
      </c>
      <c r="F707" s="438">
        <f t="shared" si="2"/>
        <v>0</v>
      </c>
      <c r="G707" t="str">
        <f t="shared" si="3"/>
        <v/>
      </c>
      <c r="H707" t="b">
        <f t="shared" si="4"/>
        <v>0</v>
      </c>
      <c r="I707" s="439">
        <f>IF(OR(ISBLANK(A707),ISNA(MATCH(A707&amp;"",AthleteNumbers,0))),0,MATCH(A707&amp;"",AthleteNumbers,0))</f>
        <v>0</v>
      </c>
      <c r="J707" s="209">
        <f t="array" ref="J707">IF(I707&gt;0,INDEX(DB,$I707,6),0)</f>
        <v>0</v>
      </c>
      <c r="K707" s="440">
        <f t="shared" si="5"/>
        <v>0</v>
      </c>
      <c r="L707" s="440">
        <f t="shared" si="6"/>
        <v>0</v>
      </c>
      <c r="M707" s="441">
        <f>IF(AND(L707&gt;O707,O707&gt;0),MinPoints,IF(L707&lt;N707,100,+INT((O707-$L707)/P707)+MinPoints))</f>
        <v>100</v>
      </c>
      <c r="N707" s="440">
        <f t="shared" si="7"/>
        <v>7</v>
      </c>
      <c r="O707" s="440">
        <f t="shared" si="8"/>
        <v>16</v>
      </c>
      <c r="P707" s="440">
        <f t="shared" si="9"/>
        <v>0.1</v>
      </c>
      <c r="Q707">
        <f t="array" ref="Q707">IF(I707&gt;0,INDEX(DB,I707,9),EventIndex)</f>
        <v>6</v>
      </c>
      <c r="S707" s="442">
        <f t="array" ref="S707">INDEX(MINVALUES,$Q707,$K$1)</f>
        <v>16</v>
      </c>
      <c r="T707">
        <f t="array" ref="T707">INDEX(INCVALUES,$Q707,$K$1)</f>
        <v>0.1</v>
      </c>
      <c r="V707">
        <f t="array" ref="V707">+J707+(4*(INDEX(MatchScoreTable,$Q707,20)-1))</f>
        <v>4</v>
      </c>
      <c r="W707">
        <f t="array" ref="W707">INDEX(INC_MINVALUES,$V707,$K$1)</f>
        <v>34</v>
      </c>
      <c r="X707" s="212">
        <f t="array" ref="X707">INDEX(INC_INCVALUES,$V707,$K$1)</f>
        <v>0.3</v>
      </c>
    </row>
    <row r="708" ht="15.75" customHeight="1">
      <c r="A708" s="435"/>
      <c r="B708" s="436"/>
      <c r="C708" s="95" t="str">
        <f t="array" ref="C708">IF(I708&gt;0,INDEX(DB,I708,8),"")</f>
        <v/>
      </c>
      <c r="D708" s="437">
        <f t="shared" si="1"/>
        <v>0</v>
      </c>
      <c r="F708" s="438">
        <f t="shared" si="2"/>
        <v>0</v>
      </c>
      <c r="G708" t="str">
        <f t="shared" si="3"/>
        <v/>
      </c>
      <c r="H708" t="b">
        <f t="shared" si="4"/>
        <v>0</v>
      </c>
      <c r="I708" s="439">
        <f>IF(OR(ISBLANK(A708),ISNA(MATCH(A708&amp;"",AthleteNumbers,0))),0,MATCH(A708&amp;"",AthleteNumbers,0))</f>
        <v>0</v>
      </c>
      <c r="J708" s="209">
        <f t="array" ref="J708">IF(I708&gt;0,INDEX(DB,$I708,6),0)</f>
        <v>0</v>
      </c>
      <c r="K708" s="440">
        <f t="shared" si="5"/>
        <v>0</v>
      </c>
      <c r="L708" s="440">
        <f t="shared" si="6"/>
        <v>0</v>
      </c>
      <c r="M708" s="441">
        <f>IF(AND(L708&gt;O708,O708&gt;0),MinPoints,IF(L708&lt;N708,100,+INT((O708-$L708)/P708)+MinPoints))</f>
        <v>100</v>
      </c>
      <c r="N708" s="440">
        <f t="shared" si="7"/>
        <v>7</v>
      </c>
      <c r="O708" s="440">
        <f t="shared" si="8"/>
        <v>16</v>
      </c>
      <c r="P708" s="440">
        <f t="shared" si="9"/>
        <v>0.1</v>
      </c>
      <c r="Q708">
        <f t="array" ref="Q708">IF(I708&gt;0,INDEX(DB,I708,9),EventIndex)</f>
        <v>6</v>
      </c>
      <c r="S708" s="442">
        <f t="array" ref="S708">INDEX(MINVALUES,$Q708,$K$1)</f>
        <v>16</v>
      </c>
      <c r="T708">
        <f t="array" ref="T708">INDEX(INCVALUES,$Q708,$K$1)</f>
        <v>0.1</v>
      </c>
      <c r="V708">
        <f t="array" ref="V708">+J708+(4*(INDEX(MatchScoreTable,$Q708,20)-1))</f>
        <v>4</v>
      </c>
      <c r="W708">
        <f t="array" ref="W708">INDEX(INC_MINVALUES,$V708,$K$1)</f>
        <v>34</v>
      </c>
      <c r="X708" s="212">
        <f t="array" ref="X708">INDEX(INC_INCVALUES,$V708,$K$1)</f>
        <v>0.3</v>
      </c>
    </row>
    <row r="709" ht="15.75" customHeight="1">
      <c r="A709" s="435"/>
      <c r="B709" s="436"/>
      <c r="C709" s="95" t="str">
        <f t="array" ref="C709">IF(I709&gt;0,INDEX(DB,I709,8),"")</f>
        <v/>
      </c>
      <c r="D709" s="437">
        <f t="shared" si="1"/>
        <v>0</v>
      </c>
      <c r="F709" s="438">
        <f t="shared" si="2"/>
        <v>0</v>
      </c>
      <c r="G709" t="str">
        <f t="shared" si="3"/>
        <v/>
      </c>
      <c r="H709" t="b">
        <f t="shared" si="4"/>
        <v>0</v>
      </c>
      <c r="I709" s="439">
        <f>IF(OR(ISBLANK(A709),ISNA(MATCH(A709&amp;"",AthleteNumbers,0))),0,MATCH(A709&amp;"",AthleteNumbers,0))</f>
        <v>0</v>
      </c>
      <c r="J709" s="209">
        <f t="array" ref="J709">IF(I709&gt;0,INDEX(DB,$I709,6),0)</f>
        <v>0</v>
      </c>
      <c r="K709" s="440">
        <f t="shared" si="5"/>
        <v>0</v>
      </c>
      <c r="L709" s="440">
        <f t="shared" si="6"/>
        <v>0</v>
      </c>
      <c r="M709" s="441">
        <f>IF(AND(L709&gt;O709,O709&gt;0),MinPoints,IF(L709&lt;N709,100,+INT((O709-$L709)/P709)+MinPoints))</f>
        <v>100</v>
      </c>
      <c r="N709" s="440">
        <f t="shared" si="7"/>
        <v>7</v>
      </c>
      <c r="O709" s="440">
        <f t="shared" si="8"/>
        <v>16</v>
      </c>
      <c r="P709" s="440">
        <f t="shared" si="9"/>
        <v>0.1</v>
      </c>
      <c r="Q709">
        <f t="array" ref="Q709">IF(I709&gt;0,INDEX(DB,I709,9),EventIndex)</f>
        <v>6</v>
      </c>
      <c r="S709" s="442">
        <f t="array" ref="S709">INDEX(MINVALUES,$Q709,$K$1)</f>
        <v>16</v>
      </c>
      <c r="T709">
        <f t="array" ref="T709">INDEX(INCVALUES,$Q709,$K$1)</f>
        <v>0.1</v>
      </c>
      <c r="V709">
        <f t="array" ref="V709">+J709+(4*(INDEX(MatchScoreTable,$Q709,20)-1))</f>
        <v>4</v>
      </c>
      <c r="W709">
        <f t="array" ref="W709">INDEX(INC_MINVALUES,$V709,$K$1)</f>
        <v>34</v>
      </c>
      <c r="X709" s="212">
        <f t="array" ref="X709">INDEX(INC_INCVALUES,$V709,$K$1)</f>
        <v>0.3</v>
      </c>
    </row>
    <row r="710" ht="15.75" customHeight="1">
      <c r="A710" s="435"/>
      <c r="B710" s="436"/>
      <c r="C710" s="95" t="str">
        <f t="array" ref="C710">IF(I710&gt;0,INDEX(DB,I710,8),"")</f>
        <v/>
      </c>
      <c r="D710" s="437">
        <f t="shared" si="1"/>
        <v>0</v>
      </c>
      <c r="F710" s="438">
        <f t="shared" si="2"/>
        <v>0</v>
      </c>
      <c r="G710" t="str">
        <f t="shared" si="3"/>
        <v/>
      </c>
      <c r="H710" t="b">
        <f t="shared" si="4"/>
        <v>0</v>
      </c>
      <c r="I710" s="439">
        <f>IF(OR(ISBLANK(A710),ISNA(MATCH(A710&amp;"",AthleteNumbers,0))),0,MATCH(A710&amp;"",AthleteNumbers,0))</f>
        <v>0</v>
      </c>
      <c r="J710" s="209">
        <f t="array" ref="J710">IF(I710&gt;0,INDEX(DB,$I710,6),0)</f>
        <v>0</v>
      </c>
      <c r="K710" s="440">
        <f t="shared" si="5"/>
        <v>0</v>
      </c>
      <c r="L710" s="440">
        <f t="shared" si="6"/>
        <v>0</v>
      </c>
      <c r="M710" s="441">
        <f>IF(AND(L710&gt;O710,O710&gt;0),MinPoints,IF(L710&lt;N710,100,+INT((O710-$L710)/P710)+MinPoints))</f>
        <v>100</v>
      </c>
      <c r="N710" s="440">
        <f t="shared" si="7"/>
        <v>7</v>
      </c>
      <c r="O710" s="440">
        <f t="shared" si="8"/>
        <v>16</v>
      </c>
      <c r="P710" s="440">
        <f t="shared" si="9"/>
        <v>0.1</v>
      </c>
      <c r="Q710">
        <f t="array" ref="Q710">IF(I710&gt;0,INDEX(DB,I710,9),EventIndex)</f>
        <v>6</v>
      </c>
      <c r="S710" s="442">
        <f t="array" ref="S710">INDEX(MINVALUES,$Q710,$K$1)</f>
        <v>16</v>
      </c>
      <c r="T710">
        <f t="array" ref="T710">INDEX(INCVALUES,$Q710,$K$1)</f>
        <v>0.1</v>
      </c>
      <c r="V710">
        <f t="array" ref="V710">+J710+(4*(INDEX(MatchScoreTable,$Q710,20)-1))</f>
        <v>4</v>
      </c>
      <c r="W710">
        <f t="array" ref="W710">INDEX(INC_MINVALUES,$V710,$K$1)</f>
        <v>34</v>
      </c>
      <c r="X710" s="212">
        <f t="array" ref="X710">INDEX(INC_INCVALUES,$V710,$K$1)</f>
        <v>0.3</v>
      </c>
    </row>
    <row r="711" ht="15.75" customHeight="1">
      <c r="A711" s="435"/>
      <c r="B711" s="436"/>
      <c r="C711" s="95" t="str">
        <f t="array" ref="C711">IF(I711&gt;0,INDEX(DB,I711,8),"")</f>
        <v/>
      </c>
      <c r="D711" s="437">
        <f t="shared" si="1"/>
        <v>0</v>
      </c>
      <c r="F711" s="438">
        <f t="shared" si="2"/>
        <v>0</v>
      </c>
      <c r="G711" t="str">
        <f t="shared" si="3"/>
        <v/>
      </c>
      <c r="H711" t="b">
        <f t="shared" si="4"/>
        <v>0</v>
      </c>
      <c r="I711" s="439">
        <f>IF(OR(ISBLANK(A711),ISNA(MATCH(A711&amp;"",AthleteNumbers,0))),0,MATCH(A711&amp;"",AthleteNumbers,0))</f>
        <v>0</v>
      </c>
      <c r="J711" s="209">
        <f t="array" ref="J711">IF(I711&gt;0,INDEX(DB,$I711,6),0)</f>
        <v>0</v>
      </c>
      <c r="K711" s="440">
        <f t="shared" si="5"/>
        <v>0</v>
      </c>
      <c r="L711" s="440">
        <f t="shared" si="6"/>
        <v>0</v>
      </c>
      <c r="M711" s="441">
        <f>IF(AND(L711&gt;O711,O711&gt;0),MinPoints,IF(L711&lt;N711,100,+INT((O711-$L711)/P711)+MinPoints))</f>
        <v>100</v>
      </c>
      <c r="N711" s="440">
        <f t="shared" si="7"/>
        <v>7</v>
      </c>
      <c r="O711" s="440">
        <f t="shared" si="8"/>
        <v>16</v>
      </c>
      <c r="P711" s="440">
        <f t="shared" si="9"/>
        <v>0.1</v>
      </c>
      <c r="Q711">
        <f t="array" ref="Q711">IF(I711&gt;0,INDEX(DB,I711,9),EventIndex)</f>
        <v>6</v>
      </c>
      <c r="S711" s="442">
        <f t="array" ref="S711">INDEX(MINVALUES,$Q711,$K$1)</f>
        <v>16</v>
      </c>
      <c r="T711">
        <f t="array" ref="T711">INDEX(INCVALUES,$Q711,$K$1)</f>
        <v>0.1</v>
      </c>
      <c r="V711">
        <f t="array" ref="V711">+J711+(4*(INDEX(MatchScoreTable,$Q711,20)-1))</f>
        <v>4</v>
      </c>
      <c r="W711">
        <f t="array" ref="W711">INDEX(INC_MINVALUES,$V711,$K$1)</f>
        <v>34</v>
      </c>
      <c r="X711" s="212">
        <f t="array" ref="X711">INDEX(INC_INCVALUES,$V711,$K$1)</f>
        <v>0.3</v>
      </c>
    </row>
    <row r="712" ht="15.75" customHeight="1">
      <c r="A712" s="435"/>
      <c r="B712" s="436"/>
      <c r="C712" s="95" t="str">
        <f t="array" ref="C712">IF(I712&gt;0,INDEX(DB,I712,8),"")</f>
        <v/>
      </c>
      <c r="D712" s="437">
        <f t="shared" si="1"/>
        <v>0</v>
      </c>
      <c r="F712" s="438">
        <f t="shared" si="2"/>
        <v>0</v>
      </c>
      <c r="G712" t="str">
        <f t="shared" si="3"/>
        <v/>
      </c>
      <c r="H712" t="b">
        <f t="shared" si="4"/>
        <v>0</v>
      </c>
      <c r="I712" s="439">
        <f>IF(OR(ISBLANK(A712),ISNA(MATCH(A712&amp;"",AthleteNumbers,0))),0,MATCH(A712&amp;"",AthleteNumbers,0))</f>
        <v>0</v>
      </c>
      <c r="J712" s="209">
        <f t="array" ref="J712">IF(I712&gt;0,INDEX(DB,$I712,6),0)</f>
        <v>0</v>
      </c>
      <c r="K712" s="440">
        <f t="shared" si="5"/>
        <v>0</v>
      </c>
      <c r="L712" s="440">
        <f t="shared" si="6"/>
        <v>0</v>
      </c>
      <c r="M712" s="441">
        <f>IF(AND(L712&gt;O712,O712&gt;0),MinPoints,IF(L712&lt;N712,100,+INT((O712-$L712)/P712)+MinPoints))</f>
        <v>100</v>
      </c>
      <c r="N712" s="440">
        <f t="shared" si="7"/>
        <v>7</v>
      </c>
      <c r="O712" s="440">
        <f t="shared" si="8"/>
        <v>16</v>
      </c>
      <c r="P712" s="440">
        <f t="shared" si="9"/>
        <v>0.1</v>
      </c>
      <c r="Q712">
        <f t="array" ref="Q712">IF(I712&gt;0,INDEX(DB,I712,9),EventIndex)</f>
        <v>6</v>
      </c>
      <c r="S712" s="442">
        <f t="array" ref="S712">INDEX(MINVALUES,$Q712,$K$1)</f>
        <v>16</v>
      </c>
      <c r="T712">
        <f t="array" ref="T712">INDEX(INCVALUES,$Q712,$K$1)</f>
        <v>0.1</v>
      </c>
      <c r="V712">
        <f t="array" ref="V712">+J712+(4*(INDEX(MatchScoreTable,$Q712,20)-1))</f>
        <v>4</v>
      </c>
      <c r="W712">
        <f t="array" ref="W712">INDEX(INC_MINVALUES,$V712,$K$1)</f>
        <v>34</v>
      </c>
      <c r="X712" s="212">
        <f t="array" ref="X712">INDEX(INC_INCVALUES,$V712,$K$1)</f>
        <v>0.3</v>
      </c>
    </row>
    <row r="713" ht="15.75" customHeight="1">
      <c r="A713" s="435"/>
      <c r="B713" s="436"/>
      <c r="C713" s="95" t="str">
        <f t="array" ref="C713">IF(I713&gt;0,INDEX(DB,I713,8),"")</f>
        <v/>
      </c>
      <c r="D713" s="437">
        <f t="shared" si="1"/>
        <v>0</v>
      </c>
      <c r="F713" s="438">
        <f t="shared" si="2"/>
        <v>0</v>
      </c>
      <c r="G713" t="str">
        <f t="shared" si="3"/>
        <v/>
      </c>
      <c r="H713" t="b">
        <f t="shared" si="4"/>
        <v>0</v>
      </c>
      <c r="I713" s="439">
        <f>IF(OR(ISBLANK(A713),ISNA(MATCH(A713&amp;"",AthleteNumbers,0))),0,MATCH(A713&amp;"",AthleteNumbers,0))</f>
        <v>0</v>
      </c>
      <c r="J713" s="209">
        <f t="array" ref="J713">IF(I713&gt;0,INDEX(DB,$I713,6),0)</f>
        <v>0</v>
      </c>
      <c r="K713" s="440">
        <f t="shared" si="5"/>
        <v>0</v>
      </c>
      <c r="L713" s="440">
        <f t="shared" si="6"/>
        <v>0</v>
      </c>
      <c r="M713" s="441">
        <f>IF(AND(L713&gt;O713,O713&gt;0),MinPoints,IF(L713&lt;N713,100,+INT((O713-$L713)/P713)+MinPoints))</f>
        <v>100</v>
      </c>
      <c r="N713" s="440">
        <f t="shared" si="7"/>
        <v>7</v>
      </c>
      <c r="O713" s="440">
        <f t="shared" si="8"/>
        <v>16</v>
      </c>
      <c r="P713" s="440">
        <f t="shared" si="9"/>
        <v>0.1</v>
      </c>
      <c r="Q713">
        <f t="array" ref="Q713">IF(I713&gt;0,INDEX(DB,I713,9),EventIndex)</f>
        <v>6</v>
      </c>
      <c r="S713" s="442">
        <f t="array" ref="S713">INDEX(MINVALUES,$Q713,$K$1)</f>
        <v>16</v>
      </c>
      <c r="T713">
        <f t="array" ref="T713">INDEX(INCVALUES,$Q713,$K$1)</f>
        <v>0.1</v>
      </c>
      <c r="V713">
        <f t="array" ref="V713">+J713+(4*(INDEX(MatchScoreTable,$Q713,20)-1))</f>
        <v>4</v>
      </c>
      <c r="W713">
        <f t="array" ref="W713">INDEX(INC_MINVALUES,$V713,$K$1)</f>
        <v>34</v>
      </c>
      <c r="X713" s="212">
        <f t="array" ref="X713">INDEX(INC_INCVALUES,$V713,$K$1)</f>
        <v>0.3</v>
      </c>
    </row>
    <row r="714" ht="15.75" customHeight="1">
      <c r="A714" s="435"/>
      <c r="B714" s="436"/>
      <c r="C714" s="95" t="str">
        <f t="array" ref="C714">IF(I714&gt;0,INDEX(DB,I714,8),"")</f>
        <v/>
      </c>
      <c r="D714" s="437">
        <f t="shared" si="1"/>
        <v>0</v>
      </c>
      <c r="F714" s="438">
        <f t="shared" si="2"/>
        <v>0</v>
      </c>
      <c r="G714" t="str">
        <f t="shared" si="3"/>
        <v/>
      </c>
      <c r="H714" t="b">
        <f t="shared" si="4"/>
        <v>0</v>
      </c>
      <c r="I714" s="439">
        <f>IF(OR(ISBLANK(A714),ISNA(MATCH(A714&amp;"",AthleteNumbers,0))),0,MATCH(A714&amp;"",AthleteNumbers,0))</f>
        <v>0</v>
      </c>
      <c r="J714" s="209">
        <f t="array" ref="J714">IF(I714&gt;0,INDEX(DB,$I714,6),0)</f>
        <v>0</v>
      </c>
      <c r="K714" s="440">
        <f t="shared" si="5"/>
        <v>0</v>
      </c>
      <c r="L714" s="440">
        <f t="shared" si="6"/>
        <v>0</v>
      </c>
      <c r="M714" s="441">
        <f>IF(AND(L714&gt;O714,O714&gt;0),MinPoints,IF(L714&lt;N714,100,+INT((O714-$L714)/P714)+MinPoints))</f>
        <v>100</v>
      </c>
      <c r="N714" s="440">
        <f t="shared" si="7"/>
        <v>7</v>
      </c>
      <c r="O714" s="440">
        <f t="shared" si="8"/>
        <v>16</v>
      </c>
      <c r="P714" s="440">
        <f t="shared" si="9"/>
        <v>0.1</v>
      </c>
      <c r="Q714">
        <f t="array" ref="Q714">IF(I714&gt;0,INDEX(DB,I714,9),EventIndex)</f>
        <v>6</v>
      </c>
      <c r="S714" s="442">
        <f t="array" ref="S714">INDEX(MINVALUES,$Q714,$K$1)</f>
        <v>16</v>
      </c>
      <c r="T714">
        <f t="array" ref="T714">INDEX(INCVALUES,$Q714,$K$1)</f>
        <v>0.1</v>
      </c>
      <c r="V714">
        <f t="array" ref="V714">+J714+(4*(INDEX(MatchScoreTable,$Q714,20)-1))</f>
        <v>4</v>
      </c>
      <c r="W714">
        <f t="array" ref="W714">INDEX(INC_MINVALUES,$V714,$K$1)</f>
        <v>34</v>
      </c>
      <c r="X714" s="212">
        <f t="array" ref="X714">INDEX(INC_INCVALUES,$V714,$K$1)</f>
        <v>0.3</v>
      </c>
    </row>
    <row r="715" ht="15.75" customHeight="1">
      <c r="A715" s="435"/>
      <c r="B715" s="436"/>
      <c r="C715" s="95" t="str">
        <f t="array" ref="C715">IF(I715&gt;0,INDEX(DB,I715,8),"")</f>
        <v/>
      </c>
      <c r="D715" s="437">
        <f t="shared" si="1"/>
        <v>0</v>
      </c>
      <c r="F715" s="438">
        <f t="shared" si="2"/>
        <v>0</v>
      </c>
      <c r="G715" t="str">
        <f t="shared" si="3"/>
        <v/>
      </c>
      <c r="H715" t="b">
        <f t="shared" si="4"/>
        <v>0</v>
      </c>
      <c r="I715" s="439">
        <f>IF(OR(ISBLANK(A715),ISNA(MATCH(A715&amp;"",AthleteNumbers,0))),0,MATCH(A715&amp;"",AthleteNumbers,0))</f>
        <v>0</v>
      </c>
      <c r="J715" s="209">
        <f t="array" ref="J715">IF(I715&gt;0,INDEX(DB,$I715,6),0)</f>
        <v>0</v>
      </c>
      <c r="K715" s="440">
        <f t="shared" si="5"/>
        <v>0</v>
      </c>
      <c r="L715" s="440">
        <f t="shared" si="6"/>
        <v>0</v>
      </c>
      <c r="M715" s="441">
        <f>IF(AND(L715&gt;O715,O715&gt;0),MinPoints,IF(L715&lt;N715,100,+INT((O715-$L715)/P715)+MinPoints))</f>
        <v>100</v>
      </c>
      <c r="N715" s="440">
        <f t="shared" si="7"/>
        <v>7</v>
      </c>
      <c r="O715" s="440">
        <f t="shared" si="8"/>
        <v>16</v>
      </c>
      <c r="P715" s="440">
        <f t="shared" si="9"/>
        <v>0.1</v>
      </c>
      <c r="Q715">
        <f t="array" ref="Q715">IF(I715&gt;0,INDEX(DB,I715,9),EventIndex)</f>
        <v>6</v>
      </c>
      <c r="S715" s="442">
        <f t="array" ref="S715">INDEX(MINVALUES,$Q715,$K$1)</f>
        <v>16</v>
      </c>
      <c r="T715">
        <f t="array" ref="T715">INDEX(INCVALUES,$Q715,$K$1)</f>
        <v>0.1</v>
      </c>
      <c r="V715">
        <f t="array" ref="V715">+J715+(4*(INDEX(MatchScoreTable,$Q715,20)-1))</f>
        <v>4</v>
      </c>
      <c r="W715">
        <f t="array" ref="W715">INDEX(INC_MINVALUES,$V715,$K$1)</f>
        <v>34</v>
      </c>
      <c r="X715" s="212">
        <f t="array" ref="X715">INDEX(INC_INCVALUES,$V715,$K$1)</f>
        <v>0.3</v>
      </c>
    </row>
    <row r="716" ht="15.75" customHeight="1">
      <c r="A716" s="435"/>
      <c r="B716" s="436"/>
      <c r="C716" s="95" t="str">
        <f t="array" ref="C716">IF(I716&gt;0,INDEX(DB,I716,8),"")</f>
        <v/>
      </c>
      <c r="D716" s="437">
        <f t="shared" si="1"/>
        <v>0</v>
      </c>
      <c r="F716" s="438">
        <f t="shared" si="2"/>
        <v>0</v>
      </c>
      <c r="G716" t="str">
        <f t="shared" si="3"/>
        <v/>
      </c>
      <c r="H716" t="b">
        <f t="shared" si="4"/>
        <v>0</v>
      </c>
      <c r="I716" s="439">
        <f>IF(OR(ISBLANK(A716),ISNA(MATCH(A716&amp;"",AthleteNumbers,0))),0,MATCH(A716&amp;"",AthleteNumbers,0))</f>
        <v>0</v>
      </c>
      <c r="J716" s="209">
        <f t="array" ref="J716">IF(I716&gt;0,INDEX(DB,$I716,6),0)</f>
        <v>0</v>
      </c>
      <c r="K716" s="440">
        <f t="shared" si="5"/>
        <v>0</v>
      </c>
      <c r="L716" s="440">
        <f t="shared" si="6"/>
        <v>0</v>
      </c>
      <c r="M716" s="441">
        <f>IF(AND(L716&gt;O716,O716&gt;0),MinPoints,IF(L716&lt;N716,100,+INT((O716-$L716)/P716)+MinPoints))</f>
        <v>100</v>
      </c>
      <c r="N716" s="440">
        <f t="shared" si="7"/>
        <v>7</v>
      </c>
      <c r="O716" s="440">
        <f t="shared" si="8"/>
        <v>16</v>
      </c>
      <c r="P716" s="440">
        <f t="shared" si="9"/>
        <v>0.1</v>
      </c>
      <c r="Q716">
        <f t="array" ref="Q716">IF(I716&gt;0,INDEX(DB,I716,9),EventIndex)</f>
        <v>6</v>
      </c>
      <c r="S716" s="442">
        <f t="array" ref="S716">INDEX(MINVALUES,$Q716,$K$1)</f>
        <v>16</v>
      </c>
      <c r="T716">
        <f t="array" ref="T716">INDEX(INCVALUES,$Q716,$K$1)</f>
        <v>0.1</v>
      </c>
      <c r="V716">
        <f t="array" ref="V716">+J716+(4*(INDEX(MatchScoreTable,$Q716,20)-1))</f>
        <v>4</v>
      </c>
      <c r="W716">
        <f t="array" ref="W716">INDEX(INC_MINVALUES,$V716,$K$1)</f>
        <v>34</v>
      </c>
      <c r="X716" s="212">
        <f t="array" ref="X716">INDEX(INC_INCVALUES,$V716,$K$1)</f>
        <v>0.3</v>
      </c>
    </row>
    <row r="717" ht="15.75" customHeight="1">
      <c r="A717" s="435"/>
      <c r="B717" s="436"/>
      <c r="C717" s="95" t="str">
        <f t="array" ref="C717">IF(I717&gt;0,INDEX(DB,I717,8),"")</f>
        <v/>
      </c>
      <c r="D717" s="437">
        <f t="shared" si="1"/>
        <v>0</v>
      </c>
      <c r="F717" s="438">
        <f t="shared" si="2"/>
        <v>0</v>
      </c>
      <c r="G717" t="str">
        <f t="shared" si="3"/>
        <v/>
      </c>
      <c r="H717" t="b">
        <f t="shared" si="4"/>
        <v>0</v>
      </c>
      <c r="I717" s="439">
        <f>IF(OR(ISBLANK(A717),ISNA(MATCH(A717&amp;"",AthleteNumbers,0))),0,MATCH(A717&amp;"",AthleteNumbers,0))</f>
        <v>0</v>
      </c>
      <c r="J717" s="209">
        <f t="array" ref="J717">IF(I717&gt;0,INDEX(DB,$I717,6),0)</f>
        <v>0</v>
      </c>
      <c r="K717" s="440">
        <f t="shared" si="5"/>
        <v>0</v>
      </c>
      <c r="L717" s="440">
        <f t="shared" si="6"/>
        <v>0</v>
      </c>
      <c r="M717" s="441">
        <f>IF(AND(L717&gt;O717,O717&gt;0),MinPoints,IF(L717&lt;N717,100,+INT((O717-$L717)/P717)+MinPoints))</f>
        <v>100</v>
      </c>
      <c r="N717" s="440">
        <f t="shared" si="7"/>
        <v>7</v>
      </c>
      <c r="O717" s="440">
        <f t="shared" si="8"/>
        <v>16</v>
      </c>
      <c r="P717" s="440">
        <f t="shared" si="9"/>
        <v>0.1</v>
      </c>
      <c r="Q717">
        <f t="array" ref="Q717">IF(I717&gt;0,INDEX(DB,I717,9),EventIndex)</f>
        <v>6</v>
      </c>
      <c r="S717" s="442">
        <f t="array" ref="S717">INDEX(MINVALUES,$Q717,$K$1)</f>
        <v>16</v>
      </c>
      <c r="T717">
        <f t="array" ref="T717">INDEX(INCVALUES,$Q717,$K$1)</f>
        <v>0.1</v>
      </c>
      <c r="V717">
        <f t="array" ref="V717">+J717+(4*(INDEX(MatchScoreTable,$Q717,20)-1))</f>
        <v>4</v>
      </c>
      <c r="W717">
        <f t="array" ref="W717">INDEX(INC_MINVALUES,$V717,$K$1)</f>
        <v>34</v>
      </c>
      <c r="X717" s="212">
        <f t="array" ref="X717">INDEX(INC_INCVALUES,$V717,$K$1)</f>
        <v>0.3</v>
      </c>
    </row>
    <row r="718" ht="15.75" customHeight="1">
      <c r="A718" s="435"/>
      <c r="B718" s="436"/>
      <c r="C718" s="95" t="str">
        <f t="array" ref="C718">IF(I718&gt;0,INDEX(DB,I718,8),"")</f>
        <v/>
      </c>
      <c r="D718" s="437">
        <f t="shared" si="1"/>
        <v>0</v>
      </c>
      <c r="F718" s="438">
        <f t="shared" si="2"/>
        <v>0</v>
      </c>
      <c r="G718" t="str">
        <f t="shared" si="3"/>
        <v/>
      </c>
      <c r="H718" t="b">
        <f t="shared" si="4"/>
        <v>0</v>
      </c>
      <c r="I718" s="439">
        <f>IF(OR(ISBLANK(A718),ISNA(MATCH(A718&amp;"",AthleteNumbers,0))),0,MATCH(A718&amp;"",AthleteNumbers,0))</f>
        <v>0</v>
      </c>
      <c r="J718" s="209">
        <f t="array" ref="J718">IF(I718&gt;0,INDEX(DB,$I718,6),0)</f>
        <v>0</v>
      </c>
      <c r="K718" s="440">
        <f t="shared" si="5"/>
        <v>0</v>
      </c>
      <c r="L718" s="440">
        <f t="shared" si="6"/>
        <v>0</v>
      </c>
      <c r="M718" s="441">
        <f>IF(AND(L718&gt;O718,O718&gt;0),MinPoints,IF(L718&lt;N718,100,+INT((O718-$L718)/P718)+MinPoints))</f>
        <v>100</v>
      </c>
      <c r="N718" s="440">
        <f t="shared" si="7"/>
        <v>7</v>
      </c>
      <c r="O718" s="440">
        <f t="shared" si="8"/>
        <v>16</v>
      </c>
      <c r="P718" s="440">
        <f t="shared" si="9"/>
        <v>0.1</v>
      </c>
      <c r="Q718">
        <f t="array" ref="Q718">IF(I718&gt;0,INDEX(DB,I718,9),EventIndex)</f>
        <v>6</v>
      </c>
      <c r="S718" s="442">
        <f t="array" ref="S718">INDEX(MINVALUES,$Q718,$K$1)</f>
        <v>16</v>
      </c>
      <c r="T718">
        <f t="array" ref="T718">INDEX(INCVALUES,$Q718,$K$1)</f>
        <v>0.1</v>
      </c>
      <c r="V718">
        <f t="array" ref="V718">+J718+(4*(INDEX(MatchScoreTable,$Q718,20)-1))</f>
        <v>4</v>
      </c>
      <c r="W718">
        <f t="array" ref="W718">INDEX(INC_MINVALUES,$V718,$K$1)</f>
        <v>34</v>
      </c>
      <c r="X718" s="212">
        <f t="array" ref="X718">INDEX(INC_INCVALUES,$V718,$K$1)</f>
        <v>0.3</v>
      </c>
    </row>
    <row r="719" ht="15.75" customHeight="1">
      <c r="A719" s="435"/>
      <c r="B719" s="436"/>
      <c r="C719" s="95" t="str">
        <f t="array" ref="C719">IF(I719&gt;0,INDEX(DB,I719,8),"")</f>
        <v/>
      </c>
      <c r="D719" s="437">
        <f t="shared" si="1"/>
        <v>0</v>
      </c>
      <c r="F719" s="438">
        <f t="shared" si="2"/>
        <v>0</v>
      </c>
      <c r="G719" t="str">
        <f t="shared" si="3"/>
        <v/>
      </c>
      <c r="H719" t="b">
        <f t="shared" si="4"/>
        <v>0</v>
      </c>
      <c r="I719" s="439">
        <f>IF(OR(ISBLANK(A719),ISNA(MATCH(A719&amp;"",AthleteNumbers,0))),0,MATCH(A719&amp;"",AthleteNumbers,0))</f>
        <v>0</v>
      </c>
      <c r="J719" s="209">
        <f t="array" ref="J719">IF(I719&gt;0,INDEX(DB,$I719,6),0)</f>
        <v>0</v>
      </c>
      <c r="K719" s="440">
        <f t="shared" si="5"/>
        <v>0</v>
      </c>
      <c r="L719" s="440">
        <f t="shared" si="6"/>
        <v>0</v>
      </c>
      <c r="M719" s="441">
        <f>IF(AND(L719&gt;O719,O719&gt;0),MinPoints,IF(L719&lt;N719,100,+INT((O719-$L719)/P719)+MinPoints))</f>
        <v>100</v>
      </c>
      <c r="N719" s="440">
        <f t="shared" si="7"/>
        <v>7</v>
      </c>
      <c r="O719" s="440">
        <f t="shared" si="8"/>
        <v>16</v>
      </c>
      <c r="P719" s="440">
        <f t="shared" si="9"/>
        <v>0.1</v>
      </c>
      <c r="Q719">
        <f t="array" ref="Q719">IF(I719&gt;0,INDEX(DB,I719,9),EventIndex)</f>
        <v>6</v>
      </c>
      <c r="S719" s="442">
        <f t="array" ref="S719">INDEX(MINVALUES,$Q719,$K$1)</f>
        <v>16</v>
      </c>
      <c r="T719">
        <f t="array" ref="T719">INDEX(INCVALUES,$Q719,$K$1)</f>
        <v>0.1</v>
      </c>
      <c r="V719">
        <f t="array" ref="V719">+J719+(4*(INDEX(MatchScoreTable,$Q719,20)-1))</f>
        <v>4</v>
      </c>
      <c r="W719">
        <f t="array" ref="W719">INDEX(INC_MINVALUES,$V719,$K$1)</f>
        <v>34</v>
      </c>
      <c r="X719" s="212">
        <f t="array" ref="X719">INDEX(INC_INCVALUES,$V719,$K$1)</f>
        <v>0.3</v>
      </c>
    </row>
    <row r="720" ht="15.75" customHeight="1">
      <c r="A720" s="435"/>
      <c r="B720" s="436"/>
      <c r="C720" s="95" t="str">
        <f t="array" ref="C720">IF(I720&gt;0,INDEX(DB,I720,8),"")</f>
        <v/>
      </c>
      <c r="D720" s="437">
        <f t="shared" si="1"/>
        <v>0</v>
      </c>
      <c r="F720" s="438">
        <f t="shared" si="2"/>
        <v>0</v>
      </c>
      <c r="G720" t="str">
        <f t="shared" si="3"/>
        <v/>
      </c>
      <c r="H720" t="b">
        <f t="shared" si="4"/>
        <v>0</v>
      </c>
      <c r="I720" s="439">
        <f>IF(OR(ISBLANK(A720),ISNA(MATCH(A720&amp;"",AthleteNumbers,0))),0,MATCH(A720&amp;"",AthleteNumbers,0))</f>
        <v>0</v>
      </c>
      <c r="J720" s="209">
        <f t="array" ref="J720">IF(I720&gt;0,INDEX(DB,$I720,6),0)</f>
        <v>0</v>
      </c>
      <c r="K720" s="440">
        <f t="shared" si="5"/>
        <v>0</v>
      </c>
      <c r="L720" s="440">
        <f t="shared" si="6"/>
        <v>0</v>
      </c>
      <c r="M720" s="441">
        <f>IF(AND(L720&gt;O720,O720&gt;0),MinPoints,IF(L720&lt;N720,100,+INT((O720-$L720)/P720)+MinPoints))</f>
        <v>100</v>
      </c>
      <c r="N720" s="440">
        <f t="shared" si="7"/>
        <v>7</v>
      </c>
      <c r="O720" s="440">
        <f t="shared" si="8"/>
        <v>16</v>
      </c>
      <c r="P720" s="440">
        <f t="shared" si="9"/>
        <v>0.1</v>
      </c>
      <c r="Q720">
        <f t="array" ref="Q720">IF(I720&gt;0,INDEX(DB,I720,9),EventIndex)</f>
        <v>6</v>
      </c>
      <c r="S720" s="442">
        <f t="array" ref="S720">INDEX(MINVALUES,$Q720,$K$1)</f>
        <v>16</v>
      </c>
      <c r="T720">
        <f t="array" ref="T720">INDEX(INCVALUES,$Q720,$K$1)</f>
        <v>0.1</v>
      </c>
      <c r="V720">
        <f t="array" ref="V720">+J720+(4*(INDEX(MatchScoreTable,$Q720,20)-1))</f>
        <v>4</v>
      </c>
      <c r="W720">
        <f t="array" ref="W720">INDEX(INC_MINVALUES,$V720,$K$1)</f>
        <v>34</v>
      </c>
      <c r="X720" s="212">
        <f t="array" ref="X720">INDEX(INC_INCVALUES,$V720,$K$1)</f>
        <v>0.3</v>
      </c>
    </row>
    <row r="721" ht="15.75" customHeight="1">
      <c r="A721" s="435"/>
      <c r="B721" s="436"/>
      <c r="C721" s="95" t="str">
        <f t="array" ref="C721">IF(I721&gt;0,INDEX(DB,I721,8),"")</f>
        <v/>
      </c>
      <c r="D721" s="437">
        <f t="shared" si="1"/>
        <v>0</v>
      </c>
      <c r="F721" s="438">
        <f t="shared" si="2"/>
        <v>0</v>
      </c>
      <c r="G721" t="str">
        <f t="shared" si="3"/>
        <v/>
      </c>
      <c r="H721" t="b">
        <f t="shared" si="4"/>
        <v>0</v>
      </c>
      <c r="I721" s="439">
        <f>IF(OR(ISBLANK(A721),ISNA(MATCH(A721&amp;"",AthleteNumbers,0))),0,MATCH(A721&amp;"",AthleteNumbers,0))</f>
        <v>0</v>
      </c>
      <c r="J721" s="209">
        <f t="array" ref="J721">IF(I721&gt;0,INDEX(DB,$I721,6),0)</f>
        <v>0</v>
      </c>
      <c r="K721" s="440">
        <f t="shared" si="5"/>
        <v>0</v>
      </c>
      <c r="L721" s="440">
        <f t="shared" si="6"/>
        <v>0</v>
      </c>
      <c r="M721" s="441">
        <f>IF(AND(L721&gt;O721,O721&gt;0),MinPoints,IF(L721&lt;N721,100,+INT((O721-$L721)/P721)+MinPoints))</f>
        <v>100</v>
      </c>
      <c r="N721" s="440">
        <f t="shared" si="7"/>
        <v>7</v>
      </c>
      <c r="O721" s="440">
        <f t="shared" si="8"/>
        <v>16</v>
      </c>
      <c r="P721" s="440">
        <f t="shared" si="9"/>
        <v>0.1</v>
      </c>
      <c r="Q721">
        <f t="array" ref="Q721">IF(I721&gt;0,INDEX(DB,I721,9),EventIndex)</f>
        <v>6</v>
      </c>
      <c r="S721" s="442">
        <f t="array" ref="S721">INDEX(MINVALUES,$Q721,$K$1)</f>
        <v>16</v>
      </c>
      <c r="T721">
        <f t="array" ref="T721">INDEX(INCVALUES,$Q721,$K$1)</f>
        <v>0.1</v>
      </c>
      <c r="V721">
        <f t="array" ref="V721">+J721+(4*(INDEX(MatchScoreTable,$Q721,20)-1))</f>
        <v>4</v>
      </c>
      <c r="W721">
        <f t="array" ref="W721">INDEX(INC_MINVALUES,$V721,$K$1)</f>
        <v>34</v>
      </c>
      <c r="X721" s="212">
        <f t="array" ref="X721">INDEX(INC_INCVALUES,$V721,$K$1)</f>
        <v>0.3</v>
      </c>
    </row>
    <row r="722" ht="15.75" customHeight="1">
      <c r="A722" s="435"/>
      <c r="B722" s="436"/>
      <c r="C722" s="95" t="str">
        <f t="array" ref="C722">IF(I722&gt;0,INDEX(DB,I722,8),"")</f>
        <v/>
      </c>
      <c r="D722" s="437">
        <f t="shared" si="1"/>
        <v>0</v>
      </c>
      <c r="F722" s="438">
        <f t="shared" si="2"/>
        <v>0</v>
      </c>
      <c r="G722" t="str">
        <f t="shared" si="3"/>
        <v/>
      </c>
      <c r="H722" t="b">
        <f t="shared" si="4"/>
        <v>0</v>
      </c>
      <c r="I722" s="439">
        <f>IF(OR(ISBLANK(A722),ISNA(MATCH(A722&amp;"",AthleteNumbers,0))),0,MATCH(A722&amp;"",AthleteNumbers,0))</f>
        <v>0</v>
      </c>
      <c r="J722" s="209">
        <f t="array" ref="J722">IF(I722&gt;0,INDEX(DB,$I722,6),0)</f>
        <v>0</v>
      </c>
      <c r="K722" s="440">
        <f t="shared" si="5"/>
        <v>0</v>
      </c>
      <c r="L722" s="440">
        <f t="shared" si="6"/>
        <v>0</v>
      </c>
      <c r="M722" s="441">
        <f>IF(AND(L722&gt;O722,O722&gt;0),MinPoints,IF(L722&lt;N722,100,+INT((O722-$L722)/P722)+MinPoints))</f>
        <v>100</v>
      </c>
      <c r="N722" s="440">
        <f t="shared" si="7"/>
        <v>7</v>
      </c>
      <c r="O722" s="440">
        <f t="shared" si="8"/>
        <v>16</v>
      </c>
      <c r="P722" s="440">
        <f t="shared" si="9"/>
        <v>0.1</v>
      </c>
      <c r="Q722">
        <f t="array" ref="Q722">IF(I722&gt;0,INDEX(DB,I722,9),EventIndex)</f>
        <v>6</v>
      </c>
      <c r="S722" s="442">
        <f t="array" ref="S722">INDEX(MINVALUES,$Q722,$K$1)</f>
        <v>16</v>
      </c>
      <c r="T722">
        <f t="array" ref="T722">INDEX(INCVALUES,$Q722,$K$1)</f>
        <v>0.1</v>
      </c>
      <c r="V722">
        <f t="array" ref="V722">+J722+(4*(INDEX(MatchScoreTable,$Q722,20)-1))</f>
        <v>4</v>
      </c>
      <c r="W722">
        <f t="array" ref="W722">INDEX(INC_MINVALUES,$V722,$K$1)</f>
        <v>34</v>
      </c>
      <c r="X722" s="212">
        <f t="array" ref="X722">INDEX(INC_INCVALUES,$V722,$K$1)</f>
        <v>0.3</v>
      </c>
    </row>
    <row r="723" ht="15.75" customHeight="1">
      <c r="A723" s="435"/>
      <c r="B723" s="436"/>
      <c r="C723" s="95" t="str">
        <f t="array" ref="C723">IF(I723&gt;0,INDEX(DB,I723,8),"")</f>
        <v/>
      </c>
      <c r="D723" s="437">
        <f t="shared" si="1"/>
        <v>0</v>
      </c>
      <c r="F723" s="438">
        <f t="shared" si="2"/>
        <v>0</v>
      </c>
      <c r="G723" t="str">
        <f t="shared" si="3"/>
        <v/>
      </c>
      <c r="H723" t="b">
        <f t="shared" si="4"/>
        <v>0</v>
      </c>
      <c r="I723" s="439">
        <f>IF(OR(ISBLANK(A723),ISNA(MATCH(A723&amp;"",AthleteNumbers,0))),0,MATCH(A723&amp;"",AthleteNumbers,0))</f>
        <v>0</v>
      </c>
      <c r="J723" s="209">
        <f t="array" ref="J723">IF(I723&gt;0,INDEX(DB,$I723,6),0)</f>
        <v>0</v>
      </c>
      <c r="K723" s="440">
        <f t="shared" si="5"/>
        <v>0</v>
      </c>
      <c r="L723" s="440">
        <f t="shared" si="6"/>
        <v>0</v>
      </c>
      <c r="M723" s="441">
        <f>IF(AND(L723&gt;O723,O723&gt;0),MinPoints,IF(L723&lt;N723,100,+INT((O723-$L723)/P723)+MinPoints))</f>
        <v>100</v>
      </c>
      <c r="N723" s="440">
        <f t="shared" si="7"/>
        <v>7</v>
      </c>
      <c r="O723" s="440">
        <f t="shared" si="8"/>
        <v>16</v>
      </c>
      <c r="P723" s="440">
        <f t="shared" si="9"/>
        <v>0.1</v>
      </c>
      <c r="Q723">
        <f t="array" ref="Q723">IF(I723&gt;0,INDEX(DB,I723,9),EventIndex)</f>
        <v>6</v>
      </c>
      <c r="S723" s="442">
        <f t="array" ref="S723">INDEX(MINVALUES,$Q723,$K$1)</f>
        <v>16</v>
      </c>
      <c r="T723">
        <f t="array" ref="T723">INDEX(INCVALUES,$Q723,$K$1)</f>
        <v>0.1</v>
      </c>
      <c r="V723">
        <f t="array" ref="V723">+J723+(4*(INDEX(MatchScoreTable,$Q723,20)-1))</f>
        <v>4</v>
      </c>
      <c r="W723">
        <f t="array" ref="W723">INDEX(INC_MINVALUES,$V723,$K$1)</f>
        <v>34</v>
      </c>
      <c r="X723" s="212">
        <f t="array" ref="X723">INDEX(INC_INCVALUES,$V723,$K$1)</f>
        <v>0.3</v>
      </c>
    </row>
    <row r="724" ht="15.75" customHeight="1">
      <c r="A724" s="435"/>
      <c r="B724" s="436"/>
      <c r="C724" s="95" t="str">
        <f t="array" ref="C724">IF(I724&gt;0,INDEX(DB,I724,8),"")</f>
        <v/>
      </c>
      <c r="D724" s="437">
        <f t="shared" si="1"/>
        <v>0</v>
      </c>
      <c r="F724" s="438">
        <f t="shared" si="2"/>
        <v>0</v>
      </c>
      <c r="G724" t="str">
        <f t="shared" si="3"/>
        <v/>
      </c>
      <c r="H724" t="b">
        <f t="shared" si="4"/>
        <v>0</v>
      </c>
      <c r="I724" s="439">
        <f>IF(OR(ISBLANK(A724),ISNA(MATCH(A724&amp;"",AthleteNumbers,0))),0,MATCH(A724&amp;"",AthleteNumbers,0))</f>
        <v>0</v>
      </c>
      <c r="J724" s="209">
        <f t="array" ref="J724">IF(I724&gt;0,INDEX(DB,$I724,6),0)</f>
        <v>0</v>
      </c>
      <c r="K724" s="440">
        <f t="shared" si="5"/>
        <v>0</v>
      </c>
      <c r="L724" s="440">
        <f t="shared" si="6"/>
        <v>0</v>
      </c>
      <c r="M724" s="441">
        <f>IF(AND(L724&gt;O724,O724&gt;0),MinPoints,IF(L724&lt;N724,100,+INT((O724-$L724)/P724)+MinPoints))</f>
        <v>100</v>
      </c>
      <c r="N724" s="440">
        <f t="shared" si="7"/>
        <v>7</v>
      </c>
      <c r="O724" s="440">
        <f t="shared" si="8"/>
        <v>16</v>
      </c>
      <c r="P724" s="440">
        <f t="shared" si="9"/>
        <v>0.1</v>
      </c>
      <c r="Q724">
        <f t="array" ref="Q724">IF(I724&gt;0,INDEX(DB,I724,9),EventIndex)</f>
        <v>6</v>
      </c>
      <c r="S724" s="442">
        <f t="array" ref="S724">INDEX(MINVALUES,$Q724,$K$1)</f>
        <v>16</v>
      </c>
      <c r="T724">
        <f t="array" ref="T724">INDEX(INCVALUES,$Q724,$K$1)</f>
        <v>0.1</v>
      </c>
      <c r="V724">
        <f t="array" ref="V724">+J724+(4*(INDEX(MatchScoreTable,$Q724,20)-1))</f>
        <v>4</v>
      </c>
      <c r="W724">
        <f t="array" ref="W724">INDEX(INC_MINVALUES,$V724,$K$1)</f>
        <v>34</v>
      </c>
      <c r="X724" s="212">
        <f t="array" ref="X724">INDEX(INC_INCVALUES,$V724,$K$1)</f>
        <v>0.3</v>
      </c>
    </row>
    <row r="725" ht="15.75" customHeight="1">
      <c r="A725" s="435"/>
      <c r="B725" s="436"/>
      <c r="C725" s="95" t="str">
        <f t="array" ref="C725">IF(I725&gt;0,INDEX(DB,I725,8),"")</f>
        <v/>
      </c>
      <c r="D725" s="437">
        <f t="shared" si="1"/>
        <v>0</v>
      </c>
      <c r="F725" s="438">
        <f t="shared" si="2"/>
        <v>0</v>
      </c>
      <c r="G725" t="str">
        <f t="shared" si="3"/>
        <v/>
      </c>
      <c r="H725" t="b">
        <f t="shared" si="4"/>
        <v>0</v>
      </c>
      <c r="I725" s="439">
        <f>IF(OR(ISBLANK(A725),ISNA(MATCH(A725&amp;"",AthleteNumbers,0))),0,MATCH(A725&amp;"",AthleteNumbers,0))</f>
        <v>0</v>
      </c>
      <c r="J725" s="209">
        <f t="array" ref="J725">IF(I725&gt;0,INDEX(DB,$I725,6),0)</f>
        <v>0</v>
      </c>
      <c r="K725" s="440">
        <f t="shared" si="5"/>
        <v>0</v>
      </c>
      <c r="L725" s="440">
        <f t="shared" si="6"/>
        <v>0</v>
      </c>
      <c r="M725" s="441">
        <f>IF(AND(L725&gt;O725,O725&gt;0),MinPoints,IF(L725&lt;N725,100,+INT((O725-$L725)/P725)+MinPoints))</f>
        <v>100</v>
      </c>
      <c r="N725" s="440">
        <f t="shared" si="7"/>
        <v>7</v>
      </c>
      <c r="O725" s="440">
        <f t="shared" si="8"/>
        <v>16</v>
      </c>
      <c r="P725" s="440">
        <f t="shared" si="9"/>
        <v>0.1</v>
      </c>
      <c r="Q725">
        <f t="array" ref="Q725">IF(I725&gt;0,INDEX(DB,I725,9),EventIndex)</f>
        <v>6</v>
      </c>
      <c r="S725" s="442">
        <f t="array" ref="S725">INDEX(MINVALUES,$Q725,$K$1)</f>
        <v>16</v>
      </c>
      <c r="T725">
        <f t="array" ref="T725">INDEX(INCVALUES,$Q725,$K$1)</f>
        <v>0.1</v>
      </c>
      <c r="V725">
        <f t="array" ref="V725">+J725+(4*(INDEX(MatchScoreTable,$Q725,20)-1))</f>
        <v>4</v>
      </c>
      <c r="W725">
        <f t="array" ref="W725">INDEX(INC_MINVALUES,$V725,$K$1)</f>
        <v>34</v>
      </c>
      <c r="X725" s="212">
        <f t="array" ref="X725">INDEX(INC_INCVALUES,$V725,$K$1)</f>
        <v>0.3</v>
      </c>
    </row>
    <row r="726" ht="15.75" customHeight="1">
      <c r="A726" s="435"/>
      <c r="B726" s="436"/>
      <c r="C726" s="95" t="str">
        <f t="array" ref="C726">IF(I726&gt;0,INDEX(DB,I726,8),"")</f>
        <v/>
      </c>
      <c r="D726" s="437">
        <f t="shared" si="1"/>
        <v>0</v>
      </c>
      <c r="F726" s="438">
        <f t="shared" si="2"/>
        <v>0</v>
      </c>
      <c r="G726" t="str">
        <f t="shared" si="3"/>
        <v/>
      </c>
      <c r="H726" t="b">
        <f t="shared" si="4"/>
        <v>0</v>
      </c>
      <c r="I726" s="439">
        <f>IF(OR(ISBLANK(A726),ISNA(MATCH(A726&amp;"",AthleteNumbers,0))),0,MATCH(A726&amp;"",AthleteNumbers,0))</f>
        <v>0</v>
      </c>
      <c r="J726" s="209">
        <f t="array" ref="J726">IF(I726&gt;0,INDEX(DB,$I726,6),0)</f>
        <v>0</v>
      </c>
      <c r="K726" s="440">
        <f t="shared" si="5"/>
        <v>0</v>
      </c>
      <c r="L726" s="440">
        <f t="shared" si="6"/>
        <v>0</v>
      </c>
      <c r="M726" s="441">
        <f>IF(AND(L726&gt;O726,O726&gt;0),MinPoints,IF(L726&lt;N726,100,+INT((O726-$L726)/P726)+MinPoints))</f>
        <v>100</v>
      </c>
      <c r="N726" s="440">
        <f t="shared" si="7"/>
        <v>7</v>
      </c>
      <c r="O726" s="440">
        <f t="shared" si="8"/>
        <v>16</v>
      </c>
      <c r="P726" s="440">
        <f t="shared" si="9"/>
        <v>0.1</v>
      </c>
      <c r="Q726">
        <f t="array" ref="Q726">IF(I726&gt;0,INDEX(DB,I726,9),EventIndex)</f>
        <v>6</v>
      </c>
      <c r="S726" s="442">
        <f t="array" ref="S726">INDEX(MINVALUES,$Q726,$K$1)</f>
        <v>16</v>
      </c>
      <c r="T726">
        <f t="array" ref="T726">INDEX(INCVALUES,$Q726,$K$1)</f>
        <v>0.1</v>
      </c>
      <c r="V726">
        <f t="array" ref="V726">+J726+(4*(INDEX(MatchScoreTable,$Q726,20)-1))</f>
        <v>4</v>
      </c>
      <c r="W726">
        <f t="array" ref="W726">INDEX(INC_MINVALUES,$V726,$K$1)</f>
        <v>34</v>
      </c>
      <c r="X726" s="212">
        <f t="array" ref="X726">INDEX(INC_INCVALUES,$V726,$K$1)</f>
        <v>0.3</v>
      </c>
    </row>
    <row r="727" ht="15.75" customHeight="1">
      <c r="A727" s="435"/>
      <c r="B727" s="436"/>
      <c r="C727" s="95" t="str">
        <f t="array" ref="C727">IF(I727&gt;0,INDEX(DB,I727,8),"")</f>
        <v/>
      </c>
      <c r="D727" s="437">
        <f t="shared" si="1"/>
        <v>0</v>
      </c>
      <c r="F727" s="438">
        <f t="shared" si="2"/>
        <v>0</v>
      </c>
      <c r="G727" t="str">
        <f t="shared" si="3"/>
        <v/>
      </c>
      <c r="H727" t="b">
        <f t="shared" si="4"/>
        <v>0</v>
      </c>
      <c r="I727" s="439">
        <f>IF(OR(ISBLANK(A727),ISNA(MATCH(A727&amp;"",AthleteNumbers,0))),0,MATCH(A727&amp;"",AthleteNumbers,0))</f>
        <v>0</v>
      </c>
      <c r="J727" s="209">
        <f t="array" ref="J727">IF(I727&gt;0,INDEX(DB,$I727,6),0)</f>
        <v>0</v>
      </c>
      <c r="K727" s="440">
        <f t="shared" si="5"/>
        <v>0</v>
      </c>
      <c r="L727" s="440">
        <f t="shared" si="6"/>
        <v>0</v>
      </c>
      <c r="M727" s="441">
        <f>IF(AND(L727&gt;O727,O727&gt;0),MinPoints,IF(L727&lt;N727,100,+INT((O727-$L727)/P727)+MinPoints))</f>
        <v>100</v>
      </c>
      <c r="N727" s="440">
        <f t="shared" si="7"/>
        <v>7</v>
      </c>
      <c r="O727" s="440">
        <f t="shared" si="8"/>
        <v>16</v>
      </c>
      <c r="P727" s="440">
        <f t="shared" si="9"/>
        <v>0.1</v>
      </c>
      <c r="Q727">
        <f t="array" ref="Q727">IF(I727&gt;0,INDEX(DB,I727,9),EventIndex)</f>
        <v>6</v>
      </c>
      <c r="S727" s="442">
        <f t="array" ref="S727">INDEX(MINVALUES,$Q727,$K$1)</f>
        <v>16</v>
      </c>
      <c r="T727">
        <f t="array" ref="T727">INDEX(INCVALUES,$Q727,$K$1)</f>
        <v>0.1</v>
      </c>
      <c r="V727">
        <f t="array" ref="V727">+J727+(4*(INDEX(MatchScoreTable,$Q727,20)-1))</f>
        <v>4</v>
      </c>
      <c r="W727">
        <f t="array" ref="W727">INDEX(INC_MINVALUES,$V727,$K$1)</f>
        <v>34</v>
      </c>
      <c r="X727" s="212">
        <f t="array" ref="X727">INDEX(INC_INCVALUES,$V727,$K$1)</f>
        <v>0.3</v>
      </c>
    </row>
    <row r="728" ht="15.75" customHeight="1">
      <c r="A728" s="435"/>
      <c r="B728" s="436"/>
      <c r="C728" s="95" t="str">
        <f t="array" ref="C728">IF(I728&gt;0,INDEX(DB,I728,8),"")</f>
        <v/>
      </c>
      <c r="D728" s="437">
        <f t="shared" si="1"/>
        <v>0</v>
      </c>
      <c r="F728" s="438">
        <f t="shared" si="2"/>
        <v>0</v>
      </c>
      <c r="G728" t="str">
        <f t="shared" si="3"/>
        <v/>
      </c>
      <c r="H728" t="b">
        <f t="shared" si="4"/>
        <v>0</v>
      </c>
      <c r="I728" s="439">
        <f>IF(OR(ISBLANK(A728),ISNA(MATCH(A728&amp;"",AthleteNumbers,0))),0,MATCH(A728&amp;"",AthleteNumbers,0))</f>
        <v>0</v>
      </c>
      <c r="J728" s="209">
        <f t="array" ref="J728">IF(I728&gt;0,INDEX(DB,$I728,6),0)</f>
        <v>0</v>
      </c>
      <c r="K728" s="440">
        <f t="shared" si="5"/>
        <v>0</v>
      </c>
      <c r="L728" s="440">
        <f t="shared" si="6"/>
        <v>0</v>
      </c>
      <c r="M728" s="441">
        <f>IF(AND(L728&gt;O728,O728&gt;0),MinPoints,IF(L728&lt;N728,100,+INT((O728-$L728)/P728)+MinPoints))</f>
        <v>100</v>
      </c>
      <c r="N728" s="440">
        <f t="shared" si="7"/>
        <v>7</v>
      </c>
      <c r="O728" s="440">
        <f t="shared" si="8"/>
        <v>16</v>
      </c>
      <c r="P728" s="440">
        <f t="shared" si="9"/>
        <v>0.1</v>
      </c>
      <c r="Q728">
        <f t="array" ref="Q728">IF(I728&gt;0,INDEX(DB,I728,9),EventIndex)</f>
        <v>6</v>
      </c>
      <c r="S728" s="442">
        <f t="array" ref="S728">INDEX(MINVALUES,$Q728,$K$1)</f>
        <v>16</v>
      </c>
      <c r="T728">
        <f t="array" ref="T728">INDEX(INCVALUES,$Q728,$K$1)</f>
        <v>0.1</v>
      </c>
      <c r="V728">
        <f t="array" ref="V728">+J728+(4*(INDEX(MatchScoreTable,$Q728,20)-1))</f>
        <v>4</v>
      </c>
      <c r="W728">
        <f t="array" ref="W728">INDEX(INC_MINVALUES,$V728,$K$1)</f>
        <v>34</v>
      </c>
      <c r="X728" s="212">
        <f t="array" ref="X728">INDEX(INC_INCVALUES,$V728,$K$1)</f>
        <v>0.3</v>
      </c>
    </row>
    <row r="729" ht="15.75" customHeight="1">
      <c r="A729" s="435"/>
      <c r="B729" s="436"/>
      <c r="C729" s="95" t="str">
        <f t="array" ref="C729">IF(I729&gt;0,INDEX(DB,I729,8),"")</f>
        <v/>
      </c>
      <c r="D729" s="437">
        <f t="shared" si="1"/>
        <v>0</v>
      </c>
      <c r="F729" s="438">
        <f t="shared" si="2"/>
        <v>0</v>
      </c>
      <c r="G729" t="str">
        <f t="shared" si="3"/>
        <v/>
      </c>
      <c r="H729" t="b">
        <f t="shared" si="4"/>
        <v>0</v>
      </c>
      <c r="I729" s="439">
        <f>IF(OR(ISBLANK(A729),ISNA(MATCH(A729&amp;"",AthleteNumbers,0))),0,MATCH(A729&amp;"",AthleteNumbers,0))</f>
        <v>0</v>
      </c>
      <c r="J729" s="209">
        <f t="array" ref="J729">IF(I729&gt;0,INDEX(DB,$I729,6),0)</f>
        <v>0</v>
      </c>
      <c r="K729" s="440">
        <f t="shared" si="5"/>
        <v>0</v>
      </c>
      <c r="L729" s="440">
        <f t="shared" si="6"/>
        <v>0</v>
      </c>
      <c r="M729" s="441">
        <f>IF(AND(L729&gt;O729,O729&gt;0),MinPoints,IF(L729&lt;N729,100,+INT((O729-$L729)/P729)+MinPoints))</f>
        <v>100</v>
      </c>
      <c r="N729" s="440">
        <f t="shared" si="7"/>
        <v>7</v>
      </c>
      <c r="O729" s="440">
        <f t="shared" si="8"/>
        <v>16</v>
      </c>
      <c r="P729" s="440">
        <f t="shared" si="9"/>
        <v>0.1</v>
      </c>
      <c r="Q729">
        <f t="array" ref="Q729">IF(I729&gt;0,INDEX(DB,I729,9),EventIndex)</f>
        <v>6</v>
      </c>
      <c r="S729" s="442">
        <f t="array" ref="S729">INDEX(MINVALUES,$Q729,$K$1)</f>
        <v>16</v>
      </c>
      <c r="T729">
        <f t="array" ref="T729">INDEX(INCVALUES,$Q729,$K$1)</f>
        <v>0.1</v>
      </c>
      <c r="V729">
        <f t="array" ref="V729">+J729+(4*(INDEX(MatchScoreTable,$Q729,20)-1))</f>
        <v>4</v>
      </c>
      <c r="W729">
        <f t="array" ref="W729">INDEX(INC_MINVALUES,$V729,$K$1)</f>
        <v>34</v>
      </c>
      <c r="X729" s="212">
        <f t="array" ref="X729">INDEX(INC_INCVALUES,$V729,$K$1)</f>
        <v>0.3</v>
      </c>
    </row>
    <row r="730" ht="15.75" customHeight="1">
      <c r="A730" s="435"/>
      <c r="B730" s="436"/>
      <c r="C730" s="95" t="str">
        <f t="array" ref="C730">IF(I730&gt;0,INDEX(DB,I730,8),"")</f>
        <v/>
      </c>
      <c r="D730" s="437">
        <f t="shared" si="1"/>
        <v>0</v>
      </c>
      <c r="F730" s="438">
        <f t="shared" si="2"/>
        <v>0</v>
      </c>
      <c r="G730" t="str">
        <f t="shared" si="3"/>
        <v/>
      </c>
      <c r="H730" t="b">
        <f t="shared" si="4"/>
        <v>0</v>
      </c>
      <c r="I730" s="439">
        <f>IF(OR(ISBLANK(A730),ISNA(MATCH(A730&amp;"",AthleteNumbers,0))),0,MATCH(A730&amp;"",AthleteNumbers,0))</f>
        <v>0</v>
      </c>
      <c r="J730" s="209">
        <f t="array" ref="J730">IF(I730&gt;0,INDEX(DB,$I730,6),0)</f>
        <v>0</v>
      </c>
      <c r="K730" s="440">
        <f t="shared" si="5"/>
        <v>0</v>
      </c>
      <c r="L730" s="440">
        <f t="shared" si="6"/>
        <v>0</v>
      </c>
      <c r="M730" s="441">
        <f>IF(AND(L730&gt;O730,O730&gt;0),MinPoints,IF(L730&lt;N730,100,+INT((O730-$L730)/P730)+MinPoints))</f>
        <v>100</v>
      </c>
      <c r="N730" s="440">
        <f t="shared" si="7"/>
        <v>7</v>
      </c>
      <c r="O730" s="440">
        <f t="shared" si="8"/>
        <v>16</v>
      </c>
      <c r="P730" s="440">
        <f t="shared" si="9"/>
        <v>0.1</v>
      </c>
      <c r="Q730">
        <f t="array" ref="Q730">IF(I730&gt;0,INDEX(DB,I730,9),EventIndex)</f>
        <v>6</v>
      </c>
      <c r="S730" s="442">
        <f t="array" ref="S730">INDEX(MINVALUES,$Q730,$K$1)</f>
        <v>16</v>
      </c>
      <c r="T730">
        <f t="array" ref="T730">INDEX(INCVALUES,$Q730,$K$1)</f>
        <v>0.1</v>
      </c>
      <c r="V730">
        <f t="array" ref="V730">+J730+(4*(INDEX(MatchScoreTable,$Q730,20)-1))</f>
        <v>4</v>
      </c>
      <c r="W730">
        <f t="array" ref="W730">INDEX(INC_MINVALUES,$V730,$K$1)</f>
        <v>34</v>
      </c>
      <c r="X730" s="212">
        <f t="array" ref="X730">INDEX(INC_INCVALUES,$V730,$K$1)</f>
        <v>0.3</v>
      </c>
    </row>
    <row r="731" ht="15.75" customHeight="1">
      <c r="A731" s="435"/>
      <c r="B731" s="436"/>
      <c r="C731" s="95" t="str">
        <f t="array" ref="C731">IF(I731&gt;0,INDEX(DB,I731,8),"")</f>
        <v/>
      </c>
      <c r="D731" s="437">
        <f t="shared" si="1"/>
        <v>0</v>
      </c>
      <c r="F731" s="438">
        <f t="shared" si="2"/>
        <v>0</v>
      </c>
      <c r="G731" t="str">
        <f t="shared" si="3"/>
        <v/>
      </c>
      <c r="H731" t="b">
        <f t="shared" si="4"/>
        <v>0</v>
      </c>
      <c r="I731" s="439">
        <f>IF(OR(ISBLANK(A731),ISNA(MATCH(A731&amp;"",AthleteNumbers,0))),0,MATCH(A731&amp;"",AthleteNumbers,0))</f>
        <v>0</v>
      </c>
      <c r="J731" s="209">
        <f t="array" ref="J731">IF(I731&gt;0,INDEX(DB,$I731,6),0)</f>
        <v>0</v>
      </c>
      <c r="K731" s="440">
        <f t="shared" si="5"/>
        <v>0</v>
      </c>
      <c r="L731" s="440">
        <f t="shared" si="6"/>
        <v>0</v>
      </c>
      <c r="M731" s="441">
        <f>IF(AND(L731&gt;O731,O731&gt;0),MinPoints,IF(L731&lt;N731,100,+INT((O731-$L731)/P731)+MinPoints))</f>
        <v>100</v>
      </c>
      <c r="N731" s="440">
        <f t="shared" si="7"/>
        <v>7</v>
      </c>
      <c r="O731" s="440">
        <f t="shared" si="8"/>
        <v>16</v>
      </c>
      <c r="P731" s="440">
        <f t="shared" si="9"/>
        <v>0.1</v>
      </c>
      <c r="Q731">
        <f t="array" ref="Q731">IF(I731&gt;0,INDEX(DB,I731,9),EventIndex)</f>
        <v>6</v>
      </c>
      <c r="S731" s="442">
        <f t="array" ref="S731">INDEX(MINVALUES,$Q731,$K$1)</f>
        <v>16</v>
      </c>
      <c r="T731">
        <f t="array" ref="T731">INDEX(INCVALUES,$Q731,$K$1)</f>
        <v>0.1</v>
      </c>
      <c r="V731">
        <f t="array" ref="V731">+J731+(4*(INDEX(MatchScoreTable,$Q731,20)-1))</f>
        <v>4</v>
      </c>
      <c r="W731">
        <f t="array" ref="W731">INDEX(INC_MINVALUES,$V731,$K$1)</f>
        <v>34</v>
      </c>
      <c r="X731" s="212">
        <f t="array" ref="X731">INDEX(INC_INCVALUES,$V731,$K$1)</f>
        <v>0.3</v>
      </c>
    </row>
    <row r="732" ht="15.75" customHeight="1">
      <c r="A732" s="435"/>
      <c r="B732" s="436"/>
      <c r="C732" s="95" t="str">
        <f t="array" ref="C732">IF(I732&gt;0,INDEX(DB,I732,8),"")</f>
        <v/>
      </c>
      <c r="D732" s="437">
        <f t="shared" si="1"/>
        <v>0</v>
      </c>
      <c r="F732" s="438">
        <f t="shared" si="2"/>
        <v>0</v>
      </c>
      <c r="G732" t="str">
        <f t="shared" si="3"/>
        <v/>
      </c>
      <c r="H732" t="b">
        <f t="shared" si="4"/>
        <v>0</v>
      </c>
      <c r="I732" s="439">
        <f>IF(OR(ISBLANK(A732),ISNA(MATCH(A732&amp;"",AthleteNumbers,0))),0,MATCH(A732&amp;"",AthleteNumbers,0))</f>
        <v>0</v>
      </c>
      <c r="J732" s="209">
        <f t="array" ref="J732">IF(I732&gt;0,INDEX(DB,$I732,6),0)</f>
        <v>0</v>
      </c>
      <c r="K732" s="440">
        <f t="shared" si="5"/>
        <v>0</v>
      </c>
      <c r="L732" s="440">
        <f t="shared" si="6"/>
        <v>0</v>
      </c>
      <c r="M732" s="441">
        <f>IF(AND(L732&gt;O732,O732&gt;0),MinPoints,IF(L732&lt;N732,100,+INT((O732-$L732)/P732)+MinPoints))</f>
        <v>100</v>
      </c>
      <c r="N732" s="440">
        <f t="shared" si="7"/>
        <v>7</v>
      </c>
      <c r="O732" s="440">
        <f t="shared" si="8"/>
        <v>16</v>
      </c>
      <c r="P732" s="440">
        <f t="shared" si="9"/>
        <v>0.1</v>
      </c>
      <c r="Q732">
        <f t="array" ref="Q732">IF(I732&gt;0,INDEX(DB,I732,9),EventIndex)</f>
        <v>6</v>
      </c>
      <c r="S732" s="442">
        <f t="array" ref="S732">INDEX(MINVALUES,$Q732,$K$1)</f>
        <v>16</v>
      </c>
      <c r="T732">
        <f t="array" ref="T732">INDEX(INCVALUES,$Q732,$K$1)</f>
        <v>0.1</v>
      </c>
      <c r="V732">
        <f t="array" ref="V732">+J732+(4*(INDEX(MatchScoreTable,$Q732,20)-1))</f>
        <v>4</v>
      </c>
      <c r="W732">
        <f t="array" ref="W732">INDEX(INC_MINVALUES,$V732,$K$1)</f>
        <v>34</v>
      </c>
      <c r="X732" s="212">
        <f t="array" ref="X732">INDEX(INC_INCVALUES,$V732,$K$1)</f>
        <v>0.3</v>
      </c>
    </row>
    <row r="733" ht="15.75" customHeight="1">
      <c r="A733" s="435"/>
      <c r="B733" s="436"/>
      <c r="C733" s="95" t="str">
        <f t="array" ref="C733">IF(I733&gt;0,INDEX(DB,I733,8),"")</f>
        <v/>
      </c>
      <c r="D733" s="437">
        <f t="shared" si="1"/>
        <v>0</v>
      </c>
      <c r="F733" s="438">
        <f t="shared" si="2"/>
        <v>0</v>
      </c>
      <c r="G733" t="str">
        <f t="shared" si="3"/>
        <v/>
      </c>
      <c r="H733" t="b">
        <f t="shared" si="4"/>
        <v>0</v>
      </c>
      <c r="I733" s="439">
        <f>IF(OR(ISBLANK(A733),ISNA(MATCH(A733&amp;"",AthleteNumbers,0))),0,MATCH(A733&amp;"",AthleteNumbers,0))</f>
        <v>0</v>
      </c>
      <c r="J733" s="209">
        <f t="array" ref="J733">IF(I733&gt;0,INDEX(DB,$I733,6),0)</f>
        <v>0</v>
      </c>
      <c r="K733" s="440">
        <f t="shared" si="5"/>
        <v>0</v>
      </c>
      <c r="L733" s="440">
        <f t="shared" si="6"/>
        <v>0</v>
      </c>
      <c r="M733" s="441">
        <f>IF(AND(L733&gt;O733,O733&gt;0),MinPoints,IF(L733&lt;N733,100,+INT((O733-$L733)/P733)+MinPoints))</f>
        <v>100</v>
      </c>
      <c r="N733" s="440">
        <f t="shared" si="7"/>
        <v>7</v>
      </c>
      <c r="O733" s="440">
        <f t="shared" si="8"/>
        <v>16</v>
      </c>
      <c r="P733" s="440">
        <f t="shared" si="9"/>
        <v>0.1</v>
      </c>
      <c r="Q733">
        <f t="array" ref="Q733">IF(I733&gt;0,INDEX(DB,I733,9),EventIndex)</f>
        <v>6</v>
      </c>
      <c r="S733" s="442">
        <f t="array" ref="S733">INDEX(MINVALUES,$Q733,$K$1)</f>
        <v>16</v>
      </c>
      <c r="T733">
        <f t="array" ref="T733">INDEX(INCVALUES,$Q733,$K$1)</f>
        <v>0.1</v>
      </c>
      <c r="V733">
        <f t="array" ref="V733">+J733+(4*(INDEX(MatchScoreTable,$Q733,20)-1))</f>
        <v>4</v>
      </c>
      <c r="W733">
        <f t="array" ref="W733">INDEX(INC_MINVALUES,$V733,$K$1)</f>
        <v>34</v>
      </c>
      <c r="X733" s="212">
        <f t="array" ref="X733">INDEX(INC_INCVALUES,$V733,$K$1)</f>
        <v>0.3</v>
      </c>
    </row>
    <row r="734" ht="15.75" customHeight="1">
      <c r="A734" s="435"/>
      <c r="B734" s="436"/>
      <c r="C734" s="95" t="str">
        <f t="array" ref="C734">IF(I734&gt;0,INDEX(DB,I734,8),"")</f>
        <v/>
      </c>
      <c r="D734" s="437">
        <f t="shared" si="1"/>
        <v>0</v>
      </c>
      <c r="F734" s="438">
        <f t="shared" si="2"/>
        <v>0</v>
      </c>
      <c r="G734" t="str">
        <f t="shared" si="3"/>
        <v/>
      </c>
      <c r="H734" t="b">
        <f t="shared" si="4"/>
        <v>0</v>
      </c>
      <c r="I734" s="439">
        <f>IF(OR(ISBLANK(A734),ISNA(MATCH(A734&amp;"",AthleteNumbers,0))),0,MATCH(A734&amp;"",AthleteNumbers,0))</f>
        <v>0</v>
      </c>
      <c r="J734" s="209">
        <f t="array" ref="J734">IF(I734&gt;0,INDEX(DB,$I734,6),0)</f>
        <v>0</v>
      </c>
      <c r="K734" s="440">
        <f t="shared" si="5"/>
        <v>0</v>
      </c>
      <c r="L734" s="440">
        <f t="shared" si="6"/>
        <v>0</v>
      </c>
      <c r="M734" s="441">
        <f>IF(AND(L734&gt;O734,O734&gt;0),MinPoints,IF(L734&lt;N734,100,+INT((O734-$L734)/P734)+MinPoints))</f>
        <v>100</v>
      </c>
      <c r="N734" s="440">
        <f t="shared" si="7"/>
        <v>7</v>
      </c>
      <c r="O734" s="440">
        <f t="shared" si="8"/>
        <v>16</v>
      </c>
      <c r="P734" s="440">
        <f t="shared" si="9"/>
        <v>0.1</v>
      </c>
      <c r="Q734">
        <f t="array" ref="Q734">IF(I734&gt;0,INDEX(DB,I734,9),EventIndex)</f>
        <v>6</v>
      </c>
      <c r="S734" s="442">
        <f t="array" ref="S734">INDEX(MINVALUES,$Q734,$K$1)</f>
        <v>16</v>
      </c>
      <c r="T734">
        <f t="array" ref="T734">INDEX(INCVALUES,$Q734,$K$1)</f>
        <v>0.1</v>
      </c>
      <c r="V734">
        <f t="array" ref="V734">+J734+(4*(INDEX(MatchScoreTable,$Q734,20)-1))</f>
        <v>4</v>
      </c>
      <c r="W734">
        <f t="array" ref="W734">INDEX(INC_MINVALUES,$V734,$K$1)</f>
        <v>34</v>
      </c>
      <c r="X734" s="212">
        <f t="array" ref="X734">INDEX(INC_INCVALUES,$V734,$K$1)</f>
        <v>0.3</v>
      </c>
    </row>
    <row r="735" ht="15.75" customHeight="1">
      <c r="A735" s="435"/>
      <c r="B735" s="436"/>
      <c r="C735" s="95" t="str">
        <f t="array" ref="C735">IF(I735&gt;0,INDEX(DB,I735,8),"")</f>
        <v/>
      </c>
      <c r="D735" s="437">
        <f t="shared" si="1"/>
        <v>0</v>
      </c>
      <c r="F735" s="438">
        <f t="shared" si="2"/>
        <v>0</v>
      </c>
      <c r="G735" t="str">
        <f t="shared" si="3"/>
        <v/>
      </c>
      <c r="H735" t="b">
        <f t="shared" si="4"/>
        <v>0</v>
      </c>
      <c r="I735" s="439">
        <f>IF(OR(ISBLANK(A735),ISNA(MATCH(A735&amp;"",AthleteNumbers,0))),0,MATCH(A735&amp;"",AthleteNumbers,0))</f>
        <v>0</v>
      </c>
      <c r="J735" s="209">
        <f t="array" ref="J735">IF(I735&gt;0,INDEX(DB,$I735,6),0)</f>
        <v>0</v>
      </c>
      <c r="K735" s="440">
        <f t="shared" si="5"/>
        <v>0</v>
      </c>
      <c r="L735" s="440">
        <f t="shared" si="6"/>
        <v>0</v>
      </c>
      <c r="M735" s="441">
        <f>IF(AND(L735&gt;O735,O735&gt;0),MinPoints,IF(L735&lt;N735,100,+INT((O735-$L735)/P735)+MinPoints))</f>
        <v>100</v>
      </c>
      <c r="N735" s="440">
        <f t="shared" si="7"/>
        <v>7</v>
      </c>
      <c r="O735" s="440">
        <f t="shared" si="8"/>
        <v>16</v>
      </c>
      <c r="P735" s="440">
        <f t="shared" si="9"/>
        <v>0.1</v>
      </c>
      <c r="Q735">
        <f t="array" ref="Q735">IF(I735&gt;0,INDEX(DB,I735,9),EventIndex)</f>
        <v>6</v>
      </c>
      <c r="S735" s="442">
        <f t="array" ref="S735">INDEX(MINVALUES,$Q735,$K$1)</f>
        <v>16</v>
      </c>
      <c r="T735">
        <f t="array" ref="T735">INDEX(INCVALUES,$Q735,$K$1)</f>
        <v>0.1</v>
      </c>
      <c r="V735">
        <f t="array" ref="V735">+J735+(4*(INDEX(MatchScoreTable,$Q735,20)-1))</f>
        <v>4</v>
      </c>
      <c r="W735">
        <f t="array" ref="W735">INDEX(INC_MINVALUES,$V735,$K$1)</f>
        <v>34</v>
      </c>
      <c r="X735" s="212">
        <f t="array" ref="X735">INDEX(INC_INCVALUES,$V735,$K$1)</f>
        <v>0.3</v>
      </c>
    </row>
    <row r="736" ht="15.75" customHeight="1">
      <c r="A736" s="435"/>
      <c r="B736" s="436"/>
      <c r="C736" s="95" t="str">
        <f t="array" ref="C736">IF(I736&gt;0,INDEX(DB,I736,8),"")</f>
        <v/>
      </c>
      <c r="D736" s="437">
        <f t="shared" si="1"/>
        <v>0</v>
      </c>
      <c r="F736" s="438">
        <f t="shared" si="2"/>
        <v>0</v>
      </c>
      <c r="G736" t="str">
        <f t="shared" si="3"/>
        <v/>
      </c>
      <c r="H736" t="b">
        <f t="shared" si="4"/>
        <v>0</v>
      </c>
      <c r="I736" s="439">
        <f>IF(OR(ISBLANK(A736),ISNA(MATCH(A736&amp;"",AthleteNumbers,0))),0,MATCH(A736&amp;"",AthleteNumbers,0))</f>
        <v>0</v>
      </c>
      <c r="J736" s="209">
        <f t="array" ref="J736">IF(I736&gt;0,INDEX(DB,$I736,6),0)</f>
        <v>0</v>
      </c>
      <c r="K736" s="440">
        <f t="shared" si="5"/>
        <v>0</v>
      </c>
      <c r="L736" s="440">
        <f t="shared" si="6"/>
        <v>0</v>
      </c>
      <c r="M736" s="441">
        <f>IF(AND(L736&gt;O736,O736&gt;0),MinPoints,IF(L736&lt;N736,100,+INT((O736-$L736)/P736)+MinPoints))</f>
        <v>100</v>
      </c>
      <c r="N736" s="440">
        <f t="shared" si="7"/>
        <v>7</v>
      </c>
      <c r="O736" s="440">
        <f t="shared" si="8"/>
        <v>16</v>
      </c>
      <c r="P736" s="440">
        <f t="shared" si="9"/>
        <v>0.1</v>
      </c>
      <c r="Q736">
        <f t="array" ref="Q736">IF(I736&gt;0,INDEX(DB,I736,9),EventIndex)</f>
        <v>6</v>
      </c>
      <c r="S736" s="442">
        <f t="array" ref="S736">INDEX(MINVALUES,$Q736,$K$1)</f>
        <v>16</v>
      </c>
      <c r="T736">
        <f t="array" ref="T736">INDEX(INCVALUES,$Q736,$K$1)</f>
        <v>0.1</v>
      </c>
      <c r="V736">
        <f t="array" ref="V736">+J736+(4*(INDEX(MatchScoreTable,$Q736,20)-1))</f>
        <v>4</v>
      </c>
      <c r="W736">
        <f t="array" ref="W736">INDEX(INC_MINVALUES,$V736,$K$1)</f>
        <v>34</v>
      </c>
      <c r="X736" s="212">
        <f t="array" ref="X736">INDEX(INC_INCVALUES,$V736,$K$1)</f>
        <v>0.3</v>
      </c>
    </row>
    <row r="737" ht="15.75" customHeight="1">
      <c r="A737" s="435"/>
      <c r="B737" s="436"/>
      <c r="C737" s="95" t="str">
        <f t="array" ref="C737">IF(I737&gt;0,INDEX(DB,I737,8),"")</f>
        <v/>
      </c>
      <c r="D737" s="437">
        <f t="shared" si="1"/>
        <v>0</v>
      </c>
      <c r="F737" s="438">
        <f t="shared" si="2"/>
        <v>0</v>
      </c>
      <c r="G737" t="str">
        <f t="shared" si="3"/>
        <v/>
      </c>
      <c r="H737" t="b">
        <f t="shared" si="4"/>
        <v>0</v>
      </c>
      <c r="I737" s="439">
        <f>IF(OR(ISBLANK(A737),ISNA(MATCH(A737&amp;"",AthleteNumbers,0))),0,MATCH(A737&amp;"",AthleteNumbers,0))</f>
        <v>0</v>
      </c>
      <c r="J737" s="209">
        <f t="array" ref="J737">IF(I737&gt;0,INDEX(DB,$I737,6),0)</f>
        <v>0</v>
      </c>
      <c r="K737" s="440">
        <f t="shared" si="5"/>
        <v>0</v>
      </c>
      <c r="L737" s="440">
        <f t="shared" si="6"/>
        <v>0</v>
      </c>
      <c r="M737" s="441">
        <f>IF(AND(L737&gt;O737,O737&gt;0),MinPoints,IF(L737&lt;N737,100,+INT((O737-$L737)/P737)+MinPoints))</f>
        <v>100</v>
      </c>
      <c r="N737" s="440">
        <f t="shared" si="7"/>
        <v>7</v>
      </c>
      <c r="O737" s="440">
        <f t="shared" si="8"/>
        <v>16</v>
      </c>
      <c r="P737" s="440">
        <f t="shared" si="9"/>
        <v>0.1</v>
      </c>
      <c r="Q737">
        <f t="array" ref="Q737">IF(I737&gt;0,INDEX(DB,I737,9),EventIndex)</f>
        <v>6</v>
      </c>
      <c r="S737" s="442">
        <f t="array" ref="S737">INDEX(MINVALUES,$Q737,$K$1)</f>
        <v>16</v>
      </c>
      <c r="T737">
        <f t="array" ref="T737">INDEX(INCVALUES,$Q737,$K$1)</f>
        <v>0.1</v>
      </c>
      <c r="V737">
        <f t="array" ref="V737">+J737+(4*(INDEX(MatchScoreTable,$Q737,20)-1))</f>
        <v>4</v>
      </c>
      <c r="W737">
        <f t="array" ref="W737">INDEX(INC_MINVALUES,$V737,$K$1)</f>
        <v>34</v>
      </c>
      <c r="X737" s="212">
        <f t="array" ref="X737">INDEX(INC_INCVALUES,$V737,$K$1)</f>
        <v>0.3</v>
      </c>
    </row>
    <row r="738" ht="15.75" customHeight="1">
      <c r="A738" s="435"/>
      <c r="B738" s="436"/>
      <c r="C738" s="95" t="str">
        <f t="array" ref="C738">IF(I738&gt;0,INDEX(DB,I738,8),"")</f>
        <v/>
      </c>
      <c r="D738" s="437">
        <f t="shared" si="1"/>
        <v>0</v>
      </c>
      <c r="F738" s="438">
        <f t="shared" si="2"/>
        <v>0</v>
      </c>
      <c r="G738" t="str">
        <f t="shared" si="3"/>
        <v/>
      </c>
      <c r="H738" t="b">
        <f t="shared" si="4"/>
        <v>0</v>
      </c>
      <c r="I738" s="439">
        <f>IF(OR(ISBLANK(A738),ISNA(MATCH(A738&amp;"",AthleteNumbers,0))),0,MATCH(A738&amp;"",AthleteNumbers,0))</f>
        <v>0</v>
      </c>
      <c r="J738" s="209">
        <f t="array" ref="J738">IF(I738&gt;0,INDEX(DB,$I738,6),0)</f>
        <v>0</v>
      </c>
      <c r="K738" s="440">
        <f t="shared" si="5"/>
        <v>0</v>
      </c>
      <c r="L738" s="440">
        <f t="shared" si="6"/>
        <v>0</v>
      </c>
      <c r="M738" s="441">
        <f>IF(AND(L738&gt;O738,O738&gt;0),MinPoints,IF(L738&lt;N738,100,+INT((O738-$L738)/P738)+MinPoints))</f>
        <v>100</v>
      </c>
      <c r="N738" s="440">
        <f t="shared" si="7"/>
        <v>7</v>
      </c>
      <c r="O738" s="440">
        <f t="shared" si="8"/>
        <v>16</v>
      </c>
      <c r="P738" s="440">
        <f t="shared" si="9"/>
        <v>0.1</v>
      </c>
      <c r="Q738">
        <f t="array" ref="Q738">IF(I738&gt;0,INDEX(DB,I738,9),EventIndex)</f>
        <v>6</v>
      </c>
      <c r="S738" s="442">
        <f t="array" ref="S738">INDEX(MINVALUES,$Q738,$K$1)</f>
        <v>16</v>
      </c>
      <c r="T738">
        <f t="array" ref="T738">INDEX(INCVALUES,$Q738,$K$1)</f>
        <v>0.1</v>
      </c>
      <c r="V738">
        <f t="array" ref="V738">+J738+(4*(INDEX(MatchScoreTable,$Q738,20)-1))</f>
        <v>4</v>
      </c>
      <c r="W738">
        <f t="array" ref="W738">INDEX(INC_MINVALUES,$V738,$K$1)</f>
        <v>34</v>
      </c>
      <c r="X738" s="212">
        <f t="array" ref="X738">INDEX(INC_INCVALUES,$V738,$K$1)</f>
        <v>0.3</v>
      </c>
    </row>
    <row r="739" ht="15.75" customHeight="1">
      <c r="A739" s="435"/>
      <c r="B739" s="436"/>
      <c r="C739" s="95" t="str">
        <f t="array" ref="C739">IF(I739&gt;0,INDEX(DB,I739,8),"")</f>
        <v/>
      </c>
      <c r="D739" s="437">
        <f t="shared" si="1"/>
        <v>0</v>
      </c>
      <c r="F739" s="438">
        <f t="shared" si="2"/>
        <v>0</v>
      </c>
      <c r="G739" t="str">
        <f t="shared" si="3"/>
        <v/>
      </c>
      <c r="H739" t="b">
        <f t="shared" si="4"/>
        <v>0</v>
      </c>
      <c r="I739" s="439">
        <f>IF(OR(ISBLANK(A739),ISNA(MATCH(A739&amp;"",AthleteNumbers,0))),0,MATCH(A739&amp;"",AthleteNumbers,0))</f>
        <v>0</v>
      </c>
      <c r="J739" s="209">
        <f t="array" ref="J739">IF(I739&gt;0,INDEX(DB,$I739,6),0)</f>
        <v>0</v>
      </c>
      <c r="K739" s="440">
        <f t="shared" si="5"/>
        <v>0</v>
      </c>
      <c r="L739" s="440">
        <f t="shared" si="6"/>
        <v>0</v>
      </c>
      <c r="M739" s="441">
        <f>IF(AND(L739&gt;O739,O739&gt;0),MinPoints,IF(L739&lt;N739,100,+INT((O739-$L739)/P739)+MinPoints))</f>
        <v>100</v>
      </c>
      <c r="N739" s="440">
        <f t="shared" si="7"/>
        <v>7</v>
      </c>
      <c r="O739" s="440">
        <f t="shared" si="8"/>
        <v>16</v>
      </c>
      <c r="P739" s="440">
        <f t="shared" si="9"/>
        <v>0.1</v>
      </c>
      <c r="Q739">
        <f t="array" ref="Q739">IF(I739&gt;0,INDEX(DB,I739,9),EventIndex)</f>
        <v>6</v>
      </c>
      <c r="S739" s="442">
        <f t="array" ref="S739">INDEX(MINVALUES,$Q739,$K$1)</f>
        <v>16</v>
      </c>
      <c r="T739">
        <f t="array" ref="T739">INDEX(INCVALUES,$Q739,$K$1)</f>
        <v>0.1</v>
      </c>
      <c r="V739">
        <f t="array" ref="V739">+J739+(4*(INDEX(MatchScoreTable,$Q739,20)-1))</f>
        <v>4</v>
      </c>
      <c r="W739">
        <f t="array" ref="W739">INDEX(INC_MINVALUES,$V739,$K$1)</f>
        <v>34</v>
      </c>
      <c r="X739" s="212">
        <f t="array" ref="X739">INDEX(INC_INCVALUES,$V739,$K$1)</f>
        <v>0.3</v>
      </c>
    </row>
    <row r="740" ht="15.75" customHeight="1">
      <c r="A740" s="435"/>
      <c r="B740" s="436"/>
      <c r="C740" s="95" t="str">
        <f t="array" ref="C740">IF(I740&gt;0,INDEX(DB,I740,8),"")</f>
        <v/>
      </c>
      <c r="D740" s="437">
        <f t="shared" si="1"/>
        <v>0</v>
      </c>
      <c r="F740" s="438">
        <f t="shared" si="2"/>
        <v>0</v>
      </c>
      <c r="G740" t="str">
        <f t="shared" si="3"/>
        <v/>
      </c>
      <c r="H740" t="b">
        <f t="shared" si="4"/>
        <v>0</v>
      </c>
      <c r="I740" s="439">
        <f>IF(OR(ISBLANK(A740),ISNA(MATCH(A740&amp;"",AthleteNumbers,0))),0,MATCH(A740&amp;"",AthleteNumbers,0))</f>
        <v>0</v>
      </c>
      <c r="J740" s="209">
        <f t="array" ref="J740">IF(I740&gt;0,INDEX(DB,$I740,6),0)</f>
        <v>0</v>
      </c>
      <c r="K740" s="440">
        <f t="shared" si="5"/>
        <v>0</v>
      </c>
      <c r="L740" s="440">
        <f t="shared" si="6"/>
        <v>0</v>
      </c>
      <c r="M740" s="441">
        <f>IF(AND(L740&gt;O740,O740&gt;0),MinPoints,IF(L740&lt;N740,100,+INT((O740-$L740)/P740)+MinPoints))</f>
        <v>100</v>
      </c>
      <c r="N740" s="440">
        <f t="shared" si="7"/>
        <v>7</v>
      </c>
      <c r="O740" s="440">
        <f t="shared" si="8"/>
        <v>16</v>
      </c>
      <c r="P740" s="440">
        <f t="shared" si="9"/>
        <v>0.1</v>
      </c>
      <c r="Q740">
        <f t="array" ref="Q740">IF(I740&gt;0,INDEX(DB,I740,9),EventIndex)</f>
        <v>6</v>
      </c>
      <c r="S740" s="442">
        <f t="array" ref="S740">INDEX(MINVALUES,$Q740,$K$1)</f>
        <v>16</v>
      </c>
      <c r="T740">
        <f t="array" ref="T740">INDEX(INCVALUES,$Q740,$K$1)</f>
        <v>0.1</v>
      </c>
      <c r="V740">
        <f t="array" ref="V740">+J740+(4*(INDEX(MatchScoreTable,$Q740,20)-1))</f>
        <v>4</v>
      </c>
      <c r="W740">
        <f t="array" ref="W740">INDEX(INC_MINVALUES,$V740,$K$1)</f>
        <v>34</v>
      </c>
      <c r="X740" s="212">
        <f t="array" ref="X740">INDEX(INC_INCVALUES,$V740,$K$1)</f>
        <v>0.3</v>
      </c>
    </row>
    <row r="741" ht="15.75" customHeight="1">
      <c r="A741" s="435"/>
      <c r="B741" s="436"/>
      <c r="C741" s="95" t="str">
        <f t="array" ref="C741">IF(I741&gt;0,INDEX(DB,I741,8),"")</f>
        <v/>
      </c>
      <c r="D741" s="437">
        <f t="shared" si="1"/>
        <v>0</v>
      </c>
      <c r="F741" s="438">
        <f t="shared" si="2"/>
        <v>0</v>
      </c>
      <c r="G741" t="str">
        <f t="shared" si="3"/>
        <v/>
      </c>
      <c r="H741" t="b">
        <f t="shared" si="4"/>
        <v>0</v>
      </c>
      <c r="I741" s="439">
        <f>IF(OR(ISBLANK(A741),ISNA(MATCH(A741&amp;"",AthleteNumbers,0))),0,MATCH(A741&amp;"",AthleteNumbers,0))</f>
        <v>0</v>
      </c>
      <c r="J741" s="209">
        <f t="array" ref="J741">IF(I741&gt;0,INDEX(DB,$I741,6),0)</f>
        <v>0</v>
      </c>
      <c r="K741" s="440">
        <f t="shared" si="5"/>
        <v>0</v>
      </c>
      <c r="L741" s="440">
        <f t="shared" si="6"/>
        <v>0</v>
      </c>
      <c r="M741" s="441">
        <f>IF(AND(L741&gt;O741,O741&gt;0),MinPoints,IF(L741&lt;N741,100,+INT((O741-$L741)/P741)+MinPoints))</f>
        <v>100</v>
      </c>
      <c r="N741" s="440">
        <f t="shared" si="7"/>
        <v>7</v>
      </c>
      <c r="O741" s="440">
        <f t="shared" si="8"/>
        <v>16</v>
      </c>
      <c r="P741" s="440">
        <f t="shared" si="9"/>
        <v>0.1</v>
      </c>
      <c r="Q741">
        <f t="array" ref="Q741">IF(I741&gt;0,INDEX(DB,I741,9),EventIndex)</f>
        <v>6</v>
      </c>
      <c r="S741" s="442">
        <f t="array" ref="S741">INDEX(MINVALUES,$Q741,$K$1)</f>
        <v>16</v>
      </c>
      <c r="T741">
        <f t="array" ref="T741">INDEX(INCVALUES,$Q741,$K$1)</f>
        <v>0.1</v>
      </c>
      <c r="V741">
        <f t="array" ref="V741">+J741+(4*(INDEX(MatchScoreTable,$Q741,20)-1))</f>
        <v>4</v>
      </c>
      <c r="W741">
        <f t="array" ref="W741">INDEX(INC_MINVALUES,$V741,$K$1)</f>
        <v>34</v>
      </c>
      <c r="X741" s="212">
        <f t="array" ref="X741">INDEX(INC_INCVALUES,$V741,$K$1)</f>
        <v>0.3</v>
      </c>
    </row>
    <row r="742" ht="15.75" customHeight="1">
      <c r="A742" s="435"/>
      <c r="B742" s="436"/>
      <c r="C742" s="95" t="str">
        <f t="array" ref="C742">IF(I742&gt;0,INDEX(DB,I742,8),"")</f>
        <v/>
      </c>
      <c r="D742" s="437">
        <f t="shared" si="1"/>
        <v>0</v>
      </c>
      <c r="F742" s="438">
        <f t="shared" si="2"/>
        <v>0</v>
      </c>
      <c r="G742" t="str">
        <f t="shared" si="3"/>
        <v/>
      </c>
      <c r="H742" t="b">
        <f t="shared" si="4"/>
        <v>0</v>
      </c>
      <c r="I742" s="439">
        <f>IF(OR(ISBLANK(A742),ISNA(MATCH(A742&amp;"",AthleteNumbers,0))),0,MATCH(A742&amp;"",AthleteNumbers,0))</f>
        <v>0</v>
      </c>
      <c r="J742" s="209">
        <f t="array" ref="J742">IF(I742&gt;0,INDEX(DB,$I742,6),0)</f>
        <v>0</v>
      </c>
      <c r="K742" s="440">
        <f t="shared" si="5"/>
        <v>0</v>
      </c>
      <c r="L742" s="440">
        <f t="shared" si="6"/>
        <v>0</v>
      </c>
      <c r="M742" s="441">
        <f>IF(AND(L742&gt;O742,O742&gt;0),MinPoints,IF(L742&lt;N742,100,+INT((O742-$L742)/P742)+MinPoints))</f>
        <v>100</v>
      </c>
      <c r="N742" s="440">
        <f t="shared" si="7"/>
        <v>7</v>
      </c>
      <c r="O742" s="440">
        <f t="shared" si="8"/>
        <v>16</v>
      </c>
      <c r="P742" s="440">
        <f t="shared" si="9"/>
        <v>0.1</v>
      </c>
      <c r="Q742">
        <f t="array" ref="Q742">IF(I742&gt;0,INDEX(DB,I742,9),EventIndex)</f>
        <v>6</v>
      </c>
      <c r="S742" s="442">
        <f t="array" ref="S742">INDEX(MINVALUES,$Q742,$K$1)</f>
        <v>16</v>
      </c>
      <c r="T742">
        <f t="array" ref="T742">INDEX(INCVALUES,$Q742,$K$1)</f>
        <v>0.1</v>
      </c>
      <c r="V742">
        <f t="array" ref="V742">+J742+(4*(INDEX(MatchScoreTable,$Q742,20)-1))</f>
        <v>4</v>
      </c>
      <c r="W742">
        <f t="array" ref="W742">INDEX(INC_MINVALUES,$V742,$K$1)</f>
        <v>34</v>
      </c>
      <c r="X742" s="212">
        <f t="array" ref="X742">INDEX(INC_INCVALUES,$V742,$K$1)</f>
        <v>0.3</v>
      </c>
    </row>
    <row r="743" ht="15.75" customHeight="1">
      <c r="A743" s="435"/>
      <c r="B743" s="436"/>
      <c r="C743" s="95" t="str">
        <f t="array" ref="C743">IF(I743&gt;0,INDEX(DB,I743,8),"")</f>
        <v/>
      </c>
      <c r="D743" s="437">
        <f t="shared" si="1"/>
        <v>0</v>
      </c>
      <c r="F743" s="438">
        <f t="shared" si="2"/>
        <v>0</v>
      </c>
      <c r="G743" t="str">
        <f t="shared" si="3"/>
        <v/>
      </c>
      <c r="H743" t="b">
        <f t="shared" si="4"/>
        <v>0</v>
      </c>
      <c r="I743" s="439">
        <f>IF(OR(ISBLANK(A743),ISNA(MATCH(A743&amp;"",AthleteNumbers,0))),0,MATCH(A743&amp;"",AthleteNumbers,0))</f>
        <v>0</v>
      </c>
      <c r="J743" s="209">
        <f t="array" ref="J743">IF(I743&gt;0,INDEX(DB,$I743,6),0)</f>
        <v>0</v>
      </c>
      <c r="K743" s="440">
        <f t="shared" si="5"/>
        <v>0</v>
      </c>
      <c r="L743" s="440">
        <f t="shared" si="6"/>
        <v>0</v>
      </c>
      <c r="M743" s="441">
        <f>IF(AND(L743&gt;O743,O743&gt;0),MinPoints,IF(L743&lt;N743,100,+INT((O743-$L743)/P743)+MinPoints))</f>
        <v>100</v>
      </c>
      <c r="N743" s="440">
        <f t="shared" si="7"/>
        <v>7</v>
      </c>
      <c r="O743" s="440">
        <f t="shared" si="8"/>
        <v>16</v>
      </c>
      <c r="P743" s="440">
        <f t="shared" si="9"/>
        <v>0.1</v>
      </c>
      <c r="Q743">
        <f t="array" ref="Q743">IF(I743&gt;0,INDEX(DB,I743,9),EventIndex)</f>
        <v>6</v>
      </c>
      <c r="S743" s="442">
        <f t="array" ref="S743">INDEX(MINVALUES,$Q743,$K$1)</f>
        <v>16</v>
      </c>
      <c r="T743">
        <f t="array" ref="T743">INDEX(INCVALUES,$Q743,$K$1)</f>
        <v>0.1</v>
      </c>
      <c r="V743">
        <f t="array" ref="V743">+J743+(4*(INDEX(MatchScoreTable,$Q743,20)-1))</f>
        <v>4</v>
      </c>
      <c r="W743">
        <f t="array" ref="W743">INDEX(INC_MINVALUES,$V743,$K$1)</f>
        <v>34</v>
      </c>
      <c r="X743" s="212">
        <f t="array" ref="X743">INDEX(INC_INCVALUES,$V743,$K$1)</f>
        <v>0.3</v>
      </c>
    </row>
    <row r="744" ht="15.75" customHeight="1">
      <c r="A744" s="435"/>
      <c r="B744" s="436"/>
      <c r="C744" s="95" t="str">
        <f t="array" ref="C744">IF(I744&gt;0,INDEX(DB,I744,8),"")</f>
        <v/>
      </c>
      <c r="D744" s="437">
        <f t="shared" si="1"/>
        <v>0</v>
      </c>
      <c r="F744" s="438">
        <f t="shared" si="2"/>
        <v>0</v>
      </c>
      <c r="G744" t="str">
        <f t="shared" si="3"/>
        <v/>
      </c>
      <c r="H744" t="b">
        <f t="shared" si="4"/>
        <v>0</v>
      </c>
      <c r="I744" s="439">
        <f>IF(OR(ISBLANK(A744),ISNA(MATCH(A744&amp;"",AthleteNumbers,0))),0,MATCH(A744&amp;"",AthleteNumbers,0))</f>
        <v>0</v>
      </c>
      <c r="J744" s="209">
        <f t="array" ref="J744">IF(I744&gt;0,INDEX(DB,$I744,6),0)</f>
        <v>0</v>
      </c>
      <c r="K744" s="440">
        <f t="shared" si="5"/>
        <v>0</v>
      </c>
      <c r="L744" s="440">
        <f t="shared" si="6"/>
        <v>0</v>
      </c>
      <c r="M744" s="441">
        <f>IF(AND(L744&gt;O744,O744&gt;0),MinPoints,IF(L744&lt;N744,100,+INT((O744-$L744)/P744)+MinPoints))</f>
        <v>100</v>
      </c>
      <c r="N744" s="440">
        <f t="shared" si="7"/>
        <v>7</v>
      </c>
      <c r="O744" s="440">
        <f t="shared" si="8"/>
        <v>16</v>
      </c>
      <c r="P744" s="440">
        <f t="shared" si="9"/>
        <v>0.1</v>
      </c>
      <c r="Q744">
        <f t="array" ref="Q744">IF(I744&gt;0,INDEX(DB,I744,9),EventIndex)</f>
        <v>6</v>
      </c>
      <c r="S744" s="442">
        <f t="array" ref="S744">INDEX(MINVALUES,$Q744,$K$1)</f>
        <v>16</v>
      </c>
      <c r="T744">
        <f t="array" ref="T744">INDEX(INCVALUES,$Q744,$K$1)</f>
        <v>0.1</v>
      </c>
      <c r="V744">
        <f t="array" ref="V744">+J744+(4*(INDEX(MatchScoreTable,$Q744,20)-1))</f>
        <v>4</v>
      </c>
      <c r="W744">
        <f t="array" ref="W744">INDEX(INC_MINVALUES,$V744,$K$1)</f>
        <v>34</v>
      </c>
      <c r="X744" s="212">
        <f t="array" ref="X744">INDEX(INC_INCVALUES,$V744,$K$1)</f>
        <v>0.3</v>
      </c>
    </row>
    <row r="745" ht="15.75" customHeight="1">
      <c r="A745" s="435"/>
      <c r="B745" s="436"/>
      <c r="C745" s="95" t="str">
        <f t="array" ref="C745">IF(I745&gt;0,INDEX(DB,I745,8),"")</f>
        <v/>
      </c>
      <c r="D745" s="437">
        <f t="shared" si="1"/>
        <v>0</v>
      </c>
      <c r="F745" s="438">
        <f t="shared" si="2"/>
        <v>0</v>
      </c>
      <c r="G745" t="str">
        <f t="shared" si="3"/>
        <v/>
      </c>
      <c r="H745" t="b">
        <f t="shared" si="4"/>
        <v>0</v>
      </c>
      <c r="I745" s="439">
        <f>IF(OR(ISBLANK(A745),ISNA(MATCH(A745&amp;"",AthleteNumbers,0))),0,MATCH(A745&amp;"",AthleteNumbers,0))</f>
        <v>0</v>
      </c>
      <c r="J745" s="209">
        <f t="array" ref="J745">IF(I745&gt;0,INDEX(DB,$I745,6),0)</f>
        <v>0</v>
      </c>
      <c r="K745" s="440">
        <f t="shared" si="5"/>
        <v>0</v>
      </c>
      <c r="L745" s="440">
        <f t="shared" si="6"/>
        <v>0</v>
      </c>
      <c r="M745" s="441">
        <f>IF(AND(L745&gt;O745,O745&gt;0),MinPoints,IF(L745&lt;N745,100,+INT((O745-$L745)/P745)+MinPoints))</f>
        <v>100</v>
      </c>
      <c r="N745" s="440">
        <f t="shared" si="7"/>
        <v>7</v>
      </c>
      <c r="O745" s="440">
        <f t="shared" si="8"/>
        <v>16</v>
      </c>
      <c r="P745" s="440">
        <f t="shared" si="9"/>
        <v>0.1</v>
      </c>
      <c r="Q745">
        <f t="array" ref="Q745">IF(I745&gt;0,INDEX(DB,I745,9),EventIndex)</f>
        <v>6</v>
      </c>
      <c r="S745" s="442">
        <f t="array" ref="S745">INDEX(MINVALUES,$Q745,$K$1)</f>
        <v>16</v>
      </c>
      <c r="T745">
        <f t="array" ref="T745">INDEX(INCVALUES,$Q745,$K$1)</f>
        <v>0.1</v>
      </c>
      <c r="V745">
        <f t="array" ref="V745">+J745+(4*(INDEX(MatchScoreTable,$Q745,20)-1))</f>
        <v>4</v>
      </c>
      <c r="W745">
        <f t="array" ref="W745">INDEX(INC_MINVALUES,$V745,$K$1)</f>
        <v>34</v>
      </c>
      <c r="X745" s="212">
        <f t="array" ref="X745">INDEX(INC_INCVALUES,$V745,$K$1)</f>
        <v>0.3</v>
      </c>
    </row>
    <row r="746" ht="15.75" customHeight="1">
      <c r="A746" s="435"/>
      <c r="B746" s="436"/>
      <c r="C746" s="95" t="str">
        <f t="array" ref="C746">IF(I746&gt;0,INDEX(DB,I746,8),"")</f>
        <v/>
      </c>
      <c r="D746" s="437">
        <f t="shared" si="1"/>
        <v>0</v>
      </c>
      <c r="F746" s="438">
        <f t="shared" si="2"/>
        <v>0</v>
      </c>
      <c r="G746" t="str">
        <f t="shared" si="3"/>
        <v/>
      </c>
      <c r="H746" t="b">
        <f t="shared" si="4"/>
        <v>0</v>
      </c>
      <c r="I746" s="439">
        <f>IF(OR(ISBLANK(A746),ISNA(MATCH(A746&amp;"",AthleteNumbers,0))),0,MATCH(A746&amp;"",AthleteNumbers,0))</f>
        <v>0</v>
      </c>
      <c r="J746" s="209">
        <f t="array" ref="J746">IF(I746&gt;0,INDEX(DB,$I746,6),0)</f>
        <v>0</v>
      </c>
      <c r="K746" s="440">
        <f t="shared" si="5"/>
        <v>0</v>
      </c>
      <c r="L746" s="440">
        <f t="shared" si="6"/>
        <v>0</v>
      </c>
      <c r="M746" s="441">
        <f>IF(AND(L746&gt;O746,O746&gt;0),MinPoints,IF(L746&lt;N746,100,+INT((O746-$L746)/P746)+MinPoints))</f>
        <v>100</v>
      </c>
      <c r="N746" s="440">
        <f t="shared" si="7"/>
        <v>7</v>
      </c>
      <c r="O746" s="440">
        <f t="shared" si="8"/>
        <v>16</v>
      </c>
      <c r="P746" s="440">
        <f t="shared" si="9"/>
        <v>0.1</v>
      </c>
      <c r="Q746">
        <f t="array" ref="Q746">IF(I746&gt;0,INDEX(DB,I746,9),EventIndex)</f>
        <v>6</v>
      </c>
      <c r="S746" s="442">
        <f t="array" ref="S746">INDEX(MINVALUES,$Q746,$K$1)</f>
        <v>16</v>
      </c>
      <c r="T746">
        <f t="array" ref="T746">INDEX(INCVALUES,$Q746,$K$1)</f>
        <v>0.1</v>
      </c>
      <c r="V746">
        <f t="array" ref="V746">+J746+(4*(INDEX(MatchScoreTable,$Q746,20)-1))</f>
        <v>4</v>
      </c>
      <c r="W746">
        <f t="array" ref="W746">INDEX(INC_MINVALUES,$V746,$K$1)</f>
        <v>34</v>
      </c>
      <c r="X746" s="212">
        <f t="array" ref="X746">INDEX(INC_INCVALUES,$V746,$K$1)</f>
        <v>0.3</v>
      </c>
    </row>
    <row r="747" ht="15.75" customHeight="1">
      <c r="A747" s="435"/>
      <c r="B747" s="436"/>
      <c r="C747" s="95" t="str">
        <f t="array" ref="C747">IF(I747&gt;0,INDEX(DB,I747,8),"")</f>
        <v/>
      </c>
      <c r="D747" s="437">
        <f t="shared" si="1"/>
        <v>0</v>
      </c>
      <c r="F747" s="438">
        <f t="shared" si="2"/>
        <v>0</v>
      </c>
      <c r="G747" t="str">
        <f t="shared" si="3"/>
        <v/>
      </c>
      <c r="H747" t="b">
        <f t="shared" si="4"/>
        <v>0</v>
      </c>
      <c r="I747" s="439">
        <f>IF(OR(ISBLANK(A747),ISNA(MATCH(A747&amp;"",AthleteNumbers,0))),0,MATCH(A747&amp;"",AthleteNumbers,0))</f>
        <v>0</v>
      </c>
      <c r="J747" s="209">
        <f t="array" ref="J747">IF(I747&gt;0,INDEX(DB,$I747,6),0)</f>
        <v>0</v>
      </c>
      <c r="K747" s="440">
        <f t="shared" si="5"/>
        <v>0</v>
      </c>
      <c r="L747" s="440">
        <f t="shared" si="6"/>
        <v>0</v>
      </c>
      <c r="M747" s="441">
        <f>IF(AND(L747&gt;O747,O747&gt;0),MinPoints,IF(L747&lt;N747,100,+INT((O747-$L747)/P747)+MinPoints))</f>
        <v>100</v>
      </c>
      <c r="N747" s="440">
        <f t="shared" si="7"/>
        <v>7</v>
      </c>
      <c r="O747" s="440">
        <f t="shared" si="8"/>
        <v>16</v>
      </c>
      <c r="P747" s="440">
        <f t="shared" si="9"/>
        <v>0.1</v>
      </c>
      <c r="Q747">
        <f t="array" ref="Q747">IF(I747&gt;0,INDEX(DB,I747,9),EventIndex)</f>
        <v>6</v>
      </c>
      <c r="S747" s="442">
        <f t="array" ref="S747">INDEX(MINVALUES,$Q747,$K$1)</f>
        <v>16</v>
      </c>
      <c r="T747">
        <f t="array" ref="T747">INDEX(INCVALUES,$Q747,$K$1)</f>
        <v>0.1</v>
      </c>
      <c r="V747">
        <f t="array" ref="V747">+J747+(4*(INDEX(MatchScoreTable,$Q747,20)-1))</f>
        <v>4</v>
      </c>
      <c r="W747">
        <f t="array" ref="W747">INDEX(INC_MINVALUES,$V747,$K$1)</f>
        <v>34</v>
      </c>
      <c r="X747" s="212">
        <f t="array" ref="X747">INDEX(INC_INCVALUES,$V747,$K$1)</f>
        <v>0.3</v>
      </c>
    </row>
    <row r="748" ht="15.75" customHeight="1">
      <c r="A748" s="435"/>
      <c r="B748" s="436"/>
      <c r="C748" s="95" t="str">
        <f t="array" ref="C748">IF(I748&gt;0,INDEX(DB,I748,8),"")</f>
        <v/>
      </c>
      <c r="D748" s="437">
        <f t="shared" si="1"/>
        <v>0</v>
      </c>
      <c r="F748" s="438">
        <f t="shared" si="2"/>
        <v>0</v>
      </c>
      <c r="G748" t="str">
        <f t="shared" si="3"/>
        <v/>
      </c>
      <c r="H748" t="b">
        <f t="shared" si="4"/>
        <v>0</v>
      </c>
      <c r="I748" s="439">
        <f>IF(OR(ISBLANK(A748),ISNA(MATCH(A748&amp;"",AthleteNumbers,0))),0,MATCH(A748&amp;"",AthleteNumbers,0))</f>
        <v>0</v>
      </c>
      <c r="J748" s="209">
        <f t="array" ref="J748">IF(I748&gt;0,INDEX(DB,$I748,6),0)</f>
        <v>0</v>
      </c>
      <c r="K748" s="440">
        <f t="shared" si="5"/>
        <v>0</v>
      </c>
      <c r="L748" s="440">
        <f t="shared" si="6"/>
        <v>0</v>
      </c>
      <c r="M748" s="441">
        <f>IF(AND(L748&gt;O748,O748&gt;0),MinPoints,IF(L748&lt;N748,100,+INT((O748-$L748)/P748)+MinPoints))</f>
        <v>100</v>
      </c>
      <c r="N748" s="440">
        <f t="shared" si="7"/>
        <v>7</v>
      </c>
      <c r="O748" s="440">
        <f t="shared" si="8"/>
        <v>16</v>
      </c>
      <c r="P748" s="440">
        <f t="shared" si="9"/>
        <v>0.1</v>
      </c>
      <c r="Q748">
        <f t="array" ref="Q748">IF(I748&gt;0,INDEX(DB,I748,9),EventIndex)</f>
        <v>6</v>
      </c>
      <c r="S748" s="442">
        <f t="array" ref="S748">INDEX(MINVALUES,$Q748,$K$1)</f>
        <v>16</v>
      </c>
      <c r="T748">
        <f t="array" ref="T748">INDEX(INCVALUES,$Q748,$K$1)</f>
        <v>0.1</v>
      </c>
      <c r="V748">
        <f t="array" ref="V748">+J748+(4*(INDEX(MatchScoreTable,$Q748,20)-1))</f>
        <v>4</v>
      </c>
      <c r="W748">
        <f t="array" ref="W748">INDEX(INC_MINVALUES,$V748,$K$1)</f>
        <v>34</v>
      </c>
      <c r="X748" s="212">
        <f t="array" ref="X748">INDEX(INC_INCVALUES,$V748,$K$1)</f>
        <v>0.3</v>
      </c>
    </row>
    <row r="749" ht="15.75" customHeight="1">
      <c r="A749" s="435"/>
      <c r="B749" s="436"/>
      <c r="C749" s="95" t="str">
        <f t="array" ref="C749">IF(I749&gt;0,INDEX(DB,I749,8),"")</f>
        <v/>
      </c>
      <c r="D749" s="437">
        <f t="shared" si="1"/>
        <v>0</v>
      </c>
      <c r="F749" s="438">
        <f t="shared" si="2"/>
        <v>0</v>
      </c>
      <c r="G749" t="str">
        <f t="shared" si="3"/>
        <v/>
      </c>
      <c r="H749" t="b">
        <f t="shared" si="4"/>
        <v>0</v>
      </c>
      <c r="I749" s="439">
        <f>IF(OR(ISBLANK(A749),ISNA(MATCH(A749&amp;"",AthleteNumbers,0))),0,MATCH(A749&amp;"",AthleteNumbers,0))</f>
        <v>0</v>
      </c>
      <c r="J749" s="209">
        <f t="array" ref="J749">IF(I749&gt;0,INDEX(DB,$I749,6),0)</f>
        <v>0</v>
      </c>
      <c r="K749" s="440">
        <f t="shared" si="5"/>
        <v>0</v>
      </c>
      <c r="L749" s="440">
        <f t="shared" si="6"/>
        <v>0</v>
      </c>
      <c r="M749" s="441">
        <f>IF(AND(L749&gt;O749,O749&gt;0),MinPoints,IF(L749&lt;N749,100,+INT((O749-$L749)/P749)+MinPoints))</f>
        <v>100</v>
      </c>
      <c r="N749" s="440">
        <f t="shared" si="7"/>
        <v>7</v>
      </c>
      <c r="O749" s="440">
        <f t="shared" si="8"/>
        <v>16</v>
      </c>
      <c r="P749" s="440">
        <f t="shared" si="9"/>
        <v>0.1</v>
      </c>
      <c r="Q749">
        <f t="array" ref="Q749">IF(I749&gt;0,INDEX(DB,I749,9),EventIndex)</f>
        <v>6</v>
      </c>
      <c r="S749" s="442">
        <f t="array" ref="S749">INDEX(MINVALUES,$Q749,$K$1)</f>
        <v>16</v>
      </c>
      <c r="T749">
        <f t="array" ref="T749">INDEX(INCVALUES,$Q749,$K$1)</f>
        <v>0.1</v>
      </c>
      <c r="V749">
        <f t="array" ref="V749">+J749+(4*(INDEX(MatchScoreTable,$Q749,20)-1))</f>
        <v>4</v>
      </c>
      <c r="W749">
        <f t="array" ref="W749">INDEX(INC_MINVALUES,$V749,$K$1)</f>
        <v>34</v>
      </c>
      <c r="X749" s="212">
        <f t="array" ref="X749">INDEX(INC_INCVALUES,$V749,$K$1)</f>
        <v>0.3</v>
      </c>
    </row>
    <row r="750" ht="15.75" customHeight="1">
      <c r="A750" s="435"/>
      <c r="B750" s="436"/>
      <c r="C750" s="95" t="str">
        <f t="array" ref="C750">IF(I750&gt;0,INDEX(DB,I750,8),"")</f>
        <v/>
      </c>
      <c r="D750" s="437">
        <f t="shared" si="1"/>
        <v>0</v>
      </c>
      <c r="F750" s="438">
        <f t="shared" si="2"/>
        <v>0</v>
      </c>
      <c r="G750" t="str">
        <f t="shared" si="3"/>
        <v/>
      </c>
      <c r="H750" t="b">
        <f t="shared" si="4"/>
        <v>0</v>
      </c>
      <c r="I750" s="439">
        <f>IF(OR(ISBLANK(A750),ISNA(MATCH(A750&amp;"",AthleteNumbers,0))),0,MATCH(A750&amp;"",AthleteNumbers,0))</f>
        <v>0</v>
      </c>
      <c r="J750" s="209">
        <f t="array" ref="J750">IF(I750&gt;0,INDEX(DB,$I750,6),0)</f>
        <v>0</v>
      </c>
      <c r="K750" s="440">
        <f t="shared" si="5"/>
        <v>0</v>
      </c>
      <c r="L750" s="440">
        <f t="shared" si="6"/>
        <v>0</v>
      </c>
      <c r="M750" s="441">
        <f>IF(AND(L750&gt;O750,O750&gt;0),MinPoints,IF(L750&lt;N750,100,+INT((O750-$L750)/P750)+MinPoints))</f>
        <v>100</v>
      </c>
      <c r="N750" s="440">
        <f t="shared" si="7"/>
        <v>7</v>
      </c>
      <c r="O750" s="440">
        <f t="shared" si="8"/>
        <v>16</v>
      </c>
      <c r="P750" s="440">
        <f t="shared" si="9"/>
        <v>0.1</v>
      </c>
      <c r="Q750">
        <f t="array" ref="Q750">IF(I750&gt;0,INDEX(DB,I750,9),EventIndex)</f>
        <v>6</v>
      </c>
      <c r="S750" s="442">
        <f t="array" ref="S750">INDEX(MINVALUES,$Q750,$K$1)</f>
        <v>16</v>
      </c>
      <c r="T750">
        <f t="array" ref="T750">INDEX(INCVALUES,$Q750,$K$1)</f>
        <v>0.1</v>
      </c>
      <c r="V750">
        <f t="array" ref="V750">+J750+(4*(INDEX(MatchScoreTable,$Q750,20)-1))</f>
        <v>4</v>
      </c>
      <c r="W750">
        <f t="array" ref="W750">INDEX(INC_MINVALUES,$V750,$K$1)</f>
        <v>34</v>
      </c>
      <c r="X750" s="212">
        <f t="array" ref="X750">INDEX(INC_INCVALUES,$V750,$K$1)</f>
        <v>0.3</v>
      </c>
    </row>
    <row r="751" ht="15.75" customHeight="1">
      <c r="A751" s="435"/>
      <c r="B751" s="436"/>
      <c r="C751" s="95" t="str">
        <f t="array" ref="C751">IF(I751&gt;0,INDEX(DB,I751,8),"")</f>
        <v/>
      </c>
      <c r="D751" s="437">
        <f t="shared" si="1"/>
        <v>0</v>
      </c>
      <c r="F751" s="438">
        <f t="shared" si="2"/>
        <v>0</v>
      </c>
      <c r="G751" t="str">
        <f t="shared" si="3"/>
        <v/>
      </c>
      <c r="H751" t="b">
        <f t="shared" si="4"/>
        <v>0</v>
      </c>
      <c r="I751" s="439">
        <f>IF(OR(ISBLANK(A751),ISNA(MATCH(A751&amp;"",AthleteNumbers,0))),0,MATCH(A751&amp;"",AthleteNumbers,0))</f>
        <v>0</v>
      </c>
      <c r="J751" s="209">
        <f t="array" ref="J751">IF(I751&gt;0,INDEX(DB,$I751,6),0)</f>
        <v>0</v>
      </c>
      <c r="K751" s="440">
        <f t="shared" si="5"/>
        <v>0</v>
      </c>
      <c r="L751" s="440">
        <f t="shared" si="6"/>
        <v>0</v>
      </c>
      <c r="M751" s="441">
        <f>IF(AND(L751&gt;O751,O751&gt;0),MinPoints,IF(L751&lt;N751,100,+INT((O751-$L751)/P751)+MinPoints))</f>
        <v>100</v>
      </c>
      <c r="N751" s="440">
        <f t="shared" si="7"/>
        <v>7</v>
      </c>
      <c r="O751" s="440">
        <f t="shared" si="8"/>
        <v>16</v>
      </c>
      <c r="P751" s="440">
        <f t="shared" si="9"/>
        <v>0.1</v>
      </c>
      <c r="Q751">
        <f t="array" ref="Q751">IF(I751&gt;0,INDEX(DB,I751,9),EventIndex)</f>
        <v>6</v>
      </c>
      <c r="S751" s="442">
        <f t="array" ref="S751">INDEX(MINVALUES,$Q751,$K$1)</f>
        <v>16</v>
      </c>
      <c r="T751">
        <f t="array" ref="T751">INDEX(INCVALUES,$Q751,$K$1)</f>
        <v>0.1</v>
      </c>
      <c r="V751">
        <f t="array" ref="V751">+J751+(4*(INDEX(MatchScoreTable,$Q751,20)-1))</f>
        <v>4</v>
      </c>
      <c r="W751">
        <f t="array" ref="W751">INDEX(INC_MINVALUES,$V751,$K$1)</f>
        <v>34</v>
      </c>
      <c r="X751" s="212">
        <f t="array" ref="X751">INDEX(INC_INCVALUES,$V751,$K$1)</f>
        <v>0.3</v>
      </c>
    </row>
    <row r="752" ht="15.75" customHeight="1">
      <c r="A752" s="435"/>
      <c r="B752" s="436"/>
      <c r="C752" s="95" t="str">
        <f t="array" ref="C752">IF(I752&gt;0,INDEX(DB,I752,8),"")</f>
        <v/>
      </c>
      <c r="D752" s="437">
        <f t="shared" si="1"/>
        <v>0</v>
      </c>
      <c r="F752" s="438">
        <f t="shared" si="2"/>
        <v>0</v>
      </c>
      <c r="G752" t="str">
        <f t="shared" si="3"/>
        <v/>
      </c>
      <c r="H752" t="b">
        <f t="shared" si="4"/>
        <v>0</v>
      </c>
      <c r="I752" s="439">
        <f>IF(OR(ISBLANK(A752),ISNA(MATCH(A752&amp;"",AthleteNumbers,0))),0,MATCH(A752&amp;"",AthleteNumbers,0))</f>
        <v>0</v>
      </c>
      <c r="J752" s="209">
        <f t="array" ref="J752">IF(I752&gt;0,INDEX(DB,$I752,6),0)</f>
        <v>0</v>
      </c>
      <c r="K752" s="440">
        <f t="shared" si="5"/>
        <v>0</v>
      </c>
      <c r="L752" s="440">
        <f t="shared" si="6"/>
        <v>0</v>
      </c>
      <c r="M752" s="441">
        <f>IF(AND(L752&gt;O752,O752&gt;0),MinPoints,IF(L752&lt;N752,100,+INT((O752-$L752)/P752)+MinPoints))</f>
        <v>100</v>
      </c>
      <c r="N752" s="440">
        <f t="shared" si="7"/>
        <v>7</v>
      </c>
      <c r="O752" s="440">
        <f t="shared" si="8"/>
        <v>16</v>
      </c>
      <c r="P752" s="440">
        <f t="shared" si="9"/>
        <v>0.1</v>
      </c>
      <c r="Q752">
        <f t="array" ref="Q752">IF(I752&gt;0,INDEX(DB,I752,9),EventIndex)</f>
        <v>6</v>
      </c>
      <c r="S752" s="442">
        <f t="array" ref="S752">INDEX(MINVALUES,$Q752,$K$1)</f>
        <v>16</v>
      </c>
      <c r="T752">
        <f t="array" ref="T752">INDEX(INCVALUES,$Q752,$K$1)</f>
        <v>0.1</v>
      </c>
      <c r="V752">
        <f t="array" ref="V752">+J752+(4*(INDEX(MatchScoreTable,$Q752,20)-1))</f>
        <v>4</v>
      </c>
      <c r="W752">
        <f t="array" ref="W752">INDEX(INC_MINVALUES,$V752,$K$1)</f>
        <v>34</v>
      </c>
      <c r="X752" s="212">
        <f t="array" ref="X752">INDEX(INC_INCVALUES,$V752,$K$1)</f>
        <v>0.3</v>
      </c>
    </row>
    <row r="753" ht="15.75" customHeight="1">
      <c r="A753" s="435"/>
      <c r="B753" s="436"/>
      <c r="C753" s="95" t="str">
        <f t="array" ref="C753">IF(I753&gt;0,INDEX(DB,I753,8),"")</f>
        <v/>
      </c>
      <c r="D753" s="437">
        <f t="shared" si="1"/>
        <v>0</v>
      </c>
      <c r="F753" s="438">
        <f t="shared" si="2"/>
        <v>0</v>
      </c>
      <c r="G753" t="str">
        <f t="shared" si="3"/>
        <v/>
      </c>
      <c r="H753" t="b">
        <f t="shared" si="4"/>
        <v>0</v>
      </c>
      <c r="I753" s="439">
        <f>IF(OR(ISBLANK(A753),ISNA(MATCH(A753&amp;"",AthleteNumbers,0))),0,MATCH(A753&amp;"",AthleteNumbers,0))</f>
        <v>0</v>
      </c>
      <c r="J753" s="209">
        <f t="array" ref="J753">IF(I753&gt;0,INDEX(DB,$I753,6),0)</f>
        <v>0</v>
      </c>
      <c r="K753" s="440">
        <f t="shared" si="5"/>
        <v>0</v>
      </c>
      <c r="L753" s="440">
        <f t="shared" si="6"/>
        <v>0</v>
      </c>
      <c r="M753" s="441">
        <f>IF(AND(L753&gt;O753,O753&gt;0),MinPoints,IF(L753&lt;N753,100,+INT((O753-$L753)/P753)+MinPoints))</f>
        <v>100</v>
      </c>
      <c r="N753" s="440">
        <f t="shared" si="7"/>
        <v>7</v>
      </c>
      <c r="O753" s="440">
        <f t="shared" si="8"/>
        <v>16</v>
      </c>
      <c r="P753" s="440">
        <f t="shared" si="9"/>
        <v>0.1</v>
      </c>
      <c r="Q753">
        <f t="array" ref="Q753">IF(I753&gt;0,INDEX(DB,I753,9),EventIndex)</f>
        <v>6</v>
      </c>
      <c r="S753" s="442">
        <f t="array" ref="S753">INDEX(MINVALUES,$Q753,$K$1)</f>
        <v>16</v>
      </c>
      <c r="T753">
        <f t="array" ref="T753">INDEX(INCVALUES,$Q753,$K$1)</f>
        <v>0.1</v>
      </c>
      <c r="V753">
        <f t="array" ref="V753">+J753+(4*(INDEX(MatchScoreTable,$Q753,20)-1))</f>
        <v>4</v>
      </c>
      <c r="W753">
        <f t="array" ref="W753">INDEX(INC_MINVALUES,$V753,$K$1)</f>
        <v>34</v>
      </c>
      <c r="X753" s="212">
        <f t="array" ref="X753">INDEX(INC_INCVALUES,$V753,$K$1)</f>
        <v>0.3</v>
      </c>
    </row>
    <row r="754" ht="15.75" customHeight="1">
      <c r="A754" s="435"/>
      <c r="B754" s="436"/>
      <c r="C754" s="95" t="str">
        <f t="array" ref="C754">IF(I754&gt;0,INDEX(DB,I754,8),"")</f>
        <v/>
      </c>
      <c r="D754" s="437">
        <f t="shared" si="1"/>
        <v>0</v>
      </c>
      <c r="F754" s="438">
        <f t="shared" si="2"/>
        <v>0</v>
      </c>
      <c r="G754" t="str">
        <f t="shared" si="3"/>
        <v/>
      </c>
      <c r="H754" t="b">
        <f t="shared" si="4"/>
        <v>0</v>
      </c>
      <c r="I754" s="439">
        <f>IF(OR(ISBLANK(A754),ISNA(MATCH(A754&amp;"",AthleteNumbers,0))),0,MATCH(A754&amp;"",AthleteNumbers,0))</f>
        <v>0</v>
      </c>
      <c r="J754" s="209">
        <f t="array" ref="J754">IF(I754&gt;0,INDEX(DB,$I754,6),0)</f>
        <v>0</v>
      </c>
      <c r="K754" s="440">
        <f t="shared" si="5"/>
        <v>0</v>
      </c>
      <c r="L754" s="440">
        <f t="shared" si="6"/>
        <v>0</v>
      </c>
      <c r="M754" s="441">
        <f>IF(AND(L754&gt;O754,O754&gt;0),MinPoints,IF(L754&lt;N754,100,+INT((O754-$L754)/P754)+MinPoints))</f>
        <v>100</v>
      </c>
      <c r="N754" s="440">
        <f t="shared" si="7"/>
        <v>7</v>
      </c>
      <c r="O754" s="440">
        <f t="shared" si="8"/>
        <v>16</v>
      </c>
      <c r="P754" s="440">
        <f t="shared" si="9"/>
        <v>0.1</v>
      </c>
      <c r="Q754">
        <f t="array" ref="Q754">IF(I754&gt;0,INDEX(DB,I754,9),EventIndex)</f>
        <v>6</v>
      </c>
      <c r="S754" s="442">
        <f t="array" ref="S754">INDEX(MINVALUES,$Q754,$K$1)</f>
        <v>16</v>
      </c>
      <c r="T754">
        <f t="array" ref="T754">INDEX(INCVALUES,$Q754,$K$1)</f>
        <v>0.1</v>
      </c>
      <c r="V754">
        <f t="array" ref="V754">+J754+(4*(INDEX(MatchScoreTable,$Q754,20)-1))</f>
        <v>4</v>
      </c>
      <c r="W754">
        <f t="array" ref="W754">INDEX(INC_MINVALUES,$V754,$K$1)</f>
        <v>34</v>
      </c>
      <c r="X754" s="212">
        <f t="array" ref="X754">INDEX(INC_INCVALUES,$V754,$K$1)</f>
        <v>0.3</v>
      </c>
    </row>
    <row r="755" ht="15.75" customHeight="1">
      <c r="A755" s="435"/>
      <c r="B755" s="436"/>
      <c r="C755" s="95" t="str">
        <f t="array" ref="C755">IF(I755&gt;0,INDEX(DB,I755,8),"")</f>
        <v/>
      </c>
      <c r="D755" s="437">
        <f t="shared" si="1"/>
        <v>0</v>
      </c>
      <c r="F755" s="438">
        <f t="shared" si="2"/>
        <v>0</v>
      </c>
      <c r="G755" t="str">
        <f t="shared" si="3"/>
        <v/>
      </c>
      <c r="H755" t="b">
        <f t="shared" si="4"/>
        <v>0</v>
      </c>
      <c r="I755" s="439">
        <f>IF(OR(ISBLANK(A755),ISNA(MATCH(A755&amp;"",AthleteNumbers,0))),0,MATCH(A755&amp;"",AthleteNumbers,0))</f>
        <v>0</v>
      </c>
      <c r="J755" s="209">
        <f t="array" ref="J755">IF(I755&gt;0,INDEX(DB,$I755,6),0)</f>
        <v>0</v>
      </c>
      <c r="K755" s="440">
        <f t="shared" si="5"/>
        <v>0</v>
      </c>
      <c r="L755" s="440">
        <f t="shared" si="6"/>
        <v>0</v>
      </c>
      <c r="M755" s="441">
        <f>IF(AND(L755&gt;O755,O755&gt;0),MinPoints,IF(L755&lt;N755,100,+INT((O755-$L755)/P755)+MinPoints))</f>
        <v>100</v>
      </c>
      <c r="N755" s="440">
        <f t="shared" si="7"/>
        <v>7</v>
      </c>
      <c r="O755" s="440">
        <f t="shared" si="8"/>
        <v>16</v>
      </c>
      <c r="P755" s="440">
        <f t="shared" si="9"/>
        <v>0.1</v>
      </c>
      <c r="Q755">
        <f t="array" ref="Q755">IF(I755&gt;0,INDEX(DB,I755,9),EventIndex)</f>
        <v>6</v>
      </c>
      <c r="S755" s="442">
        <f t="array" ref="S755">INDEX(MINVALUES,$Q755,$K$1)</f>
        <v>16</v>
      </c>
      <c r="T755">
        <f t="array" ref="T755">INDEX(INCVALUES,$Q755,$K$1)</f>
        <v>0.1</v>
      </c>
      <c r="V755">
        <f t="array" ref="V755">+J755+(4*(INDEX(MatchScoreTable,$Q755,20)-1))</f>
        <v>4</v>
      </c>
      <c r="W755">
        <f t="array" ref="W755">INDEX(INC_MINVALUES,$V755,$K$1)</f>
        <v>34</v>
      </c>
      <c r="X755" s="212">
        <f t="array" ref="X755">INDEX(INC_INCVALUES,$V755,$K$1)</f>
        <v>0.3</v>
      </c>
    </row>
    <row r="756" ht="15.75" customHeight="1">
      <c r="A756" s="435"/>
      <c r="B756" s="436"/>
      <c r="C756" s="95" t="str">
        <f t="array" ref="C756">IF(I756&gt;0,INDEX(DB,I756,8),"")</f>
        <v/>
      </c>
      <c r="D756" s="437">
        <f t="shared" si="1"/>
        <v>0</v>
      </c>
      <c r="F756" s="438">
        <f t="shared" si="2"/>
        <v>0</v>
      </c>
      <c r="G756" t="str">
        <f t="shared" si="3"/>
        <v/>
      </c>
      <c r="H756" t="b">
        <f t="shared" si="4"/>
        <v>0</v>
      </c>
      <c r="I756" s="439">
        <f>IF(OR(ISBLANK(A756),ISNA(MATCH(A756&amp;"",AthleteNumbers,0))),0,MATCH(A756&amp;"",AthleteNumbers,0))</f>
        <v>0</v>
      </c>
      <c r="J756" s="209">
        <f t="array" ref="J756">IF(I756&gt;0,INDEX(DB,$I756,6),0)</f>
        <v>0</v>
      </c>
      <c r="K756" s="440">
        <f t="shared" si="5"/>
        <v>0</v>
      </c>
      <c r="L756" s="440">
        <f t="shared" si="6"/>
        <v>0</v>
      </c>
      <c r="M756" s="441">
        <f>IF(AND(L756&gt;O756,O756&gt;0),MinPoints,IF(L756&lt;N756,100,+INT((O756-$L756)/P756)+MinPoints))</f>
        <v>100</v>
      </c>
      <c r="N756" s="440">
        <f t="shared" si="7"/>
        <v>7</v>
      </c>
      <c r="O756" s="440">
        <f t="shared" si="8"/>
        <v>16</v>
      </c>
      <c r="P756" s="440">
        <f t="shared" si="9"/>
        <v>0.1</v>
      </c>
      <c r="Q756">
        <f t="array" ref="Q756">IF(I756&gt;0,INDEX(DB,I756,9),EventIndex)</f>
        <v>6</v>
      </c>
      <c r="S756" s="442">
        <f t="array" ref="S756">INDEX(MINVALUES,$Q756,$K$1)</f>
        <v>16</v>
      </c>
      <c r="T756">
        <f t="array" ref="T756">INDEX(INCVALUES,$Q756,$K$1)</f>
        <v>0.1</v>
      </c>
      <c r="V756">
        <f t="array" ref="V756">+J756+(4*(INDEX(MatchScoreTable,$Q756,20)-1))</f>
        <v>4</v>
      </c>
      <c r="W756">
        <f t="array" ref="W756">INDEX(INC_MINVALUES,$V756,$K$1)</f>
        <v>34</v>
      </c>
      <c r="X756" s="212">
        <f t="array" ref="X756">INDEX(INC_INCVALUES,$V756,$K$1)</f>
        <v>0.3</v>
      </c>
    </row>
    <row r="757" ht="15.75" customHeight="1">
      <c r="A757" s="435"/>
      <c r="B757" s="436"/>
      <c r="C757" s="95" t="str">
        <f t="array" ref="C757">IF(I757&gt;0,INDEX(DB,I757,8),"")</f>
        <v/>
      </c>
      <c r="D757" s="437">
        <f t="shared" si="1"/>
        <v>0</v>
      </c>
      <c r="F757" s="438">
        <f t="shared" si="2"/>
        <v>0</v>
      </c>
      <c r="G757" t="str">
        <f t="shared" si="3"/>
        <v/>
      </c>
      <c r="H757" t="b">
        <f t="shared" si="4"/>
        <v>0</v>
      </c>
      <c r="I757" s="439">
        <f>IF(OR(ISBLANK(A757),ISNA(MATCH(A757&amp;"",AthleteNumbers,0))),0,MATCH(A757&amp;"",AthleteNumbers,0))</f>
        <v>0</v>
      </c>
      <c r="J757" s="209">
        <f t="array" ref="J757">IF(I757&gt;0,INDEX(DB,$I757,6),0)</f>
        <v>0</v>
      </c>
      <c r="K757" s="440">
        <f t="shared" si="5"/>
        <v>0</v>
      </c>
      <c r="L757" s="440">
        <f t="shared" si="6"/>
        <v>0</v>
      </c>
      <c r="M757" s="441">
        <f>IF(AND(L757&gt;O757,O757&gt;0),MinPoints,IF(L757&lt;N757,100,+INT((O757-$L757)/P757)+MinPoints))</f>
        <v>100</v>
      </c>
      <c r="N757" s="440">
        <f t="shared" si="7"/>
        <v>7</v>
      </c>
      <c r="O757" s="440">
        <f t="shared" si="8"/>
        <v>16</v>
      </c>
      <c r="P757" s="440">
        <f t="shared" si="9"/>
        <v>0.1</v>
      </c>
      <c r="Q757">
        <f t="array" ref="Q757">IF(I757&gt;0,INDEX(DB,I757,9),EventIndex)</f>
        <v>6</v>
      </c>
      <c r="S757" s="442">
        <f t="array" ref="S757">INDEX(MINVALUES,$Q757,$K$1)</f>
        <v>16</v>
      </c>
      <c r="T757">
        <f t="array" ref="T757">INDEX(INCVALUES,$Q757,$K$1)</f>
        <v>0.1</v>
      </c>
      <c r="V757">
        <f t="array" ref="V757">+J757+(4*(INDEX(MatchScoreTable,$Q757,20)-1))</f>
        <v>4</v>
      </c>
      <c r="W757">
        <f t="array" ref="W757">INDEX(INC_MINVALUES,$V757,$K$1)</f>
        <v>34</v>
      </c>
      <c r="X757" s="212">
        <f t="array" ref="X757">INDEX(INC_INCVALUES,$V757,$K$1)</f>
        <v>0.3</v>
      </c>
    </row>
    <row r="758" ht="15.75" customHeight="1">
      <c r="A758" s="435"/>
      <c r="B758" s="436"/>
      <c r="C758" s="95" t="str">
        <f t="array" ref="C758">IF(I758&gt;0,INDEX(DB,I758,8),"")</f>
        <v/>
      </c>
      <c r="D758" s="437">
        <f t="shared" si="1"/>
        <v>0</v>
      </c>
      <c r="F758" s="438">
        <f t="shared" si="2"/>
        <v>0</v>
      </c>
      <c r="G758" t="str">
        <f t="shared" si="3"/>
        <v/>
      </c>
      <c r="H758" t="b">
        <f t="shared" si="4"/>
        <v>0</v>
      </c>
      <c r="I758" s="439">
        <f>IF(OR(ISBLANK(A758),ISNA(MATCH(A758&amp;"",AthleteNumbers,0))),0,MATCH(A758&amp;"",AthleteNumbers,0))</f>
        <v>0</v>
      </c>
      <c r="J758" s="209">
        <f t="array" ref="J758">IF(I758&gt;0,INDEX(DB,$I758,6),0)</f>
        <v>0</v>
      </c>
      <c r="K758" s="440">
        <f t="shared" si="5"/>
        <v>0</v>
      </c>
      <c r="L758" s="440">
        <f t="shared" si="6"/>
        <v>0</v>
      </c>
      <c r="M758" s="441">
        <f>IF(AND(L758&gt;O758,O758&gt;0),MinPoints,IF(L758&lt;N758,100,+INT((O758-$L758)/P758)+MinPoints))</f>
        <v>100</v>
      </c>
      <c r="N758" s="440">
        <f t="shared" si="7"/>
        <v>7</v>
      </c>
      <c r="O758" s="440">
        <f t="shared" si="8"/>
        <v>16</v>
      </c>
      <c r="P758" s="440">
        <f t="shared" si="9"/>
        <v>0.1</v>
      </c>
      <c r="Q758">
        <f t="array" ref="Q758">IF(I758&gt;0,INDEX(DB,I758,9),EventIndex)</f>
        <v>6</v>
      </c>
      <c r="S758" s="442">
        <f t="array" ref="S758">INDEX(MINVALUES,$Q758,$K$1)</f>
        <v>16</v>
      </c>
      <c r="T758">
        <f t="array" ref="T758">INDEX(INCVALUES,$Q758,$K$1)</f>
        <v>0.1</v>
      </c>
      <c r="V758">
        <f t="array" ref="V758">+J758+(4*(INDEX(MatchScoreTable,$Q758,20)-1))</f>
        <v>4</v>
      </c>
      <c r="W758">
        <f t="array" ref="W758">INDEX(INC_MINVALUES,$V758,$K$1)</f>
        <v>34</v>
      </c>
      <c r="X758" s="212">
        <f t="array" ref="X758">INDEX(INC_INCVALUES,$V758,$K$1)</f>
        <v>0.3</v>
      </c>
    </row>
    <row r="759" ht="15.75" customHeight="1">
      <c r="A759" s="435"/>
      <c r="B759" s="436"/>
      <c r="C759" s="95" t="str">
        <f t="array" ref="C759">IF(I759&gt;0,INDEX(DB,I759,8),"")</f>
        <v/>
      </c>
      <c r="D759" s="437">
        <f t="shared" si="1"/>
        <v>0</v>
      </c>
      <c r="F759" s="438">
        <f t="shared" si="2"/>
        <v>0</v>
      </c>
      <c r="G759" t="str">
        <f t="shared" si="3"/>
        <v/>
      </c>
      <c r="H759" t="b">
        <f t="shared" si="4"/>
        <v>0</v>
      </c>
      <c r="I759" s="439">
        <f>IF(OR(ISBLANK(A759),ISNA(MATCH(A759&amp;"",AthleteNumbers,0))),0,MATCH(A759&amp;"",AthleteNumbers,0))</f>
        <v>0</v>
      </c>
      <c r="J759" s="209">
        <f t="array" ref="J759">IF(I759&gt;0,INDEX(DB,$I759,6),0)</f>
        <v>0</v>
      </c>
      <c r="K759" s="440">
        <f t="shared" si="5"/>
        <v>0</v>
      </c>
      <c r="L759" s="440">
        <f t="shared" si="6"/>
        <v>0</v>
      </c>
      <c r="M759" s="441">
        <f>IF(AND(L759&gt;O759,O759&gt;0),MinPoints,IF(L759&lt;N759,100,+INT((O759-$L759)/P759)+MinPoints))</f>
        <v>100</v>
      </c>
      <c r="N759" s="440">
        <f t="shared" si="7"/>
        <v>7</v>
      </c>
      <c r="O759" s="440">
        <f t="shared" si="8"/>
        <v>16</v>
      </c>
      <c r="P759" s="440">
        <f t="shared" si="9"/>
        <v>0.1</v>
      </c>
      <c r="Q759">
        <f t="array" ref="Q759">IF(I759&gt;0,INDEX(DB,I759,9),EventIndex)</f>
        <v>6</v>
      </c>
      <c r="S759" s="442">
        <f t="array" ref="S759">INDEX(MINVALUES,$Q759,$K$1)</f>
        <v>16</v>
      </c>
      <c r="T759">
        <f t="array" ref="T759">INDEX(INCVALUES,$Q759,$K$1)</f>
        <v>0.1</v>
      </c>
      <c r="V759">
        <f t="array" ref="V759">+J759+(4*(INDEX(MatchScoreTable,$Q759,20)-1))</f>
        <v>4</v>
      </c>
      <c r="W759">
        <f t="array" ref="W759">INDEX(INC_MINVALUES,$V759,$K$1)</f>
        <v>34</v>
      </c>
      <c r="X759" s="212">
        <f t="array" ref="X759">INDEX(INC_INCVALUES,$V759,$K$1)</f>
        <v>0.3</v>
      </c>
    </row>
    <row r="760" ht="15.75" customHeight="1">
      <c r="A760" s="435"/>
      <c r="B760" s="436"/>
      <c r="C760" s="95" t="str">
        <f t="array" ref="C760">IF(I760&gt;0,INDEX(DB,I760,8),"")</f>
        <v/>
      </c>
      <c r="D760" s="437">
        <f t="shared" si="1"/>
        <v>0</v>
      </c>
      <c r="F760" s="438">
        <f t="shared" si="2"/>
        <v>0</v>
      </c>
      <c r="G760" t="str">
        <f t="shared" si="3"/>
        <v/>
      </c>
      <c r="H760" t="b">
        <f t="shared" si="4"/>
        <v>0</v>
      </c>
      <c r="I760" s="439">
        <f>IF(OR(ISBLANK(A760),ISNA(MATCH(A760&amp;"",AthleteNumbers,0))),0,MATCH(A760&amp;"",AthleteNumbers,0))</f>
        <v>0</v>
      </c>
      <c r="J760" s="209">
        <f t="array" ref="J760">IF(I760&gt;0,INDEX(DB,$I760,6),0)</f>
        <v>0</v>
      </c>
      <c r="K760" s="440">
        <f t="shared" si="5"/>
        <v>0</v>
      </c>
      <c r="L760" s="440">
        <f t="shared" si="6"/>
        <v>0</v>
      </c>
      <c r="M760" s="441">
        <f>IF(AND(L760&gt;O760,O760&gt;0),MinPoints,IF(L760&lt;N760,100,+INT((O760-$L760)/P760)+MinPoints))</f>
        <v>100</v>
      </c>
      <c r="N760" s="440">
        <f t="shared" si="7"/>
        <v>7</v>
      </c>
      <c r="O760" s="440">
        <f t="shared" si="8"/>
        <v>16</v>
      </c>
      <c r="P760" s="440">
        <f t="shared" si="9"/>
        <v>0.1</v>
      </c>
      <c r="Q760">
        <f t="array" ref="Q760">IF(I760&gt;0,INDEX(DB,I760,9),EventIndex)</f>
        <v>6</v>
      </c>
      <c r="S760" s="442">
        <f t="array" ref="S760">INDEX(MINVALUES,$Q760,$K$1)</f>
        <v>16</v>
      </c>
      <c r="T760">
        <f t="array" ref="T760">INDEX(INCVALUES,$Q760,$K$1)</f>
        <v>0.1</v>
      </c>
      <c r="V760">
        <f t="array" ref="V760">+J760+(4*(INDEX(MatchScoreTable,$Q760,20)-1))</f>
        <v>4</v>
      </c>
      <c r="W760">
        <f t="array" ref="W760">INDEX(INC_MINVALUES,$V760,$K$1)</f>
        <v>34</v>
      </c>
      <c r="X760" s="212">
        <f t="array" ref="X760">INDEX(INC_INCVALUES,$V760,$K$1)</f>
        <v>0.3</v>
      </c>
    </row>
    <row r="761" ht="15.75" customHeight="1">
      <c r="A761" s="435"/>
      <c r="B761" s="436"/>
      <c r="C761" s="95" t="str">
        <f t="array" ref="C761">IF(I761&gt;0,INDEX(DB,I761,8),"")</f>
        <v/>
      </c>
      <c r="D761" s="437">
        <f t="shared" si="1"/>
        <v>0</v>
      </c>
      <c r="F761" s="438">
        <f t="shared" si="2"/>
        <v>0</v>
      </c>
      <c r="G761" t="str">
        <f t="shared" si="3"/>
        <v/>
      </c>
      <c r="H761" t="b">
        <f t="shared" si="4"/>
        <v>0</v>
      </c>
      <c r="I761" s="439">
        <f>IF(OR(ISBLANK(A761),ISNA(MATCH(A761&amp;"",AthleteNumbers,0))),0,MATCH(A761&amp;"",AthleteNumbers,0))</f>
        <v>0</v>
      </c>
      <c r="J761" s="209">
        <f t="array" ref="J761">IF(I761&gt;0,INDEX(DB,$I761,6),0)</f>
        <v>0</v>
      </c>
      <c r="K761" s="440">
        <f t="shared" si="5"/>
        <v>0</v>
      </c>
      <c r="L761" s="440">
        <f t="shared" si="6"/>
        <v>0</v>
      </c>
      <c r="M761" s="441">
        <f>IF(AND(L761&gt;O761,O761&gt;0),MinPoints,IF(L761&lt;N761,100,+INT((O761-$L761)/P761)+MinPoints))</f>
        <v>100</v>
      </c>
      <c r="N761" s="440">
        <f t="shared" si="7"/>
        <v>7</v>
      </c>
      <c r="O761" s="440">
        <f t="shared" si="8"/>
        <v>16</v>
      </c>
      <c r="P761" s="440">
        <f t="shared" si="9"/>
        <v>0.1</v>
      </c>
      <c r="Q761">
        <f t="array" ref="Q761">IF(I761&gt;0,INDEX(DB,I761,9),EventIndex)</f>
        <v>6</v>
      </c>
      <c r="S761" s="442">
        <f t="array" ref="S761">INDEX(MINVALUES,$Q761,$K$1)</f>
        <v>16</v>
      </c>
      <c r="T761">
        <f t="array" ref="T761">INDEX(INCVALUES,$Q761,$K$1)</f>
        <v>0.1</v>
      </c>
      <c r="V761">
        <f t="array" ref="V761">+J761+(4*(INDEX(MatchScoreTable,$Q761,20)-1))</f>
        <v>4</v>
      </c>
      <c r="W761">
        <f t="array" ref="W761">INDEX(INC_MINVALUES,$V761,$K$1)</f>
        <v>34</v>
      </c>
      <c r="X761" s="212">
        <f t="array" ref="X761">INDEX(INC_INCVALUES,$V761,$K$1)</f>
        <v>0.3</v>
      </c>
    </row>
    <row r="762" ht="15.75" customHeight="1">
      <c r="A762" s="435"/>
      <c r="B762" s="436"/>
      <c r="C762" s="95" t="str">
        <f t="array" ref="C762">IF(I762&gt;0,INDEX(DB,I762,8),"")</f>
        <v/>
      </c>
      <c r="D762" s="437">
        <f t="shared" si="1"/>
        <v>0</v>
      </c>
      <c r="F762" s="438">
        <f t="shared" si="2"/>
        <v>0</v>
      </c>
      <c r="G762" t="str">
        <f t="shared" si="3"/>
        <v/>
      </c>
      <c r="H762" t="b">
        <f t="shared" si="4"/>
        <v>0</v>
      </c>
      <c r="I762" s="439">
        <f>IF(OR(ISBLANK(A762),ISNA(MATCH(A762&amp;"",AthleteNumbers,0))),0,MATCH(A762&amp;"",AthleteNumbers,0))</f>
        <v>0</v>
      </c>
      <c r="J762" s="209">
        <f t="array" ref="J762">IF(I762&gt;0,INDEX(DB,$I762,6),0)</f>
        <v>0</v>
      </c>
      <c r="K762" s="440">
        <f t="shared" si="5"/>
        <v>0</v>
      </c>
      <c r="L762" s="440">
        <f t="shared" si="6"/>
        <v>0</v>
      </c>
      <c r="M762" s="441">
        <f>IF(AND(L762&gt;O762,O762&gt;0),MinPoints,IF(L762&lt;N762,100,+INT((O762-$L762)/P762)+MinPoints))</f>
        <v>100</v>
      </c>
      <c r="N762" s="440">
        <f t="shared" si="7"/>
        <v>7</v>
      </c>
      <c r="O762" s="440">
        <f t="shared" si="8"/>
        <v>16</v>
      </c>
      <c r="P762" s="440">
        <f t="shared" si="9"/>
        <v>0.1</v>
      </c>
      <c r="Q762">
        <f t="array" ref="Q762">IF(I762&gt;0,INDEX(DB,I762,9),EventIndex)</f>
        <v>6</v>
      </c>
      <c r="S762" s="442">
        <f t="array" ref="S762">INDEX(MINVALUES,$Q762,$K$1)</f>
        <v>16</v>
      </c>
      <c r="T762">
        <f t="array" ref="T762">INDEX(INCVALUES,$Q762,$K$1)</f>
        <v>0.1</v>
      </c>
      <c r="V762">
        <f t="array" ref="V762">+J762+(4*(INDEX(MatchScoreTable,$Q762,20)-1))</f>
        <v>4</v>
      </c>
      <c r="W762">
        <f t="array" ref="W762">INDEX(INC_MINVALUES,$V762,$K$1)</f>
        <v>34</v>
      </c>
      <c r="X762" s="212">
        <f t="array" ref="X762">INDEX(INC_INCVALUES,$V762,$K$1)</f>
        <v>0.3</v>
      </c>
    </row>
    <row r="763" ht="15.75" customHeight="1">
      <c r="A763" s="435"/>
      <c r="B763" s="436"/>
      <c r="C763" s="95" t="str">
        <f t="array" ref="C763">IF(I763&gt;0,INDEX(DB,I763,8),"")</f>
        <v/>
      </c>
      <c r="D763" s="437">
        <f t="shared" si="1"/>
        <v>0</v>
      </c>
      <c r="F763" s="438">
        <f t="shared" si="2"/>
        <v>0</v>
      </c>
      <c r="G763" t="str">
        <f t="shared" si="3"/>
        <v/>
      </c>
      <c r="H763" t="b">
        <f t="shared" si="4"/>
        <v>0</v>
      </c>
      <c r="I763" s="439">
        <f>IF(OR(ISBLANK(A763),ISNA(MATCH(A763&amp;"",AthleteNumbers,0))),0,MATCH(A763&amp;"",AthleteNumbers,0))</f>
        <v>0</v>
      </c>
      <c r="J763" s="209">
        <f t="array" ref="J763">IF(I763&gt;0,INDEX(DB,$I763,6),0)</f>
        <v>0</v>
      </c>
      <c r="K763" s="440">
        <f t="shared" si="5"/>
        <v>0</v>
      </c>
      <c r="L763" s="440">
        <f t="shared" si="6"/>
        <v>0</v>
      </c>
      <c r="M763" s="441">
        <f>IF(AND(L763&gt;O763,O763&gt;0),MinPoints,IF(L763&lt;N763,100,+INT((O763-$L763)/P763)+MinPoints))</f>
        <v>100</v>
      </c>
      <c r="N763" s="440">
        <f t="shared" si="7"/>
        <v>7</v>
      </c>
      <c r="O763" s="440">
        <f t="shared" si="8"/>
        <v>16</v>
      </c>
      <c r="P763" s="440">
        <f t="shared" si="9"/>
        <v>0.1</v>
      </c>
      <c r="Q763">
        <f t="array" ref="Q763">IF(I763&gt;0,INDEX(DB,I763,9),EventIndex)</f>
        <v>6</v>
      </c>
      <c r="S763" s="442">
        <f t="array" ref="S763">INDEX(MINVALUES,$Q763,$K$1)</f>
        <v>16</v>
      </c>
      <c r="T763">
        <f t="array" ref="T763">INDEX(INCVALUES,$Q763,$K$1)</f>
        <v>0.1</v>
      </c>
      <c r="V763">
        <f t="array" ref="V763">+J763+(4*(INDEX(MatchScoreTable,$Q763,20)-1))</f>
        <v>4</v>
      </c>
      <c r="W763">
        <f t="array" ref="W763">INDEX(INC_MINVALUES,$V763,$K$1)</f>
        <v>34</v>
      </c>
      <c r="X763" s="212">
        <f t="array" ref="X763">INDEX(INC_INCVALUES,$V763,$K$1)</f>
        <v>0.3</v>
      </c>
    </row>
    <row r="764" ht="15.75" customHeight="1">
      <c r="A764" s="435"/>
      <c r="B764" s="436"/>
      <c r="C764" s="95" t="str">
        <f t="array" ref="C764">IF(I764&gt;0,INDEX(DB,I764,8),"")</f>
        <v/>
      </c>
      <c r="D764" s="437">
        <f t="shared" si="1"/>
        <v>0</v>
      </c>
      <c r="F764" s="438">
        <f t="shared" si="2"/>
        <v>0</v>
      </c>
      <c r="G764" t="str">
        <f t="shared" si="3"/>
        <v/>
      </c>
      <c r="H764" t="b">
        <f t="shared" si="4"/>
        <v>0</v>
      </c>
      <c r="I764" s="439">
        <f>IF(OR(ISBLANK(A764),ISNA(MATCH(A764&amp;"",AthleteNumbers,0))),0,MATCH(A764&amp;"",AthleteNumbers,0))</f>
        <v>0</v>
      </c>
      <c r="J764" s="209">
        <f t="array" ref="J764">IF(I764&gt;0,INDEX(DB,$I764,6),0)</f>
        <v>0</v>
      </c>
      <c r="K764" s="440">
        <f t="shared" si="5"/>
        <v>0</v>
      </c>
      <c r="L764" s="440">
        <f t="shared" si="6"/>
        <v>0</v>
      </c>
      <c r="M764" s="441">
        <f>IF(AND(L764&gt;O764,O764&gt;0),MinPoints,IF(L764&lt;N764,100,+INT((O764-$L764)/P764)+MinPoints))</f>
        <v>100</v>
      </c>
      <c r="N764" s="440">
        <f t="shared" si="7"/>
        <v>7</v>
      </c>
      <c r="O764" s="440">
        <f t="shared" si="8"/>
        <v>16</v>
      </c>
      <c r="P764" s="440">
        <f t="shared" si="9"/>
        <v>0.1</v>
      </c>
      <c r="Q764">
        <f t="array" ref="Q764">IF(I764&gt;0,INDEX(DB,I764,9),EventIndex)</f>
        <v>6</v>
      </c>
      <c r="S764" s="442">
        <f t="array" ref="S764">INDEX(MINVALUES,$Q764,$K$1)</f>
        <v>16</v>
      </c>
      <c r="T764">
        <f t="array" ref="T764">INDEX(INCVALUES,$Q764,$K$1)</f>
        <v>0.1</v>
      </c>
      <c r="V764">
        <f t="array" ref="V764">+J764+(4*(INDEX(MatchScoreTable,$Q764,20)-1))</f>
        <v>4</v>
      </c>
      <c r="W764">
        <f t="array" ref="W764">INDEX(INC_MINVALUES,$V764,$K$1)</f>
        <v>34</v>
      </c>
      <c r="X764" s="212">
        <f t="array" ref="X764">INDEX(INC_INCVALUES,$V764,$K$1)</f>
        <v>0.3</v>
      </c>
    </row>
    <row r="765" ht="15.75" customHeight="1">
      <c r="A765" s="435"/>
      <c r="B765" s="436"/>
      <c r="C765" s="95" t="str">
        <f t="array" ref="C765">IF(I765&gt;0,INDEX(DB,I765,8),"")</f>
        <v/>
      </c>
      <c r="D765" s="437">
        <f t="shared" si="1"/>
        <v>0</v>
      </c>
      <c r="F765" s="438">
        <f t="shared" si="2"/>
        <v>0</v>
      </c>
      <c r="G765" t="str">
        <f t="shared" si="3"/>
        <v/>
      </c>
      <c r="H765" t="b">
        <f t="shared" si="4"/>
        <v>0</v>
      </c>
      <c r="I765" s="439">
        <f>IF(OR(ISBLANK(A765),ISNA(MATCH(A765&amp;"",AthleteNumbers,0))),0,MATCH(A765&amp;"",AthleteNumbers,0))</f>
        <v>0</v>
      </c>
      <c r="J765" s="209">
        <f t="array" ref="J765">IF(I765&gt;0,INDEX(DB,$I765,6),0)</f>
        <v>0</v>
      </c>
      <c r="K765" s="440">
        <f t="shared" si="5"/>
        <v>0</v>
      </c>
      <c r="L765" s="440">
        <f t="shared" si="6"/>
        <v>0</v>
      </c>
      <c r="M765" s="441">
        <f>IF(AND(L765&gt;O765,O765&gt;0),MinPoints,IF(L765&lt;N765,100,+INT((O765-$L765)/P765)+MinPoints))</f>
        <v>100</v>
      </c>
      <c r="N765" s="440">
        <f t="shared" si="7"/>
        <v>7</v>
      </c>
      <c r="O765" s="440">
        <f t="shared" si="8"/>
        <v>16</v>
      </c>
      <c r="P765" s="440">
        <f t="shared" si="9"/>
        <v>0.1</v>
      </c>
      <c r="Q765">
        <f t="array" ref="Q765">IF(I765&gt;0,INDEX(DB,I765,9),EventIndex)</f>
        <v>6</v>
      </c>
      <c r="S765" s="442">
        <f t="array" ref="S765">INDEX(MINVALUES,$Q765,$K$1)</f>
        <v>16</v>
      </c>
      <c r="T765">
        <f t="array" ref="T765">INDEX(INCVALUES,$Q765,$K$1)</f>
        <v>0.1</v>
      </c>
      <c r="V765">
        <f t="array" ref="V765">+J765+(4*(INDEX(MatchScoreTable,$Q765,20)-1))</f>
        <v>4</v>
      </c>
      <c r="W765">
        <f t="array" ref="W765">INDEX(INC_MINVALUES,$V765,$K$1)</f>
        <v>34</v>
      </c>
      <c r="X765" s="212">
        <f t="array" ref="X765">INDEX(INC_INCVALUES,$V765,$K$1)</f>
        <v>0.3</v>
      </c>
    </row>
    <row r="766" ht="15.75" customHeight="1">
      <c r="A766" s="435"/>
      <c r="B766" s="436"/>
      <c r="C766" s="95" t="str">
        <f t="array" ref="C766">IF(I766&gt;0,INDEX(DB,I766,8),"")</f>
        <v/>
      </c>
      <c r="D766" s="437">
        <f t="shared" si="1"/>
        <v>0</v>
      </c>
      <c r="F766" s="438">
        <f t="shared" si="2"/>
        <v>0</v>
      </c>
      <c r="G766" t="str">
        <f t="shared" si="3"/>
        <v/>
      </c>
      <c r="H766" t="b">
        <f t="shared" si="4"/>
        <v>0</v>
      </c>
      <c r="I766" s="439">
        <f>IF(OR(ISBLANK(A766),ISNA(MATCH(A766&amp;"",AthleteNumbers,0))),0,MATCH(A766&amp;"",AthleteNumbers,0))</f>
        <v>0</v>
      </c>
      <c r="J766" s="209">
        <f t="array" ref="J766">IF(I766&gt;0,INDEX(DB,$I766,6),0)</f>
        <v>0</v>
      </c>
      <c r="K766" s="440">
        <f t="shared" si="5"/>
        <v>0</v>
      </c>
      <c r="L766" s="440">
        <f t="shared" si="6"/>
        <v>0</v>
      </c>
      <c r="M766" s="441">
        <f>IF(AND(L766&gt;O766,O766&gt;0),MinPoints,IF(L766&lt;N766,100,+INT((O766-$L766)/P766)+MinPoints))</f>
        <v>100</v>
      </c>
      <c r="N766" s="440">
        <f t="shared" si="7"/>
        <v>7</v>
      </c>
      <c r="O766" s="440">
        <f t="shared" si="8"/>
        <v>16</v>
      </c>
      <c r="P766" s="440">
        <f t="shared" si="9"/>
        <v>0.1</v>
      </c>
      <c r="Q766">
        <f t="array" ref="Q766">IF(I766&gt;0,INDEX(DB,I766,9),EventIndex)</f>
        <v>6</v>
      </c>
      <c r="S766" s="442">
        <f t="array" ref="S766">INDEX(MINVALUES,$Q766,$K$1)</f>
        <v>16</v>
      </c>
      <c r="T766">
        <f t="array" ref="T766">INDEX(INCVALUES,$Q766,$K$1)</f>
        <v>0.1</v>
      </c>
      <c r="V766">
        <f t="array" ref="V766">+J766+(4*(INDEX(MatchScoreTable,$Q766,20)-1))</f>
        <v>4</v>
      </c>
      <c r="W766">
        <f t="array" ref="W766">INDEX(INC_MINVALUES,$V766,$K$1)</f>
        <v>34</v>
      </c>
      <c r="X766" s="212">
        <f t="array" ref="X766">INDEX(INC_INCVALUES,$V766,$K$1)</f>
        <v>0.3</v>
      </c>
    </row>
    <row r="767" ht="15.75" customHeight="1">
      <c r="A767" s="435"/>
      <c r="B767" s="436"/>
      <c r="C767" s="95" t="str">
        <f t="array" ref="C767">IF(I767&gt;0,INDEX(DB,I767,8),"")</f>
        <v/>
      </c>
      <c r="D767" s="437">
        <f t="shared" si="1"/>
        <v>0</v>
      </c>
      <c r="F767" s="438">
        <f t="shared" si="2"/>
        <v>0</v>
      </c>
      <c r="G767" t="str">
        <f t="shared" si="3"/>
        <v/>
      </c>
      <c r="H767" t="b">
        <f t="shared" si="4"/>
        <v>0</v>
      </c>
      <c r="I767" s="439">
        <f>IF(OR(ISBLANK(A767),ISNA(MATCH(A767&amp;"",AthleteNumbers,0))),0,MATCH(A767&amp;"",AthleteNumbers,0))</f>
        <v>0</v>
      </c>
      <c r="J767" s="209">
        <f t="array" ref="J767">IF(I767&gt;0,INDEX(DB,$I767,6),0)</f>
        <v>0</v>
      </c>
      <c r="K767" s="440">
        <f t="shared" si="5"/>
        <v>0</v>
      </c>
      <c r="L767" s="440">
        <f t="shared" si="6"/>
        <v>0</v>
      </c>
      <c r="M767" s="441">
        <f>IF(AND(L767&gt;O767,O767&gt;0),MinPoints,IF(L767&lt;N767,100,+INT((O767-$L767)/P767)+MinPoints))</f>
        <v>100</v>
      </c>
      <c r="N767" s="440">
        <f t="shared" si="7"/>
        <v>7</v>
      </c>
      <c r="O767" s="440">
        <f t="shared" si="8"/>
        <v>16</v>
      </c>
      <c r="P767" s="440">
        <f t="shared" si="9"/>
        <v>0.1</v>
      </c>
      <c r="Q767">
        <f t="array" ref="Q767">IF(I767&gt;0,INDEX(DB,I767,9),EventIndex)</f>
        <v>6</v>
      </c>
      <c r="S767" s="442">
        <f t="array" ref="S767">INDEX(MINVALUES,$Q767,$K$1)</f>
        <v>16</v>
      </c>
      <c r="T767">
        <f t="array" ref="T767">INDEX(INCVALUES,$Q767,$K$1)</f>
        <v>0.1</v>
      </c>
      <c r="V767">
        <f t="array" ref="V767">+J767+(4*(INDEX(MatchScoreTable,$Q767,20)-1))</f>
        <v>4</v>
      </c>
      <c r="W767">
        <f t="array" ref="W767">INDEX(INC_MINVALUES,$V767,$K$1)</f>
        <v>34</v>
      </c>
      <c r="X767" s="212">
        <f t="array" ref="X767">INDEX(INC_INCVALUES,$V767,$K$1)</f>
        <v>0.3</v>
      </c>
    </row>
    <row r="768" ht="15.75" customHeight="1">
      <c r="A768" s="435"/>
      <c r="B768" s="436"/>
      <c r="C768" s="95" t="str">
        <f t="array" ref="C768">IF(I768&gt;0,INDEX(DB,I768,8),"")</f>
        <v/>
      </c>
      <c r="D768" s="437">
        <f t="shared" si="1"/>
        <v>0</v>
      </c>
      <c r="F768" s="438">
        <f t="shared" si="2"/>
        <v>0</v>
      </c>
      <c r="G768" t="str">
        <f t="shared" si="3"/>
        <v/>
      </c>
      <c r="H768" t="b">
        <f t="shared" si="4"/>
        <v>0</v>
      </c>
      <c r="I768" s="439">
        <f>IF(OR(ISBLANK(A768),ISNA(MATCH(A768&amp;"",AthleteNumbers,0))),0,MATCH(A768&amp;"",AthleteNumbers,0))</f>
        <v>0</v>
      </c>
      <c r="J768" s="209">
        <f t="array" ref="J768">IF(I768&gt;0,INDEX(DB,$I768,6),0)</f>
        <v>0</v>
      </c>
      <c r="K768" s="440">
        <f t="shared" si="5"/>
        <v>0</v>
      </c>
      <c r="L768" s="440">
        <f t="shared" si="6"/>
        <v>0</v>
      </c>
      <c r="M768" s="441">
        <f>IF(AND(L768&gt;O768,O768&gt;0),MinPoints,IF(L768&lt;N768,100,+INT((O768-$L768)/P768)+MinPoints))</f>
        <v>100</v>
      </c>
      <c r="N768" s="440">
        <f t="shared" si="7"/>
        <v>7</v>
      </c>
      <c r="O768" s="440">
        <f t="shared" si="8"/>
        <v>16</v>
      </c>
      <c r="P768" s="440">
        <f t="shared" si="9"/>
        <v>0.1</v>
      </c>
      <c r="Q768">
        <f t="array" ref="Q768">IF(I768&gt;0,INDEX(DB,I768,9),EventIndex)</f>
        <v>6</v>
      </c>
      <c r="S768" s="442">
        <f t="array" ref="S768">INDEX(MINVALUES,$Q768,$K$1)</f>
        <v>16</v>
      </c>
      <c r="T768">
        <f t="array" ref="T768">INDEX(INCVALUES,$Q768,$K$1)</f>
        <v>0.1</v>
      </c>
      <c r="V768">
        <f t="array" ref="V768">+J768+(4*(INDEX(MatchScoreTable,$Q768,20)-1))</f>
        <v>4</v>
      </c>
      <c r="W768">
        <f t="array" ref="W768">INDEX(INC_MINVALUES,$V768,$K$1)</f>
        <v>34</v>
      </c>
      <c r="X768" s="212">
        <f t="array" ref="X768">INDEX(INC_INCVALUES,$V768,$K$1)</f>
        <v>0.3</v>
      </c>
    </row>
    <row r="769" ht="15.75" customHeight="1">
      <c r="A769" s="435"/>
      <c r="B769" s="436"/>
      <c r="C769" s="95" t="str">
        <f t="array" ref="C769">IF(I769&gt;0,INDEX(DB,I769,8),"")</f>
        <v/>
      </c>
      <c r="D769" s="437">
        <f t="shared" si="1"/>
        <v>0</v>
      </c>
      <c r="F769" s="438">
        <f t="shared" si="2"/>
        <v>0</v>
      </c>
      <c r="G769" t="str">
        <f t="shared" si="3"/>
        <v/>
      </c>
      <c r="H769" t="b">
        <f t="shared" si="4"/>
        <v>0</v>
      </c>
      <c r="I769" s="439">
        <f>IF(OR(ISBLANK(A769),ISNA(MATCH(A769&amp;"",AthleteNumbers,0))),0,MATCH(A769&amp;"",AthleteNumbers,0))</f>
        <v>0</v>
      </c>
      <c r="J769" s="209">
        <f t="array" ref="J769">IF(I769&gt;0,INDEX(DB,$I769,6),0)</f>
        <v>0</v>
      </c>
      <c r="K769" s="440">
        <f t="shared" si="5"/>
        <v>0</v>
      </c>
      <c r="L769" s="440">
        <f t="shared" si="6"/>
        <v>0</v>
      </c>
      <c r="M769" s="441">
        <f>IF(AND(L769&gt;O769,O769&gt;0),MinPoints,IF(L769&lt;N769,100,+INT((O769-$L769)/P769)+MinPoints))</f>
        <v>100</v>
      </c>
      <c r="N769" s="440">
        <f t="shared" si="7"/>
        <v>7</v>
      </c>
      <c r="O769" s="440">
        <f t="shared" si="8"/>
        <v>16</v>
      </c>
      <c r="P769" s="440">
        <f t="shared" si="9"/>
        <v>0.1</v>
      </c>
      <c r="Q769">
        <f t="array" ref="Q769">IF(I769&gt;0,INDEX(DB,I769,9),EventIndex)</f>
        <v>6</v>
      </c>
      <c r="S769" s="442">
        <f t="array" ref="S769">INDEX(MINVALUES,$Q769,$K$1)</f>
        <v>16</v>
      </c>
      <c r="T769">
        <f t="array" ref="T769">INDEX(INCVALUES,$Q769,$K$1)</f>
        <v>0.1</v>
      </c>
      <c r="V769">
        <f t="array" ref="V769">+J769+(4*(INDEX(MatchScoreTable,$Q769,20)-1))</f>
        <v>4</v>
      </c>
      <c r="W769">
        <f t="array" ref="W769">INDEX(INC_MINVALUES,$V769,$K$1)</f>
        <v>34</v>
      </c>
      <c r="X769" s="212">
        <f t="array" ref="X769">INDEX(INC_INCVALUES,$V769,$K$1)</f>
        <v>0.3</v>
      </c>
    </row>
    <row r="770" ht="15.75" customHeight="1">
      <c r="A770" s="435"/>
      <c r="B770" s="436"/>
      <c r="C770" s="95" t="str">
        <f t="array" ref="C770">IF(I770&gt;0,INDEX(DB,I770,8),"")</f>
        <v/>
      </c>
      <c r="D770" s="437">
        <f t="shared" si="1"/>
        <v>0</v>
      </c>
      <c r="F770" s="438">
        <f t="shared" si="2"/>
        <v>0</v>
      </c>
      <c r="G770" t="str">
        <f t="shared" si="3"/>
        <v/>
      </c>
      <c r="H770" t="b">
        <f t="shared" si="4"/>
        <v>0</v>
      </c>
      <c r="I770" s="439">
        <f>IF(OR(ISBLANK(A770),ISNA(MATCH(A770&amp;"",AthleteNumbers,0))),0,MATCH(A770&amp;"",AthleteNumbers,0))</f>
        <v>0</v>
      </c>
      <c r="J770" s="209">
        <f t="array" ref="J770">IF(I770&gt;0,INDEX(DB,$I770,6),0)</f>
        <v>0</v>
      </c>
      <c r="K770" s="440">
        <f t="shared" si="5"/>
        <v>0</v>
      </c>
      <c r="L770" s="440">
        <f t="shared" si="6"/>
        <v>0</v>
      </c>
      <c r="M770" s="441">
        <f>IF(AND(L770&gt;O770,O770&gt;0),MinPoints,IF(L770&lt;N770,100,+INT((O770-$L770)/P770)+MinPoints))</f>
        <v>100</v>
      </c>
      <c r="N770" s="440">
        <f t="shared" si="7"/>
        <v>7</v>
      </c>
      <c r="O770" s="440">
        <f t="shared" si="8"/>
        <v>16</v>
      </c>
      <c r="P770" s="440">
        <f t="shared" si="9"/>
        <v>0.1</v>
      </c>
      <c r="Q770">
        <f t="array" ref="Q770">IF(I770&gt;0,INDEX(DB,I770,9),EventIndex)</f>
        <v>6</v>
      </c>
      <c r="S770" s="442">
        <f t="array" ref="S770">INDEX(MINVALUES,$Q770,$K$1)</f>
        <v>16</v>
      </c>
      <c r="T770">
        <f t="array" ref="T770">INDEX(INCVALUES,$Q770,$K$1)</f>
        <v>0.1</v>
      </c>
      <c r="V770">
        <f t="array" ref="V770">+J770+(4*(INDEX(MatchScoreTable,$Q770,20)-1))</f>
        <v>4</v>
      </c>
      <c r="W770">
        <f t="array" ref="W770">INDEX(INC_MINVALUES,$V770,$K$1)</f>
        <v>34</v>
      </c>
      <c r="X770" s="212">
        <f t="array" ref="X770">INDEX(INC_INCVALUES,$V770,$K$1)</f>
        <v>0.3</v>
      </c>
    </row>
    <row r="771" ht="15.75" customHeight="1">
      <c r="A771" s="435"/>
      <c r="B771" s="436"/>
      <c r="C771" s="95" t="str">
        <f t="array" ref="C771">IF(I771&gt;0,INDEX(DB,I771,8),"")</f>
        <v/>
      </c>
      <c r="D771" s="437">
        <f t="shared" si="1"/>
        <v>0</v>
      </c>
      <c r="F771" s="438">
        <f t="shared" si="2"/>
        <v>0</v>
      </c>
      <c r="G771" t="str">
        <f t="shared" si="3"/>
        <v/>
      </c>
      <c r="H771" t="b">
        <f t="shared" si="4"/>
        <v>0</v>
      </c>
      <c r="I771" s="439">
        <f>IF(OR(ISBLANK(A771),ISNA(MATCH(A771&amp;"",AthleteNumbers,0))),0,MATCH(A771&amp;"",AthleteNumbers,0))</f>
        <v>0</v>
      </c>
      <c r="J771" s="209">
        <f t="array" ref="J771">IF(I771&gt;0,INDEX(DB,$I771,6),0)</f>
        <v>0</v>
      </c>
      <c r="K771" s="440">
        <f t="shared" si="5"/>
        <v>0</v>
      </c>
      <c r="L771" s="440">
        <f t="shared" si="6"/>
        <v>0</v>
      </c>
      <c r="M771" s="441">
        <f>IF(AND(L771&gt;O771,O771&gt;0),MinPoints,IF(L771&lt;N771,100,+INT((O771-$L771)/P771)+MinPoints))</f>
        <v>100</v>
      </c>
      <c r="N771" s="440">
        <f t="shared" si="7"/>
        <v>7</v>
      </c>
      <c r="O771" s="440">
        <f t="shared" si="8"/>
        <v>16</v>
      </c>
      <c r="P771" s="440">
        <f t="shared" si="9"/>
        <v>0.1</v>
      </c>
      <c r="Q771">
        <f t="array" ref="Q771">IF(I771&gt;0,INDEX(DB,I771,9),EventIndex)</f>
        <v>6</v>
      </c>
      <c r="S771" s="442">
        <f t="array" ref="S771">INDEX(MINVALUES,$Q771,$K$1)</f>
        <v>16</v>
      </c>
      <c r="T771">
        <f t="array" ref="T771">INDEX(INCVALUES,$Q771,$K$1)</f>
        <v>0.1</v>
      </c>
      <c r="V771">
        <f t="array" ref="V771">+J771+(4*(INDEX(MatchScoreTable,$Q771,20)-1))</f>
        <v>4</v>
      </c>
      <c r="W771">
        <f t="array" ref="W771">INDEX(INC_MINVALUES,$V771,$K$1)</f>
        <v>34</v>
      </c>
      <c r="X771" s="212">
        <f t="array" ref="X771">INDEX(INC_INCVALUES,$V771,$K$1)</f>
        <v>0.3</v>
      </c>
    </row>
    <row r="772" ht="15.75" customHeight="1">
      <c r="A772" s="435"/>
      <c r="B772" s="436"/>
      <c r="C772" s="95" t="str">
        <f t="array" ref="C772">IF(I772&gt;0,INDEX(DB,I772,8),"")</f>
        <v/>
      </c>
      <c r="D772" s="437">
        <f t="shared" si="1"/>
        <v>0</v>
      </c>
      <c r="F772" s="438">
        <f t="shared" si="2"/>
        <v>0</v>
      </c>
      <c r="G772" t="str">
        <f t="shared" si="3"/>
        <v/>
      </c>
      <c r="H772" t="b">
        <f t="shared" si="4"/>
        <v>0</v>
      </c>
      <c r="I772" s="439">
        <f>IF(OR(ISBLANK(A772),ISNA(MATCH(A772&amp;"",AthleteNumbers,0))),0,MATCH(A772&amp;"",AthleteNumbers,0))</f>
        <v>0</v>
      </c>
      <c r="J772" s="209">
        <f t="array" ref="J772">IF(I772&gt;0,INDEX(DB,$I772,6),0)</f>
        <v>0</v>
      </c>
      <c r="K772" s="440">
        <f t="shared" si="5"/>
        <v>0</v>
      </c>
      <c r="L772" s="440">
        <f t="shared" si="6"/>
        <v>0</v>
      </c>
      <c r="M772" s="441">
        <f>IF(AND(L772&gt;O772,O772&gt;0),MinPoints,IF(L772&lt;N772,100,+INT((O772-$L772)/P772)+MinPoints))</f>
        <v>100</v>
      </c>
      <c r="N772" s="440">
        <f t="shared" si="7"/>
        <v>7</v>
      </c>
      <c r="O772" s="440">
        <f t="shared" si="8"/>
        <v>16</v>
      </c>
      <c r="P772" s="440">
        <f t="shared" si="9"/>
        <v>0.1</v>
      </c>
      <c r="Q772">
        <f t="array" ref="Q772">IF(I772&gt;0,INDEX(DB,I772,9),EventIndex)</f>
        <v>6</v>
      </c>
      <c r="S772" s="442">
        <f t="array" ref="S772">INDEX(MINVALUES,$Q772,$K$1)</f>
        <v>16</v>
      </c>
      <c r="T772">
        <f t="array" ref="T772">INDEX(INCVALUES,$Q772,$K$1)</f>
        <v>0.1</v>
      </c>
      <c r="V772">
        <f t="array" ref="V772">+J772+(4*(INDEX(MatchScoreTable,$Q772,20)-1))</f>
        <v>4</v>
      </c>
      <c r="W772">
        <f t="array" ref="W772">INDEX(INC_MINVALUES,$V772,$K$1)</f>
        <v>34</v>
      </c>
      <c r="X772" s="212">
        <f t="array" ref="X772">INDEX(INC_INCVALUES,$V772,$K$1)</f>
        <v>0.3</v>
      </c>
    </row>
    <row r="773" ht="15.75" customHeight="1">
      <c r="A773" s="435"/>
      <c r="B773" s="436"/>
      <c r="C773" s="95" t="str">
        <f t="array" ref="C773">IF(I773&gt;0,INDEX(DB,I773,8),"")</f>
        <v/>
      </c>
      <c r="D773" s="437">
        <f t="shared" si="1"/>
        <v>0</v>
      </c>
      <c r="F773" s="438">
        <f t="shared" si="2"/>
        <v>0</v>
      </c>
      <c r="G773" t="str">
        <f t="shared" si="3"/>
        <v/>
      </c>
      <c r="H773" t="b">
        <f t="shared" si="4"/>
        <v>0</v>
      </c>
      <c r="I773" s="439">
        <f>IF(OR(ISBLANK(A773),ISNA(MATCH(A773&amp;"",AthleteNumbers,0))),0,MATCH(A773&amp;"",AthleteNumbers,0))</f>
        <v>0</v>
      </c>
      <c r="J773" s="209">
        <f t="array" ref="J773">IF(I773&gt;0,INDEX(DB,$I773,6),0)</f>
        <v>0</v>
      </c>
      <c r="K773" s="440">
        <f t="shared" si="5"/>
        <v>0</v>
      </c>
      <c r="L773" s="440">
        <f t="shared" si="6"/>
        <v>0</v>
      </c>
      <c r="M773" s="441">
        <f>IF(AND(L773&gt;O773,O773&gt;0),MinPoints,IF(L773&lt;N773,100,+INT((O773-$L773)/P773)+MinPoints))</f>
        <v>100</v>
      </c>
      <c r="N773" s="440">
        <f t="shared" si="7"/>
        <v>7</v>
      </c>
      <c r="O773" s="440">
        <f t="shared" si="8"/>
        <v>16</v>
      </c>
      <c r="P773" s="440">
        <f t="shared" si="9"/>
        <v>0.1</v>
      </c>
      <c r="Q773">
        <f t="array" ref="Q773">IF(I773&gt;0,INDEX(DB,I773,9),EventIndex)</f>
        <v>6</v>
      </c>
      <c r="S773" s="442">
        <f t="array" ref="S773">INDEX(MINVALUES,$Q773,$K$1)</f>
        <v>16</v>
      </c>
      <c r="T773">
        <f t="array" ref="T773">INDEX(INCVALUES,$Q773,$K$1)</f>
        <v>0.1</v>
      </c>
      <c r="V773">
        <f t="array" ref="V773">+J773+(4*(INDEX(MatchScoreTable,$Q773,20)-1))</f>
        <v>4</v>
      </c>
      <c r="W773">
        <f t="array" ref="W773">INDEX(INC_MINVALUES,$V773,$K$1)</f>
        <v>34</v>
      </c>
      <c r="X773" s="212">
        <f t="array" ref="X773">INDEX(INC_INCVALUES,$V773,$K$1)</f>
        <v>0.3</v>
      </c>
    </row>
    <row r="774" ht="15.75" customHeight="1">
      <c r="A774" s="435"/>
      <c r="B774" s="436"/>
      <c r="C774" s="95" t="str">
        <f t="array" ref="C774">IF(I774&gt;0,INDEX(DB,I774,8),"")</f>
        <v/>
      </c>
      <c r="D774" s="437">
        <f t="shared" si="1"/>
        <v>0</v>
      </c>
      <c r="F774" s="438">
        <f t="shared" si="2"/>
        <v>0</v>
      </c>
      <c r="G774" t="str">
        <f t="shared" si="3"/>
        <v/>
      </c>
      <c r="H774" t="b">
        <f t="shared" si="4"/>
        <v>0</v>
      </c>
      <c r="I774" s="439">
        <f>IF(OR(ISBLANK(A774),ISNA(MATCH(A774&amp;"",AthleteNumbers,0))),0,MATCH(A774&amp;"",AthleteNumbers,0))</f>
        <v>0</v>
      </c>
      <c r="J774" s="209">
        <f t="array" ref="J774">IF(I774&gt;0,INDEX(DB,$I774,6),0)</f>
        <v>0</v>
      </c>
      <c r="K774" s="440">
        <f t="shared" si="5"/>
        <v>0</v>
      </c>
      <c r="L774" s="440">
        <f t="shared" si="6"/>
        <v>0</v>
      </c>
      <c r="M774" s="441">
        <f>IF(AND(L774&gt;O774,O774&gt;0),MinPoints,IF(L774&lt;N774,100,+INT((O774-$L774)/P774)+MinPoints))</f>
        <v>100</v>
      </c>
      <c r="N774" s="440">
        <f t="shared" si="7"/>
        <v>7</v>
      </c>
      <c r="O774" s="440">
        <f t="shared" si="8"/>
        <v>16</v>
      </c>
      <c r="P774" s="440">
        <f t="shared" si="9"/>
        <v>0.1</v>
      </c>
      <c r="Q774">
        <f t="array" ref="Q774">IF(I774&gt;0,INDEX(DB,I774,9),EventIndex)</f>
        <v>6</v>
      </c>
      <c r="S774" s="442">
        <f t="array" ref="S774">INDEX(MINVALUES,$Q774,$K$1)</f>
        <v>16</v>
      </c>
      <c r="T774">
        <f t="array" ref="T774">INDEX(INCVALUES,$Q774,$K$1)</f>
        <v>0.1</v>
      </c>
      <c r="V774">
        <f t="array" ref="V774">+J774+(4*(INDEX(MatchScoreTable,$Q774,20)-1))</f>
        <v>4</v>
      </c>
      <c r="W774">
        <f t="array" ref="W774">INDEX(INC_MINVALUES,$V774,$K$1)</f>
        <v>34</v>
      </c>
      <c r="X774" s="212">
        <f t="array" ref="X774">INDEX(INC_INCVALUES,$V774,$K$1)</f>
        <v>0.3</v>
      </c>
    </row>
    <row r="775" ht="15.75" customHeight="1">
      <c r="A775" s="435"/>
      <c r="B775" s="436"/>
      <c r="C775" s="95" t="str">
        <f t="array" ref="C775">IF(I775&gt;0,INDEX(DB,I775,8),"")</f>
        <v/>
      </c>
      <c r="D775" s="437">
        <f t="shared" si="1"/>
        <v>0</v>
      </c>
      <c r="F775" s="438">
        <f t="shared" si="2"/>
        <v>0</v>
      </c>
      <c r="G775" t="str">
        <f t="shared" si="3"/>
        <v/>
      </c>
      <c r="H775" t="b">
        <f t="shared" si="4"/>
        <v>0</v>
      </c>
      <c r="I775" s="439">
        <f>IF(OR(ISBLANK(A775),ISNA(MATCH(A775&amp;"",AthleteNumbers,0))),0,MATCH(A775&amp;"",AthleteNumbers,0))</f>
        <v>0</v>
      </c>
      <c r="J775" s="209">
        <f t="array" ref="J775">IF(I775&gt;0,INDEX(DB,$I775,6),0)</f>
        <v>0</v>
      </c>
      <c r="K775" s="440">
        <f t="shared" si="5"/>
        <v>0</v>
      </c>
      <c r="L775" s="440">
        <f t="shared" si="6"/>
        <v>0</v>
      </c>
      <c r="M775" s="441">
        <f>IF(AND(L775&gt;O775,O775&gt;0),MinPoints,IF(L775&lt;N775,100,+INT((O775-$L775)/P775)+MinPoints))</f>
        <v>100</v>
      </c>
      <c r="N775" s="440">
        <f t="shared" si="7"/>
        <v>7</v>
      </c>
      <c r="O775" s="440">
        <f t="shared" si="8"/>
        <v>16</v>
      </c>
      <c r="P775" s="440">
        <f t="shared" si="9"/>
        <v>0.1</v>
      </c>
      <c r="Q775">
        <f t="array" ref="Q775">IF(I775&gt;0,INDEX(DB,I775,9),EventIndex)</f>
        <v>6</v>
      </c>
      <c r="S775" s="442">
        <f t="array" ref="S775">INDEX(MINVALUES,$Q775,$K$1)</f>
        <v>16</v>
      </c>
      <c r="T775">
        <f t="array" ref="T775">INDEX(INCVALUES,$Q775,$K$1)</f>
        <v>0.1</v>
      </c>
      <c r="V775">
        <f t="array" ref="V775">+J775+(4*(INDEX(MatchScoreTable,$Q775,20)-1))</f>
        <v>4</v>
      </c>
      <c r="W775">
        <f t="array" ref="W775">INDEX(INC_MINVALUES,$V775,$K$1)</f>
        <v>34</v>
      </c>
      <c r="X775" s="212">
        <f t="array" ref="X775">INDEX(INC_INCVALUES,$V775,$K$1)</f>
        <v>0.3</v>
      </c>
    </row>
    <row r="776" ht="15.75" customHeight="1">
      <c r="A776" s="435"/>
      <c r="B776" s="436"/>
      <c r="C776" s="95" t="str">
        <f t="array" ref="C776">IF(I776&gt;0,INDEX(DB,I776,8),"")</f>
        <v/>
      </c>
      <c r="D776" s="437">
        <f t="shared" si="1"/>
        <v>0</v>
      </c>
      <c r="F776" s="438">
        <f t="shared" si="2"/>
        <v>0</v>
      </c>
      <c r="G776" t="str">
        <f t="shared" si="3"/>
        <v/>
      </c>
      <c r="H776" t="b">
        <f t="shared" si="4"/>
        <v>0</v>
      </c>
      <c r="I776" s="439">
        <f>IF(OR(ISBLANK(A776),ISNA(MATCH(A776&amp;"",AthleteNumbers,0))),0,MATCH(A776&amp;"",AthleteNumbers,0))</f>
        <v>0</v>
      </c>
      <c r="J776" s="209">
        <f t="array" ref="J776">IF(I776&gt;0,INDEX(DB,$I776,6),0)</f>
        <v>0</v>
      </c>
      <c r="K776" s="440">
        <f t="shared" si="5"/>
        <v>0</v>
      </c>
      <c r="L776" s="440">
        <f t="shared" si="6"/>
        <v>0</v>
      </c>
      <c r="M776" s="441">
        <f>IF(AND(L776&gt;O776,O776&gt;0),MinPoints,IF(L776&lt;N776,100,+INT((O776-$L776)/P776)+MinPoints))</f>
        <v>100</v>
      </c>
      <c r="N776" s="440">
        <f t="shared" si="7"/>
        <v>7</v>
      </c>
      <c r="O776" s="440">
        <f t="shared" si="8"/>
        <v>16</v>
      </c>
      <c r="P776" s="440">
        <f t="shared" si="9"/>
        <v>0.1</v>
      </c>
      <c r="Q776">
        <f t="array" ref="Q776">IF(I776&gt;0,INDEX(DB,I776,9),EventIndex)</f>
        <v>6</v>
      </c>
      <c r="S776" s="442">
        <f t="array" ref="S776">INDEX(MINVALUES,$Q776,$K$1)</f>
        <v>16</v>
      </c>
      <c r="T776">
        <f t="array" ref="T776">INDEX(INCVALUES,$Q776,$K$1)</f>
        <v>0.1</v>
      </c>
      <c r="V776">
        <f t="array" ref="V776">+J776+(4*(INDEX(MatchScoreTable,$Q776,20)-1))</f>
        <v>4</v>
      </c>
      <c r="W776">
        <f t="array" ref="W776">INDEX(INC_MINVALUES,$V776,$K$1)</f>
        <v>34</v>
      </c>
      <c r="X776" s="212">
        <f t="array" ref="X776">INDEX(INC_INCVALUES,$V776,$K$1)</f>
        <v>0.3</v>
      </c>
    </row>
    <row r="777" ht="15.75" customHeight="1">
      <c r="A777" s="435"/>
      <c r="B777" s="436"/>
      <c r="C777" s="95" t="str">
        <f t="array" ref="C777">IF(I777&gt;0,INDEX(DB,I777,8),"")</f>
        <v/>
      </c>
      <c r="D777" s="437">
        <f t="shared" si="1"/>
        <v>0</v>
      </c>
      <c r="F777" s="438">
        <f t="shared" si="2"/>
        <v>0</v>
      </c>
      <c r="G777" t="str">
        <f t="shared" si="3"/>
        <v/>
      </c>
      <c r="H777" t="b">
        <f t="shared" si="4"/>
        <v>0</v>
      </c>
      <c r="I777" s="439">
        <f>IF(OR(ISBLANK(A777),ISNA(MATCH(A777&amp;"",AthleteNumbers,0))),0,MATCH(A777&amp;"",AthleteNumbers,0))</f>
        <v>0</v>
      </c>
      <c r="J777" s="209">
        <f t="array" ref="J777">IF(I777&gt;0,INDEX(DB,$I777,6),0)</f>
        <v>0</v>
      </c>
      <c r="K777" s="440">
        <f t="shared" si="5"/>
        <v>0</v>
      </c>
      <c r="L777" s="440">
        <f t="shared" si="6"/>
        <v>0</v>
      </c>
      <c r="M777" s="441">
        <f>IF(AND(L777&gt;O777,O777&gt;0),MinPoints,IF(L777&lt;N777,100,+INT((O777-$L777)/P777)+MinPoints))</f>
        <v>100</v>
      </c>
      <c r="N777" s="440">
        <f t="shared" si="7"/>
        <v>7</v>
      </c>
      <c r="O777" s="440">
        <f t="shared" si="8"/>
        <v>16</v>
      </c>
      <c r="P777" s="440">
        <f t="shared" si="9"/>
        <v>0.1</v>
      </c>
      <c r="Q777">
        <f t="array" ref="Q777">IF(I777&gt;0,INDEX(DB,I777,9),EventIndex)</f>
        <v>6</v>
      </c>
      <c r="S777" s="442">
        <f t="array" ref="S777">INDEX(MINVALUES,$Q777,$K$1)</f>
        <v>16</v>
      </c>
      <c r="T777">
        <f t="array" ref="T777">INDEX(INCVALUES,$Q777,$K$1)</f>
        <v>0.1</v>
      </c>
      <c r="V777">
        <f t="array" ref="V777">+J777+(4*(INDEX(MatchScoreTable,$Q777,20)-1))</f>
        <v>4</v>
      </c>
      <c r="W777">
        <f t="array" ref="W777">INDEX(INC_MINVALUES,$V777,$K$1)</f>
        <v>34</v>
      </c>
      <c r="X777" s="212">
        <f t="array" ref="X777">INDEX(INC_INCVALUES,$V777,$K$1)</f>
        <v>0.3</v>
      </c>
    </row>
    <row r="778" ht="15.75" customHeight="1">
      <c r="A778" s="435"/>
      <c r="B778" s="436"/>
      <c r="C778" s="95" t="str">
        <f t="array" ref="C778">IF(I778&gt;0,INDEX(DB,I778,8),"")</f>
        <v/>
      </c>
      <c r="D778" s="437">
        <f t="shared" si="1"/>
        <v>0</v>
      </c>
      <c r="F778" s="438">
        <f t="shared" si="2"/>
        <v>0</v>
      </c>
      <c r="G778" t="str">
        <f t="shared" si="3"/>
        <v/>
      </c>
      <c r="H778" t="b">
        <f t="shared" si="4"/>
        <v>0</v>
      </c>
      <c r="I778" s="439">
        <f>IF(OR(ISBLANK(A778),ISNA(MATCH(A778&amp;"",AthleteNumbers,0))),0,MATCH(A778&amp;"",AthleteNumbers,0))</f>
        <v>0</v>
      </c>
      <c r="J778" s="209">
        <f t="array" ref="J778">IF(I778&gt;0,INDEX(DB,$I778,6),0)</f>
        <v>0</v>
      </c>
      <c r="K778" s="440">
        <f t="shared" si="5"/>
        <v>0</v>
      </c>
      <c r="L778" s="440">
        <f t="shared" si="6"/>
        <v>0</v>
      </c>
      <c r="M778" s="441">
        <f>IF(AND(L778&gt;O778,O778&gt;0),MinPoints,IF(L778&lt;N778,100,+INT((O778-$L778)/P778)+MinPoints))</f>
        <v>100</v>
      </c>
      <c r="N778" s="440">
        <f t="shared" si="7"/>
        <v>7</v>
      </c>
      <c r="O778" s="440">
        <f t="shared" si="8"/>
        <v>16</v>
      </c>
      <c r="P778" s="440">
        <f t="shared" si="9"/>
        <v>0.1</v>
      </c>
      <c r="Q778">
        <f t="array" ref="Q778">IF(I778&gt;0,INDEX(DB,I778,9),EventIndex)</f>
        <v>6</v>
      </c>
      <c r="S778" s="442">
        <f t="array" ref="S778">INDEX(MINVALUES,$Q778,$K$1)</f>
        <v>16</v>
      </c>
      <c r="T778">
        <f t="array" ref="T778">INDEX(INCVALUES,$Q778,$K$1)</f>
        <v>0.1</v>
      </c>
      <c r="V778">
        <f t="array" ref="V778">+J778+(4*(INDEX(MatchScoreTable,$Q778,20)-1))</f>
        <v>4</v>
      </c>
      <c r="W778">
        <f t="array" ref="W778">INDEX(INC_MINVALUES,$V778,$K$1)</f>
        <v>34</v>
      </c>
      <c r="X778" s="212">
        <f t="array" ref="X778">INDEX(INC_INCVALUES,$V778,$K$1)</f>
        <v>0.3</v>
      </c>
    </row>
    <row r="779" ht="15.75" customHeight="1">
      <c r="A779" s="435"/>
      <c r="B779" s="436"/>
      <c r="C779" s="95" t="str">
        <f t="array" ref="C779">IF(I779&gt;0,INDEX(DB,I779,8),"")</f>
        <v/>
      </c>
      <c r="D779" s="437">
        <f t="shared" si="1"/>
        <v>0</v>
      </c>
      <c r="F779" s="438">
        <f t="shared" si="2"/>
        <v>0</v>
      </c>
      <c r="G779" t="str">
        <f t="shared" si="3"/>
        <v/>
      </c>
      <c r="H779" t="b">
        <f t="shared" si="4"/>
        <v>0</v>
      </c>
      <c r="I779" s="439">
        <f>IF(OR(ISBLANK(A779),ISNA(MATCH(A779&amp;"",AthleteNumbers,0))),0,MATCH(A779&amp;"",AthleteNumbers,0))</f>
        <v>0</v>
      </c>
      <c r="J779" s="209">
        <f t="array" ref="J779">IF(I779&gt;0,INDEX(DB,$I779,6),0)</f>
        <v>0</v>
      </c>
      <c r="K779" s="440">
        <f t="shared" si="5"/>
        <v>0</v>
      </c>
      <c r="L779" s="440">
        <f t="shared" si="6"/>
        <v>0</v>
      </c>
      <c r="M779" s="441">
        <f>IF(AND(L779&gt;O779,O779&gt;0),MinPoints,IF(L779&lt;N779,100,+INT((O779-$L779)/P779)+MinPoints))</f>
        <v>100</v>
      </c>
      <c r="N779" s="440">
        <f t="shared" si="7"/>
        <v>7</v>
      </c>
      <c r="O779" s="440">
        <f t="shared" si="8"/>
        <v>16</v>
      </c>
      <c r="P779" s="440">
        <f t="shared" si="9"/>
        <v>0.1</v>
      </c>
      <c r="Q779">
        <f t="array" ref="Q779">IF(I779&gt;0,INDEX(DB,I779,9),EventIndex)</f>
        <v>6</v>
      </c>
      <c r="S779" s="442">
        <f t="array" ref="S779">INDEX(MINVALUES,$Q779,$K$1)</f>
        <v>16</v>
      </c>
      <c r="T779">
        <f t="array" ref="T779">INDEX(INCVALUES,$Q779,$K$1)</f>
        <v>0.1</v>
      </c>
      <c r="V779">
        <f t="array" ref="V779">+J779+(4*(INDEX(MatchScoreTable,$Q779,20)-1))</f>
        <v>4</v>
      </c>
      <c r="W779">
        <f t="array" ref="W779">INDEX(INC_MINVALUES,$V779,$K$1)</f>
        <v>34</v>
      </c>
      <c r="X779" s="212">
        <f t="array" ref="X779">INDEX(INC_INCVALUES,$V779,$K$1)</f>
        <v>0.3</v>
      </c>
    </row>
    <row r="780" ht="15.75" customHeight="1">
      <c r="A780" s="435"/>
      <c r="B780" s="436"/>
      <c r="C780" s="95" t="str">
        <f t="array" ref="C780">IF(I780&gt;0,INDEX(DB,I780,8),"")</f>
        <v/>
      </c>
      <c r="D780" s="437">
        <f t="shared" si="1"/>
        <v>0</v>
      </c>
      <c r="F780" s="438">
        <f t="shared" si="2"/>
        <v>0</v>
      </c>
      <c r="G780" t="str">
        <f t="shared" si="3"/>
        <v/>
      </c>
      <c r="H780" t="b">
        <f t="shared" si="4"/>
        <v>0</v>
      </c>
      <c r="I780" s="439">
        <f>IF(OR(ISBLANK(A780),ISNA(MATCH(A780&amp;"",AthleteNumbers,0))),0,MATCH(A780&amp;"",AthleteNumbers,0))</f>
        <v>0</v>
      </c>
      <c r="J780" s="209">
        <f t="array" ref="J780">IF(I780&gt;0,INDEX(DB,$I780,6),0)</f>
        <v>0</v>
      </c>
      <c r="K780" s="440">
        <f t="shared" si="5"/>
        <v>0</v>
      </c>
      <c r="L780" s="440">
        <f t="shared" si="6"/>
        <v>0</v>
      </c>
      <c r="M780" s="441">
        <f>IF(AND(L780&gt;O780,O780&gt;0),MinPoints,IF(L780&lt;N780,100,+INT((O780-$L780)/P780)+MinPoints))</f>
        <v>100</v>
      </c>
      <c r="N780" s="440">
        <f t="shared" si="7"/>
        <v>7</v>
      </c>
      <c r="O780" s="440">
        <f t="shared" si="8"/>
        <v>16</v>
      </c>
      <c r="P780" s="440">
        <f t="shared" si="9"/>
        <v>0.1</v>
      </c>
      <c r="Q780">
        <f t="array" ref="Q780">IF(I780&gt;0,INDEX(DB,I780,9),EventIndex)</f>
        <v>6</v>
      </c>
      <c r="S780" s="442">
        <f t="array" ref="S780">INDEX(MINVALUES,$Q780,$K$1)</f>
        <v>16</v>
      </c>
      <c r="T780">
        <f t="array" ref="T780">INDEX(INCVALUES,$Q780,$K$1)</f>
        <v>0.1</v>
      </c>
      <c r="V780">
        <f t="array" ref="V780">+J780+(4*(INDEX(MatchScoreTable,$Q780,20)-1))</f>
        <v>4</v>
      </c>
      <c r="W780">
        <f t="array" ref="W780">INDEX(INC_MINVALUES,$V780,$K$1)</f>
        <v>34</v>
      </c>
      <c r="X780" s="212">
        <f t="array" ref="X780">INDEX(INC_INCVALUES,$V780,$K$1)</f>
        <v>0.3</v>
      </c>
    </row>
    <row r="781" ht="15.75" customHeight="1">
      <c r="A781" s="435"/>
      <c r="B781" s="436"/>
      <c r="C781" s="95" t="str">
        <f t="array" ref="C781">IF(I781&gt;0,INDEX(DB,I781,8),"")</f>
        <v/>
      </c>
      <c r="D781" s="437">
        <f t="shared" si="1"/>
        <v>0</v>
      </c>
      <c r="F781" s="438">
        <f t="shared" si="2"/>
        <v>0</v>
      </c>
      <c r="G781" t="str">
        <f t="shared" si="3"/>
        <v/>
      </c>
      <c r="H781" t="b">
        <f t="shared" si="4"/>
        <v>0</v>
      </c>
      <c r="I781" s="439">
        <f>IF(OR(ISBLANK(A781),ISNA(MATCH(A781&amp;"",AthleteNumbers,0))),0,MATCH(A781&amp;"",AthleteNumbers,0))</f>
        <v>0</v>
      </c>
      <c r="J781" s="209">
        <f t="array" ref="J781">IF(I781&gt;0,INDEX(DB,$I781,6),0)</f>
        <v>0</v>
      </c>
      <c r="K781" s="440">
        <f t="shared" si="5"/>
        <v>0</v>
      </c>
      <c r="L781" s="440">
        <f t="shared" si="6"/>
        <v>0</v>
      </c>
      <c r="M781" s="441">
        <f>IF(AND(L781&gt;O781,O781&gt;0),MinPoints,IF(L781&lt;N781,100,+INT((O781-$L781)/P781)+MinPoints))</f>
        <v>100</v>
      </c>
      <c r="N781" s="440">
        <f t="shared" si="7"/>
        <v>7</v>
      </c>
      <c r="O781" s="440">
        <f t="shared" si="8"/>
        <v>16</v>
      </c>
      <c r="P781" s="440">
        <f t="shared" si="9"/>
        <v>0.1</v>
      </c>
      <c r="Q781">
        <f t="array" ref="Q781">IF(I781&gt;0,INDEX(DB,I781,9),EventIndex)</f>
        <v>6</v>
      </c>
      <c r="S781" s="442">
        <f t="array" ref="S781">INDEX(MINVALUES,$Q781,$K$1)</f>
        <v>16</v>
      </c>
      <c r="T781">
        <f t="array" ref="T781">INDEX(INCVALUES,$Q781,$K$1)</f>
        <v>0.1</v>
      </c>
      <c r="V781">
        <f t="array" ref="V781">+J781+(4*(INDEX(MatchScoreTable,$Q781,20)-1))</f>
        <v>4</v>
      </c>
      <c r="W781">
        <f t="array" ref="W781">INDEX(INC_MINVALUES,$V781,$K$1)</f>
        <v>34</v>
      </c>
      <c r="X781" s="212">
        <f t="array" ref="X781">INDEX(INC_INCVALUES,$V781,$K$1)</f>
        <v>0.3</v>
      </c>
    </row>
    <row r="782" ht="15.75" customHeight="1">
      <c r="A782" s="435"/>
      <c r="B782" s="436"/>
      <c r="C782" s="95" t="str">
        <f t="array" ref="C782">IF(I782&gt;0,INDEX(DB,I782,8),"")</f>
        <v/>
      </c>
      <c r="D782" s="437">
        <f t="shared" si="1"/>
        <v>0</v>
      </c>
      <c r="F782" s="438">
        <f t="shared" si="2"/>
        <v>0</v>
      </c>
      <c r="G782" t="str">
        <f t="shared" si="3"/>
        <v/>
      </c>
      <c r="H782" t="b">
        <f t="shared" si="4"/>
        <v>0</v>
      </c>
      <c r="I782" s="439">
        <f>IF(OR(ISBLANK(A782),ISNA(MATCH(A782&amp;"",AthleteNumbers,0))),0,MATCH(A782&amp;"",AthleteNumbers,0))</f>
        <v>0</v>
      </c>
      <c r="J782" s="209">
        <f t="array" ref="J782">IF(I782&gt;0,INDEX(DB,$I782,6),0)</f>
        <v>0</v>
      </c>
      <c r="K782" s="440">
        <f t="shared" si="5"/>
        <v>0</v>
      </c>
      <c r="L782" s="440">
        <f t="shared" si="6"/>
        <v>0</v>
      </c>
      <c r="M782" s="441">
        <f>IF(AND(L782&gt;O782,O782&gt;0),MinPoints,IF(L782&lt;N782,100,+INT((O782-$L782)/P782)+MinPoints))</f>
        <v>100</v>
      </c>
      <c r="N782" s="440">
        <f t="shared" si="7"/>
        <v>7</v>
      </c>
      <c r="O782" s="440">
        <f t="shared" si="8"/>
        <v>16</v>
      </c>
      <c r="P782" s="440">
        <f t="shared" si="9"/>
        <v>0.1</v>
      </c>
      <c r="Q782">
        <f t="array" ref="Q782">IF(I782&gt;0,INDEX(DB,I782,9),EventIndex)</f>
        <v>6</v>
      </c>
      <c r="S782" s="442">
        <f t="array" ref="S782">INDEX(MINVALUES,$Q782,$K$1)</f>
        <v>16</v>
      </c>
      <c r="T782">
        <f t="array" ref="T782">INDEX(INCVALUES,$Q782,$K$1)</f>
        <v>0.1</v>
      </c>
      <c r="V782">
        <f t="array" ref="V782">+J782+(4*(INDEX(MatchScoreTable,$Q782,20)-1))</f>
        <v>4</v>
      </c>
      <c r="W782">
        <f t="array" ref="W782">INDEX(INC_MINVALUES,$V782,$K$1)</f>
        <v>34</v>
      </c>
      <c r="X782" s="212">
        <f t="array" ref="X782">INDEX(INC_INCVALUES,$V782,$K$1)</f>
        <v>0.3</v>
      </c>
    </row>
    <row r="783" ht="15.75" customHeight="1">
      <c r="A783" s="435"/>
      <c r="B783" s="436"/>
      <c r="C783" s="95" t="str">
        <f t="array" ref="C783">IF(I783&gt;0,INDEX(DB,I783,8),"")</f>
        <v/>
      </c>
      <c r="D783" s="437">
        <f t="shared" si="1"/>
        <v>0</v>
      </c>
      <c r="F783" s="438">
        <f t="shared" si="2"/>
        <v>0</v>
      </c>
      <c r="G783" t="str">
        <f t="shared" si="3"/>
        <v/>
      </c>
      <c r="H783" t="b">
        <f t="shared" si="4"/>
        <v>0</v>
      </c>
      <c r="I783" s="439">
        <f>IF(OR(ISBLANK(A783),ISNA(MATCH(A783&amp;"",AthleteNumbers,0))),0,MATCH(A783&amp;"",AthleteNumbers,0))</f>
        <v>0</v>
      </c>
      <c r="J783" s="209">
        <f t="array" ref="J783">IF(I783&gt;0,INDEX(DB,$I783,6),0)</f>
        <v>0</v>
      </c>
      <c r="K783" s="440">
        <f t="shared" si="5"/>
        <v>0</v>
      </c>
      <c r="L783" s="440">
        <f t="shared" si="6"/>
        <v>0</v>
      </c>
      <c r="M783" s="441">
        <f>IF(AND(L783&gt;O783,O783&gt;0),MinPoints,IF(L783&lt;N783,100,+INT((O783-$L783)/P783)+MinPoints))</f>
        <v>100</v>
      </c>
      <c r="N783" s="440">
        <f t="shared" si="7"/>
        <v>7</v>
      </c>
      <c r="O783" s="440">
        <f t="shared" si="8"/>
        <v>16</v>
      </c>
      <c r="P783" s="440">
        <f t="shared" si="9"/>
        <v>0.1</v>
      </c>
      <c r="Q783">
        <f t="array" ref="Q783">IF(I783&gt;0,INDEX(DB,I783,9),EventIndex)</f>
        <v>6</v>
      </c>
      <c r="S783" s="442">
        <f t="array" ref="S783">INDEX(MINVALUES,$Q783,$K$1)</f>
        <v>16</v>
      </c>
      <c r="T783">
        <f t="array" ref="T783">INDEX(INCVALUES,$Q783,$K$1)</f>
        <v>0.1</v>
      </c>
      <c r="V783">
        <f t="array" ref="V783">+J783+(4*(INDEX(MatchScoreTable,$Q783,20)-1))</f>
        <v>4</v>
      </c>
      <c r="W783">
        <f t="array" ref="W783">INDEX(INC_MINVALUES,$V783,$K$1)</f>
        <v>34</v>
      </c>
      <c r="X783" s="212">
        <f t="array" ref="X783">INDEX(INC_INCVALUES,$V783,$K$1)</f>
        <v>0.3</v>
      </c>
    </row>
    <row r="784" ht="15.75" customHeight="1">
      <c r="A784" s="435"/>
      <c r="B784" s="436"/>
      <c r="C784" s="95" t="str">
        <f t="array" ref="C784">IF(I784&gt;0,INDEX(DB,I784,8),"")</f>
        <v/>
      </c>
      <c r="D784" s="437">
        <f t="shared" si="1"/>
        <v>0</v>
      </c>
      <c r="F784" s="438">
        <f t="shared" si="2"/>
        <v>0</v>
      </c>
      <c r="G784" t="str">
        <f t="shared" si="3"/>
        <v/>
      </c>
      <c r="H784" t="b">
        <f t="shared" si="4"/>
        <v>0</v>
      </c>
      <c r="I784" s="439">
        <f>IF(OR(ISBLANK(A784),ISNA(MATCH(A784&amp;"",AthleteNumbers,0))),0,MATCH(A784&amp;"",AthleteNumbers,0))</f>
        <v>0</v>
      </c>
      <c r="J784" s="209">
        <f t="array" ref="J784">IF(I784&gt;0,INDEX(DB,$I784,6),0)</f>
        <v>0</v>
      </c>
      <c r="K784" s="440">
        <f t="shared" si="5"/>
        <v>0</v>
      </c>
      <c r="L784" s="440">
        <f t="shared" si="6"/>
        <v>0</v>
      </c>
      <c r="M784" s="441">
        <f>IF(AND(L784&gt;O784,O784&gt;0),MinPoints,IF(L784&lt;N784,100,+INT((O784-$L784)/P784)+MinPoints))</f>
        <v>100</v>
      </c>
      <c r="N784" s="440">
        <f t="shared" si="7"/>
        <v>7</v>
      </c>
      <c r="O784" s="440">
        <f t="shared" si="8"/>
        <v>16</v>
      </c>
      <c r="P784" s="440">
        <f t="shared" si="9"/>
        <v>0.1</v>
      </c>
      <c r="Q784">
        <f t="array" ref="Q784">IF(I784&gt;0,INDEX(DB,I784,9),EventIndex)</f>
        <v>6</v>
      </c>
      <c r="S784" s="442">
        <f t="array" ref="S784">INDEX(MINVALUES,$Q784,$K$1)</f>
        <v>16</v>
      </c>
      <c r="T784">
        <f t="array" ref="T784">INDEX(INCVALUES,$Q784,$K$1)</f>
        <v>0.1</v>
      </c>
      <c r="V784">
        <f t="array" ref="V784">+J784+(4*(INDEX(MatchScoreTable,$Q784,20)-1))</f>
        <v>4</v>
      </c>
      <c r="W784">
        <f t="array" ref="W784">INDEX(INC_MINVALUES,$V784,$K$1)</f>
        <v>34</v>
      </c>
      <c r="X784" s="212">
        <f t="array" ref="X784">INDEX(INC_INCVALUES,$V784,$K$1)</f>
        <v>0.3</v>
      </c>
    </row>
    <row r="785" ht="15.75" customHeight="1">
      <c r="A785" s="435"/>
      <c r="B785" s="436"/>
      <c r="C785" s="95" t="str">
        <f t="array" ref="C785">IF(I785&gt;0,INDEX(DB,I785,8),"")</f>
        <v/>
      </c>
      <c r="D785" s="437">
        <f t="shared" si="1"/>
        <v>0</v>
      </c>
      <c r="F785" s="438">
        <f t="shared" si="2"/>
        <v>0</v>
      </c>
      <c r="G785" t="str">
        <f t="shared" si="3"/>
        <v/>
      </c>
      <c r="H785" t="b">
        <f t="shared" si="4"/>
        <v>0</v>
      </c>
      <c r="I785" s="439">
        <f>IF(OR(ISBLANK(A785),ISNA(MATCH(A785&amp;"",AthleteNumbers,0))),0,MATCH(A785&amp;"",AthleteNumbers,0))</f>
        <v>0</v>
      </c>
      <c r="J785" s="209">
        <f t="array" ref="J785">IF(I785&gt;0,INDEX(DB,$I785,6),0)</f>
        <v>0</v>
      </c>
      <c r="K785" s="440">
        <f t="shared" si="5"/>
        <v>0</v>
      </c>
      <c r="L785" s="440">
        <f t="shared" si="6"/>
        <v>0</v>
      </c>
      <c r="M785" s="441">
        <f>IF(AND(L785&gt;O785,O785&gt;0),MinPoints,IF(L785&lt;N785,100,+INT((O785-$L785)/P785)+MinPoints))</f>
        <v>100</v>
      </c>
      <c r="N785" s="440">
        <f t="shared" si="7"/>
        <v>7</v>
      </c>
      <c r="O785" s="440">
        <f t="shared" si="8"/>
        <v>16</v>
      </c>
      <c r="P785" s="440">
        <f t="shared" si="9"/>
        <v>0.1</v>
      </c>
      <c r="Q785">
        <f t="array" ref="Q785">IF(I785&gt;0,INDEX(DB,I785,9),EventIndex)</f>
        <v>6</v>
      </c>
      <c r="S785" s="442">
        <f t="array" ref="S785">INDEX(MINVALUES,$Q785,$K$1)</f>
        <v>16</v>
      </c>
      <c r="T785">
        <f t="array" ref="T785">INDEX(INCVALUES,$Q785,$K$1)</f>
        <v>0.1</v>
      </c>
      <c r="V785">
        <f t="array" ref="V785">+J785+(4*(INDEX(MatchScoreTable,$Q785,20)-1))</f>
        <v>4</v>
      </c>
      <c r="W785">
        <f t="array" ref="W785">INDEX(INC_MINVALUES,$V785,$K$1)</f>
        <v>34</v>
      </c>
      <c r="X785" s="212">
        <f t="array" ref="X785">INDEX(INC_INCVALUES,$V785,$K$1)</f>
        <v>0.3</v>
      </c>
    </row>
    <row r="786" ht="15.75" customHeight="1">
      <c r="A786" s="435"/>
      <c r="B786" s="436"/>
      <c r="C786" s="95" t="str">
        <f t="array" ref="C786">IF(I786&gt;0,INDEX(DB,I786,8),"")</f>
        <v/>
      </c>
      <c r="D786" s="437">
        <f t="shared" si="1"/>
        <v>0</v>
      </c>
      <c r="F786" s="438">
        <f t="shared" si="2"/>
        <v>0</v>
      </c>
      <c r="G786" t="str">
        <f t="shared" si="3"/>
        <v/>
      </c>
      <c r="H786" t="b">
        <f t="shared" si="4"/>
        <v>0</v>
      </c>
      <c r="I786" s="439">
        <f>IF(OR(ISBLANK(A786),ISNA(MATCH(A786&amp;"",AthleteNumbers,0))),0,MATCH(A786&amp;"",AthleteNumbers,0))</f>
        <v>0</v>
      </c>
      <c r="J786" s="209">
        <f t="array" ref="J786">IF(I786&gt;0,INDEX(DB,$I786,6),0)</f>
        <v>0</v>
      </c>
      <c r="K786" s="440">
        <f t="shared" si="5"/>
        <v>0</v>
      </c>
      <c r="L786" s="440">
        <f t="shared" si="6"/>
        <v>0</v>
      </c>
      <c r="M786" s="441">
        <f>IF(AND(L786&gt;O786,O786&gt;0),MinPoints,IF(L786&lt;N786,100,+INT((O786-$L786)/P786)+MinPoints))</f>
        <v>100</v>
      </c>
      <c r="N786" s="440">
        <f t="shared" si="7"/>
        <v>7</v>
      </c>
      <c r="O786" s="440">
        <f t="shared" si="8"/>
        <v>16</v>
      </c>
      <c r="P786" s="440">
        <f t="shared" si="9"/>
        <v>0.1</v>
      </c>
      <c r="Q786">
        <f t="array" ref="Q786">IF(I786&gt;0,INDEX(DB,I786,9),EventIndex)</f>
        <v>6</v>
      </c>
      <c r="S786" s="442">
        <f t="array" ref="S786">INDEX(MINVALUES,$Q786,$K$1)</f>
        <v>16</v>
      </c>
      <c r="T786">
        <f t="array" ref="T786">INDEX(INCVALUES,$Q786,$K$1)</f>
        <v>0.1</v>
      </c>
      <c r="V786">
        <f t="array" ref="V786">+J786+(4*(INDEX(MatchScoreTable,$Q786,20)-1))</f>
        <v>4</v>
      </c>
      <c r="W786">
        <f t="array" ref="W786">INDEX(INC_MINVALUES,$V786,$K$1)</f>
        <v>34</v>
      </c>
      <c r="X786" s="212">
        <f t="array" ref="X786">INDEX(INC_INCVALUES,$V786,$K$1)</f>
        <v>0.3</v>
      </c>
    </row>
    <row r="787" ht="15.75" customHeight="1">
      <c r="A787" s="435"/>
      <c r="B787" s="436"/>
      <c r="C787" s="95" t="str">
        <f t="array" ref="C787">IF(I787&gt;0,INDEX(DB,I787,8),"")</f>
        <v/>
      </c>
      <c r="D787" s="437">
        <f t="shared" si="1"/>
        <v>0</v>
      </c>
      <c r="F787" s="438">
        <f t="shared" si="2"/>
        <v>0</v>
      </c>
      <c r="G787" t="str">
        <f t="shared" si="3"/>
        <v/>
      </c>
      <c r="H787" t="b">
        <f t="shared" si="4"/>
        <v>0</v>
      </c>
      <c r="I787" s="439">
        <f>IF(OR(ISBLANK(A787),ISNA(MATCH(A787&amp;"",AthleteNumbers,0))),0,MATCH(A787&amp;"",AthleteNumbers,0))</f>
        <v>0</v>
      </c>
      <c r="J787" s="209">
        <f t="array" ref="J787">IF(I787&gt;0,INDEX(DB,$I787,6),0)</f>
        <v>0</v>
      </c>
      <c r="K787" s="440">
        <f t="shared" si="5"/>
        <v>0</v>
      </c>
      <c r="L787" s="440">
        <f t="shared" si="6"/>
        <v>0</v>
      </c>
      <c r="M787" s="441">
        <f>IF(AND(L787&gt;O787,O787&gt;0),MinPoints,IF(L787&lt;N787,100,+INT((O787-$L787)/P787)+MinPoints))</f>
        <v>100</v>
      </c>
      <c r="N787" s="440">
        <f t="shared" si="7"/>
        <v>7</v>
      </c>
      <c r="O787" s="440">
        <f t="shared" si="8"/>
        <v>16</v>
      </c>
      <c r="P787" s="440">
        <f t="shared" si="9"/>
        <v>0.1</v>
      </c>
      <c r="Q787">
        <f t="array" ref="Q787">IF(I787&gt;0,INDEX(DB,I787,9),EventIndex)</f>
        <v>6</v>
      </c>
      <c r="S787" s="442">
        <f t="array" ref="S787">INDEX(MINVALUES,$Q787,$K$1)</f>
        <v>16</v>
      </c>
      <c r="T787">
        <f t="array" ref="T787">INDEX(INCVALUES,$Q787,$K$1)</f>
        <v>0.1</v>
      </c>
      <c r="V787">
        <f t="array" ref="V787">+J787+(4*(INDEX(MatchScoreTable,$Q787,20)-1))</f>
        <v>4</v>
      </c>
      <c r="W787">
        <f t="array" ref="W787">INDEX(INC_MINVALUES,$V787,$K$1)</f>
        <v>34</v>
      </c>
      <c r="X787" s="212">
        <f t="array" ref="X787">INDEX(INC_INCVALUES,$V787,$K$1)</f>
        <v>0.3</v>
      </c>
    </row>
    <row r="788" ht="15.75" customHeight="1">
      <c r="A788" s="435"/>
      <c r="B788" s="436"/>
      <c r="C788" s="95" t="str">
        <f t="array" ref="C788">IF(I788&gt;0,INDEX(DB,I788,8),"")</f>
        <v/>
      </c>
      <c r="D788" s="437">
        <f t="shared" si="1"/>
        <v>0</v>
      </c>
      <c r="F788" s="438">
        <f t="shared" si="2"/>
        <v>0</v>
      </c>
      <c r="G788" t="str">
        <f t="shared" si="3"/>
        <v/>
      </c>
      <c r="H788" t="b">
        <f t="shared" si="4"/>
        <v>0</v>
      </c>
      <c r="I788" s="439">
        <f>IF(OR(ISBLANK(A788),ISNA(MATCH(A788&amp;"",AthleteNumbers,0))),0,MATCH(A788&amp;"",AthleteNumbers,0))</f>
        <v>0</v>
      </c>
      <c r="J788" s="209">
        <f t="array" ref="J788">IF(I788&gt;0,INDEX(DB,$I788,6),0)</f>
        <v>0</v>
      </c>
      <c r="K788" s="440">
        <f t="shared" si="5"/>
        <v>0</v>
      </c>
      <c r="L788" s="440">
        <f t="shared" si="6"/>
        <v>0</v>
      </c>
      <c r="M788" s="441">
        <f>IF(AND(L788&gt;O788,O788&gt;0),MinPoints,IF(L788&lt;N788,100,+INT((O788-$L788)/P788)+MinPoints))</f>
        <v>100</v>
      </c>
      <c r="N788" s="440">
        <f t="shared" si="7"/>
        <v>7</v>
      </c>
      <c r="O788" s="440">
        <f t="shared" si="8"/>
        <v>16</v>
      </c>
      <c r="P788" s="440">
        <f t="shared" si="9"/>
        <v>0.1</v>
      </c>
      <c r="Q788">
        <f t="array" ref="Q788">IF(I788&gt;0,INDEX(DB,I788,9),EventIndex)</f>
        <v>6</v>
      </c>
      <c r="S788" s="442">
        <f t="array" ref="S788">INDEX(MINVALUES,$Q788,$K$1)</f>
        <v>16</v>
      </c>
      <c r="T788">
        <f t="array" ref="T788">INDEX(INCVALUES,$Q788,$K$1)</f>
        <v>0.1</v>
      </c>
      <c r="V788">
        <f t="array" ref="V788">+J788+(4*(INDEX(MatchScoreTable,$Q788,20)-1))</f>
        <v>4</v>
      </c>
      <c r="W788">
        <f t="array" ref="W788">INDEX(INC_MINVALUES,$V788,$K$1)</f>
        <v>34</v>
      </c>
      <c r="X788" s="212">
        <f t="array" ref="X788">INDEX(INC_INCVALUES,$V788,$K$1)</f>
        <v>0.3</v>
      </c>
    </row>
    <row r="789" ht="15.75" customHeight="1">
      <c r="A789" s="435"/>
      <c r="B789" s="436"/>
      <c r="C789" s="95" t="str">
        <f t="array" ref="C789">IF(I789&gt;0,INDEX(DB,I789,8),"")</f>
        <v/>
      </c>
      <c r="D789" s="437">
        <f t="shared" si="1"/>
        <v>0</v>
      </c>
      <c r="F789" s="438">
        <f t="shared" si="2"/>
        <v>0</v>
      </c>
      <c r="G789" t="str">
        <f t="shared" si="3"/>
        <v/>
      </c>
      <c r="H789" t="b">
        <f t="shared" si="4"/>
        <v>0</v>
      </c>
      <c r="I789" s="439">
        <f>IF(OR(ISBLANK(A789),ISNA(MATCH(A789&amp;"",AthleteNumbers,0))),0,MATCH(A789&amp;"",AthleteNumbers,0))</f>
        <v>0</v>
      </c>
      <c r="J789" s="209">
        <f t="array" ref="J789">IF(I789&gt;0,INDEX(DB,$I789,6),0)</f>
        <v>0</v>
      </c>
      <c r="K789" s="440">
        <f t="shared" si="5"/>
        <v>0</v>
      </c>
      <c r="L789" s="440">
        <f t="shared" si="6"/>
        <v>0</v>
      </c>
      <c r="M789" s="441">
        <f>IF(AND(L789&gt;O789,O789&gt;0),MinPoints,IF(L789&lt;N789,100,+INT((O789-$L789)/P789)+MinPoints))</f>
        <v>100</v>
      </c>
      <c r="N789" s="440">
        <f t="shared" si="7"/>
        <v>7</v>
      </c>
      <c r="O789" s="440">
        <f t="shared" si="8"/>
        <v>16</v>
      </c>
      <c r="P789" s="440">
        <f t="shared" si="9"/>
        <v>0.1</v>
      </c>
      <c r="Q789">
        <f t="array" ref="Q789">IF(I789&gt;0,INDEX(DB,I789,9),EventIndex)</f>
        <v>6</v>
      </c>
      <c r="S789" s="442">
        <f t="array" ref="S789">INDEX(MINVALUES,$Q789,$K$1)</f>
        <v>16</v>
      </c>
      <c r="T789">
        <f t="array" ref="T789">INDEX(INCVALUES,$Q789,$K$1)</f>
        <v>0.1</v>
      </c>
      <c r="V789">
        <f t="array" ref="V789">+J789+(4*(INDEX(MatchScoreTable,$Q789,20)-1))</f>
        <v>4</v>
      </c>
      <c r="W789">
        <f t="array" ref="W789">INDEX(INC_MINVALUES,$V789,$K$1)</f>
        <v>34</v>
      </c>
      <c r="X789" s="212">
        <f t="array" ref="X789">INDEX(INC_INCVALUES,$V789,$K$1)</f>
        <v>0.3</v>
      </c>
    </row>
    <row r="790" ht="15.75" customHeight="1">
      <c r="A790" s="435"/>
      <c r="B790" s="436"/>
      <c r="C790" s="95" t="str">
        <f t="array" ref="C790">IF(I790&gt;0,INDEX(DB,I790,8),"")</f>
        <v/>
      </c>
      <c r="D790" s="437">
        <f t="shared" si="1"/>
        <v>0</v>
      </c>
      <c r="F790" s="438">
        <f t="shared" si="2"/>
        <v>0</v>
      </c>
      <c r="G790" t="str">
        <f t="shared" si="3"/>
        <v/>
      </c>
      <c r="H790" t="b">
        <f t="shared" si="4"/>
        <v>0</v>
      </c>
      <c r="I790" s="439">
        <f>IF(OR(ISBLANK(A790),ISNA(MATCH(A790&amp;"",AthleteNumbers,0))),0,MATCH(A790&amp;"",AthleteNumbers,0))</f>
        <v>0</v>
      </c>
      <c r="J790" s="209">
        <f t="array" ref="J790">IF(I790&gt;0,INDEX(DB,$I790,6),0)</f>
        <v>0</v>
      </c>
      <c r="K790" s="440">
        <f t="shared" si="5"/>
        <v>0</v>
      </c>
      <c r="L790" s="440">
        <f t="shared" si="6"/>
        <v>0</v>
      </c>
      <c r="M790" s="441">
        <f>IF(AND(L790&gt;O790,O790&gt;0),MinPoints,IF(L790&lt;N790,100,+INT((O790-$L790)/P790)+MinPoints))</f>
        <v>100</v>
      </c>
      <c r="N790" s="440">
        <f t="shared" si="7"/>
        <v>7</v>
      </c>
      <c r="O790" s="440">
        <f t="shared" si="8"/>
        <v>16</v>
      </c>
      <c r="P790" s="440">
        <f t="shared" si="9"/>
        <v>0.1</v>
      </c>
      <c r="Q790">
        <f t="array" ref="Q790">IF(I790&gt;0,INDEX(DB,I790,9),EventIndex)</f>
        <v>6</v>
      </c>
      <c r="S790" s="442">
        <f t="array" ref="S790">INDEX(MINVALUES,$Q790,$K$1)</f>
        <v>16</v>
      </c>
      <c r="T790">
        <f t="array" ref="T790">INDEX(INCVALUES,$Q790,$K$1)</f>
        <v>0.1</v>
      </c>
      <c r="V790">
        <f t="array" ref="V790">+J790+(4*(INDEX(MatchScoreTable,$Q790,20)-1))</f>
        <v>4</v>
      </c>
      <c r="W790">
        <f t="array" ref="W790">INDEX(INC_MINVALUES,$V790,$K$1)</f>
        <v>34</v>
      </c>
      <c r="X790" s="212">
        <f t="array" ref="X790">INDEX(INC_INCVALUES,$V790,$K$1)</f>
        <v>0.3</v>
      </c>
    </row>
    <row r="791" ht="15.75" customHeight="1">
      <c r="A791" s="435"/>
      <c r="B791" s="436"/>
      <c r="C791" s="95" t="str">
        <f t="array" ref="C791">IF(I791&gt;0,INDEX(DB,I791,8),"")</f>
        <v/>
      </c>
      <c r="D791" s="437">
        <f t="shared" si="1"/>
        <v>0</v>
      </c>
      <c r="F791" s="438">
        <f t="shared" si="2"/>
        <v>0</v>
      </c>
      <c r="G791" t="str">
        <f t="shared" si="3"/>
        <v/>
      </c>
      <c r="H791" t="b">
        <f t="shared" si="4"/>
        <v>0</v>
      </c>
      <c r="I791" s="439">
        <f>IF(OR(ISBLANK(A791),ISNA(MATCH(A791&amp;"",AthleteNumbers,0))),0,MATCH(A791&amp;"",AthleteNumbers,0))</f>
        <v>0</v>
      </c>
      <c r="J791" s="209">
        <f t="array" ref="J791">IF(I791&gt;0,INDEX(DB,$I791,6),0)</f>
        <v>0</v>
      </c>
      <c r="K791" s="440">
        <f t="shared" si="5"/>
        <v>0</v>
      </c>
      <c r="L791" s="440">
        <f t="shared" si="6"/>
        <v>0</v>
      </c>
      <c r="M791" s="441">
        <f>IF(AND(L791&gt;O791,O791&gt;0),MinPoints,IF(L791&lt;N791,100,+INT((O791-$L791)/P791)+MinPoints))</f>
        <v>100</v>
      </c>
      <c r="N791" s="440">
        <f t="shared" si="7"/>
        <v>7</v>
      </c>
      <c r="O791" s="440">
        <f t="shared" si="8"/>
        <v>16</v>
      </c>
      <c r="P791" s="440">
        <f t="shared" si="9"/>
        <v>0.1</v>
      </c>
      <c r="Q791">
        <f t="array" ref="Q791">IF(I791&gt;0,INDEX(DB,I791,9),EventIndex)</f>
        <v>6</v>
      </c>
      <c r="S791" s="442">
        <f t="array" ref="S791">INDEX(MINVALUES,$Q791,$K$1)</f>
        <v>16</v>
      </c>
      <c r="T791">
        <f t="array" ref="T791">INDEX(INCVALUES,$Q791,$K$1)</f>
        <v>0.1</v>
      </c>
      <c r="V791">
        <f t="array" ref="V791">+J791+(4*(INDEX(MatchScoreTable,$Q791,20)-1))</f>
        <v>4</v>
      </c>
      <c r="W791">
        <f t="array" ref="W791">INDEX(INC_MINVALUES,$V791,$K$1)</f>
        <v>34</v>
      </c>
      <c r="X791" s="212">
        <f t="array" ref="X791">INDEX(INC_INCVALUES,$V791,$K$1)</f>
        <v>0.3</v>
      </c>
    </row>
    <row r="792" ht="15.75" customHeight="1">
      <c r="A792" s="435"/>
      <c r="B792" s="436"/>
      <c r="C792" s="95" t="str">
        <f t="array" ref="C792">IF(I792&gt;0,INDEX(DB,I792,8),"")</f>
        <v/>
      </c>
      <c r="D792" s="437">
        <f t="shared" si="1"/>
        <v>0</v>
      </c>
      <c r="F792" s="438">
        <f t="shared" si="2"/>
        <v>0</v>
      </c>
      <c r="G792" t="str">
        <f t="shared" si="3"/>
        <v/>
      </c>
      <c r="H792" t="b">
        <f t="shared" si="4"/>
        <v>0</v>
      </c>
      <c r="I792" s="439">
        <f>IF(OR(ISBLANK(A792),ISNA(MATCH(A792&amp;"",AthleteNumbers,0))),0,MATCH(A792&amp;"",AthleteNumbers,0))</f>
        <v>0</v>
      </c>
      <c r="J792" s="209">
        <f t="array" ref="J792">IF(I792&gt;0,INDEX(DB,$I792,6),0)</f>
        <v>0</v>
      </c>
      <c r="K792" s="440">
        <f t="shared" si="5"/>
        <v>0</v>
      </c>
      <c r="L792" s="440">
        <f t="shared" si="6"/>
        <v>0</v>
      </c>
      <c r="M792" s="441">
        <f>IF(AND(L792&gt;O792,O792&gt;0),MinPoints,IF(L792&lt;N792,100,+INT((O792-$L792)/P792)+MinPoints))</f>
        <v>100</v>
      </c>
      <c r="N792" s="440">
        <f t="shared" si="7"/>
        <v>7</v>
      </c>
      <c r="O792" s="440">
        <f t="shared" si="8"/>
        <v>16</v>
      </c>
      <c r="P792" s="440">
        <f t="shared" si="9"/>
        <v>0.1</v>
      </c>
      <c r="Q792">
        <f t="array" ref="Q792">IF(I792&gt;0,INDEX(DB,I792,9),EventIndex)</f>
        <v>6</v>
      </c>
      <c r="S792" s="442">
        <f t="array" ref="S792">INDEX(MINVALUES,$Q792,$K$1)</f>
        <v>16</v>
      </c>
      <c r="T792">
        <f t="array" ref="T792">INDEX(INCVALUES,$Q792,$K$1)</f>
        <v>0.1</v>
      </c>
      <c r="V792">
        <f t="array" ref="V792">+J792+(4*(INDEX(MatchScoreTable,$Q792,20)-1))</f>
        <v>4</v>
      </c>
      <c r="W792">
        <f t="array" ref="W792">INDEX(INC_MINVALUES,$V792,$K$1)</f>
        <v>34</v>
      </c>
      <c r="X792" s="212">
        <f t="array" ref="X792">INDEX(INC_INCVALUES,$V792,$K$1)</f>
        <v>0.3</v>
      </c>
    </row>
    <row r="793" ht="15.75" customHeight="1">
      <c r="A793" s="435"/>
      <c r="B793" s="436"/>
      <c r="C793" s="95" t="str">
        <f t="array" ref="C793">IF(I793&gt;0,INDEX(DB,I793,8),"")</f>
        <v/>
      </c>
      <c r="D793" s="437">
        <f t="shared" si="1"/>
        <v>0</v>
      </c>
      <c r="F793" s="438">
        <f t="shared" si="2"/>
        <v>0</v>
      </c>
      <c r="G793" t="str">
        <f t="shared" si="3"/>
        <v/>
      </c>
      <c r="H793" t="b">
        <f t="shared" si="4"/>
        <v>0</v>
      </c>
      <c r="I793" s="439">
        <f>IF(OR(ISBLANK(A793),ISNA(MATCH(A793&amp;"",AthleteNumbers,0))),0,MATCH(A793&amp;"",AthleteNumbers,0))</f>
        <v>0</v>
      </c>
      <c r="J793" s="209">
        <f t="array" ref="J793">IF(I793&gt;0,INDEX(DB,$I793,6),0)</f>
        <v>0</v>
      </c>
      <c r="K793" s="440">
        <f t="shared" si="5"/>
        <v>0</v>
      </c>
      <c r="L793" s="440">
        <f t="shared" si="6"/>
        <v>0</v>
      </c>
      <c r="M793" s="441">
        <f>IF(AND(L793&gt;O793,O793&gt;0),MinPoints,IF(L793&lt;N793,100,+INT((O793-$L793)/P793)+MinPoints))</f>
        <v>100</v>
      </c>
      <c r="N793" s="440">
        <f t="shared" si="7"/>
        <v>7</v>
      </c>
      <c r="O793" s="440">
        <f t="shared" si="8"/>
        <v>16</v>
      </c>
      <c r="P793" s="440">
        <f t="shared" si="9"/>
        <v>0.1</v>
      </c>
      <c r="Q793">
        <f t="array" ref="Q793">IF(I793&gt;0,INDEX(DB,I793,9),EventIndex)</f>
        <v>6</v>
      </c>
      <c r="S793" s="442">
        <f t="array" ref="S793">INDEX(MINVALUES,$Q793,$K$1)</f>
        <v>16</v>
      </c>
      <c r="T793">
        <f t="array" ref="T793">INDEX(INCVALUES,$Q793,$K$1)</f>
        <v>0.1</v>
      </c>
      <c r="V793">
        <f t="array" ref="V793">+J793+(4*(INDEX(MatchScoreTable,$Q793,20)-1))</f>
        <v>4</v>
      </c>
      <c r="W793">
        <f t="array" ref="W793">INDEX(INC_MINVALUES,$V793,$K$1)</f>
        <v>34</v>
      </c>
      <c r="X793" s="212">
        <f t="array" ref="X793">INDEX(INC_INCVALUES,$V793,$K$1)</f>
        <v>0.3</v>
      </c>
    </row>
    <row r="794" ht="15.75" customHeight="1">
      <c r="A794" s="435"/>
      <c r="B794" s="436"/>
      <c r="C794" s="95" t="str">
        <f t="array" ref="C794">IF(I794&gt;0,INDEX(DB,I794,8),"")</f>
        <v/>
      </c>
      <c r="D794" s="437">
        <f t="shared" si="1"/>
        <v>0</v>
      </c>
      <c r="F794" s="438">
        <f t="shared" si="2"/>
        <v>0</v>
      </c>
      <c r="G794" t="str">
        <f t="shared" si="3"/>
        <v/>
      </c>
      <c r="H794" t="b">
        <f t="shared" si="4"/>
        <v>0</v>
      </c>
      <c r="I794" s="439">
        <f>IF(OR(ISBLANK(A794),ISNA(MATCH(A794&amp;"",AthleteNumbers,0))),0,MATCH(A794&amp;"",AthleteNumbers,0))</f>
        <v>0</v>
      </c>
      <c r="J794" s="209">
        <f t="array" ref="J794">IF(I794&gt;0,INDEX(DB,$I794,6),0)</f>
        <v>0</v>
      </c>
      <c r="K794" s="440">
        <f t="shared" si="5"/>
        <v>0</v>
      </c>
      <c r="L794" s="440">
        <f t="shared" si="6"/>
        <v>0</v>
      </c>
      <c r="M794" s="441">
        <f>IF(AND(L794&gt;O794,O794&gt;0),MinPoints,IF(L794&lt;N794,100,+INT((O794-$L794)/P794)+MinPoints))</f>
        <v>100</v>
      </c>
      <c r="N794" s="440">
        <f t="shared" si="7"/>
        <v>7</v>
      </c>
      <c r="O794" s="440">
        <f t="shared" si="8"/>
        <v>16</v>
      </c>
      <c r="P794" s="440">
        <f t="shared" si="9"/>
        <v>0.1</v>
      </c>
      <c r="Q794">
        <f t="array" ref="Q794">IF(I794&gt;0,INDEX(DB,I794,9),EventIndex)</f>
        <v>6</v>
      </c>
      <c r="S794" s="442">
        <f t="array" ref="S794">INDEX(MINVALUES,$Q794,$K$1)</f>
        <v>16</v>
      </c>
      <c r="T794">
        <f t="array" ref="T794">INDEX(INCVALUES,$Q794,$K$1)</f>
        <v>0.1</v>
      </c>
      <c r="V794">
        <f t="array" ref="V794">+J794+(4*(INDEX(MatchScoreTable,$Q794,20)-1))</f>
        <v>4</v>
      </c>
      <c r="W794">
        <f t="array" ref="W794">INDEX(INC_MINVALUES,$V794,$K$1)</f>
        <v>34</v>
      </c>
      <c r="X794" s="212">
        <f t="array" ref="X794">INDEX(INC_INCVALUES,$V794,$K$1)</f>
        <v>0.3</v>
      </c>
    </row>
    <row r="795" ht="15.75" customHeight="1">
      <c r="A795" s="435"/>
      <c r="B795" s="436"/>
      <c r="C795" s="95" t="str">
        <f t="array" ref="C795">IF(I795&gt;0,INDEX(DB,I795,8),"")</f>
        <v/>
      </c>
      <c r="D795" s="437">
        <f t="shared" si="1"/>
        <v>0</v>
      </c>
      <c r="F795" s="438">
        <f t="shared" si="2"/>
        <v>0</v>
      </c>
      <c r="G795" t="str">
        <f t="shared" si="3"/>
        <v/>
      </c>
      <c r="H795" t="b">
        <f t="shared" si="4"/>
        <v>0</v>
      </c>
      <c r="I795" s="439">
        <f>IF(OR(ISBLANK(A795),ISNA(MATCH(A795&amp;"",AthleteNumbers,0))),0,MATCH(A795&amp;"",AthleteNumbers,0))</f>
        <v>0</v>
      </c>
      <c r="J795" s="209">
        <f t="array" ref="J795">IF(I795&gt;0,INDEX(DB,$I795,6),0)</f>
        <v>0</v>
      </c>
      <c r="K795" s="440">
        <f t="shared" si="5"/>
        <v>0</v>
      </c>
      <c r="L795" s="440">
        <f t="shared" si="6"/>
        <v>0</v>
      </c>
      <c r="M795" s="441">
        <f>IF(AND(L795&gt;O795,O795&gt;0),MinPoints,IF(L795&lt;N795,100,+INT((O795-$L795)/P795)+MinPoints))</f>
        <v>100</v>
      </c>
      <c r="N795" s="440">
        <f t="shared" si="7"/>
        <v>7</v>
      </c>
      <c r="O795" s="440">
        <f t="shared" si="8"/>
        <v>16</v>
      </c>
      <c r="P795" s="440">
        <f t="shared" si="9"/>
        <v>0.1</v>
      </c>
      <c r="Q795">
        <f t="array" ref="Q795">IF(I795&gt;0,INDEX(DB,I795,9),EventIndex)</f>
        <v>6</v>
      </c>
      <c r="S795" s="442">
        <f t="array" ref="S795">INDEX(MINVALUES,$Q795,$K$1)</f>
        <v>16</v>
      </c>
      <c r="T795">
        <f t="array" ref="T795">INDEX(INCVALUES,$Q795,$K$1)</f>
        <v>0.1</v>
      </c>
      <c r="V795">
        <f t="array" ref="V795">+J795+(4*(INDEX(MatchScoreTable,$Q795,20)-1))</f>
        <v>4</v>
      </c>
      <c r="W795">
        <f t="array" ref="W795">INDEX(INC_MINVALUES,$V795,$K$1)</f>
        <v>34</v>
      </c>
      <c r="X795" s="212">
        <f t="array" ref="X795">INDEX(INC_INCVALUES,$V795,$K$1)</f>
        <v>0.3</v>
      </c>
    </row>
    <row r="796" ht="15.75" customHeight="1">
      <c r="A796" s="435"/>
      <c r="B796" s="436"/>
      <c r="C796" s="95" t="str">
        <f t="array" ref="C796">IF(I796&gt;0,INDEX(DB,I796,8),"")</f>
        <v/>
      </c>
      <c r="D796" s="437">
        <f t="shared" si="1"/>
        <v>0</v>
      </c>
      <c r="F796" s="438">
        <f t="shared" si="2"/>
        <v>0</v>
      </c>
      <c r="G796" t="str">
        <f t="shared" si="3"/>
        <v/>
      </c>
      <c r="H796" t="b">
        <f t="shared" si="4"/>
        <v>0</v>
      </c>
      <c r="I796" s="439">
        <f>IF(OR(ISBLANK(A796),ISNA(MATCH(A796&amp;"",AthleteNumbers,0))),0,MATCH(A796&amp;"",AthleteNumbers,0))</f>
        <v>0</v>
      </c>
      <c r="J796" s="209">
        <f t="array" ref="J796">IF(I796&gt;0,INDEX(DB,$I796,6),0)</f>
        <v>0</v>
      </c>
      <c r="K796" s="440">
        <f t="shared" si="5"/>
        <v>0</v>
      </c>
      <c r="L796" s="440">
        <f t="shared" si="6"/>
        <v>0</v>
      </c>
      <c r="M796" s="441">
        <f>IF(AND(L796&gt;O796,O796&gt;0),MinPoints,IF(L796&lt;N796,100,+INT((O796-$L796)/P796)+MinPoints))</f>
        <v>100</v>
      </c>
      <c r="N796" s="440">
        <f t="shared" si="7"/>
        <v>7</v>
      </c>
      <c r="O796" s="440">
        <f t="shared" si="8"/>
        <v>16</v>
      </c>
      <c r="P796" s="440">
        <f t="shared" si="9"/>
        <v>0.1</v>
      </c>
      <c r="Q796">
        <f t="array" ref="Q796">IF(I796&gt;0,INDEX(DB,I796,9),EventIndex)</f>
        <v>6</v>
      </c>
      <c r="S796" s="442">
        <f t="array" ref="S796">INDEX(MINVALUES,$Q796,$K$1)</f>
        <v>16</v>
      </c>
      <c r="T796">
        <f t="array" ref="T796">INDEX(INCVALUES,$Q796,$K$1)</f>
        <v>0.1</v>
      </c>
      <c r="V796">
        <f t="array" ref="V796">+J796+(4*(INDEX(MatchScoreTable,$Q796,20)-1))</f>
        <v>4</v>
      </c>
      <c r="W796">
        <f t="array" ref="W796">INDEX(INC_MINVALUES,$V796,$K$1)</f>
        <v>34</v>
      </c>
      <c r="X796" s="212">
        <f t="array" ref="X796">INDEX(INC_INCVALUES,$V796,$K$1)</f>
        <v>0.3</v>
      </c>
    </row>
    <row r="797" ht="15.75" customHeight="1">
      <c r="A797" s="435"/>
      <c r="B797" s="436"/>
      <c r="C797" s="95" t="str">
        <f t="array" ref="C797">IF(I797&gt;0,INDEX(DB,I797,8),"")</f>
        <v/>
      </c>
      <c r="D797" s="437">
        <f t="shared" si="1"/>
        <v>0</v>
      </c>
      <c r="F797" s="438">
        <f t="shared" si="2"/>
        <v>0</v>
      </c>
      <c r="G797" t="str">
        <f t="shared" si="3"/>
        <v/>
      </c>
      <c r="H797" t="b">
        <f t="shared" si="4"/>
        <v>0</v>
      </c>
      <c r="I797" s="439">
        <f>IF(OR(ISBLANK(A797),ISNA(MATCH(A797&amp;"",AthleteNumbers,0))),0,MATCH(A797&amp;"",AthleteNumbers,0))</f>
        <v>0</v>
      </c>
      <c r="J797" s="209">
        <f t="array" ref="J797">IF(I797&gt;0,INDEX(DB,$I797,6),0)</f>
        <v>0</v>
      </c>
      <c r="K797" s="440">
        <f t="shared" si="5"/>
        <v>0</v>
      </c>
      <c r="L797" s="440">
        <f t="shared" si="6"/>
        <v>0</v>
      </c>
      <c r="M797" s="441">
        <f>IF(AND(L797&gt;O797,O797&gt;0),MinPoints,IF(L797&lt;N797,100,+INT((O797-$L797)/P797)+MinPoints))</f>
        <v>100</v>
      </c>
      <c r="N797" s="440">
        <f t="shared" si="7"/>
        <v>7</v>
      </c>
      <c r="O797" s="440">
        <f t="shared" si="8"/>
        <v>16</v>
      </c>
      <c r="P797" s="440">
        <f t="shared" si="9"/>
        <v>0.1</v>
      </c>
      <c r="Q797">
        <f t="array" ref="Q797">IF(I797&gt;0,INDEX(DB,I797,9),EventIndex)</f>
        <v>6</v>
      </c>
      <c r="S797" s="442">
        <f t="array" ref="S797">INDEX(MINVALUES,$Q797,$K$1)</f>
        <v>16</v>
      </c>
      <c r="T797">
        <f t="array" ref="T797">INDEX(INCVALUES,$Q797,$K$1)</f>
        <v>0.1</v>
      </c>
      <c r="V797">
        <f t="array" ref="V797">+J797+(4*(INDEX(MatchScoreTable,$Q797,20)-1))</f>
        <v>4</v>
      </c>
      <c r="W797">
        <f t="array" ref="W797">INDEX(INC_MINVALUES,$V797,$K$1)</f>
        <v>34</v>
      </c>
      <c r="X797" s="212">
        <f t="array" ref="X797">INDEX(INC_INCVALUES,$V797,$K$1)</f>
        <v>0.3</v>
      </c>
    </row>
    <row r="798" ht="15.75" customHeight="1">
      <c r="A798" s="435"/>
      <c r="B798" s="436"/>
      <c r="C798" s="95" t="str">
        <f t="array" ref="C798">IF(I798&gt;0,INDEX(DB,I798,8),"")</f>
        <v/>
      </c>
      <c r="D798" s="437">
        <f t="shared" si="1"/>
        <v>0</v>
      </c>
      <c r="F798" s="438">
        <f t="shared" si="2"/>
        <v>0</v>
      </c>
      <c r="G798" t="str">
        <f t="shared" si="3"/>
        <v/>
      </c>
      <c r="H798" t="b">
        <f t="shared" si="4"/>
        <v>0</v>
      </c>
      <c r="I798" s="439">
        <f>IF(OR(ISBLANK(A798),ISNA(MATCH(A798&amp;"",AthleteNumbers,0))),0,MATCH(A798&amp;"",AthleteNumbers,0))</f>
        <v>0</v>
      </c>
      <c r="J798" s="209">
        <f t="array" ref="J798">IF(I798&gt;0,INDEX(DB,$I798,6),0)</f>
        <v>0</v>
      </c>
      <c r="K798" s="440">
        <f t="shared" si="5"/>
        <v>0</v>
      </c>
      <c r="L798" s="440">
        <f t="shared" si="6"/>
        <v>0</v>
      </c>
      <c r="M798" s="441">
        <f>IF(AND(L798&gt;O798,O798&gt;0),MinPoints,IF(L798&lt;N798,100,+INT((O798-$L798)/P798)+MinPoints))</f>
        <v>100</v>
      </c>
      <c r="N798" s="440">
        <f t="shared" si="7"/>
        <v>7</v>
      </c>
      <c r="O798" s="440">
        <f t="shared" si="8"/>
        <v>16</v>
      </c>
      <c r="P798" s="440">
        <f t="shared" si="9"/>
        <v>0.1</v>
      </c>
      <c r="Q798">
        <f t="array" ref="Q798">IF(I798&gt;0,INDEX(DB,I798,9),EventIndex)</f>
        <v>6</v>
      </c>
      <c r="S798" s="442">
        <f t="array" ref="S798">INDEX(MINVALUES,$Q798,$K$1)</f>
        <v>16</v>
      </c>
      <c r="T798">
        <f t="array" ref="T798">INDEX(INCVALUES,$Q798,$K$1)</f>
        <v>0.1</v>
      </c>
      <c r="V798">
        <f t="array" ref="V798">+J798+(4*(INDEX(MatchScoreTable,$Q798,20)-1))</f>
        <v>4</v>
      </c>
      <c r="W798">
        <f t="array" ref="W798">INDEX(INC_MINVALUES,$V798,$K$1)</f>
        <v>34</v>
      </c>
      <c r="X798" s="212">
        <f t="array" ref="X798">INDEX(INC_INCVALUES,$V798,$K$1)</f>
        <v>0.3</v>
      </c>
    </row>
    <row r="799" ht="15.75" customHeight="1">
      <c r="A799" s="435"/>
      <c r="B799" s="436"/>
      <c r="C799" s="95" t="str">
        <f t="array" ref="C799">IF(I799&gt;0,INDEX(DB,I799,8),"")</f>
        <v/>
      </c>
      <c r="D799" s="437">
        <f t="shared" si="1"/>
        <v>0</v>
      </c>
      <c r="F799" s="438">
        <f t="shared" si="2"/>
        <v>0</v>
      </c>
      <c r="G799" t="str">
        <f t="shared" si="3"/>
        <v/>
      </c>
      <c r="H799" t="b">
        <f t="shared" si="4"/>
        <v>0</v>
      </c>
      <c r="I799" s="439">
        <f>IF(OR(ISBLANK(A799),ISNA(MATCH(A799&amp;"",AthleteNumbers,0))),0,MATCH(A799&amp;"",AthleteNumbers,0))</f>
        <v>0</v>
      </c>
      <c r="J799" s="209">
        <f t="array" ref="J799">IF(I799&gt;0,INDEX(DB,$I799,6),0)</f>
        <v>0</v>
      </c>
      <c r="K799" s="440">
        <f t="shared" si="5"/>
        <v>0</v>
      </c>
      <c r="L799" s="440">
        <f t="shared" si="6"/>
        <v>0</v>
      </c>
      <c r="M799" s="441">
        <f>IF(AND(L799&gt;O799,O799&gt;0),MinPoints,IF(L799&lt;N799,100,+INT((O799-$L799)/P799)+MinPoints))</f>
        <v>100</v>
      </c>
      <c r="N799" s="440">
        <f t="shared" si="7"/>
        <v>7</v>
      </c>
      <c r="O799" s="440">
        <f t="shared" si="8"/>
        <v>16</v>
      </c>
      <c r="P799" s="440">
        <f t="shared" si="9"/>
        <v>0.1</v>
      </c>
      <c r="Q799">
        <f t="array" ref="Q799">IF(I799&gt;0,INDEX(DB,I799,9),EventIndex)</f>
        <v>6</v>
      </c>
      <c r="S799" s="442">
        <f t="array" ref="S799">INDEX(MINVALUES,$Q799,$K$1)</f>
        <v>16</v>
      </c>
      <c r="T799">
        <f t="array" ref="T799">INDEX(INCVALUES,$Q799,$K$1)</f>
        <v>0.1</v>
      </c>
      <c r="V799">
        <f t="array" ref="V799">+J799+(4*(INDEX(MatchScoreTable,$Q799,20)-1))</f>
        <v>4</v>
      </c>
      <c r="W799">
        <f t="array" ref="W799">INDEX(INC_MINVALUES,$V799,$K$1)</f>
        <v>34</v>
      </c>
      <c r="X799" s="212">
        <f t="array" ref="X799">INDEX(INC_INCVALUES,$V799,$K$1)</f>
        <v>0.3</v>
      </c>
    </row>
    <row r="800" ht="15.75" customHeight="1">
      <c r="A800" s="435"/>
      <c r="B800" s="436"/>
      <c r="C800" s="95" t="str">
        <f t="array" ref="C800">IF(I800&gt;0,INDEX(DB,I800,8),"")</f>
        <v/>
      </c>
      <c r="D800" s="437">
        <f t="shared" si="1"/>
        <v>0</v>
      </c>
      <c r="F800" s="438">
        <f t="shared" si="2"/>
        <v>0</v>
      </c>
      <c r="G800" t="str">
        <f t="shared" si="3"/>
        <v/>
      </c>
      <c r="H800" t="b">
        <f t="shared" si="4"/>
        <v>0</v>
      </c>
      <c r="I800" s="439">
        <f>IF(OR(ISBLANK(A800),ISNA(MATCH(A800&amp;"",AthleteNumbers,0))),0,MATCH(A800&amp;"",AthleteNumbers,0))</f>
        <v>0</v>
      </c>
      <c r="J800" s="209">
        <f t="array" ref="J800">IF(I800&gt;0,INDEX(DB,$I800,6),0)</f>
        <v>0</v>
      </c>
      <c r="K800" s="440">
        <f t="shared" si="5"/>
        <v>0</v>
      </c>
      <c r="L800" s="440">
        <f t="shared" si="6"/>
        <v>0</v>
      </c>
      <c r="M800" s="441">
        <f>IF(AND(L800&gt;O800,O800&gt;0),MinPoints,IF(L800&lt;N800,100,+INT((O800-$L800)/P800)+MinPoints))</f>
        <v>100</v>
      </c>
      <c r="N800" s="440">
        <f t="shared" si="7"/>
        <v>7</v>
      </c>
      <c r="O800" s="440">
        <f t="shared" si="8"/>
        <v>16</v>
      </c>
      <c r="P800" s="440">
        <f t="shared" si="9"/>
        <v>0.1</v>
      </c>
      <c r="Q800">
        <f t="array" ref="Q800">IF(I800&gt;0,INDEX(DB,I800,9),EventIndex)</f>
        <v>6</v>
      </c>
      <c r="S800" s="442">
        <f t="array" ref="S800">INDEX(MINVALUES,$Q800,$K$1)</f>
        <v>16</v>
      </c>
      <c r="T800">
        <f t="array" ref="T800">INDEX(INCVALUES,$Q800,$K$1)</f>
        <v>0.1</v>
      </c>
      <c r="V800">
        <f t="array" ref="V800">+J800+(4*(INDEX(MatchScoreTable,$Q800,20)-1))</f>
        <v>4</v>
      </c>
      <c r="W800">
        <f t="array" ref="W800">INDEX(INC_MINVALUES,$V800,$K$1)</f>
        <v>34</v>
      </c>
      <c r="X800" s="212">
        <f t="array" ref="X800">INDEX(INC_INCVALUES,$V800,$K$1)</f>
        <v>0.3</v>
      </c>
    </row>
    <row r="801" ht="15.75" customHeight="1">
      <c r="A801" s="435"/>
      <c r="B801" s="436"/>
      <c r="C801" s="95" t="str">
        <f t="array" ref="C801">IF(I801&gt;0,INDEX(DB,I801,8),"")</f>
        <v/>
      </c>
      <c r="D801" s="437">
        <f t="shared" si="1"/>
        <v>0</v>
      </c>
      <c r="F801" s="438">
        <f t="shared" si="2"/>
        <v>0</v>
      </c>
      <c r="G801" t="str">
        <f t="shared" si="3"/>
        <v/>
      </c>
      <c r="H801" t="b">
        <f t="shared" si="4"/>
        <v>0</v>
      </c>
      <c r="I801" s="439">
        <f>IF(OR(ISBLANK(A801),ISNA(MATCH(A801&amp;"",AthleteNumbers,0))),0,MATCH(A801&amp;"",AthleteNumbers,0))</f>
        <v>0</v>
      </c>
      <c r="J801" s="209">
        <f t="array" ref="J801">IF(I801&gt;0,INDEX(DB,$I801,6),0)</f>
        <v>0</v>
      </c>
      <c r="K801" s="440">
        <f t="shared" si="5"/>
        <v>0</v>
      </c>
      <c r="L801" s="440">
        <f t="shared" si="6"/>
        <v>0</v>
      </c>
      <c r="M801" s="441">
        <f>IF(AND(L801&gt;O801,O801&gt;0),MinPoints,IF(L801&lt;N801,100,+INT((O801-$L801)/P801)+MinPoints))</f>
        <v>100</v>
      </c>
      <c r="N801" s="440">
        <f t="shared" si="7"/>
        <v>7</v>
      </c>
      <c r="O801" s="440">
        <f t="shared" si="8"/>
        <v>16</v>
      </c>
      <c r="P801" s="440">
        <f t="shared" si="9"/>
        <v>0.1</v>
      </c>
      <c r="Q801">
        <f t="array" ref="Q801">IF(I801&gt;0,INDEX(DB,I801,9),EventIndex)</f>
        <v>6</v>
      </c>
      <c r="S801" s="442">
        <f t="array" ref="S801">INDEX(MINVALUES,$Q801,$K$1)</f>
        <v>16</v>
      </c>
      <c r="T801">
        <f t="array" ref="T801">INDEX(INCVALUES,$Q801,$K$1)</f>
        <v>0.1</v>
      </c>
      <c r="V801">
        <f t="array" ref="V801">+J801+(4*(INDEX(MatchScoreTable,$Q801,20)-1))</f>
        <v>4</v>
      </c>
      <c r="W801">
        <f t="array" ref="W801">INDEX(INC_MINVALUES,$V801,$K$1)</f>
        <v>34</v>
      </c>
      <c r="X801" s="212">
        <f t="array" ref="X801">INDEX(INC_INCVALUES,$V801,$K$1)</f>
        <v>0.3</v>
      </c>
    </row>
    <row r="802" ht="15.75" customHeight="1">
      <c r="A802" s="435"/>
      <c r="B802" s="436"/>
      <c r="C802" s="95" t="str">
        <f t="array" ref="C802">IF(I802&gt;0,INDEX(DB,I802,8),"")</f>
        <v/>
      </c>
      <c r="D802" s="437">
        <f t="shared" si="1"/>
        <v>0</v>
      </c>
      <c r="F802" s="438">
        <f t="shared" si="2"/>
        <v>0</v>
      </c>
      <c r="G802" t="str">
        <f t="shared" si="3"/>
        <v/>
      </c>
      <c r="H802" t="b">
        <f t="shared" si="4"/>
        <v>0</v>
      </c>
      <c r="I802" s="439">
        <f>IF(OR(ISBLANK(A802),ISNA(MATCH(A802&amp;"",AthleteNumbers,0))),0,MATCH(A802&amp;"",AthleteNumbers,0))</f>
        <v>0</v>
      </c>
      <c r="J802" s="209">
        <f t="array" ref="J802">IF(I802&gt;0,INDEX(DB,$I802,6),0)</f>
        <v>0</v>
      </c>
      <c r="K802" s="440">
        <f t="shared" si="5"/>
        <v>0</v>
      </c>
      <c r="L802" s="440">
        <f t="shared" si="6"/>
        <v>0</v>
      </c>
      <c r="M802" s="441">
        <f>IF(AND(L802&gt;O802,O802&gt;0),MinPoints,IF(L802&lt;N802,100,+INT((O802-$L802)/P802)+MinPoints))</f>
        <v>100</v>
      </c>
      <c r="N802" s="440">
        <f t="shared" si="7"/>
        <v>7</v>
      </c>
      <c r="O802" s="440">
        <f t="shared" si="8"/>
        <v>16</v>
      </c>
      <c r="P802" s="440">
        <f t="shared" si="9"/>
        <v>0.1</v>
      </c>
      <c r="Q802">
        <f t="array" ref="Q802">IF(I802&gt;0,INDEX(DB,I802,9),EventIndex)</f>
        <v>6</v>
      </c>
      <c r="S802" s="442">
        <f t="array" ref="S802">INDEX(MINVALUES,$Q802,$K$1)</f>
        <v>16</v>
      </c>
      <c r="T802">
        <f t="array" ref="T802">INDEX(INCVALUES,$Q802,$K$1)</f>
        <v>0.1</v>
      </c>
      <c r="V802">
        <f t="array" ref="V802">+J802+(4*(INDEX(MatchScoreTable,$Q802,20)-1))</f>
        <v>4</v>
      </c>
      <c r="W802">
        <f t="array" ref="W802">INDEX(INC_MINVALUES,$V802,$K$1)</f>
        <v>34</v>
      </c>
      <c r="X802" s="212">
        <f t="array" ref="X802">INDEX(INC_INCVALUES,$V802,$K$1)</f>
        <v>0.3</v>
      </c>
    </row>
    <row r="803" ht="15.75" customHeight="1">
      <c r="A803" s="435"/>
      <c r="B803" s="436"/>
      <c r="C803" s="95" t="str">
        <f t="array" ref="C803">IF(I803&gt;0,INDEX(DB,I803,8),"")</f>
        <v/>
      </c>
      <c r="D803" s="437">
        <f t="shared" si="1"/>
        <v>0</v>
      </c>
      <c r="F803" s="438">
        <f t="shared" si="2"/>
        <v>0</v>
      </c>
      <c r="G803" t="str">
        <f t="shared" si="3"/>
        <v/>
      </c>
      <c r="H803" t="b">
        <f t="shared" si="4"/>
        <v>0</v>
      </c>
      <c r="I803" s="439">
        <f>IF(OR(ISBLANK(A803),ISNA(MATCH(A803&amp;"",AthleteNumbers,0))),0,MATCH(A803&amp;"",AthleteNumbers,0))</f>
        <v>0</v>
      </c>
      <c r="J803" s="209">
        <f t="array" ref="J803">IF(I803&gt;0,INDEX(DB,$I803,6),0)</f>
        <v>0</v>
      </c>
      <c r="K803" s="440">
        <f t="shared" si="5"/>
        <v>0</v>
      </c>
      <c r="L803" s="440">
        <f t="shared" si="6"/>
        <v>0</v>
      </c>
      <c r="M803" s="441">
        <f>IF(AND(L803&gt;O803,O803&gt;0),MinPoints,IF(L803&lt;N803,100,+INT((O803-$L803)/P803)+MinPoints))</f>
        <v>100</v>
      </c>
      <c r="N803" s="440">
        <f t="shared" si="7"/>
        <v>7</v>
      </c>
      <c r="O803" s="440">
        <f t="shared" si="8"/>
        <v>16</v>
      </c>
      <c r="P803" s="440">
        <f t="shared" si="9"/>
        <v>0.1</v>
      </c>
      <c r="Q803">
        <f t="array" ref="Q803">IF(I803&gt;0,INDEX(DB,I803,9),EventIndex)</f>
        <v>6</v>
      </c>
      <c r="S803" s="442">
        <f t="array" ref="S803">INDEX(MINVALUES,$Q803,$K$1)</f>
        <v>16</v>
      </c>
      <c r="T803">
        <f t="array" ref="T803">INDEX(INCVALUES,$Q803,$K$1)</f>
        <v>0.1</v>
      </c>
      <c r="V803">
        <f t="array" ref="V803">+J803+(4*(INDEX(MatchScoreTable,$Q803,20)-1))</f>
        <v>4</v>
      </c>
      <c r="W803">
        <f t="array" ref="W803">INDEX(INC_MINVALUES,$V803,$K$1)</f>
        <v>34</v>
      </c>
      <c r="X803" s="212">
        <f t="array" ref="X803">INDEX(INC_INCVALUES,$V803,$K$1)</f>
        <v>0.3</v>
      </c>
    </row>
    <row r="804" ht="15.75" customHeight="1">
      <c r="A804" s="435"/>
      <c r="B804" s="436"/>
      <c r="C804" s="95" t="str">
        <f t="array" ref="C804">IF(I804&gt;0,INDEX(DB,I804,8),"")</f>
        <v/>
      </c>
      <c r="D804" s="437">
        <f t="shared" si="1"/>
        <v>0</v>
      </c>
      <c r="F804" s="438">
        <f t="shared" si="2"/>
        <v>0</v>
      </c>
      <c r="G804" t="str">
        <f t="shared" si="3"/>
        <v/>
      </c>
      <c r="H804" t="b">
        <f t="shared" si="4"/>
        <v>0</v>
      </c>
      <c r="I804" s="439">
        <f>IF(OR(ISBLANK(A804),ISNA(MATCH(A804&amp;"",AthleteNumbers,0))),0,MATCH(A804&amp;"",AthleteNumbers,0))</f>
        <v>0</v>
      </c>
      <c r="J804" s="209">
        <f t="array" ref="J804">IF(I804&gt;0,INDEX(DB,$I804,6),0)</f>
        <v>0</v>
      </c>
      <c r="K804" s="440">
        <f t="shared" si="5"/>
        <v>0</v>
      </c>
      <c r="L804" s="440">
        <f t="shared" si="6"/>
        <v>0</v>
      </c>
      <c r="M804" s="441">
        <f>IF(AND(L804&gt;O804,O804&gt;0),MinPoints,IF(L804&lt;N804,100,+INT((O804-$L804)/P804)+MinPoints))</f>
        <v>100</v>
      </c>
      <c r="N804" s="440">
        <f t="shared" si="7"/>
        <v>7</v>
      </c>
      <c r="O804" s="440">
        <f t="shared" si="8"/>
        <v>16</v>
      </c>
      <c r="P804" s="440">
        <f t="shared" si="9"/>
        <v>0.1</v>
      </c>
      <c r="Q804">
        <f t="array" ref="Q804">IF(I804&gt;0,INDEX(DB,I804,9),EventIndex)</f>
        <v>6</v>
      </c>
      <c r="S804" s="442">
        <f t="array" ref="S804">INDEX(MINVALUES,$Q804,$K$1)</f>
        <v>16</v>
      </c>
      <c r="T804">
        <f t="array" ref="T804">INDEX(INCVALUES,$Q804,$K$1)</f>
        <v>0.1</v>
      </c>
      <c r="V804">
        <f t="array" ref="V804">+J804+(4*(INDEX(MatchScoreTable,$Q804,20)-1))</f>
        <v>4</v>
      </c>
      <c r="W804">
        <f t="array" ref="W804">INDEX(INC_MINVALUES,$V804,$K$1)</f>
        <v>34</v>
      </c>
      <c r="X804" s="212">
        <f t="array" ref="X804">INDEX(INC_INCVALUES,$V804,$K$1)</f>
        <v>0.3</v>
      </c>
    </row>
    <row r="805" ht="15.75" customHeight="1">
      <c r="A805" s="435"/>
      <c r="B805" s="436"/>
      <c r="C805" s="95" t="str">
        <f t="array" ref="C805">IF(I805&gt;0,INDEX(DB,I805,8),"")</f>
        <v/>
      </c>
      <c r="D805" s="437">
        <f t="shared" si="1"/>
        <v>0</v>
      </c>
      <c r="F805" s="438">
        <f t="shared" si="2"/>
        <v>0</v>
      </c>
      <c r="G805" t="str">
        <f t="shared" si="3"/>
        <v/>
      </c>
      <c r="H805" t="b">
        <f t="shared" si="4"/>
        <v>0</v>
      </c>
      <c r="I805" s="439">
        <f>IF(OR(ISBLANK(A805),ISNA(MATCH(A805&amp;"",AthleteNumbers,0))),0,MATCH(A805&amp;"",AthleteNumbers,0))</f>
        <v>0</v>
      </c>
      <c r="J805" s="209">
        <f t="array" ref="J805">IF(I805&gt;0,INDEX(DB,$I805,6),0)</f>
        <v>0</v>
      </c>
      <c r="K805" s="440">
        <f t="shared" si="5"/>
        <v>0</v>
      </c>
      <c r="L805" s="440">
        <f t="shared" si="6"/>
        <v>0</v>
      </c>
      <c r="M805" s="441">
        <f>IF(AND(L805&gt;O805,O805&gt;0),MinPoints,IF(L805&lt;N805,100,+INT((O805-$L805)/P805)+MinPoints))</f>
        <v>100</v>
      </c>
      <c r="N805" s="440">
        <f t="shared" si="7"/>
        <v>7</v>
      </c>
      <c r="O805" s="440">
        <f t="shared" si="8"/>
        <v>16</v>
      </c>
      <c r="P805" s="440">
        <f t="shared" si="9"/>
        <v>0.1</v>
      </c>
      <c r="Q805">
        <f t="array" ref="Q805">IF(I805&gt;0,INDEX(DB,I805,9),EventIndex)</f>
        <v>6</v>
      </c>
      <c r="S805" s="442">
        <f t="array" ref="S805">INDEX(MINVALUES,$Q805,$K$1)</f>
        <v>16</v>
      </c>
      <c r="T805">
        <f t="array" ref="T805">INDEX(INCVALUES,$Q805,$K$1)</f>
        <v>0.1</v>
      </c>
      <c r="V805">
        <f t="array" ref="V805">+J805+(4*(INDEX(MatchScoreTable,$Q805,20)-1))</f>
        <v>4</v>
      </c>
      <c r="W805">
        <f t="array" ref="W805">INDEX(INC_MINVALUES,$V805,$K$1)</f>
        <v>34</v>
      </c>
      <c r="X805" s="212">
        <f t="array" ref="X805">INDEX(INC_INCVALUES,$V805,$K$1)</f>
        <v>0.3</v>
      </c>
    </row>
    <row r="806" ht="15.75" customHeight="1">
      <c r="A806" s="435"/>
      <c r="B806" s="436"/>
      <c r="C806" s="95" t="str">
        <f t="array" ref="C806">IF(I806&gt;0,INDEX(DB,I806,8),"")</f>
        <v/>
      </c>
      <c r="D806" s="437">
        <f t="shared" si="1"/>
        <v>0</v>
      </c>
      <c r="F806" s="438">
        <f t="shared" si="2"/>
        <v>0</v>
      </c>
      <c r="G806" t="str">
        <f t="shared" si="3"/>
        <v/>
      </c>
      <c r="H806" t="b">
        <f t="shared" si="4"/>
        <v>0</v>
      </c>
      <c r="I806" s="439">
        <f>IF(OR(ISBLANK(A806),ISNA(MATCH(A806&amp;"",AthleteNumbers,0))),0,MATCH(A806&amp;"",AthleteNumbers,0))</f>
        <v>0</v>
      </c>
      <c r="J806" s="209">
        <f t="array" ref="J806">IF(I806&gt;0,INDEX(DB,$I806,6),0)</f>
        <v>0</v>
      </c>
      <c r="K806" s="440">
        <f t="shared" si="5"/>
        <v>0</v>
      </c>
      <c r="L806" s="440">
        <f t="shared" si="6"/>
        <v>0</v>
      </c>
      <c r="M806" s="441">
        <f>IF(AND(L806&gt;O806,O806&gt;0),MinPoints,IF(L806&lt;N806,100,+INT((O806-$L806)/P806)+MinPoints))</f>
        <v>100</v>
      </c>
      <c r="N806" s="440">
        <f t="shared" si="7"/>
        <v>7</v>
      </c>
      <c r="O806" s="440">
        <f t="shared" si="8"/>
        <v>16</v>
      </c>
      <c r="P806" s="440">
        <f t="shared" si="9"/>
        <v>0.1</v>
      </c>
      <c r="Q806">
        <f t="array" ref="Q806">IF(I806&gt;0,INDEX(DB,I806,9),EventIndex)</f>
        <v>6</v>
      </c>
      <c r="S806" s="442">
        <f t="array" ref="S806">INDEX(MINVALUES,$Q806,$K$1)</f>
        <v>16</v>
      </c>
      <c r="T806">
        <f t="array" ref="T806">INDEX(INCVALUES,$Q806,$K$1)</f>
        <v>0.1</v>
      </c>
      <c r="V806">
        <f t="array" ref="V806">+J806+(4*(INDEX(MatchScoreTable,$Q806,20)-1))</f>
        <v>4</v>
      </c>
      <c r="W806">
        <f t="array" ref="W806">INDEX(INC_MINVALUES,$V806,$K$1)</f>
        <v>34</v>
      </c>
      <c r="X806" s="212">
        <f t="array" ref="X806">INDEX(INC_INCVALUES,$V806,$K$1)</f>
        <v>0.3</v>
      </c>
    </row>
    <row r="807" ht="15.75" customHeight="1">
      <c r="A807" s="435"/>
      <c r="B807" s="436"/>
      <c r="C807" s="95" t="str">
        <f t="array" ref="C807">IF(I807&gt;0,INDEX(DB,I807,8),"")</f>
        <v/>
      </c>
      <c r="D807" s="437">
        <f t="shared" si="1"/>
        <v>0</v>
      </c>
      <c r="F807" s="438">
        <f t="shared" si="2"/>
        <v>0</v>
      </c>
      <c r="G807" t="str">
        <f t="shared" si="3"/>
        <v/>
      </c>
      <c r="H807" t="b">
        <f t="shared" si="4"/>
        <v>0</v>
      </c>
      <c r="I807" s="439">
        <f>IF(OR(ISBLANK(A807),ISNA(MATCH(A807&amp;"",AthleteNumbers,0))),0,MATCH(A807&amp;"",AthleteNumbers,0))</f>
        <v>0</v>
      </c>
      <c r="J807" s="209">
        <f t="array" ref="J807">IF(I807&gt;0,INDEX(DB,$I807,6),0)</f>
        <v>0</v>
      </c>
      <c r="K807" s="440">
        <f t="shared" si="5"/>
        <v>0</v>
      </c>
      <c r="L807" s="440">
        <f t="shared" si="6"/>
        <v>0</v>
      </c>
      <c r="M807" s="441">
        <f>IF(AND(L807&gt;O807,O807&gt;0),MinPoints,IF(L807&lt;N807,100,+INT((O807-$L807)/P807)+MinPoints))</f>
        <v>100</v>
      </c>
      <c r="N807" s="440">
        <f t="shared" si="7"/>
        <v>7</v>
      </c>
      <c r="O807" s="440">
        <f t="shared" si="8"/>
        <v>16</v>
      </c>
      <c r="P807" s="440">
        <f t="shared" si="9"/>
        <v>0.1</v>
      </c>
      <c r="Q807">
        <f t="array" ref="Q807">IF(I807&gt;0,INDEX(DB,I807,9),EventIndex)</f>
        <v>6</v>
      </c>
      <c r="S807" s="442">
        <f t="array" ref="S807">INDEX(MINVALUES,$Q807,$K$1)</f>
        <v>16</v>
      </c>
      <c r="T807">
        <f t="array" ref="T807">INDEX(INCVALUES,$Q807,$K$1)</f>
        <v>0.1</v>
      </c>
      <c r="V807">
        <f t="array" ref="V807">+J807+(4*(INDEX(MatchScoreTable,$Q807,20)-1))</f>
        <v>4</v>
      </c>
      <c r="W807">
        <f t="array" ref="W807">INDEX(INC_MINVALUES,$V807,$K$1)</f>
        <v>34</v>
      </c>
      <c r="X807" s="212">
        <f t="array" ref="X807">INDEX(INC_INCVALUES,$V807,$K$1)</f>
        <v>0.3</v>
      </c>
    </row>
    <row r="808" ht="15.75" customHeight="1">
      <c r="A808" s="435"/>
      <c r="B808" s="436"/>
      <c r="C808" s="95" t="str">
        <f t="array" ref="C808">IF(I808&gt;0,INDEX(DB,I808,8),"")</f>
        <v/>
      </c>
      <c r="D808" s="437">
        <f t="shared" si="1"/>
        <v>0</v>
      </c>
      <c r="F808" s="438">
        <f t="shared" si="2"/>
        <v>0</v>
      </c>
      <c r="G808" t="str">
        <f t="shared" si="3"/>
        <v/>
      </c>
      <c r="H808" t="b">
        <f t="shared" si="4"/>
        <v>0</v>
      </c>
      <c r="I808" s="439">
        <f>IF(OR(ISBLANK(A808),ISNA(MATCH(A808&amp;"",AthleteNumbers,0))),0,MATCH(A808&amp;"",AthleteNumbers,0))</f>
        <v>0</v>
      </c>
      <c r="J808" s="209">
        <f t="array" ref="J808">IF(I808&gt;0,INDEX(DB,$I808,6),0)</f>
        <v>0</v>
      </c>
      <c r="K808" s="440">
        <f t="shared" si="5"/>
        <v>0</v>
      </c>
      <c r="L808" s="440">
        <f t="shared" si="6"/>
        <v>0</v>
      </c>
      <c r="M808" s="441">
        <f>IF(AND(L808&gt;O808,O808&gt;0),MinPoints,IF(L808&lt;N808,100,+INT((O808-$L808)/P808)+MinPoints))</f>
        <v>100</v>
      </c>
      <c r="N808" s="440">
        <f t="shared" si="7"/>
        <v>7</v>
      </c>
      <c r="O808" s="440">
        <f t="shared" si="8"/>
        <v>16</v>
      </c>
      <c r="P808" s="440">
        <f t="shared" si="9"/>
        <v>0.1</v>
      </c>
      <c r="Q808">
        <f t="array" ref="Q808">IF(I808&gt;0,INDEX(DB,I808,9),EventIndex)</f>
        <v>6</v>
      </c>
      <c r="S808" s="442">
        <f t="array" ref="S808">INDEX(MINVALUES,$Q808,$K$1)</f>
        <v>16</v>
      </c>
      <c r="T808">
        <f t="array" ref="T808">INDEX(INCVALUES,$Q808,$K$1)</f>
        <v>0.1</v>
      </c>
      <c r="V808">
        <f t="array" ref="V808">+J808+(4*(INDEX(MatchScoreTable,$Q808,20)-1))</f>
        <v>4</v>
      </c>
      <c r="W808">
        <f t="array" ref="W808">INDEX(INC_MINVALUES,$V808,$K$1)</f>
        <v>34</v>
      </c>
      <c r="X808" s="212">
        <f t="array" ref="X808">INDEX(INC_INCVALUES,$V808,$K$1)</f>
        <v>0.3</v>
      </c>
    </row>
    <row r="809" ht="15.75" customHeight="1">
      <c r="A809" s="435"/>
      <c r="B809" s="436"/>
      <c r="C809" s="95" t="str">
        <f t="array" ref="C809">IF(I809&gt;0,INDEX(DB,I809,8),"")</f>
        <v/>
      </c>
      <c r="D809" s="437">
        <f t="shared" si="1"/>
        <v>0</v>
      </c>
      <c r="F809" s="438">
        <f t="shared" si="2"/>
        <v>0</v>
      </c>
      <c r="G809" t="str">
        <f t="shared" si="3"/>
        <v/>
      </c>
      <c r="H809" t="b">
        <f t="shared" si="4"/>
        <v>0</v>
      </c>
      <c r="I809" s="439">
        <f>IF(OR(ISBLANK(A809),ISNA(MATCH(A809&amp;"",AthleteNumbers,0))),0,MATCH(A809&amp;"",AthleteNumbers,0))</f>
        <v>0</v>
      </c>
      <c r="J809" s="209">
        <f t="array" ref="J809">IF(I809&gt;0,INDEX(DB,$I809,6),0)</f>
        <v>0</v>
      </c>
      <c r="K809" s="440">
        <f t="shared" si="5"/>
        <v>0</v>
      </c>
      <c r="L809" s="440">
        <f t="shared" si="6"/>
        <v>0</v>
      </c>
      <c r="M809" s="441">
        <f>IF(AND(L809&gt;O809,O809&gt;0),MinPoints,IF(L809&lt;N809,100,+INT((O809-$L809)/P809)+MinPoints))</f>
        <v>100</v>
      </c>
      <c r="N809" s="440">
        <f t="shared" si="7"/>
        <v>7</v>
      </c>
      <c r="O809" s="440">
        <f t="shared" si="8"/>
        <v>16</v>
      </c>
      <c r="P809" s="440">
        <f t="shared" si="9"/>
        <v>0.1</v>
      </c>
      <c r="Q809">
        <f t="array" ref="Q809">IF(I809&gt;0,INDEX(DB,I809,9),EventIndex)</f>
        <v>6</v>
      </c>
      <c r="S809" s="442">
        <f t="array" ref="S809">INDEX(MINVALUES,$Q809,$K$1)</f>
        <v>16</v>
      </c>
      <c r="T809">
        <f t="array" ref="T809">INDEX(INCVALUES,$Q809,$K$1)</f>
        <v>0.1</v>
      </c>
      <c r="V809">
        <f t="array" ref="V809">+J809+(4*(INDEX(MatchScoreTable,$Q809,20)-1))</f>
        <v>4</v>
      </c>
      <c r="W809">
        <f t="array" ref="W809">INDEX(INC_MINVALUES,$V809,$K$1)</f>
        <v>34</v>
      </c>
      <c r="X809" s="212">
        <f t="array" ref="X809">INDEX(INC_INCVALUES,$V809,$K$1)</f>
        <v>0.3</v>
      </c>
    </row>
    <row r="810" ht="15.75" customHeight="1">
      <c r="A810" s="435"/>
      <c r="B810" s="436"/>
      <c r="C810" s="95" t="str">
        <f t="array" ref="C810">IF(I810&gt;0,INDEX(DB,I810,8),"")</f>
        <v/>
      </c>
      <c r="D810" s="437">
        <f t="shared" si="1"/>
        <v>0</v>
      </c>
      <c r="F810" s="438">
        <f t="shared" si="2"/>
        <v>0</v>
      </c>
      <c r="G810" t="str">
        <f t="shared" si="3"/>
        <v/>
      </c>
      <c r="H810" t="b">
        <f t="shared" si="4"/>
        <v>0</v>
      </c>
      <c r="I810" s="439">
        <f>IF(OR(ISBLANK(A810),ISNA(MATCH(A810&amp;"",AthleteNumbers,0))),0,MATCH(A810&amp;"",AthleteNumbers,0))</f>
        <v>0</v>
      </c>
      <c r="J810" s="209">
        <f t="array" ref="J810">IF(I810&gt;0,INDEX(DB,$I810,6),0)</f>
        <v>0</v>
      </c>
      <c r="K810" s="440">
        <f t="shared" si="5"/>
        <v>0</v>
      </c>
      <c r="L810" s="440">
        <f t="shared" si="6"/>
        <v>0</v>
      </c>
      <c r="M810" s="441">
        <f>IF(AND(L810&gt;O810,O810&gt;0),MinPoints,IF(L810&lt;N810,100,+INT((O810-$L810)/P810)+MinPoints))</f>
        <v>100</v>
      </c>
      <c r="N810" s="440">
        <f t="shared" si="7"/>
        <v>7</v>
      </c>
      <c r="O810" s="440">
        <f t="shared" si="8"/>
        <v>16</v>
      </c>
      <c r="P810" s="440">
        <f t="shared" si="9"/>
        <v>0.1</v>
      </c>
      <c r="Q810">
        <f t="array" ref="Q810">IF(I810&gt;0,INDEX(DB,I810,9),EventIndex)</f>
        <v>6</v>
      </c>
      <c r="S810" s="442">
        <f t="array" ref="S810">INDEX(MINVALUES,$Q810,$K$1)</f>
        <v>16</v>
      </c>
      <c r="T810">
        <f t="array" ref="T810">INDEX(INCVALUES,$Q810,$K$1)</f>
        <v>0.1</v>
      </c>
      <c r="V810">
        <f t="array" ref="V810">+J810+(4*(INDEX(MatchScoreTable,$Q810,20)-1))</f>
        <v>4</v>
      </c>
      <c r="W810">
        <f t="array" ref="W810">INDEX(INC_MINVALUES,$V810,$K$1)</f>
        <v>34</v>
      </c>
      <c r="X810" s="212">
        <f t="array" ref="X810">INDEX(INC_INCVALUES,$V810,$K$1)</f>
        <v>0.3</v>
      </c>
    </row>
    <row r="811" ht="15.75" customHeight="1">
      <c r="A811" s="435"/>
      <c r="B811" s="436"/>
      <c r="C811" s="95" t="str">
        <f t="array" ref="C811">IF(I811&gt;0,INDEX(DB,I811,8),"")</f>
        <v/>
      </c>
      <c r="D811" s="437">
        <f t="shared" si="1"/>
        <v>0</v>
      </c>
      <c r="F811" s="438">
        <f t="shared" si="2"/>
        <v>0</v>
      </c>
      <c r="G811" t="str">
        <f t="shared" si="3"/>
        <v/>
      </c>
      <c r="H811" t="b">
        <f t="shared" si="4"/>
        <v>0</v>
      </c>
      <c r="I811" s="439">
        <f>IF(OR(ISBLANK(A811),ISNA(MATCH(A811&amp;"",AthleteNumbers,0))),0,MATCH(A811&amp;"",AthleteNumbers,0))</f>
        <v>0</v>
      </c>
      <c r="J811" s="209">
        <f t="array" ref="J811">IF(I811&gt;0,INDEX(DB,$I811,6),0)</f>
        <v>0</v>
      </c>
      <c r="K811" s="440">
        <f t="shared" si="5"/>
        <v>0</v>
      </c>
      <c r="L811" s="440">
        <f t="shared" si="6"/>
        <v>0</v>
      </c>
      <c r="M811" s="441">
        <f>IF(AND(L811&gt;O811,O811&gt;0),MinPoints,IF(L811&lt;N811,100,+INT((O811-$L811)/P811)+MinPoints))</f>
        <v>100</v>
      </c>
      <c r="N811" s="440">
        <f t="shared" si="7"/>
        <v>7</v>
      </c>
      <c r="O811" s="440">
        <f t="shared" si="8"/>
        <v>16</v>
      </c>
      <c r="P811" s="440">
        <f t="shared" si="9"/>
        <v>0.1</v>
      </c>
      <c r="Q811">
        <f t="array" ref="Q811">IF(I811&gt;0,INDEX(DB,I811,9),EventIndex)</f>
        <v>6</v>
      </c>
      <c r="S811" s="442">
        <f t="array" ref="S811">INDEX(MINVALUES,$Q811,$K$1)</f>
        <v>16</v>
      </c>
      <c r="T811">
        <f t="array" ref="T811">INDEX(INCVALUES,$Q811,$K$1)</f>
        <v>0.1</v>
      </c>
      <c r="V811">
        <f t="array" ref="V811">+J811+(4*(INDEX(MatchScoreTable,$Q811,20)-1))</f>
        <v>4</v>
      </c>
      <c r="W811">
        <f t="array" ref="W811">INDEX(INC_MINVALUES,$V811,$K$1)</f>
        <v>34</v>
      </c>
      <c r="X811" s="212">
        <f t="array" ref="X811">INDEX(INC_INCVALUES,$V811,$K$1)</f>
        <v>0.3</v>
      </c>
    </row>
    <row r="812" ht="15.75" customHeight="1">
      <c r="A812" s="435"/>
      <c r="B812" s="436"/>
      <c r="C812" s="95" t="str">
        <f t="array" ref="C812">IF(I812&gt;0,INDEX(DB,I812,8),"")</f>
        <v/>
      </c>
      <c r="D812" s="437">
        <f t="shared" si="1"/>
        <v>0</v>
      </c>
      <c r="F812" s="438">
        <f t="shared" si="2"/>
        <v>0</v>
      </c>
      <c r="G812" t="str">
        <f t="shared" si="3"/>
        <v/>
      </c>
      <c r="H812" t="b">
        <f t="shared" si="4"/>
        <v>0</v>
      </c>
      <c r="I812" s="439">
        <f>IF(OR(ISBLANK(A812),ISNA(MATCH(A812&amp;"",AthleteNumbers,0))),0,MATCH(A812&amp;"",AthleteNumbers,0))</f>
        <v>0</v>
      </c>
      <c r="J812" s="209">
        <f t="array" ref="J812">IF(I812&gt;0,INDEX(DB,$I812,6),0)</f>
        <v>0</v>
      </c>
      <c r="K812" s="440">
        <f t="shared" si="5"/>
        <v>0</v>
      </c>
      <c r="L812" s="440">
        <f t="shared" si="6"/>
        <v>0</v>
      </c>
      <c r="M812" s="441">
        <f>IF(AND(L812&gt;O812,O812&gt;0),MinPoints,IF(L812&lt;N812,100,+INT((O812-$L812)/P812)+MinPoints))</f>
        <v>100</v>
      </c>
      <c r="N812" s="440">
        <f t="shared" si="7"/>
        <v>7</v>
      </c>
      <c r="O812" s="440">
        <f t="shared" si="8"/>
        <v>16</v>
      </c>
      <c r="P812" s="440">
        <f t="shared" si="9"/>
        <v>0.1</v>
      </c>
      <c r="Q812">
        <f t="array" ref="Q812">IF(I812&gt;0,INDEX(DB,I812,9),EventIndex)</f>
        <v>6</v>
      </c>
      <c r="S812" s="442">
        <f t="array" ref="S812">INDEX(MINVALUES,$Q812,$K$1)</f>
        <v>16</v>
      </c>
      <c r="T812">
        <f t="array" ref="T812">INDEX(INCVALUES,$Q812,$K$1)</f>
        <v>0.1</v>
      </c>
      <c r="V812">
        <f t="array" ref="V812">+J812+(4*(INDEX(MatchScoreTable,$Q812,20)-1))</f>
        <v>4</v>
      </c>
      <c r="W812">
        <f t="array" ref="W812">INDEX(INC_MINVALUES,$V812,$K$1)</f>
        <v>34</v>
      </c>
      <c r="X812" s="212">
        <f t="array" ref="X812">INDEX(INC_INCVALUES,$V812,$K$1)</f>
        <v>0.3</v>
      </c>
    </row>
    <row r="813" ht="15.75" customHeight="1">
      <c r="A813" s="435"/>
      <c r="B813" s="436"/>
      <c r="C813" s="95" t="str">
        <f t="array" ref="C813">IF(I813&gt;0,INDEX(DB,I813,8),"")</f>
        <v/>
      </c>
      <c r="D813" s="437">
        <f t="shared" si="1"/>
        <v>0</v>
      </c>
      <c r="F813" s="438">
        <f t="shared" si="2"/>
        <v>0</v>
      </c>
      <c r="G813" t="str">
        <f t="shared" si="3"/>
        <v/>
      </c>
      <c r="H813" t="b">
        <f t="shared" si="4"/>
        <v>0</v>
      </c>
      <c r="I813" s="439">
        <f>IF(OR(ISBLANK(A813),ISNA(MATCH(A813&amp;"",AthleteNumbers,0))),0,MATCH(A813&amp;"",AthleteNumbers,0))</f>
        <v>0</v>
      </c>
      <c r="J813" s="209">
        <f t="array" ref="J813">IF(I813&gt;0,INDEX(DB,$I813,6),0)</f>
        <v>0</v>
      </c>
      <c r="K813" s="440">
        <f t="shared" si="5"/>
        <v>0</v>
      </c>
      <c r="L813" s="440">
        <f t="shared" si="6"/>
        <v>0</v>
      </c>
      <c r="M813" s="441">
        <f>IF(AND(L813&gt;O813,O813&gt;0),MinPoints,IF(L813&lt;N813,100,+INT((O813-$L813)/P813)+MinPoints))</f>
        <v>100</v>
      </c>
      <c r="N813" s="440">
        <f t="shared" si="7"/>
        <v>7</v>
      </c>
      <c r="O813" s="440">
        <f t="shared" si="8"/>
        <v>16</v>
      </c>
      <c r="P813" s="440">
        <f t="shared" si="9"/>
        <v>0.1</v>
      </c>
      <c r="Q813">
        <f t="array" ref="Q813">IF(I813&gt;0,INDEX(DB,I813,9),EventIndex)</f>
        <v>6</v>
      </c>
      <c r="S813" s="442">
        <f t="array" ref="S813">INDEX(MINVALUES,$Q813,$K$1)</f>
        <v>16</v>
      </c>
      <c r="T813">
        <f t="array" ref="T813">INDEX(INCVALUES,$Q813,$K$1)</f>
        <v>0.1</v>
      </c>
      <c r="V813">
        <f t="array" ref="V813">+J813+(4*(INDEX(MatchScoreTable,$Q813,20)-1))</f>
        <v>4</v>
      </c>
      <c r="W813">
        <f t="array" ref="W813">INDEX(INC_MINVALUES,$V813,$K$1)</f>
        <v>34</v>
      </c>
      <c r="X813" s="212">
        <f t="array" ref="X813">INDEX(INC_INCVALUES,$V813,$K$1)</f>
        <v>0.3</v>
      </c>
    </row>
    <row r="814" ht="15.75" customHeight="1">
      <c r="A814" s="435"/>
      <c r="B814" s="436"/>
      <c r="C814" s="95" t="str">
        <f t="array" ref="C814">IF(I814&gt;0,INDEX(DB,I814,8),"")</f>
        <v/>
      </c>
      <c r="D814" s="437">
        <f t="shared" si="1"/>
        <v>0</v>
      </c>
      <c r="F814" s="438">
        <f t="shared" si="2"/>
        <v>0</v>
      </c>
      <c r="G814" t="str">
        <f t="shared" si="3"/>
        <v/>
      </c>
      <c r="H814" t="b">
        <f t="shared" si="4"/>
        <v>0</v>
      </c>
      <c r="I814" s="439">
        <f>IF(OR(ISBLANK(A814),ISNA(MATCH(A814&amp;"",AthleteNumbers,0))),0,MATCH(A814&amp;"",AthleteNumbers,0))</f>
        <v>0</v>
      </c>
      <c r="J814" s="209">
        <f t="array" ref="J814">IF(I814&gt;0,INDEX(DB,$I814,6),0)</f>
        <v>0</v>
      </c>
      <c r="K814" s="440">
        <f t="shared" si="5"/>
        <v>0</v>
      </c>
      <c r="L814" s="440">
        <f t="shared" si="6"/>
        <v>0</v>
      </c>
      <c r="M814" s="441">
        <f>IF(AND(L814&gt;O814,O814&gt;0),MinPoints,IF(L814&lt;N814,100,+INT((O814-$L814)/P814)+MinPoints))</f>
        <v>100</v>
      </c>
      <c r="N814" s="440">
        <f t="shared" si="7"/>
        <v>7</v>
      </c>
      <c r="O814" s="440">
        <f t="shared" si="8"/>
        <v>16</v>
      </c>
      <c r="P814" s="440">
        <f t="shared" si="9"/>
        <v>0.1</v>
      </c>
      <c r="Q814">
        <f t="array" ref="Q814">IF(I814&gt;0,INDEX(DB,I814,9),EventIndex)</f>
        <v>6</v>
      </c>
      <c r="S814" s="442">
        <f t="array" ref="S814">INDEX(MINVALUES,$Q814,$K$1)</f>
        <v>16</v>
      </c>
      <c r="T814">
        <f t="array" ref="T814">INDEX(INCVALUES,$Q814,$K$1)</f>
        <v>0.1</v>
      </c>
      <c r="V814">
        <f t="array" ref="V814">+J814+(4*(INDEX(MatchScoreTable,$Q814,20)-1))</f>
        <v>4</v>
      </c>
      <c r="W814">
        <f t="array" ref="W814">INDEX(INC_MINVALUES,$V814,$K$1)</f>
        <v>34</v>
      </c>
      <c r="X814" s="212">
        <f t="array" ref="X814">INDEX(INC_INCVALUES,$V814,$K$1)</f>
        <v>0.3</v>
      </c>
    </row>
    <row r="815" ht="15.75" customHeight="1">
      <c r="A815" s="435"/>
      <c r="B815" s="436"/>
      <c r="C815" s="95" t="str">
        <f t="array" ref="C815">IF(I815&gt;0,INDEX(DB,I815,8),"")</f>
        <v/>
      </c>
      <c r="D815" s="437">
        <f t="shared" si="1"/>
        <v>0</v>
      </c>
      <c r="F815" s="438">
        <f t="shared" si="2"/>
        <v>0</v>
      </c>
      <c r="G815" t="str">
        <f t="shared" si="3"/>
        <v/>
      </c>
      <c r="H815" t="b">
        <f t="shared" si="4"/>
        <v>0</v>
      </c>
      <c r="I815" s="439">
        <f>IF(OR(ISBLANK(A815),ISNA(MATCH(A815&amp;"",AthleteNumbers,0))),0,MATCH(A815&amp;"",AthleteNumbers,0))</f>
        <v>0</v>
      </c>
      <c r="J815" s="209">
        <f t="array" ref="J815">IF(I815&gt;0,INDEX(DB,$I815,6),0)</f>
        <v>0</v>
      </c>
      <c r="K815" s="440">
        <f t="shared" si="5"/>
        <v>0</v>
      </c>
      <c r="L815" s="440">
        <f t="shared" si="6"/>
        <v>0</v>
      </c>
      <c r="M815" s="441">
        <f>IF(AND(L815&gt;O815,O815&gt;0),MinPoints,IF(L815&lt;N815,100,+INT((O815-$L815)/P815)+MinPoints))</f>
        <v>100</v>
      </c>
      <c r="N815" s="440">
        <f t="shared" si="7"/>
        <v>7</v>
      </c>
      <c r="O815" s="440">
        <f t="shared" si="8"/>
        <v>16</v>
      </c>
      <c r="P815" s="440">
        <f t="shared" si="9"/>
        <v>0.1</v>
      </c>
      <c r="Q815">
        <f t="array" ref="Q815">IF(I815&gt;0,INDEX(DB,I815,9),EventIndex)</f>
        <v>6</v>
      </c>
      <c r="S815" s="442">
        <f t="array" ref="S815">INDEX(MINVALUES,$Q815,$K$1)</f>
        <v>16</v>
      </c>
      <c r="T815">
        <f t="array" ref="T815">INDEX(INCVALUES,$Q815,$K$1)</f>
        <v>0.1</v>
      </c>
      <c r="V815">
        <f t="array" ref="V815">+J815+(4*(INDEX(MatchScoreTable,$Q815,20)-1))</f>
        <v>4</v>
      </c>
      <c r="W815">
        <f t="array" ref="W815">INDEX(INC_MINVALUES,$V815,$K$1)</f>
        <v>34</v>
      </c>
      <c r="X815" s="212">
        <f t="array" ref="X815">INDEX(INC_INCVALUES,$V815,$K$1)</f>
        <v>0.3</v>
      </c>
    </row>
    <row r="816" ht="15.75" customHeight="1">
      <c r="A816" s="435"/>
      <c r="B816" s="436"/>
      <c r="C816" s="95" t="str">
        <f t="array" ref="C816">IF(I816&gt;0,INDEX(DB,I816,8),"")</f>
        <v/>
      </c>
      <c r="D816" s="437">
        <f t="shared" si="1"/>
        <v>0</v>
      </c>
      <c r="F816" s="438">
        <f t="shared" si="2"/>
        <v>0</v>
      </c>
      <c r="G816" t="str">
        <f t="shared" si="3"/>
        <v/>
      </c>
      <c r="H816" t="b">
        <f t="shared" si="4"/>
        <v>0</v>
      </c>
      <c r="I816" s="439">
        <f>IF(OR(ISBLANK(A816),ISNA(MATCH(A816&amp;"",AthleteNumbers,0))),0,MATCH(A816&amp;"",AthleteNumbers,0))</f>
        <v>0</v>
      </c>
      <c r="J816" s="209">
        <f t="array" ref="J816">IF(I816&gt;0,INDEX(DB,$I816,6),0)</f>
        <v>0</v>
      </c>
      <c r="K816" s="440">
        <f t="shared" si="5"/>
        <v>0</v>
      </c>
      <c r="L816" s="440">
        <f t="shared" si="6"/>
        <v>0</v>
      </c>
      <c r="M816" s="441">
        <f>IF(AND(L816&gt;O816,O816&gt;0),MinPoints,IF(L816&lt;N816,100,+INT((O816-$L816)/P816)+MinPoints))</f>
        <v>100</v>
      </c>
      <c r="N816" s="440">
        <f t="shared" si="7"/>
        <v>7</v>
      </c>
      <c r="O816" s="440">
        <f t="shared" si="8"/>
        <v>16</v>
      </c>
      <c r="P816" s="440">
        <f t="shared" si="9"/>
        <v>0.1</v>
      </c>
      <c r="Q816">
        <f t="array" ref="Q816">IF(I816&gt;0,INDEX(DB,I816,9),EventIndex)</f>
        <v>6</v>
      </c>
      <c r="S816" s="442">
        <f t="array" ref="S816">INDEX(MINVALUES,$Q816,$K$1)</f>
        <v>16</v>
      </c>
      <c r="T816">
        <f t="array" ref="T816">INDEX(INCVALUES,$Q816,$K$1)</f>
        <v>0.1</v>
      </c>
      <c r="V816">
        <f t="array" ref="V816">+J816+(4*(INDEX(MatchScoreTable,$Q816,20)-1))</f>
        <v>4</v>
      </c>
      <c r="W816">
        <f t="array" ref="W816">INDEX(INC_MINVALUES,$V816,$K$1)</f>
        <v>34</v>
      </c>
      <c r="X816" s="212">
        <f t="array" ref="X816">INDEX(INC_INCVALUES,$V816,$K$1)</f>
        <v>0.3</v>
      </c>
    </row>
    <row r="817" ht="15.75" customHeight="1">
      <c r="A817" s="435"/>
      <c r="B817" s="436"/>
      <c r="C817" s="95" t="str">
        <f t="array" ref="C817">IF(I817&gt;0,INDEX(DB,I817,8),"")</f>
        <v/>
      </c>
      <c r="D817" s="437">
        <f t="shared" si="1"/>
        <v>0</v>
      </c>
      <c r="F817" s="438">
        <f t="shared" si="2"/>
        <v>0</v>
      </c>
      <c r="G817" t="str">
        <f t="shared" si="3"/>
        <v/>
      </c>
      <c r="H817" t="b">
        <f t="shared" si="4"/>
        <v>0</v>
      </c>
      <c r="I817" s="439">
        <f>IF(OR(ISBLANK(A817),ISNA(MATCH(A817&amp;"",AthleteNumbers,0))),0,MATCH(A817&amp;"",AthleteNumbers,0))</f>
        <v>0</v>
      </c>
      <c r="J817" s="209">
        <f t="array" ref="J817">IF(I817&gt;0,INDEX(DB,$I817,6),0)</f>
        <v>0</v>
      </c>
      <c r="K817" s="440">
        <f t="shared" si="5"/>
        <v>0</v>
      </c>
      <c r="L817" s="440">
        <f t="shared" si="6"/>
        <v>0</v>
      </c>
      <c r="M817" s="441">
        <f>IF(AND(L817&gt;O817,O817&gt;0),MinPoints,IF(L817&lt;N817,100,+INT((O817-$L817)/P817)+MinPoints))</f>
        <v>100</v>
      </c>
      <c r="N817" s="440">
        <f t="shared" si="7"/>
        <v>7</v>
      </c>
      <c r="O817" s="440">
        <f t="shared" si="8"/>
        <v>16</v>
      </c>
      <c r="P817" s="440">
        <f t="shared" si="9"/>
        <v>0.1</v>
      </c>
      <c r="Q817">
        <f t="array" ref="Q817">IF(I817&gt;0,INDEX(DB,I817,9),EventIndex)</f>
        <v>6</v>
      </c>
      <c r="S817" s="442">
        <f t="array" ref="S817">INDEX(MINVALUES,$Q817,$K$1)</f>
        <v>16</v>
      </c>
      <c r="T817">
        <f t="array" ref="T817">INDEX(INCVALUES,$Q817,$K$1)</f>
        <v>0.1</v>
      </c>
      <c r="V817">
        <f t="array" ref="V817">+J817+(4*(INDEX(MatchScoreTable,$Q817,20)-1))</f>
        <v>4</v>
      </c>
      <c r="W817">
        <f t="array" ref="W817">INDEX(INC_MINVALUES,$V817,$K$1)</f>
        <v>34</v>
      </c>
      <c r="X817" s="212">
        <f t="array" ref="X817">INDEX(INC_INCVALUES,$V817,$K$1)</f>
        <v>0.3</v>
      </c>
    </row>
    <row r="818" ht="15.75" customHeight="1">
      <c r="A818" s="435"/>
      <c r="B818" s="436"/>
      <c r="C818" s="95" t="str">
        <f t="array" ref="C818">IF(I818&gt;0,INDEX(DB,I818,8),"")</f>
        <v/>
      </c>
      <c r="D818" s="437">
        <f t="shared" si="1"/>
        <v>0</v>
      </c>
      <c r="F818" s="438">
        <f t="shared" si="2"/>
        <v>0</v>
      </c>
      <c r="G818" t="str">
        <f t="shared" si="3"/>
        <v/>
      </c>
      <c r="H818" t="b">
        <f t="shared" si="4"/>
        <v>0</v>
      </c>
      <c r="I818" s="439">
        <f>IF(OR(ISBLANK(A818),ISNA(MATCH(A818&amp;"",AthleteNumbers,0))),0,MATCH(A818&amp;"",AthleteNumbers,0))</f>
        <v>0</v>
      </c>
      <c r="J818" s="209">
        <f t="array" ref="J818">IF(I818&gt;0,INDEX(DB,$I818,6),0)</f>
        <v>0</v>
      </c>
      <c r="K818" s="440">
        <f t="shared" si="5"/>
        <v>0</v>
      </c>
      <c r="L818" s="440">
        <f t="shared" si="6"/>
        <v>0</v>
      </c>
      <c r="M818" s="441">
        <f>IF(AND(L818&gt;O818,O818&gt;0),MinPoints,IF(L818&lt;N818,100,+INT((O818-$L818)/P818)+MinPoints))</f>
        <v>100</v>
      </c>
      <c r="N818" s="440">
        <f t="shared" si="7"/>
        <v>7</v>
      </c>
      <c r="O818" s="440">
        <f t="shared" si="8"/>
        <v>16</v>
      </c>
      <c r="P818" s="440">
        <f t="shared" si="9"/>
        <v>0.1</v>
      </c>
      <c r="Q818">
        <f t="array" ref="Q818">IF(I818&gt;0,INDEX(DB,I818,9),EventIndex)</f>
        <v>6</v>
      </c>
      <c r="S818" s="442">
        <f t="array" ref="S818">INDEX(MINVALUES,$Q818,$K$1)</f>
        <v>16</v>
      </c>
      <c r="T818">
        <f t="array" ref="T818">INDEX(INCVALUES,$Q818,$K$1)</f>
        <v>0.1</v>
      </c>
      <c r="V818">
        <f t="array" ref="V818">+J818+(4*(INDEX(MatchScoreTable,$Q818,20)-1))</f>
        <v>4</v>
      </c>
      <c r="W818">
        <f t="array" ref="W818">INDEX(INC_MINVALUES,$V818,$K$1)</f>
        <v>34</v>
      </c>
      <c r="X818" s="212">
        <f t="array" ref="X818">INDEX(INC_INCVALUES,$V818,$K$1)</f>
        <v>0.3</v>
      </c>
    </row>
    <row r="819" ht="15.75" customHeight="1">
      <c r="A819" s="435"/>
      <c r="B819" s="436"/>
      <c r="C819" s="95" t="str">
        <f t="array" ref="C819">IF(I819&gt;0,INDEX(DB,I819,8),"")</f>
        <v/>
      </c>
      <c r="D819" s="437">
        <f t="shared" si="1"/>
        <v>0</v>
      </c>
      <c r="F819" s="438">
        <f t="shared" si="2"/>
        <v>0</v>
      </c>
      <c r="G819" t="str">
        <f t="shared" si="3"/>
        <v/>
      </c>
      <c r="H819" t="b">
        <f t="shared" si="4"/>
        <v>0</v>
      </c>
      <c r="I819" s="439">
        <f>IF(OR(ISBLANK(A819),ISNA(MATCH(A819&amp;"",AthleteNumbers,0))),0,MATCH(A819&amp;"",AthleteNumbers,0))</f>
        <v>0</v>
      </c>
      <c r="J819" s="209">
        <f t="array" ref="J819">IF(I819&gt;0,INDEX(DB,$I819,6),0)</f>
        <v>0</v>
      </c>
      <c r="K819" s="440">
        <f t="shared" si="5"/>
        <v>0</v>
      </c>
      <c r="L819" s="440">
        <f t="shared" si="6"/>
        <v>0</v>
      </c>
      <c r="M819" s="441">
        <f>IF(AND(L819&gt;O819,O819&gt;0),MinPoints,IF(L819&lt;N819,100,+INT((O819-$L819)/P819)+MinPoints))</f>
        <v>100</v>
      </c>
      <c r="N819" s="440">
        <f t="shared" si="7"/>
        <v>7</v>
      </c>
      <c r="O819" s="440">
        <f t="shared" si="8"/>
        <v>16</v>
      </c>
      <c r="P819" s="440">
        <f t="shared" si="9"/>
        <v>0.1</v>
      </c>
      <c r="Q819">
        <f t="array" ref="Q819">IF(I819&gt;0,INDEX(DB,I819,9),EventIndex)</f>
        <v>6</v>
      </c>
      <c r="S819" s="442">
        <f t="array" ref="S819">INDEX(MINVALUES,$Q819,$K$1)</f>
        <v>16</v>
      </c>
      <c r="T819">
        <f t="array" ref="T819">INDEX(INCVALUES,$Q819,$K$1)</f>
        <v>0.1</v>
      </c>
      <c r="V819">
        <f t="array" ref="V819">+J819+(4*(INDEX(MatchScoreTable,$Q819,20)-1))</f>
        <v>4</v>
      </c>
      <c r="W819">
        <f t="array" ref="W819">INDEX(INC_MINVALUES,$V819,$K$1)</f>
        <v>34</v>
      </c>
      <c r="X819" s="212">
        <f t="array" ref="X819">INDEX(INC_INCVALUES,$V819,$K$1)</f>
        <v>0.3</v>
      </c>
    </row>
    <row r="820" ht="15.75" customHeight="1">
      <c r="A820" s="435"/>
      <c r="B820" s="436"/>
      <c r="C820" s="95" t="str">
        <f t="array" ref="C820">IF(I820&gt;0,INDEX(DB,I820,8),"")</f>
        <v/>
      </c>
      <c r="D820" s="437">
        <f t="shared" si="1"/>
        <v>0</v>
      </c>
      <c r="F820" s="438">
        <f t="shared" si="2"/>
        <v>0</v>
      </c>
      <c r="G820" t="str">
        <f t="shared" si="3"/>
        <v/>
      </c>
      <c r="H820" t="b">
        <f t="shared" si="4"/>
        <v>0</v>
      </c>
      <c r="I820" s="439">
        <f>IF(OR(ISBLANK(A820),ISNA(MATCH(A820&amp;"",AthleteNumbers,0))),0,MATCH(A820&amp;"",AthleteNumbers,0))</f>
        <v>0</v>
      </c>
      <c r="J820" s="209">
        <f t="array" ref="J820">IF(I820&gt;0,INDEX(DB,$I820,6),0)</f>
        <v>0</v>
      </c>
      <c r="K820" s="440">
        <f t="shared" si="5"/>
        <v>0</v>
      </c>
      <c r="L820" s="440">
        <f t="shared" si="6"/>
        <v>0</v>
      </c>
      <c r="M820" s="441">
        <f>IF(AND(L820&gt;O820,O820&gt;0),MinPoints,IF(L820&lt;N820,100,+INT((O820-$L820)/P820)+MinPoints))</f>
        <v>100</v>
      </c>
      <c r="N820" s="440">
        <f t="shared" si="7"/>
        <v>7</v>
      </c>
      <c r="O820" s="440">
        <f t="shared" si="8"/>
        <v>16</v>
      </c>
      <c r="P820" s="440">
        <f t="shared" si="9"/>
        <v>0.1</v>
      </c>
      <c r="Q820">
        <f t="array" ref="Q820">IF(I820&gt;0,INDEX(DB,I820,9),EventIndex)</f>
        <v>6</v>
      </c>
      <c r="S820" s="442">
        <f t="array" ref="S820">INDEX(MINVALUES,$Q820,$K$1)</f>
        <v>16</v>
      </c>
      <c r="T820">
        <f t="array" ref="T820">INDEX(INCVALUES,$Q820,$K$1)</f>
        <v>0.1</v>
      </c>
      <c r="V820">
        <f t="array" ref="V820">+J820+(4*(INDEX(MatchScoreTable,$Q820,20)-1))</f>
        <v>4</v>
      </c>
      <c r="W820">
        <f t="array" ref="W820">INDEX(INC_MINVALUES,$V820,$K$1)</f>
        <v>34</v>
      </c>
      <c r="X820" s="212">
        <f t="array" ref="X820">INDEX(INC_INCVALUES,$V820,$K$1)</f>
        <v>0.3</v>
      </c>
    </row>
    <row r="821" ht="15.75" customHeight="1">
      <c r="A821" s="435"/>
      <c r="B821" s="436"/>
      <c r="C821" s="95" t="str">
        <f t="array" ref="C821">IF(I821&gt;0,INDEX(DB,I821,8),"")</f>
        <v/>
      </c>
      <c r="D821" s="437">
        <f t="shared" si="1"/>
        <v>0</v>
      </c>
      <c r="F821" s="438">
        <f t="shared" si="2"/>
        <v>0</v>
      </c>
      <c r="G821" t="str">
        <f t="shared" si="3"/>
        <v/>
      </c>
      <c r="H821" t="b">
        <f t="shared" si="4"/>
        <v>0</v>
      </c>
      <c r="I821" s="439">
        <f>IF(OR(ISBLANK(A821),ISNA(MATCH(A821&amp;"",AthleteNumbers,0))),0,MATCH(A821&amp;"",AthleteNumbers,0))</f>
        <v>0</v>
      </c>
      <c r="J821" s="209">
        <f t="array" ref="J821">IF(I821&gt;0,INDEX(DB,$I821,6),0)</f>
        <v>0</v>
      </c>
      <c r="K821" s="440">
        <f t="shared" si="5"/>
        <v>0</v>
      </c>
      <c r="L821" s="440">
        <f t="shared" si="6"/>
        <v>0</v>
      </c>
      <c r="M821" s="441">
        <f>IF(AND(L821&gt;O821,O821&gt;0),MinPoints,IF(L821&lt;N821,100,+INT((O821-$L821)/P821)+MinPoints))</f>
        <v>100</v>
      </c>
      <c r="N821" s="440">
        <f t="shared" si="7"/>
        <v>7</v>
      </c>
      <c r="O821" s="440">
        <f t="shared" si="8"/>
        <v>16</v>
      </c>
      <c r="P821" s="440">
        <f t="shared" si="9"/>
        <v>0.1</v>
      </c>
      <c r="Q821">
        <f t="array" ref="Q821">IF(I821&gt;0,INDEX(DB,I821,9),EventIndex)</f>
        <v>6</v>
      </c>
      <c r="S821" s="442">
        <f t="array" ref="S821">INDEX(MINVALUES,$Q821,$K$1)</f>
        <v>16</v>
      </c>
      <c r="T821">
        <f t="array" ref="T821">INDEX(INCVALUES,$Q821,$K$1)</f>
        <v>0.1</v>
      </c>
      <c r="V821">
        <f t="array" ref="V821">+J821+(4*(INDEX(MatchScoreTable,$Q821,20)-1))</f>
        <v>4</v>
      </c>
      <c r="W821">
        <f t="array" ref="W821">INDEX(INC_MINVALUES,$V821,$K$1)</f>
        <v>34</v>
      </c>
      <c r="X821" s="212">
        <f t="array" ref="X821">INDEX(INC_INCVALUES,$V821,$K$1)</f>
        <v>0.3</v>
      </c>
    </row>
    <row r="822" ht="15.75" customHeight="1">
      <c r="A822" s="435"/>
      <c r="B822" s="436"/>
      <c r="C822" s="95" t="str">
        <f t="array" ref="C822">IF(I822&gt;0,INDEX(DB,I822,8),"")</f>
        <v/>
      </c>
      <c r="D822" s="437">
        <f t="shared" si="1"/>
        <v>0</v>
      </c>
      <c r="F822" s="438">
        <f t="shared" si="2"/>
        <v>0</v>
      </c>
      <c r="G822" t="str">
        <f t="shared" si="3"/>
        <v/>
      </c>
      <c r="H822" t="b">
        <f t="shared" si="4"/>
        <v>0</v>
      </c>
      <c r="I822" s="439">
        <f>IF(OR(ISBLANK(A822),ISNA(MATCH(A822&amp;"",AthleteNumbers,0))),0,MATCH(A822&amp;"",AthleteNumbers,0))</f>
        <v>0</v>
      </c>
      <c r="J822" s="209">
        <f t="array" ref="J822">IF(I822&gt;0,INDEX(DB,$I822,6),0)</f>
        <v>0</v>
      </c>
      <c r="K822" s="440">
        <f t="shared" si="5"/>
        <v>0</v>
      </c>
      <c r="L822" s="440">
        <f t="shared" si="6"/>
        <v>0</v>
      </c>
      <c r="M822" s="441">
        <f>IF(AND(L822&gt;O822,O822&gt;0),MinPoints,IF(L822&lt;N822,100,+INT((O822-$L822)/P822)+MinPoints))</f>
        <v>100</v>
      </c>
      <c r="N822" s="440">
        <f t="shared" si="7"/>
        <v>7</v>
      </c>
      <c r="O822" s="440">
        <f t="shared" si="8"/>
        <v>16</v>
      </c>
      <c r="P822" s="440">
        <f t="shared" si="9"/>
        <v>0.1</v>
      </c>
      <c r="Q822">
        <f t="array" ref="Q822">IF(I822&gt;0,INDEX(DB,I822,9),EventIndex)</f>
        <v>6</v>
      </c>
      <c r="S822" s="442">
        <f t="array" ref="S822">INDEX(MINVALUES,$Q822,$K$1)</f>
        <v>16</v>
      </c>
      <c r="T822">
        <f t="array" ref="T822">INDEX(INCVALUES,$Q822,$K$1)</f>
        <v>0.1</v>
      </c>
      <c r="V822">
        <f t="array" ref="V822">+J822+(4*(INDEX(MatchScoreTable,$Q822,20)-1))</f>
        <v>4</v>
      </c>
      <c r="W822">
        <f t="array" ref="W822">INDEX(INC_MINVALUES,$V822,$K$1)</f>
        <v>34</v>
      </c>
      <c r="X822" s="212">
        <f t="array" ref="X822">INDEX(INC_INCVALUES,$V822,$K$1)</f>
        <v>0.3</v>
      </c>
    </row>
    <row r="823" ht="15.75" customHeight="1">
      <c r="A823" s="435"/>
      <c r="B823" s="436"/>
      <c r="C823" s="95" t="str">
        <f t="array" ref="C823">IF(I823&gt;0,INDEX(DB,I823,8),"")</f>
        <v/>
      </c>
      <c r="D823" s="437">
        <f t="shared" si="1"/>
        <v>0</v>
      </c>
      <c r="F823" s="438">
        <f t="shared" si="2"/>
        <v>0</v>
      </c>
      <c r="G823" t="str">
        <f t="shared" si="3"/>
        <v/>
      </c>
      <c r="H823" t="b">
        <f t="shared" si="4"/>
        <v>0</v>
      </c>
      <c r="I823" s="439">
        <f>IF(OR(ISBLANK(A823),ISNA(MATCH(A823&amp;"",AthleteNumbers,0))),0,MATCH(A823&amp;"",AthleteNumbers,0))</f>
        <v>0</v>
      </c>
      <c r="J823" s="209">
        <f t="array" ref="J823">IF(I823&gt;0,INDEX(DB,$I823,6),0)</f>
        <v>0</v>
      </c>
      <c r="K823" s="440">
        <f t="shared" si="5"/>
        <v>0</v>
      </c>
      <c r="L823" s="440">
        <f t="shared" si="6"/>
        <v>0</v>
      </c>
      <c r="M823" s="441">
        <f>IF(AND(L823&gt;O823,O823&gt;0),MinPoints,IF(L823&lt;N823,100,+INT((O823-$L823)/P823)+MinPoints))</f>
        <v>100</v>
      </c>
      <c r="N823" s="440">
        <f t="shared" si="7"/>
        <v>7</v>
      </c>
      <c r="O823" s="440">
        <f t="shared" si="8"/>
        <v>16</v>
      </c>
      <c r="P823" s="440">
        <f t="shared" si="9"/>
        <v>0.1</v>
      </c>
      <c r="Q823">
        <f t="array" ref="Q823">IF(I823&gt;0,INDEX(DB,I823,9),EventIndex)</f>
        <v>6</v>
      </c>
      <c r="S823" s="442">
        <f t="array" ref="S823">INDEX(MINVALUES,$Q823,$K$1)</f>
        <v>16</v>
      </c>
      <c r="T823">
        <f t="array" ref="T823">INDEX(INCVALUES,$Q823,$K$1)</f>
        <v>0.1</v>
      </c>
      <c r="V823">
        <f t="array" ref="V823">+J823+(4*(INDEX(MatchScoreTable,$Q823,20)-1))</f>
        <v>4</v>
      </c>
      <c r="W823">
        <f t="array" ref="W823">INDEX(INC_MINVALUES,$V823,$K$1)</f>
        <v>34</v>
      </c>
      <c r="X823" s="212">
        <f t="array" ref="X823">INDEX(INC_INCVALUES,$V823,$K$1)</f>
        <v>0.3</v>
      </c>
    </row>
    <row r="824" ht="15.75" customHeight="1">
      <c r="A824" s="435"/>
      <c r="B824" s="436"/>
      <c r="C824" s="95" t="str">
        <f t="array" ref="C824">IF(I824&gt;0,INDEX(DB,I824,8),"")</f>
        <v/>
      </c>
      <c r="D824" s="437">
        <f t="shared" si="1"/>
        <v>0</v>
      </c>
      <c r="F824" s="438">
        <f t="shared" si="2"/>
        <v>0</v>
      </c>
      <c r="G824" t="str">
        <f t="shared" si="3"/>
        <v/>
      </c>
      <c r="H824" t="b">
        <f t="shared" si="4"/>
        <v>0</v>
      </c>
      <c r="I824" s="439">
        <f>IF(OR(ISBLANK(A824),ISNA(MATCH(A824&amp;"",AthleteNumbers,0))),0,MATCH(A824&amp;"",AthleteNumbers,0))</f>
        <v>0</v>
      </c>
      <c r="J824" s="209">
        <f t="array" ref="J824">IF(I824&gt;0,INDEX(DB,$I824,6),0)</f>
        <v>0</v>
      </c>
      <c r="K824" s="440">
        <f t="shared" si="5"/>
        <v>0</v>
      </c>
      <c r="L824" s="440">
        <f t="shared" si="6"/>
        <v>0</v>
      </c>
      <c r="M824" s="441">
        <f>IF(AND(L824&gt;O824,O824&gt;0),MinPoints,IF(L824&lt;N824,100,+INT((O824-$L824)/P824)+MinPoints))</f>
        <v>100</v>
      </c>
      <c r="N824" s="440">
        <f t="shared" si="7"/>
        <v>7</v>
      </c>
      <c r="O824" s="440">
        <f t="shared" si="8"/>
        <v>16</v>
      </c>
      <c r="P824" s="440">
        <f t="shared" si="9"/>
        <v>0.1</v>
      </c>
      <c r="Q824">
        <f t="array" ref="Q824">IF(I824&gt;0,INDEX(DB,I824,9),EventIndex)</f>
        <v>6</v>
      </c>
      <c r="S824" s="442">
        <f t="array" ref="S824">INDEX(MINVALUES,$Q824,$K$1)</f>
        <v>16</v>
      </c>
      <c r="T824">
        <f t="array" ref="T824">INDEX(INCVALUES,$Q824,$K$1)</f>
        <v>0.1</v>
      </c>
      <c r="V824">
        <f t="array" ref="V824">+J824+(4*(INDEX(MatchScoreTable,$Q824,20)-1))</f>
        <v>4</v>
      </c>
      <c r="W824">
        <f t="array" ref="W824">INDEX(INC_MINVALUES,$V824,$K$1)</f>
        <v>34</v>
      </c>
      <c r="X824" s="212">
        <f t="array" ref="X824">INDEX(INC_INCVALUES,$V824,$K$1)</f>
        <v>0.3</v>
      </c>
    </row>
    <row r="825" ht="15.75" customHeight="1">
      <c r="A825" s="435"/>
      <c r="B825" s="436"/>
      <c r="C825" s="95" t="str">
        <f t="array" ref="C825">IF(I825&gt;0,INDEX(DB,I825,8),"")</f>
        <v/>
      </c>
      <c r="D825" s="437">
        <f t="shared" si="1"/>
        <v>0</v>
      </c>
      <c r="F825" s="438">
        <f t="shared" si="2"/>
        <v>0</v>
      </c>
      <c r="G825" t="str">
        <f t="shared" si="3"/>
        <v/>
      </c>
      <c r="H825" t="b">
        <f t="shared" si="4"/>
        <v>0</v>
      </c>
      <c r="I825" s="439">
        <f>IF(OR(ISBLANK(A825),ISNA(MATCH(A825&amp;"",AthleteNumbers,0))),0,MATCH(A825&amp;"",AthleteNumbers,0))</f>
        <v>0</v>
      </c>
      <c r="J825" s="209">
        <f t="array" ref="J825">IF(I825&gt;0,INDEX(DB,$I825,6),0)</f>
        <v>0</v>
      </c>
      <c r="K825" s="440">
        <f t="shared" si="5"/>
        <v>0</v>
      </c>
      <c r="L825" s="440">
        <f t="shared" si="6"/>
        <v>0</v>
      </c>
      <c r="M825" s="441">
        <f>IF(AND(L825&gt;O825,O825&gt;0),MinPoints,IF(L825&lt;N825,100,+INT((O825-$L825)/P825)+MinPoints))</f>
        <v>100</v>
      </c>
      <c r="N825" s="440">
        <f t="shared" si="7"/>
        <v>7</v>
      </c>
      <c r="O825" s="440">
        <f t="shared" si="8"/>
        <v>16</v>
      </c>
      <c r="P825" s="440">
        <f t="shared" si="9"/>
        <v>0.1</v>
      </c>
      <c r="Q825">
        <f t="array" ref="Q825">IF(I825&gt;0,INDEX(DB,I825,9),EventIndex)</f>
        <v>6</v>
      </c>
      <c r="S825" s="442">
        <f t="array" ref="S825">INDEX(MINVALUES,$Q825,$K$1)</f>
        <v>16</v>
      </c>
      <c r="T825">
        <f t="array" ref="T825">INDEX(INCVALUES,$Q825,$K$1)</f>
        <v>0.1</v>
      </c>
      <c r="V825">
        <f t="array" ref="V825">+J825+(4*(INDEX(MatchScoreTable,$Q825,20)-1))</f>
        <v>4</v>
      </c>
      <c r="W825">
        <f t="array" ref="W825">INDEX(INC_MINVALUES,$V825,$K$1)</f>
        <v>34</v>
      </c>
      <c r="X825" s="212">
        <f t="array" ref="X825">INDEX(INC_INCVALUES,$V825,$K$1)</f>
        <v>0.3</v>
      </c>
    </row>
    <row r="826" ht="15.75" customHeight="1">
      <c r="A826" s="435"/>
      <c r="B826" s="436"/>
      <c r="C826" s="95" t="str">
        <f t="array" ref="C826">IF(I826&gt;0,INDEX(DB,I826,8),"")</f>
        <v/>
      </c>
      <c r="D826" s="437">
        <f t="shared" si="1"/>
        <v>0</v>
      </c>
      <c r="F826" s="438">
        <f t="shared" si="2"/>
        <v>0</v>
      </c>
      <c r="G826" t="str">
        <f t="shared" si="3"/>
        <v/>
      </c>
      <c r="H826" t="b">
        <f t="shared" si="4"/>
        <v>0</v>
      </c>
      <c r="I826" s="439">
        <f>IF(OR(ISBLANK(A826),ISNA(MATCH(A826&amp;"",AthleteNumbers,0))),0,MATCH(A826&amp;"",AthleteNumbers,0))</f>
        <v>0</v>
      </c>
      <c r="J826" s="209">
        <f t="array" ref="J826">IF(I826&gt;0,INDEX(DB,$I826,6),0)</f>
        <v>0</v>
      </c>
      <c r="K826" s="440">
        <f t="shared" si="5"/>
        <v>0</v>
      </c>
      <c r="L826" s="440">
        <f t="shared" si="6"/>
        <v>0</v>
      </c>
      <c r="M826" s="441">
        <f>IF(AND(L826&gt;O826,O826&gt;0),MinPoints,IF(L826&lt;N826,100,+INT((O826-$L826)/P826)+MinPoints))</f>
        <v>100</v>
      </c>
      <c r="N826" s="440">
        <f t="shared" si="7"/>
        <v>7</v>
      </c>
      <c r="O826" s="440">
        <f t="shared" si="8"/>
        <v>16</v>
      </c>
      <c r="P826" s="440">
        <f t="shared" si="9"/>
        <v>0.1</v>
      </c>
      <c r="Q826">
        <f t="array" ref="Q826">IF(I826&gt;0,INDEX(DB,I826,9),EventIndex)</f>
        <v>6</v>
      </c>
      <c r="S826" s="442">
        <f t="array" ref="S826">INDEX(MINVALUES,$Q826,$K$1)</f>
        <v>16</v>
      </c>
      <c r="T826">
        <f t="array" ref="T826">INDEX(INCVALUES,$Q826,$K$1)</f>
        <v>0.1</v>
      </c>
      <c r="V826">
        <f t="array" ref="V826">+J826+(4*(INDEX(MatchScoreTable,$Q826,20)-1))</f>
        <v>4</v>
      </c>
      <c r="W826">
        <f t="array" ref="W826">INDEX(INC_MINVALUES,$V826,$K$1)</f>
        <v>34</v>
      </c>
      <c r="X826" s="212">
        <f t="array" ref="X826">INDEX(INC_INCVALUES,$V826,$K$1)</f>
        <v>0.3</v>
      </c>
    </row>
    <row r="827" ht="15.75" customHeight="1">
      <c r="A827" s="435"/>
      <c r="B827" s="436"/>
      <c r="C827" s="95" t="str">
        <f t="array" ref="C827">IF(I827&gt;0,INDEX(DB,I827,8),"")</f>
        <v/>
      </c>
      <c r="D827" s="437">
        <f t="shared" si="1"/>
        <v>0</v>
      </c>
      <c r="F827" s="438">
        <f t="shared" si="2"/>
        <v>0</v>
      </c>
      <c r="G827" t="str">
        <f t="shared" si="3"/>
        <v/>
      </c>
      <c r="H827" t="b">
        <f t="shared" si="4"/>
        <v>0</v>
      </c>
      <c r="I827" s="439">
        <f>IF(OR(ISBLANK(A827),ISNA(MATCH(A827&amp;"",AthleteNumbers,0))),0,MATCH(A827&amp;"",AthleteNumbers,0))</f>
        <v>0</v>
      </c>
      <c r="J827" s="209">
        <f t="array" ref="J827">IF(I827&gt;0,INDEX(DB,$I827,6),0)</f>
        <v>0</v>
      </c>
      <c r="K827" s="440">
        <f t="shared" si="5"/>
        <v>0</v>
      </c>
      <c r="L827" s="440">
        <f t="shared" si="6"/>
        <v>0</v>
      </c>
      <c r="M827" s="441">
        <f>IF(AND(L827&gt;O827,O827&gt;0),MinPoints,IF(L827&lt;N827,100,+INT((O827-$L827)/P827)+MinPoints))</f>
        <v>100</v>
      </c>
      <c r="N827" s="440">
        <f t="shared" si="7"/>
        <v>7</v>
      </c>
      <c r="O827" s="440">
        <f t="shared" si="8"/>
        <v>16</v>
      </c>
      <c r="P827" s="440">
        <f t="shared" si="9"/>
        <v>0.1</v>
      </c>
      <c r="Q827">
        <f t="array" ref="Q827">IF(I827&gt;0,INDEX(DB,I827,9),EventIndex)</f>
        <v>6</v>
      </c>
      <c r="S827" s="442">
        <f t="array" ref="S827">INDEX(MINVALUES,$Q827,$K$1)</f>
        <v>16</v>
      </c>
      <c r="T827">
        <f t="array" ref="T827">INDEX(INCVALUES,$Q827,$K$1)</f>
        <v>0.1</v>
      </c>
      <c r="V827">
        <f t="array" ref="V827">+J827+(4*(INDEX(MatchScoreTable,$Q827,20)-1))</f>
        <v>4</v>
      </c>
      <c r="W827">
        <f t="array" ref="W827">INDEX(INC_MINVALUES,$V827,$K$1)</f>
        <v>34</v>
      </c>
      <c r="X827" s="212">
        <f t="array" ref="X827">INDEX(INC_INCVALUES,$V827,$K$1)</f>
        <v>0.3</v>
      </c>
    </row>
    <row r="828" ht="15.75" customHeight="1">
      <c r="A828" s="435"/>
      <c r="B828" s="436"/>
      <c r="C828" s="95" t="str">
        <f t="array" ref="C828">IF(I828&gt;0,INDEX(DB,I828,8),"")</f>
        <v/>
      </c>
      <c r="D828" s="437">
        <f t="shared" si="1"/>
        <v>0</v>
      </c>
      <c r="F828" s="438">
        <f t="shared" si="2"/>
        <v>0</v>
      </c>
      <c r="G828" t="str">
        <f t="shared" si="3"/>
        <v/>
      </c>
      <c r="H828" t="b">
        <f t="shared" si="4"/>
        <v>0</v>
      </c>
      <c r="I828" s="439">
        <f>IF(OR(ISBLANK(A828),ISNA(MATCH(A828&amp;"",AthleteNumbers,0))),0,MATCH(A828&amp;"",AthleteNumbers,0))</f>
        <v>0</v>
      </c>
      <c r="J828" s="209">
        <f t="array" ref="J828">IF(I828&gt;0,INDEX(DB,$I828,6),0)</f>
        <v>0</v>
      </c>
      <c r="K828" s="440">
        <f t="shared" si="5"/>
        <v>0</v>
      </c>
      <c r="L828" s="440">
        <f t="shared" si="6"/>
        <v>0</v>
      </c>
      <c r="M828" s="441">
        <f>IF(AND(L828&gt;O828,O828&gt;0),MinPoints,IF(L828&lt;N828,100,+INT((O828-$L828)/P828)+MinPoints))</f>
        <v>100</v>
      </c>
      <c r="N828" s="440">
        <f t="shared" si="7"/>
        <v>7</v>
      </c>
      <c r="O828" s="440">
        <f t="shared" si="8"/>
        <v>16</v>
      </c>
      <c r="P828" s="440">
        <f t="shared" si="9"/>
        <v>0.1</v>
      </c>
      <c r="Q828">
        <f t="array" ref="Q828">IF(I828&gt;0,INDEX(DB,I828,9),EventIndex)</f>
        <v>6</v>
      </c>
      <c r="S828" s="442">
        <f t="array" ref="S828">INDEX(MINVALUES,$Q828,$K$1)</f>
        <v>16</v>
      </c>
      <c r="T828">
        <f t="array" ref="T828">INDEX(INCVALUES,$Q828,$K$1)</f>
        <v>0.1</v>
      </c>
      <c r="V828">
        <f t="array" ref="V828">+J828+(4*(INDEX(MatchScoreTable,$Q828,20)-1))</f>
        <v>4</v>
      </c>
      <c r="W828">
        <f t="array" ref="W828">INDEX(INC_MINVALUES,$V828,$K$1)</f>
        <v>34</v>
      </c>
      <c r="X828" s="212">
        <f t="array" ref="X828">INDEX(INC_INCVALUES,$V828,$K$1)</f>
        <v>0.3</v>
      </c>
    </row>
    <row r="829" ht="15.75" customHeight="1">
      <c r="A829" s="435"/>
      <c r="B829" s="436"/>
      <c r="C829" s="95" t="str">
        <f t="array" ref="C829">IF(I829&gt;0,INDEX(DB,I829,8),"")</f>
        <v/>
      </c>
      <c r="D829" s="437">
        <f t="shared" si="1"/>
        <v>0</v>
      </c>
      <c r="F829" s="438">
        <f t="shared" si="2"/>
        <v>0</v>
      </c>
      <c r="G829" t="str">
        <f t="shared" si="3"/>
        <v/>
      </c>
      <c r="H829" t="b">
        <f t="shared" si="4"/>
        <v>0</v>
      </c>
      <c r="I829" s="439">
        <f>IF(OR(ISBLANK(A829),ISNA(MATCH(A829&amp;"",AthleteNumbers,0))),0,MATCH(A829&amp;"",AthleteNumbers,0))</f>
        <v>0</v>
      </c>
      <c r="J829" s="209">
        <f t="array" ref="J829">IF(I829&gt;0,INDEX(DB,$I829,6),0)</f>
        <v>0</v>
      </c>
      <c r="K829" s="440">
        <f t="shared" si="5"/>
        <v>0</v>
      </c>
      <c r="L829" s="440">
        <f t="shared" si="6"/>
        <v>0</v>
      </c>
      <c r="M829" s="441">
        <f>IF(AND(L829&gt;O829,O829&gt;0),MinPoints,IF(L829&lt;N829,100,+INT((O829-$L829)/P829)+MinPoints))</f>
        <v>100</v>
      </c>
      <c r="N829" s="440">
        <f t="shared" si="7"/>
        <v>7</v>
      </c>
      <c r="O829" s="440">
        <f t="shared" si="8"/>
        <v>16</v>
      </c>
      <c r="P829" s="440">
        <f t="shared" si="9"/>
        <v>0.1</v>
      </c>
      <c r="Q829">
        <f t="array" ref="Q829">IF(I829&gt;0,INDEX(DB,I829,9),EventIndex)</f>
        <v>6</v>
      </c>
      <c r="S829" s="442">
        <f t="array" ref="S829">INDEX(MINVALUES,$Q829,$K$1)</f>
        <v>16</v>
      </c>
      <c r="T829">
        <f t="array" ref="T829">INDEX(INCVALUES,$Q829,$K$1)</f>
        <v>0.1</v>
      </c>
      <c r="V829">
        <f t="array" ref="V829">+J829+(4*(INDEX(MatchScoreTable,$Q829,20)-1))</f>
        <v>4</v>
      </c>
      <c r="W829">
        <f t="array" ref="W829">INDEX(INC_MINVALUES,$V829,$K$1)</f>
        <v>34</v>
      </c>
      <c r="X829" s="212">
        <f t="array" ref="X829">INDEX(INC_INCVALUES,$V829,$K$1)</f>
        <v>0.3</v>
      </c>
    </row>
    <row r="830" ht="15.75" customHeight="1">
      <c r="A830" s="435"/>
      <c r="B830" s="436"/>
      <c r="C830" s="95" t="str">
        <f t="array" ref="C830">IF(I830&gt;0,INDEX(DB,I830,8),"")</f>
        <v/>
      </c>
      <c r="D830" s="437">
        <f t="shared" si="1"/>
        <v>0</v>
      </c>
      <c r="F830" s="438">
        <f t="shared" si="2"/>
        <v>0</v>
      </c>
      <c r="G830" t="str">
        <f t="shared" si="3"/>
        <v/>
      </c>
      <c r="H830" t="b">
        <f t="shared" si="4"/>
        <v>0</v>
      </c>
      <c r="I830" s="439">
        <f>IF(OR(ISBLANK(A830),ISNA(MATCH(A830&amp;"",AthleteNumbers,0))),0,MATCH(A830&amp;"",AthleteNumbers,0))</f>
        <v>0</v>
      </c>
      <c r="J830" s="209">
        <f t="array" ref="J830">IF(I830&gt;0,INDEX(DB,$I830,6),0)</f>
        <v>0</v>
      </c>
      <c r="K830" s="440">
        <f t="shared" si="5"/>
        <v>0</v>
      </c>
      <c r="L830" s="440">
        <f t="shared" si="6"/>
        <v>0</v>
      </c>
      <c r="M830" s="441">
        <f>IF(AND(L830&gt;O830,O830&gt;0),MinPoints,IF(L830&lt;N830,100,+INT((O830-$L830)/P830)+MinPoints))</f>
        <v>100</v>
      </c>
      <c r="N830" s="440">
        <f t="shared" si="7"/>
        <v>7</v>
      </c>
      <c r="O830" s="440">
        <f t="shared" si="8"/>
        <v>16</v>
      </c>
      <c r="P830" s="440">
        <f t="shared" si="9"/>
        <v>0.1</v>
      </c>
      <c r="Q830">
        <f t="array" ref="Q830">IF(I830&gt;0,INDEX(DB,I830,9),EventIndex)</f>
        <v>6</v>
      </c>
      <c r="S830" s="442">
        <f t="array" ref="S830">INDEX(MINVALUES,$Q830,$K$1)</f>
        <v>16</v>
      </c>
      <c r="T830">
        <f t="array" ref="T830">INDEX(INCVALUES,$Q830,$K$1)</f>
        <v>0.1</v>
      </c>
      <c r="V830">
        <f t="array" ref="V830">+J830+(4*(INDEX(MatchScoreTable,$Q830,20)-1))</f>
        <v>4</v>
      </c>
      <c r="W830">
        <f t="array" ref="W830">INDEX(INC_MINVALUES,$V830,$K$1)</f>
        <v>34</v>
      </c>
      <c r="X830" s="212">
        <f t="array" ref="X830">INDEX(INC_INCVALUES,$V830,$K$1)</f>
        <v>0.3</v>
      </c>
    </row>
    <row r="831" ht="15.75" customHeight="1">
      <c r="A831" s="435"/>
      <c r="B831" s="436"/>
      <c r="C831" s="95" t="str">
        <f t="array" ref="C831">IF(I831&gt;0,INDEX(DB,I831,8),"")</f>
        <v/>
      </c>
      <c r="D831" s="437">
        <f t="shared" si="1"/>
        <v>0</v>
      </c>
      <c r="F831" s="438">
        <f t="shared" si="2"/>
        <v>0</v>
      </c>
      <c r="G831" t="str">
        <f t="shared" si="3"/>
        <v/>
      </c>
      <c r="H831" t="b">
        <f t="shared" si="4"/>
        <v>0</v>
      </c>
      <c r="I831" s="439">
        <f>IF(OR(ISBLANK(A831),ISNA(MATCH(A831&amp;"",AthleteNumbers,0))),0,MATCH(A831&amp;"",AthleteNumbers,0))</f>
        <v>0</v>
      </c>
      <c r="J831" s="209">
        <f t="array" ref="J831">IF(I831&gt;0,INDEX(DB,$I831,6),0)</f>
        <v>0</v>
      </c>
      <c r="K831" s="440">
        <f t="shared" si="5"/>
        <v>0</v>
      </c>
      <c r="L831" s="440">
        <f t="shared" si="6"/>
        <v>0</v>
      </c>
      <c r="M831" s="441">
        <f>IF(AND(L831&gt;O831,O831&gt;0),MinPoints,IF(L831&lt;N831,100,+INT((O831-$L831)/P831)+MinPoints))</f>
        <v>100</v>
      </c>
      <c r="N831" s="440">
        <f t="shared" si="7"/>
        <v>7</v>
      </c>
      <c r="O831" s="440">
        <f t="shared" si="8"/>
        <v>16</v>
      </c>
      <c r="P831" s="440">
        <f t="shared" si="9"/>
        <v>0.1</v>
      </c>
      <c r="Q831">
        <f t="array" ref="Q831">IF(I831&gt;0,INDEX(DB,I831,9),EventIndex)</f>
        <v>6</v>
      </c>
      <c r="S831" s="442">
        <f t="array" ref="S831">INDEX(MINVALUES,$Q831,$K$1)</f>
        <v>16</v>
      </c>
      <c r="T831">
        <f t="array" ref="T831">INDEX(INCVALUES,$Q831,$K$1)</f>
        <v>0.1</v>
      </c>
      <c r="V831">
        <f t="array" ref="V831">+J831+(4*(INDEX(MatchScoreTable,$Q831,20)-1))</f>
        <v>4</v>
      </c>
      <c r="W831">
        <f t="array" ref="W831">INDEX(INC_MINVALUES,$V831,$K$1)</f>
        <v>34</v>
      </c>
      <c r="X831" s="212">
        <f t="array" ref="X831">INDEX(INC_INCVALUES,$V831,$K$1)</f>
        <v>0.3</v>
      </c>
    </row>
    <row r="832" ht="15.75" customHeight="1">
      <c r="A832" s="435"/>
      <c r="B832" s="436"/>
      <c r="C832" s="95" t="str">
        <f t="array" ref="C832">IF(I832&gt;0,INDEX(DB,I832,8),"")</f>
        <v/>
      </c>
      <c r="D832" s="437">
        <f t="shared" si="1"/>
        <v>0</v>
      </c>
      <c r="F832" s="438">
        <f t="shared" si="2"/>
        <v>0</v>
      </c>
      <c r="G832" t="str">
        <f t="shared" si="3"/>
        <v/>
      </c>
      <c r="H832" t="b">
        <f t="shared" si="4"/>
        <v>0</v>
      </c>
      <c r="I832" s="439">
        <f>IF(OR(ISBLANK(A832),ISNA(MATCH(A832&amp;"",AthleteNumbers,0))),0,MATCH(A832&amp;"",AthleteNumbers,0))</f>
        <v>0</v>
      </c>
      <c r="J832" s="209">
        <f t="array" ref="J832">IF(I832&gt;0,INDEX(DB,$I832,6),0)</f>
        <v>0</v>
      </c>
      <c r="K832" s="440">
        <f t="shared" si="5"/>
        <v>0</v>
      </c>
      <c r="L832" s="440">
        <f t="shared" si="6"/>
        <v>0</v>
      </c>
      <c r="M832" s="441">
        <f>IF(AND(L832&gt;O832,O832&gt;0),MinPoints,IF(L832&lt;N832,100,+INT((O832-$L832)/P832)+MinPoints))</f>
        <v>100</v>
      </c>
      <c r="N832" s="440">
        <f t="shared" si="7"/>
        <v>7</v>
      </c>
      <c r="O832" s="440">
        <f t="shared" si="8"/>
        <v>16</v>
      </c>
      <c r="P832" s="440">
        <f t="shared" si="9"/>
        <v>0.1</v>
      </c>
      <c r="Q832">
        <f t="array" ref="Q832">IF(I832&gt;0,INDEX(DB,I832,9),EventIndex)</f>
        <v>6</v>
      </c>
      <c r="S832" s="442">
        <f t="array" ref="S832">INDEX(MINVALUES,$Q832,$K$1)</f>
        <v>16</v>
      </c>
      <c r="T832">
        <f t="array" ref="T832">INDEX(INCVALUES,$Q832,$K$1)</f>
        <v>0.1</v>
      </c>
      <c r="V832">
        <f t="array" ref="V832">+J832+(4*(INDEX(MatchScoreTable,$Q832,20)-1))</f>
        <v>4</v>
      </c>
      <c r="W832">
        <f t="array" ref="W832">INDEX(INC_MINVALUES,$V832,$K$1)</f>
        <v>34</v>
      </c>
      <c r="X832" s="212">
        <f t="array" ref="X832">INDEX(INC_INCVALUES,$V832,$K$1)</f>
        <v>0.3</v>
      </c>
    </row>
    <row r="833" ht="15.75" customHeight="1">
      <c r="A833" s="435"/>
      <c r="B833" s="436"/>
      <c r="C833" s="95" t="str">
        <f t="array" ref="C833">IF(I833&gt;0,INDEX(DB,I833,8),"")</f>
        <v/>
      </c>
      <c r="D833" s="437">
        <f t="shared" si="1"/>
        <v>0</v>
      </c>
      <c r="F833" s="438">
        <f t="shared" si="2"/>
        <v>0</v>
      </c>
      <c r="G833" t="str">
        <f t="shared" si="3"/>
        <v/>
      </c>
      <c r="H833" t="b">
        <f t="shared" si="4"/>
        <v>0</v>
      </c>
      <c r="I833" s="439">
        <f>IF(OR(ISBLANK(A833),ISNA(MATCH(A833&amp;"",AthleteNumbers,0))),0,MATCH(A833&amp;"",AthleteNumbers,0))</f>
        <v>0</v>
      </c>
      <c r="J833" s="209">
        <f t="array" ref="J833">IF(I833&gt;0,INDEX(DB,$I833,6),0)</f>
        <v>0</v>
      </c>
      <c r="K833" s="440">
        <f t="shared" si="5"/>
        <v>0</v>
      </c>
      <c r="L833" s="440">
        <f t="shared" si="6"/>
        <v>0</v>
      </c>
      <c r="M833" s="441">
        <f>IF(AND(L833&gt;O833,O833&gt;0),MinPoints,IF(L833&lt;N833,100,+INT((O833-$L833)/P833)+MinPoints))</f>
        <v>100</v>
      </c>
      <c r="N833" s="440">
        <f t="shared" si="7"/>
        <v>7</v>
      </c>
      <c r="O833" s="440">
        <f t="shared" si="8"/>
        <v>16</v>
      </c>
      <c r="P833" s="440">
        <f t="shared" si="9"/>
        <v>0.1</v>
      </c>
      <c r="Q833">
        <f t="array" ref="Q833">IF(I833&gt;0,INDEX(DB,I833,9),EventIndex)</f>
        <v>6</v>
      </c>
      <c r="S833" s="442">
        <f t="array" ref="S833">INDEX(MINVALUES,$Q833,$K$1)</f>
        <v>16</v>
      </c>
      <c r="T833">
        <f t="array" ref="T833">INDEX(INCVALUES,$Q833,$K$1)</f>
        <v>0.1</v>
      </c>
      <c r="V833">
        <f t="array" ref="V833">+J833+(4*(INDEX(MatchScoreTable,$Q833,20)-1))</f>
        <v>4</v>
      </c>
      <c r="W833">
        <f t="array" ref="W833">INDEX(INC_MINVALUES,$V833,$K$1)</f>
        <v>34</v>
      </c>
      <c r="X833" s="212">
        <f t="array" ref="X833">INDEX(INC_INCVALUES,$V833,$K$1)</f>
        <v>0.3</v>
      </c>
    </row>
    <row r="834" ht="15.75" customHeight="1">
      <c r="A834" s="435"/>
      <c r="B834" s="436"/>
      <c r="C834" s="95" t="str">
        <f t="array" ref="C834">IF(I834&gt;0,INDEX(DB,I834,8),"")</f>
        <v/>
      </c>
      <c r="D834" s="437">
        <f t="shared" si="1"/>
        <v>0</v>
      </c>
      <c r="F834" s="438">
        <f t="shared" si="2"/>
        <v>0</v>
      </c>
      <c r="G834" t="str">
        <f t="shared" si="3"/>
        <v/>
      </c>
      <c r="H834" t="b">
        <f t="shared" si="4"/>
        <v>0</v>
      </c>
      <c r="I834" s="439">
        <f>IF(OR(ISBLANK(A834),ISNA(MATCH(A834&amp;"",AthleteNumbers,0))),0,MATCH(A834&amp;"",AthleteNumbers,0))</f>
        <v>0</v>
      </c>
      <c r="J834" s="209">
        <f t="array" ref="J834">IF(I834&gt;0,INDEX(DB,$I834,6),0)</f>
        <v>0</v>
      </c>
      <c r="K834" s="440">
        <f t="shared" si="5"/>
        <v>0</v>
      </c>
      <c r="L834" s="440">
        <f t="shared" si="6"/>
        <v>0</v>
      </c>
      <c r="M834" s="441">
        <f>IF(AND(L834&gt;O834,O834&gt;0),MinPoints,IF(L834&lt;N834,100,+INT((O834-$L834)/P834)+MinPoints))</f>
        <v>100</v>
      </c>
      <c r="N834" s="440">
        <f t="shared" si="7"/>
        <v>7</v>
      </c>
      <c r="O834" s="440">
        <f t="shared" si="8"/>
        <v>16</v>
      </c>
      <c r="P834" s="440">
        <f t="shared" si="9"/>
        <v>0.1</v>
      </c>
      <c r="Q834">
        <f t="array" ref="Q834">IF(I834&gt;0,INDEX(DB,I834,9),EventIndex)</f>
        <v>6</v>
      </c>
      <c r="S834" s="442">
        <f t="array" ref="S834">INDEX(MINVALUES,$Q834,$K$1)</f>
        <v>16</v>
      </c>
      <c r="T834">
        <f t="array" ref="T834">INDEX(INCVALUES,$Q834,$K$1)</f>
        <v>0.1</v>
      </c>
      <c r="V834">
        <f t="array" ref="V834">+J834+(4*(INDEX(MatchScoreTable,$Q834,20)-1))</f>
        <v>4</v>
      </c>
      <c r="W834">
        <f t="array" ref="W834">INDEX(INC_MINVALUES,$V834,$K$1)</f>
        <v>34</v>
      </c>
      <c r="X834" s="212">
        <f t="array" ref="X834">INDEX(INC_INCVALUES,$V834,$K$1)</f>
        <v>0.3</v>
      </c>
    </row>
    <row r="835" ht="15.75" customHeight="1">
      <c r="A835" s="435"/>
      <c r="B835" s="436"/>
      <c r="C835" s="95" t="str">
        <f t="array" ref="C835">IF(I835&gt;0,INDEX(DB,I835,8),"")</f>
        <v/>
      </c>
      <c r="D835" s="437">
        <f t="shared" si="1"/>
        <v>0</v>
      </c>
      <c r="F835" s="438">
        <f t="shared" si="2"/>
        <v>0</v>
      </c>
      <c r="G835" t="str">
        <f t="shared" si="3"/>
        <v/>
      </c>
      <c r="H835" t="b">
        <f t="shared" si="4"/>
        <v>0</v>
      </c>
      <c r="I835" s="439">
        <f>IF(OR(ISBLANK(A835),ISNA(MATCH(A835&amp;"",AthleteNumbers,0))),0,MATCH(A835&amp;"",AthleteNumbers,0))</f>
        <v>0</v>
      </c>
      <c r="J835" s="209">
        <f t="array" ref="J835">IF(I835&gt;0,INDEX(DB,$I835,6),0)</f>
        <v>0</v>
      </c>
      <c r="K835" s="440">
        <f t="shared" si="5"/>
        <v>0</v>
      </c>
      <c r="L835" s="440">
        <f t="shared" si="6"/>
        <v>0</v>
      </c>
      <c r="M835" s="441">
        <f>IF(AND(L835&gt;O835,O835&gt;0),MinPoints,IF(L835&lt;N835,100,+INT((O835-$L835)/P835)+MinPoints))</f>
        <v>100</v>
      </c>
      <c r="N835" s="440">
        <f t="shared" si="7"/>
        <v>7</v>
      </c>
      <c r="O835" s="440">
        <f t="shared" si="8"/>
        <v>16</v>
      </c>
      <c r="P835" s="440">
        <f t="shared" si="9"/>
        <v>0.1</v>
      </c>
      <c r="Q835">
        <f t="array" ref="Q835">IF(I835&gt;0,INDEX(DB,I835,9),EventIndex)</f>
        <v>6</v>
      </c>
      <c r="S835" s="442">
        <f t="array" ref="S835">INDEX(MINVALUES,$Q835,$K$1)</f>
        <v>16</v>
      </c>
      <c r="T835">
        <f t="array" ref="T835">INDEX(INCVALUES,$Q835,$K$1)</f>
        <v>0.1</v>
      </c>
      <c r="V835">
        <f t="array" ref="V835">+J835+(4*(INDEX(MatchScoreTable,$Q835,20)-1))</f>
        <v>4</v>
      </c>
      <c r="W835">
        <f t="array" ref="W835">INDEX(INC_MINVALUES,$V835,$K$1)</f>
        <v>34</v>
      </c>
      <c r="X835" s="212">
        <f t="array" ref="X835">INDEX(INC_INCVALUES,$V835,$K$1)</f>
        <v>0.3</v>
      </c>
    </row>
    <row r="836" ht="15.75" customHeight="1">
      <c r="A836" s="435"/>
      <c r="B836" s="436"/>
      <c r="C836" s="95" t="str">
        <f t="array" ref="C836">IF(I836&gt;0,INDEX(DB,I836,8),"")</f>
        <v/>
      </c>
      <c r="D836" s="437">
        <f t="shared" si="1"/>
        <v>0</v>
      </c>
      <c r="F836" s="438">
        <f t="shared" si="2"/>
        <v>0</v>
      </c>
      <c r="G836" t="str">
        <f t="shared" si="3"/>
        <v/>
      </c>
      <c r="H836" t="b">
        <f t="shared" si="4"/>
        <v>0</v>
      </c>
      <c r="I836" s="439">
        <f>IF(OR(ISBLANK(A836),ISNA(MATCH(A836&amp;"",AthleteNumbers,0))),0,MATCH(A836&amp;"",AthleteNumbers,0))</f>
        <v>0</v>
      </c>
      <c r="J836" s="209">
        <f t="array" ref="J836">IF(I836&gt;0,INDEX(DB,$I836,6),0)</f>
        <v>0</v>
      </c>
      <c r="K836" s="440">
        <f t="shared" si="5"/>
        <v>0</v>
      </c>
      <c r="L836" s="440">
        <f t="shared" si="6"/>
        <v>0</v>
      </c>
      <c r="M836" s="441">
        <f>IF(AND(L836&gt;O836,O836&gt;0),MinPoints,IF(L836&lt;N836,100,+INT((O836-$L836)/P836)+MinPoints))</f>
        <v>100</v>
      </c>
      <c r="N836" s="440">
        <f t="shared" si="7"/>
        <v>7</v>
      </c>
      <c r="O836" s="440">
        <f t="shared" si="8"/>
        <v>16</v>
      </c>
      <c r="P836" s="440">
        <f t="shared" si="9"/>
        <v>0.1</v>
      </c>
      <c r="Q836">
        <f t="array" ref="Q836">IF(I836&gt;0,INDEX(DB,I836,9),EventIndex)</f>
        <v>6</v>
      </c>
      <c r="S836" s="442">
        <f t="array" ref="S836">INDEX(MINVALUES,$Q836,$K$1)</f>
        <v>16</v>
      </c>
      <c r="T836">
        <f t="array" ref="T836">INDEX(INCVALUES,$Q836,$K$1)</f>
        <v>0.1</v>
      </c>
      <c r="V836">
        <f t="array" ref="V836">+J836+(4*(INDEX(MatchScoreTable,$Q836,20)-1))</f>
        <v>4</v>
      </c>
      <c r="W836">
        <f t="array" ref="W836">INDEX(INC_MINVALUES,$V836,$K$1)</f>
        <v>34</v>
      </c>
      <c r="X836" s="212">
        <f t="array" ref="X836">INDEX(INC_INCVALUES,$V836,$K$1)</f>
        <v>0.3</v>
      </c>
    </row>
    <row r="837" ht="15.75" customHeight="1">
      <c r="A837" s="435"/>
      <c r="B837" s="436"/>
      <c r="C837" s="95" t="str">
        <f t="array" ref="C837">IF(I837&gt;0,INDEX(DB,I837,8),"")</f>
        <v/>
      </c>
      <c r="D837" s="437">
        <f t="shared" si="1"/>
        <v>0</v>
      </c>
      <c r="F837" s="438">
        <f t="shared" si="2"/>
        <v>0</v>
      </c>
      <c r="G837" t="str">
        <f t="shared" si="3"/>
        <v/>
      </c>
      <c r="H837" t="b">
        <f t="shared" si="4"/>
        <v>0</v>
      </c>
      <c r="I837" s="439">
        <f>IF(OR(ISBLANK(A837),ISNA(MATCH(A837&amp;"",AthleteNumbers,0))),0,MATCH(A837&amp;"",AthleteNumbers,0))</f>
        <v>0</v>
      </c>
      <c r="J837" s="209">
        <f t="array" ref="J837">IF(I837&gt;0,INDEX(DB,$I837,6),0)</f>
        <v>0</v>
      </c>
      <c r="K837" s="440">
        <f t="shared" si="5"/>
        <v>0</v>
      </c>
      <c r="L837" s="440">
        <f t="shared" si="6"/>
        <v>0</v>
      </c>
      <c r="M837" s="441">
        <f>IF(AND(L837&gt;O837,O837&gt;0),MinPoints,IF(L837&lt;N837,100,+INT((O837-$L837)/P837)+MinPoints))</f>
        <v>100</v>
      </c>
      <c r="N837" s="440">
        <f t="shared" si="7"/>
        <v>7</v>
      </c>
      <c r="O837" s="440">
        <f t="shared" si="8"/>
        <v>16</v>
      </c>
      <c r="P837" s="440">
        <f t="shared" si="9"/>
        <v>0.1</v>
      </c>
      <c r="Q837">
        <f t="array" ref="Q837">IF(I837&gt;0,INDEX(DB,I837,9),EventIndex)</f>
        <v>6</v>
      </c>
      <c r="S837" s="442">
        <f t="array" ref="S837">INDEX(MINVALUES,$Q837,$K$1)</f>
        <v>16</v>
      </c>
      <c r="T837">
        <f t="array" ref="T837">INDEX(INCVALUES,$Q837,$K$1)</f>
        <v>0.1</v>
      </c>
      <c r="V837">
        <f t="array" ref="V837">+J837+(4*(INDEX(MatchScoreTable,$Q837,20)-1))</f>
        <v>4</v>
      </c>
      <c r="W837">
        <f t="array" ref="W837">INDEX(INC_MINVALUES,$V837,$K$1)</f>
        <v>34</v>
      </c>
      <c r="X837" s="212">
        <f t="array" ref="X837">INDEX(INC_INCVALUES,$V837,$K$1)</f>
        <v>0.3</v>
      </c>
    </row>
    <row r="838" ht="15.75" customHeight="1">
      <c r="A838" s="435"/>
      <c r="B838" s="436"/>
      <c r="C838" s="95" t="str">
        <f t="array" ref="C838">IF(I838&gt;0,INDEX(DB,I838,8),"")</f>
        <v/>
      </c>
      <c r="D838" s="437">
        <f t="shared" si="1"/>
        <v>0</v>
      </c>
      <c r="F838" s="438">
        <f t="shared" si="2"/>
        <v>0</v>
      </c>
      <c r="G838" t="str">
        <f t="shared" si="3"/>
        <v/>
      </c>
      <c r="H838" t="b">
        <f t="shared" si="4"/>
        <v>0</v>
      </c>
      <c r="I838" s="439">
        <f>IF(OR(ISBLANK(A838),ISNA(MATCH(A838&amp;"",AthleteNumbers,0))),0,MATCH(A838&amp;"",AthleteNumbers,0))</f>
        <v>0</v>
      </c>
      <c r="J838" s="209">
        <f t="array" ref="J838">IF(I838&gt;0,INDEX(DB,$I838,6),0)</f>
        <v>0</v>
      </c>
      <c r="K838" s="440">
        <f t="shared" si="5"/>
        <v>0</v>
      </c>
      <c r="L838" s="440">
        <f t="shared" si="6"/>
        <v>0</v>
      </c>
      <c r="M838" s="441">
        <f>IF(AND(L838&gt;O838,O838&gt;0),MinPoints,IF(L838&lt;N838,100,+INT((O838-$L838)/P838)+MinPoints))</f>
        <v>100</v>
      </c>
      <c r="N838" s="440">
        <f t="shared" si="7"/>
        <v>7</v>
      </c>
      <c r="O838" s="440">
        <f t="shared" si="8"/>
        <v>16</v>
      </c>
      <c r="P838" s="440">
        <f t="shared" si="9"/>
        <v>0.1</v>
      </c>
      <c r="Q838">
        <f t="array" ref="Q838">IF(I838&gt;0,INDEX(DB,I838,9),EventIndex)</f>
        <v>6</v>
      </c>
      <c r="S838" s="442">
        <f t="array" ref="S838">INDEX(MINVALUES,$Q838,$K$1)</f>
        <v>16</v>
      </c>
      <c r="T838">
        <f t="array" ref="T838">INDEX(INCVALUES,$Q838,$K$1)</f>
        <v>0.1</v>
      </c>
      <c r="V838">
        <f t="array" ref="V838">+J838+(4*(INDEX(MatchScoreTable,$Q838,20)-1))</f>
        <v>4</v>
      </c>
      <c r="W838">
        <f t="array" ref="W838">INDEX(INC_MINVALUES,$V838,$K$1)</f>
        <v>34</v>
      </c>
      <c r="X838" s="212">
        <f t="array" ref="X838">INDEX(INC_INCVALUES,$V838,$K$1)</f>
        <v>0.3</v>
      </c>
    </row>
    <row r="839" ht="15.75" customHeight="1">
      <c r="A839" s="435"/>
      <c r="B839" s="436"/>
      <c r="C839" s="95" t="str">
        <f t="array" ref="C839">IF(I839&gt;0,INDEX(DB,I839,8),"")</f>
        <v/>
      </c>
      <c r="D839" s="437">
        <f t="shared" si="1"/>
        <v>0</v>
      </c>
      <c r="F839" s="438">
        <f t="shared" si="2"/>
        <v>0</v>
      </c>
      <c r="G839" t="str">
        <f t="shared" si="3"/>
        <v/>
      </c>
      <c r="H839" t="b">
        <f t="shared" si="4"/>
        <v>0</v>
      </c>
      <c r="I839" s="439">
        <f>IF(OR(ISBLANK(A839),ISNA(MATCH(A839&amp;"",AthleteNumbers,0))),0,MATCH(A839&amp;"",AthleteNumbers,0))</f>
        <v>0</v>
      </c>
      <c r="J839" s="209">
        <f t="array" ref="J839">IF(I839&gt;0,INDEX(DB,$I839,6),0)</f>
        <v>0</v>
      </c>
      <c r="K839" s="440">
        <f t="shared" si="5"/>
        <v>0</v>
      </c>
      <c r="L839" s="440">
        <f t="shared" si="6"/>
        <v>0</v>
      </c>
      <c r="M839" s="441">
        <f>IF(AND(L839&gt;O839,O839&gt;0),MinPoints,IF(L839&lt;N839,100,+INT((O839-$L839)/P839)+MinPoints))</f>
        <v>100</v>
      </c>
      <c r="N839" s="440">
        <f t="shared" si="7"/>
        <v>7</v>
      </c>
      <c r="O839" s="440">
        <f t="shared" si="8"/>
        <v>16</v>
      </c>
      <c r="P839" s="440">
        <f t="shared" si="9"/>
        <v>0.1</v>
      </c>
      <c r="Q839">
        <f t="array" ref="Q839">IF(I839&gt;0,INDEX(DB,I839,9),EventIndex)</f>
        <v>6</v>
      </c>
      <c r="S839" s="442">
        <f t="array" ref="S839">INDEX(MINVALUES,$Q839,$K$1)</f>
        <v>16</v>
      </c>
      <c r="T839">
        <f t="array" ref="T839">INDEX(INCVALUES,$Q839,$K$1)</f>
        <v>0.1</v>
      </c>
      <c r="V839">
        <f t="array" ref="V839">+J839+(4*(INDEX(MatchScoreTable,$Q839,20)-1))</f>
        <v>4</v>
      </c>
      <c r="W839">
        <f t="array" ref="W839">INDEX(INC_MINVALUES,$V839,$K$1)</f>
        <v>34</v>
      </c>
      <c r="X839" s="212">
        <f t="array" ref="X839">INDEX(INC_INCVALUES,$V839,$K$1)</f>
        <v>0.3</v>
      </c>
    </row>
    <row r="840" ht="15.75" customHeight="1">
      <c r="A840" s="435"/>
      <c r="B840" s="436"/>
      <c r="C840" s="95" t="str">
        <f t="array" ref="C840">IF(I840&gt;0,INDEX(DB,I840,8),"")</f>
        <v/>
      </c>
      <c r="D840" s="437">
        <f t="shared" si="1"/>
        <v>0</v>
      </c>
      <c r="F840" s="438">
        <f t="shared" si="2"/>
        <v>0</v>
      </c>
      <c r="G840" t="str">
        <f t="shared" si="3"/>
        <v/>
      </c>
      <c r="H840" t="b">
        <f t="shared" si="4"/>
        <v>0</v>
      </c>
      <c r="I840" s="439">
        <f>IF(OR(ISBLANK(A840),ISNA(MATCH(A840&amp;"",AthleteNumbers,0))),0,MATCH(A840&amp;"",AthleteNumbers,0))</f>
        <v>0</v>
      </c>
      <c r="J840" s="209">
        <f t="array" ref="J840">IF(I840&gt;0,INDEX(DB,$I840,6),0)</f>
        <v>0</v>
      </c>
      <c r="K840" s="440">
        <f t="shared" si="5"/>
        <v>0</v>
      </c>
      <c r="L840" s="440">
        <f t="shared" si="6"/>
        <v>0</v>
      </c>
      <c r="M840" s="441">
        <f>IF(AND(L840&gt;O840,O840&gt;0),MinPoints,IF(L840&lt;N840,100,+INT((O840-$L840)/P840)+MinPoints))</f>
        <v>100</v>
      </c>
      <c r="N840" s="440">
        <f t="shared" si="7"/>
        <v>7</v>
      </c>
      <c r="O840" s="440">
        <f t="shared" si="8"/>
        <v>16</v>
      </c>
      <c r="P840" s="440">
        <f t="shared" si="9"/>
        <v>0.1</v>
      </c>
      <c r="Q840">
        <f t="array" ref="Q840">IF(I840&gt;0,INDEX(DB,I840,9),EventIndex)</f>
        <v>6</v>
      </c>
      <c r="S840" s="442">
        <f t="array" ref="S840">INDEX(MINVALUES,$Q840,$K$1)</f>
        <v>16</v>
      </c>
      <c r="T840">
        <f t="array" ref="T840">INDEX(INCVALUES,$Q840,$K$1)</f>
        <v>0.1</v>
      </c>
      <c r="V840">
        <f t="array" ref="V840">+J840+(4*(INDEX(MatchScoreTable,$Q840,20)-1))</f>
        <v>4</v>
      </c>
      <c r="W840">
        <f t="array" ref="W840">INDEX(INC_MINVALUES,$V840,$K$1)</f>
        <v>34</v>
      </c>
      <c r="X840" s="212">
        <f t="array" ref="X840">INDEX(INC_INCVALUES,$V840,$K$1)</f>
        <v>0.3</v>
      </c>
    </row>
    <row r="841" ht="15.75" customHeight="1">
      <c r="A841" s="435"/>
      <c r="B841" s="436"/>
      <c r="C841" s="95" t="str">
        <f t="array" ref="C841">IF(I841&gt;0,INDEX(DB,I841,8),"")</f>
        <v/>
      </c>
      <c r="D841" s="437">
        <f t="shared" si="1"/>
        <v>0</v>
      </c>
      <c r="F841" s="438">
        <f t="shared" si="2"/>
        <v>0</v>
      </c>
      <c r="G841" t="str">
        <f t="shared" si="3"/>
        <v/>
      </c>
      <c r="H841" t="b">
        <f t="shared" si="4"/>
        <v>0</v>
      </c>
      <c r="I841" s="439">
        <f>IF(OR(ISBLANK(A841),ISNA(MATCH(A841&amp;"",AthleteNumbers,0))),0,MATCH(A841&amp;"",AthleteNumbers,0))</f>
        <v>0</v>
      </c>
      <c r="J841" s="209">
        <f t="array" ref="J841">IF(I841&gt;0,INDEX(DB,$I841,6),0)</f>
        <v>0</v>
      </c>
      <c r="K841" s="440">
        <f t="shared" si="5"/>
        <v>0</v>
      </c>
      <c r="L841" s="440">
        <f t="shared" si="6"/>
        <v>0</v>
      </c>
      <c r="M841" s="441">
        <f>IF(AND(L841&gt;O841,O841&gt;0),MinPoints,IF(L841&lt;N841,100,+INT((O841-$L841)/P841)+MinPoints))</f>
        <v>100</v>
      </c>
      <c r="N841" s="440">
        <f t="shared" si="7"/>
        <v>7</v>
      </c>
      <c r="O841" s="440">
        <f t="shared" si="8"/>
        <v>16</v>
      </c>
      <c r="P841" s="440">
        <f t="shared" si="9"/>
        <v>0.1</v>
      </c>
      <c r="Q841">
        <f t="array" ref="Q841">IF(I841&gt;0,INDEX(DB,I841,9),EventIndex)</f>
        <v>6</v>
      </c>
      <c r="S841" s="442">
        <f t="array" ref="S841">INDEX(MINVALUES,$Q841,$K$1)</f>
        <v>16</v>
      </c>
      <c r="T841">
        <f t="array" ref="T841">INDEX(INCVALUES,$Q841,$K$1)</f>
        <v>0.1</v>
      </c>
      <c r="V841">
        <f t="array" ref="V841">+J841+(4*(INDEX(MatchScoreTable,$Q841,20)-1))</f>
        <v>4</v>
      </c>
      <c r="W841">
        <f t="array" ref="W841">INDEX(INC_MINVALUES,$V841,$K$1)</f>
        <v>34</v>
      </c>
      <c r="X841" s="212">
        <f t="array" ref="X841">INDEX(INC_INCVALUES,$V841,$K$1)</f>
        <v>0.3</v>
      </c>
    </row>
    <row r="842" ht="15.75" customHeight="1">
      <c r="A842" s="435"/>
      <c r="B842" s="436"/>
      <c r="C842" s="95" t="str">
        <f t="array" ref="C842">IF(I842&gt;0,INDEX(DB,I842,8),"")</f>
        <v/>
      </c>
      <c r="D842" s="437">
        <f t="shared" si="1"/>
        <v>0</v>
      </c>
      <c r="F842" s="438">
        <f t="shared" si="2"/>
        <v>0</v>
      </c>
      <c r="G842" t="str">
        <f t="shared" si="3"/>
        <v/>
      </c>
      <c r="H842" t="b">
        <f t="shared" si="4"/>
        <v>0</v>
      </c>
      <c r="I842" s="439">
        <f>IF(OR(ISBLANK(A842),ISNA(MATCH(A842&amp;"",AthleteNumbers,0))),0,MATCH(A842&amp;"",AthleteNumbers,0))</f>
        <v>0</v>
      </c>
      <c r="J842" s="209">
        <f t="array" ref="J842">IF(I842&gt;0,INDEX(DB,$I842,6),0)</f>
        <v>0</v>
      </c>
      <c r="K842" s="440">
        <f t="shared" si="5"/>
        <v>0</v>
      </c>
      <c r="L842" s="440">
        <f t="shared" si="6"/>
        <v>0</v>
      </c>
      <c r="M842" s="441">
        <f>IF(AND(L842&gt;O842,O842&gt;0),MinPoints,IF(L842&lt;N842,100,+INT((O842-$L842)/P842)+MinPoints))</f>
        <v>100</v>
      </c>
      <c r="N842" s="440">
        <f t="shared" si="7"/>
        <v>7</v>
      </c>
      <c r="O842" s="440">
        <f t="shared" si="8"/>
        <v>16</v>
      </c>
      <c r="P842" s="440">
        <f t="shared" si="9"/>
        <v>0.1</v>
      </c>
      <c r="Q842">
        <f t="array" ref="Q842">IF(I842&gt;0,INDEX(DB,I842,9),EventIndex)</f>
        <v>6</v>
      </c>
      <c r="S842" s="442">
        <f t="array" ref="S842">INDEX(MINVALUES,$Q842,$K$1)</f>
        <v>16</v>
      </c>
      <c r="T842">
        <f t="array" ref="T842">INDEX(INCVALUES,$Q842,$K$1)</f>
        <v>0.1</v>
      </c>
      <c r="V842">
        <f t="array" ref="V842">+J842+(4*(INDEX(MatchScoreTable,$Q842,20)-1))</f>
        <v>4</v>
      </c>
      <c r="W842">
        <f t="array" ref="W842">INDEX(INC_MINVALUES,$V842,$K$1)</f>
        <v>34</v>
      </c>
      <c r="X842" s="212">
        <f t="array" ref="X842">INDEX(INC_INCVALUES,$V842,$K$1)</f>
        <v>0.3</v>
      </c>
    </row>
    <row r="843" ht="15.75" customHeight="1">
      <c r="A843" s="435"/>
      <c r="B843" s="436"/>
      <c r="C843" s="95" t="str">
        <f t="array" ref="C843">IF(I843&gt;0,INDEX(DB,I843,8),"")</f>
        <v/>
      </c>
      <c r="D843" s="437">
        <f t="shared" si="1"/>
        <v>0</v>
      </c>
      <c r="F843" s="438">
        <f t="shared" si="2"/>
        <v>0</v>
      </c>
      <c r="G843" t="str">
        <f t="shared" si="3"/>
        <v/>
      </c>
      <c r="H843" t="b">
        <f t="shared" si="4"/>
        <v>0</v>
      </c>
      <c r="I843" s="439">
        <f>IF(OR(ISBLANK(A843),ISNA(MATCH(A843&amp;"",AthleteNumbers,0))),0,MATCH(A843&amp;"",AthleteNumbers,0))</f>
        <v>0</v>
      </c>
      <c r="J843" s="209">
        <f t="array" ref="J843">IF(I843&gt;0,INDEX(DB,$I843,6),0)</f>
        <v>0</v>
      </c>
      <c r="K843" s="440">
        <f t="shared" si="5"/>
        <v>0</v>
      </c>
      <c r="L843" s="440">
        <f t="shared" si="6"/>
        <v>0</v>
      </c>
      <c r="M843" s="441">
        <f>IF(AND(L843&gt;O843,O843&gt;0),MinPoints,IF(L843&lt;N843,100,+INT((O843-$L843)/P843)+MinPoints))</f>
        <v>100</v>
      </c>
      <c r="N843" s="440">
        <f t="shared" si="7"/>
        <v>7</v>
      </c>
      <c r="O843" s="440">
        <f t="shared" si="8"/>
        <v>16</v>
      </c>
      <c r="P843" s="440">
        <f t="shared" si="9"/>
        <v>0.1</v>
      </c>
      <c r="Q843">
        <f t="array" ref="Q843">IF(I843&gt;0,INDEX(DB,I843,9),EventIndex)</f>
        <v>6</v>
      </c>
      <c r="S843" s="442">
        <f t="array" ref="S843">INDEX(MINVALUES,$Q843,$K$1)</f>
        <v>16</v>
      </c>
      <c r="T843">
        <f t="array" ref="T843">INDEX(INCVALUES,$Q843,$K$1)</f>
        <v>0.1</v>
      </c>
      <c r="V843">
        <f t="array" ref="V843">+J843+(4*(INDEX(MatchScoreTable,$Q843,20)-1))</f>
        <v>4</v>
      </c>
      <c r="W843">
        <f t="array" ref="W843">INDEX(INC_MINVALUES,$V843,$K$1)</f>
        <v>34</v>
      </c>
      <c r="X843" s="212">
        <f t="array" ref="X843">INDEX(INC_INCVALUES,$V843,$K$1)</f>
        <v>0.3</v>
      </c>
    </row>
    <row r="844" ht="15.75" customHeight="1">
      <c r="A844" s="435"/>
      <c r="B844" s="436"/>
      <c r="C844" s="95" t="str">
        <f t="array" ref="C844">IF(I844&gt;0,INDEX(DB,I844,8),"")</f>
        <v/>
      </c>
      <c r="D844" s="437">
        <f t="shared" si="1"/>
        <v>0</v>
      </c>
      <c r="F844" s="438">
        <f t="shared" si="2"/>
        <v>0</v>
      </c>
      <c r="G844" t="str">
        <f t="shared" si="3"/>
        <v/>
      </c>
      <c r="H844" t="b">
        <f t="shared" si="4"/>
        <v>0</v>
      </c>
      <c r="I844" s="439">
        <f>IF(OR(ISBLANK(A844),ISNA(MATCH(A844&amp;"",AthleteNumbers,0))),0,MATCH(A844&amp;"",AthleteNumbers,0))</f>
        <v>0</v>
      </c>
      <c r="J844" s="209">
        <f t="array" ref="J844">IF(I844&gt;0,INDEX(DB,$I844,6),0)</f>
        <v>0</v>
      </c>
      <c r="K844" s="440">
        <f t="shared" si="5"/>
        <v>0</v>
      </c>
      <c r="L844" s="440">
        <f t="shared" si="6"/>
        <v>0</v>
      </c>
      <c r="M844" s="441">
        <f>IF(AND(L844&gt;O844,O844&gt;0),MinPoints,IF(L844&lt;N844,100,+INT((O844-$L844)/P844)+MinPoints))</f>
        <v>100</v>
      </c>
      <c r="N844" s="440">
        <f t="shared" si="7"/>
        <v>7</v>
      </c>
      <c r="O844" s="440">
        <f t="shared" si="8"/>
        <v>16</v>
      </c>
      <c r="P844" s="440">
        <f t="shared" si="9"/>
        <v>0.1</v>
      </c>
      <c r="Q844">
        <f t="array" ref="Q844">IF(I844&gt;0,INDEX(DB,I844,9),EventIndex)</f>
        <v>6</v>
      </c>
      <c r="S844" s="442">
        <f t="array" ref="S844">INDEX(MINVALUES,$Q844,$K$1)</f>
        <v>16</v>
      </c>
      <c r="T844">
        <f t="array" ref="T844">INDEX(INCVALUES,$Q844,$K$1)</f>
        <v>0.1</v>
      </c>
      <c r="V844">
        <f t="array" ref="V844">+J844+(4*(INDEX(MatchScoreTable,$Q844,20)-1))</f>
        <v>4</v>
      </c>
      <c r="W844">
        <f t="array" ref="W844">INDEX(INC_MINVALUES,$V844,$K$1)</f>
        <v>34</v>
      </c>
      <c r="X844" s="212">
        <f t="array" ref="X844">INDEX(INC_INCVALUES,$V844,$K$1)</f>
        <v>0.3</v>
      </c>
    </row>
    <row r="845" ht="15.75" customHeight="1">
      <c r="A845" s="435"/>
      <c r="B845" s="436"/>
      <c r="C845" s="95" t="str">
        <f t="array" ref="C845">IF(I845&gt;0,INDEX(DB,I845,8),"")</f>
        <v/>
      </c>
      <c r="D845" s="437">
        <f t="shared" si="1"/>
        <v>0</v>
      </c>
      <c r="F845" s="438">
        <f t="shared" si="2"/>
        <v>0</v>
      </c>
      <c r="G845" t="str">
        <f t="shared" si="3"/>
        <v/>
      </c>
      <c r="H845" t="b">
        <f t="shared" si="4"/>
        <v>0</v>
      </c>
      <c r="I845" s="439">
        <f>IF(OR(ISBLANK(A845),ISNA(MATCH(A845&amp;"",AthleteNumbers,0))),0,MATCH(A845&amp;"",AthleteNumbers,0))</f>
        <v>0</v>
      </c>
      <c r="J845" s="209">
        <f t="array" ref="J845">IF(I845&gt;0,INDEX(DB,$I845,6),0)</f>
        <v>0</v>
      </c>
      <c r="K845" s="440">
        <f t="shared" si="5"/>
        <v>0</v>
      </c>
      <c r="L845" s="440">
        <f t="shared" si="6"/>
        <v>0</v>
      </c>
      <c r="M845" s="441">
        <f>IF(AND(L845&gt;O845,O845&gt;0),MinPoints,IF(L845&lt;N845,100,+INT((O845-$L845)/P845)+MinPoints))</f>
        <v>100</v>
      </c>
      <c r="N845" s="440">
        <f t="shared" si="7"/>
        <v>7</v>
      </c>
      <c r="O845" s="440">
        <f t="shared" si="8"/>
        <v>16</v>
      </c>
      <c r="P845" s="440">
        <f t="shared" si="9"/>
        <v>0.1</v>
      </c>
      <c r="Q845">
        <f t="array" ref="Q845">IF(I845&gt;0,INDEX(DB,I845,9),EventIndex)</f>
        <v>6</v>
      </c>
      <c r="S845" s="442">
        <f t="array" ref="S845">INDEX(MINVALUES,$Q845,$K$1)</f>
        <v>16</v>
      </c>
      <c r="T845">
        <f t="array" ref="T845">INDEX(INCVALUES,$Q845,$K$1)</f>
        <v>0.1</v>
      </c>
      <c r="V845">
        <f t="array" ref="V845">+J845+(4*(INDEX(MatchScoreTable,$Q845,20)-1))</f>
        <v>4</v>
      </c>
      <c r="W845">
        <f t="array" ref="W845">INDEX(INC_MINVALUES,$V845,$K$1)</f>
        <v>34</v>
      </c>
      <c r="X845" s="212">
        <f t="array" ref="X845">INDEX(INC_INCVALUES,$V845,$K$1)</f>
        <v>0.3</v>
      </c>
    </row>
    <row r="846" ht="15.75" customHeight="1">
      <c r="A846" s="435"/>
      <c r="B846" s="436"/>
      <c r="C846" s="95" t="str">
        <f t="array" ref="C846">IF(I846&gt;0,INDEX(DB,I846,8),"")</f>
        <v/>
      </c>
      <c r="D846" s="437">
        <f t="shared" si="1"/>
        <v>0</v>
      </c>
      <c r="F846" s="438">
        <f t="shared" si="2"/>
        <v>0</v>
      </c>
      <c r="G846" t="str">
        <f t="shared" si="3"/>
        <v/>
      </c>
      <c r="H846" t="b">
        <f t="shared" si="4"/>
        <v>0</v>
      </c>
      <c r="I846" s="439">
        <f>IF(OR(ISBLANK(A846),ISNA(MATCH(A846&amp;"",AthleteNumbers,0))),0,MATCH(A846&amp;"",AthleteNumbers,0))</f>
        <v>0</v>
      </c>
      <c r="J846" s="209">
        <f t="array" ref="J846">IF(I846&gt;0,INDEX(DB,$I846,6),0)</f>
        <v>0</v>
      </c>
      <c r="K846" s="440">
        <f t="shared" si="5"/>
        <v>0</v>
      </c>
      <c r="L846" s="440">
        <f t="shared" si="6"/>
        <v>0</v>
      </c>
      <c r="M846" s="441">
        <f>IF(AND(L846&gt;O846,O846&gt;0),MinPoints,IF(L846&lt;N846,100,+INT((O846-$L846)/P846)+MinPoints))</f>
        <v>100</v>
      </c>
      <c r="N846" s="440">
        <f t="shared" si="7"/>
        <v>7</v>
      </c>
      <c r="O846" s="440">
        <f t="shared" si="8"/>
        <v>16</v>
      </c>
      <c r="P846" s="440">
        <f t="shared" si="9"/>
        <v>0.1</v>
      </c>
      <c r="Q846">
        <f t="array" ref="Q846">IF(I846&gt;0,INDEX(DB,I846,9),EventIndex)</f>
        <v>6</v>
      </c>
      <c r="S846" s="442">
        <f t="array" ref="S846">INDEX(MINVALUES,$Q846,$K$1)</f>
        <v>16</v>
      </c>
      <c r="T846">
        <f t="array" ref="T846">INDEX(INCVALUES,$Q846,$K$1)</f>
        <v>0.1</v>
      </c>
      <c r="V846">
        <f t="array" ref="V846">+J846+(4*(INDEX(MatchScoreTable,$Q846,20)-1))</f>
        <v>4</v>
      </c>
      <c r="W846">
        <f t="array" ref="W846">INDEX(INC_MINVALUES,$V846,$K$1)</f>
        <v>34</v>
      </c>
      <c r="X846" s="212">
        <f t="array" ref="X846">INDEX(INC_INCVALUES,$V846,$K$1)</f>
        <v>0.3</v>
      </c>
    </row>
    <row r="847" ht="15.75" customHeight="1">
      <c r="A847" s="435"/>
      <c r="B847" s="436"/>
      <c r="C847" s="95" t="str">
        <f t="array" ref="C847">IF(I847&gt;0,INDEX(DB,I847,8),"")</f>
        <v/>
      </c>
      <c r="D847" s="437">
        <f t="shared" si="1"/>
        <v>0</v>
      </c>
      <c r="F847" s="438">
        <f t="shared" si="2"/>
        <v>0</v>
      </c>
      <c r="G847" t="str">
        <f t="shared" si="3"/>
        <v/>
      </c>
      <c r="H847" t="b">
        <f t="shared" si="4"/>
        <v>0</v>
      </c>
      <c r="I847" s="439">
        <f>IF(OR(ISBLANK(A847),ISNA(MATCH(A847&amp;"",AthleteNumbers,0))),0,MATCH(A847&amp;"",AthleteNumbers,0))</f>
        <v>0</v>
      </c>
      <c r="J847" s="209">
        <f t="array" ref="J847">IF(I847&gt;0,INDEX(DB,$I847,6),0)</f>
        <v>0</v>
      </c>
      <c r="K847" s="440">
        <f t="shared" si="5"/>
        <v>0</v>
      </c>
      <c r="L847" s="440">
        <f t="shared" si="6"/>
        <v>0</v>
      </c>
      <c r="M847" s="441">
        <f>IF(AND(L847&gt;O847,O847&gt;0),MinPoints,IF(L847&lt;N847,100,+INT((O847-$L847)/P847)+MinPoints))</f>
        <v>100</v>
      </c>
      <c r="N847" s="440">
        <f t="shared" si="7"/>
        <v>7</v>
      </c>
      <c r="O847" s="440">
        <f t="shared" si="8"/>
        <v>16</v>
      </c>
      <c r="P847" s="440">
        <f t="shared" si="9"/>
        <v>0.1</v>
      </c>
      <c r="Q847">
        <f t="array" ref="Q847">IF(I847&gt;0,INDEX(DB,I847,9),EventIndex)</f>
        <v>6</v>
      </c>
      <c r="S847" s="442">
        <f t="array" ref="S847">INDEX(MINVALUES,$Q847,$K$1)</f>
        <v>16</v>
      </c>
      <c r="T847">
        <f t="array" ref="T847">INDEX(INCVALUES,$Q847,$K$1)</f>
        <v>0.1</v>
      </c>
      <c r="V847">
        <f t="array" ref="V847">+J847+(4*(INDEX(MatchScoreTable,$Q847,20)-1))</f>
        <v>4</v>
      </c>
      <c r="W847">
        <f t="array" ref="W847">INDEX(INC_MINVALUES,$V847,$K$1)</f>
        <v>34</v>
      </c>
      <c r="X847" s="212">
        <f t="array" ref="X847">INDEX(INC_INCVALUES,$V847,$K$1)</f>
        <v>0.3</v>
      </c>
    </row>
    <row r="848" ht="15.75" customHeight="1">
      <c r="A848" s="435"/>
      <c r="B848" s="436"/>
      <c r="C848" s="95" t="str">
        <f t="array" ref="C848">IF(I848&gt;0,INDEX(DB,I848,8),"")</f>
        <v/>
      </c>
      <c r="D848" s="437">
        <f t="shared" si="1"/>
        <v>0</v>
      </c>
      <c r="F848" s="438">
        <f t="shared" si="2"/>
        <v>0</v>
      </c>
      <c r="G848" t="str">
        <f t="shared" si="3"/>
        <v/>
      </c>
      <c r="H848" t="b">
        <f t="shared" si="4"/>
        <v>0</v>
      </c>
      <c r="I848" s="439">
        <f>IF(OR(ISBLANK(A848),ISNA(MATCH(A848&amp;"",AthleteNumbers,0))),0,MATCH(A848&amp;"",AthleteNumbers,0))</f>
        <v>0</v>
      </c>
      <c r="J848" s="209">
        <f t="array" ref="J848">IF(I848&gt;0,INDEX(DB,$I848,6),0)</f>
        <v>0</v>
      </c>
      <c r="K848" s="440">
        <f t="shared" si="5"/>
        <v>0</v>
      </c>
      <c r="L848" s="440">
        <f t="shared" si="6"/>
        <v>0</v>
      </c>
      <c r="M848" s="441">
        <f>IF(AND(L848&gt;O848,O848&gt;0),MinPoints,IF(L848&lt;N848,100,+INT((O848-$L848)/P848)+MinPoints))</f>
        <v>100</v>
      </c>
      <c r="N848" s="440">
        <f t="shared" si="7"/>
        <v>7</v>
      </c>
      <c r="O848" s="440">
        <f t="shared" si="8"/>
        <v>16</v>
      </c>
      <c r="P848" s="440">
        <f t="shared" si="9"/>
        <v>0.1</v>
      </c>
      <c r="Q848">
        <f t="array" ref="Q848">IF(I848&gt;0,INDEX(DB,I848,9),EventIndex)</f>
        <v>6</v>
      </c>
      <c r="S848" s="442">
        <f t="array" ref="S848">INDEX(MINVALUES,$Q848,$K$1)</f>
        <v>16</v>
      </c>
      <c r="T848">
        <f t="array" ref="T848">INDEX(INCVALUES,$Q848,$K$1)</f>
        <v>0.1</v>
      </c>
      <c r="V848">
        <f t="array" ref="V848">+J848+(4*(INDEX(MatchScoreTable,$Q848,20)-1))</f>
        <v>4</v>
      </c>
      <c r="W848">
        <f t="array" ref="W848">INDEX(INC_MINVALUES,$V848,$K$1)</f>
        <v>34</v>
      </c>
      <c r="X848" s="212">
        <f t="array" ref="X848">INDEX(INC_INCVALUES,$V848,$K$1)</f>
        <v>0.3</v>
      </c>
    </row>
    <row r="849" ht="15.75" customHeight="1">
      <c r="A849" s="435"/>
      <c r="B849" s="436"/>
      <c r="C849" s="95" t="str">
        <f t="array" ref="C849">IF(I849&gt;0,INDEX(DB,I849,8),"")</f>
        <v/>
      </c>
      <c r="D849" s="437">
        <f t="shared" si="1"/>
        <v>0</v>
      </c>
      <c r="F849" s="438">
        <f t="shared" si="2"/>
        <v>0</v>
      </c>
      <c r="G849" t="str">
        <f t="shared" si="3"/>
        <v/>
      </c>
      <c r="H849" t="b">
        <f t="shared" si="4"/>
        <v>0</v>
      </c>
      <c r="I849" s="439">
        <f>IF(OR(ISBLANK(A849),ISNA(MATCH(A849&amp;"",AthleteNumbers,0))),0,MATCH(A849&amp;"",AthleteNumbers,0))</f>
        <v>0</v>
      </c>
      <c r="J849" s="209">
        <f t="array" ref="J849">IF(I849&gt;0,INDEX(DB,$I849,6),0)</f>
        <v>0</v>
      </c>
      <c r="K849" s="440">
        <f t="shared" si="5"/>
        <v>0</v>
      </c>
      <c r="L849" s="440">
        <f t="shared" si="6"/>
        <v>0</v>
      </c>
      <c r="M849" s="441">
        <f>IF(AND(L849&gt;O849,O849&gt;0),MinPoints,IF(L849&lt;N849,100,+INT((O849-$L849)/P849)+MinPoints))</f>
        <v>100</v>
      </c>
      <c r="N849" s="440">
        <f t="shared" si="7"/>
        <v>7</v>
      </c>
      <c r="O849" s="440">
        <f t="shared" si="8"/>
        <v>16</v>
      </c>
      <c r="P849" s="440">
        <f t="shared" si="9"/>
        <v>0.1</v>
      </c>
      <c r="Q849">
        <f t="array" ref="Q849">IF(I849&gt;0,INDEX(DB,I849,9),EventIndex)</f>
        <v>6</v>
      </c>
      <c r="S849" s="442">
        <f t="array" ref="S849">INDEX(MINVALUES,$Q849,$K$1)</f>
        <v>16</v>
      </c>
      <c r="T849">
        <f t="array" ref="T849">INDEX(INCVALUES,$Q849,$K$1)</f>
        <v>0.1</v>
      </c>
      <c r="V849">
        <f t="array" ref="V849">+J849+(4*(INDEX(MatchScoreTable,$Q849,20)-1))</f>
        <v>4</v>
      </c>
      <c r="W849">
        <f t="array" ref="W849">INDEX(INC_MINVALUES,$V849,$K$1)</f>
        <v>34</v>
      </c>
      <c r="X849" s="212">
        <f t="array" ref="X849">INDEX(INC_INCVALUES,$V849,$K$1)</f>
        <v>0.3</v>
      </c>
    </row>
    <row r="850" ht="15.75" customHeight="1">
      <c r="A850" s="435"/>
      <c r="B850" s="436"/>
      <c r="C850" s="95" t="str">
        <f t="array" ref="C850">IF(I850&gt;0,INDEX(DB,I850,8),"")</f>
        <v/>
      </c>
      <c r="D850" s="437">
        <f t="shared" si="1"/>
        <v>0</v>
      </c>
      <c r="F850" s="438">
        <f t="shared" si="2"/>
        <v>0</v>
      </c>
      <c r="G850" t="str">
        <f t="shared" si="3"/>
        <v/>
      </c>
      <c r="H850" t="b">
        <f t="shared" si="4"/>
        <v>0</v>
      </c>
      <c r="I850" s="439">
        <f>IF(OR(ISBLANK(A850),ISNA(MATCH(A850&amp;"",AthleteNumbers,0))),0,MATCH(A850&amp;"",AthleteNumbers,0))</f>
        <v>0</v>
      </c>
      <c r="J850" s="209">
        <f t="array" ref="J850">IF(I850&gt;0,INDEX(DB,$I850,6),0)</f>
        <v>0</v>
      </c>
      <c r="K850" s="440">
        <f t="shared" si="5"/>
        <v>0</v>
      </c>
      <c r="L850" s="440">
        <f t="shared" si="6"/>
        <v>0</v>
      </c>
      <c r="M850" s="441">
        <f>IF(AND(L850&gt;O850,O850&gt;0),MinPoints,IF(L850&lt;N850,100,+INT((O850-$L850)/P850)+MinPoints))</f>
        <v>100</v>
      </c>
      <c r="N850" s="440">
        <f t="shared" si="7"/>
        <v>7</v>
      </c>
      <c r="O850" s="440">
        <f t="shared" si="8"/>
        <v>16</v>
      </c>
      <c r="P850" s="440">
        <f t="shared" si="9"/>
        <v>0.1</v>
      </c>
      <c r="Q850">
        <f t="array" ref="Q850">IF(I850&gt;0,INDEX(DB,I850,9),EventIndex)</f>
        <v>6</v>
      </c>
      <c r="S850" s="442">
        <f t="array" ref="S850">INDEX(MINVALUES,$Q850,$K$1)</f>
        <v>16</v>
      </c>
      <c r="T850">
        <f t="array" ref="T850">INDEX(INCVALUES,$Q850,$K$1)</f>
        <v>0.1</v>
      </c>
      <c r="V850">
        <f t="array" ref="V850">+J850+(4*(INDEX(MatchScoreTable,$Q850,20)-1))</f>
        <v>4</v>
      </c>
      <c r="W850">
        <f t="array" ref="W850">INDEX(INC_MINVALUES,$V850,$K$1)</f>
        <v>34</v>
      </c>
      <c r="X850" s="212">
        <f t="array" ref="X850">INDEX(INC_INCVALUES,$V850,$K$1)</f>
        <v>0.3</v>
      </c>
    </row>
    <row r="851" ht="15.75" customHeight="1">
      <c r="A851" s="435"/>
      <c r="B851" s="436"/>
      <c r="C851" s="95" t="str">
        <f t="array" ref="C851">IF(I851&gt;0,INDEX(DB,I851,8),"")</f>
        <v/>
      </c>
      <c r="D851" s="437">
        <f t="shared" si="1"/>
        <v>0</v>
      </c>
      <c r="F851" s="438">
        <f t="shared" si="2"/>
        <v>0</v>
      </c>
      <c r="G851" t="str">
        <f t="shared" si="3"/>
        <v/>
      </c>
      <c r="H851" t="b">
        <f t="shared" si="4"/>
        <v>0</v>
      </c>
      <c r="I851" s="439">
        <f>IF(OR(ISBLANK(A851),ISNA(MATCH(A851&amp;"",AthleteNumbers,0))),0,MATCH(A851&amp;"",AthleteNumbers,0))</f>
        <v>0</v>
      </c>
      <c r="J851" s="209">
        <f t="array" ref="J851">IF(I851&gt;0,INDEX(DB,$I851,6),0)</f>
        <v>0</v>
      </c>
      <c r="K851" s="440">
        <f t="shared" si="5"/>
        <v>0</v>
      </c>
      <c r="L851" s="440">
        <f t="shared" si="6"/>
        <v>0</v>
      </c>
      <c r="M851" s="441">
        <f>IF(AND(L851&gt;O851,O851&gt;0),MinPoints,IF(L851&lt;N851,100,+INT((O851-$L851)/P851)+MinPoints))</f>
        <v>100</v>
      </c>
      <c r="N851" s="440">
        <f t="shared" si="7"/>
        <v>7</v>
      </c>
      <c r="O851" s="440">
        <f t="shared" si="8"/>
        <v>16</v>
      </c>
      <c r="P851" s="440">
        <f t="shared" si="9"/>
        <v>0.1</v>
      </c>
      <c r="Q851">
        <f t="array" ref="Q851">IF(I851&gt;0,INDEX(DB,I851,9),EventIndex)</f>
        <v>6</v>
      </c>
      <c r="S851" s="442">
        <f t="array" ref="S851">INDEX(MINVALUES,$Q851,$K$1)</f>
        <v>16</v>
      </c>
      <c r="T851">
        <f t="array" ref="T851">INDEX(INCVALUES,$Q851,$K$1)</f>
        <v>0.1</v>
      </c>
      <c r="V851">
        <f t="array" ref="V851">+J851+(4*(INDEX(MatchScoreTable,$Q851,20)-1))</f>
        <v>4</v>
      </c>
      <c r="W851">
        <f t="array" ref="W851">INDEX(INC_MINVALUES,$V851,$K$1)</f>
        <v>34</v>
      </c>
      <c r="X851" s="212">
        <f t="array" ref="X851">INDEX(INC_INCVALUES,$V851,$K$1)</f>
        <v>0.3</v>
      </c>
    </row>
    <row r="852" ht="15.75" customHeight="1">
      <c r="A852" s="435"/>
      <c r="B852" s="436"/>
      <c r="C852" s="95" t="str">
        <f t="array" ref="C852">IF(I852&gt;0,INDEX(DB,I852,8),"")</f>
        <v/>
      </c>
      <c r="D852" s="437">
        <f t="shared" si="1"/>
        <v>0</v>
      </c>
      <c r="F852" s="438">
        <f t="shared" si="2"/>
        <v>0</v>
      </c>
      <c r="G852" t="str">
        <f t="shared" si="3"/>
        <v/>
      </c>
      <c r="H852" t="b">
        <f t="shared" si="4"/>
        <v>0</v>
      </c>
      <c r="I852" s="439">
        <f>IF(OR(ISBLANK(A852),ISNA(MATCH(A852&amp;"",AthleteNumbers,0))),0,MATCH(A852&amp;"",AthleteNumbers,0))</f>
        <v>0</v>
      </c>
      <c r="J852" s="209">
        <f t="array" ref="J852">IF(I852&gt;0,INDEX(DB,$I852,6),0)</f>
        <v>0</v>
      </c>
      <c r="K852" s="440">
        <f t="shared" si="5"/>
        <v>0</v>
      </c>
      <c r="L852" s="440">
        <f t="shared" si="6"/>
        <v>0</v>
      </c>
      <c r="M852" s="441">
        <f>IF(AND(L852&gt;O852,O852&gt;0),MinPoints,IF(L852&lt;N852,100,+INT((O852-$L852)/P852)+MinPoints))</f>
        <v>100</v>
      </c>
      <c r="N852" s="440">
        <f t="shared" si="7"/>
        <v>7</v>
      </c>
      <c r="O852" s="440">
        <f t="shared" si="8"/>
        <v>16</v>
      </c>
      <c r="P852" s="440">
        <f t="shared" si="9"/>
        <v>0.1</v>
      </c>
      <c r="Q852">
        <f t="array" ref="Q852">IF(I852&gt;0,INDEX(DB,I852,9),EventIndex)</f>
        <v>6</v>
      </c>
      <c r="S852" s="442">
        <f t="array" ref="S852">INDEX(MINVALUES,$Q852,$K$1)</f>
        <v>16</v>
      </c>
      <c r="T852">
        <f t="array" ref="T852">INDEX(INCVALUES,$Q852,$K$1)</f>
        <v>0.1</v>
      </c>
      <c r="V852">
        <f t="array" ref="V852">+J852+(4*(INDEX(MatchScoreTable,$Q852,20)-1))</f>
        <v>4</v>
      </c>
      <c r="W852">
        <f t="array" ref="W852">INDEX(INC_MINVALUES,$V852,$K$1)</f>
        <v>34</v>
      </c>
      <c r="X852" s="212">
        <f t="array" ref="X852">INDEX(INC_INCVALUES,$V852,$K$1)</f>
        <v>0.3</v>
      </c>
    </row>
    <row r="853" ht="15.75" customHeight="1">
      <c r="A853" s="435"/>
      <c r="B853" s="436"/>
      <c r="C853" s="95" t="str">
        <f t="array" ref="C853">IF(I853&gt;0,INDEX(DB,I853,8),"")</f>
        <v/>
      </c>
      <c r="D853" s="437">
        <f t="shared" si="1"/>
        <v>0</v>
      </c>
      <c r="F853" s="438">
        <f t="shared" si="2"/>
        <v>0</v>
      </c>
      <c r="G853" t="str">
        <f t="shared" si="3"/>
        <v/>
      </c>
      <c r="H853" t="b">
        <f t="shared" si="4"/>
        <v>0</v>
      </c>
      <c r="I853" s="439">
        <f>IF(OR(ISBLANK(A853),ISNA(MATCH(A853&amp;"",AthleteNumbers,0))),0,MATCH(A853&amp;"",AthleteNumbers,0))</f>
        <v>0</v>
      </c>
      <c r="J853" s="209">
        <f t="array" ref="J853">IF(I853&gt;0,INDEX(DB,$I853,6),0)</f>
        <v>0</v>
      </c>
      <c r="K853" s="440">
        <f t="shared" si="5"/>
        <v>0</v>
      </c>
      <c r="L853" s="440">
        <f t="shared" si="6"/>
        <v>0</v>
      </c>
      <c r="M853" s="441">
        <f>IF(AND(L853&gt;O853,O853&gt;0),MinPoints,IF(L853&lt;N853,100,+INT((O853-$L853)/P853)+MinPoints))</f>
        <v>100</v>
      </c>
      <c r="N853" s="440">
        <f t="shared" si="7"/>
        <v>7</v>
      </c>
      <c r="O853" s="440">
        <f t="shared" si="8"/>
        <v>16</v>
      </c>
      <c r="P853" s="440">
        <f t="shared" si="9"/>
        <v>0.1</v>
      </c>
      <c r="Q853">
        <f t="array" ref="Q853">IF(I853&gt;0,INDEX(DB,I853,9),EventIndex)</f>
        <v>6</v>
      </c>
      <c r="S853" s="442">
        <f t="array" ref="S853">INDEX(MINVALUES,$Q853,$K$1)</f>
        <v>16</v>
      </c>
      <c r="T853">
        <f t="array" ref="T853">INDEX(INCVALUES,$Q853,$K$1)</f>
        <v>0.1</v>
      </c>
      <c r="V853">
        <f t="array" ref="V853">+J853+(4*(INDEX(MatchScoreTable,$Q853,20)-1))</f>
        <v>4</v>
      </c>
      <c r="W853">
        <f t="array" ref="W853">INDEX(INC_MINVALUES,$V853,$K$1)</f>
        <v>34</v>
      </c>
      <c r="X853" s="212">
        <f t="array" ref="X853">INDEX(INC_INCVALUES,$V853,$K$1)</f>
        <v>0.3</v>
      </c>
    </row>
    <row r="854" ht="15.75" customHeight="1">
      <c r="A854" s="435"/>
      <c r="B854" s="436"/>
      <c r="C854" s="95" t="str">
        <f t="array" ref="C854">IF(I854&gt;0,INDEX(DB,I854,8),"")</f>
        <v/>
      </c>
      <c r="D854" s="437">
        <f t="shared" si="1"/>
        <v>0</v>
      </c>
      <c r="F854" s="438">
        <f t="shared" si="2"/>
        <v>0</v>
      </c>
      <c r="G854" t="str">
        <f t="shared" si="3"/>
        <v/>
      </c>
      <c r="H854" t="b">
        <f t="shared" si="4"/>
        <v>0</v>
      </c>
      <c r="I854" s="439">
        <f>IF(OR(ISBLANK(A854),ISNA(MATCH(A854&amp;"",AthleteNumbers,0))),0,MATCH(A854&amp;"",AthleteNumbers,0))</f>
        <v>0</v>
      </c>
      <c r="J854" s="209">
        <f t="array" ref="J854">IF(I854&gt;0,INDEX(DB,$I854,6),0)</f>
        <v>0</v>
      </c>
      <c r="K854" s="440">
        <f t="shared" si="5"/>
        <v>0</v>
      </c>
      <c r="L854" s="440">
        <f t="shared" si="6"/>
        <v>0</v>
      </c>
      <c r="M854" s="441">
        <f>IF(AND(L854&gt;O854,O854&gt;0),MinPoints,IF(L854&lt;N854,100,+INT((O854-$L854)/P854)+MinPoints))</f>
        <v>100</v>
      </c>
      <c r="N854" s="440">
        <f t="shared" si="7"/>
        <v>7</v>
      </c>
      <c r="O854" s="440">
        <f t="shared" si="8"/>
        <v>16</v>
      </c>
      <c r="P854" s="440">
        <f t="shared" si="9"/>
        <v>0.1</v>
      </c>
      <c r="Q854">
        <f t="array" ref="Q854">IF(I854&gt;0,INDEX(DB,I854,9),EventIndex)</f>
        <v>6</v>
      </c>
      <c r="S854" s="442">
        <f t="array" ref="S854">INDEX(MINVALUES,$Q854,$K$1)</f>
        <v>16</v>
      </c>
      <c r="T854">
        <f t="array" ref="T854">INDEX(INCVALUES,$Q854,$K$1)</f>
        <v>0.1</v>
      </c>
      <c r="V854">
        <f t="array" ref="V854">+J854+(4*(INDEX(MatchScoreTable,$Q854,20)-1))</f>
        <v>4</v>
      </c>
      <c r="W854">
        <f t="array" ref="W854">INDEX(INC_MINVALUES,$V854,$K$1)</f>
        <v>34</v>
      </c>
      <c r="X854" s="212">
        <f t="array" ref="X854">INDEX(INC_INCVALUES,$V854,$K$1)</f>
        <v>0.3</v>
      </c>
    </row>
    <row r="855" ht="15.75" customHeight="1">
      <c r="A855" s="435"/>
      <c r="B855" s="436"/>
      <c r="C855" s="95" t="str">
        <f t="array" ref="C855">IF(I855&gt;0,INDEX(DB,I855,8),"")</f>
        <v/>
      </c>
      <c r="D855" s="437">
        <f t="shared" si="1"/>
        <v>0</v>
      </c>
      <c r="F855" s="438">
        <f t="shared" si="2"/>
        <v>0</v>
      </c>
      <c r="G855" t="str">
        <f t="shared" si="3"/>
        <v/>
      </c>
      <c r="H855" t="b">
        <f t="shared" si="4"/>
        <v>0</v>
      </c>
      <c r="I855" s="439">
        <f>IF(OR(ISBLANK(A855),ISNA(MATCH(A855&amp;"",AthleteNumbers,0))),0,MATCH(A855&amp;"",AthleteNumbers,0))</f>
        <v>0</v>
      </c>
      <c r="J855" s="209">
        <f t="array" ref="J855">IF(I855&gt;0,INDEX(DB,$I855,6),0)</f>
        <v>0</v>
      </c>
      <c r="K855" s="440">
        <f t="shared" si="5"/>
        <v>0</v>
      </c>
      <c r="L855" s="440">
        <f t="shared" si="6"/>
        <v>0</v>
      </c>
      <c r="M855" s="441">
        <f>IF(AND(L855&gt;O855,O855&gt;0),MinPoints,IF(L855&lt;N855,100,+INT((O855-$L855)/P855)+MinPoints))</f>
        <v>100</v>
      </c>
      <c r="N855" s="440">
        <f t="shared" si="7"/>
        <v>7</v>
      </c>
      <c r="O855" s="440">
        <f t="shared" si="8"/>
        <v>16</v>
      </c>
      <c r="P855" s="440">
        <f t="shared" si="9"/>
        <v>0.1</v>
      </c>
      <c r="Q855">
        <f t="array" ref="Q855">IF(I855&gt;0,INDEX(DB,I855,9),EventIndex)</f>
        <v>6</v>
      </c>
      <c r="S855" s="442">
        <f t="array" ref="S855">INDEX(MINVALUES,$Q855,$K$1)</f>
        <v>16</v>
      </c>
      <c r="T855">
        <f t="array" ref="T855">INDEX(INCVALUES,$Q855,$K$1)</f>
        <v>0.1</v>
      </c>
      <c r="V855">
        <f t="array" ref="V855">+J855+(4*(INDEX(MatchScoreTable,$Q855,20)-1))</f>
        <v>4</v>
      </c>
      <c r="W855">
        <f t="array" ref="W855">INDEX(INC_MINVALUES,$V855,$K$1)</f>
        <v>34</v>
      </c>
      <c r="X855" s="212">
        <f t="array" ref="X855">INDEX(INC_INCVALUES,$V855,$K$1)</f>
        <v>0.3</v>
      </c>
    </row>
    <row r="856" ht="15.75" customHeight="1">
      <c r="A856" s="435"/>
      <c r="B856" s="436"/>
      <c r="C856" s="95" t="str">
        <f t="array" ref="C856">IF(I856&gt;0,INDEX(DB,I856,8),"")</f>
        <v/>
      </c>
      <c r="D856" s="437">
        <f t="shared" si="1"/>
        <v>0</v>
      </c>
      <c r="F856" s="438">
        <f t="shared" si="2"/>
        <v>0</v>
      </c>
      <c r="G856" t="str">
        <f t="shared" si="3"/>
        <v/>
      </c>
      <c r="H856" t="b">
        <f t="shared" si="4"/>
        <v>0</v>
      </c>
      <c r="I856" s="439">
        <f>IF(OR(ISBLANK(A856),ISNA(MATCH(A856&amp;"",AthleteNumbers,0))),0,MATCH(A856&amp;"",AthleteNumbers,0))</f>
        <v>0</v>
      </c>
      <c r="J856" s="209">
        <f t="array" ref="J856">IF(I856&gt;0,INDEX(DB,$I856,6),0)</f>
        <v>0</v>
      </c>
      <c r="K856" s="440">
        <f t="shared" si="5"/>
        <v>0</v>
      </c>
      <c r="L856" s="440">
        <f t="shared" si="6"/>
        <v>0</v>
      </c>
      <c r="M856" s="441">
        <f>IF(AND(L856&gt;O856,O856&gt;0),MinPoints,IF(L856&lt;N856,100,+INT((O856-$L856)/P856)+MinPoints))</f>
        <v>100</v>
      </c>
      <c r="N856" s="440">
        <f t="shared" si="7"/>
        <v>7</v>
      </c>
      <c r="O856" s="440">
        <f t="shared" si="8"/>
        <v>16</v>
      </c>
      <c r="P856" s="440">
        <f t="shared" si="9"/>
        <v>0.1</v>
      </c>
      <c r="Q856">
        <f t="array" ref="Q856">IF(I856&gt;0,INDEX(DB,I856,9),EventIndex)</f>
        <v>6</v>
      </c>
      <c r="S856" s="442">
        <f t="array" ref="S856">INDEX(MINVALUES,$Q856,$K$1)</f>
        <v>16</v>
      </c>
      <c r="T856">
        <f t="array" ref="T856">INDEX(INCVALUES,$Q856,$K$1)</f>
        <v>0.1</v>
      </c>
      <c r="V856">
        <f t="array" ref="V856">+J856+(4*(INDEX(MatchScoreTable,$Q856,20)-1))</f>
        <v>4</v>
      </c>
      <c r="W856">
        <f t="array" ref="W856">INDEX(INC_MINVALUES,$V856,$K$1)</f>
        <v>34</v>
      </c>
      <c r="X856" s="212">
        <f t="array" ref="X856">INDEX(INC_INCVALUES,$V856,$K$1)</f>
        <v>0.3</v>
      </c>
    </row>
    <row r="857" ht="15.75" customHeight="1">
      <c r="A857" s="435"/>
      <c r="B857" s="436"/>
      <c r="C857" s="95" t="str">
        <f t="array" ref="C857">IF(I857&gt;0,INDEX(DB,I857,8),"")</f>
        <v/>
      </c>
      <c r="D857" s="437">
        <f t="shared" si="1"/>
        <v>0</v>
      </c>
      <c r="F857" s="438">
        <f t="shared" si="2"/>
        <v>0</v>
      </c>
      <c r="G857" t="str">
        <f t="shared" si="3"/>
        <v/>
      </c>
      <c r="H857" t="b">
        <f t="shared" si="4"/>
        <v>0</v>
      </c>
      <c r="I857" s="439">
        <f>IF(OR(ISBLANK(A857),ISNA(MATCH(A857&amp;"",AthleteNumbers,0))),0,MATCH(A857&amp;"",AthleteNumbers,0))</f>
        <v>0</v>
      </c>
      <c r="J857" s="209">
        <f t="array" ref="J857">IF(I857&gt;0,INDEX(DB,$I857,6),0)</f>
        <v>0</v>
      </c>
      <c r="K857" s="440">
        <f t="shared" si="5"/>
        <v>0</v>
      </c>
      <c r="L857" s="440">
        <f t="shared" si="6"/>
        <v>0</v>
      </c>
      <c r="M857" s="441">
        <f>IF(AND(L857&gt;O857,O857&gt;0),MinPoints,IF(L857&lt;N857,100,+INT((O857-$L857)/P857)+MinPoints))</f>
        <v>100</v>
      </c>
      <c r="N857" s="440">
        <f t="shared" si="7"/>
        <v>7</v>
      </c>
      <c r="O857" s="440">
        <f t="shared" si="8"/>
        <v>16</v>
      </c>
      <c r="P857" s="440">
        <f t="shared" si="9"/>
        <v>0.1</v>
      </c>
      <c r="Q857">
        <f t="array" ref="Q857">IF(I857&gt;0,INDEX(DB,I857,9),EventIndex)</f>
        <v>6</v>
      </c>
      <c r="S857" s="442">
        <f t="array" ref="S857">INDEX(MINVALUES,$Q857,$K$1)</f>
        <v>16</v>
      </c>
      <c r="T857">
        <f t="array" ref="T857">INDEX(INCVALUES,$Q857,$K$1)</f>
        <v>0.1</v>
      </c>
      <c r="V857">
        <f t="array" ref="V857">+J857+(4*(INDEX(MatchScoreTable,$Q857,20)-1))</f>
        <v>4</v>
      </c>
      <c r="W857">
        <f t="array" ref="W857">INDEX(INC_MINVALUES,$V857,$K$1)</f>
        <v>34</v>
      </c>
      <c r="X857" s="212">
        <f t="array" ref="X857">INDEX(INC_INCVALUES,$V857,$K$1)</f>
        <v>0.3</v>
      </c>
    </row>
    <row r="858" ht="15.75" customHeight="1">
      <c r="A858" s="435"/>
      <c r="B858" s="436"/>
      <c r="C858" s="95" t="str">
        <f t="array" ref="C858">IF(I858&gt;0,INDEX(DB,I858,8),"")</f>
        <v/>
      </c>
      <c r="D858" s="437">
        <f t="shared" si="1"/>
        <v>0</v>
      </c>
      <c r="F858" s="438">
        <f t="shared" si="2"/>
        <v>0</v>
      </c>
      <c r="G858" t="str">
        <f t="shared" si="3"/>
        <v/>
      </c>
      <c r="H858" t="b">
        <f t="shared" si="4"/>
        <v>0</v>
      </c>
      <c r="I858" s="439">
        <f>IF(OR(ISBLANK(A858),ISNA(MATCH(A858&amp;"",AthleteNumbers,0))),0,MATCH(A858&amp;"",AthleteNumbers,0))</f>
        <v>0</v>
      </c>
      <c r="J858" s="209">
        <f t="array" ref="J858">IF(I858&gt;0,INDEX(DB,$I858,6),0)</f>
        <v>0</v>
      </c>
      <c r="K858" s="440">
        <f t="shared" si="5"/>
        <v>0</v>
      </c>
      <c r="L858" s="440">
        <f t="shared" si="6"/>
        <v>0</v>
      </c>
      <c r="M858" s="441">
        <f>IF(AND(L858&gt;O858,O858&gt;0),MinPoints,IF(L858&lt;N858,100,+INT((O858-$L858)/P858)+MinPoints))</f>
        <v>100</v>
      </c>
      <c r="N858" s="440">
        <f t="shared" si="7"/>
        <v>7</v>
      </c>
      <c r="O858" s="440">
        <f t="shared" si="8"/>
        <v>16</v>
      </c>
      <c r="P858" s="440">
        <f t="shared" si="9"/>
        <v>0.1</v>
      </c>
      <c r="Q858">
        <f t="array" ref="Q858">IF(I858&gt;0,INDEX(DB,I858,9),EventIndex)</f>
        <v>6</v>
      </c>
      <c r="S858" s="442">
        <f t="array" ref="S858">INDEX(MINVALUES,$Q858,$K$1)</f>
        <v>16</v>
      </c>
      <c r="T858">
        <f t="array" ref="T858">INDEX(INCVALUES,$Q858,$K$1)</f>
        <v>0.1</v>
      </c>
      <c r="V858">
        <f t="array" ref="V858">+J858+(4*(INDEX(MatchScoreTable,$Q858,20)-1))</f>
        <v>4</v>
      </c>
      <c r="W858">
        <f t="array" ref="W858">INDEX(INC_MINVALUES,$V858,$K$1)</f>
        <v>34</v>
      </c>
      <c r="X858" s="212">
        <f t="array" ref="X858">INDEX(INC_INCVALUES,$V858,$K$1)</f>
        <v>0.3</v>
      </c>
    </row>
    <row r="859" ht="15.75" customHeight="1">
      <c r="A859" s="435"/>
      <c r="B859" s="436"/>
      <c r="C859" s="95" t="str">
        <f t="array" ref="C859">IF(I859&gt;0,INDEX(DB,I859,8),"")</f>
        <v/>
      </c>
      <c r="D859" s="437">
        <f t="shared" si="1"/>
        <v>0</v>
      </c>
      <c r="F859" s="438">
        <f t="shared" si="2"/>
        <v>0</v>
      </c>
      <c r="G859" t="str">
        <f t="shared" si="3"/>
        <v/>
      </c>
      <c r="H859" t="b">
        <f t="shared" si="4"/>
        <v>0</v>
      </c>
      <c r="I859" s="439">
        <f>IF(OR(ISBLANK(A859),ISNA(MATCH(A859&amp;"",AthleteNumbers,0))),0,MATCH(A859&amp;"",AthleteNumbers,0))</f>
        <v>0</v>
      </c>
      <c r="J859" s="209">
        <f t="array" ref="J859">IF(I859&gt;0,INDEX(DB,$I859,6),0)</f>
        <v>0</v>
      </c>
      <c r="K859" s="440">
        <f t="shared" si="5"/>
        <v>0</v>
      </c>
      <c r="L859" s="440">
        <f t="shared" si="6"/>
        <v>0</v>
      </c>
      <c r="M859" s="441">
        <f>IF(AND(L859&gt;O859,O859&gt;0),MinPoints,IF(L859&lt;N859,100,+INT((O859-$L859)/P859)+MinPoints))</f>
        <v>100</v>
      </c>
      <c r="N859" s="440">
        <f t="shared" si="7"/>
        <v>7</v>
      </c>
      <c r="O859" s="440">
        <f t="shared" si="8"/>
        <v>16</v>
      </c>
      <c r="P859" s="440">
        <f t="shared" si="9"/>
        <v>0.1</v>
      </c>
      <c r="Q859">
        <f t="array" ref="Q859">IF(I859&gt;0,INDEX(DB,I859,9),EventIndex)</f>
        <v>6</v>
      </c>
      <c r="S859" s="442">
        <f t="array" ref="S859">INDEX(MINVALUES,$Q859,$K$1)</f>
        <v>16</v>
      </c>
      <c r="T859">
        <f t="array" ref="T859">INDEX(INCVALUES,$Q859,$K$1)</f>
        <v>0.1</v>
      </c>
      <c r="V859">
        <f t="array" ref="V859">+J859+(4*(INDEX(MatchScoreTable,$Q859,20)-1))</f>
        <v>4</v>
      </c>
      <c r="W859">
        <f t="array" ref="W859">INDEX(INC_MINVALUES,$V859,$K$1)</f>
        <v>34</v>
      </c>
      <c r="X859" s="212">
        <f t="array" ref="X859">INDEX(INC_INCVALUES,$V859,$K$1)</f>
        <v>0.3</v>
      </c>
    </row>
    <row r="860" ht="15.75" customHeight="1">
      <c r="A860" s="435"/>
      <c r="B860" s="436"/>
      <c r="C860" s="95" t="str">
        <f t="array" ref="C860">IF(I860&gt;0,INDEX(DB,I860,8),"")</f>
        <v/>
      </c>
      <c r="D860" s="437">
        <f t="shared" si="1"/>
        <v>0</v>
      </c>
      <c r="F860" s="438">
        <f t="shared" si="2"/>
        <v>0</v>
      </c>
      <c r="G860" t="str">
        <f t="shared" si="3"/>
        <v/>
      </c>
      <c r="H860" t="b">
        <f t="shared" si="4"/>
        <v>0</v>
      </c>
      <c r="I860" s="439">
        <f>IF(OR(ISBLANK(A860),ISNA(MATCH(A860&amp;"",AthleteNumbers,0))),0,MATCH(A860&amp;"",AthleteNumbers,0))</f>
        <v>0</v>
      </c>
      <c r="J860" s="209">
        <f t="array" ref="J860">IF(I860&gt;0,INDEX(DB,$I860,6),0)</f>
        <v>0</v>
      </c>
      <c r="K860" s="440">
        <f t="shared" si="5"/>
        <v>0</v>
      </c>
      <c r="L860" s="440">
        <f t="shared" si="6"/>
        <v>0</v>
      </c>
      <c r="M860" s="441">
        <f>IF(AND(L860&gt;O860,O860&gt;0),MinPoints,IF(L860&lt;N860,100,+INT((O860-$L860)/P860)+MinPoints))</f>
        <v>100</v>
      </c>
      <c r="N860" s="440">
        <f t="shared" si="7"/>
        <v>7</v>
      </c>
      <c r="O860" s="440">
        <f t="shared" si="8"/>
        <v>16</v>
      </c>
      <c r="P860" s="440">
        <f t="shared" si="9"/>
        <v>0.1</v>
      </c>
      <c r="Q860">
        <f t="array" ref="Q860">IF(I860&gt;0,INDEX(DB,I860,9),EventIndex)</f>
        <v>6</v>
      </c>
      <c r="S860" s="442">
        <f t="array" ref="S860">INDEX(MINVALUES,$Q860,$K$1)</f>
        <v>16</v>
      </c>
      <c r="T860">
        <f t="array" ref="T860">INDEX(INCVALUES,$Q860,$K$1)</f>
        <v>0.1</v>
      </c>
      <c r="V860">
        <f t="array" ref="V860">+J860+(4*(INDEX(MatchScoreTable,$Q860,20)-1))</f>
        <v>4</v>
      </c>
      <c r="W860">
        <f t="array" ref="W860">INDEX(INC_MINVALUES,$V860,$K$1)</f>
        <v>34</v>
      </c>
      <c r="X860" s="212">
        <f t="array" ref="X860">INDEX(INC_INCVALUES,$V860,$K$1)</f>
        <v>0.3</v>
      </c>
    </row>
    <row r="861" ht="15.75" customHeight="1">
      <c r="A861" s="435"/>
      <c r="B861" s="436"/>
      <c r="C861" s="95" t="str">
        <f t="array" ref="C861">IF(I861&gt;0,INDEX(DB,I861,8),"")</f>
        <v/>
      </c>
      <c r="D861" s="437">
        <f t="shared" si="1"/>
        <v>0</v>
      </c>
      <c r="F861" s="438">
        <f t="shared" si="2"/>
        <v>0</v>
      </c>
      <c r="G861" t="str">
        <f t="shared" si="3"/>
        <v/>
      </c>
      <c r="H861" t="b">
        <f t="shared" si="4"/>
        <v>0</v>
      </c>
      <c r="I861" s="439">
        <f>IF(OR(ISBLANK(A861),ISNA(MATCH(A861&amp;"",AthleteNumbers,0))),0,MATCH(A861&amp;"",AthleteNumbers,0))</f>
        <v>0</v>
      </c>
      <c r="J861" s="209">
        <f t="array" ref="J861">IF(I861&gt;0,INDEX(DB,$I861,6),0)</f>
        <v>0</v>
      </c>
      <c r="K861" s="440">
        <f t="shared" si="5"/>
        <v>0</v>
      </c>
      <c r="L861" s="440">
        <f t="shared" si="6"/>
        <v>0</v>
      </c>
      <c r="M861" s="441">
        <f>IF(AND(L861&gt;O861,O861&gt;0),MinPoints,IF(L861&lt;N861,100,+INT((O861-$L861)/P861)+MinPoints))</f>
        <v>100</v>
      </c>
      <c r="N861" s="440">
        <f t="shared" si="7"/>
        <v>7</v>
      </c>
      <c r="O861" s="440">
        <f t="shared" si="8"/>
        <v>16</v>
      </c>
      <c r="P861" s="440">
        <f t="shared" si="9"/>
        <v>0.1</v>
      </c>
      <c r="Q861">
        <f t="array" ref="Q861">IF(I861&gt;0,INDEX(DB,I861,9),EventIndex)</f>
        <v>6</v>
      </c>
      <c r="S861" s="442">
        <f t="array" ref="S861">INDEX(MINVALUES,$Q861,$K$1)</f>
        <v>16</v>
      </c>
      <c r="T861">
        <f t="array" ref="T861">INDEX(INCVALUES,$Q861,$K$1)</f>
        <v>0.1</v>
      </c>
      <c r="V861">
        <f t="array" ref="V861">+J861+(4*(INDEX(MatchScoreTable,$Q861,20)-1))</f>
        <v>4</v>
      </c>
      <c r="W861">
        <f t="array" ref="W861">INDEX(INC_MINVALUES,$V861,$K$1)</f>
        <v>34</v>
      </c>
      <c r="X861" s="212">
        <f t="array" ref="X861">INDEX(INC_INCVALUES,$V861,$K$1)</f>
        <v>0.3</v>
      </c>
    </row>
    <row r="862" ht="15.75" customHeight="1">
      <c r="A862" s="435"/>
      <c r="B862" s="436"/>
      <c r="C862" s="95" t="str">
        <f t="array" ref="C862">IF(I862&gt;0,INDEX(DB,I862,8),"")</f>
        <v/>
      </c>
      <c r="D862" s="437">
        <f t="shared" si="1"/>
        <v>0</v>
      </c>
      <c r="F862" s="438">
        <f t="shared" si="2"/>
        <v>0</v>
      </c>
      <c r="G862" t="str">
        <f t="shared" si="3"/>
        <v/>
      </c>
      <c r="H862" t="b">
        <f t="shared" si="4"/>
        <v>0</v>
      </c>
      <c r="I862" s="439">
        <f>IF(OR(ISBLANK(A862),ISNA(MATCH(A862&amp;"",AthleteNumbers,0))),0,MATCH(A862&amp;"",AthleteNumbers,0))</f>
        <v>0</v>
      </c>
      <c r="J862" s="209">
        <f t="array" ref="J862">IF(I862&gt;0,INDEX(DB,$I862,6),0)</f>
        <v>0</v>
      </c>
      <c r="K862" s="440">
        <f t="shared" si="5"/>
        <v>0</v>
      </c>
      <c r="L862" s="440">
        <f t="shared" si="6"/>
        <v>0</v>
      </c>
      <c r="M862" s="441">
        <f>IF(AND(L862&gt;O862,O862&gt;0),MinPoints,IF(L862&lt;N862,100,+INT((O862-$L862)/P862)+MinPoints))</f>
        <v>100</v>
      </c>
      <c r="N862" s="440">
        <f t="shared" si="7"/>
        <v>7</v>
      </c>
      <c r="O862" s="440">
        <f t="shared" si="8"/>
        <v>16</v>
      </c>
      <c r="P862" s="440">
        <f t="shared" si="9"/>
        <v>0.1</v>
      </c>
      <c r="Q862">
        <f t="array" ref="Q862">IF(I862&gt;0,INDEX(DB,I862,9),EventIndex)</f>
        <v>6</v>
      </c>
      <c r="S862" s="442">
        <f t="array" ref="S862">INDEX(MINVALUES,$Q862,$K$1)</f>
        <v>16</v>
      </c>
      <c r="T862">
        <f t="array" ref="T862">INDEX(INCVALUES,$Q862,$K$1)</f>
        <v>0.1</v>
      </c>
      <c r="V862">
        <f t="array" ref="V862">+J862+(4*(INDEX(MatchScoreTable,$Q862,20)-1))</f>
        <v>4</v>
      </c>
      <c r="W862">
        <f t="array" ref="W862">INDEX(INC_MINVALUES,$V862,$K$1)</f>
        <v>34</v>
      </c>
      <c r="X862" s="212">
        <f t="array" ref="X862">INDEX(INC_INCVALUES,$V862,$K$1)</f>
        <v>0.3</v>
      </c>
    </row>
    <row r="863" ht="15.75" customHeight="1">
      <c r="A863" s="435"/>
      <c r="B863" s="436"/>
      <c r="C863" s="95" t="str">
        <f t="array" ref="C863">IF(I863&gt;0,INDEX(DB,I863,8),"")</f>
        <v/>
      </c>
      <c r="D863" s="437">
        <f t="shared" si="1"/>
        <v>0</v>
      </c>
      <c r="F863" s="438">
        <f t="shared" si="2"/>
        <v>0</v>
      </c>
      <c r="G863" t="str">
        <f t="shared" si="3"/>
        <v/>
      </c>
      <c r="H863" t="b">
        <f t="shared" si="4"/>
        <v>0</v>
      </c>
      <c r="I863" s="439">
        <f>IF(OR(ISBLANK(A863),ISNA(MATCH(A863&amp;"",AthleteNumbers,0))),0,MATCH(A863&amp;"",AthleteNumbers,0))</f>
        <v>0</v>
      </c>
      <c r="J863" s="209">
        <f t="array" ref="J863">IF(I863&gt;0,INDEX(DB,$I863,6),0)</f>
        <v>0</v>
      </c>
      <c r="K863" s="440">
        <f t="shared" si="5"/>
        <v>0</v>
      </c>
      <c r="L863" s="440">
        <f t="shared" si="6"/>
        <v>0</v>
      </c>
      <c r="M863" s="441">
        <f>IF(AND(L863&gt;O863,O863&gt;0),MinPoints,IF(L863&lt;N863,100,+INT((O863-$L863)/P863)+MinPoints))</f>
        <v>100</v>
      </c>
      <c r="N863" s="440">
        <f t="shared" si="7"/>
        <v>7</v>
      </c>
      <c r="O863" s="440">
        <f t="shared" si="8"/>
        <v>16</v>
      </c>
      <c r="P863" s="440">
        <f t="shared" si="9"/>
        <v>0.1</v>
      </c>
      <c r="Q863">
        <f t="array" ref="Q863">IF(I863&gt;0,INDEX(DB,I863,9),EventIndex)</f>
        <v>6</v>
      </c>
      <c r="S863" s="442">
        <f t="array" ref="S863">INDEX(MINVALUES,$Q863,$K$1)</f>
        <v>16</v>
      </c>
      <c r="T863">
        <f t="array" ref="T863">INDEX(INCVALUES,$Q863,$K$1)</f>
        <v>0.1</v>
      </c>
      <c r="V863">
        <f t="array" ref="V863">+J863+(4*(INDEX(MatchScoreTable,$Q863,20)-1))</f>
        <v>4</v>
      </c>
      <c r="W863">
        <f t="array" ref="W863">INDEX(INC_MINVALUES,$V863,$K$1)</f>
        <v>34</v>
      </c>
      <c r="X863" s="212">
        <f t="array" ref="X863">INDEX(INC_INCVALUES,$V863,$K$1)</f>
        <v>0.3</v>
      </c>
    </row>
    <row r="864" ht="15.75" customHeight="1">
      <c r="A864" s="435"/>
      <c r="B864" s="436"/>
      <c r="C864" s="95" t="str">
        <f t="array" ref="C864">IF(I864&gt;0,INDEX(DB,I864,8),"")</f>
        <v/>
      </c>
      <c r="D864" s="437">
        <f t="shared" si="1"/>
        <v>0</v>
      </c>
      <c r="F864" s="438">
        <f t="shared" si="2"/>
        <v>0</v>
      </c>
      <c r="G864" t="str">
        <f t="shared" si="3"/>
        <v/>
      </c>
      <c r="H864" t="b">
        <f t="shared" si="4"/>
        <v>0</v>
      </c>
      <c r="I864" s="439">
        <f>IF(OR(ISBLANK(A864),ISNA(MATCH(A864&amp;"",AthleteNumbers,0))),0,MATCH(A864&amp;"",AthleteNumbers,0))</f>
        <v>0</v>
      </c>
      <c r="J864" s="209">
        <f t="array" ref="J864">IF(I864&gt;0,INDEX(DB,$I864,6),0)</f>
        <v>0</v>
      </c>
      <c r="K864" s="440">
        <f t="shared" si="5"/>
        <v>0</v>
      </c>
      <c r="L864" s="440">
        <f t="shared" si="6"/>
        <v>0</v>
      </c>
      <c r="M864" s="441">
        <f>IF(AND(L864&gt;O864,O864&gt;0),MinPoints,IF(L864&lt;N864,100,+INT((O864-$L864)/P864)+MinPoints))</f>
        <v>100</v>
      </c>
      <c r="N864" s="440">
        <f t="shared" si="7"/>
        <v>7</v>
      </c>
      <c r="O864" s="440">
        <f t="shared" si="8"/>
        <v>16</v>
      </c>
      <c r="P864" s="440">
        <f t="shared" si="9"/>
        <v>0.1</v>
      </c>
      <c r="Q864">
        <f t="array" ref="Q864">IF(I864&gt;0,INDEX(DB,I864,9),EventIndex)</f>
        <v>6</v>
      </c>
      <c r="S864" s="442">
        <f t="array" ref="S864">INDEX(MINVALUES,$Q864,$K$1)</f>
        <v>16</v>
      </c>
      <c r="T864">
        <f t="array" ref="T864">INDEX(INCVALUES,$Q864,$K$1)</f>
        <v>0.1</v>
      </c>
      <c r="V864">
        <f t="array" ref="V864">+J864+(4*(INDEX(MatchScoreTable,$Q864,20)-1))</f>
        <v>4</v>
      </c>
      <c r="W864">
        <f t="array" ref="W864">INDEX(INC_MINVALUES,$V864,$K$1)</f>
        <v>34</v>
      </c>
      <c r="X864" s="212">
        <f t="array" ref="X864">INDEX(INC_INCVALUES,$V864,$K$1)</f>
        <v>0.3</v>
      </c>
    </row>
    <row r="865" ht="15.75" customHeight="1">
      <c r="A865" s="435"/>
      <c r="B865" s="436"/>
      <c r="C865" s="95" t="str">
        <f t="array" ref="C865">IF(I865&gt;0,INDEX(DB,I865,8),"")</f>
        <v/>
      </c>
      <c r="D865" s="437">
        <f t="shared" si="1"/>
        <v>0</v>
      </c>
      <c r="F865" s="438">
        <f t="shared" si="2"/>
        <v>0</v>
      </c>
      <c r="G865" t="str">
        <f t="shared" si="3"/>
        <v/>
      </c>
      <c r="H865" t="b">
        <f t="shared" si="4"/>
        <v>0</v>
      </c>
      <c r="I865" s="439">
        <f>IF(OR(ISBLANK(A865),ISNA(MATCH(A865&amp;"",AthleteNumbers,0))),0,MATCH(A865&amp;"",AthleteNumbers,0))</f>
        <v>0</v>
      </c>
      <c r="J865" s="209">
        <f t="array" ref="J865">IF(I865&gt;0,INDEX(DB,$I865,6),0)</f>
        <v>0</v>
      </c>
      <c r="K865" s="440">
        <f t="shared" si="5"/>
        <v>0</v>
      </c>
      <c r="L865" s="440">
        <f t="shared" si="6"/>
        <v>0</v>
      </c>
      <c r="M865" s="441">
        <f>IF(AND(L865&gt;O865,O865&gt;0),MinPoints,IF(L865&lt;N865,100,+INT((O865-$L865)/P865)+MinPoints))</f>
        <v>100</v>
      </c>
      <c r="N865" s="440">
        <f t="shared" si="7"/>
        <v>7</v>
      </c>
      <c r="O865" s="440">
        <f t="shared" si="8"/>
        <v>16</v>
      </c>
      <c r="P865" s="440">
        <f t="shared" si="9"/>
        <v>0.1</v>
      </c>
      <c r="Q865">
        <f t="array" ref="Q865">IF(I865&gt;0,INDEX(DB,I865,9),EventIndex)</f>
        <v>6</v>
      </c>
      <c r="S865" s="442">
        <f t="array" ref="S865">INDEX(MINVALUES,$Q865,$K$1)</f>
        <v>16</v>
      </c>
      <c r="T865">
        <f t="array" ref="T865">INDEX(INCVALUES,$Q865,$K$1)</f>
        <v>0.1</v>
      </c>
      <c r="V865">
        <f t="array" ref="V865">+J865+(4*(INDEX(MatchScoreTable,$Q865,20)-1))</f>
        <v>4</v>
      </c>
      <c r="W865">
        <f t="array" ref="W865">INDEX(INC_MINVALUES,$V865,$K$1)</f>
        <v>34</v>
      </c>
      <c r="X865" s="212">
        <f t="array" ref="X865">INDEX(INC_INCVALUES,$V865,$K$1)</f>
        <v>0.3</v>
      </c>
    </row>
    <row r="866" ht="15.75" customHeight="1">
      <c r="A866" s="435"/>
      <c r="B866" s="436"/>
      <c r="C866" s="95" t="str">
        <f t="array" ref="C866">IF(I866&gt;0,INDEX(DB,I866,8),"")</f>
        <v/>
      </c>
      <c r="D866" s="437">
        <f t="shared" si="1"/>
        <v>0</v>
      </c>
      <c r="F866" s="438">
        <f t="shared" si="2"/>
        <v>0</v>
      </c>
      <c r="G866" t="str">
        <f t="shared" si="3"/>
        <v/>
      </c>
      <c r="H866" t="b">
        <f t="shared" si="4"/>
        <v>0</v>
      </c>
      <c r="I866" s="439">
        <f>IF(OR(ISBLANK(A866),ISNA(MATCH(A866&amp;"",AthleteNumbers,0))),0,MATCH(A866&amp;"",AthleteNumbers,0))</f>
        <v>0</v>
      </c>
      <c r="J866" s="209">
        <f t="array" ref="J866">IF(I866&gt;0,INDEX(DB,$I866,6),0)</f>
        <v>0</v>
      </c>
      <c r="K866" s="440">
        <f t="shared" si="5"/>
        <v>0</v>
      </c>
      <c r="L866" s="440">
        <f t="shared" si="6"/>
        <v>0</v>
      </c>
      <c r="M866" s="441">
        <f>IF(AND(L866&gt;O866,O866&gt;0),MinPoints,IF(L866&lt;N866,100,+INT((O866-$L866)/P866)+MinPoints))</f>
        <v>100</v>
      </c>
      <c r="N866" s="440">
        <f t="shared" si="7"/>
        <v>7</v>
      </c>
      <c r="O866" s="440">
        <f t="shared" si="8"/>
        <v>16</v>
      </c>
      <c r="P866" s="440">
        <f t="shared" si="9"/>
        <v>0.1</v>
      </c>
      <c r="Q866">
        <f t="array" ref="Q866">IF(I866&gt;0,INDEX(DB,I866,9),EventIndex)</f>
        <v>6</v>
      </c>
      <c r="S866" s="442">
        <f t="array" ref="S866">INDEX(MINVALUES,$Q866,$K$1)</f>
        <v>16</v>
      </c>
      <c r="T866">
        <f t="array" ref="T866">INDEX(INCVALUES,$Q866,$K$1)</f>
        <v>0.1</v>
      </c>
      <c r="V866">
        <f t="array" ref="V866">+J866+(4*(INDEX(MatchScoreTable,$Q866,20)-1))</f>
        <v>4</v>
      </c>
      <c r="W866">
        <f t="array" ref="W866">INDEX(INC_MINVALUES,$V866,$K$1)</f>
        <v>34</v>
      </c>
      <c r="X866" s="212">
        <f t="array" ref="X866">INDEX(INC_INCVALUES,$V866,$K$1)</f>
        <v>0.3</v>
      </c>
    </row>
    <row r="867" ht="15.75" customHeight="1">
      <c r="A867" s="435"/>
      <c r="B867" s="436"/>
      <c r="C867" s="95" t="str">
        <f t="array" ref="C867">IF(I867&gt;0,INDEX(DB,I867,8),"")</f>
        <v/>
      </c>
      <c r="D867" s="437">
        <f t="shared" si="1"/>
        <v>0</v>
      </c>
      <c r="F867" s="438">
        <f t="shared" si="2"/>
        <v>0</v>
      </c>
      <c r="G867" t="str">
        <f t="shared" si="3"/>
        <v/>
      </c>
      <c r="H867" t="b">
        <f t="shared" si="4"/>
        <v>0</v>
      </c>
      <c r="I867" s="439">
        <f>IF(OR(ISBLANK(A867),ISNA(MATCH(A867&amp;"",AthleteNumbers,0))),0,MATCH(A867&amp;"",AthleteNumbers,0))</f>
        <v>0</v>
      </c>
      <c r="J867" s="209">
        <f t="array" ref="J867">IF(I867&gt;0,INDEX(DB,$I867,6),0)</f>
        <v>0</v>
      </c>
      <c r="K867" s="440">
        <f t="shared" si="5"/>
        <v>0</v>
      </c>
      <c r="L867" s="440">
        <f t="shared" si="6"/>
        <v>0</v>
      </c>
      <c r="M867" s="441">
        <f>IF(AND(L867&gt;O867,O867&gt;0),MinPoints,IF(L867&lt;N867,100,+INT((O867-$L867)/P867)+MinPoints))</f>
        <v>100</v>
      </c>
      <c r="N867" s="440">
        <f t="shared" si="7"/>
        <v>7</v>
      </c>
      <c r="O867" s="440">
        <f t="shared" si="8"/>
        <v>16</v>
      </c>
      <c r="P867" s="440">
        <f t="shared" si="9"/>
        <v>0.1</v>
      </c>
      <c r="Q867">
        <f t="array" ref="Q867">IF(I867&gt;0,INDEX(DB,I867,9),EventIndex)</f>
        <v>6</v>
      </c>
      <c r="S867" s="442">
        <f t="array" ref="S867">INDEX(MINVALUES,$Q867,$K$1)</f>
        <v>16</v>
      </c>
      <c r="T867">
        <f t="array" ref="T867">INDEX(INCVALUES,$Q867,$K$1)</f>
        <v>0.1</v>
      </c>
      <c r="V867">
        <f t="array" ref="V867">+J867+(4*(INDEX(MatchScoreTable,$Q867,20)-1))</f>
        <v>4</v>
      </c>
      <c r="W867">
        <f t="array" ref="W867">INDEX(INC_MINVALUES,$V867,$K$1)</f>
        <v>34</v>
      </c>
      <c r="X867" s="212">
        <f t="array" ref="X867">INDEX(INC_INCVALUES,$V867,$K$1)</f>
        <v>0.3</v>
      </c>
    </row>
    <row r="868" ht="15.75" customHeight="1">
      <c r="A868" s="435"/>
      <c r="B868" s="436"/>
      <c r="C868" s="95" t="str">
        <f t="array" ref="C868">IF(I868&gt;0,INDEX(DB,I868,8),"")</f>
        <v/>
      </c>
      <c r="D868" s="437">
        <f t="shared" si="1"/>
        <v>0</v>
      </c>
      <c r="F868" s="438">
        <f t="shared" si="2"/>
        <v>0</v>
      </c>
      <c r="G868" t="str">
        <f t="shared" si="3"/>
        <v/>
      </c>
      <c r="H868" t="b">
        <f t="shared" si="4"/>
        <v>0</v>
      </c>
      <c r="I868" s="439">
        <f>IF(OR(ISBLANK(A868),ISNA(MATCH(A868&amp;"",AthleteNumbers,0))),0,MATCH(A868&amp;"",AthleteNumbers,0))</f>
        <v>0</v>
      </c>
      <c r="J868" s="209">
        <f t="array" ref="J868">IF(I868&gt;0,INDEX(DB,$I868,6),0)</f>
        <v>0</v>
      </c>
      <c r="K868" s="440">
        <f t="shared" si="5"/>
        <v>0</v>
      </c>
      <c r="L868" s="440">
        <f t="shared" si="6"/>
        <v>0</v>
      </c>
      <c r="M868" s="441">
        <f>IF(AND(L868&gt;O868,O868&gt;0),MinPoints,IF(L868&lt;N868,100,+INT((O868-$L868)/P868)+MinPoints))</f>
        <v>100</v>
      </c>
      <c r="N868" s="440">
        <f t="shared" si="7"/>
        <v>7</v>
      </c>
      <c r="O868" s="440">
        <f t="shared" si="8"/>
        <v>16</v>
      </c>
      <c r="P868" s="440">
        <f t="shared" si="9"/>
        <v>0.1</v>
      </c>
      <c r="Q868">
        <f t="array" ref="Q868">IF(I868&gt;0,INDEX(DB,I868,9),EventIndex)</f>
        <v>6</v>
      </c>
      <c r="S868" s="442">
        <f t="array" ref="S868">INDEX(MINVALUES,$Q868,$K$1)</f>
        <v>16</v>
      </c>
      <c r="T868">
        <f t="array" ref="T868">INDEX(INCVALUES,$Q868,$K$1)</f>
        <v>0.1</v>
      </c>
      <c r="V868">
        <f t="array" ref="V868">+J868+(4*(INDEX(MatchScoreTable,$Q868,20)-1))</f>
        <v>4</v>
      </c>
      <c r="W868">
        <f t="array" ref="W868">INDEX(INC_MINVALUES,$V868,$K$1)</f>
        <v>34</v>
      </c>
      <c r="X868" s="212">
        <f t="array" ref="X868">INDEX(INC_INCVALUES,$V868,$K$1)</f>
        <v>0.3</v>
      </c>
    </row>
    <row r="869" ht="15.75" customHeight="1">
      <c r="A869" s="435"/>
      <c r="B869" s="436"/>
      <c r="C869" s="95" t="str">
        <f t="array" ref="C869">IF(I869&gt;0,INDEX(DB,I869,8),"")</f>
        <v/>
      </c>
      <c r="D869" s="437">
        <f t="shared" si="1"/>
        <v>0</v>
      </c>
      <c r="F869" s="438">
        <f t="shared" si="2"/>
        <v>0</v>
      </c>
      <c r="G869" t="str">
        <f t="shared" si="3"/>
        <v/>
      </c>
      <c r="H869" t="b">
        <f t="shared" si="4"/>
        <v>0</v>
      </c>
      <c r="I869" s="439">
        <f>IF(OR(ISBLANK(A869),ISNA(MATCH(A869&amp;"",AthleteNumbers,0))),0,MATCH(A869&amp;"",AthleteNumbers,0))</f>
        <v>0</v>
      </c>
      <c r="J869" s="209">
        <f t="array" ref="J869">IF(I869&gt;0,INDEX(DB,$I869,6),0)</f>
        <v>0</v>
      </c>
      <c r="K869" s="440">
        <f t="shared" si="5"/>
        <v>0</v>
      </c>
      <c r="L869" s="440">
        <f t="shared" si="6"/>
        <v>0</v>
      </c>
      <c r="M869" s="441">
        <f>IF(AND(L869&gt;O869,O869&gt;0),MinPoints,IF(L869&lt;N869,100,+INT((O869-$L869)/P869)+MinPoints))</f>
        <v>100</v>
      </c>
      <c r="N869" s="440">
        <f t="shared" si="7"/>
        <v>7</v>
      </c>
      <c r="O869" s="440">
        <f t="shared" si="8"/>
        <v>16</v>
      </c>
      <c r="P869" s="440">
        <f t="shared" si="9"/>
        <v>0.1</v>
      </c>
      <c r="Q869">
        <f t="array" ref="Q869">IF(I869&gt;0,INDEX(DB,I869,9),EventIndex)</f>
        <v>6</v>
      </c>
      <c r="S869" s="442">
        <f t="array" ref="S869">INDEX(MINVALUES,$Q869,$K$1)</f>
        <v>16</v>
      </c>
      <c r="T869">
        <f t="array" ref="T869">INDEX(INCVALUES,$Q869,$K$1)</f>
        <v>0.1</v>
      </c>
      <c r="V869">
        <f t="array" ref="V869">+J869+(4*(INDEX(MatchScoreTable,$Q869,20)-1))</f>
        <v>4</v>
      </c>
      <c r="W869">
        <f t="array" ref="W869">INDEX(INC_MINVALUES,$V869,$K$1)</f>
        <v>34</v>
      </c>
      <c r="X869" s="212">
        <f t="array" ref="X869">INDEX(INC_INCVALUES,$V869,$K$1)</f>
        <v>0.3</v>
      </c>
    </row>
    <row r="870" ht="15.75" customHeight="1">
      <c r="A870" s="435"/>
      <c r="B870" s="436"/>
      <c r="C870" s="95" t="str">
        <f t="array" ref="C870">IF(I870&gt;0,INDEX(DB,I870,8),"")</f>
        <v/>
      </c>
      <c r="D870" s="437">
        <f t="shared" si="1"/>
        <v>0</v>
      </c>
      <c r="F870" s="438">
        <f t="shared" si="2"/>
        <v>0</v>
      </c>
      <c r="G870" t="str">
        <f t="shared" si="3"/>
        <v/>
      </c>
      <c r="H870" t="b">
        <f t="shared" si="4"/>
        <v>0</v>
      </c>
      <c r="I870" s="439">
        <f>IF(OR(ISBLANK(A870),ISNA(MATCH(A870&amp;"",AthleteNumbers,0))),0,MATCH(A870&amp;"",AthleteNumbers,0))</f>
        <v>0</v>
      </c>
      <c r="J870" s="209">
        <f t="array" ref="J870">IF(I870&gt;0,INDEX(DB,$I870,6),0)</f>
        <v>0</v>
      </c>
      <c r="K870" s="440">
        <f t="shared" si="5"/>
        <v>0</v>
      </c>
      <c r="L870" s="440">
        <f t="shared" si="6"/>
        <v>0</v>
      </c>
      <c r="M870" s="441">
        <f>IF(AND(L870&gt;O870,O870&gt;0),MinPoints,IF(L870&lt;N870,100,+INT((O870-$L870)/P870)+MinPoints))</f>
        <v>100</v>
      </c>
      <c r="N870" s="440">
        <f t="shared" si="7"/>
        <v>7</v>
      </c>
      <c r="O870" s="440">
        <f t="shared" si="8"/>
        <v>16</v>
      </c>
      <c r="P870" s="440">
        <f t="shared" si="9"/>
        <v>0.1</v>
      </c>
      <c r="Q870">
        <f t="array" ref="Q870">IF(I870&gt;0,INDEX(DB,I870,9),EventIndex)</f>
        <v>6</v>
      </c>
      <c r="S870" s="442">
        <f t="array" ref="S870">INDEX(MINVALUES,$Q870,$K$1)</f>
        <v>16</v>
      </c>
      <c r="T870">
        <f t="array" ref="T870">INDEX(INCVALUES,$Q870,$K$1)</f>
        <v>0.1</v>
      </c>
      <c r="V870">
        <f t="array" ref="V870">+J870+(4*(INDEX(MatchScoreTable,$Q870,20)-1))</f>
        <v>4</v>
      </c>
      <c r="W870">
        <f t="array" ref="W870">INDEX(INC_MINVALUES,$V870,$K$1)</f>
        <v>34</v>
      </c>
      <c r="X870" s="212">
        <f t="array" ref="X870">INDEX(INC_INCVALUES,$V870,$K$1)</f>
        <v>0.3</v>
      </c>
    </row>
    <row r="871" ht="15.75" customHeight="1">
      <c r="A871" s="435"/>
      <c r="B871" s="436"/>
      <c r="C871" s="95" t="str">
        <f t="array" ref="C871">IF(I871&gt;0,INDEX(DB,I871,8),"")</f>
        <v/>
      </c>
      <c r="D871" s="437">
        <f t="shared" si="1"/>
        <v>0</v>
      </c>
      <c r="F871" s="438">
        <f t="shared" si="2"/>
        <v>0</v>
      </c>
      <c r="G871" t="str">
        <f t="shared" si="3"/>
        <v/>
      </c>
      <c r="H871" t="b">
        <f t="shared" si="4"/>
        <v>0</v>
      </c>
      <c r="I871" s="439">
        <f>IF(OR(ISBLANK(A871),ISNA(MATCH(A871&amp;"",AthleteNumbers,0))),0,MATCH(A871&amp;"",AthleteNumbers,0))</f>
        <v>0</v>
      </c>
      <c r="J871" s="209">
        <f t="array" ref="J871">IF(I871&gt;0,INDEX(DB,$I871,6),0)</f>
        <v>0</v>
      </c>
      <c r="K871" s="440">
        <f t="shared" si="5"/>
        <v>0</v>
      </c>
      <c r="L871" s="440">
        <f t="shared" si="6"/>
        <v>0</v>
      </c>
      <c r="M871" s="441">
        <f>IF(AND(L871&gt;O871,O871&gt;0),MinPoints,IF(L871&lt;N871,100,+INT((O871-$L871)/P871)+MinPoints))</f>
        <v>100</v>
      </c>
      <c r="N871" s="440">
        <f t="shared" si="7"/>
        <v>7</v>
      </c>
      <c r="O871" s="440">
        <f t="shared" si="8"/>
        <v>16</v>
      </c>
      <c r="P871" s="440">
        <f t="shared" si="9"/>
        <v>0.1</v>
      </c>
      <c r="Q871">
        <f t="array" ref="Q871">IF(I871&gt;0,INDEX(DB,I871,9),EventIndex)</f>
        <v>6</v>
      </c>
      <c r="S871" s="442">
        <f t="array" ref="S871">INDEX(MINVALUES,$Q871,$K$1)</f>
        <v>16</v>
      </c>
      <c r="T871">
        <f t="array" ref="T871">INDEX(INCVALUES,$Q871,$K$1)</f>
        <v>0.1</v>
      </c>
      <c r="V871">
        <f t="array" ref="V871">+J871+(4*(INDEX(MatchScoreTable,$Q871,20)-1))</f>
        <v>4</v>
      </c>
      <c r="W871">
        <f t="array" ref="W871">INDEX(INC_MINVALUES,$V871,$K$1)</f>
        <v>34</v>
      </c>
      <c r="X871" s="212">
        <f t="array" ref="X871">INDEX(INC_INCVALUES,$V871,$K$1)</f>
        <v>0.3</v>
      </c>
    </row>
    <row r="872" ht="15.75" customHeight="1">
      <c r="A872" s="435"/>
      <c r="B872" s="436"/>
      <c r="C872" s="95" t="str">
        <f t="array" ref="C872">IF(I872&gt;0,INDEX(DB,I872,8),"")</f>
        <v/>
      </c>
      <c r="D872" s="437">
        <f t="shared" si="1"/>
        <v>0</v>
      </c>
      <c r="F872" s="438">
        <f t="shared" si="2"/>
        <v>0</v>
      </c>
      <c r="G872" t="str">
        <f t="shared" si="3"/>
        <v/>
      </c>
      <c r="H872" t="b">
        <f t="shared" si="4"/>
        <v>0</v>
      </c>
      <c r="I872" s="439">
        <f>IF(OR(ISBLANK(A872),ISNA(MATCH(A872&amp;"",AthleteNumbers,0))),0,MATCH(A872&amp;"",AthleteNumbers,0))</f>
        <v>0</v>
      </c>
      <c r="J872" s="209">
        <f t="array" ref="J872">IF(I872&gt;0,INDEX(DB,$I872,6),0)</f>
        <v>0</v>
      </c>
      <c r="K872" s="440">
        <f t="shared" si="5"/>
        <v>0</v>
      </c>
      <c r="L872" s="440">
        <f t="shared" si="6"/>
        <v>0</v>
      </c>
      <c r="M872" s="441">
        <f>IF(AND(L872&gt;O872,O872&gt;0),MinPoints,IF(L872&lt;N872,100,+INT((O872-$L872)/P872)+MinPoints))</f>
        <v>100</v>
      </c>
      <c r="N872" s="440">
        <f t="shared" si="7"/>
        <v>7</v>
      </c>
      <c r="O872" s="440">
        <f t="shared" si="8"/>
        <v>16</v>
      </c>
      <c r="P872" s="440">
        <f t="shared" si="9"/>
        <v>0.1</v>
      </c>
      <c r="Q872">
        <f t="array" ref="Q872">IF(I872&gt;0,INDEX(DB,I872,9),EventIndex)</f>
        <v>6</v>
      </c>
      <c r="S872" s="442">
        <f t="array" ref="S872">INDEX(MINVALUES,$Q872,$K$1)</f>
        <v>16</v>
      </c>
      <c r="T872">
        <f t="array" ref="T872">INDEX(INCVALUES,$Q872,$K$1)</f>
        <v>0.1</v>
      </c>
      <c r="V872">
        <f t="array" ref="V872">+J872+(4*(INDEX(MatchScoreTable,$Q872,20)-1))</f>
        <v>4</v>
      </c>
      <c r="W872">
        <f t="array" ref="W872">INDEX(INC_MINVALUES,$V872,$K$1)</f>
        <v>34</v>
      </c>
      <c r="X872" s="212">
        <f t="array" ref="X872">INDEX(INC_INCVALUES,$V872,$K$1)</f>
        <v>0.3</v>
      </c>
    </row>
    <row r="873" ht="15.75" customHeight="1">
      <c r="A873" s="435"/>
      <c r="B873" s="436"/>
      <c r="C873" s="95" t="str">
        <f t="array" ref="C873">IF(I873&gt;0,INDEX(DB,I873,8),"")</f>
        <v/>
      </c>
      <c r="D873" s="437">
        <f t="shared" si="1"/>
        <v>0</v>
      </c>
      <c r="F873" s="438">
        <f t="shared" si="2"/>
        <v>0</v>
      </c>
      <c r="G873" t="str">
        <f t="shared" si="3"/>
        <v/>
      </c>
      <c r="H873" t="b">
        <f t="shared" si="4"/>
        <v>0</v>
      </c>
      <c r="I873" s="439">
        <f>IF(OR(ISBLANK(A873),ISNA(MATCH(A873&amp;"",AthleteNumbers,0))),0,MATCH(A873&amp;"",AthleteNumbers,0))</f>
        <v>0</v>
      </c>
      <c r="J873" s="209">
        <f t="array" ref="J873">IF(I873&gt;0,INDEX(DB,$I873,6),0)</f>
        <v>0</v>
      </c>
      <c r="K873" s="440">
        <f t="shared" si="5"/>
        <v>0</v>
      </c>
      <c r="L873" s="440">
        <f t="shared" si="6"/>
        <v>0</v>
      </c>
      <c r="M873" s="441">
        <f>IF(AND(L873&gt;O873,O873&gt;0),MinPoints,IF(L873&lt;N873,100,+INT((O873-$L873)/P873)+MinPoints))</f>
        <v>100</v>
      </c>
      <c r="N873" s="440">
        <f t="shared" si="7"/>
        <v>7</v>
      </c>
      <c r="O873" s="440">
        <f t="shared" si="8"/>
        <v>16</v>
      </c>
      <c r="P873" s="440">
        <f t="shared" si="9"/>
        <v>0.1</v>
      </c>
      <c r="Q873">
        <f t="array" ref="Q873">IF(I873&gt;0,INDEX(DB,I873,9),EventIndex)</f>
        <v>6</v>
      </c>
      <c r="S873" s="442">
        <f t="array" ref="S873">INDEX(MINVALUES,$Q873,$K$1)</f>
        <v>16</v>
      </c>
      <c r="T873">
        <f t="array" ref="T873">INDEX(INCVALUES,$Q873,$K$1)</f>
        <v>0.1</v>
      </c>
      <c r="V873">
        <f t="array" ref="V873">+J873+(4*(INDEX(MatchScoreTable,$Q873,20)-1))</f>
        <v>4</v>
      </c>
      <c r="W873">
        <f t="array" ref="W873">INDEX(INC_MINVALUES,$V873,$K$1)</f>
        <v>34</v>
      </c>
      <c r="X873" s="212">
        <f t="array" ref="X873">INDEX(INC_INCVALUES,$V873,$K$1)</f>
        <v>0.3</v>
      </c>
    </row>
    <row r="874" ht="15.75" customHeight="1">
      <c r="A874" s="435"/>
      <c r="B874" s="436"/>
      <c r="C874" s="95" t="str">
        <f t="array" ref="C874">IF(I874&gt;0,INDEX(DB,I874,8),"")</f>
        <v/>
      </c>
      <c r="D874" s="437">
        <f t="shared" si="1"/>
        <v>0</v>
      </c>
      <c r="F874" s="438">
        <f t="shared" si="2"/>
        <v>0</v>
      </c>
      <c r="G874" t="str">
        <f t="shared" si="3"/>
        <v/>
      </c>
      <c r="H874" t="b">
        <f t="shared" si="4"/>
        <v>0</v>
      </c>
      <c r="I874" s="439">
        <f>IF(OR(ISBLANK(A874),ISNA(MATCH(A874&amp;"",AthleteNumbers,0))),0,MATCH(A874&amp;"",AthleteNumbers,0))</f>
        <v>0</v>
      </c>
      <c r="J874" s="209">
        <f t="array" ref="J874">IF(I874&gt;0,INDEX(DB,$I874,6),0)</f>
        <v>0</v>
      </c>
      <c r="K874" s="440">
        <f t="shared" si="5"/>
        <v>0</v>
      </c>
      <c r="L874" s="440">
        <f t="shared" si="6"/>
        <v>0</v>
      </c>
      <c r="M874" s="441">
        <f>IF(AND(L874&gt;O874,O874&gt;0),MinPoints,IF(L874&lt;N874,100,+INT((O874-$L874)/P874)+MinPoints))</f>
        <v>100</v>
      </c>
      <c r="N874" s="440">
        <f t="shared" si="7"/>
        <v>7</v>
      </c>
      <c r="O874" s="440">
        <f t="shared" si="8"/>
        <v>16</v>
      </c>
      <c r="P874" s="440">
        <f t="shared" si="9"/>
        <v>0.1</v>
      </c>
      <c r="Q874">
        <f t="array" ref="Q874">IF(I874&gt;0,INDEX(DB,I874,9),EventIndex)</f>
        <v>6</v>
      </c>
      <c r="S874" s="442">
        <f t="array" ref="S874">INDEX(MINVALUES,$Q874,$K$1)</f>
        <v>16</v>
      </c>
      <c r="T874">
        <f t="array" ref="T874">INDEX(INCVALUES,$Q874,$K$1)</f>
        <v>0.1</v>
      </c>
      <c r="V874">
        <f t="array" ref="V874">+J874+(4*(INDEX(MatchScoreTable,$Q874,20)-1))</f>
        <v>4</v>
      </c>
      <c r="W874">
        <f t="array" ref="W874">INDEX(INC_MINVALUES,$V874,$K$1)</f>
        <v>34</v>
      </c>
      <c r="X874" s="212">
        <f t="array" ref="X874">INDEX(INC_INCVALUES,$V874,$K$1)</f>
        <v>0.3</v>
      </c>
    </row>
    <row r="875" ht="15.75" customHeight="1">
      <c r="A875" s="435"/>
      <c r="B875" s="436"/>
      <c r="C875" s="95" t="str">
        <f t="array" ref="C875">IF(I875&gt;0,INDEX(DB,I875,8),"")</f>
        <v/>
      </c>
      <c r="D875" s="437">
        <f t="shared" si="1"/>
        <v>0</v>
      </c>
      <c r="F875" s="438">
        <f t="shared" si="2"/>
        <v>0</v>
      </c>
      <c r="G875" t="str">
        <f t="shared" si="3"/>
        <v/>
      </c>
      <c r="H875" t="b">
        <f t="shared" si="4"/>
        <v>0</v>
      </c>
      <c r="I875" s="439">
        <f>IF(OR(ISBLANK(A875),ISNA(MATCH(A875&amp;"",AthleteNumbers,0))),0,MATCH(A875&amp;"",AthleteNumbers,0))</f>
        <v>0</v>
      </c>
      <c r="J875" s="209">
        <f t="array" ref="J875">IF(I875&gt;0,INDEX(DB,$I875,6),0)</f>
        <v>0</v>
      </c>
      <c r="K875" s="440">
        <f t="shared" si="5"/>
        <v>0</v>
      </c>
      <c r="L875" s="440">
        <f t="shared" si="6"/>
        <v>0</v>
      </c>
      <c r="M875" s="441">
        <f>IF(AND(L875&gt;O875,O875&gt;0),MinPoints,IF(L875&lt;N875,100,+INT((O875-$L875)/P875)+MinPoints))</f>
        <v>100</v>
      </c>
      <c r="N875" s="440">
        <f t="shared" si="7"/>
        <v>7</v>
      </c>
      <c r="O875" s="440">
        <f t="shared" si="8"/>
        <v>16</v>
      </c>
      <c r="P875" s="440">
        <f t="shared" si="9"/>
        <v>0.1</v>
      </c>
      <c r="Q875">
        <f t="array" ref="Q875">IF(I875&gt;0,INDEX(DB,I875,9),EventIndex)</f>
        <v>6</v>
      </c>
      <c r="S875" s="442">
        <f t="array" ref="S875">INDEX(MINVALUES,$Q875,$K$1)</f>
        <v>16</v>
      </c>
      <c r="T875">
        <f t="array" ref="T875">INDEX(INCVALUES,$Q875,$K$1)</f>
        <v>0.1</v>
      </c>
      <c r="V875">
        <f t="array" ref="V875">+J875+(4*(INDEX(MatchScoreTable,$Q875,20)-1))</f>
        <v>4</v>
      </c>
      <c r="W875">
        <f t="array" ref="W875">INDEX(INC_MINVALUES,$V875,$K$1)</f>
        <v>34</v>
      </c>
      <c r="X875" s="212">
        <f t="array" ref="X875">INDEX(INC_INCVALUES,$V875,$K$1)</f>
        <v>0.3</v>
      </c>
    </row>
    <row r="876" ht="15.75" customHeight="1">
      <c r="A876" s="435"/>
      <c r="B876" s="436"/>
      <c r="C876" s="95" t="str">
        <f t="array" ref="C876">IF(I876&gt;0,INDEX(DB,I876,8),"")</f>
        <v/>
      </c>
      <c r="D876" s="437">
        <f t="shared" si="1"/>
        <v>0</v>
      </c>
      <c r="F876" s="438">
        <f t="shared" si="2"/>
        <v>0</v>
      </c>
      <c r="G876" t="str">
        <f t="shared" si="3"/>
        <v/>
      </c>
      <c r="H876" t="b">
        <f t="shared" si="4"/>
        <v>0</v>
      </c>
      <c r="I876" s="439">
        <f>IF(OR(ISBLANK(A876),ISNA(MATCH(A876&amp;"",AthleteNumbers,0))),0,MATCH(A876&amp;"",AthleteNumbers,0))</f>
        <v>0</v>
      </c>
      <c r="J876" s="209">
        <f t="array" ref="J876">IF(I876&gt;0,INDEX(DB,$I876,6),0)</f>
        <v>0</v>
      </c>
      <c r="K876" s="440">
        <f t="shared" si="5"/>
        <v>0</v>
      </c>
      <c r="L876" s="440">
        <f t="shared" si="6"/>
        <v>0</v>
      </c>
      <c r="M876" s="441">
        <f>IF(AND(L876&gt;O876,O876&gt;0),MinPoints,IF(L876&lt;N876,100,+INT((O876-$L876)/P876)+MinPoints))</f>
        <v>100</v>
      </c>
      <c r="N876" s="440">
        <f t="shared" si="7"/>
        <v>7</v>
      </c>
      <c r="O876" s="440">
        <f t="shared" si="8"/>
        <v>16</v>
      </c>
      <c r="P876" s="440">
        <f t="shared" si="9"/>
        <v>0.1</v>
      </c>
      <c r="Q876">
        <f t="array" ref="Q876">IF(I876&gt;0,INDEX(DB,I876,9),EventIndex)</f>
        <v>6</v>
      </c>
      <c r="S876" s="442">
        <f t="array" ref="S876">INDEX(MINVALUES,$Q876,$K$1)</f>
        <v>16</v>
      </c>
      <c r="T876">
        <f t="array" ref="T876">INDEX(INCVALUES,$Q876,$K$1)</f>
        <v>0.1</v>
      </c>
      <c r="V876">
        <f t="array" ref="V876">+J876+(4*(INDEX(MatchScoreTable,$Q876,20)-1))</f>
        <v>4</v>
      </c>
      <c r="W876">
        <f t="array" ref="W876">INDEX(INC_MINVALUES,$V876,$K$1)</f>
        <v>34</v>
      </c>
      <c r="X876" s="212">
        <f t="array" ref="X876">INDEX(INC_INCVALUES,$V876,$K$1)</f>
        <v>0.3</v>
      </c>
    </row>
    <row r="877" ht="15.75" customHeight="1">
      <c r="A877" s="435"/>
      <c r="B877" s="436"/>
      <c r="C877" s="95" t="str">
        <f t="array" ref="C877">IF(I877&gt;0,INDEX(DB,I877,8),"")</f>
        <v/>
      </c>
      <c r="D877" s="437">
        <f t="shared" si="1"/>
        <v>0</v>
      </c>
      <c r="F877" s="438">
        <f t="shared" si="2"/>
        <v>0</v>
      </c>
      <c r="G877" t="str">
        <f t="shared" si="3"/>
        <v/>
      </c>
      <c r="H877" t="b">
        <f t="shared" si="4"/>
        <v>0</v>
      </c>
      <c r="I877" s="439">
        <f>IF(OR(ISBLANK(A877),ISNA(MATCH(A877&amp;"",AthleteNumbers,0))),0,MATCH(A877&amp;"",AthleteNumbers,0))</f>
        <v>0</v>
      </c>
      <c r="J877" s="209">
        <f t="array" ref="J877">IF(I877&gt;0,INDEX(DB,$I877,6),0)</f>
        <v>0</v>
      </c>
      <c r="K877" s="440">
        <f t="shared" si="5"/>
        <v>0</v>
      </c>
      <c r="L877" s="440">
        <f t="shared" si="6"/>
        <v>0</v>
      </c>
      <c r="M877" s="441">
        <f>IF(AND(L877&gt;O877,O877&gt;0),MinPoints,IF(L877&lt;N877,100,+INT((O877-$L877)/P877)+MinPoints))</f>
        <v>100</v>
      </c>
      <c r="N877" s="440">
        <f t="shared" si="7"/>
        <v>7</v>
      </c>
      <c r="O877" s="440">
        <f t="shared" si="8"/>
        <v>16</v>
      </c>
      <c r="P877" s="440">
        <f t="shared" si="9"/>
        <v>0.1</v>
      </c>
      <c r="Q877">
        <f t="array" ref="Q877">IF(I877&gt;0,INDEX(DB,I877,9),EventIndex)</f>
        <v>6</v>
      </c>
      <c r="S877" s="442">
        <f t="array" ref="S877">INDEX(MINVALUES,$Q877,$K$1)</f>
        <v>16</v>
      </c>
      <c r="T877">
        <f t="array" ref="T877">INDEX(INCVALUES,$Q877,$K$1)</f>
        <v>0.1</v>
      </c>
      <c r="V877">
        <f t="array" ref="V877">+J877+(4*(INDEX(MatchScoreTable,$Q877,20)-1))</f>
        <v>4</v>
      </c>
      <c r="W877">
        <f t="array" ref="W877">INDEX(INC_MINVALUES,$V877,$K$1)</f>
        <v>34</v>
      </c>
      <c r="X877" s="212">
        <f t="array" ref="X877">INDEX(INC_INCVALUES,$V877,$K$1)</f>
        <v>0.3</v>
      </c>
    </row>
    <row r="878" ht="15.75" customHeight="1">
      <c r="A878" s="435"/>
      <c r="B878" s="436"/>
      <c r="C878" s="95" t="str">
        <f t="array" ref="C878">IF(I878&gt;0,INDEX(DB,I878,8),"")</f>
        <v/>
      </c>
      <c r="D878" s="437">
        <f t="shared" si="1"/>
        <v>0</v>
      </c>
      <c r="F878" s="438">
        <f t="shared" si="2"/>
        <v>0</v>
      </c>
      <c r="G878" t="str">
        <f t="shared" si="3"/>
        <v/>
      </c>
      <c r="H878" t="b">
        <f t="shared" si="4"/>
        <v>0</v>
      </c>
      <c r="I878" s="439">
        <f>IF(OR(ISBLANK(A878),ISNA(MATCH(A878&amp;"",AthleteNumbers,0))),0,MATCH(A878&amp;"",AthleteNumbers,0))</f>
        <v>0</v>
      </c>
      <c r="J878" s="209">
        <f t="array" ref="J878">IF(I878&gt;0,INDEX(DB,$I878,6),0)</f>
        <v>0</v>
      </c>
      <c r="K878" s="440">
        <f t="shared" si="5"/>
        <v>0</v>
      </c>
      <c r="L878" s="440">
        <f t="shared" si="6"/>
        <v>0</v>
      </c>
      <c r="M878" s="441">
        <f>IF(AND(L878&gt;O878,O878&gt;0),MinPoints,IF(L878&lt;N878,100,+INT((O878-$L878)/P878)+MinPoints))</f>
        <v>100</v>
      </c>
      <c r="N878" s="440">
        <f t="shared" si="7"/>
        <v>7</v>
      </c>
      <c r="O878" s="440">
        <f t="shared" si="8"/>
        <v>16</v>
      </c>
      <c r="P878" s="440">
        <f t="shared" si="9"/>
        <v>0.1</v>
      </c>
      <c r="Q878">
        <f t="array" ref="Q878">IF(I878&gt;0,INDEX(DB,I878,9),EventIndex)</f>
        <v>6</v>
      </c>
      <c r="S878" s="442">
        <f t="array" ref="S878">INDEX(MINVALUES,$Q878,$K$1)</f>
        <v>16</v>
      </c>
      <c r="T878">
        <f t="array" ref="T878">INDEX(INCVALUES,$Q878,$K$1)</f>
        <v>0.1</v>
      </c>
      <c r="V878">
        <f t="array" ref="V878">+J878+(4*(INDEX(MatchScoreTable,$Q878,20)-1))</f>
        <v>4</v>
      </c>
      <c r="W878">
        <f t="array" ref="W878">INDEX(INC_MINVALUES,$V878,$K$1)</f>
        <v>34</v>
      </c>
      <c r="X878" s="212">
        <f t="array" ref="X878">INDEX(INC_INCVALUES,$V878,$K$1)</f>
        <v>0.3</v>
      </c>
    </row>
    <row r="879" ht="15.75" customHeight="1">
      <c r="A879" s="435"/>
      <c r="B879" s="436"/>
      <c r="C879" s="95" t="str">
        <f t="array" ref="C879">IF(I879&gt;0,INDEX(DB,I879,8),"")</f>
        <v/>
      </c>
      <c r="D879" s="437">
        <f t="shared" si="1"/>
        <v>0</v>
      </c>
      <c r="F879" s="438">
        <f t="shared" si="2"/>
        <v>0</v>
      </c>
      <c r="G879" t="str">
        <f t="shared" si="3"/>
        <v/>
      </c>
      <c r="H879" t="b">
        <f t="shared" si="4"/>
        <v>0</v>
      </c>
      <c r="I879" s="439">
        <f>IF(OR(ISBLANK(A879),ISNA(MATCH(A879&amp;"",AthleteNumbers,0))),0,MATCH(A879&amp;"",AthleteNumbers,0))</f>
        <v>0</v>
      </c>
      <c r="J879" s="209">
        <f t="array" ref="J879">IF(I879&gt;0,INDEX(DB,$I879,6),0)</f>
        <v>0</v>
      </c>
      <c r="K879" s="440">
        <f t="shared" si="5"/>
        <v>0</v>
      </c>
      <c r="L879" s="440">
        <f t="shared" si="6"/>
        <v>0</v>
      </c>
      <c r="M879" s="441">
        <f>IF(AND(L879&gt;O879,O879&gt;0),MinPoints,IF(L879&lt;N879,100,+INT((O879-$L879)/P879)+MinPoints))</f>
        <v>100</v>
      </c>
      <c r="N879" s="440">
        <f t="shared" si="7"/>
        <v>7</v>
      </c>
      <c r="O879" s="440">
        <f t="shared" si="8"/>
        <v>16</v>
      </c>
      <c r="P879" s="440">
        <f t="shared" si="9"/>
        <v>0.1</v>
      </c>
      <c r="Q879">
        <f t="array" ref="Q879">IF(I879&gt;0,INDEX(DB,I879,9),EventIndex)</f>
        <v>6</v>
      </c>
      <c r="S879" s="442">
        <f t="array" ref="S879">INDEX(MINVALUES,$Q879,$K$1)</f>
        <v>16</v>
      </c>
      <c r="T879">
        <f t="array" ref="T879">INDEX(INCVALUES,$Q879,$K$1)</f>
        <v>0.1</v>
      </c>
      <c r="V879">
        <f t="array" ref="V879">+J879+(4*(INDEX(MatchScoreTable,$Q879,20)-1))</f>
        <v>4</v>
      </c>
      <c r="W879">
        <f t="array" ref="W879">INDEX(INC_MINVALUES,$V879,$K$1)</f>
        <v>34</v>
      </c>
      <c r="X879" s="212">
        <f t="array" ref="X879">INDEX(INC_INCVALUES,$V879,$K$1)</f>
        <v>0.3</v>
      </c>
    </row>
    <row r="880" ht="15.75" customHeight="1">
      <c r="A880" s="435"/>
      <c r="B880" s="436"/>
      <c r="C880" s="95" t="str">
        <f t="array" ref="C880">IF(I880&gt;0,INDEX(DB,I880,8),"")</f>
        <v/>
      </c>
      <c r="D880" s="437">
        <f t="shared" si="1"/>
        <v>0</v>
      </c>
      <c r="F880" s="438">
        <f t="shared" si="2"/>
        <v>0</v>
      </c>
      <c r="G880" t="str">
        <f t="shared" si="3"/>
        <v/>
      </c>
      <c r="H880" t="b">
        <f t="shared" si="4"/>
        <v>0</v>
      </c>
      <c r="I880" s="439">
        <f>IF(OR(ISBLANK(A880),ISNA(MATCH(A880&amp;"",AthleteNumbers,0))),0,MATCH(A880&amp;"",AthleteNumbers,0))</f>
        <v>0</v>
      </c>
      <c r="J880" s="209">
        <f t="array" ref="J880">IF(I880&gt;0,INDEX(DB,$I880,6),0)</f>
        <v>0</v>
      </c>
      <c r="K880" s="440">
        <f t="shared" si="5"/>
        <v>0</v>
      </c>
      <c r="L880" s="440">
        <f t="shared" si="6"/>
        <v>0</v>
      </c>
      <c r="M880" s="441">
        <f>IF(AND(L880&gt;O880,O880&gt;0),MinPoints,IF(L880&lt;N880,100,+INT((O880-$L880)/P880)+MinPoints))</f>
        <v>100</v>
      </c>
      <c r="N880" s="440">
        <f t="shared" si="7"/>
        <v>7</v>
      </c>
      <c r="O880" s="440">
        <f t="shared" si="8"/>
        <v>16</v>
      </c>
      <c r="P880" s="440">
        <f t="shared" si="9"/>
        <v>0.1</v>
      </c>
      <c r="Q880">
        <f t="array" ref="Q880">IF(I880&gt;0,INDEX(DB,I880,9),EventIndex)</f>
        <v>6</v>
      </c>
      <c r="S880" s="442">
        <f t="array" ref="S880">INDEX(MINVALUES,$Q880,$K$1)</f>
        <v>16</v>
      </c>
      <c r="T880">
        <f t="array" ref="T880">INDEX(INCVALUES,$Q880,$K$1)</f>
        <v>0.1</v>
      </c>
      <c r="V880">
        <f t="array" ref="V880">+J880+(4*(INDEX(MatchScoreTable,$Q880,20)-1))</f>
        <v>4</v>
      </c>
      <c r="W880">
        <f t="array" ref="W880">INDEX(INC_MINVALUES,$V880,$K$1)</f>
        <v>34</v>
      </c>
      <c r="X880" s="212">
        <f t="array" ref="X880">INDEX(INC_INCVALUES,$V880,$K$1)</f>
        <v>0.3</v>
      </c>
    </row>
    <row r="881" ht="15.75" customHeight="1">
      <c r="A881" s="435"/>
      <c r="B881" s="436"/>
      <c r="C881" s="95" t="str">
        <f t="array" ref="C881">IF(I881&gt;0,INDEX(DB,I881,8),"")</f>
        <v/>
      </c>
      <c r="D881" s="437">
        <f t="shared" si="1"/>
        <v>0</v>
      </c>
      <c r="F881" s="438">
        <f t="shared" si="2"/>
        <v>0</v>
      </c>
      <c r="G881" t="str">
        <f t="shared" si="3"/>
        <v/>
      </c>
      <c r="H881" t="b">
        <f t="shared" si="4"/>
        <v>0</v>
      </c>
      <c r="I881" s="439">
        <f>IF(OR(ISBLANK(A881),ISNA(MATCH(A881&amp;"",AthleteNumbers,0))),0,MATCH(A881&amp;"",AthleteNumbers,0))</f>
        <v>0</v>
      </c>
      <c r="J881" s="209">
        <f t="array" ref="J881">IF(I881&gt;0,INDEX(DB,$I881,6),0)</f>
        <v>0</v>
      </c>
      <c r="K881" s="440">
        <f t="shared" si="5"/>
        <v>0</v>
      </c>
      <c r="L881" s="440">
        <f t="shared" si="6"/>
        <v>0</v>
      </c>
      <c r="M881" s="441">
        <f>IF(AND(L881&gt;O881,O881&gt;0),MinPoints,IF(L881&lt;N881,100,+INT((O881-$L881)/P881)+MinPoints))</f>
        <v>100</v>
      </c>
      <c r="N881" s="440">
        <f t="shared" si="7"/>
        <v>7</v>
      </c>
      <c r="O881" s="440">
        <f t="shared" si="8"/>
        <v>16</v>
      </c>
      <c r="P881" s="440">
        <f t="shared" si="9"/>
        <v>0.1</v>
      </c>
      <c r="Q881">
        <f t="array" ref="Q881">IF(I881&gt;0,INDEX(DB,I881,9),EventIndex)</f>
        <v>6</v>
      </c>
      <c r="S881" s="442">
        <f t="array" ref="S881">INDEX(MINVALUES,$Q881,$K$1)</f>
        <v>16</v>
      </c>
      <c r="T881">
        <f t="array" ref="T881">INDEX(INCVALUES,$Q881,$K$1)</f>
        <v>0.1</v>
      </c>
      <c r="V881">
        <f t="array" ref="V881">+J881+(4*(INDEX(MatchScoreTable,$Q881,20)-1))</f>
        <v>4</v>
      </c>
      <c r="W881">
        <f t="array" ref="W881">INDEX(INC_MINVALUES,$V881,$K$1)</f>
        <v>34</v>
      </c>
      <c r="X881" s="212">
        <f t="array" ref="X881">INDEX(INC_INCVALUES,$V881,$K$1)</f>
        <v>0.3</v>
      </c>
    </row>
    <row r="882" ht="15.75" customHeight="1">
      <c r="A882" s="435"/>
      <c r="B882" s="436"/>
      <c r="C882" s="95" t="str">
        <f t="array" ref="C882">IF(I882&gt;0,INDEX(DB,I882,8),"")</f>
        <v/>
      </c>
      <c r="D882" s="437">
        <f t="shared" si="1"/>
        <v>0</v>
      </c>
      <c r="F882" s="438">
        <f t="shared" si="2"/>
        <v>0</v>
      </c>
      <c r="G882" t="str">
        <f t="shared" si="3"/>
        <v/>
      </c>
      <c r="H882" t="b">
        <f t="shared" si="4"/>
        <v>0</v>
      </c>
      <c r="I882" s="439">
        <f>IF(OR(ISBLANK(A882),ISNA(MATCH(A882&amp;"",AthleteNumbers,0))),0,MATCH(A882&amp;"",AthleteNumbers,0))</f>
        <v>0</v>
      </c>
      <c r="J882" s="209">
        <f t="array" ref="J882">IF(I882&gt;0,INDEX(DB,$I882,6),0)</f>
        <v>0</v>
      </c>
      <c r="K882" s="440">
        <f t="shared" si="5"/>
        <v>0</v>
      </c>
      <c r="L882" s="440">
        <f t="shared" si="6"/>
        <v>0</v>
      </c>
      <c r="M882" s="441">
        <f>IF(AND(L882&gt;O882,O882&gt;0),MinPoints,IF(L882&lt;N882,100,+INT((O882-$L882)/P882)+MinPoints))</f>
        <v>100</v>
      </c>
      <c r="N882" s="440">
        <f t="shared" si="7"/>
        <v>7</v>
      </c>
      <c r="O882" s="440">
        <f t="shared" si="8"/>
        <v>16</v>
      </c>
      <c r="P882" s="440">
        <f t="shared" si="9"/>
        <v>0.1</v>
      </c>
      <c r="Q882">
        <f t="array" ref="Q882">IF(I882&gt;0,INDEX(DB,I882,9),EventIndex)</f>
        <v>6</v>
      </c>
      <c r="S882" s="442">
        <f t="array" ref="S882">INDEX(MINVALUES,$Q882,$K$1)</f>
        <v>16</v>
      </c>
      <c r="T882">
        <f t="array" ref="T882">INDEX(INCVALUES,$Q882,$K$1)</f>
        <v>0.1</v>
      </c>
      <c r="V882">
        <f t="array" ref="V882">+J882+(4*(INDEX(MatchScoreTable,$Q882,20)-1))</f>
        <v>4</v>
      </c>
      <c r="W882">
        <f t="array" ref="W882">INDEX(INC_MINVALUES,$V882,$K$1)</f>
        <v>34</v>
      </c>
      <c r="X882" s="212">
        <f t="array" ref="X882">INDEX(INC_INCVALUES,$V882,$K$1)</f>
        <v>0.3</v>
      </c>
    </row>
    <row r="883" ht="15.75" customHeight="1">
      <c r="A883" s="435"/>
      <c r="B883" s="436"/>
      <c r="C883" s="95" t="str">
        <f t="array" ref="C883">IF(I883&gt;0,INDEX(DB,I883,8),"")</f>
        <v/>
      </c>
      <c r="D883" s="437">
        <f t="shared" si="1"/>
        <v>0</v>
      </c>
      <c r="F883" s="438">
        <f t="shared" si="2"/>
        <v>0</v>
      </c>
      <c r="G883" t="str">
        <f t="shared" si="3"/>
        <v/>
      </c>
      <c r="H883" t="b">
        <f t="shared" si="4"/>
        <v>0</v>
      </c>
      <c r="I883" s="439">
        <f>IF(OR(ISBLANK(A883),ISNA(MATCH(A883&amp;"",AthleteNumbers,0))),0,MATCH(A883&amp;"",AthleteNumbers,0))</f>
        <v>0</v>
      </c>
      <c r="J883" s="209">
        <f t="array" ref="J883">IF(I883&gt;0,INDEX(DB,$I883,6),0)</f>
        <v>0</v>
      </c>
      <c r="K883" s="440">
        <f t="shared" si="5"/>
        <v>0</v>
      </c>
      <c r="L883" s="440">
        <f t="shared" si="6"/>
        <v>0</v>
      </c>
      <c r="M883" s="441">
        <f>IF(AND(L883&gt;O883,O883&gt;0),MinPoints,IF(L883&lt;N883,100,+INT((O883-$L883)/P883)+MinPoints))</f>
        <v>100</v>
      </c>
      <c r="N883" s="440">
        <f t="shared" si="7"/>
        <v>7</v>
      </c>
      <c r="O883" s="440">
        <f t="shared" si="8"/>
        <v>16</v>
      </c>
      <c r="P883" s="440">
        <f t="shared" si="9"/>
        <v>0.1</v>
      </c>
      <c r="Q883">
        <f t="array" ref="Q883">IF(I883&gt;0,INDEX(DB,I883,9),EventIndex)</f>
        <v>6</v>
      </c>
      <c r="S883" s="442">
        <f t="array" ref="S883">INDEX(MINVALUES,$Q883,$K$1)</f>
        <v>16</v>
      </c>
      <c r="T883">
        <f t="array" ref="T883">INDEX(INCVALUES,$Q883,$K$1)</f>
        <v>0.1</v>
      </c>
      <c r="V883">
        <f t="array" ref="V883">+J883+(4*(INDEX(MatchScoreTable,$Q883,20)-1))</f>
        <v>4</v>
      </c>
      <c r="W883">
        <f t="array" ref="W883">INDEX(INC_MINVALUES,$V883,$K$1)</f>
        <v>34</v>
      </c>
      <c r="X883" s="212">
        <f t="array" ref="X883">INDEX(INC_INCVALUES,$V883,$K$1)</f>
        <v>0.3</v>
      </c>
    </row>
    <row r="884" ht="15.75" customHeight="1">
      <c r="A884" s="435"/>
      <c r="B884" s="436"/>
      <c r="C884" s="95" t="str">
        <f t="array" ref="C884">IF(I884&gt;0,INDEX(DB,I884,8),"")</f>
        <v/>
      </c>
      <c r="D884" s="437">
        <f t="shared" si="1"/>
        <v>0</v>
      </c>
      <c r="F884" s="438">
        <f t="shared" si="2"/>
        <v>0</v>
      </c>
      <c r="G884" t="str">
        <f t="shared" si="3"/>
        <v/>
      </c>
      <c r="H884" t="b">
        <f t="shared" si="4"/>
        <v>0</v>
      </c>
      <c r="I884" s="439">
        <f>IF(OR(ISBLANK(A884),ISNA(MATCH(A884&amp;"",AthleteNumbers,0))),0,MATCH(A884&amp;"",AthleteNumbers,0))</f>
        <v>0</v>
      </c>
      <c r="J884" s="209">
        <f t="array" ref="J884">IF(I884&gt;0,INDEX(DB,$I884,6),0)</f>
        <v>0</v>
      </c>
      <c r="K884" s="440">
        <f t="shared" si="5"/>
        <v>0</v>
      </c>
      <c r="L884" s="440">
        <f t="shared" si="6"/>
        <v>0</v>
      </c>
      <c r="M884" s="441">
        <f>IF(AND(L884&gt;O884,O884&gt;0),MinPoints,IF(L884&lt;N884,100,+INT((O884-$L884)/P884)+MinPoints))</f>
        <v>100</v>
      </c>
      <c r="N884" s="440">
        <f t="shared" si="7"/>
        <v>7</v>
      </c>
      <c r="O884" s="440">
        <f t="shared" si="8"/>
        <v>16</v>
      </c>
      <c r="P884" s="440">
        <f t="shared" si="9"/>
        <v>0.1</v>
      </c>
      <c r="Q884">
        <f t="array" ref="Q884">IF(I884&gt;0,INDEX(DB,I884,9),EventIndex)</f>
        <v>6</v>
      </c>
      <c r="S884" s="442">
        <f t="array" ref="S884">INDEX(MINVALUES,$Q884,$K$1)</f>
        <v>16</v>
      </c>
      <c r="T884">
        <f t="array" ref="T884">INDEX(INCVALUES,$Q884,$K$1)</f>
        <v>0.1</v>
      </c>
      <c r="V884">
        <f t="array" ref="V884">+J884+(4*(INDEX(MatchScoreTable,$Q884,20)-1))</f>
        <v>4</v>
      </c>
      <c r="W884">
        <f t="array" ref="W884">INDEX(INC_MINVALUES,$V884,$K$1)</f>
        <v>34</v>
      </c>
      <c r="X884" s="212">
        <f t="array" ref="X884">INDEX(INC_INCVALUES,$V884,$K$1)</f>
        <v>0.3</v>
      </c>
    </row>
    <row r="885" ht="15.75" customHeight="1">
      <c r="A885" s="435"/>
      <c r="B885" s="436"/>
      <c r="C885" s="95" t="str">
        <f t="array" ref="C885">IF(I885&gt;0,INDEX(DB,I885,8),"")</f>
        <v/>
      </c>
      <c r="D885" s="437">
        <f t="shared" si="1"/>
        <v>0</v>
      </c>
      <c r="F885" s="438">
        <f t="shared" si="2"/>
        <v>0</v>
      </c>
      <c r="G885" t="str">
        <f t="shared" si="3"/>
        <v/>
      </c>
      <c r="H885" t="b">
        <f t="shared" si="4"/>
        <v>0</v>
      </c>
      <c r="I885" s="439">
        <f>IF(OR(ISBLANK(A885),ISNA(MATCH(A885&amp;"",AthleteNumbers,0))),0,MATCH(A885&amp;"",AthleteNumbers,0))</f>
        <v>0</v>
      </c>
      <c r="J885" s="209">
        <f t="array" ref="J885">IF(I885&gt;0,INDEX(DB,$I885,6),0)</f>
        <v>0</v>
      </c>
      <c r="K885" s="440">
        <f t="shared" si="5"/>
        <v>0</v>
      </c>
      <c r="L885" s="440">
        <f t="shared" si="6"/>
        <v>0</v>
      </c>
      <c r="M885" s="441">
        <f>IF(AND(L885&gt;O885,O885&gt;0),MinPoints,IF(L885&lt;N885,100,+INT((O885-$L885)/P885)+MinPoints))</f>
        <v>100</v>
      </c>
      <c r="N885" s="440">
        <f t="shared" si="7"/>
        <v>7</v>
      </c>
      <c r="O885" s="440">
        <f t="shared" si="8"/>
        <v>16</v>
      </c>
      <c r="P885" s="440">
        <f t="shared" si="9"/>
        <v>0.1</v>
      </c>
      <c r="Q885">
        <f t="array" ref="Q885">IF(I885&gt;0,INDEX(DB,I885,9),EventIndex)</f>
        <v>6</v>
      </c>
      <c r="S885" s="442">
        <f t="array" ref="S885">INDEX(MINVALUES,$Q885,$K$1)</f>
        <v>16</v>
      </c>
      <c r="T885">
        <f t="array" ref="T885">INDEX(INCVALUES,$Q885,$K$1)</f>
        <v>0.1</v>
      </c>
      <c r="V885">
        <f t="array" ref="V885">+J885+(4*(INDEX(MatchScoreTable,$Q885,20)-1))</f>
        <v>4</v>
      </c>
      <c r="W885">
        <f t="array" ref="W885">INDEX(INC_MINVALUES,$V885,$K$1)</f>
        <v>34</v>
      </c>
      <c r="X885" s="212">
        <f t="array" ref="X885">INDEX(INC_INCVALUES,$V885,$K$1)</f>
        <v>0.3</v>
      </c>
    </row>
    <row r="886" ht="15.75" customHeight="1">
      <c r="A886" s="435"/>
      <c r="B886" s="436"/>
      <c r="C886" s="95" t="str">
        <f t="array" ref="C886">IF(I886&gt;0,INDEX(DB,I886,8),"")</f>
        <v/>
      </c>
      <c r="D886" s="437">
        <f t="shared" si="1"/>
        <v>0</v>
      </c>
      <c r="F886" s="438">
        <f t="shared" si="2"/>
        <v>0</v>
      </c>
      <c r="G886" t="str">
        <f t="shared" si="3"/>
        <v/>
      </c>
      <c r="H886" t="b">
        <f t="shared" si="4"/>
        <v>0</v>
      </c>
      <c r="I886" s="439">
        <f>IF(OR(ISBLANK(A886),ISNA(MATCH(A886&amp;"",AthleteNumbers,0))),0,MATCH(A886&amp;"",AthleteNumbers,0))</f>
        <v>0</v>
      </c>
      <c r="J886" s="209">
        <f t="array" ref="J886">IF(I886&gt;0,INDEX(DB,$I886,6),0)</f>
        <v>0</v>
      </c>
      <c r="K886" s="440">
        <f t="shared" si="5"/>
        <v>0</v>
      </c>
      <c r="L886" s="440">
        <f t="shared" si="6"/>
        <v>0</v>
      </c>
      <c r="M886" s="441">
        <f>IF(AND(L886&gt;O886,O886&gt;0),MinPoints,IF(L886&lt;N886,100,+INT((O886-$L886)/P886)+MinPoints))</f>
        <v>100</v>
      </c>
      <c r="N886" s="440">
        <f t="shared" si="7"/>
        <v>7</v>
      </c>
      <c r="O886" s="440">
        <f t="shared" si="8"/>
        <v>16</v>
      </c>
      <c r="P886" s="440">
        <f t="shared" si="9"/>
        <v>0.1</v>
      </c>
      <c r="Q886">
        <f t="array" ref="Q886">IF(I886&gt;0,INDEX(DB,I886,9),EventIndex)</f>
        <v>6</v>
      </c>
      <c r="S886" s="442">
        <f t="array" ref="S886">INDEX(MINVALUES,$Q886,$K$1)</f>
        <v>16</v>
      </c>
      <c r="T886">
        <f t="array" ref="T886">INDEX(INCVALUES,$Q886,$K$1)</f>
        <v>0.1</v>
      </c>
      <c r="V886">
        <f t="array" ref="V886">+J886+(4*(INDEX(MatchScoreTable,$Q886,20)-1))</f>
        <v>4</v>
      </c>
      <c r="W886">
        <f t="array" ref="W886">INDEX(INC_MINVALUES,$V886,$K$1)</f>
        <v>34</v>
      </c>
      <c r="X886" s="212">
        <f t="array" ref="X886">INDEX(INC_INCVALUES,$V886,$K$1)</f>
        <v>0.3</v>
      </c>
    </row>
    <row r="887" ht="15.75" customHeight="1">
      <c r="A887" s="435"/>
      <c r="B887" s="436"/>
      <c r="C887" s="95" t="str">
        <f t="array" ref="C887">IF(I887&gt;0,INDEX(DB,I887,8),"")</f>
        <v/>
      </c>
      <c r="D887" s="437">
        <f t="shared" si="1"/>
        <v>0</v>
      </c>
      <c r="F887" s="438">
        <f t="shared" si="2"/>
        <v>0</v>
      </c>
      <c r="G887" t="str">
        <f t="shared" si="3"/>
        <v/>
      </c>
      <c r="H887" t="b">
        <f t="shared" si="4"/>
        <v>0</v>
      </c>
      <c r="I887" s="439">
        <f>IF(OR(ISBLANK(A887),ISNA(MATCH(A887&amp;"",AthleteNumbers,0))),0,MATCH(A887&amp;"",AthleteNumbers,0))</f>
        <v>0</v>
      </c>
      <c r="J887" s="209">
        <f t="array" ref="J887">IF(I887&gt;0,INDEX(DB,$I887,6),0)</f>
        <v>0</v>
      </c>
      <c r="K887" s="440">
        <f t="shared" si="5"/>
        <v>0</v>
      </c>
      <c r="L887" s="440">
        <f t="shared" si="6"/>
        <v>0</v>
      </c>
      <c r="M887" s="441">
        <f>IF(AND(L887&gt;O887,O887&gt;0),MinPoints,IF(L887&lt;N887,100,+INT((O887-$L887)/P887)+MinPoints))</f>
        <v>100</v>
      </c>
      <c r="N887" s="440">
        <f t="shared" si="7"/>
        <v>7</v>
      </c>
      <c r="O887" s="440">
        <f t="shared" si="8"/>
        <v>16</v>
      </c>
      <c r="P887" s="440">
        <f t="shared" si="9"/>
        <v>0.1</v>
      </c>
      <c r="Q887">
        <f t="array" ref="Q887">IF(I887&gt;0,INDEX(DB,I887,9),EventIndex)</f>
        <v>6</v>
      </c>
      <c r="S887" s="442">
        <f t="array" ref="S887">INDEX(MINVALUES,$Q887,$K$1)</f>
        <v>16</v>
      </c>
      <c r="T887">
        <f t="array" ref="T887">INDEX(INCVALUES,$Q887,$K$1)</f>
        <v>0.1</v>
      </c>
      <c r="V887">
        <f t="array" ref="V887">+J887+(4*(INDEX(MatchScoreTable,$Q887,20)-1))</f>
        <v>4</v>
      </c>
      <c r="W887">
        <f t="array" ref="W887">INDEX(INC_MINVALUES,$V887,$K$1)</f>
        <v>34</v>
      </c>
      <c r="X887" s="212">
        <f t="array" ref="X887">INDEX(INC_INCVALUES,$V887,$K$1)</f>
        <v>0.3</v>
      </c>
    </row>
    <row r="888" ht="15.75" customHeight="1">
      <c r="A888" s="435"/>
      <c r="B888" s="436"/>
      <c r="C888" s="95" t="str">
        <f t="array" ref="C888">IF(I888&gt;0,INDEX(DB,I888,8),"")</f>
        <v/>
      </c>
      <c r="D888" s="437">
        <f t="shared" si="1"/>
        <v>0</v>
      </c>
      <c r="F888" s="438">
        <f t="shared" si="2"/>
        <v>0</v>
      </c>
      <c r="G888" t="str">
        <f t="shared" si="3"/>
        <v/>
      </c>
      <c r="H888" t="b">
        <f t="shared" si="4"/>
        <v>0</v>
      </c>
      <c r="I888" s="439">
        <f>IF(OR(ISBLANK(A888),ISNA(MATCH(A888&amp;"",AthleteNumbers,0))),0,MATCH(A888&amp;"",AthleteNumbers,0))</f>
        <v>0</v>
      </c>
      <c r="J888" s="209">
        <f t="array" ref="J888">IF(I888&gt;0,INDEX(DB,$I888,6),0)</f>
        <v>0</v>
      </c>
      <c r="K888" s="440">
        <f t="shared" si="5"/>
        <v>0</v>
      </c>
      <c r="L888" s="440">
        <f t="shared" si="6"/>
        <v>0</v>
      </c>
      <c r="M888" s="441">
        <f>IF(AND(L888&gt;O888,O888&gt;0),MinPoints,IF(L888&lt;N888,100,+INT((O888-$L888)/P888)+MinPoints))</f>
        <v>100</v>
      </c>
      <c r="N888" s="440">
        <f t="shared" si="7"/>
        <v>7</v>
      </c>
      <c r="O888" s="440">
        <f t="shared" si="8"/>
        <v>16</v>
      </c>
      <c r="P888" s="440">
        <f t="shared" si="9"/>
        <v>0.1</v>
      </c>
      <c r="Q888">
        <f t="array" ref="Q888">IF(I888&gt;0,INDEX(DB,I888,9),EventIndex)</f>
        <v>6</v>
      </c>
      <c r="S888" s="442">
        <f t="array" ref="S888">INDEX(MINVALUES,$Q888,$K$1)</f>
        <v>16</v>
      </c>
      <c r="T888">
        <f t="array" ref="T888">INDEX(INCVALUES,$Q888,$K$1)</f>
        <v>0.1</v>
      </c>
      <c r="V888">
        <f t="array" ref="V888">+J888+(4*(INDEX(MatchScoreTable,$Q888,20)-1))</f>
        <v>4</v>
      </c>
      <c r="W888">
        <f t="array" ref="W888">INDEX(INC_MINVALUES,$V888,$K$1)</f>
        <v>34</v>
      </c>
      <c r="X888" s="212">
        <f t="array" ref="X888">INDEX(INC_INCVALUES,$V888,$K$1)</f>
        <v>0.3</v>
      </c>
    </row>
    <row r="889" ht="15.75" customHeight="1">
      <c r="A889" s="435"/>
      <c r="B889" s="436"/>
      <c r="C889" s="95" t="str">
        <f t="array" ref="C889">IF(I889&gt;0,INDEX(DB,I889,8),"")</f>
        <v/>
      </c>
      <c r="D889" s="437">
        <f t="shared" si="1"/>
        <v>0</v>
      </c>
      <c r="F889" s="438">
        <f t="shared" si="2"/>
        <v>0</v>
      </c>
      <c r="G889" t="str">
        <f t="shared" si="3"/>
        <v/>
      </c>
      <c r="H889" t="b">
        <f t="shared" si="4"/>
        <v>0</v>
      </c>
      <c r="I889" s="439">
        <f>IF(OR(ISBLANK(A889),ISNA(MATCH(A889&amp;"",AthleteNumbers,0))),0,MATCH(A889&amp;"",AthleteNumbers,0))</f>
        <v>0</v>
      </c>
      <c r="J889" s="209">
        <f t="array" ref="J889">IF(I889&gt;0,INDEX(DB,$I889,6),0)</f>
        <v>0</v>
      </c>
      <c r="K889" s="440">
        <f t="shared" si="5"/>
        <v>0</v>
      </c>
      <c r="L889" s="440">
        <f t="shared" si="6"/>
        <v>0</v>
      </c>
      <c r="M889" s="441">
        <f>IF(AND(L889&gt;O889,O889&gt;0),MinPoints,IF(L889&lt;N889,100,+INT((O889-$L889)/P889)+MinPoints))</f>
        <v>100</v>
      </c>
      <c r="N889" s="440">
        <f t="shared" si="7"/>
        <v>7</v>
      </c>
      <c r="O889" s="440">
        <f t="shared" si="8"/>
        <v>16</v>
      </c>
      <c r="P889" s="440">
        <f t="shared" si="9"/>
        <v>0.1</v>
      </c>
      <c r="Q889">
        <f t="array" ref="Q889">IF(I889&gt;0,INDEX(DB,I889,9),EventIndex)</f>
        <v>6</v>
      </c>
      <c r="S889" s="442">
        <f t="array" ref="S889">INDEX(MINVALUES,$Q889,$K$1)</f>
        <v>16</v>
      </c>
      <c r="T889">
        <f t="array" ref="T889">INDEX(INCVALUES,$Q889,$K$1)</f>
        <v>0.1</v>
      </c>
      <c r="V889">
        <f t="array" ref="V889">+J889+(4*(INDEX(MatchScoreTable,$Q889,20)-1))</f>
        <v>4</v>
      </c>
      <c r="W889">
        <f t="array" ref="W889">INDEX(INC_MINVALUES,$V889,$K$1)</f>
        <v>34</v>
      </c>
      <c r="X889" s="212">
        <f t="array" ref="X889">INDEX(INC_INCVALUES,$V889,$K$1)</f>
        <v>0.3</v>
      </c>
    </row>
    <row r="890" ht="15.75" customHeight="1">
      <c r="A890" s="435"/>
      <c r="B890" s="436"/>
      <c r="C890" s="95" t="str">
        <f t="array" ref="C890">IF(I890&gt;0,INDEX(DB,I890,8),"")</f>
        <v/>
      </c>
      <c r="D890" s="437">
        <f t="shared" si="1"/>
        <v>0</v>
      </c>
      <c r="F890" s="438">
        <f t="shared" si="2"/>
        <v>0</v>
      </c>
      <c r="G890" t="str">
        <f t="shared" si="3"/>
        <v/>
      </c>
      <c r="H890" t="b">
        <f t="shared" si="4"/>
        <v>0</v>
      </c>
      <c r="I890" s="439">
        <f>IF(OR(ISBLANK(A890),ISNA(MATCH(A890&amp;"",AthleteNumbers,0))),0,MATCH(A890&amp;"",AthleteNumbers,0))</f>
        <v>0</v>
      </c>
      <c r="J890" s="209">
        <f t="array" ref="J890">IF(I890&gt;0,INDEX(DB,$I890,6),0)</f>
        <v>0</v>
      </c>
      <c r="K890" s="440">
        <f t="shared" si="5"/>
        <v>0</v>
      </c>
      <c r="L890" s="440">
        <f t="shared" si="6"/>
        <v>0</v>
      </c>
      <c r="M890" s="441">
        <f>IF(AND(L890&gt;O890,O890&gt;0),MinPoints,IF(L890&lt;N890,100,+INT((O890-$L890)/P890)+MinPoints))</f>
        <v>100</v>
      </c>
      <c r="N890" s="440">
        <f t="shared" si="7"/>
        <v>7</v>
      </c>
      <c r="O890" s="440">
        <f t="shared" si="8"/>
        <v>16</v>
      </c>
      <c r="P890" s="440">
        <f t="shared" si="9"/>
        <v>0.1</v>
      </c>
      <c r="Q890">
        <f t="array" ref="Q890">IF(I890&gt;0,INDEX(DB,I890,9),EventIndex)</f>
        <v>6</v>
      </c>
      <c r="S890" s="442">
        <f t="array" ref="S890">INDEX(MINVALUES,$Q890,$K$1)</f>
        <v>16</v>
      </c>
      <c r="T890">
        <f t="array" ref="T890">INDEX(INCVALUES,$Q890,$K$1)</f>
        <v>0.1</v>
      </c>
      <c r="V890">
        <f t="array" ref="V890">+J890+(4*(INDEX(MatchScoreTable,$Q890,20)-1))</f>
        <v>4</v>
      </c>
      <c r="W890">
        <f t="array" ref="W890">INDEX(INC_MINVALUES,$V890,$K$1)</f>
        <v>34</v>
      </c>
      <c r="X890" s="212">
        <f t="array" ref="X890">INDEX(INC_INCVALUES,$V890,$K$1)</f>
        <v>0.3</v>
      </c>
    </row>
    <row r="891" ht="15.75" customHeight="1">
      <c r="A891" s="435"/>
      <c r="B891" s="436"/>
      <c r="C891" s="95" t="str">
        <f t="array" ref="C891">IF(I891&gt;0,INDEX(DB,I891,8),"")</f>
        <v/>
      </c>
      <c r="D891" s="437">
        <f t="shared" si="1"/>
        <v>0</v>
      </c>
      <c r="F891" s="438">
        <f t="shared" si="2"/>
        <v>0</v>
      </c>
      <c r="G891" t="str">
        <f t="shared" si="3"/>
        <v/>
      </c>
      <c r="H891" t="b">
        <f t="shared" si="4"/>
        <v>0</v>
      </c>
      <c r="I891" s="439">
        <f>IF(OR(ISBLANK(A891),ISNA(MATCH(A891&amp;"",AthleteNumbers,0))),0,MATCH(A891&amp;"",AthleteNumbers,0))</f>
        <v>0</v>
      </c>
      <c r="J891" s="209">
        <f t="array" ref="J891">IF(I891&gt;0,INDEX(DB,$I891,6),0)</f>
        <v>0</v>
      </c>
      <c r="K891" s="440">
        <f t="shared" si="5"/>
        <v>0</v>
      </c>
      <c r="L891" s="440">
        <f t="shared" si="6"/>
        <v>0</v>
      </c>
      <c r="M891" s="441">
        <f>IF(AND(L891&gt;O891,O891&gt;0),MinPoints,IF(L891&lt;N891,100,+INT((O891-$L891)/P891)+MinPoints))</f>
        <v>100</v>
      </c>
      <c r="N891" s="440">
        <f t="shared" si="7"/>
        <v>7</v>
      </c>
      <c r="O891" s="440">
        <f t="shared" si="8"/>
        <v>16</v>
      </c>
      <c r="P891" s="440">
        <f t="shared" si="9"/>
        <v>0.1</v>
      </c>
      <c r="Q891">
        <f t="array" ref="Q891">IF(I891&gt;0,INDEX(DB,I891,9),EventIndex)</f>
        <v>6</v>
      </c>
      <c r="S891" s="442">
        <f t="array" ref="S891">INDEX(MINVALUES,$Q891,$K$1)</f>
        <v>16</v>
      </c>
      <c r="T891">
        <f t="array" ref="T891">INDEX(INCVALUES,$Q891,$K$1)</f>
        <v>0.1</v>
      </c>
      <c r="V891">
        <f t="array" ref="V891">+J891+(4*(INDEX(MatchScoreTable,$Q891,20)-1))</f>
        <v>4</v>
      </c>
      <c r="W891">
        <f t="array" ref="W891">INDEX(INC_MINVALUES,$V891,$K$1)</f>
        <v>34</v>
      </c>
      <c r="X891" s="212">
        <f t="array" ref="X891">INDEX(INC_INCVALUES,$V891,$K$1)</f>
        <v>0.3</v>
      </c>
    </row>
    <row r="892" ht="15.75" customHeight="1">
      <c r="A892" s="435"/>
      <c r="B892" s="436"/>
      <c r="C892" s="95" t="str">
        <f t="array" ref="C892">IF(I892&gt;0,INDEX(DB,I892,8),"")</f>
        <v/>
      </c>
      <c r="D892" s="437">
        <f t="shared" si="1"/>
        <v>0</v>
      </c>
      <c r="F892" s="438">
        <f t="shared" si="2"/>
        <v>0</v>
      </c>
      <c r="G892" t="str">
        <f t="shared" si="3"/>
        <v/>
      </c>
      <c r="H892" t="b">
        <f t="shared" si="4"/>
        <v>0</v>
      </c>
      <c r="I892" s="439">
        <f>IF(OR(ISBLANK(A892),ISNA(MATCH(A892&amp;"",AthleteNumbers,0))),0,MATCH(A892&amp;"",AthleteNumbers,0))</f>
        <v>0</v>
      </c>
      <c r="J892" s="209">
        <f t="array" ref="J892">IF(I892&gt;0,INDEX(DB,$I892,6),0)</f>
        <v>0</v>
      </c>
      <c r="K892" s="440">
        <f t="shared" si="5"/>
        <v>0</v>
      </c>
      <c r="L892" s="440">
        <f t="shared" si="6"/>
        <v>0</v>
      </c>
      <c r="M892" s="441">
        <f>IF(AND(L892&gt;O892,O892&gt;0),MinPoints,IF(L892&lt;N892,100,+INT((O892-$L892)/P892)+MinPoints))</f>
        <v>100</v>
      </c>
      <c r="N892" s="440">
        <f t="shared" si="7"/>
        <v>7</v>
      </c>
      <c r="O892" s="440">
        <f t="shared" si="8"/>
        <v>16</v>
      </c>
      <c r="P892" s="440">
        <f t="shared" si="9"/>
        <v>0.1</v>
      </c>
      <c r="Q892">
        <f t="array" ref="Q892">IF(I892&gt;0,INDEX(DB,I892,9),EventIndex)</f>
        <v>6</v>
      </c>
      <c r="S892" s="442">
        <f t="array" ref="S892">INDEX(MINVALUES,$Q892,$K$1)</f>
        <v>16</v>
      </c>
      <c r="T892">
        <f t="array" ref="T892">INDEX(INCVALUES,$Q892,$K$1)</f>
        <v>0.1</v>
      </c>
      <c r="V892">
        <f t="array" ref="V892">+J892+(4*(INDEX(MatchScoreTable,$Q892,20)-1))</f>
        <v>4</v>
      </c>
      <c r="W892">
        <f t="array" ref="W892">INDEX(INC_MINVALUES,$V892,$K$1)</f>
        <v>34</v>
      </c>
      <c r="X892" s="212">
        <f t="array" ref="X892">INDEX(INC_INCVALUES,$V892,$K$1)</f>
        <v>0.3</v>
      </c>
    </row>
    <row r="893" ht="15.75" customHeight="1">
      <c r="A893" s="435"/>
      <c r="B893" s="436"/>
      <c r="C893" s="95" t="str">
        <f t="array" ref="C893">IF(I893&gt;0,INDEX(DB,I893,8),"")</f>
        <v/>
      </c>
      <c r="D893" s="437">
        <f t="shared" si="1"/>
        <v>0</v>
      </c>
      <c r="F893" s="438">
        <f t="shared" si="2"/>
        <v>0</v>
      </c>
      <c r="G893" t="str">
        <f t="shared" si="3"/>
        <v/>
      </c>
      <c r="H893" t="b">
        <f t="shared" si="4"/>
        <v>0</v>
      </c>
      <c r="I893" s="439">
        <f>IF(OR(ISBLANK(A893),ISNA(MATCH(A893&amp;"",AthleteNumbers,0))),0,MATCH(A893&amp;"",AthleteNumbers,0))</f>
        <v>0</v>
      </c>
      <c r="J893" s="209">
        <f t="array" ref="J893">IF(I893&gt;0,INDEX(DB,$I893,6),0)</f>
        <v>0</v>
      </c>
      <c r="K893" s="440">
        <f t="shared" si="5"/>
        <v>0</v>
      </c>
      <c r="L893" s="440">
        <f t="shared" si="6"/>
        <v>0</v>
      </c>
      <c r="M893" s="441">
        <f>IF(AND(L893&gt;O893,O893&gt;0),MinPoints,IF(L893&lt;N893,100,+INT((O893-$L893)/P893)+MinPoints))</f>
        <v>100</v>
      </c>
      <c r="N893" s="440">
        <f t="shared" si="7"/>
        <v>7</v>
      </c>
      <c r="O893" s="440">
        <f t="shared" si="8"/>
        <v>16</v>
      </c>
      <c r="P893" s="440">
        <f t="shared" si="9"/>
        <v>0.1</v>
      </c>
      <c r="Q893">
        <f t="array" ref="Q893">IF(I893&gt;0,INDEX(DB,I893,9),EventIndex)</f>
        <v>6</v>
      </c>
      <c r="S893" s="442">
        <f t="array" ref="S893">INDEX(MINVALUES,$Q893,$K$1)</f>
        <v>16</v>
      </c>
      <c r="T893">
        <f t="array" ref="T893">INDEX(INCVALUES,$Q893,$K$1)</f>
        <v>0.1</v>
      </c>
      <c r="V893">
        <f t="array" ref="V893">+J893+(4*(INDEX(MatchScoreTable,$Q893,20)-1))</f>
        <v>4</v>
      </c>
      <c r="W893">
        <f t="array" ref="W893">INDEX(INC_MINVALUES,$V893,$K$1)</f>
        <v>34</v>
      </c>
      <c r="X893" s="212">
        <f t="array" ref="X893">INDEX(INC_INCVALUES,$V893,$K$1)</f>
        <v>0.3</v>
      </c>
    </row>
    <row r="894" ht="15.75" customHeight="1">
      <c r="A894" s="435"/>
      <c r="B894" s="436"/>
      <c r="C894" s="95" t="str">
        <f t="array" ref="C894">IF(I894&gt;0,INDEX(DB,I894,8),"")</f>
        <v/>
      </c>
      <c r="D894" s="437">
        <f t="shared" si="1"/>
        <v>0</v>
      </c>
      <c r="F894" s="438">
        <f t="shared" si="2"/>
        <v>0</v>
      </c>
      <c r="G894" t="str">
        <f t="shared" si="3"/>
        <v/>
      </c>
      <c r="H894" t="b">
        <f t="shared" si="4"/>
        <v>0</v>
      </c>
      <c r="I894" s="439">
        <f>IF(OR(ISBLANK(A894),ISNA(MATCH(A894&amp;"",AthleteNumbers,0))),0,MATCH(A894&amp;"",AthleteNumbers,0))</f>
        <v>0</v>
      </c>
      <c r="J894" s="209">
        <f t="array" ref="J894">IF(I894&gt;0,INDEX(DB,$I894,6),0)</f>
        <v>0</v>
      </c>
      <c r="K894" s="440">
        <f t="shared" si="5"/>
        <v>0</v>
      </c>
      <c r="L894" s="440">
        <f t="shared" si="6"/>
        <v>0</v>
      </c>
      <c r="M894" s="441">
        <f>IF(AND(L894&gt;O894,O894&gt;0),MinPoints,IF(L894&lt;N894,100,+INT((O894-$L894)/P894)+MinPoints))</f>
        <v>100</v>
      </c>
      <c r="N894" s="440">
        <f t="shared" si="7"/>
        <v>7</v>
      </c>
      <c r="O894" s="440">
        <f t="shared" si="8"/>
        <v>16</v>
      </c>
      <c r="P894" s="440">
        <f t="shared" si="9"/>
        <v>0.1</v>
      </c>
      <c r="Q894">
        <f t="array" ref="Q894">IF(I894&gt;0,INDEX(DB,I894,9),EventIndex)</f>
        <v>6</v>
      </c>
      <c r="S894" s="442">
        <f t="array" ref="S894">INDEX(MINVALUES,$Q894,$K$1)</f>
        <v>16</v>
      </c>
      <c r="T894">
        <f t="array" ref="T894">INDEX(INCVALUES,$Q894,$K$1)</f>
        <v>0.1</v>
      </c>
      <c r="V894">
        <f t="array" ref="V894">+J894+(4*(INDEX(MatchScoreTable,$Q894,20)-1))</f>
        <v>4</v>
      </c>
      <c r="W894">
        <f t="array" ref="W894">INDEX(INC_MINVALUES,$V894,$K$1)</f>
        <v>34</v>
      </c>
      <c r="X894" s="212">
        <f t="array" ref="X894">INDEX(INC_INCVALUES,$V894,$K$1)</f>
        <v>0.3</v>
      </c>
    </row>
    <row r="895" ht="15.75" customHeight="1">
      <c r="A895" s="435"/>
      <c r="B895" s="436"/>
      <c r="C895" s="95" t="str">
        <f t="array" ref="C895">IF(I895&gt;0,INDEX(DB,I895,8),"")</f>
        <v/>
      </c>
      <c r="D895" s="437">
        <f t="shared" si="1"/>
        <v>0</v>
      </c>
      <c r="F895" s="438">
        <f t="shared" si="2"/>
        <v>0</v>
      </c>
      <c r="G895" t="str">
        <f t="shared" si="3"/>
        <v/>
      </c>
      <c r="H895" t="b">
        <f t="shared" si="4"/>
        <v>0</v>
      </c>
      <c r="I895" s="439">
        <f>IF(OR(ISBLANK(A895),ISNA(MATCH(A895&amp;"",AthleteNumbers,0))),0,MATCH(A895&amp;"",AthleteNumbers,0))</f>
        <v>0</v>
      </c>
      <c r="J895" s="209">
        <f t="array" ref="J895">IF(I895&gt;0,INDEX(DB,$I895,6),0)</f>
        <v>0</v>
      </c>
      <c r="K895" s="440">
        <f t="shared" si="5"/>
        <v>0</v>
      </c>
      <c r="L895" s="440">
        <f t="shared" si="6"/>
        <v>0</v>
      </c>
      <c r="M895" s="441">
        <f>IF(AND(L895&gt;O895,O895&gt;0),MinPoints,IF(L895&lt;N895,100,+INT((O895-$L895)/P895)+MinPoints))</f>
        <v>100</v>
      </c>
      <c r="N895" s="440">
        <f t="shared" si="7"/>
        <v>7</v>
      </c>
      <c r="O895" s="440">
        <f t="shared" si="8"/>
        <v>16</v>
      </c>
      <c r="P895" s="440">
        <f t="shared" si="9"/>
        <v>0.1</v>
      </c>
      <c r="Q895">
        <f t="array" ref="Q895">IF(I895&gt;0,INDEX(DB,I895,9),EventIndex)</f>
        <v>6</v>
      </c>
      <c r="S895" s="442">
        <f t="array" ref="S895">INDEX(MINVALUES,$Q895,$K$1)</f>
        <v>16</v>
      </c>
      <c r="T895">
        <f t="array" ref="T895">INDEX(INCVALUES,$Q895,$K$1)</f>
        <v>0.1</v>
      </c>
      <c r="V895">
        <f t="array" ref="V895">+J895+(4*(INDEX(MatchScoreTable,$Q895,20)-1))</f>
        <v>4</v>
      </c>
      <c r="W895">
        <f t="array" ref="W895">INDEX(INC_MINVALUES,$V895,$K$1)</f>
        <v>34</v>
      </c>
      <c r="X895" s="212">
        <f t="array" ref="X895">INDEX(INC_INCVALUES,$V895,$K$1)</f>
        <v>0.3</v>
      </c>
    </row>
    <row r="896" ht="15.75" customHeight="1">
      <c r="A896" s="435"/>
      <c r="B896" s="436"/>
      <c r="C896" s="95" t="str">
        <f t="array" ref="C896">IF(I896&gt;0,INDEX(DB,I896,8),"")</f>
        <v/>
      </c>
      <c r="D896" s="437">
        <f t="shared" si="1"/>
        <v>0</v>
      </c>
      <c r="F896" s="438">
        <f t="shared" si="2"/>
        <v>0</v>
      </c>
      <c r="G896" t="str">
        <f t="shared" si="3"/>
        <v/>
      </c>
      <c r="H896" t="b">
        <f t="shared" si="4"/>
        <v>0</v>
      </c>
      <c r="I896" s="439">
        <f>IF(OR(ISBLANK(A896),ISNA(MATCH(A896&amp;"",AthleteNumbers,0))),0,MATCH(A896&amp;"",AthleteNumbers,0))</f>
        <v>0</v>
      </c>
      <c r="J896" s="209">
        <f t="array" ref="J896">IF(I896&gt;0,INDEX(DB,$I896,6),0)</f>
        <v>0</v>
      </c>
      <c r="K896" s="440">
        <f t="shared" si="5"/>
        <v>0</v>
      </c>
      <c r="L896" s="440">
        <f t="shared" si="6"/>
        <v>0</v>
      </c>
      <c r="M896" s="441">
        <f>IF(AND(L896&gt;O896,O896&gt;0),MinPoints,IF(L896&lt;N896,100,+INT((O896-$L896)/P896)+MinPoints))</f>
        <v>100</v>
      </c>
      <c r="N896" s="440">
        <f t="shared" si="7"/>
        <v>7</v>
      </c>
      <c r="O896" s="440">
        <f t="shared" si="8"/>
        <v>16</v>
      </c>
      <c r="P896" s="440">
        <f t="shared" si="9"/>
        <v>0.1</v>
      </c>
      <c r="Q896">
        <f t="array" ref="Q896">IF(I896&gt;0,INDEX(DB,I896,9),EventIndex)</f>
        <v>6</v>
      </c>
      <c r="S896" s="442">
        <f t="array" ref="S896">INDEX(MINVALUES,$Q896,$K$1)</f>
        <v>16</v>
      </c>
      <c r="T896">
        <f t="array" ref="T896">INDEX(INCVALUES,$Q896,$K$1)</f>
        <v>0.1</v>
      </c>
      <c r="V896">
        <f t="array" ref="V896">+J896+(4*(INDEX(MatchScoreTable,$Q896,20)-1))</f>
        <v>4</v>
      </c>
      <c r="W896">
        <f t="array" ref="W896">INDEX(INC_MINVALUES,$V896,$K$1)</f>
        <v>34</v>
      </c>
      <c r="X896" s="212">
        <f t="array" ref="X896">INDEX(INC_INCVALUES,$V896,$K$1)</f>
        <v>0.3</v>
      </c>
    </row>
    <row r="897" ht="15.75" customHeight="1">
      <c r="A897" s="435"/>
      <c r="B897" s="436"/>
      <c r="C897" s="95" t="str">
        <f t="array" ref="C897">IF(I897&gt;0,INDEX(DB,I897,8),"")</f>
        <v/>
      </c>
      <c r="D897" s="437">
        <f t="shared" si="1"/>
        <v>0</v>
      </c>
      <c r="F897" s="438">
        <f t="shared" si="2"/>
        <v>0</v>
      </c>
      <c r="G897" t="str">
        <f t="shared" si="3"/>
        <v/>
      </c>
      <c r="H897" t="b">
        <f t="shared" si="4"/>
        <v>0</v>
      </c>
      <c r="I897" s="439">
        <f>IF(OR(ISBLANK(A897),ISNA(MATCH(A897&amp;"",AthleteNumbers,0))),0,MATCH(A897&amp;"",AthleteNumbers,0))</f>
        <v>0</v>
      </c>
      <c r="J897" s="209">
        <f t="array" ref="J897">IF(I897&gt;0,INDEX(DB,$I897,6),0)</f>
        <v>0</v>
      </c>
      <c r="K897" s="440">
        <f t="shared" si="5"/>
        <v>0</v>
      </c>
      <c r="L897" s="440">
        <f t="shared" si="6"/>
        <v>0</v>
      </c>
      <c r="M897" s="441">
        <f>IF(AND(L897&gt;O897,O897&gt;0),MinPoints,IF(L897&lt;N897,100,+INT((O897-$L897)/P897)+MinPoints))</f>
        <v>100</v>
      </c>
      <c r="N897" s="440">
        <f t="shared" si="7"/>
        <v>7</v>
      </c>
      <c r="O897" s="440">
        <f t="shared" si="8"/>
        <v>16</v>
      </c>
      <c r="P897" s="440">
        <f t="shared" si="9"/>
        <v>0.1</v>
      </c>
      <c r="Q897">
        <f t="array" ref="Q897">IF(I897&gt;0,INDEX(DB,I897,9),EventIndex)</f>
        <v>6</v>
      </c>
      <c r="S897" s="442">
        <f t="array" ref="S897">INDEX(MINVALUES,$Q897,$K$1)</f>
        <v>16</v>
      </c>
      <c r="T897">
        <f t="array" ref="T897">INDEX(INCVALUES,$Q897,$K$1)</f>
        <v>0.1</v>
      </c>
      <c r="V897">
        <f t="array" ref="V897">+J897+(4*(INDEX(MatchScoreTable,$Q897,20)-1))</f>
        <v>4</v>
      </c>
      <c r="W897">
        <f t="array" ref="W897">INDEX(INC_MINVALUES,$V897,$K$1)</f>
        <v>34</v>
      </c>
      <c r="X897" s="212">
        <f t="array" ref="X897">INDEX(INC_INCVALUES,$V897,$K$1)</f>
        <v>0.3</v>
      </c>
    </row>
    <row r="898" ht="15.75" customHeight="1">
      <c r="A898" s="435"/>
      <c r="B898" s="436"/>
      <c r="C898" s="95" t="str">
        <f t="array" ref="C898">IF(I898&gt;0,INDEX(DB,I898,8),"")</f>
        <v/>
      </c>
      <c r="D898" s="437">
        <f t="shared" si="1"/>
        <v>0</v>
      </c>
      <c r="F898" s="438">
        <f t="shared" si="2"/>
        <v>0</v>
      </c>
      <c r="G898" t="str">
        <f t="shared" si="3"/>
        <v/>
      </c>
      <c r="H898" t="b">
        <f t="shared" si="4"/>
        <v>0</v>
      </c>
      <c r="I898" s="439">
        <f>IF(OR(ISBLANK(A898),ISNA(MATCH(A898&amp;"",AthleteNumbers,0))),0,MATCH(A898&amp;"",AthleteNumbers,0))</f>
        <v>0</v>
      </c>
      <c r="J898" s="209">
        <f t="array" ref="J898">IF(I898&gt;0,INDEX(DB,$I898,6),0)</f>
        <v>0</v>
      </c>
      <c r="K898" s="440">
        <f t="shared" si="5"/>
        <v>0</v>
      </c>
      <c r="L898" s="440">
        <f t="shared" si="6"/>
        <v>0</v>
      </c>
      <c r="M898" s="441">
        <f>IF(AND(L898&gt;O898,O898&gt;0),MinPoints,IF(L898&lt;N898,100,+INT((O898-$L898)/P898)+MinPoints))</f>
        <v>100</v>
      </c>
      <c r="N898" s="440">
        <f t="shared" si="7"/>
        <v>7</v>
      </c>
      <c r="O898" s="440">
        <f t="shared" si="8"/>
        <v>16</v>
      </c>
      <c r="P898" s="440">
        <f t="shared" si="9"/>
        <v>0.1</v>
      </c>
      <c r="Q898">
        <f t="array" ref="Q898">IF(I898&gt;0,INDEX(DB,I898,9),EventIndex)</f>
        <v>6</v>
      </c>
      <c r="S898" s="442">
        <f t="array" ref="S898">INDEX(MINVALUES,$Q898,$K$1)</f>
        <v>16</v>
      </c>
      <c r="T898">
        <f t="array" ref="T898">INDEX(INCVALUES,$Q898,$K$1)</f>
        <v>0.1</v>
      </c>
      <c r="V898">
        <f t="array" ref="V898">+J898+(4*(INDEX(MatchScoreTable,$Q898,20)-1))</f>
        <v>4</v>
      </c>
      <c r="W898">
        <f t="array" ref="W898">INDEX(INC_MINVALUES,$V898,$K$1)</f>
        <v>34</v>
      </c>
      <c r="X898" s="212">
        <f t="array" ref="X898">INDEX(INC_INCVALUES,$V898,$K$1)</f>
        <v>0.3</v>
      </c>
    </row>
    <row r="899" ht="15.75" customHeight="1">
      <c r="A899" s="435"/>
      <c r="B899" s="436"/>
      <c r="C899" s="95" t="str">
        <f t="array" ref="C899">IF(I899&gt;0,INDEX(DB,I899,8),"")</f>
        <v/>
      </c>
      <c r="D899" s="437">
        <f t="shared" si="1"/>
        <v>0</v>
      </c>
      <c r="F899" s="438">
        <f t="shared" si="2"/>
        <v>0</v>
      </c>
      <c r="G899" t="str">
        <f t="shared" si="3"/>
        <v/>
      </c>
      <c r="H899" t="b">
        <f t="shared" si="4"/>
        <v>0</v>
      </c>
      <c r="I899" s="439">
        <f>IF(OR(ISBLANK(A899),ISNA(MATCH(A899&amp;"",AthleteNumbers,0))),0,MATCH(A899&amp;"",AthleteNumbers,0))</f>
        <v>0</v>
      </c>
      <c r="J899" s="209">
        <f t="array" ref="J899">IF(I899&gt;0,INDEX(DB,$I899,6),0)</f>
        <v>0</v>
      </c>
      <c r="K899" s="440">
        <f t="shared" si="5"/>
        <v>0</v>
      </c>
      <c r="L899" s="440">
        <f t="shared" si="6"/>
        <v>0</v>
      </c>
      <c r="M899" s="441">
        <f>IF(AND(L899&gt;O899,O899&gt;0),MinPoints,IF(L899&lt;N899,100,+INT((O899-$L899)/P899)+MinPoints))</f>
        <v>100</v>
      </c>
      <c r="N899" s="440">
        <f t="shared" si="7"/>
        <v>7</v>
      </c>
      <c r="O899" s="440">
        <f t="shared" si="8"/>
        <v>16</v>
      </c>
      <c r="P899" s="440">
        <f t="shared" si="9"/>
        <v>0.1</v>
      </c>
      <c r="Q899">
        <f t="array" ref="Q899">IF(I899&gt;0,INDEX(DB,I899,9),EventIndex)</f>
        <v>6</v>
      </c>
      <c r="S899" s="442">
        <f t="array" ref="S899">INDEX(MINVALUES,$Q899,$K$1)</f>
        <v>16</v>
      </c>
      <c r="T899">
        <f t="array" ref="T899">INDEX(INCVALUES,$Q899,$K$1)</f>
        <v>0.1</v>
      </c>
      <c r="V899">
        <f t="array" ref="V899">+J899+(4*(INDEX(MatchScoreTable,$Q899,20)-1))</f>
        <v>4</v>
      </c>
      <c r="W899">
        <f t="array" ref="W899">INDEX(INC_MINVALUES,$V899,$K$1)</f>
        <v>34</v>
      </c>
      <c r="X899" s="212">
        <f t="array" ref="X899">INDEX(INC_INCVALUES,$V899,$K$1)</f>
        <v>0.3</v>
      </c>
    </row>
    <row r="900" ht="15.75" customHeight="1">
      <c r="A900" s="435"/>
      <c r="B900" s="436"/>
      <c r="C900" s="95" t="str">
        <f t="array" ref="C900">IF(I900&gt;0,INDEX(DB,I900,8),"")</f>
        <v/>
      </c>
      <c r="D900" s="437">
        <f t="shared" si="1"/>
        <v>0</v>
      </c>
      <c r="F900" s="438">
        <f t="shared" si="2"/>
        <v>0</v>
      </c>
      <c r="G900" t="str">
        <f t="shared" si="3"/>
        <v/>
      </c>
      <c r="H900" t="b">
        <f t="shared" si="4"/>
        <v>0</v>
      </c>
      <c r="I900" s="439">
        <f>IF(OR(ISBLANK(A900),ISNA(MATCH(A900&amp;"",AthleteNumbers,0))),0,MATCH(A900&amp;"",AthleteNumbers,0))</f>
        <v>0</v>
      </c>
      <c r="J900" s="209">
        <f t="array" ref="J900">IF(I900&gt;0,INDEX(DB,$I900,6),0)</f>
        <v>0</v>
      </c>
      <c r="K900" s="440">
        <f t="shared" si="5"/>
        <v>0</v>
      </c>
      <c r="L900" s="440">
        <f t="shared" si="6"/>
        <v>0</v>
      </c>
      <c r="M900" s="441">
        <f>IF(AND(L900&gt;O900,O900&gt;0),MinPoints,IF(L900&lt;N900,100,+INT((O900-$L900)/P900)+MinPoints))</f>
        <v>100</v>
      </c>
      <c r="N900" s="440">
        <f t="shared" si="7"/>
        <v>7</v>
      </c>
      <c r="O900" s="440">
        <f t="shared" si="8"/>
        <v>16</v>
      </c>
      <c r="P900" s="440">
        <f t="shared" si="9"/>
        <v>0.1</v>
      </c>
      <c r="Q900">
        <f t="array" ref="Q900">IF(I900&gt;0,INDEX(DB,I900,9),EventIndex)</f>
        <v>6</v>
      </c>
      <c r="S900" s="442">
        <f t="array" ref="S900">INDEX(MINVALUES,$Q900,$K$1)</f>
        <v>16</v>
      </c>
      <c r="T900">
        <f t="array" ref="T900">INDEX(INCVALUES,$Q900,$K$1)</f>
        <v>0.1</v>
      </c>
      <c r="V900">
        <f t="array" ref="V900">+J900+(4*(INDEX(MatchScoreTable,$Q900,20)-1))</f>
        <v>4</v>
      </c>
      <c r="W900">
        <f t="array" ref="W900">INDEX(INC_MINVALUES,$V900,$K$1)</f>
        <v>34</v>
      </c>
      <c r="X900" s="212">
        <f t="array" ref="X900">INDEX(INC_INCVALUES,$V900,$K$1)</f>
        <v>0.3</v>
      </c>
    </row>
    <row r="901" ht="15.75" customHeight="1">
      <c r="A901" s="435"/>
      <c r="B901" s="436"/>
      <c r="C901" s="95" t="str">
        <f t="array" ref="C901">IF(I901&gt;0,INDEX(DB,I901,8),"")</f>
        <v/>
      </c>
      <c r="D901" s="437">
        <f t="shared" si="1"/>
        <v>0</v>
      </c>
      <c r="F901" s="438">
        <f t="shared" si="2"/>
        <v>0</v>
      </c>
      <c r="G901" t="str">
        <f t="shared" si="3"/>
        <v/>
      </c>
      <c r="H901" t="b">
        <f t="shared" si="4"/>
        <v>0</v>
      </c>
      <c r="I901" s="439">
        <f>IF(OR(ISBLANK(A901),ISNA(MATCH(A901&amp;"",AthleteNumbers,0))),0,MATCH(A901&amp;"",AthleteNumbers,0))</f>
        <v>0</v>
      </c>
      <c r="J901" s="209">
        <f t="array" ref="J901">IF(I901&gt;0,INDEX(DB,$I901,6),0)</f>
        <v>0</v>
      </c>
      <c r="K901" s="440">
        <f t="shared" si="5"/>
        <v>0</v>
      </c>
      <c r="L901" s="440">
        <f t="shared" si="6"/>
        <v>0</v>
      </c>
      <c r="M901" s="441">
        <f>IF(AND(L901&gt;O901,O901&gt;0),MinPoints,IF(L901&lt;N901,100,+INT((O901-$L901)/P901)+MinPoints))</f>
        <v>100</v>
      </c>
      <c r="N901" s="440">
        <f t="shared" si="7"/>
        <v>7</v>
      </c>
      <c r="O901" s="440">
        <f t="shared" si="8"/>
        <v>16</v>
      </c>
      <c r="P901" s="440">
        <f t="shared" si="9"/>
        <v>0.1</v>
      </c>
      <c r="Q901">
        <f t="array" ref="Q901">IF(I901&gt;0,INDEX(DB,I901,9),EventIndex)</f>
        <v>6</v>
      </c>
      <c r="S901" s="442">
        <f t="array" ref="S901">INDEX(MINVALUES,$Q901,$K$1)</f>
        <v>16</v>
      </c>
      <c r="T901">
        <f t="array" ref="T901">INDEX(INCVALUES,$Q901,$K$1)</f>
        <v>0.1</v>
      </c>
      <c r="V901">
        <f t="array" ref="V901">+J901+(4*(INDEX(MatchScoreTable,$Q901,20)-1))</f>
        <v>4</v>
      </c>
      <c r="W901">
        <f t="array" ref="W901">INDEX(INC_MINVALUES,$V901,$K$1)</f>
        <v>34</v>
      </c>
      <c r="X901" s="212">
        <f t="array" ref="X901">INDEX(INC_INCVALUES,$V901,$K$1)</f>
        <v>0.3</v>
      </c>
    </row>
    <row r="902" ht="15.75" customHeight="1">
      <c r="A902" s="435"/>
      <c r="B902" s="436"/>
      <c r="C902" s="95" t="str">
        <f t="array" ref="C902">IF(I902&gt;0,INDEX(DB,I902,8),"")</f>
        <v/>
      </c>
      <c r="D902" s="437">
        <f t="shared" si="1"/>
        <v>0</v>
      </c>
      <c r="F902" s="438">
        <f t="shared" si="2"/>
        <v>0</v>
      </c>
      <c r="G902" t="str">
        <f t="shared" si="3"/>
        <v/>
      </c>
      <c r="H902" t="b">
        <f t="shared" si="4"/>
        <v>0</v>
      </c>
      <c r="I902" s="439">
        <f>IF(OR(ISBLANK(A902),ISNA(MATCH(A902&amp;"",AthleteNumbers,0))),0,MATCH(A902&amp;"",AthleteNumbers,0))</f>
        <v>0</v>
      </c>
      <c r="J902" s="209">
        <f t="array" ref="J902">IF(I902&gt;0,INDEX(DB,$I902,6),0)</f>
        <v>0</v>
      </c>
      <c r="K902" s="440">
        <f t="shared" si="5"/>
        <v>0</v>
      </c>
      <c r="L902" s="440">
        <f t="shared" si="6"/>
        <v>0</v>
      </c>
      <c r="M902" s="441">
        <f>IF(AND(L902&gt;O902,O902&gt;0),MinPoints,IF(L902&lt;N902,100,+INT((O902-$L902)/P902)+MinPoints))</f>
        <v>100</v>
      </c>
      <c r="N902" s="440">
        <f t="shared" si="7"/>
        <v>7</v>
      </c>
      <c r="O902" s="440">
        <f t="shared" si="8"/>
        <v>16</v>
      </c>
      <c r="P902" s="440">
        <f t="shared" si="9"/>
        <v>0.1</v>
      </c>
      <c r="Q902">
        <f t="array" ref="Q902">IF(I902&gt;0,INDEX(DB,I902,9),EventIndex)</f>
        <v>6</v>
      </c>
      <c r="S902" s="442">
        <f t="array" ref="S902">INDEX(MINVALUES,$Q902,$K$1)</f>
        <v>16</v>
      </c>
      <c r="T902">
        <f t="array" ref="T902">INDEX(INCVALUES,$Q902,$K$1)</f>
        <v>0.1</v>
      </c>
      <c r="V902">
        <f t="array" ref="V902">+J902+(4*(INDEX(MatchScoreTable,$Q902,20)-1))</f>
        <v>4</v>
      </c>
      <c r="W902">
        <f t="array" ref="W902">INDEX(INC_MINVALUES,$V902,$K$1)</f>
        <v>34</v>
      </c>
      <c r="X902" s="212">
        <f t="array" ref="X902">INDEX(INC_INCVALUES,$V902,$K$1)</f>
        <v>0.3</v>
      </c>
    </row>
    <row r="903" ht="15.75" customHeight="1">
      <c r="A903" s="435"/>
      <c r="B903" s="436"/>
      <c r="C903" s="95" t="str">
        <f t="array" ref="C903">IF(I903&gt;0,INDEX(DB,I903,8),"")</f>
        <v/>
      </c>
      <c r="D903" s="437">
        <f t="shared" si="1"/>
        <v>0</v>
      </c>
      <c r="F903" s="438">
        <f t="shared" si="2"/>
        <v>0</v>
      </c>
      <c r="G903" t="str">
        <f t="shared" si="3"/>
        <v/>
      </c>
      <c r="H903" t="b">
        <f t="shared" si="4"/>
        <v>0</v>
      </c>
      <c r="I903" s="439">
        <f>IF(OR(ISBLANK(A903),ISNA(MATCH(A903&amp;"",AthleteNumbers,0))),0,MATCH(A903&amp;"",AthleteNumbers,0))</f>
        <v>0</v>
      </c>
      <c r="J903" s="209">
        <f t="array" ref="J903">IF(I903&gt;0,INDEX(DB,$I903,6),0)</f>
        <v>0</v>
      </c>
      <c r="K903" s="440">
        <f t="shared" si="5"/>
        <v>0</v>
      </c>
      <c r="L903" s="440">
        <f t="shared" si="6"/>
        <v>0</v>
      </c>
      <c r="M903" s="441">
        <f>IF(AND(L903&gt;O903,O903&gt;0),MinPoints,IF(L903&lt;N903,100,+INT((O903-$L903)/P903)+MinPoints))</f>
        <v>100</v>
      </c>
      <c r="N903" s="440">
        <f t="shared" si="7"/>
        <v>7</v>
      </c>
      <c r="O903" s="440">
        <f t="shared" si="8"/>
        <v>16</v>
      </c>
      <c r="P903" s="440">
        <f t="shared" si="9"/>
        <v>0.1</v>
      </c>
      <c r="Q903">
        <f t="array" ref="Q903">IF(I903&gt;0,INDEX(DB,I903,9),EventIndex)</f>
        <v>6</v>
      </c>
      <c r="S903" s="442">
        <f t="array" ref="S903">INDEX(MINVALUES,$Q903,$K$1)</f>
        <v>16</v>
      </c>
      <c r="T903">
        <f t="array" ref="T903">INDEX(INCVALUES,$Q903,$K$1)</f>
        <v>0.1</v>
      </c>
      <c r="V903">
        <f t="array" ref="V903">+J903+(4*(INDEX(MatchScoreTable,$Q903,20)-1))</f>
        <v>4</v>
      </c>
      <c r="W903">
        <f t="array" ref="W903">INDEX(INC_MINVALUES,$V903,$K$1)</f>
        <v>34</v>
      </c>
      <c r="X903" s="212">
        <f t="array" ref="X903">INDEX(INC_INCVALUES,$V903,$K$1)</f>
        <v>0.3</v>
      </c>
    </row>
    <row r="904" ht="15.75" customHeight="1">
      <c r="A904" s="435"/>
      <c r="B904" s="436"/>
      <c r="C904" s="95" t="str">
        <f t="array" ref="C904">IF(I904&gt;0,INDEX(DB,I904,8),"")</f>
        <v/>
      </c>
      <c r="D904" s="437">
        <f t="shared" si="1"/>
        <v>0</v>
      </c>
      <c r="F904" s="438">
        <f t="shared" si="2"/>
        <v>0</v>
      </c>
      <c r="G904" t="str">
        <f t="shared" si="3"/>
        <v/>
      </c>
      <c r="H904" t="b">
        <f t="shared" si="4"/>
        <v>0</v>
      </c>
      <c r="I904" s="439">
        <f>IF(OR(ISBLANK(A904),ISNA(MATCH(A904&amp;"",AthleteNumbers,0))),0,MATCH(A904&amp;"",AthleteNumbers,0))</f>
        <v>0</v>
      </c>
      <c r="J904" s="209">
        <f t="array" ref="J904">IF(I904&gt;0,INDEX(DB,$I904,6),0)</f>
        <v>0</v>
      </c>
      <c r="K904" s="440">
        <f t="shared" si="5"/>
        <v>0</v>
      </c>
      <c r="L904" s="440">
        <f t="shared" si="6"/>
        <v>0</v>
      </c>
      <c r="M904" s="441">
        <f>IF(AND(L904&gt;O904,O904&gt;0),MinPoints,IF(L904&lt;N904,100,+INT((O904-$L904)/P904)+MinPoints))</f>
        <v>100</v>
      </c>
      <c r="N904" s="440">
        <f t="shared" si="7"/>
        <v>7</v>
      </c>
      <c r="O904" s="440">
        <f t="shared" si="8"/>
        <v>16</v>
      </c>
      <c r="P904" s="440">
        <f t="shared" si="9"/>
        <v>0.1</v>
      </c>
      <c r="Q904">
        <f t="array" ref="Q904">IF(I904&gt;0,INDEX(DB,I904,9),EventIndex)</f>
        <v>6</v>
      </c>
      <c r="S904" s="442">
        <f t="array" ref="S904">INDEX(MINVALUES,$Q904,$K$1)</f>
        <v>16</v>
      </c>
      <c r="T904">
        <f t="array" ref="T904">INDEX(INCVALUES,$Q904,$K$1)</f>
        <v>0.1</v>
      </c>
      <c r="V904">
        <f t="array" ref="V904">+J904+(4*(INDEX(MatchScoreTable,$Q904,20)-1))</f>
        <v>4</v>
      </c>
      <c r="W904">
        <f t="array" ref="W904">INDEX(INC_MINVALUES,$V904,$K$1)</f>
        <v>34</v>
      </c>
      <c r="X904" s="212">
        <f t="array" ref="X904">INDEX(INC_INCVALUES,$V904,$K$1)</f>
        <v>0.3</v>
      </c>
    </row>
    <row r="905" ht="15.75" customHeight="1">
      <c r="A905" s="435"/>
      <c r="B905" s="436"/>
      <c r="C905" s="95" t="str">
        <f t="array" ref="C905">IF(I905&gt;0,INDEX(DB,I905,8),"")</f>
        <v/>
      </c>
      <c r="D905" s="437">
        <f t="shared" si="1"/>
        <v>0</v>
      </c>
      <c r="F905" s="438">
        <f t="shared" si="2"/>
        <v>0</v>
      </c>
      <c r="G905" t="str">
        <f t="shared" si="3"/>
        <v/>
      </c>
      <c r="H905" t="b">
        <f t="shared" si="4"/>
        <v>0</v>
      </c>
      <c r="I905" s="439">
        <f>IF(OR(ISBLANK(A905),ISNA(MATCH(A905&amp;"",AthleteNumbers,0))),0,MATCH(A905&amp;"",AthleteNumbers,0))</f>
        <v>0</v>
      </c>
      <c r="J905" s="209">
        <f t="array" ref="J905">IF(I905&gt;0,INDEX(DB,$I905,6),0)</f>
        <v>0</v>
      </c>
      <c r="K905" s="440">
        <f t="shared" si="5"/>
        <v>0</v>
      </c>
      <c r="L905" s="440">
        <f t="shared" si="6"/>
        <v>0</v>
      </c>
      <c r="M905" s="441">
        <f>IF(AND(L905&gt;O905,O905&gt;0),MinPoints,IF(L905&lt;N905,100,+INT((O905-$L905)/P905)+MinPoints))</f>
        <v>100</v>
      </c>
      <c r="N905" s="440">
        <f t="shared" si="7"/>
        <v>7</v>
      </c>
      <c r="O905" s="440">
        <f t="shared" si="8"/>
        <v>16</v>
      </c>
      <c r="P905" s="440">
        <f t="shared" si="9"/>
        <v>0.1</v>
      </c>
      <c r="Q905">
        <f t="array" ref="Q905">IF(I905&gt;0,INDEX(DB,I905,9),EventIndex)</f>
        <v>6</v>
      </c>
      <c r="S905" s="442">
        <f t="array" ref="S905">INDEX(MINVALUES,$Q905,$K$1)</f>
        <v>16</v>
      </c>
      <c r="T905">
        <f t="array" ref="T905">INDEX(INCVALUES,$Q905,$K$1)</f>
        <v>0.1</v>
      </c>
      <c r="V905">
        <f t="array" ref="V905">+J905+(4*(INDEX(MatchScoreTable,$Q905,20)-1))</f>
        <v>4</v>
      </c>
      <c r="W905">
        <f t="array" ref="W905">INDEX(INC_MINVALUES,$V905,$K$1)</f>
        <v>34</v>
      </c>
      <c r="X905" s="212">
        <f t="array" ref="X905">INDEX(INC_INCVALUES,$V905,$K$1)</f>
        <v>0.3</v>
      </c>
    </row>
    <row r="906" ht="15.75" customHeight="1">
      <c r="A906" s="435"/>
      <c r="B906" s="436"/>
      <c r="C906" s="95" t="str">
        <f t="array" ref="C906">IF(I906&gt;0,INDEX(DB,I906,8),"")</f>
        <v/>
      </c>
      <c r="D906" s="437">
        <f t="shared" si="1"/>
        <v>0</v>
      </c>
      <c r="F906" s="438">
        <f t="shared" si="2"/>
        <v>0</v>
      </c>
      <c r="G906" t="str">
        <f t="shared" si="3"/>
        <v/>
      </c>
      <c r="H906" t="b">
        <f t="shared" si="4"/>
        <v>0</v>
      </c>
      <c r="I906" s="439">
        <f>IF(OR(ISBLANK(A906),ISNA(MATCH(A906&amp;"",AthleteNumbers,0))),0,MATCH(A906&amp;"",AthleteNumbers,0))</f>
        <v>0</v>
      </c>
      <c r="J906" s="209">
        <f t="array" ref="J906">IF(I906&gt;0,INDEX(DB,$I906,6),0)</f>
        <v>0</v>
      </c>
      <c r="K906" s="440">
        <f t="shared" si="5"/>
        <v>0</v>
      </c>
      <c r="L906" s="440">
        <f t="shared" si="6"/>
        <v>0</v>
      </c>
      <c r="M906" s="441">
        <f>IF(AND(L906&gt;O906,O906&gt;0),MinPoints,IF(L906&lt;N906,100,+INT((O906-$L906)/P906)+MinPoints))</f>
        <v>100</v>
      </c>
      <c r="N906" s="440">
        <f t="shared" si="7"/>
        <v>7</v>
      </c>
      <c r="O906" s="440">
        <f t="shared" si="8"/>
        <v>16</v>
      </c>
      <c r="P906" s="440">
        <f t="shared" si="9"/>
        <v>0.1</v>
      </c>
      <c r="Q906">
        <f t="array" ref="Q906">IF(I906&gt;0,INDEX(DB,I906,9),EventIndex)</f>
        <v>6</v>
      </c>
      <c r="S906" s="442">
        <f t="array" ref="S906">INDEX(MINVALUES,$Q906,$K$1)</f>
        <v>16</v>
      </c>
      <c r="T906">
        <f t="array" ref="T906">INDEX(INCVALUES,$Q906,$K$1)</f>
        <v>0.1</v>
      </c>
      <c r="V906">
        <f t="array" ref="V906">+J906+(4*(INDEX(MatchScoreTable,$Q906,20)-1))</f>
        <v>4</v>
      </c>
      <c r="W906">
        <f t="array" ref="W906">INDEX(INC_MINVALUES,$V906,$K$1)</f>
        <v>34</v>
      </c>
      <c r="X906" s="212">
        <f t="array" ref="X906">INDEX(INC_INCVALUES,$V906,$K$1)</f>
        <v>0.3</v>
      </c>
    </row>
    <row r="907" ht="15.75" customHeight="1">
      <c r="A907" s="435"/>
      <c r="B907" s="436"/>
      <c r="C907" s="95" t="str">
        <f t="array" ref="C907">IF(I907&gt;0,INDEX(DB,I907,8),"")</f>
        <v/>
      </c>
      <c r="D907" s="437">
        <f t="shared" si="1"/>
        <v>0</v>
      </c>
      <c r="F907" s="438">
        <f t="shared" si="2"/>
        <v>0</v>
      </c>
      <c r="G907" t="str">
        <f t="shared" si="3"/>
        <v/>
      </c>
      <c r="H907" t="b">
        <f t="shared" si="4"/>
        <v>0</v>
      </c>
      <c r="I907" s="439">
        <f>IF(OR(ISBLANK(A907),ISNA(MATCH(A907&amp;"",AthleteNumbers,0))),0,MATCH(A907&amp;"",AthleteNumbers,0))</f>
        <v>0</v>
      </c>
      <c r="J907" s="209">
        <f t="array" ref="J907">IF(I907&gt;0,INDEX(DB,$I907,6),0)</f>
        <v>0</v>
      </c>
      <c r="K907" s="440">
        <f t="shared" si="5"/>
        <v>0</v>
      </c>
      <c r="L907" s="440">
        <f t="shared" si="6"/>
        <v>0</v>
      </c>
      <c r="M907" s="441">
        <f>IF(AND(L907&gt;O907,O907&gt;0),MinPoints,IF(L907&lt;N907,100,+INT((O907-$L907)/P907)+MinPoints))</f>
        <v>100</v>
      </c>
      <c r="N907" s="440">
        <f t="shared" si="7"/>
        <v>7</v>
      </c>
      <c r="O907" s="440">
        <f t="shared" si="8"/>
        <v>16</v>
      </c>
      <c r="P907" s="440">
        <f t="shared" si="9"/>
        <v>0.1</v>
      </c>
      <c r="Q907">
        <f t="array" ref="Q907">IF(I907&gt;0,INDEX(DB,I907,9),EventIndex)</f>
        <v>6</v>
      </c>
      <c r="S907" s="442">
        <f t="array" ref="S907">INDEX(MINVALUES,$Q907,$K$1)</f>
        <v>16</v>
      </c>
      <c r="T907">
        <f t="array" ref="T907">INDEX(INCVALUES,$Q907,$K$1)</f>
        <v>0.1</v>
      </c>
      <c r="V907">
        <f t="array" ref="V907">+J907+(4*(INDEX(MatchScoreTable,$Q907,20)-1))</f>
        <v>4</v>
      </c>
      <c r="W907">
        <f t="array" ref="W907">INDEX(INC_MINVALUES,$V907,$K$1)</f>
        <v>34</v>
      </c>
      <c r="X907" s="212">
        <f t="array" ref="X907">INDEX(INC_INCVALUES,$V907,$K$1)</f>
        <v>0.3</v>
      </c>
    </row>
    <row r="908" ht="15.75" customHeight="1">
      <c r="A908" s="435"/>
      <c r="B908" s="436"/>
      <c r="C908" s="95" t="str">
        <f t="array" ref="C908">IF(I908&gt;0,INDEX(DB,I908,8),"")</f>
        <v/>
      </c>
      <c r="D908" s="437">
        <f t="shared" si="1"/>
        <v>0</v>
      </c>
      <c r="F908" s="438">
        <f t="shared" si="2"/>
        <v>0</v>
      </c>
      <c r="G908" t="str">
        <f t="shared" si="3"/>
        <v/>
      </c>
      <c r="H908" t="b">
        <f t="shared" si="4"/>
        <v>0</v>
      </c>
      <c r="I908" s="439">
        <f>IF(OR(ISBLANK(A908),ISNA(MATCH(A908&amp;"",AthleteNumbers,0))),0,MATCH(A908&amp;"",AthleteNumbers,0))</f>
        <v>0</v>
      </c>
      <c r="J908" s="209">
        <f t="array" ref="J908">IF(I908&gt;0,INDEX(DB,$I908,6),0)</f>
        <v>0</v>
      </c>
      <c r="K908" s="440">
        <f t="shared" si="5"/>
        <v>0</v>
      </c>
      <c r="L908" s="440">
        <f t="shared" si="6"/>
        <v>0</v>
      </c>
      <c r="M908" s="441">
        <f>IF(AND(L908&gt;O908,O908&gt;0),MinPoints,IF(L908&lt;N908,100,+INT((O908-$L908)/P908)+MinPoints))</f>
        <v>100</v>
      </c>
      <c r="N908" s="440">
        <f t="shared" si="7"/>
        <v>7</v>
      </c>
      <c r="O908" s="440">
        <f t="shared" si="8"/>
        <v>16</v>
      </c>
      <c r="P908" s="440">
        <f t="shared" si="9"/>
        <v>0.1</v>
      </c>
      <c r="Q908">
        <f t="array" ref="Q908">IF(I908&gt;0,INDEX(DB,I908,9),EventIndex)</f>
        <v>6</v>
      </c>
      <c r="S908" s="442">
        <f t="array" ref="S908">INDEX(MINVALUES,$Q908,$K$1)</f>
        <v>16</v>
      </c>
      <c r="T908">
        <f t="array" ref="T908">INDEX(INCVALUES,$Q908,$K$1)</f>
        <v>0.1</v>
      </c>
      <c r="V908">
        <f t="array" ref="V908">+J908+(4*(INDEX(MatchScoreTable,$Q908,20)-1))</f>
        <v>4</v>
      </c>
      <c r="W908">
        <f t="array" ref="W908">INDEX(INC_MINVALUES,$V908,$K$1)</f>
        <v>34</v>
      </c>
      <c r="X908" s="212">
        <f t="array" ref="X908">INDEX(INC_INCVALUES,$V908,$K$1)</f>
        <v>0.3</v>
      </c>
    </row>
    <row r="909" ht="15.75" customHeight="1">
      <c r="A909" s="435"/>
      <c r="B909" s="436"/>
      <c r="C909" s="95" t="str">
        <f t="array" ref="C909">IF(I909&gt;0,INDEX(DB,I909,8),"")</f>
        <v/>
      </c>
      <c r="D909" s="437">
        <f t="shared" si="1"/>
        <v>0</v>
      </c>
      <c r="F909" s="438">
        <f t="shared" si="2"/>
        <v>0</v>
      </c>
      <c r="G909" t="str">
        <f t="shared" si="3"/>
        <v/>
      </c>
      <c r="H909" t="b">
        <f t="shared" si="4"/>
        <v>0</v>
      </c>
      <c r="I909" s="439">
        <f>IF(OR(ISBLANK(A909),ISNA(MATCH(A909&amp;"",AthleteNumbers,0))),0,MATCH(A909&amp;"",AthleteNumbers,0))</f>
        <v>0</v>
      </c>
      <c r="J909" s="209">
        <f t="array" ref="J909">IF(I909&gt;0,INDEX(DB,$I909,6),0)</f>
        <v>0</v>
      </c>
      <c r="K909" s="440">
        <f t="shared" si="5"/>
        <v>0</v>
      </c>
      <c r="L909" s="440">
        <f t="shared" si="6"/>
        <v>0</v>
      </c>
      <c r="M909" s="441">
        <f>IF(AND(L909&gt;O909,O909&gt;0),MinPoints,IF(L909&lt;N909,100,+INT((O909-$L909)/P909)+MinPoints))</f>
        <v>100</v>
      </c>
      <c r="N909" s="440">
        <f t="shared" si="7"/>
        <v>7</v>
      </c>
      <c r="O909" s="440">
        <f t="shared" si="8"/>
        <v>16</v>
      </c>
      <c r="P909" s="440">
        <f t="shared" si="9"/>
        <v>0.1</v>
      </c>
      <c r="Q909">
        <f t="array" ref="Q909">IF(I909&gt;0,INDEX(DB,I909,9),EventIndex)</f>
        <v>6</v>
      </c>
      <c r="S909" s="442">
        <f t="array" ref="S909">INDEX(MINVALUES,$Q909,$K$1)</f>
        <v>16</v>
      </c>
      <c r="T909">
        <f t="array" ref="T909">INDEX(INCVALUES,$Q909,$K$1)</f>
        <v>0.1</v>
      </c>
      <c r="V909">
        <f t="array" ref="V909">+J909+(4*(INDEX(MatchScoreTable,$Q909,20)-1))</f>
        <v>4</v>
      </c>
      <c r="W909">
        <f t="array" ref="W909">INDEX(INC_MINVALUES,$V909,$K$1)</f>
        <v>34</v>
      </c>
      <c r="X909" s="212">
        <f t="array" ref="X909">INDEX(INC_INCVALUES,$V909,$K$1)</f>
        <v>0.3</v>
      </c>
    </row>
    <row r="910" ht="15.75" customHeight="1">
      <c r="A910" s="435"/>
      <c r="B910" s="436"/>
      <c r="C910" s="95" t="str">
        <f t="array" ref="C910">IF(I910&gt;0,INDEX(DB,I910,8),"")</f>
        <v/>
      </c>
      <c r="D910" s="437">
        <f t="shared" si="1"/>
        <v>0</v>
      </c>
      <c r="F910" s="438">
        <f t="shared" si="2"/>
        <v>0</v>
      </c>
      <c r="G910" t="str">
        <f t="shared" si="3"/>
        <v/>
      </c>
      <c r="H910" t="b">
        <f t="shared" si="4"/>
        <v>0</v>
      </c>
      <c r="I910" s="439">
        <f>IF(OR(ISBLANK(A910),ISNA(MATCH(A910&amp;"",AthleteNumbers,0))),0,MATCH(A910&amp;"",AthleteNumbers,0))</f>
        <v>0</v>
      </c>
      <c r="J910" s="209">
        <f t="array" ref="J910">IF(I910&gt;0,INDEX(DB,$I910,6),0)</f>
        <v>0</v>
      </c>
      <c r="K910" s="440">
        <f t="shared" si="5"/>
        <v>0</v>
      </c>
      <c r="L910" s="440">
        <f t="shared" si="6"/>
        <v>0</v>
      </c>
      <c r="M910" s="441">
        <f>IF(AND(L910&gt;O910,O910&gt;0),MinPoints,IF(L910&lt;N910,100,+INT((O910-$L910)/P910)+MinPoints))</f>
        <v>100</v>
      </c>
      <c r="N910" s="440">
        <f t="shared" si="7"/>
        <v>7</v>
      </c>
      <c r="O910" s="440">
        <f t="shared" si="8"/>
        <v>16</v>
      </c>
      <c r="P910" s="440">
        <f t="shared" si="9"/>
        <v>0.1</v>
      </c>
      <c r="Q910">
        <f t="array" ref="Q910">IF(I910&gt;0,INDEX(DB,I910,9),EventIndex)</f>
        <v>6</v>
      </c>
      <c r="S910" s="442">
        <f t="array" ref="S910">INDEX(MINVALUES,$Q910,$K$1)</f>
        <v>16</v>
      </c>
      <c r="T910">
        <f t="array" ref="T910">INDEX(INCVALUES,$Q910,$K$1)</f>
        <v>0.1</v>
      </c>
      <c r="V910">
        <f t="array" ref="V910">+J910+(4*(INDEX(MatchScoreTable,$Q910,20)-1))</f>
        <v>4</v>
      </c>
      <c r="W910">
        <f t="array" ref="W910">INDEX(INC_MINVALUES,$V910,$K$1)</f>
        <v>34</v>
      </c>
      <c r="X910" s="212">
        <f t="array" ref="X910">INDEX(INC_INCVALUES,$V910,$K$1)</f>
        <v>0.3</v>
      </c>
    </row>
    <row r="911" ht="15.75" customHeight="1">
      <c r="A911" s="435"/>
      <c r="B911" s="436"/>
      <c r="C911" s="95" t="str">
        <f t="array" ref="C911">IF(I911&gt;0,INDEX(DB,I911,8),"")</f>
        <v/>
      </c>
      <c r="D911" s="437">
        <f t="shared" si="1"/>
        <v>0</v>
      </c>
      <c r="F911" s="438">
        <f t="shared" si="2"/>
        <v>0</v>
      </c>
      <c r="G911" t="str">
        <f t="shared" si="3"/>
        <v/>
      </c>
      <c r="H911" t="b">
        <f t="shared" si="4"/>
        <v>0</v>
      </c>
      <c r="I911" s="439">
        <f>IF(OR(ISBLANK(A911),ISNA(MATCH(A911&amp;"",AthleteNumbers,0))),0,MATCH(A911&amp;"",AthleteNumbers,0))</f>
        <v>0</v>
      </c>
      <c r="J911" s="209">
        <f t="array" ref="J911">IF(I911&gt;0,INDEX(DB,$I911,6),0)</f>
        <v>0</v>
      </c>
      <c r="K911" s="440">
        <f t="shared" si="5"/>
        <v>0</v>
      </c>
      <c r="L911" s="440">
        <f t="shared" si="6"/>
        <v>0</v>
      </c>
      <c r="M911" s="441">
        <f>IF(AND(L911&gt;O911,O911&gt;0),MinPoints,IF(L911&lt;N911,100,+INT((O911-$L911)/P911)+MinPoints))</f>
        <v>100</v>
      </c>
      <c r="N911" s="440">
        <f t="shared" si="7"/>
        <v>7</v>
      </c>
      <c r="O911" s="440">
        <f t="shared" si="8"/>
        <v>16</v>
      </c>
      <c r="P911" s="440">
        <f t="shared" si="9"/>
        <v>0.1</v>
      </c>
      <c r="Q911">
        <f t="array" ref="Q911">IF(I911&gt;0,INDEX(DB,I911,9),EventIndex)</f>
        <v>6</v>
      </c>
      <c r="S911" s="442">
        <f t="array" ref="S911">INDEX(MINVALUES,$Q911,$K$1)</f>
        <v>16</v>
      </c>
      <c r="T911">
        <f t="array" ref="T911">INDEX(INCVALUES,$Q911,$K$1)</f>
        <v>0.1</v>
      </c>
      <c r="V911">
        <f t="array" ref="V911">+J911+(4*(INDEX(MatchScoreTable,$Q911,20)-1))</f>
        <v>4</v>
      </c>
      <c r="W911">
        <f t="array" ref="W911">INDEX(INC_MINVALUES,$V911,$K$1)</f>
        <v>34</v>
      </c>
      <c r="X911" s="212">
        <f t="array" ref="X911">INDEX(INC_INCVALUES,$V911,$K$1)</f>
        <v>0.3</v>
      </c>
    </row>
    <row r="912" ht="15.75" customHeight="1">
      <c r="A912" s="435"/>
      <c r="B912" s="436"/>
      <c r="C912" s="95" t="str">
        <f t="array" ref="C912">IF(I912&gt;0,INDEX(DB,I912,8),"")</f>
        <v/>
      </c>
      <c r="D912" s="437">
        <f t="shared" si="1"/>
        <v>0</v>
      </c>
      <c r="F912" s="438">
        <f t="shared" si="2"/>
        <v>0</v>
      </c>
      <c r="G912" t="str">
        <f t="shared" si="3"/>
        <v/>
      </c>
      <c r="H912" t="b">
        <f t="shared" si="4"/>
        <v>0</v>
      </c>
      <c r="I912" s="439">
        <f>IF(OR(ISBLANK(A912),ISNA(MATCH(A912&amp;"",AthleteNumbers,0))),0,MATCH(A912&amp;"",AthleteNumbers,0))</f>
        <v>0</v>
      </c>
      <c r="J912" s="209">
        <f t="array" ref="J912">IF(I912&gt;0,INDEX(DB,$I912,6),0)</f>
        <v>0</v>
      </c>
      <c r="K912" s="440">
        <f t="shared" si="5"/>
        <v>0</v>
      </c>
      <c r="L912" s="440">
        <f t="shared" si="6"/>
        <v>0</v>
      </c>
      <c r="M912" s="441">
        <f>IF(AND(L912&gt;O912,O912&gt;0),MinPoints,IF(L912&lt;N912,100,+INT((O912-$L912)/P912)+MinPoints))</f>
        <v>100</v>
      </c>
      <c r="N912" s="440">
        <f t="shared" si="7"/>
        <v>7</v>
      </c>
      <c r="O912" s="440">
        <f t="shared" si="8"/>
        <v>16</v>
      </c>
      <c r="P912" s="440">
        <f t="shared" si="9"/>
        <v>0.1</v>
      </c>
      <c r="Q912">
        <f t="array" ref="Q912">IF(I912&gt;0,INDEX(DB,I912,9),EventIndex)</f>
        <v>6</v>
      </c>
      <c r="S912" s="442">
        <f t="array" ref="S912">INDEX(MINVALUES,$Q912,$K$1)</f>
        <v>16</v>
      </c>
      <c r="T912">
        <f t="array" ref="T912">INDEX(INCVALUES,$Q912,$K$1)</f>
        <v>0.1</v>
      </c>
      <c r="V912">
        <f t="array" ref="V912">+J912+(4*(INDEX(MatchScoreTable,$Q912,20)-1))</f>
        <v>4</v>
      </c>
      <c r="W912">
        <f t="array" ref="W912">INDEX(INC_MINVALUES,$V912,$K$1)</f>
        <v>34</v>
      </c>
      <c r="X912" s="212">
        <f t="array" ref="X912">INDEX(INC_INCVALUES,$V912,$K$1)</f>
        <v>0.3</v>
      </c>
    </row>
    <row r="913" ht="15.75" customHeight="1">
      <c r="A913" s="435"/>
      <c r="B913" s="436"/>
      <c r="C913" s="95" t="str">
        <f t="array" ref="C913">IF(I913&gt;0,INDEX(DB,I913,8),"")</f>
        <v/>
      </c>
      <c r="D913" s="437">
        <f t="shared" si="1"/>
        <v>0</v>
      </c>
      <c r="F913" s="438">
        <f t="shared" si="2"/>
        <v>0</v>
      </c>
      <c r="G913" t="str">
        <f t="shared" si="3"/>
        <v/>
      </c>
      <c r="H913" t="b">
        <f t="shared" si="4"/>
        <v>0</v>
      </c>
      <c r="I913" s="439">
        <f>IF(OR(ISBLANK(A913),ISNA(MATCH(A913&amp;"",AthleteNumbers,0))),0,MATCH(A913&amp;"",AthleteNumbers,0))</f>
        <v>0</v>
      </c>
      <c r="J913" s="209">
        <f t="array" ref="J913">IF(I913&gt;0,INDEX(DB,$I913,6),0)</f>
        <v>0</v>
      </c>
      <c r="K913" s="440">
        <f t="shared" si="5"/>
        <v>0</v>
      </c>
      <c r="L913" s="440">
        <f t="shared" si="6"/>
        <v>0</v>
      </c>
      <c r="M913" s="441">
        <f>IF(AND(L913&gt;O913,O913&gt;0),MinPoints,IF(L913&lt;N913,100,+INT((O913-$L913)/P913)+MinPoints))</f>
        <v>100</v>
      </c>
      <c r="N913" s="440">
        <f t="shared" si="7"/>
        <v>7</v>
      </c>
      <c r="O913" s="440">
        <f t="shared" si="8"/>
        <v>16</v>
      </c>
      <c r="P913" s="440">
        <f t="shared" si="9"/>
        <v>0.1</v>
      </c>
      <c r="Q913">
        <f t="array" ref="Q913">IF(I913&gt;0,INDEX(DB,I913,9),EventIndex)</f>
        <v>6</v>
      </c>
      <c r="S913" s="442">
        <f t="array" ref="S913">INDEX(MINVALUES,$Q913,$K$1)</f>
        <v>16</v>
      </c>
      <c r="T913">
        <f t="array" ref="T913">INDEX(INCVALUES,$Q913,$K$1)</f>
        <v>0.1</v>
      </c>
      <c r="V913">
        <f t="array" ref="V913">+J913+(4*(INDEX(MatchScoreTable,$Q913,20)-1))</f>
        <v>4</v>
      </c>
      <c r="W913">
        <f t="array" ref="W913">INDEX(INC_MINVALUES,$V913,$K$1)</f>
        <v>34</v>
      </c>
      <c r="X913" s="212">
        <f t="array" ref="X913">INDEX(INC_INCVALUES,$V913,$K$1)</f>
        <v>0.3</v>
      </c>
    </row>
    <row r="914" ht="15.75" customHeight="1">
      <c r="A914" s="435"/>
      <c r="B914" s="436"/>
      <c r="C914" s="95" t="str">
        <f t="array" ref="C914">IF(I914&gt;0,INDEX(DB,I914,8),"")</f>
        <v/>
      </c>
      <c r="D914" s="437">
        <f t="shared" si="1"/>
        <v>0</v>
      </c>
      <c r="F914" s="438">
        <f t="shared" si="2"/>
        <v>0</v>
      </c>
      <c r="G914" t="str">
        <f t="shared" si="3"/>
        <v/>
      </c>
      <c r="H914" t="b">
        <f t="shared" si="4"/>
        <v>0</v>
      </c>
      <c r="I914" s="439">
        <f>IF(OR(ISBLANK(A914),ISNA(MATCH(A914&amp;"",AthleteNumbers,0))),0,MATCH(A914&amp;"",AthleteNumbers,0))</f>
        <v>0</v>
      </c>
      <c r="J914" s="209">
        <f t="array" ref="J914">IF(I914&gt;0,INDEX(DB,$I914,6),0)</f>
        <v>0</v>
      </c>
      <c r="K914" s="440">
        <f t="shared" si="5"/>
        <v>0</v>
      </c>
      <c r="L914" s="440">
        <f t="shared" si="6"/>
        <v>0</v>
      </c>
      <c r="M914" s="441">
        <f>IF(AND(L914&gt;O914,O914&gt;0),MinPoints,IF(L914&lt;N914,100,+INT((O914-$L914)/P914)+MinPoints))</f>
        <v>100</v>
      </c>
      <c r="N914" s="440">
        <f t="shared" si="7"/>
        <v>7</v>
      </c>
      <c r="O914" s="440">
        <f t="shared" si="8"/>
        <v>16</v>
      </c>
      <c r="P914" s="440">
        <f t="shared" si="9"/>
        <v>0.1</v>
      </c>
      <c r="Q914">
        <f t="array" ref="Q914">IF(I914&gt;0,INDEX(DB,I914,9),EventIndex)</f>
        <v>6</v>
      </c>
      <c r="S914" s="442">
        <f t="array" ref="S914">INDEX(MINVALUES,$Q914,$K$1)</f>
        <v>16</v>
      </c>
      <c r="T914">
        <f t="array" ref="T914">INDEX(INCVALUES,$Q914,$K$1)</f>
        <v>0.1</v>
      </c>
      <c r="V914">
        <f t="array" ref="V914">+J914+(4*(INDEX(MatchScoreTable,$Q914,20)-1))</f>
        <v>4</v>
      </c>
      <c r="W914">
        <f t="array" ref="W914">INDEX(INC_MINVALUES,$V914,$K$1)</f>
        <v>34</v>
      </c>
      <c r="X914" s="212">
        <f t="array" ref="X914">INDEX(INC_INCVALUES,$V914,$K$1)</f>
        <v>0.3</v>
      </c>
    </row>
    <row r="915" ht="15.75" customHeight="1">
      <c r="A915" s="435"/>
      <c r="B915" s="436"/>
      <c r="C915" s="95" t="str">
        <f t="array" ref="C915">IF(I915&gt;0,INDEX(DB,I915,8),"")</f>
        <v/>
      </c>
      <c r="D915" s="437">
        <f t="shared" si="1"/>
        <v>0</v>
      </c>
      <c r="F915" s="438">
        <f t="shared" si="2"/>
        <v>0</v>
      </c>
      <c r="G915" t="str">
        <f t="shared" si="3"/>
        <v/>
      </c>
      <c r="H915" t="b">
        <f t="shared" si="4"/>
        <v>0</v>
      </c>
      <c r="I915" s="439">
        <f>IF(OR(ISBLANK(A915),ISNA(MATCH(A915&amp;"",AthleteNumbers,0))),0,MATCH(A915&amp;"",AthleteNumbers,0))</f>
        <v>0</v>
      </c>
      <c r="J915" s="209">
        <f t="array" ref="J915">IF(I915&gt;0,INDEX(DB,$I915,6),0)</f>
        <v>0</v>
      </c>
      <c r="K915" s="440">
        <f t="shared" si="5"/>
        <v>0</v>
      </c>
      <c r="L915" s="440">
        <f t="shared" si="6"/>
        <v>0</v>
      </c>
      <c r="M915" s="441">
        <f>IF(AND(L915&gt;O915,O915&gt;0),MinPoints,IF(L915&lt;N915,100,+INT((O915-$L915)/P915)+MinPoints))</f>
        <v>100</v>
      </c>
      <c r="N915" s="440">
        <f t="shared" si="7"/>
        <v>7</v>
      </c>
      <c r="O915" s="440">
        <f t="shared" si="8"/>
        <v>16</v>
      </c>
      <c r="P915" s="440">
        <f t="shared" si="9"/>
        <v>0.1</v>
      </c>
      <c r="Q915">
        <f t="array" ref="Q915">IF(I915&gt;0,INDEX(DB,I915,9),EventIndex)</f>
        <v>6</v>
      </c>
      <c r="S915" s="442">
        <f t="array" ref="S915">INDEX(MINVALUES,$Q915,$K$1)</f>
        <v>16</v>
      </c>
      <c r="T915">
        <f t="array" ref="T915">INDEX(INCVALUES,$Q915,$K$1)</f>
        <v>0.1</v>
      </c>
      <c r="V915">
        <f t="array" ref="V915">+J915+(4*(INDEX(MatchScoreTable,$Q915,20)-1))</f>
        <v>4</v>
      </c>
      <c r="W915">
        <f t="array" ref="W915">INDEX(INC_MINVALUES,$V915,$K$1)</f>
        <v>34</v>
      </c>
      <c r="X915" s="212">
        <f t="array" ref="X915">INDEX(INC_INCVALUES,$V915,$K$1)</f>
        <v>0.3</v>
      </c>
    </row>
    <row r="916" ht="15.75" customHeight="1">
      <c r="A916" s="435"/>
      <c r="B916" s="436"/>
      <c r="C916" s="95" t="str">
        <f t="array" ref="C916">IF(I916&gt;0,INDEX(DB,I916,8),"")</f>
        <v/>
      </c>
      <c r="D916" s="437">
        <f t="shared" si="1"/>
        <v>0</v>
      </c>
      <c r="F916" s="438">
        <f t="shared" si="2"/>
        <v>0</v>
      </c>
      <c r="G916" t="str">
        <f t="shared" si="3"/>
        <v/>
      </c>
      <c r="H916" t="b">
        <f t="shared" si="4"/>
        <v>0</v>
      </c>
      <c r="I916" s="439">
        <f>IF(OR(ISBLANK(A916),ISNA(MATCH(A916&amp;"",AthleteNumbers,0))),0,MATCH(A916&amp;"",AthleteNumbers,0))</f>
        <v>0</v>
      </c>
      <c r="J916" s="209">
        <f t="array" ref="J916">IF(I916&gt;0,INDEX(DB,$I916,6),0)</f>
        <v>0</v>
      </c>
      <c r="K916" s="440">
        <f t="shared" si="5"/>
        <v>0</v>
      </c>
      <c r="L916" s="440">
        <f t="shared" si="6"/>
        <v>0</v>
      </c>
      <c r="M916" s="441">
        <f>IF(AND(L916&gt;O916,O916&gt;0),MinPoints,IF(L916&lt;N916,100,+INT((O916-$L916)/P916)+MinPoints))</f>
        <v>100</v>
      </c>
      <c r="N916" s="440">
        <f t="shared" si="7"/>
        <v>7</v>
      </c>
      <c r="O916" s="440">
        <f t="shared" si="8"/>
        <v>16</v>
      </c>
      <c r="P916" s="440">
        <f t="shared" si="9"/>
        <v>0.1</v>
      </c>
      <c r="Q916">
        <f t="array" ref="Q916">IF(I916&gt;0,INDEX(DB,I916,9),EventIndex)</f>
        <v>6</v>
      </c>
      <c r="S916" s="442">
        <f t="array" ref="S916">INDEX(MINVALUES,$Q916,$K$1)</f>
        <v>16</v>
      </c>
      <c r="T916">
        <f t="array" ref="T916">INDEX(INCVALUES,$Q916,$K$1)</f>
        <v>0.1</v>
      </c>
      <c r="V916">
        <f t="array" ref="V916">+J916+(4*(INDEX(MatchScoreTable,$Q916,20)-1))</f>
        <v>4</v>
      </c>
      <c r="W916">
        <f t="array" ref="W916">INDEX(INC_MINVALUES,$V916,$K$1)</f>
        <v>34</v>
      </c>
      <c r="X916" s="212">
        <f t="array" ref="X916">INDEX(INC_INCVALUES,$V916,$K$1)</f>
        <v>0.3</v>
      </c>
    </row>
    <row r="917" ht="15.75" customHeight="1">
      <c r="A917" s="435"/>
      <c r="B917" s="436"/>
      <c r="C917" s="95" t="str">
        <f t="array" ref="C917">IF(I917&gt;0,INDEX(DB,I917,8),"")</f>
        <v/>
      </c>
      <c r="D917" s="437">
        <f t="shared" si="1"/>
        <v>0</v>
      </c>
      <c r="F917" s="438">
        <f t="shared" si="2"/>
        <v>0</v>
      </c>
      <c r="G917" t="str">
        <f t="shared" si="3"/>
        <v/>
      </c>
      <c r="H917" t="b">
        <f t="shared" si="4"/>
        <v>0</v>
      </c>
      <c r="I917" s="439">
        <f>IF(OR(ISBLANK(A917),ISNA(MATCH(A917&amp;"",AthleteNumbers,0))),0,MATCH(A917&amp;"",AthleteNumbers,0))</f>
        <v>0</v>
      </c>
      <c r="J917" s="209">
        <f t="array" ref="J917">IF(I917&gt;0,INDEX(DB,$I917,6),0)</f>
        <v>0</v>
      </c>
      <c r="K917" s="440">
        <f t="shared" si="5"/>
        <v>0</v>
      </c>
      <c r="L917" s="440">
        <f t="shared" si="6"/>
        <v>0</v>
      </c>
      <c r="M917" s="441">
        <f>IF(AND(L917&gt;O917,O917&gt;0),MinPoints,IF(L917&lt;N917,100,+INT((O917-$L917)/P917)+MinPoints))</f>
        <v>100</v>
      </c>
      <c r="N917" s="440">
        <f t="shared" si="7"/>
        <v>7</v>
      </c>
      <c r="O917" s="440">
        <f t="shared" si="8"/>
        <v>16</v>
      </c>
      <c r="P917" s="440">
        <f t="shared" si="9"/>
        <v>0.1</v>
      </c>
      <c r="Q917">
        <f t="array" ref="Q917">IF(I917&gt;0,INDEX(DB,I917,9),EventIndex)</f>
        <v>6</v>
      </c>
      <c r="S917" s="442">
        <f t="array" ref="S917">INDEX(MINVALUES,$Q917,$K$1)</f>
        <v>16</v>
      </c>
      <c r="T917">
        <f t="array" ref="T917">INDEX(INCVALUES,$Q917,$K$1)</f>
        <v>0.1</v>
      </c>
      <c r="V917">
        <f t="array" ref="V917">+J917+(4*(INDEX(MatchScoreTable,$Q917,20)-1))</f>
        <v>4</v>
      </c>
      <c r="W917">
        <f t="array" ref="W917">INDEX(INC_MINVALUES,$V917,$K$1)</f>
        <v>34</v>
      </c>
      <c r="X917" s="212">
        <f t="array" ref="X917">INDEX(INC_INCVALUES,$V917,$K$1)</f>
        <v>0.3</v>
      </c>
    </row>
    <row r="918" ht="15.75" customHeight="1">
      <c r="A918" s="435"/>
      <c r="B918" s="436"/>
      <c r="C918" s="95" t="str">
        <f t="array" ref="C918">IF(I918&gt;0,INDEX(DB,I918,8),"")</f>
        <v/>
      </c>
      <c r="D918" s="437">
        <f t="shared" si="1"/>
        <v>0</v>
      </c>
      <c r="F918" s="438">
        <f t="shared" si="2"/>
        <v>0</v>
      </c>
      <c r="G918" t="str">
        <f t="shared" si="3"/>
        <v/>
      </c>
      <c r="H918" t="b">
        <f t="shared" si="4"/>
        <v>0</v>
      </c>
      <c r="I918" s="439">
        <f>IF(OR(ISBLANK(A918),ISNA(MATCH(A918&amp;"",AthleteNumbers,0))),0,MATCH(A918&amp;"",AthleteNumbers,0))</f>
        <v>0</v>
      </c>
      <c r="J918" s="209">
        <f t="array" ref="J918">IF(I918&gt;0,INDEX(DB,$I918,6),0)</f>
        <v>0</v>
      </c>
      <c r="K918" s="440">
        <f t="shared" si="5"/>
        <v>0</v>
      </c>
      <c r="L918" s="440">
        <f t="shared" si="6"/>
        <v>0</v>
      </c>
      <c r="M918" s="441">
        <f>IF(AND(L918&gt;O918,O918&gt;0),MinPoints,IF(L918&lt;N918,100,+INT((O918-$L918)/P918)+MinPoints))</f>
        <v>100</v>
      </c>
      <c r="N918" s="440">
        <f t="shared" si="7"/>
        <v>7</v>
      </c>
      <c r="O918" s="440">
        <f t="shared" si="8"/>
        <v>16</v>
      </c>
      <c r="P918" s="440">
        <f t="shared" si="9"/>
        <v>0.1</v>
      </c>
      <c r="Q918">
        <f t="array" ref="Q918">IF(I918&gt;0,INDEX(DB,I918,9),EventIndex)</f>
        <v>6</v>
      </c>
      <c r="S918" s="442">
        <f t="array" ref="S918">INDEX(MINVALUES,$Q918,$K$1)</f>
        <v>16</v>
      </c>
      <c r="T918">
        <f t="array" ref="T918">INDEX(INCVALUES,$Q918,$K$1)</f>
        <v>0.1</v>
      </c>
      <c r="V918">
        <f t="array" ref="V918">+J918+(4*(INDEX(MatchScoreTable,$Q918,20)-1))</f>
        <v>4</v>
      </c>
      <c r="W918">
        <f t="array" ref="W918">INDEX(INC_MINVALUES,$V918,$K$1)</f>
        <v>34</v>
      </c>
      <c r="X918" s="212">
        <f t="array" ref="X918">INDEX(INC_INCVALUES,$V918,$K$1)</f>
        <v>0.3</v>
      </c>
    </row>
    <row r="919" ht="15.75" customHeight="1">
      <c r="A919" s="435"/>
      <c r="B919" s="436"/>
      <c r="C919" s="95" t="str">
        <f t="array" ref="C919">IF(I919&gt;0,INDEX(DB,I919,8),"")</f>
        <v/>
      </c>
      <c r="D919" s="437">
        <f t="shared" si="1"/>
        <v>0</v>
      </c>
      <c r="F919" s="438">
        <f t="shared" si="2"/>
        <v>0</v>
      </c>
      <c r="G919" t="str">
        <f t="shared" si="3"/>
        <v/>
      </c>
      <c r="H919" t="b">
        <f t="shared" si="4"/>
        <v>0</v>
      </c>
      <c r="I919" s="439">
        <f>IF(OR(ISBLANK(A919),ISNA(MATCH(A919&amp;"",AthleteNumbers,0))),0,MATCH(A919&amp;"",AthleteNumbers,0))</f>
        <v>0</v>
      </c>
      <c r="J919" s="209">
        <f t="array" ref="J919">IF(I919&gt;0,INDEX(DB,$I919,6),0)</f>
        <v>0</v>
      </c>
      <c r="K919" s="440">
        <f t="shared" si="5"/>
        <v>0</v>
      </c>
      <c r="L919" s="440">
        <f t="shared" si="6"/>
        <v>0</v>
      </c>
      <c r="M919" s="441">
        <f>IF(AND(L919&gt;O919,O919&gt;0),MinPoints,IF(L919&lt;N919,100,+INT((O919-$L919)/P919)+MinPoints))</f>
        <v>100</v>
      </c>
      <c r="N919" s="440">
        <f t="shared" si="7"/>
        <v>7</v>
      </c>
      <c r="O919" s="440">
        <f t="shared" si="8"/>
        <v>16</v>
      </c>
      <c r="P919" s="440">
        <f t="shared" si="9"/>
        <v>0.1</v>
      </c>
      <c r="Q919">
        <f t="array" ref="Q919">IF(I919&gt;0,INDEX(DB,I919,9),EventIndex)</f>
        <v>6</v>
      </c>
      <c r="S919" s="442">
        <f t="array" ref="S919">INDEX(MINVALUES,$Q919,$K$1)</f>
        <v>16</v>
      </c>
      <c r="T919">
        <f t="array" ref="T919">INDEX(INCVALUES,$Q919,$K$1)</f>
        <v>0.1</v>
      </c>
      <c r="V919">
        <f t="array" ref="V919">+J919+(4*(INDEX(MatchScoreTable,$Q919,20)-1))</f>
        <v>4</v>
      </c>
      <c r="W919">
        <f t="array" ref="W919">INDEX(INC_MINVALUES,$V919,$K$1)</f>
        <v>34</v>
      </c>
      <c r="X919" s="212">
        <f t="array" ref="X919">INDEX(INC_INCVALUES,$V919,$K$1)</f>
        <v>0.3</v>
      </c>
    </row>
    <row r="920" ht="15.75" customHeight="1">
      <c r="A920" s="435"/>
      <c r="B920" s="436"/>
      <c r="C920" s="95" t="str">
        <f t="array" ref="C920">IF(I920&gt;0,INDEX(DB,I920,8),"")</f>
        <v/>
      </c>
      <c r="D920" s="437">
        <f t="shared" si="1"/>
        <v>0</v>
      </c>
      <c r="F920" s="438">
        <f t="shared" si="2"/>
        <v>0</v>
      </c>
      <c r="G920" t="str">
        <f t="shared" si="3"/>
        <v/>
      </c>
      <c r="H920" t="b">
        <f t="shared" si="4"/>
        <v>0</v>
      </c>
      <c r="I920" s="439">
        <f>IF(OR(ISBLANK(A920),ISNA(MATCH(A920&amp;"",AthleteNumbers,0))),0,MATCH(A920&amp;"",AthleteNumbers,0))</f>
        <v>0</v>
      </c>
      <c r="J920" s="209">
        <f t="array" ref="J920">IF(I920&gt;0,INDEX(DB,$I920,6),0)</f>
        <v>0</v>
      </c>
      <c r="K920" s="440">
        <f t="shared" si="5"/>
        <v>0</v>
      </c>
      <c r="L920" s="440">
        <f t="shared" si="6"/>
        <v>0</v>
      </c>
      <c r="M920" s="441">
        <f>IF(AND(L920&gt;O920,O920&gt;0),MinPoints,IF(L920&lt;N920,100,+INT((O920-$L920)/P920)+MinPoints))</f>
        <v>100</v>
      </c>
      <c r="N920" s="440">
        <f t="shared" si="7"/>
        <v>7</v>
      </c>
      <c r="O920" s="440">
        <f t="shared" si="8"/>
        <v>16</v>
      </c>
      <c r="P920" s="440">
        <f t="shared" si="9"/>
        <v>0.1</v>
      </c>
      <c r="Q920">
        <f t="array" ref="Q920">IF(I920&gt;0,INDEX(DB,I920,9),EventIndex)</f>
        <v>6</v>
      </c>
      <c r="S920" s="442">
        <f t="array" ref="S920">INDEX(MINVALUES,$Q920,$K$1)</f>
        <v>16</v>
      </c>
      <c r="T920">
        <f t="array" ref="T920">INDEX(INCVALUES,$Q920,$K$1)</f>
        <v>0.1</v>
      </c>
      <c r="V920">
        <f t="array" ref="V920">+J920+(4*(INDEX(MatchScoreTable,$Q920,20)-1))</f>
        <v>4</v>
      </c>
      <c r="W920">
        <f t="array" ref="W920">INDEX(INC_MINVALUES,$V920,$K$1)</f>
        <v>34</v>
      </c>
      <c r="X920" s="212">
        <f t="array" ref="X920">INDEX(INC_INCVALUES,$V920,$K$1)</f>
        <v>0.3</v>
      </c>
    </row>
    <row r="921" ht="15.75" customHeight="1">
      <c r="A921" s="435"/>
      <c r="B921" s="436"/>
      <c r="C921" s="95" t="str">
        <f t="array" ref="C921">IF(I921&gt;0,INDEX(DB,I921,8),"")</f>
        <v/>
      </c>
      <c r="D921" s="437">
        <f t="shared" si="1"/>
        <v>0</v>
      </c>
      <c r="F921" s="438">
        <f t="shared" si="2"/>
        <v>0</v>
      </c>
      <c r="G921" t="str">
        <f t="shared" si="3"/>
        <v/>
      </c>
      <c r="H921" t="b">
        <f t="shared" si="4"/>
        <v>0</v>
      </c>
      <c r="I921" s="439">
        <f>IF(OR(ISBLANK(A921),ISNA(MATCH(A921&amp;"",AthleteNumbers,0))),0,MATCH(A921&amp;"",AthleteNumbers,0))</f>
        <v>0</v>
      </c>
      <c r="J921" s="209">
        <f t="array" ref="J921">IF(I921&gt;0,INDEX(DB,$I921,6),0)</f>
        <v>0</v>
      </c>
      <c r="K921" s="440">
        <f t="shared" si="5"/>
        <v>0</v>
      </c>
      <c r="L921" s="440">
        <f t="shared" si="6"/>
        <v>0</v>
      </c>
      <c r="M921" s="441">
        <f>IF(AND(L921&gt;O921,O921&gt;0),MinPoints,IF(L921&lt;N921,100,+INT((O921-$L921)/P921)+MinPoints))</f>
        <v>100</v>
      </c>
      <c r="N921" s="440">
        <f t="shared" si="7"/>
        <v>7</v>
      </c>
      <c r="O921" s="440">
        <f t="shared" si="8"/>
        <v>16</v>
      </c>
      <c r="P921" s="440">
        <f t="shared" si="9"/>
        <v>0.1</v>
      </c>
      <c r="Q921">
        <f t="array" ref="Q921">IF(I921&gt;0,INDEX(DB,I921,9),EventIndex)</f>
        <v>6</v>
      </c>
      <c r="S921" s="442">
        <f t="array" ref="S921">INDEX(MINVALUES,$Q921,$K$1)</f>
        <v>16</v>
      </c>
      <c r="T921">
        <f t="array" ref="T921">INDEX(INCVALUES,$Q921,$K$1)</f>
        <v>0.1</v>
      </c>
      <c r="V921">
        <f t="array" ref="V921">+J921+(4*(INDEX(MatchScoreTable,$Q921,20)-1))</f>
        <v>4</v>
      </c>
      <c r="W921">
        <f t="array" ref="W921">INDEX(INC_MINVALUES,$V921,$K$1)</f>
        <v>34</v>
      </c>
      <c r="X921" s="212">
        <f t="array" ref="X921">INDEX(INC_INCVALUES,$V921,$K$1)</f>
        <v>0.3</v>
      </c>
    </row>
    <row r="922" ht="15.75" customHeight="1">
      <c r="A922" s="435"/>
      <c r="B922" s="436"/>
      <c r="C922" s="95" t="str">
        <f t="array" ref="C922">IF(I922&gt;0,INDEX(DB,I922,8),"")</f>
        <v/>
      </c>
      <c r="D922" s="437">
        <f t="shared" si="1"/>
        <v>0</v>
      </c>
      <c r="F922" s="438">
        <f t="shared" si="2"/>
        <v>0</v>
      </c>
      <c r="G922" t="str">
        <f t="shared" si="3"/>
        <v/>
      </c>
      <c r="H922" t="b">
        <f t="shared" si="4"/>
        <v>0</v>
      </c>
      <c r="I922" s="439">
        <f>IF(OR(ISBLANK(A922),ISNA(MATCH(A922&amp;"",AthleteNumbers,0))),0,MATCH(A922&amp;"",AthleteNumbers,0))</f>
        <v>0</v>
      </c>
      <c r="J922" s="209">
        <f t="array" ref="J922">IF(I922&gt;0,INDEX(DB,$I922,6),0)</f>
        <v>0</v>
      </c>
      <c r="K922" s="440">
        <f t="shared" si="5"/>
        <v>0</v>
      </c>
      <c r="L922" s="440">
        <f t="shared" si="6"/>
        <v>0</v>
      </c>
      <c r="M922" s="441">
        <f>IF(AND(L922&gt;O922,O922&gt;0),MinPoints,IF(L922&lt;N922,100,+INT((O922-$L922)/P922)+MinPoints))</f>
        <v>100</v>
      </c>
      <c r="N922" s="440">
        <f t="shared" si="7"/>
        <v>7</v>
      </c>
      <c r="O922" s="440">
        <f t="shared" si="8"/>
        <v>16</v>
      </c>
      <c r="P922" s="440">
        <f t="shared" si="9"/>
        <v>0.1</v>
      </c>
      <c r="Q922">
        <f t="array" ref="Q922">IF(I922&gt;0,INDEX(DB,I922,9),EventIndex)</f>
        <v>6</v>
      </c>
      <c r="S922" s="442">
        <f t="array" ref="S922">INDEX(MINVALUES,$Q922,$K$1)</f>
        <v>16</v>
      </c>
      <c r="T922">
        <f t="array" ref="T922">INDEX(INCVALUES,$Q922,$K$1)</f>
        <v>0.1</v>
      </c>
      <c r="V922">
        <f t="array" ref="V922">+J922+(4*(INDEX(MatchScoreTable,$Q922,20)-1))</f>
        <v>4</v>
      </c>
      <c r="W922">
        <f t="array" ref="W922">INDEX(INC_MINVALUES,$V922,$K$1)</f>
        <v>34</v>
      </c>
      <c r="X922" s="212">
        <f t="array" ref="X922">INDEX(INC_INCVALUES,$V922,$K$1)</f>
        <v>0.3</v>
      </c>
    </row>
    <row r="923" ht="15.75" customHeight="1">
      <c r="A923" s="435"/>
      <c r="B923" s="436"/>
      <c r="C923" s="95" t="str">
        <f t="array" ref="C923">IF(I923&gt;0,INDEX(DB,I923,8),"")</f>
        <v/>
      </c>
      <c r="D923" s="437">
        <f t="shared" si="1"/>
        <v>0</v>
      </c>
      <c r="F923" s="438">
        <f t="shared" si="2"/>
        <v>0</v>
      </c>
      <c r="G923" t="str">
        <f t="shared" si="3"/>
        <v/>
      </c>
      <c r="H923" t="b">
        <f t="shared" si="4"/>
        <v>0</v>
      </c>
      <c r="I923" s="439">
        <f>IF(OR(ISBLANK(A923),ISNA(MATCH(A923&amp;"",AthleteNumbers,0))),0,MATCH(A923&amp;"",AthleteNumbers,0))</f>
        <v>0</v>
      </c>
      <c r="J923" s="209">
        <f t="array" ref="J923">IF(I923&gt;0,INDEX(DB,$I923,6),0)</f>
        <v>0</v>
      </c>
      <c r="K923" s="440">
        <f t="shared" si="5"/>
        <v>0</v>
      </c>
      <c r="L923" s="440">
        <f t="shared" si="6"/>
        <v>0</v>
      </c>
      <c r="M923" s="441">
        <f>IF(AND(L923&gt;O923,O923&gt;0),MinPoints,IF(L923&lt;N923,100,+INT((O923-$L923)/P923)+MinPoints))</f>
        <v>100</v>
      </c>
      <c r="N923" s="440">
        <f t="shared" si="7"/>
        <v>7</v>
      </c>
      <c r="O923" s="440">
        <f t="shared" si="8"/>
        <v>16</v>
      </c>
      <c r="P923" s="440">
        <f t="shared" si="9"/>
        <v>0.1</v>
      </c>
      <c r="Q923">
        <f t="array" ref="Q923">IF(I923&gt;0,INDEX(DB,I923,9),EventIndex)</f>
        <v>6</v>
      </c>
      <c r="S923" s="442">
        <f t="array" ref="S923">INDEX(MINVALUES,$Q923,$K$1)</f>
        <v>16</v>
      </c>
      <c r="T923">
        <f t="array" ref="T923">INDEX(INCVALUES,$Q923,$K$1)</f>
        <v>0.1</v>
      </c>
      <c r="V923">
        <f t="array" ref="V923">+J923+(4*(INDEX(MatchScoreTable,$Q923,20)-1))</f>
        <v>4</v>
      </c>
      <c r="W923">
        <f t="array" ref="W923">INDEX(INC_MINVALUES,$V923,$K$1)</f>
        <v>34</v>
      </c>
      <c r="X923" s="212">
        <f t="array" ref="X923">INDEX(INC_INCVALUES,$V923,$K$1)</f>
        <v>0.3</v>
      </c>
    </row>
    <row r="924" ht="15.75" customHeight="1">
      <c r="A924" s="435"/>
      <c r="B924" s="436"/>
      <c r="C924" s="95" t="str">
        <f t="array" ref="C924">IF(I924&gt;0,INDEX(DB,I924,8),"")</f>
        <v/>
      </c>
      <c r="D924" s="437">
        <f t="shared" si="1"/>
        <v>0</v>
      </c>
      <c r="F924" s="438">
        <f t="shared" si="2"/>
        <v>0</v>
      </c>
      <c r="G924" t="str">
        <f t="shared" si="3"/>
        <v/>
      </c>
      <c r="H924" t="b">
        <f t="shared" si="4"/>
        <v>0</v>
      </c>
      <c r="I924" s="439">
        <f>IF(OR(ISBLANK(A924),ISNA(MATCH(A924&amp;"",AthleteNumbers,0))),0,MATCH(A924&amp;"",AthleteNumbers,0))</f>
        <v>0</v>
      </c>
      <c r="J924" s="209">
        <f t="array" ref="J924">IF(I924&gt;0,INDEX(DB,$I924,6),0)</f>
        <v>0</v>
      </c>
      <c r="K924" s="440">
        <f t="shared" si="5"/>
        <v>0</v>
      </c>
      <c r="L924" s="440">
        <f t="shared" si="6"/>
        <v>0</v>
      </c>
      <c r="M924" s="441">
        <f>IF(AND(L924&gt;O924,O924&gt;0),MinPoints,IF(L924&lt;N924,100,+INT((O924-$L924)/P924)+MinPoints))</f>
        <v>100</v>
      </c>
      <c r="N924" s="440">
        <f t="shared" si="7"/>
        <v>7</v>
      </c>
      <c r="O924" s="440">
        <f t="shared" si="8"/>
        <v>16</v>
      </c>
      <c r="P924" s="440">
        <f t="shared" si="9"/>
        <v>0.1</v>
      </c>
      <c r="Q924">
        <f t="array" ref="Q924">IF(I924&gt;0,INDEX(DB,I924,9),EventIndex)</f>
        <v>6</v>
      </c>
      <c r="S924" s="442">
        <f t="array" ref="S924">INDEX(MINVALUES,$Q924,$K$1)</f>
        <v>16</v>
      </c>
      <c r="T924">
        <f t="array" ref="T924">INDEX(INCVALUES,$Q924,$K$1)</f>
        <v>0.1</v>
      </c>
      <c r="V924">
        <f t="array" ref="V924">+J924+(4*(INDEX(MatchScoreTable,$Q924,20)-1))</f>
        <v>4</v>
      </c>
      <c r="W924">
        <f t="array" ref="W924">INDEX(INC_MINVALUES,$V924,$K$1)</f>
        <v>34</v>
      </c>
      <c r="X924" s="212">
        <f t="array" ref="X924">INDEX(INC_INCVALUES,$V924,$K$1)</f>
        <v>0.3</v>
      </c>
    </row>
    <row r="925" ht="15.75" customHeight="1">
      <c r="A925" s="435"/>
      <c r="B925" s="436"/>
      <c r="C925" s="95" t="str">
        <f t="array" ref="C925">IF(I925&gt;0,INDEX(DB,I925,8),"")</f>
        <v/>
      </c>
      <c r="D925" s="437">
        <f t="shared" si="1"/>
        <v>0</v>
      </c>
      <c r="F925" s="438">
        <f t="shared" si="2"/>
        <v>0</v>
      </c>
      <c r="G925" t="str">
        <f t="shared" si="3"/>
        <v/>
      </c>
      <c r="H925" t="b">
        <f t="shared" si="4"/>
        <v>0</v>
      </c>
      <c r="I925" s="439">
        <f>IF(OR(ISBLANK(A925),ISNA(MATCH(A925&amp;"",AthleteNumbers,0))),0,MATCH(A925&amp;"",AthleteNumbers,0))</f>
        <v>0</v>
      </c>
      <c r="J925" s="209">
        <f t="array" ref="J925">IF(I925&gt;0,INDEX(DB,$I925,6),0)</f>
        <v>0</v>
      </c>
      <c r="K925" s="440">
        <f t="shared" si="5"/>
        <v>0</v>
      </c>
      <c r="L925" s="440">
        <f t="shared" si="6"/>
        <v>0</v>
      </c>
      <c r="M925" s="441">
        <f>IF(AND(L925&gt;O925,O925&gt;0),MinPoints,IF(L925&lt;N925,100,+INT((O925-$L925)/P925)+MinPoints))</f>
        <v>100</v>
      </c>
      <c r="N925" s="440">
        <f t="shared" si="7"/>
        <v>7</v>
      </c>
      <c r="O925" s="440">
        <f t="shared" si="8"/>
        <v>16</v>
      </c>
      <c r="P925" s="440">
        <f t="shared" si="9"/>
        <v>0.1</v>
      </c>
      <c r="Q925">
        <f t="array" ref="Q925">IF(I925&gt;0,INDEX(DB,I925,9),EventIndex)</f>
        <v>6</v>
      </c>
      <c r="S925" s="442">
        <f t="array" ref="S925">INDEX(MINVALUES,$Q925,$K$1)</f>
        <v>16</v>
      </c>
      <c r="T925">
        <f t="array" ref="T925">INDEX(INCVALUES,$Q925,$K$1)</f>
        <v>0.1</v>
      </c>
      <c r="V925">
        <f t="array" ref="V925">+J925+(4*(INDEX(MatchScoreTable,$Q925,20)-1))</f>
        <v>4</v>
      </c>
      <c r="W925">
        <f t="array" ref="W925">INDEX(INC_MINVALUES,$V925,$K$1)</f>
        <v>34</v>
      </c>
      <c r="X925" s="212">
        <f t="array" ref="X925">INDEX(INC_INCVALUES,$V925,$K$1)</f>
        <v>0.3</v>
      </c>
    </row>
    <row r="926" ht="15.75" customHeight="1">
      <c r="A926" s="435"/>
      <c r="B926" s="436"/>
      <c r="C926" s="95" t="str">
        <f t="array" ref="C926">IF(I926&gt;0,INDEX(DB,I926,8),"")</f>
        <v/>
      </c>
      <c r="D926" s="437">
        <f t="shared" si="1"/>
        <v>0</v>
      </c>
      <c r="F926" s="438">
        <f t="shared" si="2"/>
        <v>0</v>
      </c>
      <c r="G926" t="str">
        <f t="shared" si="3"/>
        <v/>
      </c>
      <c r="H926" t="b">
        <f t="shared" si="4"/>
        <v>0</v>
      </c>
      <c r="I926" s="439">
        <f>IF(OR(ISBLANK(A926),ISNA(MATCH(A926&amp;"",AthleteNumbers,0))),0,MATCH(A926&amp;"",AthleteNumbers,0))</f>
        <v>0</v>
      </c>
      <c r="J926" s="209">
        <f t="array" ref="J926">IF(I926&gt;0,INDEX(DB,$I926,6),0)</f>
        <v>0</v>
      </c>
      <c r="K926" s="440">
        <f t="shared" si="5"/>
        <v>0</v>
      </c>
      <c r="L926" s="440">
        <f t="shared" si="6"/>
        <v>0</v>
      </c>
      <c r="M926" s="441">
        <f>IF(AND(L926&gt;O926,O926&gt;0),MinPoints,IF(L926&lt;N926,100,+INT((O926-$L926)/P926)+MinPoints))</f>
        <v>100</v>
      </c>
      <c r="N926" s="440">
        <f t="shared" si="7"/>
        <v>7</v>
      </c>
      <c r="O926" s="440">
        <f t="shared" si="8"/>
        <v>16</v>
      </c>
      <c r="P926" s="440">
        <f t="shared" si="9"/>
        <v>0.1</v>
      </c>
      <c r="Q926">
        <f t="array" ref="Q926">IF(I926&gt;0,INDEX(DB,I926,9),EventIndex)</f>
        <v>6</v>
      </c>
      <c r="S926" s="442">
        <f t="array" ref="S926">INDEX(MINVALUES,$Q926,$K$1)</f>
        <v>16</v>
      </c>
      <c r="T926">
        <f t="array" ref="T926">INDEX(INCVALUES,$Q926,$K$1)</f>
        <v>0.1</v>
      </c>
      <c r="V926">
        <f t="array" ref="V926">+J926+(4*(INDEX(MatchScoreTable,$Q926,20)-1))</f>
        <v>4</v>
      </c>
      <c r="W926">
        <f t="array" ref="W926">INDEX(INC_MINVALUES,$V926,$K$1)</f>
        <v>34</v>
      </c>
      <c r="X926" s="212">
        <f t="array" ref="X926">INDEX(INC_INCVALUES,$V926,$K$1)</f>
        <v>0.3</v>
      </c>
    </row>
    <row r="927" ht="15.75" customHeight="1">
      <c r="A927" s="435"/>
      <c r="B927" s="436"/>
      <c r="C927" s="95" t="str">
        <f t="array" ref="C927">IF(I927&gt;0,INDEX(DB,I927,8),"")</f>
        <v/>
      </c>
      <c r="D927" s="437">
        <f t="shared" si="1"/>
        <v>0</v>
      </c>
      <c r="F927" s="438">
        <f t="shared" si="2"/>
        <v>0</v>
      </c>
      <c r="G927" t="str">
        <f t="shared" si="3"/>
        <v/>
      </c>
      <c r="H927" t="b">
        <f t="shared" si="4"/>
        <v>0</v>
      </c>
      <c r="I927" s="439">
        <f>IF(OR(ISBLANK(A927),ISNA(MATCH(A927&amp;"",AthleteNumbers,0))),0,MATCH(A927&amp;"",AthleteNumbers,0))</f>
        <v>0</v>
      </c>
      <c r="J927" s="209">
        <f t="array" ref="J927">IF(I927&gt;0,INDEX(DB,$I927,6),0)</f>
        <v>0</v>
      </c>
      <c r="K927" s="440">
        <f t="shared" si="5"/>
        <v>0</v>
      </c>
      <c r="L927" s="440">
        <f t="shared" si="6"/>
        <v>0</v>
      </c>
      <c r="M927" s="441">
        <f>IF(AND(L927&gt;O927,O927&gt;0),MinPoints,IF(L927&lt;N927,100,+INT((O927-$L927)/P927)+MinPoints))</f>
        <v>100</v>
      </c>
      <c r="N927" s="440">
        <f t="shared" si="7"/>
        <v>7</v>
      </c>
      <c r="O927" s="440">
        <f t="shared" si="8"/>
        <v>16</v>
      </c>
      <c r="P927" s="440">
        <f t="shared" si="9"/>
        <v>0.1</v>
      </c>
      <c r="Q927">
        <f t="array" ref="Q927">IF(I927&gt;0,INDEX(DB,I927,9),EventIndex)</f>
        <v>6</v>
      </c>
      <c r="S927" s="442">
        <f t="array" ref="S927">INDEX(MINVALUES,$Q927,$K$1)</f>
        <v>16</v>
      </c>
      <c r="T927">
        <f t="array" ref="T927">INDEX(INCVALUES,$Q927,$K$1)</f>
        <v>0.1</v>
      </c>
      <c r="V927">
        <f t="array" ref="V927">+J927+(4*(INDEX(MatchScoreTable,$Q927,20)-1))</f>
        <v>4</v>
      </c>
      <c r="W927">
        <f t="array" ref="W927">INDEX(INC_MINVALUES,$V927,$K$1)</f>
        <v>34</v>
      </c>
      <c r="X927" s="212">
        <f t="array" ref="X927">INDEX(INC_INCVALUES,$V927,$K$1)</f>
        <v>0.3</v>
      </c>
    </row>
    <row r="928" ht="15.75" customHeight="1">
      <c r="A928" s="435"/>
      <c r="B928" s="436"/>
      <c r="C928" s="95" t="str">
        <f t="array" ref="C928">IF(I928&gt;0,INDEX(DB,I928,8),"")</f>
        <v/>
      </c>
      <c r="D928" s="437">
        <f t="shared" si="1"/>
        <v>0</v>
      </c>
      <c r="F928" s="438">
        <f t="shared" si="2"/>
        <v>0</v>
      </c>
      <c r="G928" t="str">
        <f t="shared" si="3"/>
        <v/>
      </c>
      <c r="H928" t="b">
        <f t="shared" si="4"/>
        <v>0</v>
      </c>
      <c r="I928" s="439">
        <f>IF(OR(ISBLANK(A928),ISNA(MATCH(A928&amp;"",AthleteNumbers,0))),0,MATCH(A928&amp;"",AthleteNumbers,0))</f>
        <v>0</v>
      </c>
      <c r="J928" s="209">
        <f t="array" ref="J928">IF(I928&gt;0,INDEX(DB,$I928,6),0)</f>
        <v>0</v>
      </c>
      <c r="K928" s="440">
        <f t="shared" si="5"/>
        <v>0</v>
      </c>
      <c r="L928" s="440">
        <f t="shared" si="6"/>
        <v>0</v>
      </c>
      <c r="M928" s="441">
        <f>IF(AND(L928&gt;O928,O928&gt;0),MinPoints,IF(L928&lt;N928,100,+INT((O928-$L928)/P928)+MinPoints))</f>
        <v>100</v>
      </c>
      <c r="N928" s="440">
        <f t="shared" si="7"/>
        <v>7</v>
      </c>
      <c r="O928" s="440">
        <f t="shared" si="8"/>
        <v>16</v>
      </c>
      <c r="P928" s="440">
        <f t="shared" si="9"/>
        <v>0.1</v>
      </c>
      <c r="Q928">
        <f t="array" ref="Q928">IF(I928&gt;0,INDEX(DB,I928,9),EventIndex)</f>
        <v>6</v>
      </c>
      <c r="S928" s="442">
        <f t="array" ref="S928">INDEX(MINVALUES,$Q928,$K$1)</f>
        <v>16</v>
      </c>
      <c r="T928">
        <f t="array" ref="T928">INDEX(INCVALUES,$Q928,$K$1)</f>
        <v>0.1</v>
      </c>
      <c r="V928">
        <f t="array" ref="V928">+J928+(4*(INDEX(MatchScoreTable,$Q928,20)-1))</f>
        <v>4</v>
      </c>
      <c r="W928">
        <f t="array" ref="W928">INDEX(INC_MINVALUES,$V928,$K$1)</f>
        <v>34</v>
      </c>
      <c r="X928" s="212">
        <f t="array" ref="X928">INDEX(INC_INCVALUES,$V928,$K$1)</f>
        <v>0.3</v>
      </c>
    </row>
    <row r="929" ht="15.75" customHeight="1">
      <c r="A929" s="435"/>
      <c r="B929" s="436"/>
      <c r="C929" s="95" t="str">
        <f t="array" ref="C929">IF(I929&gt;0,INDEX(DB,I929,8),"")</f>
        <v/>
      </c>
      <c r="D929" s="437">
        <f t="shared" si="1"/>
        <v>0</v>
      </c>
      <c r="F929" s="438">
        <f t="shared" si="2"/>
        <v>0</v>
      </c>
      <c r="G929" t="str">
        <f t="shared" si="3"/>
        <v/>
      </c>
      <c r="H929" t="b">
        <f t="shared" si="4"/>
        <v>0</v>
      </c>
      <c r="I929" s="439">
        <f>IF(OR(ISBLANK(A929),ISNA(MATCH(A929&amp;"",AthleteNumbers,0))),0,MATCH(A929&amp;"",AthleteNumbers,0))</f>
        <v>0</v>
      </c>
      <c r="J929" s="209">
        <f t="array" ref="J929">IF(I929&gt;0,INDEX(DB,$I929,6),0)</f>
        <v>0</v>
      </c>
      <c r="K929" s="440">
        <f t="shared" si="5"/>
        <v>0</v>
      </c>
      <c r="L929" s="440">
        <f t="shared" si="6"/>
        <v>0</v>
      </c>
      <c r="M929" s="441">
        <f>IF(AND(L929&gt;O929,O929&gt;0),MinPoints,IF(L929&lt;N929,100,+INT((O929-$L929)/P929)+MinPoints))</f>
        <v>100</v>
      </c>
      <c r="N929" s="440">
        <f t="shared" si="7"/>
        <v>7</v>
      </c>
      <c r="O929" s="440">
        <f t="shared" si="8"/>
        <v>16</v>
      </c>
      <c r="P929" s="440">
        <f t="shared" si="9"/>
        <v>0.1</v>
      </c>
      <c r="Q929">
        <f t="array" ref="Q929">IF(I929&gt;0,INDEX(DB,I929,9),EventIndex)</f>
        <v>6</v>
      </c>
      <c r="S929" s="442">
        <f t="array" ref="S929">INDEX(MINVALUES,$Q929,$K$1)</f>
        <v>16</v>
      </c>
      <c r="T929">
        <f t="array" ref="T929">INDEX(INCVALUES,$Q929,$K$1)</f>
        <v>0.1</v>
      </c>
      <c r="V929">
        <f t="array" ref="V929">+J929+(4*(INDEX(MatchScoreTable,$Q929,20)-1))</f>
        <v>4</v>
      </c>
      <c r="W929">
        <f t="array" ref="W929">INDEX(INC_MINVALUES,$V929,$K$1)</f>
        <v>34</v>
      </c>
      <c r="X929" s="212">
        <f t="array" ref="X929">INDEX(INC_INCVALUES,$V929,$K$1)</f>
        <v>0.3</v>
      </c>
    </row>
    <row r="930" ht="15.75" customHeight="1">
      <c r="A930" s="435"/>
      <c r="B930" s="436"/>
      <c r="C930" s="95" t="str">
        <f t="array" ref="C930">IF(I930&gt;0,INDEX(DB,I930,8),"")</f>
        <v/>
      </c>
      <c r="D930" s="437">
        <f t="shared" si="1"/>
        <v>0</v>
      </c>
      <c r="F930" s="438">
        <f t="shared" si="2"/>
        <v>0</v>
      </c>
      <c r="G930" t="str">
        <f t="shared" si="3"/>
        <v/>
      </c>
      <c r="H930" t="b">
        <f t="shared" si="4"/>
        <v>0</v>
      </c>
      <c r="I930" s="439">
        <f>IF(OR(ISBLANK(A930),ISNA(MATCH(A930&amp;"",AthleteNumbers,0))),0,MATCH(A930&amp;"",AthleteNumbers,0))</f>
        <v>0</v>
      </c>
      <c r="J930" s="209">
        <f t="array" ref="J930">IF(I930&gt;0,INDEX(DB,$I930,6),0)</f>
        <v>0</v>
      </c>
      <c r="K930" s="440">
        <f t="shared" si="5"/>
        <v>0</v>
      </c>
      <c r="L930" s="440">
        <f t="shared" si="6"/>
        <v>0</v>
      </c>
      <c r="M930" s="441">
        <f>IF(AND(L930&gt;O930,O930&gt;0),MinPoints,IF(L930&lt;N930,100,+INT((O930-$L930)/P930)+MinPoints))</f>
        <v>100</v>
      </c>
      <c r="N930" s="440">
        <f t="shared" si="7"/>
        <v>7</v>
      </c>
      <c r="O930" s="440">
        <f t="shared" si="8"/>
        <v>16</v>
      </c>
      <c r="P930" s="440">
        <f t="shared" si="9"/>
        <v>0.1</v>
      </c>
      <c r="Q930">
        <f t="array" ref="Q930">IF(I930&gt;0,INDEX(DB,I930,9),EventIndex)</f>
        <v>6</v>
      </c>
      <c r="S930" s="442">
        <f t="array" ref="S930">INDEX(MINVALUES,$Q930,$K$1)</f>
        <v>16</v>
      </c>
      <c r="T930">
        <f t="array" ref="T930">INDEX(INCVALUES,$Q930,$K$1)</f>
        <v>0.1</v>
      </c>
      <c r="V930">
        <f t="array" ref="V930">+J930+(4*(INDEX(MatchScoreTable,$Q930,20)-1))</f>
        <v>4</v>
      </c>
      <c r="W930">
        <f t="array" ref="W930">INDEX(INC_MINVALUES,$V930,$K$1)</f>
        <v>34</v>
      </c>
      <c r="X930" s="212">
        <f t="array" ref="X930">INDEX(INC_INCVALUES,$V930,$K$1)</f>
        <v>0.3</v>
      </c>
    </row>
    <row r="931" ht="15.75" customHeight="1">
      <c r="A931" s="435"/>
      <c r="B931" s="436"/>
      <c r="C931" s="95" t="str">
        <f t="array" ref="C931">IF(I931&gt;0,INDEX(DB,I931,8),"")</f>
        <v/>
      </c>
      <c r="D931" s="437">
        <f t="shared" si="1"/>
        <v>0</v>
      </c>
      <c r="F931" s="438">
        <f t="shared" si="2"/>
        <v>0</v>
      </c>
      <c r="G931" t="str">
        <f t="shared" si="3"/>
        <v/>
      </c>
      <c r="H931" t="b">
        <f t="shared" si="4"/>
        <v>0</v>
      </c>
      <c r="I931" s="439">
        <f>IF(OR(ISBLANK(A931),ISNA(MATCH(A931&amp;"",AthleteNumbers,0))),0,MATCH(A931&amp;"",AthleteNumbers,0))</f>
        <v>0</v>
      </c>
      <c r="J931" s="209">
        <f t="array" ref="J931">IF(I931&gt;0,INDEX(DB,$I931,6),0)</f>
        <v>0</v>
      </c>
      <c r="K931" s="440">
        <f t="shared" si="5"/>
        <v>0</v>
      </c>
      <c r="L931" s="440">
        <f t="shared" si="6"/>
        <v>0</v>
      </c>
      <c r="M931" s="441">
        <f>IF(AND(L931&gt;O931,O931&gt;0),MinPoints,IF(L931&lt;N931,100,+INT((O931-$L931)/P931)+MinPoints))</f>
        <v>100</v>
      </c>
      <c r="N931" s="440">
        <f t="shared" si="7"/>
        <v>7</v>
      </c>
      <c r="O931" s="440">
        <f t="shared" si="8"/>
        <v>16</v>
      </c>
      <c r="P931" s="440">
        <f t="shared" si="9"/>
        <v>0.1</v>
      </c>
      <c r="Q931">
        <f t="array" ref="Q931">IF(I931&gt;0,INDEX(DB,I931,9),EventIndex)</f>
        <v>6</v>
      </c>
      <c r="S931" s="442">
        <f t="array" ref="S931">INDEX(MINVALUES,$Q931,$K$1)</f>
        <v>16</v>
      </c>
      <c r="T931">
        <f t="array" ref="T931">INDEX(INCVALUES,$Q931,$K$1)</f>
        <v>0.1</v>
      </c>
      <c r="V931">
        <f t="array" ref="V931">+J931+(4*(INDEX(MatchScoreTable,$Q931,20)-1))</f>
        <v>4</v>
      </c>
      <c r="W931">
        <f t="array" ref="W931">INDEX(INC_MINVALUES,$V931,$K$1)</f>
        <v>34</v>
      </c>
      <c r="X931" s="212">
        <f t="array" ref="X931">INDEX(INC_INCVALUES,$V931,$K$1)</f>
        <v>0.3</v>
      </c>
    </row>
    <row r="932" ht="15.75" customHeight="1">
      <c r="A932" s="435"/>
      <c r="B932" s="436"/>
      <c r="C932" s="95" t="str">
        <f t="array" ref="C932">IF(I932&gt;0,INDEX(DB,I932,8),"")</f>
        <v/>
      </c>
      <c r="D932" s="437">
        <f t="shared" si="1"/>
        <v>0</v>
      </c>
      <c r="F932" s="438">
        <f t="shared" si="2"/>
        <v>0</v>
      </c>
      <c r="G932" t="str">
        <f t="shared" si="3"/>
        <v/>
      </c>
      <c r="H932" t="b">
        <f t="shared" si="4"/>
        <v>0</v>
      </c>
      <c r="I932" s="439">
        <f>IF(OR(ISBLANK(A932),ISNA(MATCH(A932&amp;"",AthleteNumbers,0))),0,MATCH(A932&amp;"",AthleteNumbers,0))</f>
        <v>0</v>
      </c>
      <c r="J932" s="209">
        <f t="array" ref="J932">IF(I932&gt;0,INDEX(DB,$I932,6),0)</f>
        <v>0</v>
      </c>
      <c r="K932" s="440">
        <f t="shared" si="5"/>
        <v>0</v>
      </c>
      <c r="L932" s="440">
        <f t="shared" si="6"/>
        <v>0</v>
      </c>
      <c r="M932" s="441">
        <f>IF(AND(L932&gt;O932,O932&gt;0),MinPoints,IF(L932&lt;N932,100,+INT((O932-$L932)/P932)+MinPoints))</f>
        <v>100</v>
      </c>
      <c r="N932" s="440">
        <f t="shared" si="7"/>
        <v>7</v>
      </c>
      <c r="O932" s="440">
        <f t="shared" si="8"/>
        <v>16</v>
      </c>
      <c r="P932" s="440">
        <f t="shared" si="9"/>
        <v>0.1</v>
      </c>
      <c r="Q932">
        <f t="array" ref="Q932">IF(I932&gt;0,INDEX(DB,I932,9),EventIndex)</f>
        <v>6</v>
      </c>
      <c r="S932" s="442">
        <f t="array" ref="S932">INDEX(MINVALUES,$Q932,$K$1)</f>
        <v>16</v>
      </c>
      <c r="T932">
        <f t="array" ref="T932">INDEX(INCVALUES,$Q932,$K$1)</f>
        <v>0.1</v>
      </c>
      <c r="V932">
        <f t="array" ref="V932">+J932+(4*(INDEX(MatchScoreTable,$Q932,20)-1))</f>
        <v>4</v>
      </c>
      <c r="W932">
        <f t="array" ref="W932">INDEX(INC_MINVALUES,$V932,$K$1)</f>
        <v>34</v>
      </c>
      <c r="X932" s="212">
        <f t="array" ref="X932">INDEX(INC_INCVALUES,$V932,$K$1)</f>
        <v>0.3</v>
      </c>
    </row>
    <row r="933" ht="15.75" customHeight="1">
      <c r="A933" s="435"/>
      <c r="B933" s="436"/>
      <c r="C933" s="95" t="str">
        <f t="array" ref="C933">IF(I933&gt;0,INDEX(DB,I933,8),"")</f>
        <v/>
      </c>
      <c r="D933" s="437">
        <f t="shared" si="1"/>
        <v>0</v>
      </c>
      <c r="F933" s="438">
        <f t="shared" si="2"/>
        <v>0</v>
      </c>
      <c r="G933" t="str">
        <f t="shared" si="3"/>
        <v/>
      </c>
      <c r="H933" t="b">
        <f t="shared" si="4"/>
        <v>0</v>
      </c>
      <c r="I933" s="439">
        <f>IF(OR(ISBLANK(A933),ISNA(MATCH(A933&amp;"",AthleteNumbers,0))),0,MATCH(A933&amp;"",AthleteNumbers,0))</f>
        <v>0</v>
      </c>
      <c r="J933" s="209">
        <f t="array" ref="J933">IF(I933&gt;0,INDEX(DB,$I933,6),0)</f>
        <v>0</v>
      </c>
      <c r="K933" s="440">
        <f t="shared" si="5"/>
        <v>0</v>
      </c>
      <c r="L933" s="440">
        <f t="shared" si="6"/>
        <v>0</v>
      </c>
      <c r="M933" s="441">
        <f>IF(AND(L933&gt;O933,O933&gt;0),MinPoints,IF(L933&lt;N933,100,+INT((O933-$L933)/P933)+MinPoints))</f>
        <v>100</v>
      </c>
      <c r="N933" s="440">
        <f t="shared" si="7"/>
        <v>7</v>
      </c>
      <c r="O933" s="440">
        <f t="shared" si="8"/>
        <v>16</v>
      </c>
      <c r="P933" s="440">
        <f t="shared" si="9"/>
        <v>0.1</v>
      </c>
      <c r="Q933">
        <f t="array" ref="Q933">IF(I933&gt;0,INDEX(DB,I933,9),EventIndex)</f>
        <v>6</v>
      </c>
      <c r="S933" s="442">
        <f t="array" ref="S933">INDEX(MINVALUES,$Q933,$K$1)</f>
        <v>16</v>
      </c>
      <c r="T933">
        <f t="array" ref="T933">INDEX(INCVALUES,$Q933,$K$1)</f>
        <v>0.1</v>
      </c>
      <c r="V933">
        <f t="array" ref="V933">+J933+(4*(INDEX(MatchScoreTable,$Q933,20)-1))</f>
        <v>4</v>
      </c>
      <c r="W933">
        <f t="array" ref="W933">INDEX(INC_MINVALUES,$V933,$K$1)</f>
        <v>34</v>
      </c>
      <c r="X933" s="212">
        <f t="array" ref="X933">INDEX(INC_INCVALUES,$V933,$K$1)</f>
        <v>0.3</v>
      </c>
    </row>
    <row r="934" ht="15.75" customHeight="1">
      <c r="A934" s="435"/>
      <c r="B934" s="436"/>
      <c r="C934" s="95" t="str">
        <f t="array" ref="C934">IF(I934&gt;0,INDEX(DB,I934,8),"")</f>
        <v/>
      </c>
      <c r="D934" s="437">
        <f t="shared" si="1"/>
        <v>0</v>
      </c>
      <c r="F934" s="438">
        <f t="shared" si="2"/>
        <v>0</v>
      </c>
      <c r="G934" t="str">
        <f t="shared" si="3"/>
        <v/>
      </c>
      <c r="H934" t="b">
        <f t="shared" si="4"/>
        <v>0</v>
      </c>
      <c r="I934" s="439">
        <f>IF(OR(ISBLANK(A934),ISNA(MATCH(A934&amp;"",AthleteNumbers,0))),0,MATCH(A934&amp;"",AthleteNumbers,0))</f>
        <v>0</v>
      </c>
      <c r="J934" s="209">
        <f t="array" ref="J934">IF(I934&gt;0,INDEX(DB,$I934,6),0)</f>
        <v>0</v>
      </c>
      <c r="K934" s="440">
        <f t="shared" si="5"/>
        <v>0</v>
      </c>
      <c r="L934" s="440">
        <f t="shared" si="6"/>
        <v>0</v>
      </c>
      <c r="M934" s="441">
        <f>IF(AND(L934&gt;O934,O934&gt;0),MinPoints,IF(L934&lt;N934,100,+INT((O934-$L934)/P934)+MinPoints))</f>
        <v>100</v>
      </c>
      <c r="N934" s="440">
        <f t="shared" si="7"/>
        <v>7</v>
      </c>
      <c r="O934" s="440">
        <f t="shared" si="8"/>
        <v>16</v>
      </c>
      <c r="P934" s="440">
        <f t="shared" si="9"/>
        <v>0.1</v>
      </c>
      <c r="Q934">
        <f t="array" ref="Q934">IF(I934&gt;0,INDEX(DB,I934,9),EventIndex)</f>
        <v>6</v>
      </c>
      <c r="S934" s="442">
        <f t="array" ref="S934">INDEX(MINVALUES,$Q934,$K$1)</f>
        <v>16</v>
      </c>
      <c r="T934">
        <f t="array" ref="T934">INDEX(INCVALUES,$Q934,$K$1)</f>
        <v>0.1</v>
      </c>
      <c r="V934">
        <f t="array" ref="V934">+J934+(4*(INDEX(MatchScoreTable,$Q934,20)-1))</f>
        <v>4</v>
      </c>
      <c r="W934">
        <f t="array" ref="W934">INDEX(INC_MINVALUES,$V934,$K$1)</f>
        <v>34</v>
      </c>
      <c r="X934" s="212">
        <f t="array" ref="X934">INDEX(INC_INCVALUES,$V934,$K$1)</f>
        <v>0.3</v>
      </c>
    </row>
    <row r="935" ht="15.75" customHeight="1">
      <c r="A935" s="435"/>
      <c r="B935" s="436"/>
      <c r="C935" s="95" t="str">
        <f t="array" ref="C935">IF(I935&gt;0,INDEX(DB,I935,8),"")</f>
        <v/>
      </c>
      <c r="D935" s="437">
        <f t="shared" si="1"/>
        <v>0</v>
      </c>
      <c r="F935" s="438">
        <f t="shared" si="2"/>
        <v>0</v>
      </c>
      <c r="G935" t="str">
        <f t="shared" si="3"/>
        <v/>
      </c>
      <c r="H935" t="b">
        <f t="shared" si="4"/>
        <v>0</v>
      </c>
      <c r="I935" s="439">
        <f>IF(OR(ISBLANK(A935),ISNA(MATCH(A935&amp;"",AthleteNumbers,0))),0,MATCH(A935&amp;"",AthleteNumbers,0))</f>
        <v>0</v>
      </c>
      <c r="J935" s="209">
        <f t="array" ref="J935">IF(I935&gt;0,INDEX(DB,$I935,6),0)</f>
        <v>0</v>
      </c>
      <c r="K935" s="440">
        <f t="shared" si="5"/>
        <v>0</v>
      </c>
      <c r="L935" s="440">
        <f t="shared" si="6"/>
        <v>0</v>
      </c>
      <c r="M935" s="441">
        <f>IF(AND(L935&gt;O935,O935&gt;0),MinPoints,IF(L935&lt;N935,100,+INT((O935-$L935)/P935)+MinPoints))</f>
        <v>100</v>
      </c>
      <c r="N935" s="440">
        <f t="shared" si="7"/>
        <v>7</v>
      </c>
      <c r="O935" s="440">
        <f t="shared" si="8"/>
        <v>16</v>
      </c>
      <c r="P935" s="440">
        <f t="shared" si="9"/>
        <v>0.1</v>
      </c>
      <c r="Q935">
        <f t="array" ref="Q935">IF(I935&gt;0,INDEX(DB,I935,9),EventIndex)</f>
        <v>6</v>
      </c>
      <c r="S935" s="442">
        <f t="array" ref="S935">INDEX(MINVALUES,$Q935,$K$1)</f>
        <v>16</v>
      </c>
      <c r="T935">
        <f t="array" ref="T935">INDEX(INCVALUES,$Q935,$K$1)</f>
        <v>0.1</v>
      </c>
      <c r="V935">
        <f t="array" ref="V935">+J935+(4*(INDEX(MatchScoreTable,$Q935,20)-1))</f>
        <v>4</v>
      </c>
      <c r="W935">
        <f t="array" ref="W935">INDEX(INC_MINVALUES,$V935,$K$1)</f>
        <v>34</v>
      </c>
      <c r="X935" s="212">
        <f t="array" ref="X935">INDEX(INC_INCVALUES,$V935,$K$1)</f>
        <v>0.3</v>
      </c>
    </row>
    <row r="936" ht="15.75" customHeight="1">
      <c r="A936" s="435"/>
      <c r="B936" s="436"/>
      <c r="C936" s="95" t="str">
        <f t="array" ref="C936">IF(I936&gt;0,INDEX(DB,I936,8),"")</f>
        <v/>
      </c>
      <c r="D936" s="437">
        <f t="shared" si="1"/>
        <v>0</v>
      </c>
      <c r="F936" s="438">
        <f t="shared" si="2"/>
        <v>0</v>
      </c>
      <c r="G936" t="str">
        <f t="shared" si="3"/>
        <v/>
      </c>
      <c r="H936" t="b">
        <f t="shared" si="4"/>
        <v>0</v>
      </c>
      <c r="I936" s="439">
        <f>IF(OR(ISBLANK(A936),ISNA(MATCH(A936&amp;"",AthleteNumbers,0))),0,MATCH(A936&amp;"",AthleteNumbers,0))</f>
        <v>0</v>
      </c>
      <c r="J936" s="209">
        <f t="array" ref="J936">IF(I936&gt;0,INDEX(DB,$I936,6),0)</f>
        <v>0</v>
      </c>
      <c r="K936" s="440">
        <f t="shared" si="5"/>
        <v>0</v>
      </c>
      <c r="L936" s="440">
        <f t="shared" si="6"/>
        <v>0</v>
      </c>
      <c r="M936" s="441">
        <f>IF(AND(L936&gt;O936,O936&gt;0),MinPoints,IF(L936&lt;N936,100,+INT((O936-$L936)/P936)+MinPoints))</f>
        <v>100</v>
      </c>
      <c r="N936" s="440">
        <f t="shared" si="7"/>
        <v>7</v>
      </c>
      <c r="O936" s="440">
        <f t="shared" si="8"/>
        <v>16</v>
      </c>
      <c r="P936" s="440">
        <f t="shared" si="9"/>
        <v>0.1</v>
      </c>
      <c r="Q936">
        <f t="array" ref="Q936">IF(I936&gt;0,INDEX(DB,I936,9),EventIndex)</f>
        <v>6</v>
      </c>
      <c r="S936" s="442">
        <f t="array" ref="S936">INDEX(MINVALUES,$Q936,$K$1)</f>
        <v>16</v>
      </c>
      <c r="T936">
        <f t="array" ref="T936">INDEX(INCVALUES,$Q936,$K$1)</f>
        <v>0.1</v>
      </c>
      <c r="V936">
        <f t="array" ref="V936">+J936+(4*(INDEX(MatchScoreTable,$Q936,20)-1))</f>
        <v>4</v>
      </c>
      <c r="W936">
        <f t="array" ref="W936">INDEX(INC_MINVALUES,$V936,$K$1)</f>
        <v>34</v>
      </c>
      <c r="X936" s="212">
        <f t="array" ref="X936">INDEX(INC_INCVALUES,$V936,$K$1)</f>
        <v>0.3</v>
      </c>
    </row>
    <row r="937" ht="15.75" customHeight="1">
      <c r="A937" s="435"/>
      <c r="B937" s="436"/>
      <c r="C937" s="95" t="str">
        <f t="array" ref="C937">IF(I937&gt;0,INDEX(DB,I937,8),"")</f>
        <v/>
      </c>
      <c r="D937" s="437">
        <f t="shared" si="1"/>
        <v>0</v>
      </c>
      <c r="F937" s="438">
        <f t="shared" si="2"/>
        <v>0</v>
      </c>
      <c r="G937" t="str">
        <f t="shared" si="3"/>
        <v/>
      </c>
      <c r="H937" t="b">
        <f t="shared" si="4"/>
        <v>0</v>
      </c>
      <c r="I937" s="439">
        <f>IF(OR(ISBLANK(A937),ISNA(MATCH(A937&amp;"",AthleteNumbers,0))),0,MATCH(A937&amp;"",AthleteNumbers,0))</f>
        <v>0</v>
      </c>
      <c r="J937" s="209">
        <f t="array" ref="J937">IF(I937&gt;0,INDEX(DB,$I937,6),0)</f>
        <v>0</v>
      </c>
      <c r="K937" s="440">
        <f t="shared" si="5"/>
        <v>0</v>
      </c>
      <c r="L937" s="440">
        <f t="shared" si="6"/>
        <v>0</v>
      </c>
      <c r="M937" s="441">
        <f>IF(AND(L937&gt;O937,O937&gt;0),MinPoints,IF(L937&lt;N937,100,+INT((O937-$L937)/P937)+MinPoints))</f>
        <v>100</v>
      </c>
      <c r="N937" s="440">
        <f t="shared" si="7"/>
        <v>7</v>
      </c>
      <c r="O937" s="440">
        <f t="shared" si="8"/>
        <v>16</v>
      </c>
      <c r="P937" s="440">
        <f t="shared" si="9"/>
        <v>0.1</v>
      </c>
      <c r="Q937">
        <f t="array" ref="Q937">IF(I937&gt;0,INDEX(DB,I937,9),EventIndex)</f>
        <v>6</v>
      </c>
      <c r="S937" s="442">
        <f t="array" ref="S937">INDEX(MINVALUES,$Q937,$K$1)</f>
        <v>16</v>
      </c>
      <c r="T937">
        <f t="array" ref="T937">INDEX(INCVALUES,$Q937,$K$1)</f>
        <v>0.1</v>
      </c>
      <c r="V937">
        <f t="array" ref="V937">+J937+(4*(INDEX(MatchScoreTable,$Q937,20)-1))</f>
        <v>4</v>
      </c>
      <c r="W937">
        <f t="array" ref="W937">INDEX(INC_MINVALUES,$V937,$K$1)</f>
        <v>34</v>
      </c>
      <c r="X937" s="212">
        <f t="array" ref="X937">INDEX(INC_INCVALUES,$V937,$K$1)</f>
        <v>0.3</v>
      </c>
    </row>
    <row r="938" ht="15.75" customHeight="1">
      <c r="A938" s="435"/>
      <c r="B938" s="436"/>
      <c r="C938" s="95" t="str">
        <f t="array" ref="C938">IF(I938&gt;0,INDEX(DB,I938,8),"")</f>
        <v/>
      </c>
      <c r="D938" s="437">
        <f t="shared" si="1"/>
        <v>0</v>
      </c>
      <c r="F938" s="438">
        <f t="shared" si="2"/>
        <v>0</v>
      </c>
      <c r="G938" t="str">
        <f t="shared" si="3"/>
        <v/>
      </c>
      <c r="H938" t="b">
        <f t="shared" si="4"/>
        <v>0</v>
      </c>
      <c r="I938" s="439">
        <f>IF(OR(ISBLANK(A938),ISNA(MATCH(A938&amp;"",AthleteNumbers,0))),0,MATCH(A938&amp;"",AthleteNumbers,0))</f>
        <v>0</v>
      </c>
      <c r="J938" s="209">
        <f t="array" ref="J938">IF(I938&gt;0,INDEX(DB,$I938,6),0)</f>
        <v>0</v>
      </c>
      <c r="K938" s="440">
        <f t="shared" si="5"/>
        <v>0</v>
      </c>
      <c r="L938" s="440">
        <f t="shared" si="6"/>
        <v>0</v>
      </c>
      <c r="M938" s="441">
        <f>IF(AND(L938&gt;O938,O938&gt;0),MinPoints,IF(L938&lt;N938,100,+INT((O938-$L938)/P938)+MinPoints))</f>
        <v>100</v>
      </c>
      <c r="N938" s="440">
        <f t="shared" si="7"/>
        <v>7</v>
      </c>
      <c r="O938" s="440">
        <f t="shared" si="8"/>
        <v>16</v>
      </c>
      <c r="P938" s="440">
        <f t="shared" si="9"/>
        <v>0.1</v>
      </c>
      <c r="Q938">
        <f t="array" ref="Q938">IF(I938&gt;0,INDEX(DB,I938,9),EventIndex)</f>
        <v>6</v>
      </c>
      <c r="S938" s="442">
        <f t="array" ref="S938">INDEX(MINVALUES,$Q938,$K$1)</f>
        <v>16</v>
      </c>
      <c r="T938">
        <f t="array" ref="T938">INDEX(INCVALUES,$Q938,$K$1)</f>
        <v>0.1</v>
      </c>
      <c r="V938">
        <f t="array" ref="V938">+J938+(4*(INDEX(MatchScoreTable,$Q938,20)-1))</f>
        <v>4</v>
      </c>
      <c r="W938">
        <f t="array" ref="W938">INDEX(INC_MINVALUES,$V938,$K$1)</f>
        <v>34</v>
      </c>
      <c r="X938" s="212">
        <f t="array" ref="X938">INDEX(INC_INCVALUES,$V938,$K$1)</f>
        <v>0.3</v>
      </c>
    </row>
    <row r="939" ht="15.75" customHeight="1">
      <c r="A939" s="435"/>
      <c r="B939" s="436"/>
      <c r="C939" s="95" t="str">
        <f t="array" ref="C939">IF(I939&gt;0,INDEX(DB,I939,8),"")</f>
        <v/>
      </c>
      <c r="D939" s="437">
        <f t="shared" si="1"/>
        <v>0</v>
      </c>
      <c r="F939" s="438">
        <f t="shared" si="2"/>
        <v>0</v>
      </c>
      <c r="G939" t="str">
        <f t="shared" si="3"/>
        <v/>
      </c>
      <c r="H939" t="b">
        <f t="shared" si="4"/>
        <v>0</v>
      </c>
      <c r="I939" s="439">
        <f>IF(OR(ISBLANK(A939),ISNA(MATCH(A939&amp;"",AthleteNumbers,0))),0,MATCH(A939&amp;"",AthleteNumbers,0))</f>
        <v>0</v>
      </c>
      <c r="J939" s="209">
        <f t="array" ref="J939">IF(I939&gt;0,INDEX(DB,$I939,6),0)</f>
        <v>0</v>
      </c>
      <c r="K939" s="440">
        <f t="shared" si="5"/>
        <v>0</v>
      </c>
      <c r="L939" s="440">
        <f t="shared" si="6"/>
        <v>0</v>
      </c>
      <c r="M939" s="441">
        <f>IF(AND(L939&gt;O939,O939&gt;0),MinPoints,IF(L939&lt;N939,100,+INT((O939-$L939)/P939)+MinPoints))</f>
        <v>100</v>
      </c>
      <c r="N939" s="440">
        <f t="shared" si="7"/>
        <v>7</v>
      </c>
      <c r="O939" s="440">
        <f t="shared" si="8"/>
        <v>16</v>
      </c>
      <c r="P939" s="440">
        <f t="shared" si="9"/>
        <v>0.1</v>
      </c>
      <c r="Q939">
        <f t="array" ref="Q939">IF(I939&gt;0,INDEX(DB,I939,9),EventIndex)</f>
        <v>6</v>
      </c>
      <c r="S939" s="442">
        <f t="array" ref="S939">INDEX(MINVALUES,$Q939,$K$1)</f>
        <v>16</v>
      </c>
      <c r="T939">
        <f t="array" ref="T939">INDEX(INCVALUES,$Q939,$K$1)</f>
        <v>0.1</v>
      </c>
      <c r="V939">
        <f t="array" ref="V939">+J939+(4*(INDEX(MatchScoreTable,$Q939,20)-1))</f>
        <v>4</v>
      </c>
      <c r="W939">
        <f t="array" ref="W939">INDEX(INC_MINVALUES,$V939,$K$1)</f>
        <v>34</v>
      </c>
      <c r="X939" s="212">
        <f t="array" ref="X939">INDEX(INC_INCVALUES,$V939,$K$1)</f>
        <v>0.3</v>
      </c>
    </row>
    <row r="940" ht="15.75" customHeight="1">
      <c r="A940" s="435"/>
      <c r="B940" s="436"/>
      <c r="C940" s="95" t="str">
        <f t="array" ref="C940">IF(I940&gt;0,INDEX(DB,I940,8),"")</f>
        <v/>
      </c>
      <c r="D940" s="437">
        <f t="shared" si="1"/>
        <v>0</v>
      </c>
      <c r="F940" s="438">
        <f t="shared" si="2"/>
        <v>0</v>
      </c>
      <c r="G940" t="str">
        <f t="shared" si="3"/>
        <v/>
      </c>
      <c r="H940" t="b">
        <f t="shared" si="4"/>
        <v>0</v>
      </c>
      <c r="I940" s="439">
        <f>IF(OR(ISBLANK(A940),ISNA(MATCH(A940&amp;"",AthleteNumbers,0))),0,MATCH(A940&amp;"",AthleteNumbers,0))</f>
        <v>0</v>
      </c>
      <c r="J940" s="209">
        <f t="array" ref="J940">IF(I940&gt;0,INDEX(DB,$I940,6),0)</f>
        <v>0</v>
      </c>
      <c r="K940" s="440">
        <f t="shared" si="5"/>
        <v>0</v>
      </c>
      <c r="L940" s="440">
        <f t="shared" si="6"/>
        <v>0</v>
      </c>
      <c r="M940" s="441">
        <f>IF(AND(L940&gt;O940,O940&gt;0),MinPoints,IF(L940&lt;N940,100,+INT((O940-$L940)/P940)+MinPoints))</f>
        <v>100</v>
      </c>
      <c r="N940" s="440">
        <f t="shared" si="7"/>
        <v>7</v>
      </c>
      <c r="O940" s="440">
        <f t="shared" si="8"/>
        <v>16</v>
      </c>
      <c r="P940" s="440">
        <f t="shared" si="9"/>
        <v>0.1</v>
      </c>
      <c r="Q940">
        <f t="array" ref="Q940">IF(I940&gt;0,INDEX(DB,I940,9),EventIndex)</f>
        <v>6</v>
      </c>
      <c r="S940" s="442">
        <f t="array" ref="S940">INDEX(MINVALUES,$Q940,$K$1)</f>
        <v>16</v>
      </c>
      <c r="T940">
        <f t="array" ref="T940">INDEX(INCVALUES,$Q940,$K$1)</f>
        <v>0.1</v>
      </c>
      <c r="V940">
        <f t="array" ref="V940">+J940+(4*(INDEX(MatchScoreTable,$Q940,20)-1))</f>
        <v>4</v>
      </c>
      <c r="W940">
        <f t="array" ref="W940">INDEX(INC_MINVALUES,$V940,$K$1)</f>
        <v>34</v>
      </c>
      <c r="X940" s="212">
        <f t="array" ref="X940">INDEX(INC_INCVALUES,$V940,$K$1)</f>
        <v>0.3</v>
      </c>
    </row>
    <row r="941" ht="15.75" customHeight="1">
      <c r="A941" s="435"/>
      <c r="B941" s="436"/>
      <c r="C941" s="95" t="str">
        <f t="array" ref="C941">IF(I941&gt;0,INDEX(DB,I941,8),"")</f>
        <v/>
      </c>
      <c r="D941" s="437">
        <f t="shared" si="1"/>
        <v>0</v>
      </c>
      <c r="F941" s="438">
        <f t="shared" si="2"/>
        <v>0</v>
      </c>
      <c r="G941" t="str">
        <f t="shared" si="3"/>
        <v/>
      </c>
      <c r="H941" t="b">
        <f t="shared" si="4"/>
        <v>0</v>
      </c>
      <c r="I941" s="439">
        <f>IF(OR(ISBLANK(A941),ISNA(MATCH(A941&amp;"",AthleteNumbers,0))),0,MATCH(A941&amp;"",AthleteNumbers,0))</f>
        <v>0</v>
      </c>
      <c r="J941" s="209">
        <f t="array" ref="J941">IF(I941&gt;0,INDEX(DB,$I941,6),0)</f>
        <v>0</v>
      </c>
      <c r="K941" s="440">
        <f t="shared" si="5"/>
        <v>0</v>
      </c>
      <c r="L941" s="440">
        <f t="shared" si="6"/>
        <v>0</v>
      </c>
      <c r="M941" s="441">
        <f>IF(AND(L941&gt;O941,O941&gt;0),MinPoints,IF(L941&lt;N941,100,+INT((O941-$L941)/P941)+MinPoints))</f>
        <v>100</v>
      </c>
      <c r="N941" s="440">
        <f t="shared" si="7"/>
        <v>7</v>
      </c>
      <c r="O941" s="440">
        <f t="shared" si="8"/>
        <v>16</v>
      </c>
      <c r="P941" s="440">
        <f t="shared" si="9"/>
        <v>0.1</v>
      </c>
      <c r="Q941">
        <f t="array" ref="Q941">IF(I941&gt;0,INDEX(DB,I941,9),EventIndex)</f>
        <v>6</v>
      </c>
      <c r="S941" s="442">
        <f t="array" ref="S941">INDEX(MINVALUES,$Q941,$K$1)</f>
        <v>16</v>
      </c>
      <c r="T941">
        <f t="array" ref="T941">INDEX(INCVALUES,$Q941,$K$1)</f>
        <v>0.1</v>
      </c>
      <c r="V941">
        <f t="array" ref="V941">+J941+(4*(INDEX(MatchScoreTable,$Q941,20)-1))</f>
        <v>4</v>
      </c>
      <c r="W941">
        <f t="array" ref="W941">INDEX(INC_MINVALUES,$V941,$K$1)</f>
        <v>34</v>
      </c>
      <c r="X941" s="212">
        <f t="array" ref="X941">INDEX(INC_INCVALUES,$V941,$K$1)</f>
        <v>0.3</v>
      </c>
    </row>
    <row r="942" ht="15.75" customHeight="1">
      <c r="A942" s="435"/>
      <c r="B942" s="436"/>
      <c r="C942" s="95" t="str">
        <f t="array" ref="C942">IF(I942&gt;0,INDEX(DB,I942,8),"")</f>
        <v/>
      </c>
      <c r="D942" s="437">
        <f t="shared" si="1"/>
        <v>0</v>
      </c>
      <c r="F942" s="438">
        <f t="shared" si="2"/>
        <v>0</v>
      </c>
      <c r="G942" t="str">
        <f t="shared" si="3"/>
        <v/>
      </c>
      <c r="H942" t="b">
        <f t="shared" si="4"/>
        <v>0</v>
      </c>
      <c r="I942" s="439">
        <f>IF(OR(ISBLANK(A942),ISNA(MATCH(A942&amp;"",AthleteNumbers,0))),0,MATCH(A942&amp;"",AthleteNumbers,0))</f>
        <v>0</v>
      </c>
      <c r="J942" s="209">
        <f t="array" ref="J942">IF(I942&gt;0,INDEX(DB,$I942,6),0)</f>
        <v>0</v>
      </c>
      <c r="K942" s="440">
        <f t="shared" si="5"/>
        <v>0</v>
      </c>
      <c r="L942" s="440">
        <f t="shared" si="6"/>
        <v>0</v>
      </c>
      <c r="M942" s="441">
        <f>IF(AND(L942&gt;O942,O942&gt;0),MinPoints,IF(L942&lt;N942,100,+INT((O942-$L942)/P942)+MinPoints))</f>
        <v>100</v>
      </c>
      <c r="N942" s="440">
        <f t="shared" si="7"/>
        <v>7</v>
      </c>
      <c r="O942" s="440">
        <f t="shared" si="8"/>
        <v>16</v>
      </c>
      <c r="P942" s="440">
        <f t="shared" si="9"/>
        <v>0.1</v>
      </c>
      <c r="Q942">
        <f t="array" ref="Q942">IF(I942&gt;0,INDEX(DB,I942,9),EventIndex)</f>
        <v>6</v>
      </c>
      <c r="S942" s="442">
        <f t="array" ref="S942">INDEX(MINVALUES,$Q942,$K$1)</f>
        <v>16</v>
      </c>
      <c r="T942">
        <f t="array" ref="T942">INDEX(INCVALUES,$Q942,$K$1)</f>
        <v>0.1</v>
      </c>
      <c r="V942">
        <f t="array" ref="V942">+J942+(4*(INDEX(MatchScoreTable,$Q942,20)-1))</f>
        <v>4</v>
      </c>
      <c r="W942">
        <f t="array" ref="W942">INDEX(INC_MINVALUES,$V942,$K$1)</f>
        <v>34</v>
      </c>
      <c r="X942" s="212">
        <f t="array" ref="X942">INDEX(INC_INCVALUES,$V942,$K$1)</f>
        <v>0.3</v>
      </c>
    </row>
    <row r="943" ht="15.75" customHeight="1">
      <c r="A943" s="435"/>
      <c r="B943" s="436"/>
      <c r="C943" s="95" t="str">
        <f t="array" ref="C943">IF(I943&gt;0,INDEX(DB,I943,8),"")</f>
        <v/>
      </c>
      <c r="D943" s="437">
        <f t="shared" si="1"/>
        <v>0</v>
      </c>
      <c r="F943" s="438">
        <f t="shared" si="2"/>
        <v>0</v>
      </c>
      <c r="G943" t="str">
        <f t="shared" si="3"/>
        <v/>
      </c>
      <c r="H943" t="b">
        <f t="shared" si="4"/>
        <v>0</v>
      </c>
      <c r="I943" s="439">
        <f>IF(OR(ISBLANK(A943),ISNA(MATCH(A943&amp;"",AthleteNumbers,0))),0,MATCH(A943&amp;"",AthleteNumbers,0))</f>
        <v>0</v>
      </c>
      <c r="J943" s="209">
        <f t="array" ref="J943">IF(I943&gt;0,INDEX(DB,$I943,6),0)</f>
        <v>0</v>
      </c>
      <c r="K943" s="440">
        <f t="shared" si="5"/>
        <v>0</v>
      </c>
      <c r="L943" s="440">
        <f t="shared" si="6"/>
        <v>0</v>
      </c>
      <c r="M943" s="441">
        <f>IF(AND(L943&gt;O943,O943&gt;0),MinPoints,IF(L943&lt;N943,100,+INT((O943-$L943)/P943)+MinPoints))</f>
        <v>100</v>
      </c>
      <c r="N943" s="440">
        <f t="shared" si="7"/>
        <v>7</v>
      </c>
      <c r="O943" s="440">
        <f t="shared" si="8"/>
        <v>16</v>
      </c>
      <c r="P943" s="440">
        <f t="shared" si="9"/>
        <v>0.1</v>
      </c>
      <c r="Q943">
        <f t="array" ref="Q943">IF(I943&gt;0,INDEX(DB,I943,9),EventIndex)</f>
        <v>6</v>
      </c>
      <c r="S943" s="442">
        <f t="array" ref="S943">INDEX(MINVALUES,$Q943,$K$1)</f>
        <v>16</v>
      </c>
      <c r="T943">
        <f t="array" ref="T943">INDEX(INCVALUES,$Q943,$K$1)</f>
        <v>0.1</v>
      </c>
      <c r="V943">
        <f t="array" ref="V943">+J943+(4*(INDEX(MatchScoreTable,$Q943,20)-1))</f>
        <v>4</v>
      </c>
      <c r="W943">
        <f t="array" ref="W943">INDEX(INC_MINVALUES,$V943,$K$1)</f>
        <v>34</v>
      </c>
      <c r="X943" s="212">
        <f t="array" ref="X943">INDEX(INC_INCVALUES,$V943,$K$1)</f>
        <v>0.3</v>
      </c>
    </row>
    <row r="944" ht="15.75" customHeight="1">
      <c r="A944" s="435"/>
      <c r="B944" s="436"/>
      <c r="C944" s="95" t="str">
        <f t="array" ref="C944">IF(I944&gt;0,INDEX(DB,I944,8),"")</f>
        <v/>
      </c>
      <c r="D944" s="437">
        <f t="shared" si="1"/>
        <v>0</v>
      </c>
      <c r="F944" s="438">
        <f t="shared" si="2"/>
        <v>0</v>
      </c>
      <c r="G944" t="str">
        <f t="shared" si="3"/>
        <v/>
      </c>
      <c r="H944" t="b">
        <f t="shared" si="4"/>
        <v>0</v>
      </c>
      <c r="I944" s="439">
        <f>IF(OR(ISBLANK(A944),ISNA(MATCH(A944&amp;"",AthleteNumbers,0))),0,MATCH(A944&amp;"",AthleteNumbers,0))</f>
        <v>0</v>
      </c>
      <c r="J944" s="209">
        <f t="array" ref="J944">IF(I944&gt;0,INDEX(DB,$I944,6),0)</f>
        <v>0</v>
      </c>
      <c r="K944" s="440">
        <f t="shared" si="5"/>
        <v>0</v>
      </c>
      <c r="L944" s="440">
        <f t="shared" si="6"/>
        <v>0</v>
      </c>
      <c r="M944" s="441">
        <f>IF(AND(L944&gt;O944,O944&gt;0),MinPoints,IF(L944&lt;N944,100,+INT((O944-$L944)/P944)+MinPoints))</f>
        <v>100</v>
      </c>
      <c r="N944" s="440">
        <f t="shared" si="7"/>
        <v>7</v>
      </c>
      <c r="O944" s="440">
        <f t="shared" si="8"/>
        <v>16</v>
      </c>
      <c r="P944" s="440">
        <f t="shared" si="9"/>
        <v>0.1</v>
      </c>
      <c r="Q944">
        <f t="array" ref="Q944">IF(I944&gt;0,INDEX(DB,I944,9),EventIndex)</f>
        <v>6</v>
      </c>
      <c r="S944" s="442">
        <f t="array" ref="S944">INDEX(MINVALUES,$Q944,$K$1)</f>
        <v>16</v>
      </c>
      <c r="T944">
        <f t="array" ref="T944">INDEX(INCVALUES,$Q944,$K$1)</f>
        <v>0.1</v>
      </c>
      <c r="V944">
        <f t="array" ref="V944">+J944+(4*(INDEX(MatchScoreTable,$Q944,20)-1))</f>
        <v>4</v>
      </c>
      <c r="W944">
        <f t="array" ref="W944">INDEX(INC_MINVALUES,$V944,$K$1)</f>
        <v>34</v>
      </c>
      <c r="X944" s="212">
        <f t="array" ref="X944">INDEX(INC_INCVALUES,$V944,$K$1)</f>
        <v>0.3</v>
      </c>
    </row>
    <row r="945" ht="15.75" customHeight="1">
      <c r="A945" s="435"/>
      <c r="B945" s="436"/>
      <c r="C945" s="95" t="str">
        <f t="array" ref="C945">IF(I945&gt;0,INDEX(DB,I945,8),"")</f>
        <v/>
      </c>
      <c r="D945" s="437">
        <f t="shared" si="1"/>
        <v>0</v>
      </c>
      <c r="F945" s="438">
        <f t="shared" si="2"/>
        <v>0</v>
      </c>
      <c r="G945" t="str">
        <f t="shared" si="3"/>
        <v/>
      </c>
      <c r="H945" t="b">
        <f t="shared" si="4"/>
        <v>0</v>
      </c>
      <c r="I945" s="439">
        <f>IF(OR(ISBLANK(A945),ISNA(MATCH(A945&amp;"",AthleteNumbers,0))),0,MATCH(A945&amp;"",AthleteNumbers,0))</f>
        <v>0</v>
      </c>
      <c r="J945" s="209">
        <f t="array" ref="J945">IF(I945&gt;0,INDEX(DB,$I945,6),0)</f>
        <v>0</v>
      </c>
      <c r="K945" s="440">
        <f t="shared" si="5"/>
        <v>0</v>
      </c>
      <c r="L945" s="440">
        <f t="shared" si="6"/>
        <v>0</v>
      </c>
      <c r="M945" s="441">
        <f>IF(AND(L945&gt;O945,O945&gt;0),MinPoints,IF(L945&lt;N945,100,+INT((O945-$L945)/P945)+MinPoints))</f>
        <v>100</v>
      </c>
      <c r="N945" s="440">
        <f t="shared" si="7"/>
        <v>7</v>
      </c>
      <c r="O945" s="440">
        <f t="shared" si="8"/>
        <v>16</v>
      </c>
      <c r="P945" s="440">
        <f t="shared" si="9"/>
        <v>0.1</v>
      </c>
      <c r="Q945">
        <f t="array" ref="Q945">IF(I945&gt;0,INDEX(DB,I945,9),EventIndex)</f>
        <v>6</v>
      </c>
      <c r="S945" s="442">
        <f t="array" ref="S945">INDEX(MINVALUES,$Q945,$K$1)</f>
        <v>16</v>
      </c>
      <c r="T945">
        <f t="array" ref="T945">INDEX(INCVALUES,$Q945,$K$1)</f>
        <v>0.1</v>
      </c>
      <c r="V945">
        <f t="array" ref="V945">+J945+(4*(INDEX(MatchScoreTable,$Q945,20)-1))</f>
        <v>4</v>
      </c>
      <c r="W945">
        <f t="array" ref="W945">INDEX(INC_MINVALUES,$V945,$K$1)</f>
        <v>34</v>
      </c>
      <c r="X945" s="212">
        <f t="array" ref="X945">INDEX(INC_INCVALUES,$V945,$K$1)</f>
        <v>0.3</v>
      </c>
    </row>
    <row r="946" ht="15.75" customHeight="1">
      <c r="A946" s="435"/>
      <c r="B946" s="436"/>
      <c r="C946" s="95" t="str">
        <f t="array" ref="C946">IF(I946&gt;0,INDEX(DB,I946,8),"")</f>
        <v/>
      </c>
      <c r="D946" s="437">
        <f t="shared" si="1"/>
        <v>0</v>
      </c>
      <c r="F946" s="438">
        <f t="shared" si="2"/>
        <v>0</v>
      </c>
      <c r="G946" t="str">
        <f t="shared" si="3"/>
        <v/>
      </c>
      <c r="H946" t="b">
        <f t="shared" si="4"/>
        <v>0</v>
      </c>
      <c r="I946" s="439">
        <f>IF(OR(ISBLANK(A946),ISNA(MATCH(A946&amp;"",AthleteNumbers,0))),0,MATCH(A946&amp;"",AthleteNumbers,0))</f>
        <v>0</v>
      </c>
      <c r="J946" s="209">
        <f t="array" ref="J946">IF(I946&gt;0,INDEX(DB,$I946,6),0)</f>
        <v>0</v>
      </c>
      <c r="K946" s="440">
        <f t="shared" si="5"/>
        <v>0</v>
      </c>
      <c r="L946" s="440">
        <f t="shared" si="6"/>
        <v>0</v>
      </c>
      <c r="M946" s="441">
        <f>IF(AND(L946&gt;O946,O946&gt;0),MinPoints,IF(L946&lt;N946,100,+INT((O946-$L946)/P946)+MinPoints))</f>
        <v>100</v>
      </c>
      <c r="N946" s="440">
        <f t="shared" si="7"/>
        <v>7</v>
      </c>
      <c r="O946" s="440">
        <f t="shared" si="8"/>
        <v>16</v>
      </c>
      <c r="P946" s="440">
        <f t="shared" si="9"/>
        <v>0.1</v>
      </c>
      <c r="Q946">
        <f t="array" ref="Q946">IF(I946&gt;0,INDEX(DB,I946,9),EventIndex)</f>
        <v>6</v>
      </c>
      <c r="S946" s="442">
        <f t="array" ref="S946">INDEX(MINVALUES,$Q946,$K$1)</f>
        <v>16</v>
      </c>
      <c r="T946">
        <f t="array" ref="T946">INDEX(INCVALUES,$Q946,$K$1)</f>
        <v>0.1</v>
      </c>
      <c r="V946">
        <f t="array" ref="V946">+J946+(4*(INDEX(MatchScoreTable,$Q946,20)-1))</f>
        <v>4</v>
      </c>
      <c r="W946">
        <f t="array" ref="W946">INDEX(INC_MINVALUES,$V946,$K$1)</f>
        <v>34</v>
      </c>
      <c r="X946" s="212">
        <f t="array" ref="X946">INDEX(INC_INCVALUES,$V946,$K$1)</f>
        <v>0.3</v>
      </c>
    </row>
    <row r="947" ht="15.75" customHeight="1">
      <c r="A947" s="435"/>
      <c r="B947" s="436"/>
      <c r="C947" s="95" t="str">
        <f t="array" ref="C947">IF(I947&gt;0,INDEX(DB,I947,8),"")</f>
        <v/>
      </c>
      <c r="D947" s="437">
        <f t="shared" si="1"/>
        <v>0</v>
      </c>
      <c r="F947" s="438">
        <f t="shared" si="2"/>
        <v>0</v>
      </c>
      <c r="G947" t="str">
        <f t="shared" si="3"/>
        <v/>
      </c>
      <c r="H947" t="b">
        <f t="shared" si="4"/>
        <v>0</v>
      </c>
      <c r="I947" s="439">
        <f>IF(OR(ISBLANK(A947),ISNA(MATCH(A947&amp;"",AthleteNumbers,0))),0,MATCH(A947&amp;"",AthleteNumbers,0))</f>
        <v>0</v>
      </c>
      <c r="J947" s="209">
        <f t="array" ref="J947">IF(I947&gt;0,INDEX(DB,$I947,6),0)</f>
        <v>0</v>
      </c>
      <c r="K947" s="440">
        <f t="shared" si="5"/>
        <v>0</v>
      </c>
      <c r="L947" s="440">
        <f t="shared" si="6"/>
        <v>0</v>
      </c>
      <c r="M947" s="441">
        <f>IF(AND(L947&gt;O947,O947&gt;0),MinPoints,IF(L947&lt;N947,100,+INT((O947-$L947)/P947)+MinPoints))</f>
        <v>100</v>
      </c>
      <c r="N947" s="440">
        <f t="shared" si="7"/>
        <v>7</v>
      </c>
      <c r="O947" s="440">
        <f t="shared" si="8"/>
        <v>16</v>
      </c>
      <c r="P947" s="440">
        <f t="shared" si="9"/>
        <v>0.1</v>
      </c>
      <c r="Q947">
        <f t="array" ref="Q947">IF(I947&gt;0,INDEX(DB,I947,9),EventIndex)</f>
        <v>6</v>
      </c>
      <c r="S947" s="442">
        <f t="array" ref="S947">INDEX(MINVALUES,$Q947,$K$1)</f>
        <v>16</v>
      </c>
      <c r="T947">
        <f t="array" ref="T947">INDEX(INCVALUES,$Q947,$K$1)</f>
        <v>0.1</v>
      </c>
      <c r="V947">
        <f t="array" ref="V947">+J947+(4*(INDEX(MatchScoreTable,$Q947,20)-1))</f>
        <v>4</v>
      </c>
      <c r="W947">
        <f t="array" ref="W947">INDEX(INC_MINVALUES,$V947,$K$1)</f>
        <v>34</v>
      </c>
      <c r="X947" s="212">
        <f t="array" ref="X947">INDEX(INC_INCVALUES,$V947,$K$1)</f>
        <v>0.3</v>
      </c>
    </row>
    <row r="948" ht="15.75" customHeight="1">
      <c r="A948" s="435"/>
      <c r="B948" s="436"/>
      <c r="C948" s="95" t="str">
        <f t="array" ref="C948">IF(I948&gt;0,INDEX(DB,I948,8),"")</f>
        <v/>
      </c>
      <c r="D948" s="437">
        <f t="shared" si="1"/>
        <v>0</v>
      </c>
      <c r="F948" s="438">
        <f t="shared" si="2"/>
        <v>0</v>
      </c>
      <c r="G948" t="str">
        <f t="shared" si="3"/>
        <v/>
      </c>
      <c r="H948" t="b">
        <f t="shared" si="4"/>
        <v>0</v>
      </c>
      <c r="I948" s="439">
        <f>IF(OR(ISBLANK(A948),ISNA(MATCH(A948&amp;"",AthleteNumbers,0))),0,MATCH(A948&amp;"",AthleteNumbers,0))</f>
        <v>0</v>
      </c>
      <c r="J948" s="209">
        <f t="array" ref="J948">IF(I948&gt;0,INDEX(DB,$I948,6),0)</f>
        <v>0</v>
      </c>
      <c r="K948" s="440">
        <f t="shared" si="5"/>
        <v>0</v>
      </c>
      <c r="L948" s="440">
        <f t="shared" si="6"/>
        <v>0</v>
      </c>
      <c r="M948" s="441">
        <f>IF(AND(L948&gt;O948,O948&gt;0),MinPoints,IF(L948&lt;N948,100,+INT((O948-$L948)/P948)+MinPoints))</f>
        <v>100</v>
      </c>
      <c r="N948" s="440">
        <f t="shared" si="7"/>
        <v>7</v>
      </c>
      <c r="O948" s="440">
        <f t="shared" si="8"/>
        <v>16</v>
      </c>
      <c r="P948" s="440">
        <f t="shared" si="9"/>
        <v>0.1</v>
      </c>
      <c r="Q948">
        <f t="array" ref="Q948">IF(I948&gt;0,INDEX(DB,I948,9),EventIndex)</f>
        <v>6</v>
      </c>
      <c r="S948" s="442">
        <f t="array" ref="S948">INDEX(MINVALUES,$Q948,$K$1)</f>
        <v>16</v>
      </c>
      <c r="T948">
        <f t="array" ref="T948">INDEX(INCVALUES,$Q948,$K$1)</f>
        <v>0.1</v>
      </c>
      <c r="V948">
        <f t="array" ref="V948">+J948+(4*(INDEX(MatchScoreTable,$Q948,20)-1))</f>
        <v>4</v>
      </c>
      <c r="W948">
        <f t="array" ref="W948">INDEX(INC_MINVALUES,$V948,$K$1)</f>
        <v>34</v>
      </c>
      <c r="X948" s="212">
        <f t="array" ref="X948">INDEX(INC_INCVALUES,$V948,$K$1)</f>
        <v>0.3</v>
      </c>
    </row>
    <row r="949" ht="15.75" customHeight="1">
      <c r="A949" s="435"/>
      <c r="B949" s="436"/>
      <c r="C949" s="95" t="str">
        <f t="array" ref="C949">IF(I949&gt;0,INDEX(DB,I949,8),"")</f>
        <v/>
      </c>
      <c r="D949" s="437">
        <f t="shared" si="1"/>
        <v>0</v>
      </c>
      <c r="F949" s="438">
        <f t="shared" si="2"/>
        <v>0</v>
      </c>
      <c r="G949" t="str">
        <f t="shared" si="3"/>
        <v/>
      </c>
      <c r="H949" t="b">
        <f t="shared" si="4"/>
        <v>0</v>
      </c>
      <c r="I949" s="439">
        <f>IF(OR(ISBLANK(A949),ISNA(MATCH(A949&amp;"",AthleteNumbers,0))),0,MATCH(A949&amp;"",AthleteNumbers,0))</f>
        <v>0</v>
      </c>
      <c r="J949" s="209">
        <f t="array" ref="J949">IF(I949&gt;0,INDEX(DB,$I949,6),0)</f>
        <v>0</v>
      </c>
      <c r="K949" s="440">
        <f t="shared" si="5"/>
        <v>0</v>
      </c>
      <c r="L949" s="440">
        <f t="shared" si="6"/>
        <v>0</v>
      </c>
      <c r="M949" s="441">
        <f>IF(AND(L949&gt;O949,O949&gt;0),MinPoints,IF(L949&lt;N949,100,+INT((O949-$L949)/P949)+MinPoints))</f>
        <v>100</v>
      </c>
      <c r="N949" s="440">
        <f t="shared" si="7"/>
        <v>7</v>
      </c>
      <c r="O949" s="440">
        <f t="shared" si="8"/>
        <v>16</v>
      </c>
      <c r="P949" s="440">
        <f t="shared" si="9"/>
        <v>0.1</v>
      </c>
      <c r="Q949">
        <f t="array" ref="Q949">IF(I949&gt;0,INDEX(DB,I949,9),EventIndex)</f>
        <v>6</v>
      </c>
      <c r="S949" s="442">
        <f t="array" ref="S949">INDEX(MINVALUES,$Q949,$K$1)</f>
        <v>16</v>
      </c>
      <c r="T949">
        <f t="array" ref="T949">INDEX(INCVALUES,$Q949,$K$1)</f>
        <v>0.1</v>
      </c>
      <c r="V949">
        <f t="array" ref="V949">+J949+(4*(INDEX(MatchScoreTable,$Q949,20)-1))</f>
        <v>4</v>
      </c>
      <c r="W949">
        <f t="array" ref="W949">INDEX(INC_MINVALUES,$V949,$K$1)</f>
        <v>34</v>
      </c>
      <c r="X949" s="212">
        <f t="array" ref="X949">INDEX(INC_INCVALUES,$V949,$K$1)</f>
        <v>0.3</v>
      </c>
    </row>
    <row r="950" ht="15.75" customHeight="1">
      <c r="A950" s="435"/>
      <c r="B950" s="436"/>
      <c r="C950" s="95" t="str">
        <f t="array" ref="C950">IF(I950&gt;0,INDEX(DB,I950,8),"")</f>
        <v/>
      </c>
      <c r="D950" s="437">
        <f t="shared" si="1"/>
        <v>0</v>
      </c>
      <c r="F950" s="438">
        <f t="shared" si="2"/>
        <v>0</v>
      </c>
      <c r="G950" t="str">
        <f t="shared" si="3"/>
        <v/>
      </c>
      <c r="H950" t="b">
        <f t="shared" si="4"/>
        <v>0</v>
      </c>
      <c r="I950" s="439">
        <f>IF(OR(ISBLANK(A950),ISNA(MATCH(A950&amp;"",AthleteNumbers,0))),0,MATCH(A950&amp;"",AthleteNumbers,0))</f>
        <v>0</v>
      </c>
      <c r="J950" s="209">
        <f t="array" ref="J950">IF(I950&gt;0,INDEX(DB,$I950,6),0)</f>
        <v>0</v>
      </c>
      <c r="K950" s="440">
        <f t="shared" si="5"/>
        <v>0</v>
      </c>
      <c r="L950" s="440">
        <f t="shared" si="6"/>
        <v>0</v>
      </c>
      <c r="M950" s="441">
        <f>IF(AND(L950&gt;O950,O950&gt;0),MinPoints,IF(L950&lt;N950,100,+INT((O950-$L950)/P950)+MinPoints))</f>
        <v>100</v>
      </c>
      <c r="N950" s="440">
        <f t="shared" si="7"/>
        <v>7</v>
      </c>
      <c r="O950" s="440">
        <f t="shared" si="8"/>
        <v>16</v>
      </c>
      <c r="P950" s="440">
        <f t="shared" si="9"/>
        <v>0.1</v>
      </c>
      <c r="Q950">
        <f t="array" ref="Q950">IF(I950&gt;0,INDEX(DB,I950,9),EventIndex)</f>
        <v>6</v>
      </c>
      <c r="S950" s="442">
        <f t="array" ref="S950">INDEX(MINVALUES,$Q950,$K$1)</f>
        <v>16</v>
      </c>
      <c r="T950">
        <f t="array" ref="T950">INDEX(INCVALUES,$Q950,$K$1)</f>
        <v>0.1</v>
      </c>
      <c r="V950">
        <f t="array" ref="V950">+J950+(4*(INDEX(MatchScoreTable,$Q950,20)-1))</f>
        <v>4</v>
      </c>
      <c r="W950">
        <f t="array" ref="W950">INDEX(INC_MINVALUES,$V950,$K$1)</f>
        <v>34</v>
      </c>
      <c r="X950" s="212">
        <f t="array" ref="X950">INDEX(INC_INCVALUES,$V950,$K$1)</f>
        <v>0.3</v>
      </c>
    </row>
    <row r="951" ht="15.75" customHeight="1">
      <c r="A951" s="435"/>
      <c r="B951" s="436"/>
      <c r="C951" s="95" t="str">
        <f t="array" ref="C951">IF(I951&gt;0,INDEX(DB,I951,8),"")</f>
        <v/>
      </c>
      <c r="D951" s="437">
        <f t="shared" si="1"/>
        <v>0</v>
      </c>
      <c r="F951" s="438">
        <f t="shared" si="2"/>
        <v>0</v>
      </c>
      <c r="G951" t="str">
        <f t="shared" si="3"/>
        <v/>
      </c>
      <c r="H951" t="b">
        <f t="shared" si="4"/>
        <v>0</v>
      </c>
      <c r="I951" s="439">
        <f>IF(OR(ISBLANK(A951),ISNA(MATCH(A951&amp;"",AthleteNumbers,0))),0,MATCH(A951&amp;"",AthleteNumbers,0))</f>
        <v>0</v>
      </c>
      <c r="J951" s="209">
        <f t="array" ref="J951">IF(I951&gt;0,INDEX(DB,$I951,6),0)</f>
        <v>0</v>
      </c>
      <c r="K951" s="440">
        <f t="shared" si="5"/>
        <v>0</v>
      </c>
      <c r="L951" s="440">
        <f t="shared" si="6"/>
        <v>0</v>
      </c>
      <c r="M951" s="441">
        <f>IF(AND(L951&gt;O951,O951&gt;0),MinPoints,IF(L951&lt;N951,100,+INT((O951-$L951)/P951)+MinPoints))</f>
        <v>100</v>
      </c>
      <c r="N951" s="440">
        <f t="shared" si="7"/>
        <v>7</v>
      </c>
      <c r="O951" s="440">
        <f t="shared" si="8"/>
        <v>16</v>
      </c>
      <c r="P951" s="440">
        <f t="shared" si="9"/>
        <v>0.1</v>
      </c>
      <c r="Q951">
        <f t="array" ref="Q951">IF(I951&gt;0,INDEX(DB,I951,9),EventIndex)</f>
        <v>6</v>
      </c>
      <c r="S951" s="442">
        <f t="array" ref="S951">INDEX(MINVALUES,$Q951,$K$1)</f>
        <v>16</v>
      </c>
      <c r="T951">
        <f t="array" ref="T951">INDEX(INCVALUES,$Q951,$K$1)</f>
        <v>0.1</v>
      </c>
      <c r="V951">
        <f t="array" ref="V951">+J951+(4*(INDEX(MatchScoreTable,$Q951,20)-1))</f>
        <v>4</v>
      </c>
      <c r="W951">
        <f t="array" ref="W951">INDEX(INC_MINVALUES,$V951,$K$1)</f>
        <v>34</v>
      </c>
      <c r="X951" s="212">
        <f t="array" ref="X951">INDEX(INC_INCVALUES,$V951,$K$1)</f>
        <v>0.3</v>
      </c>
    </row>
    <row r="952" ht="15.75" customHeight="1">
      <c r="A952" s="435"/>
      <c r="B952" s="436"/>
      <c r="C952" s="95" t="str">
        <f t="array" ref="C952">IF(I952&gt;0,INDEX(DB,I952,8),"")</f>
        <v/>
      </c>
      <c r="D952" s="437">
        <f t="shared" si="1"/>
        <v>0</v>
      </c>
      <c r="F952" s="438">
        <f t="shared" si="2"/>
        <v>0</v>
      </c>
      <c r="G952" t="str">
        <f t="shared" si="3"/>
        <v/>
      </c>
      <c r="H952" t="b">
        <f t="shared" si="4"/>
        <v>0</v>
      </c>
      <c r="I952" s="439">
        <f>IF(OR(ISBLANK(A952),ISNA(MATCH(A952&amp;"",AthleteNumbers,0))),0,MATCH(A952&amp;"",AthleteNumbers,0))</f>
        <v>0</v>
      </c>
      <c r="J952" s="209">
        <f t="array" ref="J952">IF(I952&gt;0,INDEX(DB,$I952,6),0)</f>
        <v>0</v>
      </c>
      <c r="K952" s="440">
        <f t="shared" si="5"/>
        <v>0</v>
      </c>
      <c r="L952" s="440">
        <f t="shared" si="6"/>
        <v>0</v>
      </c>
      <c r="M952" s="441">
        <f>IF(AND(L952&gt;O952,O952&gt;0),MinPoints,IF(L952&lt;N952,100,+INT((O952-$L952)/P952)+MinPoints))</f>
        <v>100</v>
      </c>
      <c r="N952" s="440">
        <f t="shared" si="7"/>
        <v>7</v>
      </c>
      <c r="O952" s="440">
        <f t="shared" si="8"/>
        <v>16</v>
      </c>
      <c r="P952" s="440">
        <f t="shared" si="9"/>
        <v>0.1</v>
      </c>
      <c r="Q952">
        <f t="array" ref="Q952">IF(I952&gt;0,INDEX(DB,I952,9),EventIndex)</f>
        <v>6</v>
      </c>
      <c r="S952" s="442">
        <f t="array" ref="S952">INDEX(MINVALUES,$Q952,$K$1)</f>
        <v>16</v>
      </c>
      <c r="T952">
        <f t="array" ref="T952">INDEX(INCVALUES,$Q952,$K$1)</f>
        <v>0.1</v>
      </c>
      <c r="V952">
        <f t="array" ref="V952">+J952+(4*(INDEX(MatchScoreTable,$Q952,20)-1))</f>
        <v>4</v>
      </c>
      <c r="W952">
        <f t="array" ref="W952">INDEX(INC_MINVALUES,$V952,$K$1)</f>
        <v>34</v>
      </c>
      <c r="X952" s="212">
        <f t="array" ref="X952">INDEX(INC_INCVALUES,$V952,$K$1)</f>
        <v>0.3</v>
      </c>
    </row>
    <row r="953" ht="15.75" customHeight="1">
      <c r="A953" s="435"/>
      <c r="B953" s="436"/>
      <c r="C953" s="95" t="str">
        <f t="array" ref="C953">IF(I953&gt;0,INDEX(DB,I953,8),"")</f>
        <v/>
      </c>
      <c r="D953" s="437">
        <f t="shared" si="1"/>
        <v>0</v>
      </c>
      <c r="F953" s="438">
        <f t="shared" si="2"/>
        <v>0</v>
      </c>
      <c r="G953" t="str">
        <f t="shared" si="3"/>
        <v/>
      </c>
      <c r="H953" t="b">
        <f t="shared" si="4"/>
        <v>0</v>
      </c>
      <c r="I953" s="439">
        <f>IF(OR(ISBLANK(A953),ISNA(MATCH(A953&amp;"",AthleteNumbers,0))),0,MATCH(A953&amp;"",AthleteNumbers,0))</f>
        <v>0</v>
      </c>
      <c r="J953" s="209">
        <f t="array" ref="J953">IF(I953&gt;0,INDEX(DB,$I953,6),0)</f>
        <v>0</v>
      </c>
      <c r="K953" s="440">
        <f t="shared" si="5"/>
        <v>0</v>
      </c>
      <c r="L953" s="440">
        <f t="shared" si="6"/>
        <v>0</v>
      </c>
      <c r="M953" s="441">
        <f>IF(AND(L953&gt;O953,O953&gt;0),MinPoints,IF(L953&lt;N953,100,+INT((O953-$L953)/P953)+MinPoints))</f>
        <v>100</v>
      </c>
      <c r="N953" s="440">
        <f t="shared" si="7"/>
        <v>7</v>
      </c>
      <c r="O953" s="440">
        <f t="shared" si="8"/>
        <v>16</v>
      </c>
      <c r="P953" s="440">
        <f t="shared" si="9"/>
        <v>0.1</v>
      </c>
      <c r="Q953">
        <f t="array" ref="Q953">IF(I953&gt;0,INDEX(DB,I953,9),EventIndex)</f>
        <v>6</v>
      </c>
      <c r="S953" s="442">
        <f t="array" ref="S953">INDEX(MINVALUES,$Q953,$K$1)</f>
        <v>16</v>
      </c>
      <c r="T953">
        <f t="array" ref="T953">INDEX(INCVALUES,$Q953,$K$1)</f>
        <v>0.1</v>
      </c>
      <c r="V953">
        <f t="array" ref="V953">+J953+(4*(INDEX(MatchScoreTable,$Q953,20)-1))</f>
        <v>4</v>
      </c>
      <c r="W953">
        <f t="array" ref="W953">INDEX(INC_MINVALUES,$V953,$K$1)</f>
        <v>34</v>
      </c>
      <c r="X953" s="212">
        <f t="array" ref="X953">INDEX(INC_INCVALUES,$V953,$K$1)</f>
        <v>0.3</v>
      </c>
    </row>
    <row r="954" ht="15.75" customHeight="1">
      <c r="A954" s="435"/>
      <c r="B954" s="436"/>
      <c r="C954" s="95" t="str">
        <f t="array" ref="C954">IF(I954&gt;0,INDEX(DB,I954,8),"")</f>
        <v/>
      </c>
      <c r="D954" s="437">
        <f t="shared" si="1"/>
        <v>0</v>
      </c>
      <c r="F954" s="438">
        <f t="shared" si="2"/>
        <v>0</v>
      </c>
      <c r="G954" t="str">
        <f t="shared" si="3"/>
        <v/>
      </c>
      <c r="H954" t="b">
        <f t="shared" si="4"/>
        <v>0</v>
      </c>
      <c r="I954" s="439">
        <f>IF(OR(ISBLANK(A954),ISNA(MATCH(A954&amp;"",AthleteNumbers,0))),0,MATCH(A954&amp;"",AthleteNumbers,0))</f>
        <v>0</v>
      </c>
      <c r="J954" s="209">
        <f t="array" ref="J954">IF(I954&gt;0,INDEX(DB,$I954,6),0)</f>
        <v>0</v>
      </c>
      <c r="K954" s="440">
        <f t="shared" si="5"/>
        <v>0</v>
      </c>
      <c r="L954" s="440">
        <f t="shared" si="6"/>
        <v>0</v>
      </c>
      <c r="M954" s="441">
        <f>IF(AND(L954&gt;O954,O954&gt;0),MinPoints,IF(L954&lt;N954,100,+INT((O954-$L954)/P954)+MinPoints))</f>
        <v>100</v>
      </c>
      <c r="N954" s="440">
        <f t="shared" si="7"/>
        <v>7</v>
      </c>
      <c r="O954" s="440">
        <f t="shared" si="8"/>
        <v>16</v>
      </c>
      <c r="P954" s="440">
        <f t="shared" si="9"/>
        <v>0.1</v>
      </c>
      <c r="Q954">
        <f t="array" ref="Q954">IF(I954&gt;0,INDEX(DB,I954,9),EventIndex)</f>
        <v>6</v>
      </c>
      <c r="S954" s="442">
        <f t="array" ref="S954">INDEX(MINVALUES,$Q954,$K$1)</f>
        <v>16</v>
      </c>
      <c r="T954">
        <f t="array" ref="T954">INDEX(INCVALUES,$Q954,$K$1)</f>
        <v>0.1</v>
      </c>
      <c r="V954">
        <f t="array" ref="V954">+J954+(4*(INDEX(MatchScoreTable,$Q954,20)-1))</f>
        <v>4</v>
      </c>
      <c r="W954">
        <f t="array" ref="W954">INDEX(INC_MINVALUES,$V954,$K$1)</f>
        <v>34</v>
      </c>
      <c r="X954" s="212">
        <f t="array" ref="X954">INDEX(INC_INCVALUES,$V954,$K$1)</f>
        <v>0.3</v>
      </c>
    </row>
    <row r="955" ht="15.75" customHeight="1">
      <c r="A955" s="435"/>
      <c r="B955" s="436"/>
      <c r="C955" s="95" t="str">
        <f t="array" ref="C955">IF(I955&gt;0,INDEX(DB,I955,8),"")</f>
        <v/>
      </c>
      <c r="D955" s="437">
        <f t="shared" si="1"/>
        <v>0</v>
      </c>
      <c r="F955" s="438">
        <f t="shared" si="2"/>
        <v>0</v>
      </c>
      <c r="G955" t="str">
        <f t="shared" si="3"/>
        <v/>
      </c>
      <c r="H955" t="b">
        <f t="shared" si="4"/>
        <v>0</v>
      </c>
      <c r="I955" s="439">
        <f>IF(OR(ISBLANK(A955),ISNA(MATCH(A955&amp;"",AthleteNumbers,0))),0,MATCH(A955&amp;"",AthleteNumbers,0))</f>
        <v>0</v>
      </c>
      <c r="J955" s="209">
        <f t="array" ref="J955">IF(I955&gt;0,INDEX(DB,$I955,6),0)</f>
        <v>0</v>
      </c>
      <c r="K955" s="440">
        <f t="shared" si="5"/>
        <v>0</v>
      </c>
      <c r="L955" s="440">
        <f t="shared" si="6"/>
        <v>0</v>
      </c>
      <c r="M955" s="441">
        <f>IF(AND(L955&gt;O955,O955&gt;0),MinPoints,IF(L955&lt;N955,100,+INT((O955-$L955)/P955)+MinPoints))</f>
        <v>100</v>
      </c>
      <c r="N955" s="440">
        <f t="shared" si="7"/>
        <v>7</v>
      </c>
      <c r="O955" s="440">
        <f t="shared" si="8"/>
        <v>16</v>
      </c>
      <c r="P955" s="440">
        <f t="shared" si="9"/>
        <v>0.1</v>
      </c>
      <c r="Q955">
        <f t="array" ref="Q955">IF(I955&gt;0,INDEX(DB,I955,9),EventIndex)</f>
        <v>6</v>
      </c>
      <c r="S955" s="442">
        <f t="array" ref="S955">INDEX(MINVALUES,$Q955,$K$1)</f>
        <v>16</v>
      </c>
      <c r="T955">
        <f t="array" ref="T955">INDEX(INCVALUES,$Q955,$K$1)</f>
        <v>0.1</v>
      </c>
      <c r="V955">
        <f t="array" ref="V955">+J955+(4*(INDEX(MatchScoreTable,$Q955,20)-1))</f>
        <v>4</v>
      </c>
      <c r="W955">
        <f t="array" ref="W955">INDEX(INC_MINVALUES,$V955,$K$1)</f>
        <v>34</v>
      </c>
      <c r="X955" s="212">
        <f t="array" ref="X955">INDEX(INC_INCVALUES,$V955,$K$1)</f>
        <v>0.3</v>
      </c>
    </row>
    <row r="956" ht="15.75" customHeight="1">
      <c r="A956" s="435"/>
      <c r="B956" s="436"/>
      <c r="C956" s="95" t="str">
        <f t="array" ref="C956">IF(I956&gt;0,INDEX(DB,I956,8),"")</f>
        <v/>
      </c>
      <c r="D956" s="437">
        <f t="shared" si="1"/>
        <v>0</v>
      </c>
      <c r="F956" s="438">
        <f t="shared" si="2"/>
        <v>0</v>
      </c>
      <c r="G956" t="str">
        <f t="shared" si="3"/>
        <v/>
      </c>
      <c r="H956" t="b">
        <f t="shared" si="4"/>
        <v>0</v>
      </c>
      <c r="I956" s="439">
        <f>IF(OR(ISBLANK(A956),ISNA(MATCH(A956&amp;"",AthleteNumbers,0))),0,MATCH(A956&amp;"",AthleteNumbers,0))</f>
        <v>0</v>
      </c>
      <c r="J956" s="209">
        <f t="array" ref="J956">IF(I956&gt;0,INDEX(DB,$I956,6),0)</f>
        <v>0</v>
      </c>
      <c r="K956" s="440">
        <f t="shared" si="5"/>
        <v>0</v>
      </c>
      <c r="L956" s="440">
        <f t="shared" si="6"/>
        <v>0</v>
      </c>
      <c r="M956" s="441">
        <f>IF(AND(L956&gt;O956,O956&gt;0),MinPoints,IF(L956&lt;N956,100,+INT((O956-$L956)/P956)+MinPoints))</f>
        <v>100</v>
      </c>
      <c r="N956" s="440">
        <f t="shared" si="7"/>
        <v>7</v>
      </c>
      <c r="O956" s="440">
        <f t="shared" si="8"/>
        <v>16</v>
      </c>
      <c r="P956" s="440">
        <f t="shared" si="9"/>
        <v>0.1</v>
      </c>
      <c r="Q956">
        <f t="array" ref="Q956">IF(I956&gt;0,INDEX(DB,I956,9),EventIndex)</f>
        <v>6</v>
      </c>
      <c r="S956" s="442">
        <f t="array" ref="S956">INDEX(MINVALUES,$Q956,$K$1)</f>
        <v>16</v>
      </c>
      <c r="T956">
        <f t="array" ref="T956">INDEX(INCVALUES,$Q956,$K$1)</f>
        <v>0.1</v>
      </c>
      <c r="V956">
        <f t="array" ref="V956">+J956+(4*(INDEX(MatchScoreTable,$Q956,20)-1))</f>
        <v>4</v>
      </c>
      <c r="W956">
        <f t="array" ref="W956">INDEX(INC_MINVALUES,$V956,$K$1)</f>
        <v>34</v>
      </c>
      <c r="X956" s="212">
        <f t="array" ref="X956">INDEX(INC_INCVALUES,$V956,$K$1)</f>
        <v>0.3</v>
      </c>
    </row>
    <row r="957" ht="15.75" customHeight="1">
      <c r="A957" s="435"/>
      <c r="B957" s="436"/>
      <c r="C957" s="95" t="str">
        <f t="array" ref="C957">IF(I957&gt;0,INDEX(DB,I957,8),"")</f>
        <v/>
      </c>
      <c r="D957" s="437">
        <f t="shared" si="1"/>
        <v>0</v>
      </c>
      <c r="F957" s="438">
        <f t="shared" si="2"/>
        <v>0</v>
      </c>
      <c r="G957" t="str">
        <f t="shared" si="3"/>
        <v/>
      </c>
      <c r="H957" t="b">
        <f t="shared" si="4"/>
        <v>0</v>
      </c>
      <c r="I957" s="439">
        <f>IF(OR(ISBLANK(A957),ISNA(MATCH(A957&amp;"",AthleteNumbers,0))),0,MATCH(A957&amp;"",AthleteNumbers,0))</f>
        <v>0</v>
      </c>
      <c r="J957" s="209">
        <f t="array" ref="J957">IF(I957&gt;0,INDEX(DB,$I957,6),0)</f>
        <v>0</v>
      </c>
      <c r="K957" s="440">
        <f t="shared" si="5"/>
        <v>0</v>
      </c>
      <c r="L957" s="440">
        <f t="shared" si="6"/>
        <v>0</v>
      </c>
      <c r="M957" s="441">
        <f>IF(AND(L957&gt;O957,O957&gt;0),MinPoints,IF(L957&lt;N957,100,+INT((O957-$L957)/P957)+MinPoints))</f>
        <v>100</v>
      </c>
      <c r="N957" s="440">
        <f t="shared" si="7"/>
        <v>7</v>
      </c>
      <c r="O957" s="440">
        <f t="shared" si="8"/>
        <v>16</v>
      </c>
      <c r="P957" s="440">
        <f t="shared" si="9"/>
        <v>0.1</v>
      </c>
      <c r="Q957">
        <f t="array" ref="Q957">IF(I957&gt;0,INDEX(DB,I957,9),EventIndex)</f>
        <v>6</v>
      </c>
      <c r="S957" s="442">
        <f t="array" ref="S957">INDEX(MINVALUES,$Q957,$K$1)</f>
        <v>16</v>
      </c>
      <c r="T957">
        <f t="array" ref="T957">INDEX(INCVALUES,$Q957,$K$1)</f>
        <v>0.1</v>
      </c>
      <c r="V957">
        <f t="array" ref="V957">+J957+(4*(INDEX(MatchScoreTable,$Q957,20)-1))</f>
        <v>4</v>
      </c>
      <c r="W957">
        <f t="array" ref="W957">INDEX(INC_MINVALUES,$V957,$K$1)</f>
        <v>34</v>
      </c>
      <c r="X957" s="212">
        <f t="array" ref="X957">INDEX(INC_INCVALUES,$V957,$K$1)</f>
        <v>0.3</v>
      </c>
    </row>
    <row r="958" ht="15.75" customHeight="1">
      <c r="A958" s="435"/>
      <c r="B958" s="436"/>
      <c r="C958" s="95" t="str">
        <f t="array" ref="C958">IF(I958&gt;0,INDEX(DB,I958,8),"")</f>
        <v/>
      </c>
      <c r="D958" s="437">
        <f t="shared" si="1"/>
        <v>0</v>
      </c>
      <c r="F958" s="438">
        <f t="shared" si="2"/>
        <v>0</v>
      </c>
      <c r="G958" t="str">
        <f t="shared" si="3"/>
        <v/>
      </c>
      <c r="H958" t="b">
        <f t="shared" si="4"/>
        <v>0</v>
      </c>
      <c r="I958" s="439">
        <f>IF(OR(ISBLANK(A958),ISNA(MATCH(A958&amp;"",AthleteNumbers,0))),0,MATCH(A958&amp;"",AthleteNumbers,0))</f>
        <v>0</v>
      </c>
      <c r="J958" s="209">
        <f t="array" ref="J958">IF(I958&gt;0,INDEX(DB,$I958,6),0)</f>
        <v>0</v>
      </c>
      <c r="K958" s="440">
        <f t="shared" si="5"/>
        <v>0</v>
      </c>
      <c r="L958" s="440">
        <f t="shared" si="6"/>
        <v>0</v>
      </c>
      <c r="M958" s="441">
        <f>IF(AND(L958&gt;O958,O958&gt;0),MinPoints,IF(L958&lt;N958,100,+INT((O958-$L958)/P958)+MinPoints))</f>
        <v>100</v>
      </c>
      <c r="N958" s="440">
        <f t="shared" si="7"/>
        <v>7</v>
      </c>
      <c r="O958" s="440">
        <f t="shared" si="8"/>
        <v>16</v>
      </c>
      <c r="P958" s="440">
        <f t="shared" si="9"/>
        <v>0.1</v>
      </c>
      <c r="Q958">
        <f t="array" ref="Q958">IF(I958&gt;0,INDEX(DB,I958,9),EventIndex)</f>
        <v>6</v>
      </c>
      <c r="S958" s="442">
        <f t="array" ref="S958">INDEX(MINVALUES,$Q958,$K$1)</f>
        <v>16</v>
      </c>
      <c r="T958">
        <f t="array" ref="T958">INDEX(INCVALUES,$Q958,$K$1)</f>
        <v>0.1</v>
      </c>
      <c r="V958">
        <f t="array" ref="V958">+J958+(4*(INDEX(MatchScoreTable,$Q958,20)-1))</f>
        <v>4</v>
      </c>
      <c r="W958">
        <f t="array" ref="W958">INDEX(INC_MINVALUES,$V958,$K$1)</f>
        <v>34</v>
      </c>
      <c r="X958" s="212">
        <f t="array" ref="X958">INDEX(INC_INCVALUES,$V958,$K$1)</f>
        <v>0.3</v>
      </c>
    </row>
    <row r="959" ht="15.75" customHeight="1">
      <c r="A959" s="435"/>
      <c r="B959" s="436"/>
      <c r="C959" s="95" t="str">
        <f t="array" ref="C959">IF(I959&gt;0,INDEX(DB,I959,8),"")</f>
        <v/>
      </c>
      <c r="D959" s="437">
        <f t="shared" si="1"/>
        <v>0</v>
      </c>
      <c r="F959" s="438">
        <f t="shared" si="2"/>
        <v>0</v>
      </c>
      <c r="G959" t="str">
        <f t="shared" si="3"/>
        <v/>
      </c>
      <c r="H959" t="b">
        <f t="shared" si="4"/>
        <v>0</v>
      </c>
      <c r="I959" s="439">
        <f>IF(OR(ISBLANK(A959),ISNA(MATCH(A959&amp;"",AthleteNumbers,0))),0,MATCH(A959&amp;"",AthleteNumbers,0))</f>
        <v>0</v>
      </c>
      <c r="J959" s="209">
        <f t="array" ref="J959">IF(I959&gt;0,INDEX(DB,$I959,6),0)</f>
        <v>0</v>
      </c>
      <c r="K959" s="440">
        <f t="shared" si="5"/>
        <v>0</v>
      </c>
      <c r="L959" s="440">
        <f t="shared" si="6"/>
        <v>0</v>
      </c>
      <c r="M959" s="441">
        <f>IF(AND(L959&gt;O959,O959&gt;0),MinPoints,IF(L959&lt;N959,100,+INT((O959-$L959)/P959)+MinPoints))</f>
        <v>100</v>
      </c>
      <c r="N959" s="440">
        <f t="shared" si="7"/>
        <v>7</v>
      </c>
      <c r="O959" s="440">
        <f t="shared" si="8"/>
        <v>16</v>
      </c>
      <c r="P959" s="440">
        <f t="shared" si="9"/>
        <v>0.1</v>
      </c>
      <c r="Q959">
        <f t="array" ref="Q959">IF(I959&gt;0,INDEX(DB,I959,9),EventIndex)</f>
        <v>6</v>
      </c>
      <c r="S959" s="442">
        <f t="array" ref="S959">INDEX(MINVALUES,$Q959,$K$1)</f>
        <v>16</v>
      </c>
      <c r="T959">
        <f t="array" ref="T959">INDEX(INCVALUES,$Q959,$K$1)</f>
        <v>0.1</v>
      </c>
      <c r="V959">
        <f t="array" ref="V959">+J959+(4*(INDEX(MatchScoreTable,$Q959,20)-1))</f>
        <v>4</v>
      </c>
      <c r="W959">
        <f t="array" ref="W959">INDEX(INC_MINVALUES,$V959,$K$1)</f>
        <v>34</v>
      </c>
      <c r="X959" s="212">
        <f t="array" ref="X959">INDEX(INC_INCVALUES,$V959,$K$1)</f>
        <v>0.3</v>
      </c>
    </row>
    <row r="960" ht="15.75" customHeight="1">
      <c r="A960" s="435"/>
      <c r="B960" s="436"/>
      <c r="C960" s="95" t="str">
        <f t="array" ref="C960">IF(I960&gt;0,INDEX(DB,I960,8),"")</f>
        <v/>
      </c>
      <c r="D960" s="437">
        <f t="shared" si="1"/>
        <v>0</v>
      </c>
      <c r="F960" s="438">
        <f t="shared" si="2"/>
        <v>0</v>
      </c>
      <c r="G960" t="str">
        <f t="shared" si="3"/>
        <v/>
      </c>
      <c r="H960" t="b">
        <f t="shared" si="4"/>
        <v>0</v>
      </c>
      <c r="I960" s="439">
        <f>IF(OR(ISBLANK(A960),ISNA(MATCH(A960&amp;"",AthleteNumbers,0))),0,MATCH(A960&amp;"",AthleteNumbers,0))</f>
        <v>0</v>
      </c>
      <c r="J960" s="209">
        <f t="array" ref="J960">IF(I960&gt;0,INDEX(DB,$I960,6),0)</f>
        <v>0</v>
      </c>
      <c r="K960" s="440">
        <f t="shared" si="5"/>
        <v>0</v>
      </c>
      <c r="L960" s="440">
        <f t="shared" si="6"/>
        <v>0</v>
      </c>
      <c r="M960" s="441">
        <f>IF(AND(L960&gt;O960,O960&gt;0),MinPoints,IF(L960&lt;N960,100,+INT((O960-$L960)/P960)+MinPoints))</f>
        <v>100</v>
      </c>
      <c r="N960" s="440">
        <f t="shared" si="7"/>
        <v>7</v>
      </c>
      <c r="O960" s="440">
        <f t="shared" si="8"/>
        <v>16</v>
      </c>
      <c r="P960" s="440">
        <f t="shared" si="9"/>
        <v>0.1</v>
      </c>
      <c r="Q960">
        <f t="array" ref="Q960">IF(I960&gt;0,INDEX(DB,I960,9),EventIndex)</f>
        <v>6</v>
      </c>
      <c r="S960" s="442">
        <f t="array" ref="S960">INDEX(MINVALUES,$Q960,$K$1)</f>
        <v>16</v>
      </c>
      <c r="T960">
        <f t="array" ref="T960">INDEX(INCVALUES,$Q960,$K$1)</f>
        <v>0.1</v>
      </c>
      <c r="V960">
        <f t="array" ref="V960">+J960+(4*(INDEX(MatchScoreTable,$Q960,20)-1))</f>
        <v>4</v>
      </c>
      <c r="W960">
        <f t="array" ref="W960">INDEX(INC_MINVALUES,$V960,$K$1)</f>
        <v>34</v>
      </c>
      <c r="X960" s="212">
        <f t="array" ref="X960">INDEX(INC_INCVALUES,$V960,$K$1)</f>
        <v>0.3</v>
      </c>
    </row>
    <row r="961" ht="15.75" customHeight="1">
      <c r="A961" s="435"/>
      <c r="B961" s="436"/>
      <c r="C961" s="95" t="str">
        <f t="array" ref="C961">IF(I961&gt;0,INDEX(DB,I961,8),"")</f>
        <v/>
      </c>
      <c r="D961" s="437">
        <f t="shared" si="1"/>
        <v>0</v>
      </c>
      <c r="F961" s="438">
        <f t="shared" si="2"/>
        <v>0</v>
      </c>
      <c r="G961" t="str">
        <f t="shared" si="3"/>
        <v/>
      </c>
      <c r="H961" t="b">
        <f t="shared" si="4"/>
        <v>0</v>
      </c>
      <c r="I961" s="439">
        <f>IF(OR(ISBLANK(A961),ISNA(MATCH(A961&amp;"",AthleteNumbers,0))),0,MATCH(A961&amp;"",AthleteNumbers,0))</f>
        <v>0</v>
      </c>
      <c r="J961" s="209">
        <f t="array" ref="J961">IF(I961&gt;0,INDEX(DB,$I961,6),0)</f>
        <v>0</v>
      </c>
      <c r="K961" s="440">
        <f t="shared" si="5"/>
        <v>0</v>
      </c>
      <c r="L961" s="440">
        <f t="shared" si="6"/>
        <v>0</v>
      </c>
      <c r="M961" s="441">
        <f>IF(AND(L961&gt;O961,O961&gt;0),MinPoints,IF(L961&lt;N961,100,+INT((O961-$L961)/P961)+MinPoints))</f>
        <v>100</v>
      </c>
      <c r="N961" s="440">
        <f t="shared" si="7"/>
        <v>7</v>
      </c>
      <c r="O961" s="440">
        <f t="shared" si="8"/>
        <v>16</v>
      </c>
      <c r="P961" s="440">
        <f t="shared" si="9"/>
        <v>0.1</v>
      </c>
      <c r="Q961">
        <f t="array" ref="Q961">IF(I961&gt;0,INDEX(DB,I961,9),EventIndex)</f>
        <v>6</v>
      </c>
      <c r="S961" s="442">
        <f t="array" ref="S961">INDEX(MINVALUES,$Q961,$K$1)</f>
        <v>16</v>
      </c>
      <c r="T961">
        <f t="array" ref="T961">INDEX(INCVALUES,$Q961,$K$1)</f>
        <v>0.1</v>
      </c>
      <c r="V961">
        <f t="array" ref="V961">+J961+(4*(INDEX(MatchScoreTable,$Q961,20)-1))</f>
        <v>4</v>
      </c>
      <c r="W961">
        <f t="array" ref="W961">INDEX(INC_MINVALUES,$V961,$K$1)</f>
        <v>34</v>
      </c>
      <c r="X961" s="212">
        <f t="array" ref="X961">INDEX(INC_INCVALUES,$V961,$K$1)</f>
        <v>0.3</v>
      </c>
    </row>
    <row r="962" ht="15.75" customHeight="1">
      <c r="A962" s="435"/>
      <c r="B962" s="436"/>
      <c r="C962" s="95" t="str">
        <f t="array" ref="C962">IF(I962&gt;0,INDEX(DB,I962,8),"")</f>
        <v/>
      </c>
      <c r="D962" s="437">
        <f t="shared" si="1"/>
        <v>0</v>
      </c>
      <c r="F962" s="438">
        <f t="shared" si="2"/>
        <v>0</v>
      </c>
      <c r="G962" t="str">
        <f t="shared" si="3"/>
        <v/>
      </c>
      <c r="H962" t="b">
        <f t="shared" si="4"/>
        <v>0</v>
      </c>
      <c r="I962" s="439">
        <f>IF(OR(ISBLANK(A962),ISNA(MATCH(A962&amp;"",AthleteNumbers,0))),0,MATCH(A962&amp;"",AthleteNumbers,0))</f>
        <v>0</v>
      </c>
      <c r="J962" s="209">
        <f t="array" ref="J962">IF(I962&gt;0,INDEX(DB,$I962,6),0)</f>
        <v>0</v>
      </c>
      <c r="K962" s="440">
        <f t="shared" si="5"/>
        <v>0</v>
      </c>
      <c r="L962" s="440">
        <f t="shared" si="6"/>
        <v>0</v>
      </c>
      <c r="M962" s="441">
        <f>IF(AND(L962&gt;O962,O962&gt;0),MinPoints,IF(L962&lt;N962,100,+INT((O962-$L962)/P962)+MinPoints))</f>
        <v>100</v>
      </c>
      <c r="N962" s="440">
        <f t="shared" si="7"/>
        <v>7</v>
      </c>
      <c r="O962" s="440">
        <f t="shared" si="8"/>
        <v>16</v>
      </c>
      <c r="P962" s="440">
        <f t="shared" si="9"/>
        <v>0.1</v>
      </c>
      <c r="Q962">
        <f t="array" ref="Q962">IF(I962&gt;0,INDEX(DB,I962,9),EventIndex)</f>
        <v>6</v>
      </c>
      <c r="S962" s="442">
        <f t="array" ref="S962">INDEX(MINVALUES,$Q962,$K$1)</f>
        <v>16</v>
      </c>
      <c r="T962">
        <f t="array" ref="T962">INDEX(INCVALUES,$Q962,$K$1)</f>
        <v>0.1</v>
      </c>
      <c r="V962">
        <f t="array" ref="V962">+J962+(4*(INDEX(MatchScoreTable,$Q962,20)-1))</f>
        <v>4</v>
      </c>
      <c r="W962">
        <f t="array" ref="W962">INDEX(INC_MINVALUES,$V962,$K$1)</f>
        <v>34</v>
      </c>
      <c r="X962" s="212">
        <f t="array" ref="X962">INDEX(INC_INCVALUES,$V962,$K$1)</f>
        <v>0.3</v>
      </c>
    </row>
    <row r="963" ht="15.75" customHeight="1">
      <c r="A963" s="435"/>
      <c r="B963" s="436"/>
      <c r="C963" s="95" t="str">
        <f t="array" ref="C963">IF(I963&gt;0,INDEX(DB,I963,8),"")</f>
        <v/>
      </c>
      <c r="D963" s="437">
        <f t="shared" si="1"/>
        <v>0</v>
      </c>
      <c r="F963" s="438">
        <f t="shared" si="2"/>
        <v>0</v>
      </c>
      <c r="G963" t="str">
        <f t="shared" si="3"/>
        <v/>
      </c>
      <c r="H963" t="b">
        <f t="shared" si="4"/>
        <v>0</v>
      </c>
      <c r="I963" s="439">
        <f>IF(OR(ISBLANK(A963),ISNA(MATCH(A963&amp;"",AthleteNumbers,0))),0,MATCH(A963&amp;"",AthleteNumbers,0))</f>
        <v>0</v>
      </c>
      <c r="J963" s="209">
        <f t="array" ref="J963">IF(I963&gt;0,INDEX(DB,$I963,6),0)</f>
        <v>0</v>
      </c>
      <c r="K963" s="440">
        <f t="shared" si="5"/>
        <v>0</v>
      </c>
      <c r="L963" s="440">
        <f t="shared" si="6"/>
        <v>0</v>
      </c>
      <c r="M963" s="441">
        <f>IF(AND(L963&gt;O963,O963&gt;0),MinPoints,IF(L963&lt;N963,100,+INT((O963-$L963)/P963)+MinPoints))</f>
        <v>100</v>
      </c>
      <c r="N963" s="440">
        <f t="shared" si="7"/>
        <v>7</v>
      </c>
      <c r="O963" s="440">
        <f t="shared" si="8"/>
        <v>16</v>
      </c>
      <c r="P963" s="440">
        <f t="shared" si="9"/>
        <v>0.1</v>
      </c>
      <c r="Q963">
        <f t="array" ref="Q963">IF(I963&gt;0,INDEX(DB,I963,9),EventIndex)</f>
        <v>6</v>
      </c>
      <c r="S963" s="442">
        <f t="array" ref="S963">INDEX(MINVALUES,$Q963,$K$1)</f>
        <v>16</v>
      </c>
      <c r="T963">
        <f t="array" ref="T963">INDEX(INCVALUES,$Q963,$K$1)</f>
        <v>0.1</v>
      </c>
      <c r="V963">
        <f t="array" ref="V963">+J963+(4*(INDEX(MatchScoreTable,$Q963,20)-1))</f>
        <v>4</v>
      </c>
      <c r="W963">
        <f t="array" ref="W963">INDEX(INC_MINVALUES,$V963,$K$1)</f>
        <v>34</v>
      </c>
      <c r="X963" s="212">
        <f t="array" ref="X963">INDEX(INC_INCVALUES,$V963,$K$1)</f>
        <v>0.3</v>
      </c>
    </row>
    <row r="964" ht="15.75" customHeight="1">
      <c r="A964" s="435"/>
      <c r="B964" s="436"/>
      <c r="C964" s="95" t="str">
        <f t="array" ref="C964">IF(I964&gt;0,INDEX(DB,I964,8),"")</f>
        <v/>
      </c>
      <c r="D964" s="437">
        <f t="shared" si="1"/>
        <v>0</v>
      </c>
      <c r="F964" s="438">
        <f t="shared" si="2"/>
        <v>0</v>
      </c>
      <c r="G964" t="str">
        <f t="shared" si="3"/>
        <v/>
      </c>
      <c r="H964" t="b">
        <f t="shared" si="4"/>
        <v>0</v>
      </c>
      <c r="I964" s="439">
        <f>IF(OR(ISBLANK(A964),ISNA(MATCH(A964&amp;"",AthleteNumbers,0))),0,MATCH(A964&amp;"",AthleteNumbers,0))</f>
        <v>0</v>
      </c>
      <c r="J964" s="209">
        <f t="array" ref="J964">IF(I964&gt;0,INDEX(DB,$I964,6),0)</f>
        <v>0</v>
      </c>
      <c r="K964" s="440">
        <f t="shared" si="5"/>
        <v>0</v>
      </c>
      <c r="L964" s="440">
        <f t="shared" si="6"/>
        <v>0</v>
      </c>
      <c r="M964" s="441">
        <f>IF(AND(L964&gt;O964,O964&gt;0),MinPoints,IF(L964&lt;N964,100,+INT((O964-$L964)/P964)+MinPoints))</f>
        <v>100</v>
      </c>
      <c r="N964" s="440">
        <f t="shared" si="7"/>
        <v>7</v>
      </c>
      <c r="O964" s="440">
        <f t="shared" si="8"/>
        <v>16</v>
      </c>
      <c r="P964" s="440">
        <f t="shared" si="9"/>
        <v>0.1</v>
      </c>
      <c r="Q964">
        <f t="array" ref="Q964">IF(I964&gt;0,INDEX(DB,I964,9),EventIndex)</f>
        <v>6</v>
      </c>
      <c r="S964" s="442">
        <f t="array" ref="S964">INDEX(MINVALUES,$Q964,$K$1)</f>
        <v>16</v>
      </c>
      <c r="T964">
        <f t="array" ref="T964">INDEX(INCVALUES,$Q964,$K$1)</f>
        <v>0.1</v>
      </c>
      <c r="V964">
        <f t="array" ref="V964">+J964+(4*(INDEX(MatchScoreTable,$Q964,20)-1))</f>
        <v>4</v>
      </c>
      <c r="W964">
        <f t="array" ref="W964">INDEX(INC_MINVALUES,$V964,$K$1)</f>
        <v>34</v>
      </c>
      <c r="X964" s="212">
        <f t="array" ref="X964">INDEX(INC_INCVALUES,$V964,$K$1)</f>
        <v>0.3</v>
      </c>
    </row>
    <row r="965" ht="15.75" customHeight="1">
      <c r="A965" s="435"/>
      <c r="B965" s="436"/>
      <c r="C965" s="95" t="str">
        <f t="array" ref="C965">IF(I965&gt;0,INDEX(DB,I965,8),"")</f>
        <v/>
      </c>
      <c r="D965" s="437">
        <f t="shared" si="1"/>
        <v>0</v>
      </c>
      <c r="F965" s="438">
        <f t="shared" si="2"/>
        <v>0</v>
      </c>
      <c r="G965" t="str">
        <f t="shared" si="3"/>
        <v/>
      </c>
      <c r="H965" t="b">
        <f t="shared" si="4"/>
        <v>0</v>
      </c>
      <c r="I965" s="439">
        <f>IF(OR(ISBLANK(A965),ISNA(MATCH(A965&amp;"",AthleteNumbers,0))),0,MATCH(A965&amp;"",AthleteNumbers,0))</f>
        <v>0</v>
      </c>
      <c r="J965" s="209">
        <f t="array" ref="J965">IF(I965&gt;0,INDEX(DB,$I965,6),0)</f>
        <v>0</v>
      </c>
      <c r="K965" s="440">
        <f t="shared" si="5"/>
        <v>0</v>
      </c>
      <c r="L965" s="440">
        <f t="shared" si="6"/>
        <v>0</v>
      </c>
      <c r="M965" s="441">
        <f>IF(AND(L965&gt;O965,O965&gt;0),MinPoints,IF(L965&lt;N965,100,+INT((O965-$L965)/P965)+MinPoints))</f>
        <v>100</v>
      </c>
      <c r="N965" s="440">
        <f t="shared" si="7"/>
        <v>7</v>
      </c>
      <c r="O965" s="440">
        <f t="shared" si="8"/>
        <v>16</v>
      </c>
      <c r="P965" s="440">
        <f t="shared" si="9"/>
        <v>0.1</v>
      </c>
      <c r="Q965">
        <f t="array" ref="Q965">IF(I965&gt;0,INDEX(DB,I965,9),EventIndex)</f>
        <v>6</v>
      </c>
      <c r="S965" s="442">
        <f t="array" ref="S965">INDEX(MINVALUES,$Q965,$K$1)</f>
        <v>16</v>
      </c>
      <c r="T965">
        <f t="array" ref="T965">INDEX(INCVALUES,$Q965,$K$1)</f>
        <v>0.1</v>
      </c>
      <c r="V965">
        <f t="array" ref="V965">+J965+(4*(INDEX(MatchScoreTable,$Q965,20)-1))</f>
        <v>4</v>
      </c>
      <c r="W965">
        <f t="array" ref="W965">INDEX(INC_MINVALUES,$V965,$K$1)</f>
        <v>34</v>
      </c>
      <c r="X965" s="212">
        <f t="array" ref="X965">INDEX(INC_INCVALUES,$V965,$K$1)</f>
        <v>0.3</v>
      </c>
    </row>
    <row r="966" ht="15.75" customHeight="1">
      <c r="A966" s="435"/>
      <c r="B966" s="436"/>
      <c r="C966" s="95" t="str">
        <f t="array" ref="C966">IF(I966&gt;0,INDEX(DB,I966,8),"")</f>
        <v/>
      </c>
      <c r="D966" s="437">
        <f t="shared" si="1"/>
        <v>0</v>
      </c>
      <c r="F966" s="438">
        <f t="shared" si="2"/>
        <v>0</v>
      </c>
      <c r="G966" t="str">
        <f t="shared" si="3"/>
        <v/>
      </c>
      <c r="H966" t="b">
        <f t="shared" si="4"/>
        <v>0</v>
      </c>
      <c r="I966" s="439">
        <f>IF(OR(ISBLANK(A966),ISNA(MATCH(A966&amp;"",AthleteNumbers,0))),0,MATCH(A966&amp;"",AthleteNumbers,0))</f>
        <v>0</v>
      </c>
      <c r="J966" s="209">
        <f t="array" ref="J966">IF(I966&gt;0,INDEX(DB,$I966,6),0)</f>
        <v>0</v>
      </c>
      <c r="K966" s="440">
        <f t="shared" si="5"/>
        <v>0</v>
      </c>
      <c r="L966" s="440">
        <f t="shared" si="6"/>
        <v>0</v>
      </c>
      <c r="M966" s="441">
        <f>IF(AND(L966&gt;O966,O966&gt;0),MinPoints,IF(L966&lt;N966,100,+INT((O966-$L966)/P966)+MinPoints))</f>
        <v>100</v>
      </c>
      <c r="N966" s="440">
        <f t="shared" si="7"/>
        <v>7</v>
      </c>
      <c r="O966" s="440">
        <f t="shared" si="8"/>
        <v>16</v>
      </c>
      <c r="P966" s="440">
        <f t="shared" si="9"/>
        <v>0.1</v>
      </c>
      <c r="Q966">
        <f t="array" ref="Q966">IF(I966&gt;0,INDEX(DB,I966,9),EventIndex)</f>
        <v>6</v>
      </c>
      <c r="S966" s="442">
        <f t="array" ref="S966">INDEX(MINVALUES,$Q966,$K$1)</f>
        <v>16</v>
      </c>
      <c r="T966">
        <f t="array" ref="T966">INDEX(INCVALUES,$Q966,$K$1)</f>
        <v>0.1</v>
      </c>
      <c r="V966">
        <f t="array" ref="V966">+J966+(4*(INDEX(MatchScoreTable,$Q966,20)-1))</f>
        <v>4</v>
      </c>
      <c r="W966">
        <f t="array" ref="W966">INDEX(INC_MINVALUES,$V966,$K$1)</f>
        <v>34</v>
      </c>
      <c r="X966" s="212">
        <f t="array" ref="X966">INDEX(INC_INCVALUES,$V966,$K$1)</f>
        <v>0.3</v>
      </c>
    </row>
    <row r="967" ht="15.75" customHeight="1">
      <c r="A967" s="435"/>
      <c r="B967" s="436"/>
      <c r="C967" s="95" t="str">
        <f t="array" ref="C967">IF(I967&gt;0,INDEX(DB,I967,8),"")</f>
        <v/>
      </c>
      <c r="D967" s="437">
        <f t="shared" si="1"/>
        <v>0</v>
      </c>
      <c r="F967" s="438">
        <f t="shared" si="2"/>
        <v>0</v>
      </c>
      <c r="G967" t="str">
        <f t="shared" si="3"/>
        <v/>
      </c>
      <c r="H967" t="b">
        <f t="shared" si="4"/>
        <v>0</v>
      </c>
      <c r="I967" s="439">
        <f>IF(OR(ISBLANK(A967),ISNA(MATCH(A967&amp;"",AthleteNumbers,0))),0,MATCH(A967&amp;"",AthleteNumbers,0))</f>
        <v>0</v>
      </c>
      <c r="J967" s="209">
        <f t="array" ref="J967">IF(I967&gt;0,INDEX(DB,$I967,6),0)</f>
        <v>0</v>
      </c>
      <c r="K967" s="440">
        <f t="shared" si="5"/>
        <v>0</v>
      </c>
      <c r="L967" s="440">
        <f t="shared" si="6"/>
        <v>0</v>
      </c>
      <c r="M967" s="441">
        <f>IF(AND(L967&gt;O967,O967&gt;0),MinPoints,IF(L967&lt;N967,100,+INT((O967-$L967)/P967)+MinPoints))</f>
        <v>100</v>
      </c>
      <c r="N967" s="440">
        <f t="shared" si="7"/>
        <v>7</v>
      </c>
      <c r="O967" s="440">
        <f t="shared" si="8"/>
        <v>16</v>
      </c>
      <c r="P967" s="440">
        <f t="shared" si="9"/>
        <v>0.1</v>
      </c>
      <c r="Q967">
        <f t="array" ref="Q967">IF(I967&gt;0,INDEX(DB,I967,9),EventIndex)</f>
        <v>6</v>
      </c>
      <c r="S967" s="442">
        <f t="array" ref="S967">INDEX(MINVALUES,$Q967,$K$1)</f>
        <v>16</v>
      </c>
      <c r="T967">
        <f t="array" ref="T967">INDEX(INCVALUES,$Q967,$K$1)</f>
        <v>0.1</v>
      </c>
      <c r="V967">
        <f t="array" ref="V967">+J967+(4*(INDEX(MatchScoreTable,$Q967,20)-1))</f>
        <v>4</v>
      </c>
      <c r="W967">
        <f t="array" ref="W967">INDEX(INC_MINVALUES,$V967,$K$1)</f>
        <v>34</v>
      </c>
      <c r="X967" s="212">
        <f t="array" ref="X967">INDEX(INC_INCVALUES,$V967,$K$1)</f>
        <v>0.3</v>
      </c>
    </row>
    <row r="968" ht="15.75" customHeight="1">
      <c r="A968" s="435"/>
      <c r="B968" s="436"/>
      <c r="C968" s="95" t="str">
        <f t="array" ref="C968">IF(I968&gt;0,INDEX(DB,I968,8),"")</f>
        <v/>
      </c>
      <c r="D968" s="437">
        <f t="shared" si="1"/>
        <v>0</v>
      </c>
      <c r="F968" s="438">
        <f t="shared" si="2"/>
        <v>0</v>
      </c>
      <c r="G968" t="str">
        <f t="shared" si="3"/>
        <v/>
      </c>
      <c r="H968" t="b">
        <f t="shared" si="4"/>
        <v>0</v>
      </c>
      <c r="I968" s="439">
        <f>IF(OR(ISBLANK(A968),ISNA(MATCH(A968&amp;"",AthleteNumbers,0))),0,MATCH(A968&amp;"",AthleteNumbers,0))</f>
        <v>0</v>
      </c>
      <c r="J968" s="209">
        <f t="array" ref="J968">IF(I968&gt;0,INDEX(DB,$I968,6),0)</f>
        <v>0</v>
      </c>
      <c r="K968" s="440">
        <f t="shared" si="5"/>
        <v>0</v>
      </c>
      <c r="L968" s="440">
        <f t="shared" si="6"/>
        <v>0</v>
      </c>
      <c r="M968" s="441">
        <f>IF(AND(L968&gt;O968,O968&gt;0),MinPoints,IF(L968&lt;N968,100,+INT((O968-$L968)/P968)+MinPoints))</f>
        <v>100</v>
      </c>
      <c r="N968" s="440">
        <f t="shared" si="7"/>
        <v>7</v>
      </c>
      <c r="O968" s="440">
        <f t="shared" si="8"/>
        <v>16</v>
      </c>
      <c r="P968" s="440">
        <f t="shared" si="9"/>
        <v>0.1</v>
      </c>
      <c r="Q968">
        <f t="array" ref="Q968">IF(I968&gt;0,INDEX(DB,I968,9),EventIndex)</f>
        <v>6</v>
      </c>
      <c r="S968" s="442">
        <f t="array" ref="S968">INDEX(MINVALUES,$Q968,$K$1)</f>
        <v>16</v>
      </c>
      <c r="T968">
        <f t="array" ref="T968">INDEX(INCVALUES,$Q968,$K$1)</f>
        <v>0.1</v>
      </c>
      <c r="V968">
        <f t="array" ref="V968">+J968+(4*(INDEX(MatchScoreTable,$Q968,20)-1))</f>
        <v>4</v>
      </c>
      <c r="W968">
        <f t="array" ref="W968">INDEX(INC_MINVALUES,$V968,$K$1)</f>
        <v>34</v>
      </c>
      <c r="X968" s="212">
        <f t="array" ref="X968">INDEX(INC_INCVALUES,$V968,$K$1)</f>
        <v>0.3</v>
      </c>
    </row>
    <row r="969" ht="15.75" customHeight="1">
      <c r="A969" s="435"/>
      <c r="B969" s="436"/>
      <c r="C969" s="95" t="str">
        <f t="array" ref="C969">IF(I969&gt;0,INDEX(DB,I969,8),"")</f>
        <v/>
      </c>
      <c r="D969" s="437">
        <f t="shared" si="1"/>
        <v>0</v>
      </c>
      <c r="F969" s="438">
        <f t="shared" si="2"/>
        <v>0</v>
      </c>
      <c r="G969" t="str">
        <f t="shared" si="3"/>
        <v/>
      </c>
      <c r="H969" t="b">
        <f t="shared" si="4"/>
        <v>0</v>
      </c>
      <c r="I969" s="439">
        <f>IF(OR(ISBLANK(A969),ISNA(MATCH(A969&amp;"",AthleteNumbers,0))),0,MATCH(A969&amp;"",AthleteNumbers,0))</f>
        <v>0</v>
      </c>
      <c r="J969" s="209">
        <f t="array" ref="J969">IF(I969&gt;0,INDEX(DB,$I969,6),0)</f>
        <v>0</v>
      </c>
      <c r="K969" s="440">
        <f t="shared" si="5"/>
        <v>0</v>
      </c>
      <c r="L969" s="440">
        <f t="shared" si="6"/>
        <v>0</v>
      </c>
      <c r="M969" s="441">
        <f>IF(AND(L969&gt;O969,O969&gt;0),MinPoints,IF(L969&lt;N969,100,+INT((O969-$L969)/P969)+MinPoints))</f>
        <v>100</v>
      </c>
      <c r="N969" s="440">
        <f t="shared" si="7"/>
        <v>7</v>
      </c>
      <c r="O969" s="440">
        <f t="shared" si="8"/>
        <v>16</v>
      </c>
      <c r="P969" s="440">
        <f t="shared" si="9"/>
        <v>0.1</v>
      </c>
      <c r="Q969">
        <f t="array" ref="Q969">IF(I969&gt;0,INDEX(DB,I969,9),EventIndex)</f>
        <v>6</v>
      </c>
      <c r="S969" s="442">
        <f t="array" ref="S969">INDEX(MINVALUES,$Q969,$K$1)</f>
        <v>16</v>
      </c>
      <c r="T969">
        <f t="array" ref="T969">INDEX(INCVALUES,$Q969,$K$1)</f>
        <v>0.1</v>
      </c>
      <c r="V969">
        <f t="array" ref="V969">+J969+(4*(INDEX(MatchScoreTable,$Q969,20)-1))</f>
        <v>4</v>
      </c>
      <c r="W969">
        <f t="array" ref="W969">INDEX(INC_MINVALUES,$V969,$K$1)</f>
        <v>34</v>
      </c>
      <c r="X969" s="212">
        <f t="array" ref="X969">INDEX(INC_INCVALUES,$V969,$K$1)</f>
        <v>0.3</v>
      </c>
    </row>
    <row r="970" ht="15.75" customHeight="1">
      <c r="A970" s="435"/>
      <c r="B970" s="436"/>
      <c r="C970" s="95" t="str">
        <f t="array" ref="C970">IF(I970&gt;0,INDEX(DB,I970,8),"")</f>
        <v/>
      </c>
      <c r="D970" s="437">
        <f t="shared" si="1"/>
        <v>0</v>
      </c>
      <c r="F970" s="438">
        <f t="shared" si="2"/>
        <v>0</v>
      </c>
      <c r="G970" t="str">
        <f t="shared" si="3"/>
        <v/>
      </c>
      <c r="H970" t="b">
        <f t="shared" si="4"/>
        <v>0</v>
      </c>
      <c r="I970" s="439">
        <f>IF(OR(ISBLANK(A970),ISNA(MATCH(A970&amp;"",AthleteNumbers,0))),0,MATCH(A970&amp;"",AthleteNumbers,0))</f>
        <v>0</v>
      </c>
      <c r="J970" s="209">
        <f t="array" ref="J970">IF(I970&gt;0,INDEX(DB,$I970,6),0)</f>
        <v>0</v>
      </c>
      <c r="K970" s="440">
        <f t="shared" si="5"/>
        <v>0</v>
      </c>
      <c r="L970" s="440">
        <f t="shared" si="6"/>
        <v>0</v>
      </c>
      <c r="M970" s="441">
        <f>IF(AND(L970&gt;O970,O970&gt;0),MinPoints,IF(L970&lt;N970,100,+INT((O970-$L970)/P970)+MinPoints))</f>
        <v>100</v>
      </c>
      <c r="N970" s="440">
        <f t="shared" si="7"/>
        <v>7</v>
      </c>
      <c r="O970" s="440">
        <f t="shared" si="8"/>
        <v>16</v>
      </c>
      <c r="P970" s="440">
        <f t="shared" si="9"/>
        <v>0.1</v>
      </c>
      <c r="Q970">
        <f t="array" ref="Q970">IF(I970&gt;0,INDEX(DB,I970,9),EventIndex)</f>
        <v>6</v>
      </c>
      <c r="S970" s="442">
        <f t="array" ref="S970">INDEX(MINVALUES,$Q970,$K$1)</f>
        <v>16</v>
      </c>
      <c r="T970">
        <f t="array" ref="T970">INDEX(INCVALUES,$Q970,$K$1)</f>
        <v>0.1</v>
      </c>
      <c r="V970">
        <f t="array" ref="V970">+J970+(4*(INDEX(MatchScoreTable,$Q970,20)-1))</f>
        <v>4</v>
      </c>
      <c r="W970">
        <f t="array" ref="W970">INDEX(INC_MINVALUES,$V970,$K$1)</f>
        <v>34</v>
      </c>
      <c r="X970" s="212">
        <f t="array" ref="X970">INDEX(INC_INCVALUES,$V970,$K$1)</f>
        <v>0.3</v>
      </c>
    </row>
    <row r="971" ht="15.75" customHeight="1">
      <c r="A971" s="435"/>
      <c r="B971" s="436"/>
      <c r="C971" s="95" t="str">
        <f t="array" ref="C971">IF(I971&gt;0,INDEX(DB,I971,8),"")</f>
        <v/>
      </c>
      <c r="D971" s="437">
        <f t="shared" si="1"/>
        <v>0</v>
      </c>
      <c r="F971" s="438">
        <f t="shared" si="2"/>
        <v>0</v>
      </c>
      <c r="G971" t="str">
        <f t="shared" si="3"/>
        <v/>
      </c>
      <c r="H971" t="b">
        <f t="shared" si="4"/>
        <v>0</v>
      </c>
      <c r="I971" s="439">
        <f>IF(OR(ISBLANK(A971),ISNA(MATCH(A971&amp;"",AthleteNumbers,0))),0,MATCH(A971&amp;"",AthleteNumbers,0))</f>
        <v>0</v>
      </c>
      <c r="J971" s="209">
        <f t="array" ref="J971">IF(I971&gt;0,INDEX(DB,$I971,6),0)</f>
        <v>0</v>
      </c>
      <c r="K971" s="440">
        <f t="shared" si="5"/>
        <v>0</v>
      </c>
      <c r="L971" s="440">
        <f t="shared" si="6"/>
        <v>0</v>
      </c>
      <c r="M971" s="441">
        <f>IF(AND(L971&gt;O971,O971&gt;0),MinPoints,IF(L971&lt;N971,100,+INT((O971-$L971)/P971)+MinPoints))</f>
        <v>100</v>
      </c>
      <c r="N971" s="440">
        <f t="shared" si="7"/>
        <v>7</v>
      </c>
      <c r="O971" s="440">
        <f t="shared" si="8"/>
        <v>16</v>
      </c>
      <c r="P971" s="440">
        <f t="shared" si="9"/>
        <v>0.1</v>
      </c>
      <c r="Q971">
        <f t="array" ref="Q971">IF(I971&gt;0,INDEX(DB,I971,9),EventIndex)</f>
        <v>6</v>
      </c>
      <c r="S971" s="442">
        <f t="array" ref="S971">INDEX(MINVALUES,$Q971,$K$1)</f>
        <v>16</v>
      </c>
      <c r="T971">
        <f t="array" ref="T971">INDEX(INCVALUES,$Q971,$K$1)</f>
        <v>0.1</v>
      </c>
      <c r="V971">
        <f t="array" ref="V971">+J971+(4*(INDEX(MatchScoreTable,$Q971,20)-1))</f>
        <v>4</v>
      </c>
      <c r="W971">
        <f t="array" ref="W971">INDEX(INC_MINVALUES,$V971,$K$1)</f>
        <v>34</v>
      </c>
      <c r="X971" s="212">
        <f t="array" ref="X971">INDEX(INC_INCVALUES,$V971,$K$1)</f>
        <v>0.3</v>
      </c>
    </row>
    <row r="972" ht="15.75" customHeight="1">
      <c r="A972" s="435"/>
      <c r="B972" s="436"/>
      <c r="C972" s="95" t="str">
        <f t="array" ref="C972">IF(I972&gt;0,INDEX(DB,I972,8),"")</f>
        <v/>
      </c>
      <c r="D972" s="437">
        <f t="shared" si="1"/>
        <v>0</v>
      </c>
      <c r="F972" s="438">
        <f t="shared" si="2"/>
        <v>0</v>
      </c>
      <c r="G972" t="str">
        <f t="shared" si="3"/>
        <v/>
      </c>
      <c r="H972" t="b">
        <f t="shared" si="4"/>
        <v>0</v>
      </c>
      <c r="I972" s="439">
        <f>IF(OR(ISBLANK(A972),ISNA(MATCH(A972&amp;"",AthleteNumbers,0))),0,MATCH(A972&amp;"",AthleteNumbers,0))</f>
        <v>0</v>
      </c>
      <c r="J972" s="209">
        <f t="array" ref="J972">IF(I972&gt;0,INDEX(DB,$I972,6),0)</f>
        <v>0</v>
      </c>
      <c r="K972" s="440">
        <f t="shared" si="5"/>
        <v>0</v>
      </c>
      <c r="L972" s="440">
        <f t="shared" si="6"/>
        <v>0</v>
      </c>
      <c r="M972" s="441">
        <f>IF(AND(L972&gt;O972,O972&gt;0),MinPoints,IF(L972&lt;N972,100,+INT((O972-$L972)/P972)+MinPoints))</f>
        <v>100</v>
      </c>
      <c r="N972" s="440">
        <f t="shared" si="7"/>
        <v>7</v>
      </c>
      <c r="O972" s="440">
        <f t="shared" si="8"/>
        <v>16</v>
      </c>
      <c r="P972" s="440">
        <f t="shared" si="9"/>
        <v>0.1</v>
      </c>
      <c r="Q972">
        <f t="array" ref="Q972">IF(I972&gt;0,INDEX(DB,I972,9),EventIndex)</f>
        <v>6</v>
      </c>
      <c r="S972" s="442">
        <f t="array" ref="S972">INDEX(MINVALUES,$Q972,$K$1)</f>
        <v>16</v>
      </c>
      <c r="T972">
        <f t="array" ref="T972">INDEX(INCVALUES,$Q972,$K$1)</f>
        <v>0.1</v>
      </c>
      <c r="V972">
        <f t="array" ref="V972">+J972+(4*(INDEX(MatchScoreTable,$Q972,20)-1))</f>
        <v>4</v>
      </c>
      <c r="W972">
        <f t="array" ref="W972">INDEX(INC_MINVALUES,$V972,$K$1)</f>
        <v>34</v>
      </c>
      <c r="X972" s="212">
        <f t="array" ref="X972">INDEX(INC_INCVALUES,$V972,$K$1)</f>
        <v>0.3</v>
      </c>
    </row>
    <row r="973" ht="15.75" customHeight="1">
      <c r="A973" s="435"/>
      <c r="B973" s="436"/>
      <c r="C973" s="95" t="str">
        <f t="array" ref="C973">IF(I973&gt;0,INDEX(DB,I973,8),"")</f>
        <v/>
      </c>
      <c r="D973" s="437">
        <f t="shared" si="1"/>
        <v>0</v>
      </c>
      <c r="F973" s="438">
        <f t="shared" si="2"/>
        <v>0</v>
      </c>
      <c r="G973" t="str">
        <f t="shared" si="3"/>
        <v/>
      </c>
      <c r="H973" t="b">
        <f t="shared" si="4"/>
        <v>0</v>
      </c>
      <c r="I973" s="439">
        <f>IF(OR(ISBLANK(A973),ISNA(MATCH(A973&amp;"",AthleteNumbers,0))),0,MATCH(A973&amp;"",AthleteNumbers,0))</f>
        <v>0</v>
      </c>
      <c r="J973" s="209">
        <f t="array" ref="J973">IF(I973&gt;0,INDEX(DB,$I973,6),0)</f>
        <v>0</v>
      </c>
      <c r="K973" s="440">
        <f t="shared" si="5"/>
        <v>0</v>
      </c>
      <c r="L973" s="440">
        <f t="shared" si="6"/>
        <v>0</v>
      </c>
      <c r="M973" s="441">
        <f>IF(AND(L973&gt;O973,O973&gt;0),MinPoints,IF(L973&lt;N973,100,+INT((O973-$L973)/P973)+MinPoints))</f>
        <v>100</v>
      </c>
      <c r="N973" s="440">
        <f t="shared" si="7"/>
        <v>7</v>
      </c>
      <c r="O973" s="440">
        <f t="shared" si="8"/>
        <v>16</v>
      </c>
      <c r="P973" s="440">
        <f t="shared" si="9"/>
        <v>0.1</v>
      </c>
      <c r="Q973">
        <f t="array" ref="Q973">IF(I973&gt;0,INDEX(DB,I973,9),EventIndex)</f>
        <v>6</v>
      </c>
      <c r="S973" s="442">
        <f t="array" ref="S973">INDEX(MINVALUES,$Q973,$K$1)</f>
        <v>16</v>
      </c>
      <c r="T973">
        <f t="array" ref="T973">INDEX(INCVALUES,$Q973,$K$1)</f>
        <v>0.1</v>
      </c>
      <c r="V973">
        <f t="array" ref="V973">+J973+(4*(INDEX(MatchScoreTable,$Q973,20)-1))</f>
        <v>4</v>
      </c>
      <c r="W973">
        <f t="array" ref="W973">INDEX(INC_MINVALUES,$V973,$K$1)</f>
        <v>34</v>
      </c>
      <c r="X973" s="212">
        <f t="array" ref="X973">INDEX(INC_INCVALUES,$V973,$K$1)</f>
        <v>0.3</v>
      </c>
    </row>
    <row r="974" ht="15.75" customHeight="1">
      <c r="A974" s="435"/>
      <c r="B974" s="436"/>
      <c r="C974" s="95" t="str">
        <f t="array" ref="C974">IF(I974&gt;0,INDEX(DB,I974,8),"")</f>
        <v/>
      </c>
      <c r="D974" s="437">
        <f t="shared" si="1"/>
        <v>0</v>
      </c>
      <c r="F974" s="438">
        <f t="shared" si="2"/>
        <v>0</v>
      </c>
      <c r="G974" t="str">
        <f t="shared" si="3"/>
        <v/>
      </c>
      <c r="H974" t="b">
        <f t="shared" si="4"/>
        <v>0</v>
      </c>
      <c r="I974" s="439">
        <f>IF(OR(ISBLANK(A974),ISNA(MATCH(A974&amp;"",AthleteNumbers,0))),0,MATCH(A974&amp;"",AthleteNumbers,0))</f>
        <v>0</v>
      </c>
      <c r="J974" s="209">
        <f t="array" ref="J974">IF(I974&gt;0,INDEX(DB,$I974,6),0)</f>
        <v>0</v>
      </c>
      <c r="K974" s="440">
        <f t="shared" si="5"/>
        <v>0</v>
      </c>
      <c r="L974" s="440">
        <f t="shared" si="6"/>
        <v>0</v>
      </c>
      <c r="M974" s="441">
        <f>IF(AND(L974&gt;O974,O974&gt;0),MinPoints,IF(L974&lt;N974,100,+INT((O974-$L974)/P974)+MinPoints))</f>
        <v>100</v>
      </c>
      <c r="N974" s="440">
        <f t="shared" si="7"/>
        <v>7</v>
      </c>
      <c r="O974" s="440">
        <f t="shared" si="8"/>
        <v>16</v>
      </c>
      <c r="P974" s="440">
        <f t="shared" si="9"/>
        <v>0.1</v>
      </c>
      <c r="Q974">
        <f t="array" ref="Q974">IF(I974&gt;0,INDEX(DB,I974,9),EventIndex)</f>
        <v>6</v>
      </c>
      <c r="S974" s="442">
        <f t="array" ref="S974">INDEX(MINVALUES,$Q974,$K$1)</f>
        <v>16</v>
      </c>
      <c r="T974">
        <f t="array" ref="T974">INDEX(INCVALUES,$Q974,$K$1)</f>
        <v>0.1</v>
      </c>
      <c r="V974">
        <f t="array" ref="V974">+J974+(4*(INDEX(MatchScoreTable,$Q974,20)-1))</f>
        <v>4</v>
      </c>
      <c r="W974">
        <f t="array" ref="W974">INDEX(INC_MINVALUES,$V974,$K$1)</f>
        <v>34</v>
      </c>
      <c r="X974" s="212">
        <f t="array" ref="X974">INDEX(INC_INCVALUES,$V974,$K$1)</f>
        <v>0.3</v>
      </c>
    </row>
    <row r="975" ht="15.75" customHeight="1">
      <c r="A975" s="435"/>
      <c r="B975" s="436"/>
      <c r="C975" s="95" t="str">
        <f t="array" ref="C975">IF(I975&gt;0,INDEX(DB,I975,8),"")</f>
        <v/>
      </c>
      <c r="D975" s="437">
        <f t="shared" si="1"/>
        <v>0</v>
      </c>
      <c r="F975" s="438">
        <f t="shared" si="2"/>
        <v>0</v>
      </c>
      <c r="G975" t="str">
        <f t="shared" si="3"/>
        <v/>
      </c>
      <c r="H975" t="b">
        <f t="shared" si="4"/>
        <v>0</v>
      </c>
      <c r="I975" s="439">
        <f>IF(OR(ISBLANK(A975),ISNA(MATCH(A975&amp;"",AthleteNumbers,0))),0,MATCH(A975&amp;"",AthleteNumbers,0))</f>
        <v>0</v>
      </c>
      <c r="J975" s="209">
        <f t="array" ref="J975">IF(I975&gt;0,INDEX(DB,$I975,6),0)</f>
        <v>0</v>
      </c>
      <c r="K975" s="440">
        <f t="shared" si="5"/>
        <v>0</v>
      </c>
      <c r="L975" s="440">
        <f t="shared" si="6"/>
        <v>0</v>
      </c>
      <c r="M975" s="441">
        <f>IF(AND(L975&gt;O975,O975&gt;0),MinPoints,IF(L975&lt;N975,100,+INT((O975-$L975)/P975)+MinPoints))</f>
        <v>100</v>
      </c>
      <c r="N975" s="440">
        <f t="shared" si="7"/>
        <v>7</v>
      </c>
      <c r="O975" s="440">
        <f t="shared" si="8"/>
        <v>16</v>
      </c>
      <c r="P975" s="440">
        <f t="shared" si="9"/>
        <v>0.1</v>
      </c>
      <c r="Q975">
        <f t="array" ref="Q975">IF(I975&gt;0,INDEX(DB,I975,9),EventIndex)</f>
        <v>6</v>
      </c>
      <c r="S975" s="442">
        <f t="array" ref="S975">INDEX(MINVALUES,$Q975,$K$1)</f>
        <v>16</v>
      </c>
      <c r="T975">
        <f t="array" ref="T975">INDEX(INCVALUES,$Q975,$K$1)</f>
        <v>0.1</v>
      </c>
      <c r="V975">
        <f t="array" ref="V975">+J975+(4*(INDEX(MatchScoreTable,$Q975,20)-1))</f>
        <v>4</v>
      </c>
      <c r="W975">
        <f t="array" ref="W975">INDEX(INC_MINVALUES,$V975,$K$1)</f>
        <v>34</v>
      </c>
      <c r="X975" s="212">
        <f t="array" ref="X975">INDEX(INC_INCVALUES,$V975,$K$1)</f>
        <v>0.3</v>
      </c>
    </row>
    <row r="976" ht="15.75" customHeight="1">
      <c r="A976" s="435"/>
      <c r="B976" s="436"/>
      <c r="C976" s="95" t="str">
        <f t="array" ref="C976">IF(I976&gt;0,INDEX(DB,I976,8),"")</f>
        <v/>
      </c>
      <c r="D976" s="437">
        <f t="shared" si="1"/>
        <v>0</v>
      </c>
      <c r="F976" s="438">
        <f t="shared" si="2"/>
        <v>0</v>
      </c>
      <c r="G976" t="str">
        <f t="shared" si="3"/>
        <v/>
      </c>
      <c r="H976" t="b">
        <f t="shared" si="4"/>
        <v>0</v>
      </c>
      <c r="I976" s="439">
        <f>IF(OR(ISBLANK(A976),ISNA(MATCH(A976&amp;"",AthleteNumbers,0))),0,MATCH(A976&amp;"",AthleteNumbers,0))</f>
        <v>0</v>
      </c>
      <c r="J976" s="209">
        <f t="array" ref="J976">IF(I976&gt;0,INDEX(DB,$I976,6),0)</f>
        <v>0</v>
      </c>
      <c r="K976" s="440">
        <f t="shared" si="5"/>
        <v>0</v>
      </c>
      <c r="L976" s="440">
        <f t="shared" si="6"/>
        <v>0</v>
      </c>
      <c r="M976" s="441">
        <f>IF(AND(L976&gt;O976,O976&gt;0),MinPoints,IF(L976&lt;N976,100,+INT((O976-$L976)/P976)+MinPoints))</f>
        <v>100</v>
      </c>
      <c r="N976" s="440">
        <f t="shared" si="7"/>
        <v>7</v>
      </c>
      <c r="O976" s="440">
        <f t="shared" si="8"/>
        <v>16</v>
      </c>
      <c r="P976" s="440">
        <f t="shared" si="9"/>
        <v>0.1</v>
      </c>
      <c r="Q976">
        <f t="array" ref="Q976">IF(I976&gt;0,INDEX(DB,I976,9),EventIndex)</f>
        <v>6</v>
      </c>
      <c r="S976" s="442">
        <f t="array" ref="S976">INDEX(MINVALUES,$Q976,$K$1)</f>
        <v>16</v>
      </c>
      <c r="T976">
        <f t="array" ref="T976">INDEX(INCVALUES,$Q976,$K$1)</f>
        <v>0.1</v>
      </c>
      <c r="V976">
        <f t="array" ref="V976">+J976+(4*(INDEX(MatchScoreTable,$Q976,20)-1))</f>
        <v>4</v>
      </c>
      <c r="W976">
        <f t="array" ref="W976">INDEX(INC_MINVALUES,$V976,$K$1)</f>
        <v>34</v>
      </c>
      <c r="X976" s="212">
        <f t="array" ref="X976">INDEX(INC_INCVALUES,$V976,$K$1)</f>
        <v>0.3</v>
      </c>
    </row>
    <row r="977" ht="15.75" customHeight="1">
      <c r="A977" s="435"/>
      <c r="B977" s="436"/>
      <c r="C977" s="95" t="str">
        <f t="array" ref="C977">IF(I977&gt;0,INDEX(DB,I977,8),"")</f>
        <v/>
      </c>
      <c r="D977" s="437">
        <f t="shared" si="1"/>
        <v>0</v>
      </c>
      <c r="F977" s="438">
        <f t="shared" si="2"/>
        <v>0</v>
      </c>
      <c r="G977" t="str">
        <f t="shared" si="3"/>
        <v/>
      </c>
      <c r="H977" t="b">
        <f t="shared" si="4"/>
        <v>0</v>
      </c>
      <c r="I977" s="439">
        <f>IF(OR(ISBLANK(A977),ISNA(MATCH(A977&amp;"",AthleteNumbers,0))),0,MATCH(A977&amp;"",AthleteNumbers,0))</f>
        <v>0</v>
      </c>
      <c r="J977" s="209">
        <f t="array" ref="J977">IF(I977&gt;0,INDEX(DB,$I977,6),0)</f>
        <v>0</v>
      </c>
      <c r="K977" s="440">
        <f t="shared" si="5"/>
        <v>0</v>
      </c>
      <c r="L977" s="440">
        <f t="shared" si="6"/>
        <v>0</v>
      </c>
      <c r="M977" s="441">
        <f>IF(AND(L977&gt;O977,O977&gt;0),MinPoints,IF(L977&lt;N977,100,+INT((O977-$L977)/P977)+MinPoints))</f>
        <v>100</v>
      </c>
      <c r="N977" s="440">
        <f t="shared" si="7"/>
        <v>7</v>
      </c>
      <c r="O977" s="440">
        <f t="shared" si="8"/>
        <v>16</v>
      </c>
      <c r="P977" s="440">
        <f t="shared" si="9"/>
        <v>0.1</v>
      </c>
      <c r="Q977">
        <f t="array" ref="Q977">IF(I977&gt;0,INDEX(DB,I977,9),EventIndex)</f>
        <v>6</v>
      </c>
      <c r="S977" s="442">
        <f t="array" ref="S977">INDEX(MINVALUES,$Q977,$K$1)</f>
        <v>16</v>
      </c>
      <c r="T977">
        <f t="array" ref="T977">INDEX(INCVALUES,$Q977,$K$1)</f>
        <v>0.1</v>
      </c>
      <c r="V977">
        <f t="array" ref="V977">+J977+(4*(INDEX(MatchScoreTable,$Q977,20)-1))</f>
        <v>4</v>
      </c>
      <c r="W977">
        <f t="array" ref="W977">INDEX(INC_MINVALUES,$V977,$K$1)</f>
        <v>34</v>
      </c>
      <c r="X977" s="212">
        <f t="array" ref="X977">INDEX(INC_INCVALUES,$V977,$K$1)</f>
        <v>0.3</v>
      </c>
    </row>
    <row r="978" ht="15.75" customHeight="1">
      <c r="A978" s="435"/>
      <c r="B978" s="436"/>
      <c r="C978" s="95" t="str">
        <f t="array" ref="C978">IF(I978&gt;0,INDEX(DB,I978,8),"")</f>
        <v/>
      </c>
      <c r="D978" s="437">
        <f t="shared" si="1"/>
        <v>0</v>
      </c>
      <c r="F978" s="438">
        <f t="shared" si="2"/>
        <v>0</v>
      </c>
      <c r="G978" t="str">
        <f t="shared" si="3"/>
        <v/>
      </c>
      <c r="H978" t="b">
        <f t="shared" si="4"/>
        <v>0</v>
      </c>
      <c r="I978" s="439">
        <f>IF(OR(ISBLANK(A978),ISNA(MATCH(A978&amp;"",AthleteNumbers,0))),0,MATCH(A978&amp;"",AthleteNumbers,0))</f>
        <v>0</v>
      </c>
      <c r="J978" s="209">
        <f t="array" ref="J978">IF(I978&gt;0,INDEX(DB,$I978,6),0)</f>
        <v>0</v>
      </c>
      <c r="K978" s="440">
        <f t="shared" si="5"/>
        <v>0</v>
      </c>
      <c r="L978" s="440">
        <f t="shared" si="6"/>
        <v>0</v>
      </c>
      <c r="M978" s="441">
        <f>IF(AND(L978&gt;O978,O978&gt;0),MinPoints,IF(L978&lt;N978,100,+INT((O978-$L978)/P978)+MinPoints))</f>
        <v>100</v>
      </c>
      <c r="N978" s="440">
        <f t="shared" si="7"/>
        <v>7</v>
      </c>
      <c r="O978" s="440">
        <f t="shared" si="8"/>
        <v>16</v>
      </c>
      <c r="P978" s="440">
        <f t="shared" si="9"/>
        <v>0.1</v>
      </c>
      <c r="Q978">
        <f t="array" ref="Q978">IF(I978&gt;0,INDEX(DB,I978,9),EventIndex)</f>
        <v>6</v>
      </c>
      <c r="S978" s="442">
        <f t="array" ref="S978">INDEX(MINVALUES,$Q978,$K$1)</f>
        <v>16</v>
      </c>
      <c r="T978">
        <f t="array" ref="T978">INDEX(INCVALUES,$Q978,$K$1)</f>
        <v>0.1</v>
      </c>
      <c r="V978">
        <f t="array" ref="V978">+J978+(4*(INDEX(MatchScoreTable,$Q978,20)-1))</f>
        <v>4</v>
      </c>
      <c r="W978">
        <f t="array" ref="W978">INDEX(INC_MINVALUES,$V978,$K$1)</f>
        <v>34</v>
      </c>
      <c r="X978" s="212">
        <f t="array" ref="X978">INDEX(INC_INCVALUES,$V978,$K$1)</f>
        <v>0.3</v>
      </c>
    </row>
    <row r="979" ht="15.75" customHeight="1">
      <c r="A979" s="435"/>
      <c r="B979" s="436"/>
      <c r="C979" s="95" t="str">
        <f t="array" ref="C979">IF(I979&gt;0,INDEX(DB,I979,8),"")</f>
        <v/>
      </c>
      <c r="D979" s="437">
        <f t="shared" si="1"/>
        <v>0</v>
      </c>
      <c r="F979" s="438">
        <f t="shared" si="2"/>
        <v>0</v>
      </c>
      <c r="G979" t="str">
        <f t="shared" si="3"/>
        <v/>
      </c>
      <c r="H979" t="b">
        <f t="shared" si="4"/>
        <v>0</v>
      </c>
      <c r="I979" s="439">
        <f>IF(OR(ISBLANK(A979),ISNA(MATCH(A979&amp;"",AthleteNumbers,0))),0,MATCH(A979&amp;"",AthleteNumbers,0))</f>
        <v>0</v>
      </c>
      <c r="J979" s="209">
        <f t="array" ref="J979">IF(I979&gt;0,INDEX(DB,$I979,6),0)</f>
        <v>0</v>
      </c>
      <c r="K979" s="440">
        <f t="shared" si="5"/>
        <v>0</v>
      </c>
      <c r="L979" s="440">
        <f t="shared" si="6"/>
        <v>0</v>
      </c>
      <c r="M979" s="441">
        <f>IF(AND(L979&gt;O979,O979&gt;0),MinPoints,IF(L979&lt;N979,100,+INT((O979-$L979)/P979)+MinPoints))</f>
        <v>100</v>
      </c>
      <c r="N979" s="440">
        <f t="shared" si="7"/>
        <v>7</v>
      </c>
      <c r="O979" s="440">
        <f t="shared" si="8"/>
        <v>16</v>
      </c>
      <c r="P979" s="440">
        <f t="shared" si="9"/>
        <v>0.1</v>
      </c>
      <c r="Q979">
        <f t="array" ref="Q979">IF(I979&gt;0,INDEX(DB,I979,9),EventIndex)</f>
        <v>6</v>
      </c>
      <c r="S979" s="442">
        <f t="array" ref="S979">INDEX(MINVALUES,$Q979,$K$1)</f>
        <v>16</v>
      </c>
      <c r="T979">
        <f t="array" ref="T979">INDEX(INCVALUES,$Q979,$K$1)</f>
        <v>0.1</v>
      </c>
      <c r="V979">
        <f t="array" ref="V979">+J979+(4*(INDEX(MatchScoreTable,$Q979,20)-1))</f>
        <v>4</v>
      </c>
      <c r="W979">
        <f t="array" ref="W979">INDEX(INC_MINVALUES,$V979,$K$1)</f>
        <v>34</v>
      </c>
      <c r="X979" s="212">
        <f t="array" ref="X979">INDEX(INC_INCVALUES,$V979,$K$1)</f>
        <v>0.3</v>
      </c>
    </row>
    <row r="980" ht="15.75" customHeight="1">
      <c r="A980" s="435"/>
      <c r="B980" s="436"/>
      <c r="C980" s="95" t="str">
        <f t="array" ref="C980">IF(I980&gt;0,INDEX(DB,I980,8),"")</f>
        <v/>
      </c>
      <c r="D980" s="437">
        <f t="shared" si="1"/>
        <v>0</v>
      </c>
      <c r="F980" s="438">
        <f t="shared" si="2"/>
        <v>0</v>
      </c>
      <c r="G980" t="str">
        <f t="shared" si="3"/>
        <v/>
      </c>
      <c r="H980" t="b">
        <f t="shared" si="4"/>
        <v>0</v>
      </c>
      <c r="I980" s="439">
        <f>IF(OR(ISBLANK(A980),ISNA(MATCH(A980&amp;"",AthleteNumbers,0))),0,MATCH(A980&amp;"",AthleteNumbers,0))</f>
        <v>0</v>
      </c>
      <c r="J980" s="209">
        <f t="array" ref="J980">IF(I980&gt;0,INDEX(DB,$I980,6),0)</f>
        <v>0</v>
      </c>
      <c r="K980" s="440">
        <f t="shared" si="5"/>
        <v>0</v>
      </c>
      <c r="L980" s="440">
        <f t="shared" si="6"/>
        <v>0</v>
      </c>
      <c r="M980" s="441">
        <f>IF(AND(L980&gt;O980,O980&gt;0),MinPoints,IF(L980&lt;N980,100,+INT((O980-$L980)/P980)+MinPoints))</f>
        <v>100</v>
      </c>
      <c r="N980" s="440">
        <f t="shared" si="7"/>
        <v>7</v>
      </c>
      <c r="O980" s="440">
        <f t="shared" si="8"/>
        <v>16</v>
      </c>
      <c r="P980" s="440">
        <f t="shared" si="9"/>
        <v>0.1</v>
      </c>
      <c r="Q980">
        <f t="array" ref="Q980">IF(I980&gt;0,INDEX(DB,I980,9),EventIndex)</f>
        <v>6</v>
      </c>
      <c r="S980" s="442">
        <f t="array" ref="S980">INDEX(MINVALUES,$Q980,$K$1)</f>
        <v>16</v>
      </c>
      <c r="T980">
        <f t="array" ref="T980">INDEX(INCVALUES,$Q980,$K$1)</f>
        <v>0.1</v>
      </c>
      <c r="V980">
        <f t="array" ref="V980">+J980+(4*(INDEX(MatchScoreTable,$Q980,20)-1))</f>
        <v>4</v>
      </c>
      <c r="W980">
        <f t="array" ref="W980">INDEX(INC_MINVALUES,$V980,$K$1)</f>
        <v>34</v>
      </c>
      <c r="X980" s="212">
        <f t="array" ref="X980">INDEX(INC_INCVALUES,$V980,$K$1)</f>
        <v>0.3</v>
      </c>
    </row>
    <row r="981" ht="15.75" customHeight="1">
      <c r="A981" s="435"/>
      <c r="B981" s="436"/>
      <c r="C981" s="95" t="str">
        <f t="array" ref="C981">IF(I981&gt;0,INDEX(DB,I981,8),"")</f>
        <v/>
      </c>
      <c r="D981" s="437">
        <f t="shared" si="1"/>
        <v>0</v>
      </c>
      <c r="F981" s="438">
        <f t="shared" si="2"/>
        <v>0</v>
      </c>
      <c r="G981" t="str">
        <f t="shared" si="3"/>
        <v/>
      </c>
      <c r="H981" t="b">
        <f t="shared" si="4"/>
        <v>0</v>
      </c>
      <c r="I981" s="439">
        <f>IF(OR(ISBLANK(A981),ISNA(MATCH(A981&amp;"",AthleteNumbers,0))),0,MATCH(A981&amp;"",AthleteNumbers,0))</f>
        <v>0</v>
      </c>
      <c r="J981" s="209">
        <f t="array" ref="J981">IF(I981&gt;0,INDEX(DB,$I981,6),0)</f>
        <v>0</v>
      </c>
      <c r="K981" s="440">
        <f t="shared" si="5"/>
        <v>0</v>
      </c>
      <c r="L981" s="440">
        <f t="shared" si="6"/>
        <v>0</v>
      </c>
      <c r="M981" s="441">
        <f>IF(AND(L981&gt;O981,O981&gt;0),MinPoints,IF(L981&lt;N981,100,+INT((O981-$L981)/P981)+MinPoints))</f>
        <v>100</v>
      </c>
      <c r="N981" s="440">
        <f t="shared" si="7"/>
        <v>7</v>
      </c>
      <c r="O981" s="440">
        <f t="shared" si="8"/>
        <v>16</v>
      </c>
      <c r="P981" s="440">
        <f t="shared" si="9"/>
        <v>0.1</v>
      </c>
      <c r="Q981">
        <f t="array" ref="Q981">IF(I981&gt;0,INDEX(DB,I981,9),EventIndex)</f>
        <v>6</v>
      </c>
      <c r="S981" s="442">
        <f t="array" ref="S981">INDEX(MINVALUES,$Q981,$K$1)</f>
        <v>16</v>
      </c>
      <c r="T981">
        <f t="array" ref="T981">INDEX(INCVALUES,$Q981,$K$1)</f>
        <v>0.1</v>
      </c>
      <c r="V981">
        <f t="array" ref="V981">+J981+(4*(INDEX(MatchScoreTable,$Q981,20)-1))</f>
        <v>4</v>
      </c>
      <c r="W981">
        <f t="array" ref="W981">INDEX(INC_MINVALUES,$V981,$K$1)</f>
        <v>34</v>
      </c>
      <c r="X981" s="212">
        <f t="array" ref="X981">INDEX(INC_INCVALUES,$V981,$K$1)</f>
        <v>0.3</v>
      </c>
    </row>
    <row r="982" ht="15.75" customHeight="1">
      <c r="A982" s="435"/>
      <c r="B982" s="436"/>
      <c r="C982" s="95" t="str">
        <f t="array" ref="C982">IF(I982&gt;0,INDEX(DB,I982,8),"")</f>
        <v/>
      </c>
      <c r="D982" s="437">
        <f t="shared" si="1"/>
        <v>0</v>
      </c>
      <c r="F982" s="438">
        <f t="shared" si="2"/>
        <v>0</v>
      </c>
      <c r="G982" t="str">
        <f t="shared" si="3"/>
        <v/>
      </c>
      <c r="H982" t="b">
        <f t="shared" si="4"/>
        <v>0</v>
      </c>
      <c r="I982" s="439">
        <f>IF(OR(ISBLANK(A982),ISNA(MATCH(A982&amp;"",AthleteNumbers,0))),0,MATCH(A982&amp;"",AthleteNumbers,0))</f>
        <v>0</v>
      </c>
      <c r="J982" s="209">
        <f t="array" ref="J982">IF(I982&gt;0,INDEX(DB,$I982,6),0)</f>
        <v>0</v>
      </c>
      <c r="K982" s="440">
        <f t="shared" si="5"/>
        <v>0</v>
      </c>
      <c r="L982" s="440">
        <f t="shared" si="6"/>
        <v>0</v>
      </c>
      <c r="M982" s="441">
        <f>IF(AND(L982&gt;O982,O982&gt;0),MinPoints,IF(L982&lt;N982,100,+INT((O982-$L982)/P982)+MinPoints))</f>
        <v>100</v>
      </c>
      <c r="N982" s="440">
        <f t="shared" si="7"/>
        <v>7</v>
      </c>
      <c r="O982" s="440">
        <f t="shared" si="8"/>
        <v>16</v>
      </c>
      <c r="P982" s="440">
        <f t="shared" si="9"/>
        <v>0.1</v>
      </c>
      <c r="Q982">
        <f t="array" ref="Q982">IF(I982&gt;0,INDEX(DB,I982,9),EventIndex)</f>
        <v>6</v>
      </c>
      <c r="S982" s="442">
        <f t="array" ref="S982">INDEX(MINVALUES,$Q982,$K$1)</f>
        <v>16</v>
      </c>
      <c r="T982">
        <f t="array" ref="T982">INDEX(INCVALUES,$Q982,$K$1)</f>
        <v>0.1</v>
      </c>
      <c r="V982">
        <f t="array" ref="V982">+J982+(4*(INDEX(MatchScoreTable,$Q982,20)-1))</f>
        <v>4</v>
      </c>
      <c r="W982">
        <f t="array" ref="W982">INDEX(INC_MINVALUES,$V982,$K$1)</f>
        <v>34</v>
      </c>
      <c r="X982" s="212">
        <f t="array" ref="X982">INDEX(INC_INCVALUES,$V982,$K$1)</f>
        <v>0.3</v>
      </c>
    </row>
    <row r="983" ht="15.75" customHeight="1">
      <c r="A983" s="435"/>
      <c r="B983" s="436"/>
      <c r="C983" s="95" t="str">
        <f t="array" ref="C983">IF(I983&gt;0,INDEX(DB,I983,8),"")</f>
        <v/>
      </c>
      <c r="D983" s="437">
        <f t="shared" si="1"/>
        <v>0</v>
      </c>
      <c r="F983" s="438">
        <f t="shared" si="2"/>
        <v>0</v>
      </c>
      <c r="G983" t="str">
        <f t="shared" si="3"/>
        <v/>
      </c>
      <c r="H983" t="b">
        <f t="shared" si="4"/>
        <v>0</v>
      </c>
      <c r="I983" s="439">
        <f>IF(OR(ISBLANK(A983),ISNA(MATCH(A983&amp;"",AthleteNumbers,0))),0,MATCH(A983&amp;"",AthleteNumbers,0))</f>
        <v>0</v>
      </c>
      <c r="J983" s="209">
        <f t="array" ref="J983">IF(I983&gt;0,INDEX(DB,$I983,6),0)</f>
        <v>0</v>
      </c>
      <c r="K983" s="440">
        <f t="shared" si="5"/>
        <v>0</v>
      </c>
      <c r="L983" s="440">
        <f t="shared" si="6"/>
        <v>0</v>
      </c>
      <c r="M983" s="441">
        <f>IF(AND(L983&gt;O983,O983&gt;0),MinPoints,IF(L983&lt;N983,100,+INT((O983-$L983)/P983)+MinPoints))</f>
        <v>100</v>
      </c>
      <c r="N983" s="440">
        <f t="shared" si="7"/>
        <v>7</v>
      </c>
      <c r="O983" s="440">
        <f t="shared" si="8"/>
        <v>16</v>
      </c>
      <c r="P983" s="440">
        <f t="shared" si="9"/>
        <v>0.1</v>
      </c>
      <c r="Q983">
        <f t="array" ref="Q983">IF(I983&gt;0,INDEX(DB,I983,9),EventIndex)</f>
        <v>6</v>
      </c>
      <c r="S983" s="442">
        <f t="array" ref="S983">INDEX(MINVALUES,$Q983,$K$1)</f>
        <v>16</v>
      </c>
      <c r="T983">
        <f t="array" ref="T983">INDEX(INCVALUES,$Q983,$K$1)</f>
        <v>0.1</v>
      </c>
      <c r="V983">
        <f t="array" ref="V983">+J983+(4*(INDEX(MatchScoreTable,$Q983,20)-1))</f>
        <v>4</v>
      </c>
      <c r="W983">
        <f t="array" ref="W983">INDEX(INC_MINVALUES,$V983,$K$1)</f>
        <v>34</v>
      </c>
      <c r="X983" s="212">
        <f t="array" ref="X983">INDEX(INC_INCVALUES,$V983,$K$1)</f>
        <v>0.3</v>
      </c>
    </row>
    <row r="984" ht="15.75" customHeight="1">
      <c r="A984" s="435"/>
      <c r="B984" s="436"/>
      <c r="C984" s="95" t="str">
        <f t="array" ref="C984">IF(I984&gt;0,INDEX(DB,I984,8),"")</f>
        <v/>
      </c>
      <c r="D984" s="437">
        <f t="shared" si="1"/>
        <v>0</v>
      </c>
      <c r="F984" s="438">
        <f t="shared" si="2"/>
        <v>0</v>
      </c>
      <c r="G984" t="str">
        <f t="shared" si="3"/>
        <v/>
      </c>
      <c r="H984" t="b">
        <f t="shared" si="4"/>
        <v>0</v>
      </c>
      <c r="I984" s="439">
        <f>IF(OR(ISBLANK(A984),ISNA(MATCH(A984&amp;"",AthleteNumbers,0))),0,MATCH(A984&amp;"",AthleteNumbers,0))</f>
        <v>0</v>
      </c>
      <c r="J984" s="209">
        <f t="array" ref="J984">IF(I984&gt;0,INDEX(DB,$I984,6),0)</f>
        <v>0</v>
      </c>
      <c r="K984" s="440">
        <f t="shared" si="5"/>
        <v>0</v>
      </c>
      <c r="L984" s="440">
        <f t="shared" si="6"/>
        <v>0</v>
      </c>
      <c r="M984" s="441">
        <f>IF(AND(L984&gt;O984,O984&gt;0),MinPoints,IF(L984&lt;N984,100,+INT((O984-$L984)/P984)+MinPoints))</f>
        <v>100</v>
      </c>
      <c r="N984" s="440">
        <f t="shared" si="7"/>
        <v>7</v>
      </c>
      <c r="O984" s="440">
        <f t="shared" si="8"/>
        <v>16</v>
      </c>
      <c r="P984" s="440">
        <f t="shared" si="9"/>
        <v>0.1</v>
      </c>
      <c r="Q984">
        <f t="array" ref="Q984">IF(I984&gt;0,INDEX(DB,I984,9),EventIndex)</f>
        <v>6</v>
      </c>
      <c r="S984" s="442">
        <f t="array" ref="S984">INDEX(MINVALUES,$Q984,$K$1)</f>
        <v>16</v>
      </c>
      <c r="T984">
        <f t="array" ref="T984">INDEX(INCVALUES,$Q984,$K$1)</f>
        <v>0.1</v>
      </c>
      <c r="V984">
        <f t="array" ref="V984">+J984+(4*(INDEX(MatchScoreTable,$Q984,20)-1))</f>
        <v>4</v>
      </c>
      <c r="W984">
        <f t="array" ref="W984">INDEX(INC_MINVALUES,$V984,$K$1)</f>
        <v>34</v>
      </c>
      <c r="X984" s="212">
        <f t="array" ref="X984">INDEX(INC_INCVALUES,$V984,$K$1)</f>
        <v>0.3</v>
      </c>
    </row>
    <row r="985" ht="15.75" customHeight="1">
      <c r="A985" s="435"/>
      <c r="B985" s="436"/>
      <c r="C985" s="95" t="str">
        <f t="array" ref="C985">IF(I985&gt;0,INDEX(DB,I985,8),"")</f>
        <v/>
      </c>
      <c r="D985" s="437">
        <f t="shared" si="1"/>
        <v>0</v>
      </c>
      <c r="F985" s="438">
        <f t="shared" si="2"/>
        <v>0</v>
      </c>
      <c r="G985" t="str">
        <f t="shared" si="3"/>
        <v/>
      </c>
      <c r="H985" t="b">
        <f t="shared" si="4"/>
        <v>0</v>
      </c>
      <c r="I985" s="439">
        <f>IF(OR(ISBLANK(A985),ISNA(MATCH(A985&amp;"",AthleteNumbers,0))),0,MATCH(A985&amp;"",AthleteNumbers,0))</f>
        <v>0</v>
      </c>
      <c r="J985" s="209">
        <f t="array" ref="J985">IF(I985&gt;0,INDEX(DB,$I985,6),0)</f>
        <v>0</v>
      </c>
      <c r="K985" s="440">
        <f t="shared" si="5"/>
        <v>0</v>
      </c>
      <c r="L985" s="440">
        <f t="shared" si="6"/>
        <v>0</v>
      </c>
      <c r="M985" s="441">
        <f>IF(AND(L985&gt;O985,O985&gt;0),MinPoints,IF(L985&lt;N985,100,+INT((O985-$L985)/P985)+MinPoints))</f>
        <v>100</v>
      </c>
      <c r="N985" s="440">
        <f t="shared" si="7"/>
        <v>7</v>
      </c>
      <c r="O985" s="440">
        <f t="shared" si="8"/>
        <v>16</v>
      </c>
      <c r="P985" s="440">
        <f t="shared" si="9"/>
        <v>0.1</v>
      </c>
      <c r="Q985">
        <f t="array" ref="Q985">IF(I985&gt;0,INDEX(DB,I985,9),EventIndex)</f>
        <v>6</v>
      </c>
      <c r="S985" s="442">
        <f t="array" ref="S985">INDEX(MINVALUES,$Q985,$K$1)</f>
        <v>16</v>
      </c>
      <c r="T985">
        <f t="array" ref="T985">INDEX(INCVALUES,$Q985,$K$1)</f>
        <v>0.1</v>
      </c>
      <c r="V985">
        <f t="array" ref="V985">+J985+(4*(INDEX(MatchScoreTable,$Q985,20)-1))</f>
        <v>4</v>
      </c>
      <c r="W985">
        <f t="array" ref="W985">INDEX(INC_MINVALUES,$V985,$K$1)</f>
        <v>34</v>
      </c>
      <c r="X985" s="212">
        <f t="array" ref="X985">INDEX(INC_INCVALUES,$V985,$K$1)</f>
        <v>0.3</v>
      </c>
    </row>
    <row r="986" ht="15.75" customHeight="1">
      <c r="A986" s="435"/>
      <c r="B986" s="436"/>
      <c r="C986" s="95" t="str">
        <f t="array" ref="C986">IF(I986&gt;0,INDEX(DB,I986,8),"")</f>
        <v/>
      </c>
      <c r="D986" s="437">
        <f t="shared" si="1"/>
        <v>0</v>
      </c>
      <c r="F986" s="438">
        <f t="shared" si="2"/>
        <v>0</v>
      </c>
      <c r="G986" t="str">
        <f t="shared" si="3"/>
        <v/>
      </c>
      <c r="H986" t="b">
        <f t="shared" si="4"/>
        <v>0</v>
      </c>
      <c r="I986" s="439">
        <f>IF(OR(ISBLANK(A986),ISNA(MATCH(A986&amp;"",AthleteNumbers,0))),0,MATCH(A986&amp;"",AthleteNumbers,0))</f>
        <v>0</v>
      </c>
      <c r="J986" s="209">
        <f t="array" ref="J986">IF(I986&gt;0,INDEX(DB,$I986,6),0)</f>
        <v>0</v>
      </c>
      <c r="K986" s="440">
        <f t="shared" si="5"/>
        <v>0</v>
      </c>
      <c r="L986" s="440">
        <f t="shared" si="6"/>
        <v>0</v>
      </c>
      <c r="M986" s="441">
        <f>IF(AND(L986&gt;O986,O986&gt;0),MinPoints,IF(L986&lt;N986,100,+INT((O986-$L986)/P986)+MinPoints))</f>
        <v>100</v>
      </c>
      <c r="N986" s="440">
        <f t="shared" si="7"/>
        <v>7</v>
      </c>
      <c r="O986" s="440">
        <f t="shared" si="8"/>
        <v>16</v>
      </c>
      <c r="P986" s="440">
        <f t="shared" si="9"/>
        <v>0.1</v>
      </c>
      <c r="Q986">
        <f t="array" ref="Q986">IF(I986&gt;0,INDEX(DB,I986,9),EventIndex)</f>
        <v>6</v>
      </c>
      <c r="S986" s="442">
        <f t="array" ref="S986">INDEX(MINVALUES,$Q986,$K$1)</f>
        <v>16</v>
      </c>
      <c r="T986">
        <f t="array" ref="T986">INDEX(INCVALUES,$Q986,$K$1)</f>
        <v>0.1</v>
      </c>
      <c r="V986">
        <f t="array" ref="V986">+J986+(4*(INDEX(MatchScoreTable,$Q986,20)-1))</f>
        <v>4</v>
      </c>
      <c r="W986">
        <f t="array" ref="W986">INDEX(INC_MINVALUES,$V986,$K$1)</f>
        <v>34</v>
      </c>
      <c r="X986" s="212">
        <f t="array" ref="X986">INDEX(INC_INCVALUES,$V986,$K$1)</f>
        <v>0.3</v>
      </c>
    </row>
    <row r="987" ht="15.75" customHeight="1">
      <c r="A987" s="435"/>
      <c r="B987" s="436"/>
      <c r="C987" s="95" t="str">
        <f t="array" ref="C987">IF(I987&gt;0,INDEX(DB,I987,8),"")</f>
        <v/>
      </c>
      <c r="D987" s="437">
        <f t="shared" si="1"/>
        <v>0</v>
      </c>
      <c r="F987" s="438">
        <f t="shared" si="2"/>
        <v>0</v>
      </c>
      <c r="G987" t="str">
        <f t="shared" si="3"/>
        <v/>
      </c>
      <c r="H987" t="b">
        <f t="shared" si="4"/>
        <v>0</v>
      </c>
      <c r="I987" s="439">
        <f>IF(OR(ISBLANK(A987),ISNA(MATCH(A987&amp;"",AthleteNumbers,0))),0,MATCH(A987&amp;"",AthleteNumbers,0))</f>
        <v>0</v>
      </c>
      <c r="J987" s="209">
        <f t="array" ref="J987">IF(I987&gt;0,INDEX(DB,$I987,6),0)</f>
        <v>0</v>
      </c>
      <c r="K987" s="440">
        <f t="shared" si="5"/>
        <v>0</v>
      </c>
      <c r="L987" s="440">
        <f t="shared" si="6"/>
        <v>0</v>
      </c>
      <c r="M987" s="441">
        <f>IF(AND(L987&gt;O987,O987&gt;0),MinPoints,IF(L987&lt;N987,100,+INT((O987-$L987)/P987)+MinPoints))</f>
        <v>100</v>
      </c>
      <c r="N987" s="440">
        <f t="shared" si="7"/>
        <v>7</v>
      </c>
      <c r="O987" s="440">
        <f t="shared" si="8"/>
        <v>16</v>
      </c>
      <c r="P987" s="440">
        <f t="shared" si="9"/>
        <v>0.1</v>
      </c>
      <c r="Q987">
        <f t="array" ref="Q987">IF(I987&gt;0,INDEX(DB,I987,9),EventIndex)</f>
        <v>6</v>
      </c>
      <c r="S987" s="442">
        <f t="array" ref="S987">INDEX(MINVALUES,$Q987,$K$1)</f>
        <v>16</v>
      </c>
      <c r="T987">
        <f t="array" ref="T987">INDEX(INCVALUES,$Q987,$K$1)</f>
        <v>0.1</v>
      </c>
      <c r="V987">
        <f t="array" ref="V987">+J987+(4*(INDEX(MatchScoreTable,$Q987,20)-1))</f>
        <v>4</v>
      </c>
      <c r="W987">
        <f t="array" ref="W987">INDEX(INC_MINVALUES,$V987,$K$1)</f>
        <v>34</v>
      </c>
      <c r="X987" s="212">
        <f t="array" ref="X987">INDEX(INC_INCVALUES,$V987,$K$1)</f>
        <v>0.3</v>
      </c>
    </row>
    <row r="988" ht="15.75" customHeight="1">
      <c r="A988" s="435"/>
      <c r="B988" s="436"/>
      <c r="C988" s="95" t="str">
        <f t="array" ref="C988">IF(I988&gt;0,INDEX(DB,I988,8),"")</f>
        <v/>
      </c>
      <c r="D988" s="437">
        <f t="shared" si="1"/>
        <v>0</v>
      </c>
      <c r="F988" s="438">
        <f t="shared" si="2"/>
        <v>0</v>
      </c>
      <c r="G988" t="str">
        <f t="shared" si="3"/>
        <v/>
      </c>
      <c r="H988" t="b">
        <f t="shared" si="4"/>
        <v>0</v>
      </c>
      <c r="I988" s="439">
        <f>IF(OR(ISBLANK(A988),ISNA(MATCH(A988&amp;"",AthleteNumbers,0))),0,MATCH(A988&amp;"",AthleteNumbers,0))</f>
        <v>0</v>
      </c>
      <c r="J988" s="209">
        <f t="array" ref="J988">IF(I988&gt;0,INDEX(DB,$I988,6),0)</f>
        <v>0</v>
      </c>
      <c r="K988" s="440">
        <f t="shared" si="5"/>
        <v>0</v>
      </c>
      <c r="L988" s="440">
        <f t="shared" si="6"/>
        <v>0</v>
      </c>
      <c r="M988" s="441">
        <f>IF(AND(L988&gt;O988,O988&gt;0),MinPoints,IF(L988&lt;N988,100,+INT((O988-$L988)/P988)+MinPoints))</f>
        <v>100</v>
      </c>
      <c r="N988" s="440">
        <f t="shared" si="7"/>
        <v>7</v>
      </c>
      <c r="O988" s="440">
        <f t="shared" si="8"/>
        <v>16</v>
      </c>
      <c r="P988" s="440">
        <f t="shared" si="9"/>
        <v>0.1</v>
      </c>
      <c r="Q988">
        <f t="array" ref="Q988">IF(I988&gt;0,INDEX(DB,I988,9),EventIndex)</f>
        <v>6</v>
      </c>
      <c r="S988" s="442">
        <f t="array" ref="S988">INDEX(MINVALUES,$Q988,$K$1)</f>
        <v>16</v>
      </c>
      <c r="T988">
        <f t="array" ref="T988">INDEX(INCVALUES,$Q988,$K$1)</f>
        <v>0.1</v>
      </c>
      <c r="V988">
        <f t="array" ref="V988">+J988+(4*(INDEX(MatchScoreTable,$Q988,20)-1))</f>
        <v>4</v>
      </c>
      <c r="W988">
        <f t="array" ref="W988">INDEX(INC_MINVALUES,$V988,$K$1)</f>
        <v>34</v>
      </c>
      <c r="X988" s="212">
        <f t="array" ref="X988">INDEX(INC_INCVALUES,$V988,$K$1)</f>
        <v>0.3</v>
      </c>
    </row>
    <row r="989" ht="15.75" customHeight="1">
      <c r="A989" s="435"/>
      <c r="B989" s="436"/>
      <c r="C989" s="95" t="str">
        <f t="array" ref="C989">IF(I989&gt;0,INDEX(DB,I989,8),"")</f>
        <v/>
      </c>
      <c r="D989" s="437">
        <f t="shared" si="1"/>
        <v>0</v>
      </c>
      <c r="F989" s="438">
        <f t="shared" si="2"/>
        <v>0</v>
      </c>
      <c r="G989" t="str">
        <f t="shared" si="3"/>
        <v/>
      </c>
      <c r="H989" t="b">
        <f t="shared" si="4"/>
        <v>0</v>
      </c>
      <c r="I989" s="439">
        <f>IF(OR(ISBLANK(A989),ISNA(MATCH(A989&amp;"",AthleteNumbers,0))),0,MATCH(A989&amp;"",AthleteNumbers,0))</f>
        <v>0</v>
      </c>
      <c r="J989" s="209">
        <f t="array" ref="J989">IF(I989&gt;0,INDEX(DB,$I989,6),0)</f>
        <v>0</v>
      </c>
      <c r="K989" s="440">
        <f t="shared" si="5"/>
        <v>0</v>
      </c>
      <c r="L989" s="440">
        <f t="shared" si="6"/>
        <v>0</v>
      </c>
      <c r="M989" s="441">
        <f>IF(AND(L989&gt;O989,O989&gt;0),MinPoints,IF(L989&lt;N989,100,+INT((O989-$L989)/P989)+MinPoints))</f>
        <v>100</v>
      </c>
      <c r="N989" s="440">
        <f t="shared" si="7"/>
        <v>7</v>
      </c>
      <c r="O989" s="440">
        <f t="shared" si="8"/>
        <v>16</v>
      </c>
      <c r="P989" s="440">
        <f t="shared" si="9"/>
        <v>0.1</v>
      </c>
      <c r="Q989">
        <f t="array" ref="Q989">IF(I989&gt;0,INDEX(DB,I989,9),EventIndex)</f>
        <v>6</v>
      </c>
      <c r="S989" s="442">
        <f t="array" ref="S989">INDEX(MINVALUES,$Q989,$K$1)</f>
        <v>16</v>
      </c>
      <c r="T989">
        <f t="array" ref="T989">INDEX(INCVALUES,$Q989,$K$1)</f>
        <v>0.1</v>
      </c>
      <c r="V989">
        <f t="array" ref="V989">+J989+(4*(INDEX(MatchScoreTable,$Q989,20)-1))</f>
        <v>4</v>
      </c>
      <c r="W989">
        <f t="array" ref="W989">INDEX(INC_MINVALUES,$V989,$K$1)</f>
        <v>34</v>
      </c>
      <c r="X989" s="212">
        <f t="array" ref="X989">INDEX(INC_INCVALUES,$V989,$K$1)</f>
        <v>0.3</v>
      </c>
    </row>
    <row r="990" ht="15.75" customHeight="1">
      <c r="A990" s="435"/>
      <c r="B990" s="436"/>
      <c r="C990" s="95" t="str">
        <f t="array" ref="C990">IF(I990&gt;0,INDEX(DB,I990,8),"")</f>
        <v/>
      </c>
      <c r="D990" s="437">
        <f t="shared" si="1"/>
        <v>0</v>
      </c>
      <c r="F990" s="438">
        <f t="shared" si="2"/>
        <v>0</v>
      </c>
      <c r="G990" t="str">
        <f t="shared" si="3"/>
        <v/>
      </c>
      <c r="H990" t="b">
        <f t="shared" si="4"/>
        <v>0</v>
      </c>
      <c r="I990" s="439">
        <f>IF(OR(ISBLANK(A990),ISNA(MATCH(A990&amp;"",AthleteNumbers,0))),0,MATCH(A990&amp;"",AthleteNumbers,0))</f>
        <v>0</v>
      </c>
      <c r="J990" s="209">
        <f t="array" ref="J990">IF(I990&gt;0,INDEX(DB,$I990,6),0)</f>
        <v>0</v>
      </c>
      <c r="K990" s="440">
        <f t="shared" si="5"/>
        <v>0</v>
      </c>
      <c r="L990" s="440">
        <f t="shared" si="6"/>
        <v>0</v>
      </c>
      <c r="M990" s="441">
        <f>IF(AND(L990&gt;O990,O990&gt;0),MinPoints,IF(L990&lt;N990,100,+INT((O990-$L990)/P990)+MinPoints))</f>
        <v>100</v>
      </c>
      <c r="N990" s="440">
        <f t="shared" si="7"/>
        <v>7</v>
      </c>
      <c r="O990" s="440">
        <f t="shared" si="8"/>
        <v>16</v>
      </c>
      <c r="P990" s="440">
        <f t="shared" si="9"/>
        <v>0.1</v>
      </c>
      <c r="Q990">
        <f t="array" ref="Q990">IF(I990&gt;0,INDEX(DB,I990,9),EventIndex)</f>
        <v>6</v>
      </c>
      <c r="S990" s="442">
        <f t="array" ref="S990">INDEX(MINVALUES,$Q990,$K$1)</f>
        <v>16</v>
      </c>
      <c r="T990">
        <f t="array" ref="T990">INDEX(INCVALUES,$Q990,$K$1)</f>
        <v>0.1</v>
      </c>
      <c r="V990">
        <f t="array" ref="V990">+J990+(4*(INDEX(MatchScoreTable,$Q990,20)-1))</f>
        <v>4</v>
      </c>
      <c r="W990">
        <f t="array" ref="W990">INDEX(INC_MINVALUES,$V990,$K$1)</f>
        <v>34</v>
      </c>
      <c r="X990" s="212">
        <f t="array" ref="X990">INDEX(INC_INCVALUES,$V990,$K$1)</f>
        <v>0.3</v>
      </c>
    </row>
    <row r="991" ht="15.75" customHeight="1">
      <c r="A991" s="435"/>
      <c r="B991" s="436"/>
      <c r="C991" s="95" t="str">
        <f t="array" ref="C991">IF(I991&gt;0,INDEX(DB,I991,8),"")</f>
        <v/>
      </c>
      <c r="D991" s="437">
        <f t="shared" si="1"/>
        <v>0</v>
      </c>
      <c r="F991" s="438">
        <f t="shared" si="2"/>
        <v>0</v>
      </c>
      <c r="G991" t="str">
        <f t="shared" si="3"/>
        <v/>
      </c>
      <c r="H991" t="b">
        <f t="shared" si="4"/>
        <v>0</v>
      </c>
      <c r="I991" s="439">
        <f>IF(OR(ISBLANK(A991),ISNA(MATCH(A991&amp;"",AthleteNumbers,0))),0,MATCH(A991&amp;"",AthleteNumbers,0))</f>
        <v>0</v>
      </c>
      <c r="J991" s="209">
        <f t="array" ref="J991">IF(I991&gt;0,INDEX(DB,$I991,6),0)</f>
        <v>0</v>
      </c>
      <c r="K991" s="440">
        <f t="shared" si="5"/>
        <v>0</v>
      </c>
      <c r="L991" s="440">
        <f t="shared" si="6"/>
        <v>0</v>
      </c>
      <c r="M991" s="441">
        <f>IF(AND(L991&gt;O991,O991&gt;0),MinPoints,IF(L991&lt;N991,100,+INT((O991-$L991)/P991)+MinPoints))</f>
        <v>100</v>
      </c>
      <c r="N991" s="440">
        <f t="shared" si="7"/>
        <v>7</v>
      </c>
      <c r="O991" s="440">
        <f t="shared" si="8"/>
        <v>16</v>
      </c>
      <c r="P991" s="440">
        <f t="shared" si="9"/>
        <v>0.1</v>
      </c>
      <c r="Q991">
        <f t="array" ref="Q991">IF(I991&gt;0,INDEX(DB,I991,9),EventIndex)</f>
        <v>6</v>
      </c>
      <c r="S991" s="442">
        <f t="array" ref="S991">INDEX(MINVALUES,$Q991,$K$1)</f>
        <v>16</v>
      </c>
      <c r="T991">
        <f t="array" ref="T991">INDEX(INCVALUES,$Q991,$K$1)</f>
        <v>0.1</v>
      </c>
      <c r="V991">
        <f t="array" ref="V991">+J991+(4*(INDEX(MatchScoreTable,$Q991,20)-1))</f>
        <v>4</v>
      </c>
      <c r="W991">
        <f t="array" ref="W991">INDEX(INC_MINVALUES,$V991,$K$1)</f>
        <v>34</v>
      </c>
      <c r="X991" s="212">
        <f t="array" ref="X991">INDEX(INC_INCVALUES,$V991,$K$1)</f>
        <v>0.3</v>
      </c>
    </row>
    <row r="992" ht="15.75" customHeight="1">
      <c r="A992" s="435"/>
      <c r="B992" s="436"/>
      <c r="C992" s="95" t="str">
        <f t="array" ref="C992">IF(I992&gt;0,INDEX(DB,I992,8),"")</f>
        <v/>
      </c>
      <c r="D992" s="437">
        <f t="shared" si="1"/>
        <v>0</v>
      </c>
      <c r="F992" s="438">
        <f t="shared" si="2"/>
        <v>0</v>
      </c>
      <c r="G992" t="str">
        <f t="shared" si="3"/>
        <v/>
      </c>
      <c r="H992" t="b">
        <f t="shared" si="4"/>
        <v>0</v>
      </c>
      <c r="I992" s="439">
        <f>IF(OR(ISBLANK(A992),ISNA(MATCH(A992&amp;"",AthleteNumbers,0))),0,MATCH(A992&amp;"",AthleteNumbers,0))</f>
        <v>0</v>
      </c>
      <c r="J992" s="209">
        <f t="array" ref="J992">IF(I992&gt;0,INDEX(DB,$I992,6),0)</f>
        <v>0</v>
      </c>
      <c r="K992" s="440">
        <f t="shared" si="5"/>
        <v>0</v>
      </c>
      <c r="L992" s="440">
        <f t="shared" si="6"/>
        <v>0</v>
      </c>
      <c r="M992" s="441">
        <f>IF(AND(L992&gt;O992,O992&gt;0),MinPoints,IF(L992&lt;N992,100,+INT((O992-$L992)/P992)+MinPoints))</f>
        <v>100</v>
      </c>
      <c r="N992" s="440">
        <f t="shared" si="7"/>
        <v>7</v>
      </c>
      <c r="O992" s="440">
        <f t="shared" si="8"/>
        <v>16</v>
      </c>
      <c r="P992" s="440">
        <f t="shared" si="9"/>
        <v>0.1</v>
      </c>
      <c r="Q992">
        <f t="array" ref="Q992">IF(I992&gt;0,INDEX(DB,I992,9),EventIndex)</f>
        <v>6</v>
      </c>
      <c r="S992" s="442">
        <f t="array" ref="S992">INDEX(MINVALUES,$Q992,$K$1)</f>
        <v>16</v>
      </c>
      <c r="T992">
        <f t="array" ref="T992">INDEX(INCVALUES,$Q992,$K$1)</f>
        <v>0.1</v>
      </c>
      <c r="V992">
        <f t="array" ref="V992">+J992+(4*(INDEX(MatchScoreTable,$Q992,20)-1))</f>
        <v>4</v>
      </c>
      <c r="W992">
        <f t="array" ref="W992">INDEX(INC_MINVALUES,$V992,$K$1)</f>
        <v>34</v>
      </c>
      <c r="X992" s="212">
        <f t="array" ref="X992">INDEX(INC_INCVALUES,$V992,$K$1)</f>
        <v>0.3</v>
      </c>
    </row>
    <row r="993" ht="15.75" customHeight="1">
      <c r="A993" s="435"/>
      <c r="B993" s="436"/>
      <c r="C993" s="95" t="str">
        <f t="array" ref="C993">IF(I993&gt;0,INDEX(DB,I993,8),"")</f>
        <v/>
      </c>
      <c r="D993" s="437">
        <f t="shared" si="1"/>
        <v>0</v>
      </c>
      <c r="F993" s="438">
        <f t="shared" si="2"/>
        <v>0</v>
      </c>
      <c r="G993" t="str">
        <f t="shared" si="3"/>
        <v/>
      </c>
      <c r="H993" t="b">
        <f t="shared" si="4"/>
        <v>0</v>
      </c>
      <c r="I993" s="439">
        <f>IF(OR(ISBLANK(A993),ISNA(MATCH(A993&amp;"",AthleteNumbers,0))),0,MATCH(A993&amp;"",AthleteNumbers,0))</f>
        <v>0</v>
      </c>
      <c r="J993" s="209">
        <f t="array" ref="J993">IF(I993&gt;0,INDEX(DB,$I993,6),0)</f>
        <v>0</v>
      </c>
      <c r="K993" s="440">
        <f t="shared" si="5"/>
        <v>0</v>
      </c>
      <c r="L993" s="440">
        <f t="shared" si="6"/>
        <v>0</v>
      </c>
      <c r="M993" s="441">
        <f>IF(AND(L993&gt;O993,O993&gt;0),MinPoints,IF(L993&lt;N993,100,+INT((O993-$L993)/P993)+MinPoints))</f>
        <v>100</v>
      </c>
      <c r="N993" s="440">
        <f t="shared" si="7"/>
        <v>7</v>
      </c>
      <c r="O993" s="440">
        <f t="shared" si="8"/>
        <v>16</v>
      </c>
      <c r="P993" s="440">
        <f t="shared" si="9"/>
        <v>0.1</v>
      </c>
      <c r="Q993">
        <f t="array" ref="Q993">IF(I993&gt;0,INDEX(DB,I993,9),EventIndex)</f>
        <v>6</v>
      </c>
      <c r="S993" s="442">
        <f t="array" ref="S993">INDEX(MINVALUES,$Q993,$K$1)</f>
        <v>16</v>
      </c>
      <c r="T993">
        <f t="array" ref="T993">INDEX(INCVALUES,$Q993,$K$1)</f>
        <v>0.1</v>
      </c>
      <c r="V993">
        <f t="array" ref="V993">+J993+(4*(INDEX(MatchScoreTable,$Q993,20)-1))</f>
        <v>4</v>
      </c>
      <c r="W993">
        <f t="array" ref="W993">INDEX(INC_MINVALUES,$V993,$K$1)</f>
        <v>34</v>
      </c>
      <c r="X993" s="212">
        <f t="array" ref="X993">INDEX(INC_INCVALUES,$V993,$K$1)</f>
        <v>0.3</v>
      </c>
    </row>
    <row r="994" ht="15.75" customHeight="1">
      <c r="A994" s="435"/>
      <c r="B994" s="436"/>
      <c r="C994" s="95" t="str">
        <f t="array" ref="C994">IF(I994&gt;0,INDEX(DB,I994,8),"")</f>
        <v/>
      </c>
      <c r="D994" s="437">
        <f t="shared" si="1"/>
        <v>0</v>
      </c>
      <c r="F994" s="438">
        <f t="shared" si="2"/>
        <v>0</v>
      </c>
      <c r="G994" t="str">
        <f t="shared" si="3"/>
        <v/>
      </c>
      <c r="H994" t="b">
        <f t="shared" si="4"/>
        <v>0</v>
      </c>
      <c r="I994" s="439">
        <f>IF(OR(ISBLANK(A994),ISNA(MATCH(A994&amp;"",AthleteNumbers,0))),0,MATCH(A994&amp;"",AthleteNumbers,0))</f>
        <v>0</v>
      </c>
      <c r="J994" s="209">
        <f t="array" ref="J994">IF(I994&gt;0,INDEX(DB,$I994,6),0)</f>
        <v>0</v>
      </c>
      <c r="K994" s="440">
        <f t="shared" si="5"/>
        <v>0</v>
      </c>
      <c r="L994" s="440">
        <f t="shared" si="6"/>
        <v>0</v>
      </c>
      <c r="M994" s="441">
        <f>IF(AND(L994&gt;O994,O994&gt;0),MinPoints,IF(L994&lt;N994,100,+INT((O994-$L994)/P994)+MinPoints))</f>
        <v>100</v>
      </c>
      <c r="N994" s="440">
        <f t="shared" si="7"/>
        <v>7</v>
      </c>
      <c r="O994" s="440">
        <f t="shared" si="8"/>
        <v>16</v>
      </c>
      <c r="P994" s="440">
        <f t="shared" si="9"/>
        <v>0.1</v>
      </c>
      <c r="Q994">
        <f t="array" ref="Q994">IF(I994&gt;0,INDEX(DB,I994,9),EventIndex)</f>
        <v>6</v>
      </c>
      <c r="S994" s="442">
        <f t="array" ref="S994">INDEX(MINVALUES,$Q994,$K$1)</f>
        <v>16</v>
      </c>
      <c r="T994">
        <f t="array" ref="T994">INDEX(INCVALUES,$Q994,$K$1)</f>
        <v>0.1</v>
      </c>
      <c r="V994">
        <f t="array" ref="V994">+J994+(4*(INDEX(MatchScoreTable,$Q994,20)-1))</f>
        <v>4</v>
      </c>
      <c r="W994">
        <f t="array" ref="W994">INDEX(INC_MINVALUES,$V994,$K$1)</f>
        <v>34</v>
      </c>
      <c r="X994" s="212">
        <f t="array" ref="X994">INDEX(INC_INCVALUES,$V994,$K$1)</f>
        <v>0.3</v>
      </c>
    </row>
    <row r="995" ht="15.75" customHeight="1">
      <c r="A995" s="435"/>
      <c r="B995" s="436"/>
      <c r="C995" s="95" t="str">
        <f t="array" ref="C995">IF(I995&gt;0,INDEX(DB,I995,8),"")</f>
        <v/>
      </c>
      <c r="D995" s="437">
        <f t="shared" si="1"/>
        <v>0</v>
      </c>
      <c r="F995" s="438">
        <f t="shared" si="2"/>
        <v>0</v>
      </c>
      <c r="G995" t="str">
        <f t="shared" si="3"/>
        <v/>
      </c>
      <c r="H995" t="b">
        <f t="shared" si="4"/>
        <v>0</v>
      </c>
      <c r="I995" s="439">
        <f>IF(OR(ISBLANK(A995),ISNA(MATCH(A995&amp;"",AthleteNumbers,0))),0,MATCH(A995&amp;"",AthleteNumbers,0))</f>
        <v>0</v>
      </c>
      <c r="J995" s="209">
        <f t="array" ref="J995">IF(I995&gt;0,INDEX(DB,$I995,6),0)</f>
        <v>0</v>
      </c>
      <c r="K995" s="440">
        <f t="shared" si="5"/>
        <v>0</v>
      </c>
      <c r="L995" s="440">
        <f t="shared" si="6"/>
        <v>0</v>
      </c>
      <c r="M995" s="441">
        <f>IF(AND(L995&gt;O995,O995&gt;0),MinPoints,IF(L995&lt;N995,100,+INT((O995-$L995)/P995)+MinPoints))</f>
        <v>100</v>
      </c>
      <c r="N995" s="440">
        <f t="shared" si="7"/>
        <v>7</v>
      </c>
      <c r="O995" s="440">
        <f t="shared" si="8"/>
        <v>16</v>
      </c>
      <c r="P995" s="440">
        <f t="shared" si="9"/>
        <v>0.1</v>
      </c>
      <c r="Q995">
        <f t="array" ref="Q995">IF(I995&gt;0,INDEX(DB,I995,9),EventIndex)</f>
        <v>6</v>
      </c>
      <c r="S995" s="442">
        <f t="array" ref="S995">INDEX(MINVALUES,$Q995,$K$1)</f>
        <v>16</v>
      </c>
      <c r="T995">
        <f t="array" ref="T995">INDEX(INCVALUES,$Q995,$K$1)</f>
        <v>0.1</v>
      </c>
      <c r="V995">
        <f t="array" ref="V995">+J995+(4*(INDEX(MatchScoreTable,$Q995,20)-1))</f>
        <v>4</v>
      </c>
      <c r="W995">
        <f t="array" ref="W995">INDEX(INC_MINVALUES,$V995,$K$1)</f>
        <v>34</v>
      </c>
      <c r="X995" s="212">
        <f t="array" ref="X995">INDEX(INC_INCVALUES,$V995,$K$1)</f>
        <v>0.3</v>
      </c>
    </row>
    <row r="996" ht="15.75" customHeight="1">
      <c r="A996" s="435"/>
      <c r="B996" s="436"/>
      <c r="C996" s="95" t="str">
        <f t="array" ref="C996">IF(I996&gt;0,INDEX(DB,I996,8),"")</f>
        <v/>
      </c>
      <c r="D996" s="437">
        <f t="shared" si="1"/>
        <v>0</v>
      </c>
      <c r="F996" s="438">
        <f t="shared" si="2"/>
        <v>0</v>
      </c>
      <c r="G996" t="str">
        <f t="shared" si="3"/>
        <v/>
      </c>
      <c r="H996" t="b">
        <f t="shared" si="4"/>
        <v>0</v>
      </c>
      <c r="I996" s="439">
        <f>IF(OR(ISBLANK(A996),ISNA(MATCH(A996&amp;"",AthleteNumbers,0))),0,MATCH(A996&amp;"",AthleteNumbers,0))</f>
        <v>0</v>
      </c>
      <c r="J996" s="209">
        <f t="array" ref="J996">IF(I996&gt;0,INDEX(DB,$I996,6),0)</f>
        <v>0</v>
      </c>
      <c r="K996" s="440">
        <f t="shared" si="5"/>
        <v>0</v>
      </c>
      <c r="L996" s="440">
        <f t="shared" si="6"/>
        <v>0</v>
      </c>
      <c r="M996" s="441">
        <f>IF(AND(L996&gt;O996,O996&gt;0),MinPoints,IF(L996&lt;N996,100,+INT((O996-$L996)/P996)+MinPoints))</f>
        <v>100</v>
      </c>
      <c r="N996" s="440">
        <f t="shared" si="7"/>
        <v>7</v>
      </c>
      <c r="O996" s="440">
        <f t="shared" si="8"/>
        <v>16</v>
      </c>
      <c r="P996" s="440">
        <f t="shared" si="9"/>
        <v>0.1</v>
      </c>
      <c r="Q996">
        <f t="array" ref="Q996">IF(I996&gt;0,INDEX(DB,I996,9),EventIndex)</f>
        <v>6</v>
      </c>
      <c r="S996" s="442">
        <f t="array" ref="S996">INDEX(MINVALUES,$Q996,$K$1)</f>
        <v>16</v>
      </c>
      <c r="T996">
        <f t="array" ref="T996">INDEX(INCVALUES,$Q996,$K$1)</f>
        <v>0.1</v>
      </c>
      <c r="V996">
        <f t="array" ref="V996">+J996+(4*(INDEX(MatchScoreTable,$Q996,20)-1))</f>
        <v>4</v>
      </c>
      <c r="W996">
        <f t="array" ref="W996">INDEX(INC_MINVALUES,$V996,$K$1)</f>
        <v>34</v>
      </c>
      <c r="X996" s="212">
        <f t="array" ref="X996">INDEX(INC_INCVALUES,$V996,$K$1)</f>
        <v>0.3</v>
      </c>
    </row>
    <row r="997" ht="15.75" customHeight="1">
      <c r="A997" s="435"/>
      <c r="B997" s="436"/>
      <c r="C997" s="95" t="str">
        <f t="array" ref="C997">IF(I997&gt;0,INDEX(DB,I997,8),"")</f>
        <v/>
      </c>
      <c r="D997" s="437">
        <f t="shared" si="1"/>
        <v>0</v>
      </c>
      <c r="F997" s="438">
        <f t="shared" si="2"/>
        <v>0</v>
      </c>
      <c r="G997" t="str">
        <f t="shared" si="3"/>
        <v/>
      </c>
      <c r="H997" t="b">
        <f t="shared" si="4"/>
        <v>0</v>
      </c>
      <c r="I997" s="439">
        <f>IF(OR(ISBLANK(A997),ISNA(MATCH(A997&amp;"",AthleteNumbers,0))),0,MATCH(A997&amp;"",AthleteNumbers,0))</f>
        <v>0</v>
      </c>
      <c r="J997" s="209">
        <f t="array" ref="J997">IF(I997&gt;0,INDEX(DB,$I997,6),0)</f>
        <v>0</v>
      </c>
      <c r="K997" s="440">
        <f t="shared" si="5"/>
        <v>0</v>
      </c>
      <c r="L997" s="440">
        <f t="shared" si="6"/>
        <v>0</v>
      </c>
      <c r="M997" s="441">
        <f>IF(AND(L997&gt;O997,O997&gt;0),MinPoints,IF(L997&lt;N997,100,+INT((O997-$L997)/P997)+MinPoints))</f>
        <v>100</v>
      </c>
      <c r="N997" s="440">
        <f t="shared" si="7"/>
        <v>7</v>
      </c>
      <c r="O997" s="440">
        <f t="shared" si="8"/>
        <v>16</v>
      </c>
      <c r="P997" s="440">
        <f t="shared" si="9"/>
        <v>0.1</v>
      </c>
      <c r="Q997">
        <f t="array" ref="Q997">IF(I997&gt;0,INDEX(DB,I997,9),EventIndex)</f>
        <v>6</v>
      </c>
      <c r="S997" s="442">
        <f t="array" ref="S997">INDEX(MINVALUES,$Q997,$K$1)</f>
        <v>16</v>
      </c>
      <c r="T997">
        <f t="array" ref="T997">INDEX(INCVALUES,$Q997,$K$1)</f>
        <v>0.1</v>
      </c>
      <c r="V997">
        <f t="array" ref="V997">+J997+(4*(INDEX(MatchScoreTable,$Q997,20)-1))</f>
        <v>4</v>
      </c>
      <c r="W997">
        <f t="array" ref="W997">INDEX(INC_MINVALUES,$V997,$K$1)</f>
        <v>34</v>
      </c>
      <c r="X997" s="212">
        <f t="array" ref="X997">INDEX(INC_INCVALUES,$V997,$K$1)</f>
        <v>0.3</v>
      </c>
    </row>
    <row r="998" ht="15.75" customHeight="1">
      <c r="A998" s="435"/>
      <c r="B998" s="436"/>
      <c r="C998" s="95" t="str">
        <f t="array" ref="C998">IF(I998&gt;0,INDEX(DB,I998,8),"")</f>
        <v/>
      </c>
      <c r="D998" s="437">
        <f t="shared" si="1"/>
        <v>0</v>
      </c>
      <c r="F998" s="438">
        <f t="shared" si="2"/>
        <v>0</v>
      </c>
      <c r="G998" t="str">
        <f t="shared" si="3"/>
        <v/>
      </c>
      <c r="H998" t="b">
        <f t="shared" si="4"/>
        <v>0</v>
      </c>
      <c r="I998" s="439">
        <f>IF(OR(ISBLANK(A998),ISNA(MATCH(A998&amp;"",AthleteNumbers,0))),0,MATCH(A998&amp;"",AthleteNumbers,0))</f>
        <v>0</v>
      </c>
      <c r="J998" s="209">
        <f t="array" ref="J998">IF(I998&gt;0,INDEX(DB,$I998,6),0)</f>
        <v>0</v>
      </c>
      <c r="K998" s="440">
        <f t="shared" si="5"/>
        <v>0</v>
      </c>
      <c r="L998" s="440">
        <f t="shared" si="6"/>
        <v>0</v>
      </c>
      <c r="M998" s="441">
        <f>IF(AND(L998&gt;O998,O998&gt;0),MinPoints,IF(L998&lt;N998,100,+INT((O998-$L998)/P998)+MinPoints))</f>
        <v>100</v>
      </c>
      <c r="N998" s="440">
        <f t="shared" si="7"/>
        <v>7</v>
      </c>
      <c r="O998" s="440">
        <f t="shared" si="8"/>
        <v>16</v>
      </c>
      <c r="P998" s="440">
        <f t="shared" si="9"/>
        <v>0.1</v>
      </c>
      <c r="Q998">
        <f t="array" ref="Q998">IF(I998&gt;0,INDEX(DB,I998,9),EventIndex)</f>
        <v>6</v>
      </c>
      <c r="S998" s="442">
        <f t="array" ref="S998">INDEX(MINVALUES,$Q998,$K$1)</f>
        <v>16</v>
      </c>
      <c r="T998">
        <f t="array" ref="T998">INDEX(INCVALUES,$Q998,$K$1)</f>
        <v>0.1</v>
      </c>
      <c r="V998">
        <f t="array" ref="V998">+J998+(4*(INDEX(MatchScoreTable,$Q998,20)-1))</f>
        <v>4</v>
      </c>
      <c r="W998">
        <f t="array" ref="W998">INDEX(INC_MINVALUES,$V998,$K$1)</f>
        <v>34</v>
      </c>
      <c r="X998" s="212">
        <f t="array" ref="X998">INDEX(INC_INCVALUES,$V998,$K$1)</f>
        <v>0.3</v>
      </c>
    </row>
    <row r="999" ht="15.75" customHeight="1">
      <c r="A999" s="435"/>
      <c r="B999" s="436"/>
      <c r="C999" s="95" t="str">
        <f t="array" ref="C999">IF(I999&gt;0,INDEX(DB,I999,8),"")</f>
        <v/>
      </c>
      <c r="D999" s="437">
        <f t="shared" si="1"/>
        <v>0</v>
      </c>
      <c r="F999" s="438">
        <f t="shared" si="2"/>
        <v>0</v>
      </c>
      <c r="G999" t="str">
        <f t="shared" si="3"/>
        <v/>
      </c>
      <c r="H999" t="b">
        <f t="shared" si="4"/>
        <v>0</v>
      </c>
      <c r="I999" s="439">
        <f>IF(OR(ISBLANK(A999),ISNA(MATCH(A999&amp;"",AthleteNumbers,0))),0,MATCH(A999&amp;"",AthleteNumbers,0))</f>
        <v>0</v>
      </c>
      <c r="J999" s="209">
        <f t="array" ref="J999">IF(I999&gt;0,INDEX(DB,$I999,6),0)</f>
        <v>0</v>
      </c>
      <c r="K999" s="440">
        <f t="shared" si="5"/>
        <v>0</v>
      </c>
      <c r="L999" s="440">
        <f t="shared" si="6"/>
        <v>0</v>
      </c>
      <c r="M999" s="441">
        <f>IF(AND(L999&gt;O999,O999&gt;0),MinPoints,IF(L999&lt;N999,100,+INT((O999-$L999)/P999)+MinPoints))</f>
        <v>100</v>
      </c>
      <c r="N999" s="440">
        <f t="shared" si="7"/>
        <v>7</v>
      </c>
      <c r="O999" s="440">
        <f t="shared" si="8"/>
        <v>16</v>
      </c>
      <c r="P999" s="440">
        <f t="shared" si="9"/>
        <v>0.1</v>
      </c>
      <c r="Q999">
        <f t="array" ref="Q999">IF(I999&gt;0,INDEX(DB,I999,9),EventIndex)</f>
        <v>6</v>
      </c>
      <c r="S999" s="442">
        <f t="array" ref="S999">INDEX(MINVALUES,$Q999,$K$1)</f>
        <v>16</v>
      </c>
      <c r="T999">
        <f t="array" ref="T999">INDEX(INCVALUES,$Q999,$K$1)</f>
        <v>0.1</v>
      </c>
      <c r="V999">
        <f t="array" ref="V999">+J999+(4*(INDEX(MatchScoreTable,$Q999,20)-1))</f>
        <v>4</v>
      </c>
      <c r="W999">
        <f t="array" ref="W999">INDEX(INC_MINVALUES,$V999,$K$1)</f>
        <v>34</v>
      </c>
      <c r="X999" s="212">
        <f t="array" ref="X999">INDEX(INC_INCVALUES,$V999,$K$1)</f>
        <v>0.3</v>
      </c>
    </row>
    <row r="1000" ht="15.75" customHeight="1">
      <c r="A1000" s="435"/>
      <c r="B1000" s="436"/>
      <c r="C1000" s="95" t="str">
        <f t="array" ref="C1000">IF(I1000&gt;0,INDEX(DB,I1000,8),"")</f>
        <v/>
      </c>
      <c r="D1000" s="437">
        <f t="shared" si="1"/>
        <v>0</v>
      </c>
      <c r="F1000" s="438">
        <f t="shared" si="2"/>
        <v>0</v>
      </c>
      <c r="G1000" t="str">
        <f t="shared" si="3"/>
        <v/>
      </c>
      <c r="H1000" t="b">
        <f t="shared" si="4"/>
        <v>0</v>
      </c>
      <c r="I1000" s="439">
        <f>IF(OR(ISBLANK(A1000),ISNA(MATCH(A1000&amp;"",AthleteNumbers,0))),0,MATCH(A1000&amp;"",AthleteNumbers,0))</f>
        <v>0</v>
      </c>
      <c r="J1000" s="209">
        <f t="array" ref="J1000">IF(I1000&gt;0,INDEX(DB,$I1000,6),0)</f>
        <v>0</v>
      </c>
      <c r="K1000" s="440">
        <f t="shared" si="5"/>
        <v>0</v>
      </c>
      <c r="L1000" s="440">
        <f t="shared" si="6"/>
        <v>0</v>
      </c>
      <c r="M1000" s="441">
        <f>IF(AND(L1000&gt;O1000,O1000&gt;0),MinPoints,IF(L1000&lt;N1000,100,+INT((O1000-$L1000)/P1000)+MinPoints))</f>
        <v>100</v>
      </c>
      <c r="N1000" s="440">
        <f t="shared" si="7"/>
        <v>7</v>
      </c>
      <c r="O1000" s="440">
        <f t="shared" si="8"/>
        <v>16</v>
      </c>
      <c r="P1000" s="440">
        <f t="shared" si="9"/>
        <v>0.1</v>
      </c>
      <c r="Q1000">
        <f t="array" ref="Q1000">IF(I1000&gt;0,INDEX(DB,I1000,9),EventIndex)</f>
        <v>6</v>
      </c>
      <c r="S1000" s="442">
        <f t="array" ref="S1000">INDEX(MINVALUES,$Q1000,$K$1)</f>
        <v>16</v>
      </c>
      <c r="T1000">
        <f t="array" ref="T1000">INDEX(INCVALUES,$Q1000,$K$1)</f>
        <v>0.1</v>
      </c>
      <c r="V1000">
        <f t="array" ref="V1000">+J1000+(4*(INDEX(MatchScoreTable,$Q1000,20)-1))</f>
        <v>4</v>
      </c>
      <c r="W1000">
        <f t="array" ref="W1000">INDEX(INC_MINVALUES,$V1000,$K$1)</f>
        <v>34</v>
      </c>
      <c r="X1000" s="212">
        <f t="array" ref="X1000">INDEX(INC_INCVALUES,$V1000,$K$1)</f>
        <v>0.3</v>
      </c>
    </row>
    <row r="1001" ht="15.75" customHeight="1">
      <c r="A1001" s="435"/>
      <c r="B1001" s="436"/>
      <c r="C1001" s="95" t="str">
        <f t="array" ref="C1001">IF(I1001&gt;0,INDEX(DB,I1001,8),"")</f>
        <v/>
      </c>
      <c r="D1001" s="437">
        <f t="shared" si="1"/>
        <v>0</v>
      </c>
      <c r="F1001" s="438">
        <f t="shared" si="2"/>
        <v>0</v>
      </c>
      <c r="G1001" t="str">
        <f t="shared" si="3"/>
        <v/>
      </c>
      <c r="H1001" t="b">
        <f t="shared" si="4"/>
        <v>0</v>
      </c>
      <c r="I1001" s="439">
        <f>IF(OR(ISBLANK(A1001),ISNA(MATCH(A1001&amp;"",AthleteNumbers,0))),0,MATCH(A1001&amp;"",AthleteNumbers,0))</f>
        <v>0</v>
      </c>
      <c r="J1001" s="209">
        <f t="array" ref="J1001">IF(I1001&gt;0,INDEX(DB,$I1001,6),0)</f>
        <v>0</v>
      </c>
      <c r="K1001" s="440">
        <f t="shared" si="5"/>
        <v>0</v>
      </c>
      <c r="L1001" s="440">
        <f t="shared" si="6"/>
        <v>0</v>
      </c>
      <c r="M1001" s="441">
        <f>IF(AND(L1001&gt;O1001,O1001&gt;0),MinPoints,IF(L1001&lt;N1001,100,+INT((O1001-$L1001)/P1001)+MinPoints))</f>
        <v>100</v>
      </c>
      <c r="N1001" s="440">
        <f t="shared" si="7"/>
        <v>7</v>
      </c>
      <c r="O1001" s="440">
        <f t="shared" si="8"/>
        <v>16</v>
      </c>
      <c r="P1001" s="440">
        <f t="shared" si="9"/>
        <v>0.1</v>
      </c>
      <c r="Q1001">
        <f t="array" ref="Q1001">IF(I1001&gt;0,INDEX(DB,I1001,9),EventIndex)</f>
        <v>6</v>
      </c>
      <c r="S1001" s="442">
        <f t="array" ref="S1001">INDEX(MINVALUES,$Q1001,$K$1)</f>
        <v>16</v>
      </c>
      <c r="T1001">
        <f t="array" ref="T1001">INDEX(INCVALUES,$Q1001,$K$1)</f>
        <v>0.1</v>
      </c>
      <c r="V1001">
        <f t="array" ref="V1001">+J1001+(4*(INDEX(MatchScoreTable,$Q1001,20)-1))</f>
        <v>4</v>
      </c>
      <c r="W1001">
        <f t="array" ref="W1001">INDEX(INC_MINVALUES,$V1001,$K$1)</f>
        <v>34</v>
      </c>
      <c r="X1001" s="212">
        <f t="array" ref="X1001">INDEX(INC_INCVALUES,$V1001,$K$1)</f>
        <v>0.3</v>
      </c>
    </row>
    <row r="1002" ht="15.75" customHeight="1">
      <c r="A1002" s="435"/>
      <c r="B1002" s="436"/>
      <c r="C1002" s="95" t="str">
        <f t="array" ref="C1002">IF(I1002&gt;0,INDEX(DB,I1002,8),"")</f>
        <v/>
      </c>
      <c r="D1002" s="437">
        <f t="shared" si="1"/>
        <v>0</v>
      </c>
      <c r="F1002" s="438">
        <f t="shared" si="2"/>
        <v>0</v>
      </c>
      <c r="G1002" t="str">
        <f t="shared" si="3"/>
        <v/>
      </c>
      <c r="H1002" t="b">
        <f t="shared" si="4"/>
        <v>0</v>
      </c>
      <c r="I1002" s="439">
        <f>IF(OR(ISBLANK(A1002),ISNA(MATCH(A1002&amp;"",AthleteNumbers,0))),0,MATCH(A1002&amp;"",AthleteNumbers,0))</f>
        <v>0</v>
      </c>
      <c r="J1002" s="209">
        <f t="array" ref="J1002">IF(I1002&gt;0,INDEX(DB,$I1002,6),0)</f>
        <v>0</v>
      </c>
      <c r="K1002" s="440">
        <f t="shared" si="5"/>
        <v>0</v>
      </c>
      <c r="L1002" s="440">
        <f t="shared" si="6"/>
        <v>0</v>
      </c>
      <c r="M1002" s="441">
        <f>IF(AND(L1002&gt;O1002,O1002&gt;0),MinPoints,IF(L1002&lt;N1002,100,+INT((O1002-$L1002)/P1002)+MinPoints))</f>
        <v>100</v>
      </c>
      <c r="N1002" s="440">
        <f t="shared" si="7"/>
        <v>7</v>
      </c>
      <c r="O1002" s="440">
        <f t="shared" si="8"/>
        <v>16</v>
      </c>
      <c r="P1002" s="440">
        <f t="shared" si="9"/>
        <v>0.1</v>
      </c>
      <c r="Q1002">
        <f t="array" ref="Q1002">IF(I1002&gt;0,INDEX(DB,I1002,9),EventIndex)</f>
        <v>6</v>
      </c>
      <c r="S1002" s="442">
        <f t="array" ref="S1002">INDEX(MINVALUES,$Q1002,$K$1)</f>
        <v>16</v>
      </c>
      <c r="T1002">
        <f t="array" ref="T1002">INDEX(INCVALUES,$Q1002,$K$1)</f>
        <v>0.1</v>
      </c>
      <c r="V1002">
        <f t="array" ref="V1002">+J1002+(4*(INDEX(MatchScoreTable,$Q1002,20)-1))</f>
        <v>4</v>
      </c>
      <c r="W1002">
        <f t="array" ref="W1002">INDEX(INC_MINVALUES,$V1002,$K$1)</f>
        <v>34</v>
      </c>
      <c r="X1002" s="212">
        <f t="array" ref="X1002">INDEX(INC_INCVALUES,$V1002,$K$1)</f>
        <v>0.3</v>
      </c>
    </row>
  </sheetData>
  <mergeCells count="1">
    <mergeCell ref="A1:B1"/>
  </mergeCells>
  <conditionalFormatting sqref="A72:D1001 C3:D71">
    <cfRule type="expression" dxfId="0" priority="1">
      <formula>AND($F72&lt;=1,$G72="",$H72=TRUE)</formula>
    </cfRule>
  </conditionalFormatting>
  <conditionalFormatting sqref="A72:D1001 C3:D71">
    <cfRule type="expression" dxfId="1" priority="2">
      <formula>$F72&gt;1</formula>
    </cfRule>
  </conditionalFormatting>
  <conditionalFormatting sqref="A72:D1001 C3:D71">
    <cfRule type="expression" dxfId="2" priority="3">
      <formula>$G72="CHECK"</formula>
    </cfRule>
  </conditionalFormatting>
  <conditionalFormatting sqref="A3:A71">
    <cfRule type="expression" dxfId="0" priority="4">
      <formula>AND($F3&lt;=1,$G3="",$H3=TRUE)</formula>
    </cfRule>
  </conditionalFormatting>
  <conditionalFormatting sqref="A3:A71">
    <cfRule type="expression" dxfId="1" priority="5">
      <formula>$F3&gt;1</formula>
    </cfRule>
  </conditionalFormatting>
  <conditionalFormatting sqref="A3:A71">
    <cfRule type="expression" dxfId="2" priority="6">
      <formula>$G3="CHECK"</formula>
    </cfRule>
  </conditionalFormatting>
  <conditionalFormatting sqref="B3:B71">
    <cfRule type="expression" dxfId="0" priority="7">
      <formula>AND($F3&lt;=1,$G3="",$H3=TRUE)</formula>
    </cfRule>
  </conditionalFormatting>
  <conditionalFormatting sqref="B3:B71">
    <cfRule type="expression" dxfId="1" priority="8">
      <formula>$F3&gt;1</formula>
    </cfRule>
  </conditionalFormatting>
  <conditionalFormatting sqref="B3:B71">
    <cfRule type="expression" dxfId="2" priority="9">
      <formula>$G3="CHECK"</formula>
    </cfRule>
  </conditionalFormatting>
  <printOptions/>
  <pageMargins bottom="0.75" footer="0.0" header="0.0" left="0.7" right="0.7" top="0.75"/>
  <pageSetup orientation="landscape"/>
  <drawing r:id="rId1"/>
</worksheet>
</file>